
<file path=[Content_Types].xml><?xml version="1.0" encoding="utf-8"?>
<Types xmlns="http://schemas.openxmlformats.org/package/2006/content-types">
  <Override PartName="/xl/tables/table4.xml" ContentType="application/vnd.openxmlformats-officedocument.spreadsheetml.table+xml"/>
  <Override PartName="/xl/activeX/activeX4.bin" ContentType="application/vnd.ms-office.activeX"/>
  <Override PartName="/xl/activeX/activeX9.xml" ContentType="application/vnd.ms-office.activeX+xml"/>
  <Override PartName="/xl/styles.xml" ContentType="application/vnd.openxmlformats-officedocument.spreadsheetml.styles+xml"/>
  <Override PartName="/xl/charts/chart4.xml" ContentType="application/vnd.openxmlformats-officedocument.drawingml.chart+xml"/>
  <Override PartName="/xl/tables/table14.xml" ContentType="application/vnd.openxmlformats-officedocument.spreadsheetml.table+xml"/>
  <Override PartName="/xl/activeX/activeX14.bin" ContentType="application/vnd.ms-office.activeX"/>
  <Override PartName="/xl/drawings/drawing6.xml" ContentType="application/vnd.openxmlformats-officedocument.drawing+xml"/>
  <Override PartName="/xl/slicerCaches/slicerCache2.xml" ContentType="application/vnd.ms-excel.slicerCache+xml"/>
  <Override PartName="/xl/charts/colors17.xml" ContentType="application/vnd.ms-office.chartcolorstyle+xml"/>
  <Override PartName="/xl/charts/style18.xml" ContentType="application/vnd.ms-office.chartstyle+xml"/>
  <Override PartName="/xl/charts/style6.xml" ContentType="application/vnd.ms-office.chartstyle+xml"/>
  <Override PartName="/xl/worksheets/sheet7.xml" ContentType="application/vnd.openxmlformats-officedocument.spreadsheetml.worksheet+xml"/>
  <Override PartName="/xl/activeX/activeX5.xml" ContentType="application/vnd.ms-office.activeX+xml"/>
  <Override PartName="/xl/vbaProject.bin" ContentType="application/vnd.ms-office.vbaProject"/>
  <Default Extension="xml" ContentType="application/xml"/>
  <Override PartName="/xl/drawings/drawing2.xml" ContentType="application/vnd.openxmlformats-officedocument.drawing+xml"/>
  <Override PartName="/xl/tables/table10.xml" ContentType="application/vnd.openxmlformats-officedocument.spreadsheetml.table+xml"/>
  <Override PartName="/xl/activeX/activeX10.bin" ContentType="application/vnd.ms-office.activeX"/>
  <Override PartName="/xl/charts/colors13.xml" ContentType="application/vnd.ms-office.chartcolorstyle+xml"/>
  <Override PartName="/xl/charts/colors9.xml" ContentType="application/vnd.ms-office.chartcolorstyle+xml"/>
  <Override PartName="/xl/charts/style14.xml" ContentType="application/vnd.ms-office.chartstyle+xml"/>
  <Override PartName="/xl/charts/style2.xml" ContentType="application/vnd.ms-office.chartstyle+xml"/>
  <Override PartName="/xl/worksheets/sheet3.xml" ContentType="application/vnd.openxmlformats-officedocument.spreadsheetml.worksheet+xml"/>
  <Override PartName="/xl/activeX/activeX1.xml" ContentType="application/vnd.ms-office.activeX+xml"/>
  <Override PartName="/xl/charts/colors20.xml" ContentType="application/vnd.ms-office.chartcolorstyle+xml"/>
  <Override PartName="/xl/tables/table9.xml" ContentType="application/vnd.openxmlformats-officedocument.spreadsheetml.table+xml"/>
  <Override PartName="/xl/activeX/activeX9.bin" ContentType="application/vnd.ms-office.activeX"/>
  <Override PartName="/xl/activeX/activeX11.xml" ContentType="application/vnd.ms-office.activeX+xml"/>
  <Override PartName="/xl/charts/chart16.xml" ContentType="application/vnd.openxmlformats-officedocument.drawingml.chart+xml"/>
  <Override PartName="/xl/charts/colors5.xml" ContentType="application/vnd.ms-office.chartcolorstyle+xml"/>
  <Override PartName="/xl/charts/style10.xml" ContentType="application/vnd.ms-office.chartstyle+xml"/>
  <Override PartName="/xl/sharedStrings.xml" ContentType="application/vnd.openxmlformats-officedocument.spreadsheetml.sharedStrings+xml"/>
  <Override PartName="/xl/tables/table5.xml" ContentType="application/vnd.openxmlformats-officedocument.spreadsheetml.table+xml"/>
  <Override PartName="/xl/activeX/activeX5.bin" ContentType="application/vnd.ms-office.activeX"/>
  <Override PartName="/xl/charts/chart9.xml" ContentType="application/vnd.openxmlformats-officedocument.drawingml.chart+xml"/>
  <Override PartName="/xl/charts/chart12.xml" ContentType="application/vnd.openxmlformats-officedocument.drawingml.chart+xml"/>
  <Override PartName="/xl/charts/colors1.xml" ContentType="application/vnd.ms-office.chartcolorstyle+xml"/>
  <Default Extension="bin" ContentType="application/vnd.openxmlformats-officedocument.spreadsheetml.printerSettings"/>
  <Default Extension="png" ContentType="image/png"/>
  <Override PartName="/xl/tables/table15.xml" ContentType="application/vnd.openxmlformats-officedocument.spreadsheetml.table+xml"/>
  <Override PartName="/xl/slicerCaches/slicerCache3.xml" ContentType="application/vnd.ms-excel.slicerCache+xml"/>
  <Override PartName="/xl/charts/chart5.xml" ContentType="application/vnd.openxmlformats-officedocument.drawingml.chart+xml"/>
  <Override PartName="/xl/tables/table1.xml" ContentType="application/vnd.openxmlformats-officedocument.spreadsheetml.table+xml"/>
  <Override PartName="/xl/tables/table13.xml" ContentType="application/vnd.openxmlformats-officedocument.spreadsheetml.table+xml"/>
  <Override PartName="/xl/activeX/activeX1.bin" ContentType="application/vnd.ms-office.activeX"/>
  <Override PartName="/xl/activeX/activeX8.xml" ContentType="application/vnd.ms-office.activeX+xml"/>
  <Override PartName="/xl/activeX/activeX13.bin" ContentType="application/vnd.ms-office.activeX"/>
  <Override PartName="/xl/slicerCaches/slicerCache1.xml" ContentType="application/vnd.ms-excel.slicerCache+xml"/>
  <Override PartName="/xl/charts/style7.xml" ContentType="application/vnd.ms-office.chartstyle+xml"/>
  <Override PartName="/xl/charts/colors18.xml" ContentType="application/vnd.ms-office.chartcolorstyle+xml"/>
  <Override PartName="/xl/charts/style19.xml" ContentType="application/vnd.ms-office.chartstyle+xml"/>
  <Override PartName="/xl/worksheets/sheet6.xml" ContentType="application/vnd.openxmlformats-officedocument.spreadsheetml.worksheet+xml"/>
  <Override PartName="/xl/worksheets/sheet8.xml" ContentType="application/vnd.openxmlformats-officedocument.spreadsheetml.worksheet+xml"/>
  <Override PartName="/xl/charts/chart3.xml" ContentType="application/vnd.openxmlformats-officedocument.drawingml.chart+xml"/>
  <Default Extension="jpeg" ContentType="image/jpeg"/>
  <Override PartName="/xl/tables/table11.xml" ContentType="application/vnd.openxmlformats-officedocument.spreadsheetml.table+xml"/>
  <Default Extension="emf" ContentType="image/x-emf"/>
  <Override PartName="/xl/pivotTables/pivotTable1.xml" ContentType="application/vnd.openxmlformats-officedocument.spreadsheetml.pivotTable+xml"/>
  <Override PartName="/xl/drawings/drawing5.xml" ContentType="application/vnd.openxmlformats-officedocument.drawing+xml"/>
  <Override PartName="/xl/activeX/activeX6.xml" ContentType="application/vnd.ms-office.activeX+xml"/>
  <Override PartName="/xl/activeX/activeX11.bin" ContentType="application/vnd.ms-office.activeX"/>
  <Override PartName="/xl/timelineCaches/timelineCache1.xml" ContentType="application/vnd.ms-excel.timelineCache+xml"/>
  <Override PartName="/xl/charts/style17.xml" ContentType="application/vnd.ms-office.chartstyle+xml"/>
  <Override PartName="/xl/charts/style5.xml" ContentType="application/vnd.ms-office.chartstyle+xml"/>
  <Override PartName="/xl/charts/colors16.xml" ContentType="application/vnd.ms-office.chartcolorstyle+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charts/chart1.xml" ContentType="application/vnd.openxmlformats-officedocument.drawingml.chart+xml"/>
  <Override PartName="/xl/drawings/drawing3.xml" ContentType="application/vnd.openxmlformats-officedocument.drawing+xml"/>
  <Override PartName="/xl/activeX/activeX2.xml" ContentType="application/vnd.ms-office.activeX+xml"/>
  <Override PartName="/xl/activeX/activeX4.xml" ContentType="application/vnd.ms-office.activeX+xml"/>
  <Override PartName="/xl/charts/colors8.xml" ContentType="application/vnd.ms-office.chartcolorstyle+xml"/>
  <Override PartName="/xl/charts/style3.xml" ContentType="application/vnd.ms-office.chartstyle+xml"/>
  <Override PartName="/xl/charts/style1.xml" ContentType="application/vnd.ms-office.chartstyle+xml"/>
  <Override PartName="/xl/charts/colors14.xml" ContentType="application/vnd.ms-office.chartcolorstyle+xml"/>
  <Override PartName="/xl/charts/style15.xml" ContentType="application/vnd.ms-office.chartstyle+xml"/>
  <Override PartName="/docProps/app.xml" ContentType="application/vnd.openxmlformats-officedocument.extended-properties+xml"/>
  <Override PartName="/xl/worksheets/sheet2.xml" ContentType="application/vnd.openxmlformats-officedocument.spreadsheetml.worksheet+xml"/>
  <Override PartName="/xl/drawings/drawing1.xml" ContentType="application/vnd.openxmlformats-officedocument.drawing+xml"/>
  <Override PartName="/xl/activeX/activeX14.xml" ContentType="application/vnd.ms-office.activeX+xml"/>
  <Override PartName="/xl/charts/chart19.xml" ContentType="application/vnd.openxmlformats-officedocument.drawingml.chart+xml"/>
  <Override PartName="/xl/charts/style13.xml" ContentType="application/vnd.ms-office.chartstyle+xml"/>
  <Override PartName="/xl/charts/colors12.xml" ContentType="application/vnd.ms-office.chartcolorstyle+xml"/>
  <Override PartName="/xl/charts/colors6.xml" ContentType="application/vnd.ms-office.chartcolorstyle+xml"/>
  <Override PartName="/xl/pivotCache/pivotCacheDefinition1.xml" ContentType="application/vnd.openxmlformats-officedocument.spreadsheetml.pivotCacheDefinition+xml"/>
  <Default Extension="vml" ContentType="application/vnd.openxmlformats-officedocument.vmlDrawing"/>
  <Override PartName="/xl/activeX/activeX12.xml" ContentType="application/vnd.ms-office.activeX+xml"/>
  <Override PartName="/xl/charts/chart17.xml" ContentType="application/vnd.openxmlformats-officedocument.drawingml.chart+xml"/>
  <Override PartName="/xl/calcChain.xml" ContentType="application/vnd.openxmlformats-officedocument.spreadsheetml.calcChain+xml"/>
  <Override PartName="/xl/timelines/timeline1.xml" ContentType="application/vnd.ms-excel.timeline+xml"/>
  <Override PartName="/xl/charts/colors4.xml" ContentType="application/vnd.ms-office.chartcolorstyle+xml"/>
  <Override PartName="/xl/charts/style20.xml" ContentType="application/vnd.ms-office.chartstyle+xml"/>
  <Override PartName="/xl/charts/colors10.xml" ContentType="application/vnd.ms-office.chartcolorstyle+xml"/>
  <Override PartName="/xl/charts/style11.xml" ContentType="application/vnd.ms-office.chartstyle+xml"/>
  <Override PartName="/xl/tables/table8.xml" ContentType="application/vnd.openxmlformats-officedocument.spreadsheetml.table+xml"/>
  <Override PartName="/xl/activeX/activeX8.bin" ContentType="application/vnd.ms-office.activeX"/>
  <Override PartName="/xl/activeX/activeX10.xml" ContentType="application/vnd.ms-office.activeX+xml"/>
  <Override PartName="/xl/charts/chart13.xml" ContentType="application/vnd.openxmlformats-officedocument.drawingml.chart+xml"/>
  <Override PartName="/xl/charts/chart15.xml" ContentType="application/vnd.openxmlformats-officedocument.drawingml.chart+xml"/>
  <Override PartName="/xl/charts/colors2.xml" ContentType="application/vnd.ms-office.chartcolorstyle+xml"/>
  <Override PartName="/xl/pivotCache/pivotCacheRecords1.xml" ContentType="application/vnd.openxmlformats-officedocument.spreadsheetml.pivotCacheRecords+xml"/>
  <Override PartName="/xl/tables/table6.xml" ContentType="application/vnd.openxmlformats-officedocument.spreadsheetml.table+xml"/>
  <Override PartName="/xl/activeX/activeX6.bin" ContentType="application/vnd.ms-office.activeX"/>
  <Override PartName="/xl/charts/chart8.xml" ContentType="application/vnd.openxmlformats-officedocument.drawingml.chart+xml"/>
  <Override PartName="/xl/charts/chart11.xml" ContentType="application/vnd.openxmlformats-officedocument.drawingml.chart+xml"/>
  <Override PartName="/xl/slicers/slicer1.xml" ContentType="application/vnd.ms-excel.slicer+xml"/>
  <Override PartName="/xl/ctrlProps/ctrlProp1.xml" ContentType="application/vnd.ms-excel.controlproperties+xml"/>
  <Override PartName="/docProps/core.xml" ContentType="application/vnd.openxmlformats-package.core-properties+xml"/>
  <Override PartName="/xl/charts/chart6.xml" ContentType="application/vnd.openxmlformats-officedocument.drawingml.chart+xml"/>
  <Override PartName="/xl/activeX/activeX2.bin" ContentType="application/vnd.ms-office.activeX"/>
  <Override PartName="/xl/charts/chart20.xml" ContentType="application/vnd.openxmlformats-officedocument.drawingml.chart+xml"/>
  <Override PartName="/xl/slicerCaches/slicerCache4.xml" ContentType="application/vnd.ms-excel.slicerCache+xml"/>
  <Override PartName="/xl/charts/style8.xml" ContentType="application/vnd.ms-office.chartstyle+xml"/>
  <Override PartName="/xl/charts/colors19.xml" ContentType="application/vnd.ms-office.chartcolorstyle+xml"/>
  <Override PartName="/xl/worksheets/sheet9.xml" ContentType="application/vnd.openxmlformats-officedocument.spreadsheetml.worksheet+xml"/>
  <Override PartName="/xl/theme/theme1.xml" ContentType="application/vnd.openxmlformats-officedocument.theme+xml"/>
  <Override PartName="/xl/tables/table2.xml" ContentType="application/vnd.openxmlformats-officedocument.spreadsheetml.table+xml"/>
  <Override PartName="/xl/activeX/activeX7.xml" ContentType="application/vnd.ms-office.activeX+xml"/>
  <Override PartName="/xl/worksheets/sheet11.xml" ContentType="application/vnd.openxmlformats-officedocument.spreadsheetml.worksheet+xml"/>
  <Override PartName="/xl/charts/chart2.xml" ContentType="application/vnd.openxmlformats-officedocument.drawingml.chart+xml"/>
  <Override PartName="/xl/tables/table12.xml" ContentType="application/vnd.openxmlformats-officedocument.spreadsheetml.table+xml"/>
  <Override PartName="/xl/drawings/drawing4.xml" ContentType="application/vnd.openxmlformats-officedocument.drawing+xml"/>
  <Override PartName="/xl/activeX/activeX12.bin" ContentType="application/vnd.ms-office.activeX"/>
  <Override PartName="/xl/charts/style4.xml" ContentType="application/vnd.ms-office.chartstyle+xml"/>
  <Override PartName="/xl/charts/style16.xml" ContentType="application/vnd.ms-office.chartstyle+xml"/>
  <Override PartName="/xl/charts/colors15.xml" ContentType="application/vnd.ms-office.chartcolorstyle+xml"/>
  <Default Extension="rels" ContentType="application/vnd.openxmlformats-package.relationships+xml"/>
  <Default Extension="wmf" ContentType="image/x-wmf"/>
  <Override PartName="/xl/worksheets/sheet5.xml" ContentType="application/vnd.openxmlformats-officedocument.spreadsheetml.worksheet+xml"/>
  <Override PartName="/xl/activeX/activeX3.xml" ContentType="application/vnd.ms-office.activeX+xml"/>
  <Override PartName="/xl/activeX/activeX13.xml" ContentType="application/vnd.ms-office.activeX+xml"/>
  <Override PartName="/xl/charts/chart18.xml" ContentType="application/vnd.openxmlformats-officedocument.drawingml.chart+xml"/>
  <Override PartName="/xl/charts/colors7.xml" ContentType="application/vnd.ms-office.chartcolorstyle+xml"/>
  <Override PartName="/xl/charts/style12.xml" ContentType="application/vnd.ms-office.chartstyle+xml"/>
  <Override PartName="/xl/charts/colors11.xml" ContentType="application/vnd.ms-office.chartcolorstyle+xml"/>
  <Override PartName="/xl/worksheets/sheet1.xml" ContentType="application/vnd.openxmlformats-officedocument.spreadsheetml.worksheet+xml"/>
  <Override PartName="/xl/tables/table7.xml" ContentType="application/vnd.openxmlformats-officedocument.spreadsheetml.table+xml"/>
  <Override PartName="/xl/activeX/activeX7.bin" ContentType="application/vnd.ms-office.activeX"/>
  <Override PartName="/xl/charts/chart14.xml" ContentType="application/vnd.openxmlformats-officedocument.drawingml.chart+xml"/>
  <Override PartName="/xl/charts/colors3.xml" ContentType="application/vnd.ms-office.chartcolorstyle+xml"/>
  <Override PartName="/xl/tables/table3.xml" ContentType="application/vnd.openxmlformats-officedocument.spreadsheetml.table+xml"/>
  <Override PartName="/xl/activeX/activeX3.bin" ContentType="application/vnd.ms-office.activeX"/>
  <Override PartName="/xl/charts/chart7.xml" ContentType="application/vnd.openxmlformats-officedocument.drawingml.chart+xml"/>
  <Override PartName="/xl/charts/chart10.xml" ContentType="application/vnd.openxmlformats-officedocument.drawingml.chart+xml"/>
  <Override PartName="/xl/charts/style9.xml" ContentType="application/vnd.ms-office.chartstyle+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6" rupBuild="4506" codeName="{B7FE6334-C1A2-E50D-BD3D-5F4D41BBC2E3}"/>
  <workbookPr codeName="ThisWorkbook" hidePivotFieldList="1"/>
  <bookViews>
    <workbookView xWindow="0" yWindow="0" windowWidth="11520" windowHeight="7245" tabRatio="827" firstSheet="1" activeTab="10"/>
  </bookViews>
  <sheets>
    <sheet name="StartUp Screen" sheetId="14" r:id="rId1"/>
    <sheet name="Main" sheetId="2" r:id="rId2"/>
    <sheet name="List Boxs" sheetId="3" r:id="rId3"/>
    <sheet name="Form Details" sheetId="4" r:id="rId4"/>
    <sheet name="Payment Details" sheetId="5" r:id="rId5"/>
    <sheet name="Day Book" sheetId="6" r:id="rId6"/>
    <sheet name="Deleted Data" sheetId="8" r:id="rId7"/>
    <sheet name="Adv. Filter" sheetId="7" r:id="rId8"/>
    <sheet name="Data Entry" sheetId="13" r:id="rId9"/>
    <sheet name="Print" sheetId="9" r:id="rId10"/>
    <sheet name="Balance Sheet" sheetId="11" r:id="rId11"/>
  </sheets>
  <definedNames>
    <definedName name="_xlnm._FilterDatabase" localSheetId="7" hidden="1">'Adv. Filter'!$BZ$1:$CI$1</definedName>
    <definedName name="_xlnm._FilterDatabase" localSheetId="8" hidden="1">'Data Entry'!$A$4:$AA$4</definedName>
    <definedName name="_xlnm._FilterDatabase" localSheetId="5" hidden="1">'Day Book'!$A$1:$J$262</definedName>
    <definedName name="_xlnm._FilterDatabase" localSheetId="3" hidden="1">'Form Details'!$A$1:$W$1575</definedName>
    <definedName name="_xlnm._FilterDatabase" localSheetId="1" hidden="1">Main!#REF!</definedName>
    <definedName name="_xlnm._FilterDatabase" localSheetId="4" hidden="1">'Payment Details'!$A$1:$R$697</definedName>
    <definedName name="_xlnm._FilterDatabase" localSheetId="9" hidden="1">Print!$A$20:$AB$20</definedName>
    <definedName name="ABankBranchs">BankBranchs[BankBranchs]</definedName>
    <definedName name="AInspected">Inspected[Inspected]</definedName>
    <definedName name="AMediator">Mediator[Mediator]</definedName>
    <definedName name="AOperator">Operator[Operator]</definedName>
    <definedName name="BBankBranchs">ABankBranchs</definedName>
    <definedName name="BInspected">AInspected</definedName>
    <definedName name="BMediator">AMediator</definedName>
    <definedName name="BOperator">AOperator</definedName>
    <definedName name="_xlnm.Criteria" localSheetId="7">'Adv. Filter'!$A$7:$F$8</definedName>
    <definedName name="D">OFFSET(Print!$B$16,0,0,COUNT(Print!$B:$B)+6,13)</definedName>
    <definedName name="DataEntry">OFFSET('Data Entry'!$A$4,1,0,COUNT('Data Entry'!$A$4:$A$2000),30)</definedName>
    <definedName name="DayBook">OFFSET('Day Book'!$A$1,0,0,COUNTA('Day Book'!$B:$B),10)</definedName>
    <definedName name="DayBookLBRawSource">OFFSET('Adv. Filter'!$AQ$1,1,0,COUNTA('Adv. Filter'!$AQ:$AQ)-1,10)</definedName>
    <definedName name="_xlnm.Extract" localSheetId="7">'Adv. Filter'!$AQ$1:$AZ$1</definedName>
    <definedName name="fDetails">OFFSET('Form Details'!$A$1,0,0,COUNTA('Form Details'!$A:$A),28)</definedName>
    <definedName name="fDetailsAdv">OFFSET('Form Details'!$A$1,0,0,COUNTA('Form Details'!$A:$A),23)</definedName>
    <definedName name="fDetailsLBRawSource">OFFSET('Adv. Filter'!$Q$1,1,0,COUNTA('Adv. Filter'!$Q:$Q)-1,23)</definedName>
    <definedName name="NativeTimeline_Rec._Date">#N/A</definedName>
    <definedName name="pDetails">OFFSET('Payment Details'!$A$1,0,0,COUNTA('Payment Details'!$A:$A),18)</definedName>
    <definedName name="_xlnm.Print_Titles" localSheetId="9">Print!$16:$20</definedName>
    <definedName name="Slicer_Colours">#N/A</definedName>
    <definedName name="Slicer_Executive">#N/A</definedName>
    <definedName name="Slicer_Pay._Status">#N/A</definedName>
    <definedName name="Slicer_Signature">#N/A</definedName>
  </definedNames>
  <calcPr calcId="125725"/>
  <pivotCaches>
    <pivotCache cacheId="2" r:id="rId12"/>
  </pivotCaches>
  <extLst xmlns:x15="http://schemas.microsoft.com/office/spreadsheetml/2010/11/main">
    <ext xmlns:x14="http://schemas.microsoft.com/office/spreadsheetml/2009/9/main" uri="{BBE1A952-AA13-448e-AADC-164F8A28A991}">
      <x14:slicerCaches>
        <x14:slicerCache r:id="rId13"/>
        <x14:slicerCache r:id="rId14"/>
        <x14:slicerCache r:id="rId15"/>
        <x14:slicerCache r:id="rId16"/>
      </x14:slicerCaches>
    </ext>
    <ext xmlns:x14="http://schemas.microsoft.com/office/spreadsheetml/2009/9/main" uri="{79F54976-1DA5-4618-B147-4CDE4B953A38}">
      <x14:workbookPr/>
    </ext>
    <ext uri="{D0CA8CA8-9F24-4464-BF8E-62219DCF47F9}">
      <x15:timelineCacheRefs>
        <x15:timelineCacheRef r:id="rId17"/>
      </x15:timelineCacheRefs>
    </ext>
    <ext uri="{140A7094-0E35-4892-8432-C4D2E57EDEB5}">
      <x15:workbookPr chartTrackingRefBase="1"/>
    </ext>
  </extLst>
</workbook>
</file>

<file path=xl/calcChain.xml><?xml version="1.0" encoding="utf-8"?>
<calcChain xmlns="http://schemas.openxmlformats.org/spreadsheetml/2006/main">
  <c r="DH760" i="11"/>
  <c r="CO1158" s="1"/>
  <c r="DH759"/>
  <c r="CN1158" s="1"/>
  <c r="DH758"/>
  <c r="CM1158" s="1"/>
  <c r="AA5" i="13" l="1"/>
  <c r="AA8"/>
  <c r="AA6"/>
  <c r="AA19"/>
  <c r="DH609" i="11" l="1"/>
  <c r="CO1157" s="1"/>
  <c r="DH608"/>
  <c r="CN1157" s="1"/>
  <c r="DH607"/>
  <c r="CM1157" s="1"/>
  <c r="DG147"/>
  <c r="CM1154" s="1"/>
  <c r="DG148"/>
  <c r="CN1154" s="1"/>
  <c r="DG149"/>
  <c r="CO1154" s="1"/>
  <c r="DH909"/>
  <c r="CO1159" s="1"/>
  <c r="DH908"/>
  <c r="CN1159" s="1"/>
  <c r="DH907"/>
  <c r="CM1159" s="1"/>
  <c r="DH458"/>
  <c r="CN1156" s="1"/>
  <c r="DH459"/>
  <c r="CO1156" s="1"/>
  <c r="DH309"/>
  <c r="CO1155" s="1"/>
  <c r="DH308"/>
  <c r="CN1155" s="1"/>
  <c r="DH457"/>
  <c r="CM1156" s="1"/>
  <c r="DH307"/>
  <c r="CM1155" s="1"/>
  <c r="C17" i="2" l="1"/>
  <c r="BX982" i="11" l="1"/>
  <c r="BN982"/>
  <c r="AD982"/>
  <c r="T982"/>
  <c r="AD981"/>
  <c r="T981"/>
  <c r="AD980"/>
  <c r="T980"/>
  <c r="AD979"/>
  <c r="T979"/>
  <c r="CJ974"/>
  <c r="AD974"/>
  <c r="T974"/>
  <c r="CJ973"/>
  <c r="AN973"/>
  <c r="CJ970"/>
  <c r="AD970"/>
  <c r="T970"/>
  <c r="CJ969"/>
  <c r="AN969"/>
  <c r="CJ966"/>
  <c r="AD966"/>
  <c r="T966"/>
  <c r="CJ965"/>
  <c r="AN965"/>
  <c r="CJ962"/>
  <c r="AD962"/>
  <c r="T962"/>
  <c r="CJ961"/>
  <c r="AN961"/>
  <c r="CJ958"/>
  <c r="AD958"/>
  <c r="T958"/>
  <c r="CJ957"/>
  <c r="AN957"/>
  <c r="CJ954"/>
  <c r="AD954"/>
  <c r="T954"/>
  <c r="CJ953"/>
  <c r="AN953"/>
  <c r="CJ950"/>
  <c r="AD950"/>
  <c r="T950"/>
  <c r="CJ949"/>
  <c r="AN949"/>
  <c r="CJ946"/>
  <c r="AD946"/>
  <c r="T946"/>
  <c r="CJ945"/>
  <c r="AN945"/>
  <c r="CJ942"/>
  <c r="AN942"/>
  <c r="CJ939"/>
  <c r="AD939"/>
  <c r="T939"/>
  <c r="CJ938"/>
  <c r="AN938"/>
  <c r="CJ935"/>
  <c r="AD935"/>
  <c r="T935"/>
  <c r="CJ934"/>
  <c r="AN934"/>
  <c r="CJ931"/>
  <c r="AD931"/>
  <c r="T931"/>
  <c r="CJ930"/>
  <c r="AN930"/>
  <c r="CJ927"/>
  <c r="AD927"/>
  <c r="T927"/>
  <c r="CJ926"/>
  <c r="AN926"/>
  <c r="CJ923"/>
  <c r="AD923"/>
  <c r="T923"/>
  <c r="CJ922"/>
  <c r="AN922"/>
  <c r="CJ919"/>
  <c r="AD919"/>
  <c r="T919"/>
  <c r="CJ918"/>
  <c r="AN918"/>
  <c r="CJ915"/>
  <c r="AD915"/>
  <c r="T915"/>
  <c r="CJ914"/>
  <c r="AN914"/>
  <c r="CJ911"/>
  <c r="AD911"/>
  <c r="T911"/>
  <c r="CJ910"/>
  <c r="AN910"/>
  <c r="BX832"/>
  <c r="CC65" s="1"/>
  <c r="BN832"/>
  <c r="AD832"/>
  <c r="T832"/>
  <c r="AD831"/>
  <c r="T831"/>
  <c r="AD830"/>
  <c r="T830"/>
  <c r="AD829"/>
  <c r="T829"/>
  <c r="CJ824"/>
  <c r="AD824"/>
  <c r="T824"/>
  <c r="CJ823"/>
  <c r="AN823"/>
  <c r="CJ820"/>
  <c r="AD820"/>
  <c r="T820"/>
  <c r="CJ819"/>
  <c r="AN819"/>
  <c r="CJ816"/>
  <c r="AD816"/>
  <c r="T816"/>
  <c r="CJ815"/>
  <c r="AN815"/>
  <c r="CJ812"/>
  <c r="AD812"/>
  <c r="T812"/>
  <c r="CJ811"/>
  <c r="AN811"/>
  <c r="CJ808"/>
  <c r="AD808"/>
  <c r="T808"/>
  <c r="CJ807"/>
  <c r="AN807"/>
  <c r="CJ804"/>
  <c r="AD804"/>
  <c r="T804"/>
  <c r="CJ803"/>
  <c r="AN803"/>
  <c r="CJ800"/>
  <c r="AD800"/>
  <c r="T800"/>
  <c r="CJ799"/>
  <c r="AN799"/>
  <c r="CJ796"/>
  <c r="AD796"/>
  <c r="T796"/>
  <c r="CJ795"/>
  <c r="AN795"/>
  <c r="CJ792"/>
  <c r="AN792"/>
  <c r="CJ789"/>
  <c r="AD789"/>
  <c r="T789"/>
  <c r="CJ788"/>
  <c r="AN788"/>
  <c r="CJ785"/>
  <c r="AD785"/>
  <c r="T785"/>
  <c r="CJ784"/>
  <c r="AN784"/>
  <c r="CJ781"/>
  <c r="AD781"/>
  <c r="T781"/>
  <c r="CJ780"/>
  <c r="AN780"/>
  <c r="CJ777"/>
  <c r="AD777"/>
  <c r="T777"/>
  <c r="CJ776"/>
  <c r="AN776"/>
  <c r="CJ773"/>
  <c r="AD773"/>
  <c r="T773"/>
  <c r="CJ772"/>
  <c r="AN772"/>
  <c r="CJ769"/>
  <c r="AD769"/>
  <c r="T769"/>
  <c r="CJ768"/>
  <c r="AN768"/>
  <c r="CJ765"/>
  <c r="AD765"/>
  <c r="T765"/>
  <c r="CJ764"/>
  <c r="AN764"/>
  <c r="CJ761"/>
  <c r="AD761"/>
  <c r="T761"/>
  <c r="CJ760"/>
  <c r="AN760"/>
  <c r="BX682"/>
  <c r="BN682"/>
  <c r="AD682"/>
  <c r="T682"/>
  <c r="AD681"/>
  <c r="T681"/>
  <c r="AD680"/>
  <c r="T680"/>
  <c r="AD679"/>
  <c r="T679"/>
  <c r="CJ674"/>
  <c r="AD674"/>
  <c r="T674"/>
  <c r="CJ673"/>
  <c r="AN673"/>
  <c r="CJ670"/>
  <c r="AD670"/>
  <c r="T670"/>
  <c r="CJ669"/>
  <c r="AN669"/>
  <c r="CJ666"/>
  <c r="AD666"/>
  <c r="T666"/>
  <c r="CJ665"/>
  <c r="AN665"/>
  <c r="CJ662"/>
  <c r="AD662"/>
  <c r="T662"/>
  <c r="CJ661"/>
  <c r="AN661"/>
  <c r="CJ658"/>
  <c r="AD658"/>
  <c r="T658"/>
  <c r="CJ657"/>
  <c r="AN657"/>
  <c r="CJ654"/>
  <c r="AD654"/>
  <c r="T654"/>
  <c r="CJ653"/>
  <c r="AN653"/>
  <c r="CJ650"/>
  <c r="AD650"/>
  <c r="T650"/>
  <c r="CJ649"/>
  <c r="AN649"/>
  <c r="CJ646"/>
  <c r="AD646"/>
  <c r="T646"/>
  <c r="CJ645"/>
  <c r="AN645"/>
  <c r="CJ642"/>
  <c r="AN642"/>
  <c r="CJ639"/>
  <c r="AD639"/>
  <c r="T639"/>
  <c r="CJ638"/>
  <c r="AN638"/>
  <c r="CJ635"/>
  <c r="AD635"/>
  <c r="T635"/>
  <c r="CJ634"/>
  <c r="AN634"/>
  <c r="CJ631"/>
  <c r="AD631"/>
  <c r="T631"/>
  <c r="CJ630"/>
  <c r="AN630"/>
  <c r="CJ627"/>
  <c r="AD627"/>
  <c r="T627"/>
  <c r="CJ626"/>
  <c r="AN626"/>
  <c r="CJ623"/>
  <c r="AD623"/>
  <c r="T623"/>
  <c r="CJ622"/>
  <c r="AN622"/>
  <c r="CJ619"/>
  <c r="AD619"/>
  <c r="T619"/>
  <c r="CJ618"/>
  <c r="AN618"/>
  <c r="CJ615"/>
  <c r="AD615"/>
  <c r="T615"/>
  <c r="CJ614"/>
  <c r="AN614"/>
  <c r="CJ611"/>
  <c r="AD611"/>
  <c r="T611"/>
  <c r="CJ610"/>
  <c r="AN610"/>
  <c r="BX532"/>
  <c r="BN532"/>
  <c r="AD532"/>
  <c r="T532"/>
  <c r="AD531"/>
  <c r="T531"/>
  <c r="AD530"/>
  <c r="T530"/>
  <c r="AD529"/>
  <c r="T529"/>
  <c r="CJ524"/>
  <c r="AD524"/>
  <c r="T524"/>
  <c r="CJ523"/>
  <c r="AN523"/>
  <c r="CJ520"/>
  <c r="AD520"/>
  <c r="T520"/>
  <c r="CJ519"/>
  <c r="AN519"/>
  <c r="CJ516"/>
  <c r="AD516"/>
  <c r="T516"/>
  <c r="CJ515"/>
  <c r="AN515"/>
  <c r="CJ512"/>
  <c r="AD512"/>
  <c r="T512"/>
  <c r="CJ511"/>
  <c r="AN511"/>
  <c r="CJ508"/>
  <c r="AD508"/>
  <c r="T508"/>
  <c r="CJ507"/>
  <c r="AN507"/>
  <c r="CJ504"/>
  <c r="AD504"/>
  <c r="T504"/>
  <c r="CJ503"/>
  <c r="AN503"/>
  <c r="CJ500"/>
  <c r="AD500"/>
  <c r="T500"/>
  <c r="CJ499"/>
  <c r="AN499"/>
  <c r="CJ496"/>
  <c r="AD496"/>
  <c r="T496"/>
  <c r="CJ495"/>
  <c r="AN495"/>
  <c r="CJ492"/>
  <c r="AN492"/>
  <c r="CJ489"/>
  <c r="AD489"/>
  <c r="T489"/>
  <c r="CJ488"/>
  <c r="AN488"/>
  <c r="CJ485"/>
  <c r="AD485"/>
  <c r="T485"/>
  <c r="CJ484"/>
  <c r="AN484"/>
  <c r="CJ481"/>
  <c r="AD481"/>
  <c r="T481"/>
  <c r="CJ480"/>
  <c r="AN480"/>
  <c r="CJ477"/>
  <c r="AD477"/>
  <c r="T477"/>
  <c r="CJ476"/>
  <c r="AN476"/>
  <c r="CJ473"/>
  <c r="AD473"/>
  <c r="T473"/>
  <c r="CJ472"/>
  <c r="AN472"/>
  <c r="CJ469"/>
  <c r="AD469"/>
  <c r="T469"/>
  <c r="CJ468"/>
  <c r="AN468"/>
  <c r="CJ465"/>
  <c r="AD465"/>
  <c r="T465"/>
  <c r="CJ464"/>
  <c r="AN464"/>
  <c r="CJ461"/>
  <c r="AD461"/>
  <c r="T461"/>
  <c r="CJ460"/>
  <c r="AN460"/>
  <c r="BX382"/>
  <c r="BN382"/>
  <c r="AD382"/>
  <c r="T382"/>
  <c r="AD381"/>
  <c r="T381"/>
  <c r="AD380"/>
  <c r="T380"/>
  <c r="AD379"/>
  <c r="T379"/>
  <c r="CJ374"/>
  <c r="AD374"/>
  <c r="T374"/>
  <c r="CJ373"/>
  <c r="AN373"/>
  <c r="CJ370"/>
  <c r="AD370"/>
  <c r="T370"/>
  <c r="CJ369"/>
  <c r="AN369"/>
  <c r="CJ366"/>
  <c r="AD366"/>
  <c r="T366"/>
  <c r="CJ365"/>
  <c r="AN365"/>
  <c r="CJ362"/>
  <c r="AD362"/>
  <c r="T362"/>
  <c r="CJ361"/>
  <c r="AN361"/>
  <c r="CJ358"/>
  <c r="AD358"/>
  <c r="T358"/>
  <c r="CJ357"/>
  <c r="AN357"/>
  <c r="CJ354"/>
  <c r="AD354"/>
  <c r="T354"/>
  <c r="CJ353"/>
  <c r="AN353"/>
  <c r="CJ350"/>
  <c r="AD350"/>
  <c r="T350"/>
  <c r="CJ349"/>
  <c r="AN349"/>
  <c r="CJ346"/>
  <c r="AD346"/>
  <c r="T346"/>
  <c r="CJ345"/>
  <c r="AN345"/>
  <c r="CJ342"/>
  <c r="AN342"/>
  <c r="CJ339"/>
  <c r="AD339"/>
  <c r="T339"/>
  <c r="CJ338"/>
  <c r="AN338"/>
  <c r="CJ335"/>
  <c r="AD335"/>
  <c r="T335"/>
  <c r="CJ334"/>
  <c r="AN334"/>
  <c r="CJ331"/>
  <c r="AD331"/>
  <c r="T331"/>
  <c r="CJ330"/>
  <c r="AN330"/>
  <c r="CJ327"/>
  <c r="AD327"/>
  <c r="T327"/>
  <c r="CJ326"/>
  <c r="AN326"/>
  <c r="CJ323"/>
  <c r="AD323"/>
  <c r="T323"/>
  <c r="CJ322"/>
  <c r="AN322"/>
  <c r="CJ319"/>
  <c r="AD319"/>
  <c r="T319"/>
  <c r="CJ318"/>
  <c r="AN318"/>
  <c r="CJ315"/>
  <c r="AD315"/>
  <c r="T315"/>
  <c r="CJ314"/>
  <c r="AN314"/>
  <c r="CJ311"/>
  <c r="AD311"/>
  <c r="T311"/>
  <c r="CJ310"/>
  <c r="AN310"/>
  <c r="BX222"/>
  <c r="CC25" s="1"/>
  <c r="BN222"/>
  <c r="AD222"/>
  <c r="T222"/>
  <c r="AD221"/>
  <c r="T221"/>
  <c r="AD220"/>
  <c r="T220"/>
  <c r="AD219"/>
  <c r="T219"/>
  <c r="CJ214"/>
  <c r="AD214"/>
  <c r="T214"/>
  <c r="CJ213"/>
  <c r="AN213"/>
  <c r="CJ210"/>
  <c r="AD210"/>
  <c r="T210"/>
  <c r="CJ209"/>
  <c r="AN209"/>
  <c r="CJ206"/>
  <c r="AD206"/>
  <c r="T206"/>
  <c r="CJ205"/>
  <c r="AN205"/>
  <c r="CJ202"/>
  <c r="AD202"/>
  <c r="T202"/>
  <c r="CJ201"/>
  <c r="AN201"/>
  <c r="CJ198"/>
  <c r="AD198"/>
  <c r="T198"/>
  <c r="CJ197"/>
  <c r="AN197"/>
  <c r="CJ194"/>
  <c r="AD194"/>
  <c r="T194"/>
  <c r="CJ193"/>
  <c r="AN193"/>
  <c r="CJ190"/>
  <c r="AD190"/>
  <c r="T190"/>
  <c r="CJ189"/>
  <c r="AN189"/>
  <c r="CJ186"/>
  <c r="AD186"/>
  <c r="T186"/>
  <c r="CJ185"/>
  <c r="AN185"/>
  <c r="CJ182"/>
  <c r="AN182"/>
  <c r="CJ179"/>
  <c r="AD179"/>
  <c r="T179"/>
  <c r="CJ178"/>
  <c r="AN178"/>
  <c r="CJ175"/>
  <c r="AD175"/>
  <c r="T175"/>
  <c r="CJ174"/>
  <c r="AN174"/>
  <c r="CJ171"/>
  <c r="AD171"/>
  <c r="T171"/>
  <c r="CJ170"/>
  <c r="AN170"/>
  <c r="CJ167"/>
  <c r="AD167"/>
  <c r="T167"/>
  <c r="CJ166"/>
  <c r="AN166"/>
  <c r="CJ163"/>
  <c r="AD163"/>
  <c r="T163"/>
  <c r="CJ162"/>
  <c r="AN162"/>
  <c r="CJ159"/>
  <c r="AD159"/>
  <c r="T159"/>
  <c r="CJ158"/>
  <c r="AN158"/>
  <c r="CJ155"/>
  <c r="AD155"/>
  <c r="T155"/>
  <c r="CJ154"/>
  <c r="AN154"/>
  <c r="CJ151"/>
  <c r="AD151"/>
  <c r="T151"/>
  <c r="CJ150"/>
  <c r="AN150"/>
  <c r="CC77"/>
  <c r="BS77"/>
  <c r="CC74"/>
  <c r="BS74"/>
  <c r="CM70"/>
  <c r="CM69"/>
  <c r="AE66"/>
  <c r="AE68" s="1"/>
  <c r="U66"/>
  <c r="U68" s="1"/>
  <c r="BS65"/>
  <c r="AE62"/>
  <c r="U62"/>
  <c r="AE61"/>
  <c r="U61"/>
  <c r="AE60"/>
  <c r="U60"/>
  <c r="AE59"/>
  <c r="U59"/>
  <c r="AE58"/>
  <c r="U58"/>
  <c r="AE57"/>
  <c r="U57"/>
  <c r="CC56"/>
  <c r="BS56"/>
  <c r="AE56"/>
  <c r="U56"/>
  <c r="AE55"/>
  <c r="U55"/>
  <c r="AE54"/>
  <c r="U54"/>
  <c r="AE53"/>
  <c r="U53"/>
  <c r="AE52"/>
  <c r="U52"/>
  <c r="AE51"/>
  <c r="U51"/>
  <c r="AE50"/>
  <c r="U50"/>
  <c r="AE49"/>
  <c r="U49"/>
  <c r="AE48"/>
  <c r="U48"/>
  <c r="CC46"/>
  <c r="AE44"/>
  <c r="U44"/>
  <c r="AE43"/>
  <c r="U43"/>
  <c r="AE42"/>
  <c r="U42"/>
  <c r="AE41"/>
  <c r="U41"/>
  <c r="AE40"/>
  <c r="U40"/>
  <c r="AE39"/>
  <c r="U39"/>
  <c r="AE38"/>
  <c r="U38"/>
  <c r="AE37"/>
  <c r="U37"/>
  <c r="AE36"/>
  <c r="U36"/>
  <c r="CC35"/>
  <c r="BS35"/>
  <c r="AE35"/>
  <c r="U35"/>
  <c r="AE34"/>
  <c r="U34"/>
  <c r="AE33"/>
  <c r="U33"/>
  <c r="CM32"/>
  <c r="AE32"/>
  <c r="U32"/>
  <c r="AE31"/>
  <c r="U31"/>
  <c r="AE30"/>
  <c r="U30"/>
  <c r="AE25"/>
  <c r="AE27" s="1"/>
  <c r="U25"/>
  <c r="U27" s="1"/>
  <c r="AE20"/>
  <c r="U20"/>
  <c r="AE19"/>
  <c r="U19"/>
  <c r="AN374" l="1"/>
  <c r="AN151"/>
  <c r="AN194"/>
  <c r="AN210"/>
  <c r="T223"/>
  <c r="CH222"/>
  <c r="AN327"/>
  <c r="AN354"/>
  <c r="AN473"/>
  <c r="AN489"/>
  <c r="AN623"/>
  <c r="AN639"/>
  <c r="AN773"/>
  <c r="AN789"/>
  <c r="AN923"/>
  <c r="AN939"/>
  <c r="AN163"/>
  <c r="AN323"/>
  <c r="AN350"/>
  <c r="AN366"/>
  <c r="AN382"/>
  <c r="AN469"/>
  <c r="AN496"/>
  <c r="AN512"/>
  <c r="AN646"/>
  <c r="AN662"/>
  <c r="AN785"/>
  <c r="AN946"/>
  <c r="AN962"/>
  <c r="AO50"/>
  <c r="AO52"/>
  <c r="AO54"/>
  <c r="AO56"/>
  <c r="AO57"/>
  <c r="AO59"/>
  <c r="AO61"/>
  <c r="AN155"/>
  <c r="AN171"/>
  <c r="AN198"/>
  <c r="AN214"/>
  <c r="AN531"/>
  <c r="CH532"/>
  <c r="AN611"/>
  <c r="AN681"/>
  <c r="CH682"/>
  <c r="AN829"/>
  <c r="AN831"/>
  <c r="CH832"/>
  <c r="AN911"/>
  <c r="AN981"/>
  <c r="CH982"/>
  <c r="AO20"/>
  <c r="AN179"/>
  <c r="AO32"/>
  <c r="AO35"/>
  <c r="AO62"/>
  <c r="AN159"/>
  <c r="AN175"/>
  <c r="AO49"/>
  <c r="AO53"/>
  <c r="AN339"/>
  <c r="AN830"/>
  <c r="AN919"/>
  <c r="AN935"/>
  <c r="BS25"/>
  <c r="CM25" s="1"/>
  <c r="AE45"/>
  <c r="AN485"/>
  <c r="AN619"/>
  <c r="AN635"/>
  <c r="AO36"/>
  <c r="AO38"/>
  <c r="AO40"/>
  <c r="AO42"/>
  <c r="AO44"/>
  <c r="AN167"/>
  <c r="AN331"/>
  <c r="AN335"/>
  <c r="AN477"/>
  <c r="AN481"/>
  <c r="AN508"/>
  <c r="AN520"/>
  <c r="AN529"/>
  <c r="AN627"/>
  <c r="AN631"/>
  <c r="AN658"/>
  <c r="AD683"/>
  <c r="AN808"/>
  <c r="AN820"/>
  <c r="AN824"/>
  <c r="AD833"/>
  <c r="AN915"/>
  <c r="AN927"/>
  <c r="AN931"/>
  <c r="AN958"/>
  <c r="AD983"/>
  <c r="AO30"/>
  <c r="U63"/>
  <c r="AN380"/>
  <c r="AN974"/>
  <c r="AN979"/>
  <c r="AO27"/>
  <c r="DI29" s="1"/>
  <c r="AO31"/>
  <c r="AO34"/>
  <c r="CM35"/>
  <c r="AO37"/>
  <c r="AO39"/>
  <c r="AO41"/>
  <c r="AO43"/>
  <c r="BS46"/>
  <c r="CM46" s="1"/>
  <c r="AE63"/>
  <c r="CM65"/>
  <c r="AO66"/>
  <c r="CM74"/>
  <c r="AN186"/>
  <c r="AN202"/>
  <c r="AN219"/>
  <c r="AN221"/>
  <c r="AN358"/>
  <c r="AN370"/>
  <c r="T383"/>
  <c r="AN381"/>
  <c r="CH382"/>
  <c r="AN461"/>
  <c r="AN500"/>
  <c r="AN530"/>
  <c r="AN615"/>
  <c r="AN650"/>
  <c r="AN666"/>
  <c r="AN680"/>
  <c r="AN761"/>
  <c r="AN777"/>
  <c r="AN800"/>
  <c r="AN816"/>
  <c r="AN832"/>
  <c r="AN980"/>
  <c r="AD223"/>
  <c r="AN223" s="1"/>
  <c r="AN524"/>
  <c r="AN674"/>
  <c r="AN679"/>
  <c r="AE22"/>
  <c r="U45"/>
  <c r="AO33"/>
  <c r="AO51"/>
  <c r="AO55"/>
  <c r="CM56"/>
  <c r="AO58"/>
  <c r="AO60"/>
  <c r="AN190"/>
  <c r="AN206"/>
  <c r="AN220"/>
  <c r="AN222"/>
  <c r="AN319"/>
  <c r="AN346"/>
  <c r="AN362"/>
  <c r="AD383"/>
  <c r="AN465"/>
  <c r="AN504"/>
  <c r="AD533"/>
  <c r="AN532"/>
  <c r="AN654"/>
  <c r="AN670"/>
  <c r="T683"/>
  <c r="AN683" s="1"/>
  <c r="AN682"/>
  <c r="AN765"/>
  <c r="AN781"/>
  <c r="AN804"/>
  <c r="AN982"/>
  <c r="AO68"/>
  <c r="DI30" s="1"/>
  <c r="AO25"/>
  <c r="U22"/>
  <c r="AO48"/>
  <c r="AO19"/>
  <c r="CM77"/>
  <c r="AN311"/>
  <c r="AN315"/>
  <c r="AN379"/>
  <c r="T533"/>
  <c r="AN516"/>
  <c r="AN769"/>
  <c r="AN796"/>
  <c r="AN812"/>
  <c r="T833"/>
  <c r="AN954"/>
  <c r="AN970"/>
  <c r="AN950"/>
  <c r="AN966"/>
  <c r="T983"/>
  <c r="B20" i="13"/>
  <c r="AE79" i="11" l="1"/>
  <c r="AN983"/>
  <c r="AO45"/>
  <c r="AN833"/>
  <c r="AN533"/>
  <c r="AO22"/>
  <c r="DI28" s="1"/>
  <c r="AO63"/>
  <c r="AN383"/>
  <c r="U79"/>
  <c r="AO79" s="1"/>
  <c r="B16" i="13"/>
  <c r="AA15" l="1"/>
  <c r="B21" l="1"/>
  <c r="B22"/>
  <c r="B23"/>
  <c r="B24"/>
  <c r="B25"/>
  <c r="B26"/>
  <c r="B27"/>
  <c r="B28"/>
  <c r="B29"/>
  <c r="B30"/>
  <c r="B31"/>
  <c r="B32"/>
  <c r="B33"/>
  <c r="B34"/>
  <c r="B35"/>
  <c r="B36"/>
  <c r="B37"/>
  <c r="B38"/>
  <c r="B39"/>
  <c r="B40"/>
  <c r="B41"/>
  <c r="B42"/>
  <c r="B43"/>
  <c r="B44"/>
  <c r="B45"/>
  <c r="B46"/>
  <c r="B47"/>
  <c r="B48"/>
  <c r="B49"/>
  <c r="B50"/>
  <c r="B51"/>
  <c r="B52"/>
  <c r="B53"/>
  <c r="B54"/>
  <c r="B55"/>
  <c r="B56"/>
  <c r="B57"/>
  <c r="B58"/>
  <c r="B59"/>
  <c r="B60"/>
  <c r="B61"/>
  <c r="B62"/>
  <c r="B63"/>
  <c r="B64"/>
  <c r="B65"/>
  <c r="B66"/>
  <c r="B67"/>
  <c r="B68"/>
  <c r="B69"/>
  <c r="B70"/>
  <c r="B71"/>
  <c r="B72"/>
  <c r="B73"/>
  <c r="B74"/>
  <c r="B75"/>
  <c r="B76"/>
  <c r="B77"/>
  <c r="B78"/>
  <c r="B79"/>
  <c r="B80"/>
  <c r="B81"/>
  <c r="B82"/>
  <c r="B83"/>
  <c r="B84"/>
  <c r="B85"/>
  <c r="B86"/>
  <c r="B87"/>
  <c r="B88"/>
  <c r="B89"/>
  <c r="B90"/>
  <c r="B91"/>
  <c r="B92"/>
  <c r="B93"/>
  <c r="B94"/>
  <c r="B95"/>
  <c r="B96"/>
  <c r="B97"/>
  <c r="B98"/>
  <c r="B99"/>
  <c r="B100"/>
  <c r="B101"/>
  <c r="B102"/>
  <c r="B103"/>
  <c r="B104"/>
  <c r="B105"/>
  <c r="B106"/>
  <c r="B107"/>
  <c r="B108"/>
  <c r="B109"/>
  <c r="B110"/>
  <c r="B111"/>
  <c r="B112"/>
  <c r="B113"/>
  <c r="B114"/>
  <c r="B115"/>
  <c r="B116"/>
  <c r="B117"/>
  <c r="B118"/>
  <c r="B119"/>
  <c r="B120"/>
  <c r="B121"/>
  <c r="B122"/>
  <c r="B123"/>
  <c r="B124"/>
  <c r="B125"/>
  <c r="B126"/>
  <c r="B127"/>
  <c r="B128"/>
  <c r="B129"/>
  <c r="B130"/>
  <c r="B131"/>
  <c r="B132"/>
  <c r="B133"/>
  <c r="B134"/>
  <c r="B135"/>
  <c r="B136"/>
  <c r="B137"/>
  <c r="B138"/>
  <c r="B139"/>
  <c r="B140"/>
  <c r="B141"/>
  <c r="B142"/>
  <c r="B143"/>
  <c r="B144"/>
  <c r="B145"/>
  <c r="B146"/>
  <c r="B147"/>
  <c r="B148"/>
  <c r="B149"/>
  <c r="B150"/>
  <c r="B151"/>
  <c r="B152"/>
  <c r="B153"/>
  <c r="B154"/>
  <c r="B155"/>
  <c r="B156"/>
  <c r="B157"/>
  <c r="B158"/>
  <c r="B159"/>
  <c r="B160"/>
  <c r="B161"/>
  <c r="B162"/>
  <c r="B163"/>
  <c r="B164"/>
  <c r="B165"/>
  <c r="B166"/>
  <c r="B167"/>
  <c r="B168"/>
  <c r="B169"/>
  <c r="B170"/>
  <c r="B171"/>
  <c r="B172"/>
  <c r="B173"/>
  <c r="B174"/>
  <c r="B175"/>
  <c r="B176"/>
  <c r="B177"/>
  <c r="B178"/>
  <c r="B179"/>
  <c r="B180"/>
  <c r="B181"/>
  <c r="B182"/>
  <c r="B183"/>
  <c r="B184"/>
  <c r="B185"/>
  <c r="B186"/>
  <c r="B187"/>
  <c r="B188"/>
  <c r="B189"/>
  <c r="B190"/>
  <c r="B191"/>
  <c r="B192"/>
  <c r="B193"/>
  <c r="B194"/>
  <c r="B195"/>
  <c r="B196"/>
  <c r="B197"/>
  <c r="B198"/>
  <c r="B199"/>
  <c r="B200"/>
  <c r="B201"/>
  <c r="B202"/>
  <c r="B203"/>
  <c r="B204"/>
  <c r="B205"/>
  <c r="B206"/>
  <c r="B207"/>
  <c r="B208"/>
  <c r="B209"/>
  <c r="B210"/>
  <c r="B211"/>
  <c r="B212"/>
  <c r="B213"/>
  <c r="B214"/>
  <c r="B215"/>
  <c r="B216"/>
  <c r="B217"/>
  <c r="B218"/>
  <c r="B219"/>
  <c r="B220"/>
  <c r="B221"/>
  <c r="B222"/>
  <c r="B223"/>
  <c r="B224"/>
  <c r="B225"/>
  <c r="B226"/>
  <c r="B227"/>
  <c r="B228"/>
  <c r="B229"/>
  <c r="B230"/>
  <c r="B231"/>
  <c r="B232"/>
  <c r="B233"/>
  <c r="B234"/>
  <c r="B235"/>
  <c r="B236"/>
  <c r="B237"/>
  <c r="B238"/>
  <c r="B239"/>
  <c r="B240"/>
  <c r="B241"/>
  <c r="B242"/>
  <c r="B243"/>
  <c r="B244"/>
  <c r="B245"/>
  <c r="B246"/>
  <c r="B247"/>
  <c r="B248"/>
  <c r="B249"/>
  <c r="B250"/>
  <c r="B251"/>
  <c r="B252"/>
  <c r="B253"/>
  <c r="B254"/>
  <c r="B255"/>
  <c r="B256"/>
  <c r="B257"/>
  <c r="B258"/>
  <c r="B259"/>
  <c r="B260"/>
  <c r="B261"/>
  <c r="B262"/>
  <c r="B263"/>
  <c r="B264"/>
  <c r="B265"/>
  <c r="B266"/>
  <c r="B267"/>
  <c r="B268"/>
  <c r="B269"/>
  <c r="B270"/>
  <c r="B271"/>
  <c r="B272"/>
  <c r="B273"/>
  <c r="B274"/>
  <c r="B275"/>
  <c r="B276"/>
  <c r="B277"/>
  <c r="B278"/>
  <c r="B279"/>
  <c r="B280"/>
  <c r="B281"/>
  <c r="B282"/>
  <c r="B283"/>
  <c r="B284"/>
  <c r="B285"/>
  <c r="B286"/>
  <c r="B287"/>
  <c r="B288"/>
  <c r="B289"/>
  <c r="B290"/>
  <c r="B291"/>
  <c r="B292"/>
  <c r="B293"/>
  <c r="B294"/>
  <c r="B295"/>
  <c r="B296"/>
  <c r="B297"/>
  <c r="B298"/>
  <c r="B299"/>
  <c r="B300"/>
  <c r="B301"/>
  <c r="B302"/>
  <c r="B303"/>
  <c r="B304"/>
  <c r="B305"/>
  <c r="B306"/>
  <c r="B307"/>
  <c r="B308"/>
  <c r="B309"/>
  <c r="B310"/>
  <c r="B311"/>
  <c r="B312"/>
  <c r="B313"/>
  <c r="B314"/>
  <c r="B315"/>
  <c r="B316"/>
  <c r="B317"/>
  <c r="B318"/>
  <c r="B319"/>
  <c r="B320"/>
  <c r="B321"/>
  <c r="B322"/>
  <c r="B323"/>
  <c r="B324"/>
  <c r="B325"/>
  <c r="B326"/>
  <c r="B327"/>
  <c r="B328"/>
  <c r="B329"/>
  <c r="B330"/>
  <c r="B331"/>
  <c r="B332"/>
  <c r="B333"/>
  <c r="B334"/>
  <c r="B335"/>
  <c r="B336"/>
  <c r="B337"/>
  <c r="B338"/>
  <c r="B339"/>
  <c r="B340"/>
  <c r="B341"/>
  <c r="B342"/>
  <c r="B343"/>
  <c r="B344"/>
  <c r="B345"/>
  <c r="B346"/>
  <c r="B347"/>
  <c r="B348"/>
  <c r="B349"/>
  <c r="B350"/>
  <c r="B351"/>
  <c r="B352"/>
  <c r="B353"/>
  <c r="B354"/>
  <c r="B355"/>
  <c r="B356"/>
  <c r="B357"/>
  <c r="B358"/>
  <c r="B359"/>
  <c r="B360"/>
  <c r="B361"/>
  <c r="B362"/>
  <c r="B363"/>
  <c r="B364"/>
  <c r="B365"/>
  <c r="B366"/>
  <c r="B367"/>
  <c r="B368"/>
  <c r="B369"/>
  <c r="B370"/>
  <c r="B371"/>
  <c r="B372"/>
  <c r="B373"/>
  <c r="B374"/>
  <c r="B375"/>
  <c r="B376"/>
  <c r="B377"/>
  <c r="B378"/>
  <c r="B379"/>
  <c r="B380"/>
  <c r="B381"/>
  <c r="B382"/>
  <c r="B383"/>
  <c r="B384"/>
  <c r="B385"/>
  <c r="B386"/>
  <c r="B387"/>
  <c r="B388"/>
  <c r="B389"/>
  <c r="B390"/>
  <c r="B391"/>
  <c r="B392"/>
  <c r="B393"/>
  <c r="B394"/>
  <c r="B395"/>
  <c r="B396"/>
  <c r="B397"/>
  <c r="B398"/>
  <c r="B399"/>
  <c r="B400"/>
  <c r="B401"/>
  <c r="B402"/>
  <c r="B403"/>
  <c r="B404"/>
  <c r="B405"/>
  <c r="B406"/>
  <c r="B407"/>
  <c r="B408"/>
  <c r="B409"/>
  <c r="B410"/>
  <c r="B411"/>
  <c r="B412"/>
  <c r="B413"/>
  <c r="B414"/>
  <c r="B415"/>
  <c r="B416"/>
  <c r="B417"/>
  <c r="B418"/>
  <c r="B419"/>
  <c r="B420"/>
  <c r="B421"/>
  <c r="B422"/>
  <c r="B423"/>
  <c r="B424"/>
  <c r="B425"/>
  <c r="B426"/>
  <c r="B427"/>
  <c r="B428"/>
  <c r="B429"/>
  <c r="B430"/>
  <c r="B431"/>
  <c r="B432"/>
  <c r="B433"/>
  <c r="B434"/>
  <c r="B435"/>
  <c r="B436"/>
  <c r="B437"/>
  <c r="B438"/>
  <c r="B439"/>
  <c r="B440"/>
  <c r="B441"/>
  <c r="B442"/>
  <c r="B443"/>
  <c r="B444"/>
  <c r="B445"/>
  <c r="B446"/>
  <c r="B447"/>
  <c r="B448"/>
  <c r="B449"/>
  <c r="B450"/>
  <c r="B451"/>
  <c r="B452"/>
  <c r="B453"/>
  <c r="B454"/>
  <c r="B455"/>
  <c r="B456"/>
  <c r="B457"/>
  <c r="B458"/>
  <c r="B459"/>
  <c r="B460"/>
  <c r="B461"/>
  <c r="B462"/>
  <c r="B463"/>
  <c r="B464"/>
  <c r="B465"/>
  <c r="B466"/>
  <c r="B467"/>
  <c r="B468"/>
  <c r="B469"/>
  <c r="B470"/>
  <c r="B471"/>
  <c r="B472"/>
  <c r="B473"/>
  <c r="B474"/>
  <c r="B475"/>
  <c r="B476"/>
  <c r="B477"/>
  <c r="B478"/>
  <c r="B479"/>
  <c r="B480"/>
  <c r="B481"/>
  <c r="B482"/>
  <c r="B483"/>
  <c r="B484"/>
  <c r="B485"/>
  <c r="B486"/>
  <c r="B487"/>
  <c r="B488"/>
  <c r="B489"/>
  <c r="B490"/>
  <c r="B491"/>
  <c r="B492"/>
  <c r="B493"/>
  <c r="B494"/>
  <c r="B495"/>
  <c r="B496"/>
  <c r="B497"/>
  <c r="B498"/>
  <c r="B499"/>
  <c r="B500"/>
  <c r="B501"/>
  <c r="B502"/>
  <c r="B503"/>
  <c r="B504"/>
  <c r="B505"/>
  <c r="B506"/>
  <c r="B507"/>
  <c r="B508"/>
  <c r="B509"/>
  <c r="B510"/>
  <c r="B511"/>
  <c r="B512"/>
  <c r="B513"/>
  <c r="B514"/>
  <c r="B515"/>
  <c r="B516"/>
  <c r="B517"/>
  <c r="B518"/>
  <c r="B519"/>
  <c r="B520"/>
  <c r="B521"/>
  <c r="B522"/>
  <c r="B523"/>
  <c r="B524"/>
  <c r="B525"/>
  <c r="B526"/>
  <c r="B527"/>
  <c r="B528"/>
  <c r="B529"/>
  <c r="B530"/>
  <c r="B531"/>
  <c r="B532"/>
  <c r="B533"/>
  <c r="B534"/>
  <c r="B535"/>
  <c r="B536"/>
  <c r="B537"/>
  <c r="B538"/>
  <c r="B539"/>
  <c r="B540"/>
  <c r="B541"/>
  <c r="B542"/>
  <c r="B543"/>
  <c r="B544"/>
  <c r="B545"/>
  <c r="B546"/>
  <c r="B547"/>
  <c r="B548"/>
  <c r="B549"/>
  <c r="B550"/>
  <c r="B551"/>
  <c r="B552"/>
  <c r="B553"/>
  <c r="B554"/>
  <c r="B555"/>
  <c r="B556"/>
  <c r="B557"/>
  <c r="B558"/>
  <c r="B559"/>
  <c r="B560"/>
  <c r="B561"/>
  <c r="B562"/>
  <c r="B563"/>
  <c r="B564"/>
  <c r="B565"/>
  <c r="B566"/>
  <c r="B567"/>
  <c r="B568"/>
  <c r="B569"/>
  <c r="B570"/>
  <c r="B571"/>
  <c r="B572"/>
  <c r="B573"/>
  <c r="B574"/>
  <c r="B575"/>
  <c r="B576"/>
  <c r="B577"/>
  <c r="B578"/>
  <c r="B579"/>
  <c r="B580"/>
  <c r="B581"/>
  <c r="B582"/>
  <c r="B583"/>
  <c r="B584"/>
  <c r="B585"/>
  <c r="B586"/>
  <c r="B587"/>
  <c r="B588"/>
  <c r="B589"/>
  <c r="B590"/>
  <c r="B591"/>
  <c r="B592"/>
  <c r="B593"/>
  <c r="B594"/>
  <c r="B595"/>
  <c r="B596"/>
  <c r="B597"/>
  <c r="B598"/>
  <c r="B599"/>
  <c r="B600"/>
  <c r="B601"/>
  <c r="B602"/>
  <c r="B603"/>
  <c r="B604"/>
  <c r="B605"/>
  <c r="B606"/>
  <c r="B607"/>
  <c r="B608"/>
  <c r="B609"/>
  <c r="B610"/>
  <c r="B611"/>
  <c r="B612"/>
  <c r="B613"/>
  <c r="B614"/>
  <c r="B615"/>
  <c r="B616"/>
  <c r="B617"/>
  <c r="B618"/>
  <c r="B619"/>
  <c r="B620"/>
  <c r="B621"/>
  <c r="B622"/>
  <c r="B623"/>
  <c r="B624"/>
  <c r="B625"/>
  <c r="B626"/>
  <c r="B627"/>
  <c r="B628"/>
  <c r="B629"/>
  <c r="B630"/>
  <c r="B631"/>
  <c r="B632"/>
  <c r="B633"/>
  <c r="B634"/>
  <c r="B635"/>
  <c r="B636"/>
  <c r="B637"/>
  <c r="B638"/>
  <c r="B639"/>
  <c r="B640"/>
  <c r="B641"/>
  <c r="B642"/>
  <c r="B643"/>
  <c r="B644"/>
  <c r="B645"/>
  <c r="B646"/>
  <c r="B647"/>
  <c r="B648"/>
  <c r="B649"/>
  <c r="B650"/>
  <c r="B651"/>
  <c r="B652"/>
  <c r="B653"/>
  <c r="B654"/>
  <c r="B655"/>
  <c r="B656"/>
  <c r="B657"/>
  <c r="B658"/>
  <c r="B659"/>
  <c r="B660"/>
  <c r="B661"/>
  <c r="B662"/>
  <c r="B663"/>
  <c r="B664"/>
  <c r="B665"/>
  <c r="B666"/>
  <c r="B667"/>
  <c r="B668"/>
  <c r="B669"/>
  <c r="B670"/>
  <c r="B671"/>
  <c r="B672"/>
  <c r="B673"/>
  <c r="B674"/>
  <c r="B675"/>
  <c r="B676"/>
  <c r="B677"/>
  <c r="B678"/>
  <c r="B679"/>
  <c r="B680"/>
  <c r="B681"/>
  <c r="B682"/>
  <c r="B683"/>
  <c r="B684"/>
  <c r="B685"/>
  <c r="B686"/>
  <c r="B687"/>
  <c r="B688"/>
  <c r="B689"/>
  <c r="B690"/>
  <c r="B691"/>
  <c r="B692"/>
  <c r="B693"/>
  <c r="B694"/>
  <c r="B695"/>
  <c r="B696"/>
  <c r="B697"/>
  <c r="B698"/>
  <c r="B699"/>
  <c r="B700"/>
  <c r="B701"/>
  <c r="B702"/>
  <c r="B703"/>
  <c r="B704"/>
  <c r="B705"/>
  <c r="B706"/>
  <c r="B707"/>
  <c r="B708"/>
  <c r="B709"/>
  <c r="B710"/>
  <c r="B711"/>
  <c r="B712"/>
  <c r="B713"/>
  <c r="B714"/>
  <c r="B715"/>
  <c r="B716"/>
  <c r="B717"/>
  <c r="B718"/>
  <c r="B719"/>
  <c r="B720"/>
  <c r="B721"/>
  <c r="B722"/>
  <c r="B723"/>
  <c r="B724"/>
  <c r="B725"/>
  <c r="B726"/>
  <c r="B727"/>
  <c r="B728"/>
  <c r="B729"/>
  <c r="B730"/>
  <c r="B731"/>
  <c r="B732"/>
  <c r="B733"/>
  <c r="B734"/>
  <c r="B735"/>
  <c r="B736"/>
  <c r="B737"/>
  <c r="B738"/>
  <c r="B739"/>
  <c r="B740"/>
  <c r="B741"/>
  <c r="B742"/>
  <c r="B743"/>
  <c r="B744"/>
  <c r="B745"/>
  <c r="B746"/>
  <c r="B747"/>
  <c r="B748"/>
  <c r="B749"/>
  <c r="B750"/>
  <c r="B751"/>
  <c r="B752"/>
  <c r="B753"/>
  <c r="B754"/>
  <c r="B755"/>
  <c r="B756"/>
  <c r="B757"/>
  <c r="B758"/>
  <c r="B759"/>
  <c r="B760"/>
  <c r="B761"/>
  <c r="B762"/>
  <c r="B763"/>
  <c r="B764"/>
  <c r="B765"/>
  <c r="B766"/>
  <c r="B767"/>
  <c r="B768"/>
  <c r="B769"/>
  <c r="B770"/>
  <c r="B771"/>
  <c r="B772"/>
  <c r="B773"/>
  <c r="B774"/>
  <c r="B775"/>
  <c r="B776"/>
  <c r="B777"/>
  <c r="B778"/>
  <c r="B779"/>
  <c r="B780"/>
  <c r="B781"/>
  <c r="B782"/>
  <c r="B783"/>
  <c r="B784"/>
  <c r="B785"/>
  <c r="B786"/>
  <c r="B787"/>
  <c r="B788"/>
  <c r="B789"/>
  <c r="B790"/>
  <c r="B791"/>
  <c r="B792"/>
  <c r="B793"/>
  <c r="B794"/>
  <c r="B795"/>
  <c r="B796"/>
  <c r="B797"/>
  <c r="B798"/>
  <c r="B799"/>
  <c r="B800"/>
  <c r="B801"/>
  <c r="B802"/>
  <c r="B803"/>
  <c r="B804"/>
  <c r="B805"/>
  <c r="B806"/>
  <c r="B807"/>
  <c r="B808"/>
  <c r="B809"/>
  <c r="B810"/>
  <c r="B811"/>
  <c r="B812"/>
  <c r="B813"/>
  <c r="B814"/>
  <c r="B815"/>
  <c r="B816"/>
  <c r="B817"/>
  <c r="B818"/>
  <c r="B819"/>
  <c r="B820"/>
  <c r="B821"/>
  <c r="B822"/>
  <c r="B823"/>
  <c r="B824"/>
  <c r="B825"/>
  <c r="B826"/>
  <c r="B827"/>
  <c r="B828"/>
  <c r="B829"/>
  <c r="B830"/>
  <c r="B831"/>
  <c r="B832"/>
  <c r="B833"/>
  <c r="B834"/>
  <c r="B835"/>
  <c r="B836"/>
  <c r="B837"/>
  <c r="B838"/>
  <c r="B839"/>
  <c r="B840"/>
  <c r="B841"/>
  <c r="B842"/>
  <c r="B843"/>
  <c r="B844"/>
  <c r="B845"/>
  <c r="B846"/>
  <c r="B847"/>
  <c r="B848"/>
  <c r="B849"/>
  <c r="B850"/>
  <c r="B851"/>
  <c r="B852"/>
  <c r="B853"/>
  <c r="B854"/>
  <c r="B855"/>
  <c r="B856"/>
  <c r="B857"/>
  <c r="B858"/>
  <c r="B859"/>
  <c r="B860"/>
  <c r="B861"/>
  <c r="B862"/>
  <c r="B863"/>
  <c r="B864"/>
  <c r="B865"/>
  <c r="B866"/>
  <c r="B867"/>
  <c r="B868"/>
  <c r="B869"/>
  <c r="B870"/>
  <c r="B871"/>
  <c r="B872"/>
  <c r="B873"/>
  <c r="B874"/>
  <c r="B875"/>
  <c r="B876"/>
  <c r="B877"/>
  <c r="B878"/>
  <c r="B879"/>
  <c r="B880"/>
  <c r="B881"/>
  <c r="B882"/>
  <c r="B883"/>
  <c r="B884"/>
  <c r="B885"/>
  <c r="B886"/>
  <c r="B887"/>
  <c r="B888"/>
  <c r="B889"/>
  <c r="B890"/>
  <c r="B891"/>
  <c r="B892"/>
  <c r="B893"/>
  <c r="B894"/>
  <c r="B895"/>
  <c r="B896"/>
  <c r="B897"/>
  <c r="B898"/>
  <c r="B899"/>
  <c r="B900"/>
  <c r="B901"/>
  <c r="B902"/>
  <c r="B903"/>
  <c r="B904"/>
  <c r="B905"/>
  <c r="B906"/>
  <c r="B907"/>
  <c r="B908"/>
  <c r="B909"/>
  <c r="B910"/>
  <c r="B911"/>
  <c r="B912"/>
  <c r="B913"/>
  <c r="B914"/>
  <c r="B915"/>
  <c r="B916"/>
  <c r="B917"/>
  <c r="B918"/>
  <c r="B919"/>
  <c r="B920"/>
  <c r="B921"/>
  <c r="B922"/>
  <c r="B923"/>
  <c r="B924"/>
  <c r="B925"/>
  <c r="B926"/>
  <c r="B927"/>
  <c r="B928"/>
  <c r="B929"/>
  <c r="B930"/>
  <c r="B931"/>
  <c r="B932"/>
  <c r="B933"/>
  <c r="B934"/>
  <c r="B935"/>
  <c r="B936"/>
  <c r="B937"/>
  <c r="B938"/>
  <c r="B939"/>
  <c r="B940"/>
  <c r="B941"/>
  <c r="B942"/>
  <c r="B943"/>
  <c r="B944"/>
  <c r="B945"/>
  <c r="B946"/>
  <c r="B947"/>
  <c r="B948"/>
  <c r="B949"/>
  <c r="B950"/>
  <c r="B951"/>
  <c r="B952"/>
  <c r="B953"/>
  <c r="B954"/>
  <c r="B955"/>
  <c r="B956"/>
  <c r="B957"/>
  <c r="B958"/>
  <c r="B959"/>
  <c r="B960"/>
  <c r="B961"/>
  <c r="B962"/>
  <c r="B963"/>
  <c r="B964"/>
  <c r="B965"/>
  <c r="B966"/>
  <c r="B967"/>
  <c r="B968"/>
  <c r="B969"/>
  <c r="B970"/>
  <c r="B971"/>
  <c r="B972"/>
  <c r="B973"/>
  <c r="B974"/>
  <c r="B975"/>
  <c r="B976"/>
  <c r="B977"/>
  <c r="B978"/>
  <c r="B979"/>
  <c r="B980"/>
  <c r="B981"/>
  <c r="B982"/>
  <c r="B983"/>
  <c r="B984"/>
  <c r="B985"/>
  <c r="B986"/>
  <c r="B987"/>
  <c r="B988"/>
  <c r="B989"/>
  <c r="B990"/>
  <c r="B991"/>
  <c r="B992"/>
  <c r="B993"/>
  <c r="B994"/>
  <c r="B995"/>
  <c r="B996"/>
  <c r="B997"/>
  <c r="B998"/>
  <c r="B999"/>
  <c r="B1000"/>
  <c r="B1001"/>
  <c r="B1002"/>
  <c r="B1003"/>
  <c r="B1004"/>
  <c r="B1005"/>
  <c r="B1006"/>
  <c r="B1007"/>
  <c r="B1008"/>
  <c r="B1009"/>
  <c r="B1010"/>
  <c r="B1011"/>
  <c r="B1012"/>
  <c r="B1013"/>
  <c r="B1014"/>
  <c r="B1015"/>
  <c r="B1016"/>
  <c r="B1017"/>
  <c r="B1018"/>
  <c r="B1019"/>
  <c r="B1020"/>
  <c r="B1021"/>
  <c r="B1022"/>
  <c r="B1023"/>
  <c r="B1024"/>
  <c r="B1025"/>
  <c r="B1026"/>
  <c r="B1027"/>
  <c r="B1028"/>
  <c r="B1029"/>
  <c r="B1030"/>
  <c r="B1031"/>
  <c r="B1032"/>
  <c r="B1033"/>
  <c r="B1034"/>
  <c r="B1035"/>
  <c r="B1036"/>
  <c r="B1037"/>
  <c r="B1038"/>
  <c r="B1039"/>
  <c r="B1040"/>
  <c r="B1041"/>
  <c r="B1042"/>
  <c r="B1043"/>
  <c r="B1044"/>
  <c r="B1045"/>
  <c r="B1046"/>
  <c r="B1047"/>
  <c r="B1048"/>
  <c r="B1049"/>
  <c r="B1050"/>
  <c r="B1051"/>
  <c r="B1052"/>
  <c r="B1053"/>
  <c r="B1054"/>
  <c r="B1055"/>
  <c r="B1056"/>
  <c r="B1057"/>
  <c r="B1058"/>
  <c r="B1059"/>
  <c r="B1060"/>
  <c r="B1061"/>
  <c r="B1062"/>
  <c r="B1063"/>
  <c r="B1064"/>
  <c r="B1065"/>
  <c r="B1066"/>
  <c r="B1067"/>
  <c r="B1068"/>
  <c r="B1069"/>
  <c r="B1070"/>
  <c r="B1071"/>
  <c r="B1072"/>
  <c r="B1073"/>
  <c r="B1074"/>
  <c r="B1075"/>
  <c r="B1076"/>
  <c r="B1077"/>
  <c r="B1078"/>
  <c r="B1079"/>
  <c r="B1080"/>
  <c r="B1081"/>
  <c r="B1082"/>
  <c r="B1083"/>
  <c r="B1084"/>
  <c r="B1085"/>
  <c r="B1086"/>
  <c r="B1087"/>
  <c r="B1088"/>
  <c r="B1089"/>
  <c r="B1090"/>
  <c r="B1091"/>
  <c r="B1092"/>
  <c r="B1093"/>
  <c r="B1094"/>
  <c r="B1095"/>
  <c r="B1096"/>
  <c r="B1097"/>
  <c r="B1098"/>
  <c r="B1099"/>
  <c r="B1100"/>
  <c r="B1101"/>
  <c r="B1102"/>
  <c r="B1103"/>
  <c r="B1104"/>
  <c r="B1105"/>
  <c r="B1106"/>
  <c r="B1107"/>
  <c r="B1108"/>
  <c r="B1109"/>
  <c r="B1110"/>
  <c r="B1111"/>
  <c r="B1112"/>
  <c r="B1113"/>
  <c r="B1114"/>
  <c r="B1115"/>
  <c r="B1116"/>
  <c r="B1117"/>
  <c r="B1118"/>
  <c r="B1119"/>
  <c r="B1120"/>
  <c r="B1121"/>
  <c r="B1122"/>
  <c r="B1123"/>
  <c r="B1124"/>
  <c r="B1125"/>
  <c r="B1126"/>
  <c r="B1127"/>
  <c r="B1128"/>
  <c r="B1129"/>
  <c r="B1130"/>
  <c r="B1131"/>
  <c r="B1132"/>
  <c r="B1133"/>
  <c r="B1134"/>
  <c r="B1135"/>
  <c r="B1136"/>
  <c r="B1137"/>
  <c r="B1138"/>
  <c r="B1139"/>
  <c r="B1140"/>
  <c r="B1141"/>
  <c r="B1142"/>
  <c r="B1143"/>
  <c r="B1144"/>
  <c r="B1145"/>
  <c r="B1146"/>
  <c r="B1147"/>
  <c r="B1148"/>
  <c r="B1149"/>
  <c r="B1150"/>
  <c r="B1151"/>
  <c r="B1152"/>
  <c r="B1153"/>
  <c r="B1154"/>
  <c r="B1155"/>
  <c r="B1156"/>
  <c r="B1157"/>
  <c r="B1158"/>
  <c r="B1159"/>
  <c r="B1160"/>
  <c r="B1161"/>
  <c r="B1162"/>
  <c r="B1163"/>
  <c r="B1164"/>
  <c r="B1165"/>
  <c r="B1166"/>
  <c r="B1167"/>
  <c r="B1168"/>
  <c r="B1169"/>
  <c r="B1170"/>
  <c r="B1171"/>
  <c r="B1172"/>
  <c r="B1173"/>
  <c r="B1174"/>
  <c r="B1175"/>
  <c r="B1176"/>
  <c r="B1177"/>
  <c r="B1178"/>
  <c r="B1179"/>
  <c r="B1180"/>
  <c r="B1181"/>
  <c r="B1182"/>
  <c r="B1183"/>
  <c r="B1184"/>
  <c r="B1185"/>
  <c r="B1186"/>
  <c r="B1187"/>
  <c r="B1188"/>
  <c r="B1189"/>
  <c r="B1190"/>
  <c r="B1191"/>
  <c r="B1192"/>
  <c r="B1193"/>
  <c r="B1194"/>
  <c r="B1195"/>
  <c r="B1196"/>
  <c r="B1197"/>
  <c r="B1198"/>
  <c r="B1199"/>
  <c r="B1200"/>
  <c r="B1201"/>
  <c r="B1202"/>
  <c r="B1203"/>
  <c r="B1204"/>
  <c r="B1205"/>
  <c r="B1206"/>
  <c r="B1207"/>
  <c r="B1208"/>
  <c r="B1209"/>
  <c r="B1210"/>
  <c r="B1211"/>
  <c r="B1212"/>
  <c r="B1213"/>
  <c r="B1214"/>
  <c r="B1215"/>
  <c r="B1216"/>
  <c r="B1217"/>
  <c r="B1218"/>
  <c r="B1219"/>
  <c r="B1220"/>
  <c r="B1221"/>
  <c r="B1222"/>
  <c r="B1223"/>
  <c r="B1224"/>
  <c r="B1225"/>
  <c r="B1226"/>
  <c r="B1227"/>
  <c r="B1228"/>
  <c r="B1229"/>
  <c r="B1230"/>
  <c r="B1231"/>
  <c r="B1232"/>
  <c r="B1233"/>
  <c r="B1234"/>
  <c r="B1235"/>
  <c r="B1236"/>
  <c r="B1237"/>
  <c r="B1238"/>
  <c r="B1239"/>
  <c r="B1240"/>
  <c r="B1241"/>
  <c r="B1242"/>
  <c r="B1243"/>
  <c r="B1244"/>
  <c r="B1245"/>
  <c r="B1246"/>
  <c r="B1247"/>
  <c r="B1248"/>
  <c r="B1249"/>
  <c r="B1250"/>
  <c r="B1251"/>
  <c r="B1252"/>
  <c r="B1253"/>
  <c r="B1254"/>
  <c r="B1255"/>
  <c r="B1256"/>
  <c r="B1257"/>
  <c r="B1258"/>
  <c r="B1259"/>
  <c r="B1260"/>
  <c r="B1261"/>
  <c r="B1262"/>
  <c r="B1263"/>
  <c r="B1264"/>
  <c r="B1265"/>
  <c r="B1266"/>
  <c r="B1267"/>
  <c r="B1268"/>
  <c r="B1269"/>
  <c r="B1270"/>
  <c r="B1271"/>
  <c r="B1272"/>
  <c r="B1273"/>
  <c r="B1274"/>
  <c r="B1275"/>
  <c r="B1276"/>
  <c r="B1277"/>
  <c r="B1278"/>
  <c r="B1279"/>
  <c r="B1280"/>
  <c r="B1281"/>
  <c r="B1282"/>
  <c r="B1283"/>
  <c r="B1284"/>
  <c r="B1285"/>
  <c r="B1286"/>
  <c r="B1287"/>
  <c r="B1288"/>
  <c r="B1289"/>
  <c r="B1290"/>
  <c r="B1291"/>
  <c r="B1292"/>
  <c r="B1293"/>
  <c r="B1294"/>
  <c r="B1295"/>
  <c r="B1296"/>
  <c r="B1297"/>
  <c r="B1298"/>
  <c r="B1299"/>
  <c r="B1300"/>
  <c r="B1301"/>
  <c r="B1302"/>
  <c r="B1303"/>
  <c r="B1304"/>
  <c r="B1305"/>
  <c r="B1306"/>
  <c r="B1307"/>
  <c r="B1308"/>
  <c r="B1309"/>
  <c r="B1310"/>
  <c r="B1311"/>
  <c r="B1312"/>
  <c r="B1313"/>
  <c r="B1314"/>
  <c r="B1315"/>
  <c r="B1316"/>
  <c r="B1317"/>
  <c r="B1318"/>
  <c r="B1319"/>
  <c r="B1320"/>
  <c r="B1321"/>
  <c r="B1322"/>
  <c r="B1323"/>
  <c r="B1324"/>
  <c r="B1325"/>
  <c r="B1326"/>
  <c r="B1327"/>
  <c r="B1328"/>
  <c r="B1329"/>
  <c r="B1330"/>
  <c r="B1331"/>
  <c r="B1332"/>
  <c r="B1333"/>
  <c r="B1334"/>
  <c r="B1335"/>
  <c r="B1336"/>
  <c r="B1337"/>
  <c r="B1338"/>
  <c r="B1339"/>
  <c r="B1340"/>
  <c r="B1341"/>
  <c r="B1342"/>
  <c r="B1343"/>
  <c r="B1344"/>
  <c r="B1345"/>
  <c r="B1346"/>
  <c r="B1347"/>
  <c r="B1348"/>
  <c r="B1349"/>
  <c r="B1350"/>
  <c r="B1351"/>
  <c r="B1352"/>
  <c r="B1353"/>
  <c r="B1354"/>
  <c r="B1355"/>
  <c r="B1356"/>
  <c r="B1357"/>
  <c r="B1358"/>
  <c r="B1359"/>
  <c r="B1360"/>
  <c r="B1361"/>
  <c r="B1362"/>
  <c r="B1363"/>
  <c r="B1364"/>
  <c r="B1365"/>
  <c r="B1366"/>
  <c r="B1367"/>
  <c r="B1368"/>
  <c r="B1369"/>
  <c r="B1370"/>
  <c r="B1371"/>
  <c r="B1372"/>
  <c r="B1373"/>
  <c r="B1374"/>
  <c r="B1375"/>
  <c r="B1376"/>
  <c r="B1377"/>
  <c r="B1378"/>
  <c r="B1379"/>
  <c r="B1380"/>
  <c r="B1381"/>
  <c r="B1382"/>
  <c r="B1383"/>
  <c r="B1384"/>
  <c r="B1385"/>
  <c r="B1386"/>
  <c r="B1387"/>
  <c r="B1388"/>
  <c r="B1389"/>
  <c r="B1390"/>
  <c r="B1391"/>
  <c r="B1392"/>
  <c r="B1393"/>
  <c r="B1394"/>
  <c r="B1395"/>
  <c r="B1396"/>
  <c r="B1397"/>
  <c r="B1398"/>
  <c r="B1399"/>
  <c r="B1400"/>
  <c r="B1401"/>
  <c r="B1402"/>
  <c r="B1403"/>
  <c r="B1404"/>
  <c r="B1405"/>
  <c r="B1406"/>
  <c r="B1407"/>
  <c r="B1408"/>
  <c r="B1409"/>
  <c r="B1410"/>
  <c r="B1411"/>
  <c r="B1412"/>
  <c r="B1413"/>
  <c r="B1414"/>
  <c r="B1415"/>
  <c r="B1416"/>
  <c r="B1417"/>
  <c r="B1418"/>
  <c r="B1419"/>
  <c r="B1420"/>
  <c r="B1421"/>
  <c r="B1422"/>
  <c r="B1423"/>
  <c r="B1424"/>
  <c r="B1425"/>
  <c r="B1426"/>
  <c r="B1427"/>
  <c r="B1428"/>
  <c r="B1429"/>
  <c r="B1430"/>
  <c r="B1431"/>
  <c r="B1432"/>
  <c r="B1433"/>
  <c r="B1434"/>
  <c r="B1435"/>
  <c r="B1436"/>
  <c r="B1437"/>
  <c r="B1438"/>
  <c r="B1439"/>
  <c r="B1440"/>
  <c r="B1441"/>
  <c r="B1442"/>
  <c r="B1443"/>
  <c r="B1444"/>
  <c r="B1445"/>
  <c r="B1446"/>
  <c r="B1447"/>
  <c r="B1448"/>
  <c r="B1449"/>
  <c r="B1450"/>
  <c r="B1451"/>
  <c r="B1452"/>
  <c r="B1453"/>
  <c r="B1454"/>
  <c r="B1455"/>
  <c r="B1456"/>
  <c r="B1457"/>
  <c r="B1458"/>
  <c r="B1459"/>
  <c r="B1460"/>
  <c r="B1461"/>
  <c r="B1462"/>
  <c r="B1463"/>
  <c r="B1464"/>
  <c r="B1465"/>
  <c r="B1466"/>
  <c r="B1467"/>
  <c r="B1468"/>
  <c r="B1469"/>
  <c r="B1470"/>
  <c r="B1471"/>
  <c r="B1472"/>
  <c r="B1473"/>
  <c r="B1474"/>
  <c r="B1475"/>
  <c r="B1476"/>
  <c r="B1477"/>
  <c r="B1478"/>
  <c r="B1479"/>
  <c r="B1480"/>
  <c r="B1481"/>
  <c r="B1482"/>
  <c r="B1483"/>
  <c r="B1484"/>
  <c r="B1485"/>
  <c r="B1486"/>
  <c r="B1487"/>
  <c r="B1488"/>
  <c r="B1489"/>
  <c r="B1490"/>
  <c r="B1491"/>
  <c r="B1492"/>
  <c r="B1493"/>
  <c r="B1494"/>
  <c r="B1495"/>
  <c r="B1496"/>
  <c r="B1497"/>
  <c r="B1498"/>
  <c r="B1499"/>
  <c r="B1500"/>
  <c r="B1501"/>
  <c r="B1502"/>
  <c r="B1503"/>
  <c r="B1504"/>
  <c r="B1505"/>
  <c r="B1506"/>
  <c r="B1507"/>
  <c r="B1508"/>
  <c r="B1509"/>
  <c r="B1510"/>
  <c r="B1511"/>
  <c r="B1512"/>
  <c r="B1513"/>
  <c r="B1514"/>
  <c r="B1515"/>
  <c r="B1516"/>
  <c r="B1517"/>
  <c r="B1518"/>
  <c r="B1519"/>
  <c r="B1520"/>
  <c r="B1521"/>
  <c r="B1522"/>
  <c r="B1523"/>
  <c r="B1524"/>
  <c r="B1525"/>
  <c r="B1526"/>
  <c r="B1527"/>
  <c r="B1528"/>
  <c r="B1529"/>
  <c r="B1530"/>
  <c r="B1531"/>
  <c r="B1532"/>
  <c r="B1533"/>
  <c r="B1534"/>
  <c r="B1535"/>
  <c r="B1536"/>
  <c r="B1537"/>
  <c r="B1538"/>
  <c r="B1539"/>
  <c r="B1540"/>
  <c r="B1541"/>
  <c r="B1542"/>
  <c r="B1543"/>
  <c r="B1544"/>
  <c r="B1545"/>
  <c r="B1546"/>
  <c r="B1547"/>
  <c r="B1548"/>
  <c r="B1549"/>
  <c r="B1550"/>
  <c r="B1551"/>
  <c r="B1552"/>
  <c r="B1553"/>
  <c r="B1554"/>
  <c r="B1555"/>
  <c r="B1556"/>
  <c r="B1557"/>
  <c r="B1558"/>
  <c r="B1559"/>
  <c r="B1560"/>
  <c r="B1561"/>
  <c r="B1562"/>
  <c r="B1563"/>
  <c r="B1564"/>
  <c r="B1565"/>
  <c r="B1566"/>
  <c r="B1567"/>
  <c r="B1568"/>
  <c r="B1569"/>
  <c r="B1570"/>
  <c r="B1571"/>
  <c r="B1572"/>
  <c r="B1573"/>
  <c r="B1574"/>
  <c r="B1575"/>
  <c r="B1576"/>
  <c r="B1577"/>
  <c r="B1578"/>
  <c r="B1579"/>
  <c r="B1580"/>
  <c r="B1581"/>
  <c r="B1582"/>
  <c r="B1583"/>
  <c r="B1584"/>
  <c r="B1585"/>
  <c r="B1586"/>
  <c r="B1587"/>
  <c r="B1588"/>
  <c r="B1589"/>
  <c r="B1590"/>
  <c r="B1591"/>
  <c r="B1592"/>
  <c r="B1593"/>
  <c r="B1594"/>
  <c r="B1595"/>
  <c r="B1596"/>
  <c r="B1597"/>
  <c r="B1598"/>
  <c r="B1599"/>
  <c r="B1600"/>
  <c r="B1601"/>
  <c r="B1602"/>
  <c r="B1603"/>
  <c r="B1604"/>
  <c r="B1605"/>
  <c r="B1606"/>
  <c r="B1607"/>
  <c r="B1608"/>
  <c r="B1609"/>
  <c r="B1610"/>
  <c r="B1611"/>
  <c r="B1612"/>
  <c r="B1613"/>
  <c r="B1614"/>
  <c r="B1615"/>
  <c r="B1616"/>
  <c r="B1617"/>
  <c r="B1618"/>
  <c r="B1619"/>
  <c r="B1620"/>
  <c r="B1621"/>
  <c r="B1622"/>
  <c r="B1623"/>
  <c r="B1624"/>
  <c r="B1625"/>
  <c r="B1626"/>
  <c r="B1627"/>
  <c r="B1628"/>
  <c r="B1629"/>
  <c r="B1630"/>
  <c r="B1631"/>
  <c r="B1632"/>
  <c r="B1633"/>
  <c r="B1634"/>
  <c r="B1635"/>
  <c r="B1636"/>
  <c r="B1637"/>
  <c r="B1638"/>
  <c r="B1639"/>
  <c r="B1640"/>
  <c r="B1641"/>
  <c r="B1642"/>
  <c r="B1643"/>
  <c r="B1644"/>
  <c r="B1645"/>
  <c r="B1646"/>
  <c r="B1647"/>
  <c r="B1648"/>
  <c r="B1649"/>
  <c r="B1650"/>
  <c r="B1651"/>
  <c r="B1652"/>
  <c r="B1653"/>
  <c r="B1654"/>
  <c r="B1655"/>
  <c r="B1656"/>
  <c r="B1657"/>
  <c r="B1658"/>
  <c r="B1659"/>
  <c r="B1660"/>
  <c r="B1661"/>
  <c r="B1662"/>
  <c r="B1663"/>
  <c r="B1664"/>
  <c r="B1665"/>
  <c r="B1666"/>
  <c r="B1667"/>
  <c r="B1668"/>
  <c r="B1669"/>
  <c r="B1670"/>
  <c r="B1671"/>
  <c r="B1672"/>
  <c r="B1673"/>
  <c r="B1674"/>
  <c r="B1675"/>
  <c r="B1676"/>
  <c r="B1677"/>
  <c r="B1678"/>
  <c r="B1679"/>
  <c r="B1680"/>
  <c r="B1681"/>
  <c r="B1682"/>
  <c r="B1683"/>
  <c r="B1684"/>
  <c r="B1685"/>
  <c r="B1686"/>
  <c r="B1687"/>
  <c r="B1688"/>
  <c r="B1689"/>
  <c r="B1690"/>
  <c r="B1691"/>
  <c r="B1692"/>
  <c r="B1693"/>
  <c r="B1694"/>
  <c r="B1695"/>
  <c r="B1696"/>
  <c r="B1697"/>
  <c r="B1698"/>
  <c r="B1699"/>
  <c r="B1700"/>
  <c r="B1701"/>
  <c r="B1702"/>
  <c r="B1703"/>
  <c r="B1704"/>
  <c r="B1705"/>
  <c r="B1706"/>
  <c r="B1707"/>
  <c r="B1708"/>
  <c r="B1709"/>
  <c r="B1710"/>
  <c r="B1711"/>
  <c r="B1712"/>
  <c r="B1713"/>
  <c r="B1714"/>
  <c r="B1715"/>
  <c r="B1716"/>
  <c r="B1717"/>
  <c r="B1718"/>
  <c r="B1719"/>
  <c r="B1720"/>
  <c r="B1721"/>
  <c r="B1722"/>
  <c r="B1723"/>
  <c r="B1724"/>
  <c r="B1725"/>
  <c r="B1726"/>
  <c r="B1727"/>
  <c r="B1728"/>
  <c r="B1729"/>
  <c r="B1730"/>
  <c r="B1731"/>
  <c r="B1732"/>
  <c r="B1733"/>
  <c r="B1734"/>
  <c r="B1735"/>
  <c r="B1736"/>
  <c r="B1737"/>
  <c r="B1738"/>
  <c r="B1739"/>
  <c r="B1740"/>
  <c r="B1741"/>
  <c r="B1742"/>
  <c r="B1743"/>
  <c r="B1744"/>
  <c r="B1745"/>
  <c r="B1746"/>
  <c r="B1747"/>
  <c r="B1748"/>
  <c r="B1749"/>
  <c r="B1750"/>
  <c r="B1751"/>
  <c r="B1752"/>
  <c r="B1753"/>
  <c r="B1754"/>
  <c r="B1755"/>
  <c r="B1756"/>
  <c r="B1757"/>
  <c r="B1758"/>
  <c r="B1759"/>
  <c r="B1760"/>
  <c r="B1761"/>
  <c r="B1762"/>
  <c r="B1763"/>
  <c r="B1764"/>
  <c r="B1765"/>
  <c r="B1766"/>
  <c r="B1767"/>
  <c r="B1768"/>
  <c r="B1769"/>
  <c r="B1770"/>
  <c r="B1771"/>
  <c r="B1772"/>
  <c r="B1773"/>
  <c r="B1774"/>
  <c r="B1775"/>
  <c r="B1776"/>
  <c r="B1777"/>
  <c r="B1778"/>
  <c r="B1779"/>
  <c r="B1780"/>
  <c r="B1781"/>
  <c r="B1782"/>
  <c r="B1783"/>
  <c r="B1784"/>
  <c r="B1785"/>
  <c r="B1786"/>
  <c r="B1787"/>
  <c r="B1788"/>
  <c r="B1789"/>
  <c r="B1790"/>
  <c r="B1791"/>
  <c r="B1792"/>
  <c r="B1793"/>
  <c r="B1794"/>
  <c r="B1795"/>
  <c r="B1796"/>
  <c r="B1797"/>
  <c r="B1798"/>
  <c r="B1799"/>
  <c r="B1800"/>
  <c r="B1801"/>
  <c r="B1802"/>
  <c r="B1803"/>
  <c r="B1804"/>
  <c r="B1805"/>
  <c r="B1806"/>
  <c r="B1807"/>
  <c r="B1808"/>
  <c r="B1809"/>
  <c r="B1810"/>
  <c r="B1811"/>
  <c r="B1812"/>
  <c r="B1813"/>
  <c r="B1814"/>
  <c r="B1815"/>
  <c r="B1816"/>
  <c r="B1817"/>
  <c r="B1818"/>
  <c r="B1819"/>
  <c r="B1820"/>
  <c r="B1821"/>
  <c r="B1822"/>
  <c r="B1823"/>
  <c r="B1824"/>
  <c r="B1825"/>
  <c r="B1826"/>
  <c r="B1827"/>
  <c r="B1828"/>
  <c r="B1829"/>
  <c r="B1830"/>
  <c r="B1831"/>
  <c r="B1832"/>
  <c r="B1833"/>
  <c r="B1834"/>
  <c r="B1835"/>
  <c r="B1836"/>
  <c r="B1837"/>
  <c r="B1838"/>
  <c r="B1839"/>
  <c r="B1840"/>
  <c r="B1841"/>
  <c r="B1842"/>
  <c r="B1843"/>
  <c r="B1844"/>
  <c r="B1845"/>
  <c r="B1846"/>
  <c r="B1847"/>
  <c r="B1848"/>
  <c r="B1849"/>
  <c r="B1850"/>
  <c r="B1851"/>
  <c r="B1852"/>
  <c r="B1853"/>
  <c r="B1854"/>
  <c r="B1855"/>
  <c r="B1856"/>
  <c r="B1857"/>
  <c r="B1858"/>
  <c r="B1859"/>
  <c r="B1860"/>
  <c r="B1861"/>
  <c r="B1862"/>
  <c r="B1863"/>
  <c r="B1864"/>
  <c r="B1865"/>
  <c r="B1866"/>
  <c r="B1867"/>
  <c r="B1868"/>
  <c r="B1869"/>
  <c r="B1870"/>
  <c r="B1871"/>
  <c r="B1872"/>
  <c r="B1873"/>
  <c r="B1874"/>
  <c r="B1875"/>
  <c r="B1876"/>
  <c r="B1877"/>
  <c r="B1878"/>
  <c r="B1879"/>
  <c r="B1880"/>
  <c r="B1881"/>
  <c r="B1882"/>
  <c r="B1883"/>
  <c r="B1884"/>
  <c r="B1885"/>
  <c r="B1886"/>
  <c r="B1887"/>
  <c r="B1888"/>
  <c r="B1889"/>
  <c r="B1890"/>
  <c r="B1891"/>
  <c r="B1892"/>
  <c r="B1893"/>
  <c r="B1894"/>
  <c r="B1895"/>
  <c r="B1896"/>
  <c r="B1897"/>
  <c r="B1898"/>
  <c r="B1899"/>
  <c r="B1900"/>
  <c r="B1901"/>
  <c r="B1902"/>
  <c r="B1903"/>
  <c r="B1904"/>
  <c r="B1905"/>
  <c r="B1906"/>
  <c r="B1907"/>
  <c r="B1908"/>
  <c r="B1909"/>
  <c r="B1910"/>
  <c r="B1911"/>
  <c r="B1912"/>
  <c r="B1913"/>
  <c r="B1914"/>
  <c r="B1915"/>
  <c r="B1916"/>
  <c r="B1917"/>
  <c r="B1918"/>
  <c r="B1919"/>
  <c r="B1920"/>
  <c r="B1921"/>
  <c r="B1922"/>
  <c r="B1923"/>
  <c r="B1924"/>
  <c r="B1925"/>
  <c r="B1926"/>
  <c r="B1927"/>
  <c r="B1928"/>
  <c r="B1929"/>
  <c r="B1930"/>
  <c r="B1931"/>
  <c r="B1932"/>
  <c r="B1933"/>
  <c r="B1934"/>
  <c r="B1935"/>
  <c r="B1936"/>
  <c r="B1937"/>
  <c r="B1938"/>
  <c r="B1939"/>
  <c r="B1940"/>
  <c r="B1941"/>
  <c r="B1942"/>
  <c r="B1943"/>
  <c r="B1944"/>
  <c r="B1945"/>
  <c r="B1946"/>
  <c r="B1947"/>
  <c r="B1948"/>
  <c r="B1949"/>
  <c r="B1950"/>
  <c r="B1951"/>
  <c r="B1952"/>
  <c r="B1953"/>
  <c r="B1954"/>
  <c r="B1955"/>
  <c r="B1956"/>
  <c r="B1957"/>
  <c r="B1958"/>
  <c r="B1959"/>
  <c r="B1960"/>
  <c r="B1961"/>
  <c r="B1962"/>
  <c r="B1963"/>
  <c r="B1964"/>
  <c r="B1965"/>
  <c r="B1966"/>
  <c r="B1967"/>
  <c r="B1968"/>
  <c r="B1969"/>
  <c r="B1970"/>
  <c r="B1971"/>
  <c r="B1972"/>
  <c r="B1973"/>
  <c r="B1974"/>
  <c r="B1975"/>
  <c r="B1976"/>
  <c r="B1977"/>
  <c r="B1978"/>
  <c r="B1979"/>
  <c r="B1980"/>
  <c r="B1981"/>
  <c r="B1982"/>
  <c r="B1983"/>
  <c r="B1984"/>
  <c r="B1985"/>
  <c r="B1986"/>
  <c r="B1987"/>
  <c r="B1988"/>
  <c r="B1989"/>
  <c r="B1990"/>
  <c r="B1991"/>
  <c r="B1992"/>
  <c r="B1993"/>
  <c r="B1994"/>
  <c r="B1995"/>
  <c r="B1996"/>
  <c r="B1997"/>
  <c r="B1998"/>
  <c r="B1999"/>
  <c r="B2000"/>
  <c r="B8"/>
  <c r="B11"/>
  <c r="B18"/>
  <c r="B12"/>
  <c r="B13"/>
  <c r="B9"/>
  <c r="B10"/>
  <c r="B14"/>
  <c r="B15"/>
  <c r="B17"/>
  <c r="B7"/>
  <c r="B19"/>
  <c r="B6"/>
  <c r="B5"/>
  <c r="AA13" l="1"/>
  <c r="AA20" l="1"/>
  <c r="AA11" l="1"/>
  <c r="AA18"/>
  <c r="AA12"/>
  <c r="AA9"/>
  <c r="AA10"/>
  <c r="AA14"/>
  <c r="AA17"/>
  <c r="AA7"/>
  <c r="AA16"/>
  <c r="AA21"/>
  <c r="AA22"/>
  <c r="AA23"/>
  <c r="AA24"/>
  <c r="AA25"/>
  <c r="AA26"/>
  <c r="AA27"/>
  <c r="AA28"/>
  <c r="AA29"/>
  <c r="AA30"/>
  <c r="AA31"/>
  <c r="AA32"/>
  <c r="AA33"/>
  <c r="AA34"/>
  <c r="AA35"/>
  <c r="AA36"/>
  <c r="AA37"/>
  <c r="AA38"/>
  <c r="AA39"/>
  <c r="AA40"/>
  <c r="AA41"/>
  <c r="AA42"/>
  <c r="AA43"/>
  <c r="AA44"/>
  <c r="AA45"/>
  <c r="AA46"/>
  <c r="AA47"/>
  <c r="AA48"/>
  <c r="AA49"/>
  <c r="AA50"/>
  <c r="AA51"/>
  <c r="AA52"/>
  <c r="AA53"/>
  <c r="AA54"/>
  <c r="AA55"/>
  <c r="AA56"/>
  <c r="AA57"/>
  <c r="AA58"/>
  <c r="AA59"/>
  <c r="AA60"/>
  <c r="AA61"/>
  <c r="AA62"/>
  <c r="AA63"/>
  <c r="AA64"/>
  <c r="AA65"/>
  <c r="AA66"/>
  <c r="AA67"/>
  <c r="AA68"/>
  <c r="AA69"/>
  <c r="AA70"/>
  <c r="AA71"/>
  <c r="AA72"/>
  <c r="AA73"/>
  <c r="AA74"/>
  <c r="AA75"/>
  <c r="AA76"/>
  <c r="AA77"/>
  <c r="AA78"/>
  <c r="AA79"/>
  <c r="AA80"/>
  <c r="AA81"/>
  <c r="AA82"/>
  <c r="AA83"/>
  <c r="AA84"/>
  <c r="AA85"/>
  <c r="AA86"/>
  <c r="AA87"/>
  <c r="AA88"/>
  <c r="AA89"/>
  <c r="AA90"/>
  <c r="AA91"/>
  <c r="AA92"/>
  <c r="AA93"/>
  <c r="AA94"/>
  <c r="AA95"/>
  <c r="AA96"/>
  <c r="AA97"/>
  <c r="AA98"/>
  <c r="AA99"/>
  <c r="AA100"/>
  <c r="AA101"/>
  <c r="AA102"/>
  <c r="AA103"/>
  <c r="AA104"/>
  <c r="AA105"/>
  <c r="AA106"/>
  <c r="AA107"/>
  <c r="AA108"/>
  <c r="AA109"/>
  <c r="AA110"/>
  <c r="AA111"/>
  <c r="AA112"/>
  <c r="AA113"/>
  <c r="AA114"/>
  <c r="AA115"/>
  <c r="AA116"/>
  <c r="AA117"/>
  <c r="AA118"/>
  <c r="AA119"/>
  <c r="AA120"/>
  <c r="AA121"/>
  <c r="AA122"/>
  <c r="AA123"/>
  <c r="AA124"/>
  <c r="AA125"/>
  <c r="AA126"/>
  <c r="AA127"/>
  <c r="AA128"/>
  <c r="AA129"/>
  <c r="AA130"/>
  <c r="AA131"/>
  <c r="AA132"/>
  <c r="AA133"/>
  <c r="AA134"/>
  <c r="AA135"/>
  <c r="AA136"/>
  <c r="AA137"/>
  <c r="AA138"/>
  <c r="AA139"/>
  <c r="AA140"/>
  <c r="AA141"/>
  <c r="AA142"/>
  <c r="AA143"/>
  <c r="AA144"/>
  <c r="AA145"/>
  <c r="AA146"/>
  <c r="AA147"/>
  <c r="AA148"/>
  <c r="AA149"/>
  <c r="AA150"/>
  <c r="AA151"/>
  <c r="AA152"/>
  <c r="AA153"/>
  <c r="AA154"/>
  <c r="AA155"/>
  <c r="AA156"/>
  <c r="AA157"/>
  <c r="AA158"/>
  <c r="AA159"/>
  <c r="AA160"/>
  <c r="AA161"/>
  <c r="AA162"/>
  <c r="AA163"/>
  <c r="AA164"/>
  <c r="AA165"/>
  <c r="AA166"/>
  <c r="AA167"/>
  <c r="AA168"/>
  <c r="AA169"/>
  <c r="AA170"/>
  <c r="AA171"/>
  <c r="AA172"/>
  <c r="AA173"/>
  <c r="AA174"/>
  <c r="AA175"/>
  <c r="AA176"/>
  <c r="AA177"/>
  <c r="AA178"/>
  <c r="AA179"/>
  <c r="AA180"/>
  <c r="AA181"/>
  <c r="AA182"/>
  <c r="AA183"/>
  <c r="AA184"/>
  <c r="AA185"/>
  <c r="AA186"/>
  <c r="AA187"/>
  <c r="AA188"/>
  <c r="AA189"/>
  <c r="AA190"/>
  <c r="AA191"/>
  <c r="AA192"/>
  <c r="AA193"/>
  <c r="AA194"/>
  <c r="AA195"/>
  <c r="AA196"/>
  <c r="AA197"/>
  <c r="AA198"/>
  <c r="AA199"/>
  <c r="AA200"/>
  <c r="AA201"/>
  <c r="AA202"/>
  <c r="AA203"/>
  <c r="AA204"/>
  <c r="AA205"/>
  <c r="AA206"/>
  <c r="AA207"/>
  <c r="AA208"/>
  <c r="AA209"/>
  <c r="AA210"/>
  <c r="AA211"/>
  <c r="AA212"/>
  <c r="AA213"/>
  <c r="AA214"/>
  <c r="AA215"/>
  <c r="AA216"/>
  <c r="AA217"/>
  <c r="AA218"/>
  <c r="AA219"/>
  <c r="AA220"/>
  <c r="AA221"/>
  <c r="AA222"/>
  <c r="AA223"/>
  <c r="AA224"/>
  <c r="AA225"/>
  <c r="AA226"/>
  <c r="AA227"/>
  <c r="AA228"/>
  <c r="AA229"/>
  <c r="AA230"/>
  <c r="AA231"/>
  <c r="AA232"/>
  <c r="AA233"/>
  <c r="AA234"/>
  <c r="AA235"/>
  <c r="AA236"/>
  <c r="AA237"/>
  <c r="AA238"/>
  <c r="AA239"/>
  <c r="AA240"/>
  <c r="AA241"/>
  <c r="AA242"/>
  <c r="AA243"/>
  <c r="AA244"/>
  <c r="AA245"/>
  <c r="AA246"/>
  <c r="AA247"/>
  <c r="AA248"/>
  <c r="AA249"/>
  <c r="AA250"/>
  <c r="AA251"/>
  <c r="AA252"/>
  <c r="AA253"/>
  <c r="AA254"/>
  <c r="AA255"/>
  <c r="AA256"/>
  <c r="AA257"/>
  <c r="AA258"/>
  <c r="AA259"/>
  <c r="AA260"/>
  <c r="AA261"/>
  <c r="AA262"/>
  <c r="AA263"/>
  <c r="AA264"/>
  <c r="AA265"/>
  <c r="AA266"/>
  <c r="AA267"/>
  <c r="AA268"/>
  <c r="AA269"/>
  <c r="AA270"/>
  <c r="AA271"/>
  <c r="AA272"/>
  <c r="AA273"/>
  <c r="AA274"/>
  <c r="AA275"/>
  <c r="AA276"/>
  <c r="AA277"/>
  <c r="AA278"/>
  <c r="AA279"/>
  <c r="AA280"/>
  <c r="AA281"/>
  <c r="AA282"/>
  <c r="AA283"/>
  <c r="AA284"/>
  <c r="AA285"/>
  <c r="AA286"/>
  <c r="AA287"/>
  <c r="AA288"/>
  <c r="AA289"/>
  <c r="AA290"/>
  <c r="AA291"/>
  <c r="AA292"/>
  <c r="AA293"/>
  <c r="AA294"/>
  <c r="AA295"/>
  <c r="AA296"/>
  <c r="AA297"/>
  <c r="AA298"/>
  <c r="AA299"/>
  <c r="AA300"/>
  <c r="AA301"/>
  <c r="AA302"/>
  <c r="AA303"/>
  <c r="AA304"/>
  <c r="AA305"/>
  <c r="AA306"/>
  <c r="AA307"/>
  <c r="AA308"/>
  <c r="AA309"/>
  <c r="AA310"/>
  <c r="AA311"/>
  <c r="AA312"/>
  <c r="AA313"/>
  <c r="AA314"/>
  <c r="AA315"/>
  <c r="AA316"/>
  <c r="AA317"/>
  <c r="AA318"/>
  <c r="AA319"/>
  <c r="AA320"/>
  <c r="AA321"/>
  <c r="AA322"/>
  <c r="AA323"/>
  <c r="AA324"/>
  <c r="AA325"/>
  <c r="AA326"/>
  <c r="AA327"/>
  <c r="AA328"/>
  <c r="AA329"/>
  <c r="AA330"/>
  <c r="AA331"/>
  <c r="AA332"/>
  <c r="AA333"/>
  <c r="AA334"/>
  <c r="AA335"/>
  <c r="AA336"/>
  <c r="AA337"/>
  <c r="AA338"/>
  <c r="AA339"/>
  <c r="AA340"/>
  <c r="AA341"/>
  <c r="AA342"/>
  <c r="AA343"/>
  <c r="AA344"/>
  <c r="AA345"/>
  <c r="AA346"/>
  <c r="AA347"/>
  <c r="AA348"/>
  <c r="AA349"/>
  <c r="AA350"/>
  <c r="AA351"/>
  <c r="AA352"/>
  <c r="AA353"/>
  <c r="AA354"/>
  <c r="AA355"/>
  <c r="AA356"/>
  <c r="AA357"/>
  <c r="AA358"/>
  <c r="AA359"/>
  <c r="AA360"/>
  <c r="AA361"/>
  <c r="AA362"/>
  <c r="AA363"/>
  <c r="AA364"/>
  <c r="AA365"/>
  <c r="AA366"/>
  <c r="AA367"/>
  <c r="AA368"/>
  <c r="AA369"/>
  <c r="AA370"/>
  <c r="AA371"/>
  <c r="AA372"/>
  <c r="AA373"/>
  <c r="AA374"/>
  <c r="AA375"/>
  <c r="AA376"/>
  <c r="AA377"/>
  <c r="AA378"/>
  <c r="AA379"/>
  <c r="AA380"/>
  <c r="AA381"/>
  <c r="AA382"/>
  <c r="AA383"/>
  <c r="AA384"/>
  <c r="AA385"/>
  <c r="AA386"/>
  <c r="AA387"/>
  <c r="AA388"/>
  <c r="AA389"/>
  <c r="AA390"/>
  <c r="AA391"/>
  <c r="AA392"/>
  <c r="AA393"/>
  <c r="AA394"/>
  <c r="AA395"/>
  <c r="AA396"/>
  <c r="AA397"/>
  <c r="AA398"/>
  <c r="AA399"/>
  <c r="AA400"/>
  <c r="AA401"/>
  <c r="AA402"/>
  <c r="AA403"/>
  <c r="AA404"/>
  <c r="AA405"/>
  <c r="AA406"/>
  <c r="AA407"/>
  <c r="AA408"/>
  <c r="AA409"/>
  <c r="AA410"/>
  <c r="AA411"/>
  <c r="AA412"/>
  <c r="AA413"/>
  <c r="AA414"/>
  <c r="AA415"/>
  <c r="AA416"/>
  <c r="AA417"/>
  <c r="AA418"/>
  <c r="AA419"/>
  <c r="AA420"/>
  <c r="AA421"/>
  <c r="AA422"/>
  <c r="AA423"/>
  <c r="AA424"/>
  <c r="AA425"/>
  <c r="AA426"/>
  <c r="AA427"/>
  <c r="AA428"/>
  <c r="AA429"/>
  <c r="AA430"/>
  <c r="AA431"/>
  <c r="AA432"/>
  <c r="AA433"/>
  <c r="AA434"/>
  <c r="AA435"/>
  <c r="AA436"/>
  <c r="AA437"/>
  <c r="AA438"/>
  <c r="AA439"/>
  <c r="AA440"/>
  <c r="AA441"/>
  <c r="AA442"/>
  <c r="AA443"/>
  <c r="AA444"/>
  <c r="AA445"/>
  <c r="AA446"/>
  <c r="AA447"/>
  <c r="AA448"/>
  <c r="AA449"/>
  <c r="AA450"/>
  <c r="AA451"/>
  <c r="AA452"/>
  <c r="AA453"/>
  <c r="AA454"/>
  <c r="AA455"/>
  <c r="AA456"/>
  <c r="AA457"/>
  <c r="AA458"/>
  <c r="AA459"/>
  <c r="AA460"/>
  <c r="AA461"/>
  <c r="AA462"/>
  <c r="AA463"/>
  <c r="AA464"/>
  <c r="AA465"/>
  <c r="AA466"/>
  <c r="AA467"/>
  <c r="AA468"/>
  <c r="AA469"/>
  <c r="AA470"/>
  <c r="AA471"/>
  <c r="AA472"/>
  <c r="AA473"/>
  <c r="AA474"/>
  <c r="AA475"/>
  <c r="AA476"/>
  <c r="AA477"/>
  <c r="AA478"/>
  <c r="AA479"/>
  <c r="AA480"/>
  <c r="AA481"/>
  <c r="AA482"/>
  <c r="AA483"/>
  <c r="AA484"/>
  <c r="AA485"/>
  <c r="AA486"/>
  <c r="AA487"/>
  <c r="AA488"/>
  <c r="AA489"/>
  <c r="AA490"/>
  <c r="AA491"/>
  <c r="AA492"/>
  <c r="AA493"/>
  <c r="AA494"/>
  <c r="AA495"/>
  <c r="AA496"/>
  <c r="AA497"/>
  <c r="AA498"/>
  <c r="AA499"/>
  <c r="AA500"/>
  <c r="AA501"/>
  <c r="AA502"/>
  <c r="AA503"/>
  <c r="AA504"/>
  <c r="AA505"/>
  <c r="AA506"/>
  <c r="AA507"/>
  <c r="AA508"/>
  <c r="AA509"/>
  <c r="AA510"/>
  <c r="AA511"/>
  <c r="AA512"/>
  <c r="AA513"/>
  <c r="AA514"/>
  <c r="AA515"/>
  <c r="AA516"/>
  <c r="AA517"/>
  <c r="AA518"/>
  <c r="AA519"/>
  <c r="AA520"/>
  <c r="AA521"/>
  <c r="AA522"/>
  <c r="AA523"/>
  <c r="AA524"/>
  <c r="AA525"/>
  <c r="AA526"/>
  <c r="AA527"/>
  <c r="AA528"/>
  <c r="AA529"/>
  <c r="AA530"/>
  <c r="AA531"/>
  <c r="AA532"/>
  <c r="AA533"/>
  <c r="AA534"/>
  <c r="AA535"/>
  <c r="AA536"/>
  <c r="AA537"/>
  <c r="AA538"/>
  <c r="AA539"/>
  <c r="AA540"/>
  <c r="AA541"/>
  <c r="AA542"/>
  <c r="AA543"/>
  <c r="AA544"/>
  <c r="AA545"/>
  <c r="AA546"/>
  <c r="AA547"/>
  <c r="AA548"/>
  <c r="AA549"/>
  <c r="AA550"/>
  <c r="AA551"/>
  <c r="AA552"/>
  <c r="AA553"/>
  <c r="AA554"/>
  <c r="AA555"/>
  <c r="AA556"/>
  <c r="AA557"/>
  <c r="AA558"/>
  <c r="AA559"/>
  <c r="AA560"/>
  <c r="AA561"/>
  <c r="AA562"/>
  <c r="AA563"/>
  <c r="AA564"/>
  <c r="AA565"/>
  <c r="AA566"/>
  <c r="AA567"/>
  <c r="AA568"/>
  <c r="AA569"/>
  <c r="AA570"/>
  <c r="AA571"/>
  <c r="AA572"/>
  <c r="AA573"/>
  <c r="AA574"/>
  <c r="AA575"/>
  <c r="AA576"/>
  <c r="AA577"/>
  <c r="AA578"/>
  <c r="AA579"/>
  <c r="AA580"/>
  <c r="AA581"/>
  <c r="AA582"/>
  <c r="AA583"/>
  <c r="AA584"/>
  <c r="AA585"/>
  <c r="AA586"/>
  <c r="AA587"/>
  <c r="AA588"/>
  <c r="AA589"/>
  <c r="AA590"/>
  <c r="AA591"/>
  <c r="AA592"/>
  <c r="AA593"/>
  <c r="AA594"/>
  <c r="AA595"/>
  <c r="AA596"/>
  <c r="AA597"/>
  <c r="AA598"/>
  <c r="AA599"/>
  <c r="AA600"/>
  <c r="AA601"/>
  <c r="AA602"/>
  <c r="AA603"/>
  <c r="AA604"/>
  <c r="AA605"/>
  <c r="AA606"/>
  <c r="AA607"/>
  <c r="AA608"/>
  <c r="AA609"/>
  <c r="AA610"/>
  <c r="AA611"/>
  <c r="AA612"/>
  <c r="AA613"/>
  <c r="AA614"/>
  <c r="AA615"/>
  <c r="AA616"/>
  <c r="AA617"/>
  <c r="AA618"/>
  <c r="AA619"/>
  <c r="AA620"/>
  <c r="AA621"/>
  <c r="AA622"/>
  <c r="AA623"/>
  <c r="AA624"/>
  <c r="AA625"/>
  <c r="AA626"/>
  <c r="AA627"/>
  <c r="AA628"/>
  <c r="AA629"/>
  <c r="AA630"/>
  <c r="AA631"/>
  <c r="AA632"/>
  <c r="AA633"/>
  <c r="AA634"/>
  <c r="AA635"/>
  <c r="AA636"/>
  <c r="AA637"/>
  <c r="AA638"/>
  <c r="AA639"/>
  <c r="AA640"/>
  <c r="AA641"/>
  <c r="AA642"/>
  <c r="AA643"/>
  <c r="AA644"/>
  <c r="AA645"/>
  <c r="AA646"/>
  <c r="AA647"/>
  <c r="AA648"/>
  <c r="AA649"/>
  <c r="AA650"/>
  <c r="AA651"/>
  <c r="AA652"/>
  <c r="AA653"/>
  <c r="AA654"/>
  <c r="AA655"/>
  <c r="AA656"/>
  <c r="AA657"/>
  <c r="AA658"/>
  <c r="AA659"/>
  <c r="AA660"/>
  <c r="AA661"/>
  <c r="AA662"/>
  <c r="AA663"/>
  <c r="AA664"/>
  <c r="AA665"/>
  <c r="AA666"/>
  <c r="AA667"/>
  <c r="AA668"/>
  <c r="AA669"/>
  <c r="AA670"/>
  <c r="AA671"/>
  <c r="AA672"/>
  <c r="AA673"/>
  <c r="AA674"/>
  <c r="AA675"/>
  <c r="AA676"/>
  <c r="AA677"/>
  <c r="AA678"/>
  <c r="AA679"/>
  <c r="AA680"/>
  <c r="AA681"/>
  <c r="AA682"/>
  <c r="AA683"/>
  <c r="AA684"/>
  <c r="AA685"/>
  <c r="AA686"/>
  <c r="AA687"/>
  <c r="AA688"/>
  <c r="AA689"/>
  <c r="AA690"/>
  <c r="AA691"/>
  <c r="AA692"/>
  <c r="AA693"/>
  <c r="AA694"/>
  <c r="AA695"/>
  <c r="AA696"/>
  <c r="AA697"/>
  <c r="AA698"/>
  <c r="AA699"/>
  <c r="AA700"/>
  <c r="AA701"/>
  <c r="AA702"/>
  <c r="AA703"/>
  <c r="AA704"/>
  <c r="AA705"/>
  <c r="AA706"/>
  <c r="AA707"/>
  <c r="AA708"/>
  <c r="AA709"/>
  <c r="AA710"/>
  <c r="AA711"/>
  <c r="AA712"/>
  <c r="AA713"/>
  <c r="AA714"/>
  <c r="AA715"/>
  <c r="AA716"/>
  <c r="AA717"/>
  <c r="AA718"/>
  <c r="AA719"/>
  <c r="AA720"/>
  <c r="AA721"/>
  <c r="AA722"/>
  <c r="AA723"/>
  <c r="AA724"/>
  <c r="AA725"/>
  <c r="AA726"/>
  <c r="AA727"/>
  <c r="AA728"/>
  <c r="AA729"/>
  <c r="AA730"/>
  <c r="AA731"/>
  <c r="AA732"/>
  <c r="AA733"/>
  <c r="AA734"/>
  <c r="AA735"/>
  <c r="AA736"/>
  <c r="AA737"/>
  <c r="AA738"/>
  <c r="AA739"/>
  <c r="AA740"/>
  <c r="AA741"/>
  <c r="AA742"/>
  <c r="AA743"/>
  <c r="AA744"/>
  <c r="AA745"/>
  <c r="AA746"/>
  <c r="AA747"/>
  <c r="AA748"/>
  <c r="AA749"/>
  <c r="AA750"/>
  <c r="AA751"/>
  <c r="AA752"/>
  <c r="AA753"/>
  <c r="AA754"/>
  <c r="AA755"/>
  <c r="AA756"/>
  <c r="AA757"/>
  <c r="AA758"/>
  <c r="AA759"/>
  <c r="AA760"/>
  <c r="AA761"/>
  <c r="AA762"/>
  <c r="AA763"/>
  <c r="AA764"/>
  <c r="AA765"/>
  <c r="AA766"/>
  <c r="AA767"/>
  <c r="AA768"/>
  <c r="AA769"/>
  <c r="AA770"/>
  <c r="AA771"/>
  <c r="AA772"/>
  <c r="AA773"/>
  <c r="AA774"/>
  <c r="AA775"/>
  <c r="AA776"/>
  <c r="AA777"/>
  <c r="AA778"/>
  <c r="AA779"/>
  <c r="AA780"/>
  <c r="AA781"/>
  <c r="AA782"/>
  <c r="AA783"/>
  <c r="AA784"/>
  <c r="AA785"/>
  <c r="AA786"/>
  <c r="AA787"/>
  <c r="AA788"/>
  <c r="AA789"/>
  <c r="AA790"/>
  <c r="AA791"/>
  <c r="AA792"/>
  <c r="AA793"/>
  <c r="AA794"/>
  <c r="AA795"/>
  <c r="AA796"/>
  <c r="AA797"/>
  <c r="AA798"/>
  <c r="AA799"/>
  <c r="AA800"/>
  <c r="AA801"/>
  <c r="AA802"/>
  <c r="AA803"/>
  <c r="AA804"/>
  <c r="AA805"/>
  <c r="AA806"/>
  <c r="AA807"/>
  <c r="AA808"/>
  <c r="AA809"/>
  <c r="AA810"/>
  <c r="AA811"/>
  <c r="AA812"/>
  <c r="AA813"/>
  <c r="AA814"/>
  <c r="AA815"/>
  <c r="AA816"/>
  <c r="AA817"/>
  <c r="AA818"/>
  <c r="AA819"/>
  <c r="AA820"/>
  <c r="AA821"/>
  <c r="AA822"/>
  <c r="AA823"/>
  <c r="AA824"/>
  <c r="AA825"/>
  <c r="AA826"/>
  <c r="AA827"/>
  <c r="AA828"/>
  <c r="AA829"/>
  <c r="AA830"/>
  <c r="AA831"/>
  <c r="AA832"/>
  <c r="AA833"/>
  <c r="AA834"/>
  <c r="AA835"/>
  <c r="AA836"/>
  <c r="AA837"/>
  <c r="AA838"/>
  <c r="AA839"/>
  <c r="AA840"/>
  <c r="AA841"/>
  <c r="AA842"/>
  <c r="AA843"/>
  <c r="AA844"/>
  <c r="AA845"/>
  <c r="AA846"/>
  <c r="AA847"/>
  <c r="AA848"/>
  <c r="AA849"/>
  <c r="AA850"/>
  <c r="AA851"/>
  <c r="AA852"/>
  <c r="AA853"/>
  <c r="AA854"/>
  <c r="AA855"/>
  <c r="AA856"/>
  <c r="AA857"/>
  <c r="AA858"/>
  <c r="AA859"/>
  <c r="AA860"/>
  <c r="AA861"/>
  <c r="AA862"/>
  <c r="AA863"/>
  <c r="AA864"/>
  <c r="AA865"/>
  <c r="AA866"/>
  <c r="AA867"/>
  <c r="AA868"/>
  <c r="AA869"/>
  <c r="AA870"/>
  <c r="AA871"/>
  <c r="AA872"/>
  <c r="AA873"/>
  <c r="AA874"/>
  <c r="AA875"/>
  <c r="AA876"/>
  <c r="AA877"/>
  <c r="AA878"/>
  <c r="AA879"/>
  <c r="AA880"/>
  <c r="AA881"/>
  <c r="AA882"/>
  <c r="AA883"/>
  <c r="AA884"/>
  <c r="AA885"/>
  <c r="AA886"/>
  <c r="AA887"/>
  <c r="AA888"/>
  <c r="AA889"/>
  <c r="AA890"/>
  <c r="AA891"/>
  <c r="AA892"/>
  <c r="AA893"/>
  <c r="AA894"/>
  <c r="AA895"/>
  <c r="AA896"/>
  <c r="AA897"/>
  <c r="AA898"/>
  <c r="AA899"/>
  <c r="AA900"/>
  <c r="AA901"/>
  <c r="AA902"/>
  <c r="AA903"/>
  <c r="AA904"/>
  <c r="AA905"/>
  <c r="AA906"/>
  <c r="AA907"/>
  <c r="AA908"/>
  <c r="AA909"/>
  <c r="AA910"/>
  <c r="AA911"/>
  <c r="AA912"/>
  <c r="AA913"/>
  <c r="AA914"/>
  <c r="AA915"/>
  <c r="AA916"/>
  <c r="AA917"/>
  <c r="AA918"/>
  <c r="AA919"/>
  <c r="AA920"/>
  <c r="AA921"/>
  <c r="AA922"/>
  <c r="AA923"/>
  <c r="AA924"/>
  <c r="AA925"/>
  <c r="AA926"/>
  <c r="AA927"/>
  <c r="AA928"/>
  <c r="AA929"/>
  <c r="AA930"/>
  <c r="AA931"/>
  <c r="AA932"/>
  <c r="AA933"/>
  <c r="AA934"/>
  <c r="AA935"/>
  <c r="AA936"/>
  <c r="AA937"/>
  <c r="AA938"/>
  <c r="AA939"/>
  <c r="AA940"/>
  <c r="AA941"/>
  <c r="AA942"/>
  <c r="AA943"/>
  <c r="AA944"/>
  <c r="AA945"/>
  <c r="AA946"/>
  <c r="AA947"/>
  <c r="AA948"/>
  <c r="AA949"/>
  <c r="AA950"/>
  <c r="AA951"/>
  <c r="AA952"/>
  <c r="AA953"/>
  <c r="AA954"/>
  <c r="AA955"/>
  <c r="AA956"/>
  <c r="AA957"/>
  <c r="AA958"/>
  <c r="AA959"/>
  <c r="AA960"/>
  <c r="AA961"/>
  <c r="AA962"/>
  <c r="AA963"/>
  <c r="AA964"/>
  <c r="AA965"/>
  <c r="AA966"/>
  <c r="AA967"/>
  <c r="AA968"/>
  <c r="AA969"/>
  <c r="AA970"/>
  <c r="AA971"/>
  <c r="AA972"/>
  <c r="AA973"/>
  <c r="AA974"/>
  <c r="AA975"/>
  <c r="AA976"/>
  <c r="AA977"/>
  <c r="AA978"/>
  <c r="AA979"/>
  <c r="AA980"/>
  <c r="AA981"/>
  <c r="AA982"/>
  <c r="AA983"/>
  <c r="AA984"/>
  <c r="AA985"/>
  <c r="AA986"/>
  <c r="AA987"/>
  <c r="AA988"/>
  <c r="AA989"/>
  <c r="AA990"/>
  <c r="AA991"/>
  <c r="AA992"/>
  <c r="AA993"/>
  <c r="AA994"/>
  <c r="AA995"/>
  <c r="AA996"/>
  <c r="AA997"/>
  <c r="AA998"/>
  <c r="AA999"/>
  <c r="AA1000"/>
  <c r="AA1001"/>
  <c r="AA1002"/>
  <c r="AA1003"/>
  <c r="AA1004"/>
  <c r="AA1005"/>
  <c r="AA1006"/>
  <c r="AA1007"/>
  <c r="AA1008"/>
  <c r="AA1009"/>
  <c r="AA1010"/>
  <c r="AA1011"/>
  <c r="AA1012"/>
  <c r="AA1013"/>
  <c r="AA1014"/>
  <c r="AA1015"/>
  <c r="AA1016"/>
  <c r="AA1017"/>
  <c r="AA1018"/>
  <c r="AA1019"/>
  <c r="AA1020"/>
  <c r="AA1021"/>
  <c r="AA1022"/>
  <c r="AA1023"/>
  <c r="AA1024"/>
  <c r="AA1025"/>
  <c r="AA1026"/>
  <c r="AA1027"/>
  <c r="AA1028"/>
  <c r="AA1029"/>
  <c r="AA1030"/>
  <c r="AA1031"/>
  <c r="AA1032"/>
  <c r="AA1033"/>
  <c r="AA1034"/>
  <c r="AA1035"/>
  <c r="AA1036"/>
  <c r="AA1037"/>
  <c r="AA1038"/>
  <c r="AA1039"/>
  <c r="AA1040"/>
  <c r="AA1041"/>
  <c r="AA1042"/>
  <c r="AA1043"/>
  <c r="AA1044"/>
  <c r="AA1045"/>
  <c r="AA1046"/>
  <c r="AA1047"/>
  <c r="AA1048"/>
  <c r="AA1049"/>
  <c r="AA1050"/>
  <c r="AA1051"/>
  <c r="AA1052"/>
  <c r="AA1053"/>
  <c r="AA1054"/>
  <c r="AA1055"/>
  <c r="AA1056"/>
  <c r="AA1057"/>
  <c r="AA1058"/>
  <c r="AA1059"/>
  <c r="AA1060"/>
  <c r="AA1061"/>
  <c r="AA1062"/>
  <c r="AA1063"/>
  <c r="AA1064"/>
  <c r="AA1065"/>
  <c r="AA1066"/>
  <c r="AA1067"/>
  <c r="AA1068"/>
  <c r="AA1069"/>
  <c r="AA1070"/>
  <c r="AA1071"/>
  <c r="AA1072"/>
  <c r="AA1073"/>
  <c r="AA1074"/>
  <c r="AA1075"/>
  <c r="AA1076"/>
  <c r="AA1077"/>
  <c r="AA1078"/>
  <c r="AA1079"/>
  <c r="AA1080"/>
  <c r="AA1081"/>
  <c r="AA1082"/>
  <c r="AA1083"/>
  <c r="AA1084"/>
  <c r="AA1085"/>
  <c r="AA1086"/>
  <c r="AA1087"/>
  <c r="AA1088"/>
  <c r="AA1089"/>
  <c r="AA1090"/>
  <c r="AA1091"/>
  <c r="AA1092"/>
  <c r="AA1093"/>
  <c r="AA1094"/>
  <c r="AA1095"/>
  <c r="AA1096"/>
  <c r="AA1097"/>
  <c r="AA1098"/>
  <c r="AA1099"/>
  <c r="AA1100"/>
  <c r="AA1101"/>
  <c r="AA1102"/>
  <c r="AA1103"/>
  <c r="AA1104"/>
  <c r="AA1105"/>
  <c r="AA1106"/>
  <c r="AA1107"/>
  <c r="AA1108"/>
  <c r="AA1109"/>
  <c r="AA1110"/>
  <c r="AA1111"/>
  <c r="AA1112"/>
  <c r="AA1113"/>
  <c r="AA1114"/>
  <c r="AA1115"/>
  <c r="AA1116"/>
  <c r="AA1117"/>
  <c r="AA1118"/>
  <c r="AA1119"/>
  <c r="AA1120"/>
  <c r="AA1121"/>
  <c r="AA1122"/>
  <c r="AA1123"/>
  <c r="AA1124"/>
  <c r="AA1125"/>
  <c r="AA1126"/>
  <c r="AA1127"/>
  <c r="AA1128"/>
  <c r="AA1129"/>
  <c r="AA1130"/>
  <c r="AA1131"/>
  <c r="AA1132"/>
  <c r="AA1133"/>
  <c r="AA1134"/>
  <c r="AA1135"/>
  <c r="AA1136"/>
  <c r="AA1137"/>
  <c r="AA1138"/>
  <c r="AA1139"/>
  <c r="AA1140"/>
  <c r="AA1141"/>
  <c r="AA1142"/>
  <c r="AA1143"/>
  <c r="AA1144"/>
  <c r="AA1145"/>
  <c r="AA1146"/>
  <c r="AA1147"/>
  <c r="AA1148"/>
  <c r="AA1149"/>
  <c r="AA1150"/>
  <c r="AA1151"/>
  <c r="AA1152"/>
  <c r="AA1153"/>
  <c r="AA1154"/>
  <c r="AA1155"/>
  <c r="AA1156"/>
  <c r="AA1157"/>
  <c r="AA1158"/>
  <c r="AA1159"/>
  <c r="AA1160"/>
  <c r="AA1161"/>
  <c r="AA1162"/>
  <c r="AA1163"/>
  <c r="AA1164"/>
  <c r="AA1165"/>
  <c r="AA1166"/>
  <c r="AA1167"/>
  <c r="AA1168"/>
  <c r="AA1169"/>
  <c r="AA1170"/>
  <c r="AA1171"/>
  <c r="AA1172"/>
  <c r="AA1173"/>
  <c r="AA1174"/>
  <c r="AA1175"/>
  <c r="AA1176"/>
  <c r="AA1177"/>
  <c r="AA1178"/>
  <c r="AA1179"/>
  <c r="AA1180"/>
  <c r="AA1181"/>
  <c r="AA1182"/>
  <c r="AA1183"/>
  <c r="AA1184"/>
  <c r="AA1185"/>
  <c r="AA1186"/>
  <c r="AA1187"/>
  <c r="AA1188"/>
  <c r="AA1189"/>
  <c r="AA1190"/>
  <c r="AA1191"/>
  <c r="AA1192"/>
  <c r="AA1193"/>
  <c r="AA1194"/>
  <c r="AA1195"/>
  <c r="AA1196"/>
  <c r="AA1197"/>
  <c r="AA1198"/>
  <c r="AA1199"/>
  <c r="AA1200"/>
  <c r="AA1201"/>
  <c r="AA1202"/>
  <c r="AA1203"/>
  <c r="AA1204"/>
  <c r="AA1205"/>
  <c r="AA1206"/>
  <c r="AA1207"/>
  <c r="AA1208"/>
  <c r="AA1209"/>
  <c r="AA1210"/>
  <c r="AA1211"/>
  <c r="AA1212"/>
  <c r="AA1213"/>
  <c r="AA1214"/>
  <c r="AA1215"/>
  <c r="AA1216"/>
  <c r="AA1217"/>
  <c r="AA1218"/>
  <c r="AA1219"/>
  <c r="AA1220"/>
  <c r="AA1221"/>
  <c r="AA1222"/>
  <c r="AA1223"/>
  <c r="AA1224"/>
  <c r="AA1225"/>
  <c r="AA1226"/>
  <c r="AA1227"/>
  <c r="AA1228"/>
  <c r="AA1229"/>
  <c r="AA1230"/>
  <c r="AA1231"/>
  <c r="AA1232"/>
  <c r="AA1233"/>
  <c r="AA1234"/>
  <c r="AA1235"/>
  <c r="AA1236"/>
  <c r="AA1237"/>
  <c r="AA1238"/>
  <c r="AA1239"/>
  <c r="AA1240"/>
  <c r="AA1241"/>
  <c r="AA1242"/>
  <c r="AA1243"/>
  <c r="AA1244"/>
  <c r="AA1245"/>
  <c r="AA1246"/>
  <c r="AA1247"/>
  <c r="AA1248"/>
  <c r="AA1249"/>
  <c r="AA1250"/>
  <c r="AA1251"/>
  <c r="AA1252"/>
  <c r="AA1253"/>
  <c r="AA1254"/>
  <c r="AA1255"/>
  <c r="AA1256"/>
  <c r="AA1257"/>
  <c r="AA1258"/>
  <c r="AA1259"/>
  <c r="AA1260"/>
  <c r="AA1261"/>
  <c r="AA1262"/>
  <c r="AA1263"/>
  <c r="AA1264"/>
  <c r="AA1265"/>
  <c r="AA1266"/>
  <c r="AA1267"/>
  <c r="AA1268"/>
  <c r="AA1269"/>
  <c r="AA1270"/>
  <c r="AA1271"/>
  <c r="AA1272"/>
  <c r="AA1273"/>
  <c r="AA1274"/>
  <c r="AA1275"/>
  <c r="AA1276"/>
  <c r="AA1277"/>
  <c r="AA1278"/>
  <c r="AA1279"/>
  <c r="AA1280"/>
  <c r="AA1281"/>
  <c r="AA1282"/>
  <c r="AA1283"/>
  <c r="AA1284"/>
  <c r="AA1285"/>
  <c r="AA1286"/>
  <c r="AA1287"/>
  <c r="AA1288"/>
  <c r="AA1289"/>
  <c r="AA1290"/>
  <c r="AA1291"/>
  <c r="AA1292"/>
  <c r="AA1293"/>
  <c r="AA1294"/>
  <c r="AA1295"/>
  <c r="AA1296"/>
  <c r="AA1297"/>
  <c r="AA1298"/>
  <c r="AA1299"/>
  <c r="AA1300"/>
  <c r="AA1301"/>
  <c r="AA1302"/>
  <c r="AA1303"/>
  <c r="AA1304"/>
  <c r="AA1305"/>
  <c r="AA1306"/>
  <c r="AA1307"/>
  <c r="AA1308"/>
  <c r="AA1309"/>
  <c r="AA1310"/>
  <c r="AA1311"/>
  <c r="AA1312"/>
  <c r="AA1313"/>
  <c r="AA1314"/>
  <c r="AA1315"/>
  <c r="AA1316"/>
  <c r="AA1317"/>
  <c r="AA1318"/>
  <c r="AA1319"/>
  <c r="AA1320"/>
  <c r="AA1321"/>
  <c r="AA1322"/>
  <c r="AA1323"/>
  <c r="AA1324"/>
  <c r="AA1325"/>
  <c r="AA1326"/>
  <c r="AA1327"/>
  <c r="AA1328"/>
  <c r="AA1329"/>
  <c r="AA1330"/>
  <c r="AA1331"/>
  <c r="AA1332"/>
  <c r="AA1333"/>
  <c r="AA1334"/>
  <c r="AA1335"/>
  <c r="AA1336"/>
  <c r="AA1337"/>
  <c r="AA1338"/>
  <c r="AA1339"/>
  <c r="AA1340"/>
  <c r="AA1341"/>
  <c r="AA1342"/>
  <c r="AA1343"/>
  <c r="AA1344"/>
  <c r="AA1345"/>
  <c r="AA1346"/>
  <c r="AA1347"/>
  <c r="AA1348"/>
  <c r="AA1349"/>
  <c r="AA1350"/>
  <c r="AA1351"/>
  <c r="AA1352"/>
  <c r="AA1353"/>
  <c r="AA1354"/>
  <c r="AA1355"/>
  <c r="AA1356"/>
  <c r="AA1357"/>
  <c r="AA1358"/>
  <c r="AA1359"/>
  <c r="AA1360"/>
  <c r="AA1361"/>
  <c r="AA1362"/>
  <c r="AA1363"/>
  <c r="AA1364"/>
  <c r="AA1365"/>
  <c r="AA1366"/>
  <c r="AA1367"/>
  <c r="AA1368"/>
  <c r="AA1369"/>
  <c r="AA1370"/>
  <c r="AA1371"/>
  <c r="AA1372"/>
  <c r="AA1373"/>
  <c r="AA1374"/>
  <c r="AA1375"/>
  <c r="AA1376"/>
  <c r="AA1377"/>
  <c r="AA1378"/>
  <c r="AA1379"/>
  <c r="AA1380"/>
  <c r="AA1381"/>
  <c r="AA1382"/>
  <c r="AA1383"/>
  <c r="AA1384"/>
  <c r="AA1385"/>
  <c r="AA1386"/>
  <c r="AA1387"/>
  <c r="AA1388"/>
  <c r="AA1389"/>
  <c r="AA1390"/>
  <c r="AA1391"/>
  <c r="AA1392"/>
  <c r="AA1393"/>
  <c r="AA1394"/>
  <c r="AA1395"/>
  <c r="AA1396"/>
  <c r="AA1397"/>
  <c r="AA1398"/>
  <c r="AA1399"/>
  <c r="AA1400"/>
  <c r="AA1401"/>
  <c r="AA1402"/>
  <c r="AA1403"/>
  <c r="AA1404"/>
  <c r="AA1405"/>
  <c r="AA1406"/>
  <c r="AA1407"/>
  <c r="AA1408"/>
  <c r="AA1409"/>
  <c r="AA1410"/>
  <c r="AA1411"/>
  <c r="AA1412"/>
  <c r="AA1413"/>
  <c r="AA1414"/>
  <c r="AA1415"/>
  <c r="AA1416"/>
  <c r="AA1417"/>
  <c r="AA1418"/>
  <c r="AA1419"/>
  <c r="AA1420"/>
  <c r="AA1421"/>
  <c r="AA1422"/>
  <c r="AA1423"/>
  <c r="AA1424"/>
  <c r="AA1425"/>
  <c r="AA1426"/>
  <c r="AA1427"/>
  <c r="AA1428"/>
  <c r="AA1429"/>
  <c r="AA1430"/>
  <c r="AA1431"/>
  <c r="AA1432"/>
  <c r="AA1433"/>
  <c r="AA1434"/>
  <c r="AA1435"/>
  <c r="AA1436"/>
  <c r="AA1437"/>
  <c r="AA1438"/>
  <c r="AA1439"/>
  <c r="AA1440"/>
  <c r="AA1441"/>
  <c r="AA1442"/>
  <c r="AA1443"/>
  <c r="AA1444"/>
  <c r="AA1445"/>
  <c r="AA1446"/>
  <c r="AA1447"/>
  <c r="AA1448"/>
  <c r="AA1449"/>
  <c r="AA1450"/>
  <c r="AA1451"/>
  <c r="AA1452"/>
  <c r="AA1453"/>
  <c r="AA1454"/>
  <c r="AA1455"/>
  <c r="AA1456"/>
  <c r="AA1457"/>
  <c r="AA1458"/>
  <c r="AA1459"/>
  <c r="AA1460"/>
  <c r="AA1461"/>
  <c r="AA1462"/>
  <c r="AA1463"/>
  <c r="AA1464"/>
  <c r="AA1465"/>
  <c r="AA1466"/>
  <c r="AA1467"/>
  <c r="AA1468"/>
  <c r="AA1469"/>
  <c r="AA1470"/>
  <c r="AA1471"/>
  <c r="AA1472"/>
  <c r="AA1473"/>
  <c r="AA1474"/>
  <c r="AA1475"/>
  <c r="AA1476"/>
  <c r="AA1477"/>
  <c r="AA1478"/>
  <c r="AA1479"/>
  <c r="AA1480"/>
  <c r="AA1481"/>
  <c r="AA1482"/>
  <c r="AA1483"/>
  <c r="AA1484"/>
  <c r="AA1485"/>
  <c r="AA1486"/>
  <c r="AA1487"/>
  <c r="AA1488"/>
  <c r="AA1489"/>
  <c r="AA1490"/>
  <c r="AA1491"/>
  <c r="AA1492"/>
  <c r="AA1493"/>
  <c r="AA1494"/>
  <c r="AA1495"/>
  <c r="AA1496"/>
  <c r="AA1497"/>
  <c r="AA1498"/>
  <c r="AA1499"/>
  <c r="AA1500"/>
  <c r="AA1501"/>
  <c r="AA1502"/>
  <c r="AA1503"/>
  <c r="AA1504"/>
  <c r="AA1505"/>
  <c r="AA1506"/>
  <c r="AA1507"/>
  <c r="AA1508"/>
  <c r="AA1509"/>
  <c r="AA1510"/>
  <c r="AA1511"/>
  <c r="AA1512"/>
  <c r="AA1513"/>
  <c r="AA1514"/>
  <c r="AA1515"/>
  <c r="AA1516"/>
  <c r="AA1517"/>
  <c r="AA1518"/>
  <c r="AA1519"/>
  <c r="AA1520"/>
  <c r="AA1521"/>
  <c r="AA1522"/>
  <c r="AA1523"/>
  <c r="AA1524"/>
  <c r="AA1525"/>
  <c r="AA1526"/>
  <c r="AA1527"/>
  <c r="AA1528"/>
  <c r="AA1529"/>
  <c r="AA1530"/>
  <c r="AA1531"/>
  <c r="AA1532"/>
  <c r="AA1533"/>
  <c r="AA1534"/>
  <c r="AA1535"/>
  <c r="AA1536"/>
  <c r="AA1537"/>
  <c r="AA1538"/>
  <c r="AA1539"/>
  <c r="AA1540"/>
  <c r="AA1541"/>
  <c r="AA1542"/>
  <c r="AA1543"/>
  <c r="AA1544"/>
  <c r="AA1545"/>
  <c r="AA1546"/>
  <c r="AA1547"/>
  <c r="AA1548"/>
  <c r="AA1549"/>
  <c r="AA1550"/>
  <c r="AA1551"/>
  <c r="AA1552"/>
  <c r="AA1553"/>
  <c r="AA1554"/>
  <c r="AA1555"/>
  <c r="AA1556"/>
  <c r="AA1557"/>
  <c r="AA1558"/>
  <c r="AA1559"/>
  <c r="AA1560"/>
  <c r="AA1561"/>
  <c r="AA1562"/>
  <c r="AA1563"/>
  <c r="AA1564"/>
  <c r="AA1565"/>
  <c r="AA1566"/>
  <c r="AA1567"/>
  <c r="AA1568"/>
  <c r="AA1569"/>
  <c r="AA1570"/>
  <c r="AA1571"/>
  <c r="AA1572"/>
  <c r="AA1573"/>
  <c r="AA1574"/>
  <c r="AA1575"/>
  <c r="AA1576"/>
  <c r="AA1577"/>
  <c r="AA1578"/>
  <c r="AA1579"/>
  <c r="AA1580"/>
  <c r="AA1581"/>
  <c r="AA1582"/>
  <c r="AA1583"/>
  <c r="AA1584"/>
  <c r="AA1585"/>
  <c r="AA1586"/>
  <c r="AA1587"/>
  <c r="AA1588"/>
  <c r="AA1589"/>
  <c r="AA1590"/>
  <c r="AA1591"/>
  <c r="AA1592"/>
  <c r="AA1593"/>
  <c r="AA1594"/>
  <c r="AA1595"/>
  <c r="AA1596"/>
  <c r="AA1597"/>
  <c r="AA1598"/>
  <c r="AA1599"/>
  <c r="AA1600"/>
  <c r="AA1601"/>
  <c r="AA1602"/>
  <c r="AA1603"/>
  <c r="AA1604"/>
  <c r="AA1605"/>
  <c r="AA1606"/>
  <c r="AA1607"/>
  <c r="AA1608"/>
  <c r="AA1609"/>
  <c r="AA1610"/>
  <c r="AA1611"/>
  <c r="AA1612"/>
  <c r="AA1613"/>
  <c r="AA1614"/>
  <c r="AA1615"/>
  <c r="AA1616"/>
  <c r="AA1617"/>
  <c r="AA1618"/>
  <c r="AA1619"/>
  <c r="AA1620"/>
  <c r="AA1621"/>
  <c r="AA1622"/>
  <c r="AA1623"/>
  <c r="AA1624"/>
  <c r="AA1625"/>
  <c r="AA1626"/>
  <c r="AA1627"/>
  <c r="AA1628"/>
  <c r="AA1629"/>
  <c r="AA1630"/>
  <c r="AA1631"/>
  <c r="AA1632"/>
  <c r="AA1633"/>
  <c r="AA1634"/>
  <c r="AA1635"/>
  <c r="AA1636"/>
  <c r="AA1637"/>
  <c r="AA1638"/>
  <c r="AA1639"/>
  <c r="AA1640"/>
  <c r="AA1641"/>
  <c r="AA1642"/>
  <c r="AA1643"/>
  <c r="AA1644"/>
  <c r="AA1645"/>
  <c r="AA1646"/>
  <c r="AA1647"/>
  <c r="AA1648"/>
  <c r="AA1649"/>
  <c r="AA1650"/>
  <c r="AA1651"/>
  <c r="AA1652"/>
  <c r="AA1653"/>
  <c r="AA1654"/>
  <c r="AA1655"/>
  <c r="AA1656"/>
  <c r="AA1657"/>
  <c r="AA1658"/>
  <c r="AA1659"/>
  <c r="AA1660"/>
  <c r="AA1661"/>
  <c r="AA1662"/>
  <c r="AA1663"/>
  <c r="AA1664"/>
  <c r="AA1665"/>
  <c r="AA1666"/>
  <c r="AA1667"/>
  <c r="AA1668"/>
  <c r="AA1669"/>
  <c r="AA1670"/>
  <c r="AA1671"/>
  <c r="AA1672"/>
  <c r="AA1673"/>
  <c r="AA1674"/>
  <c r="AA1675"/>
  <c r="AA1676"/>
  <c r="AA1677"/>
  <c r="AA1678"/>
  <c r="AA1679"/>
  <c r="AA1680"/>
  <c r="AA1681"/>
  <c r="AA1682"/>
  <c r="AA1683"/>
  <c r="AA1684"/>
  <c r="AA1685"/>
  <c r="AA1686"/>
  <c r="AA1687"/>
  <c r="AA1688"/>
  <c r="AA1689"/>
  <c r="AA1690"/>
  <c r="AA1691"/>
  <c r="AA1692"/>
  <c r="AA1693"/>
  <c r="AA1694"/>
  <c r="AA1695"/>
  <c r="AA1696"/>
  <c r="AA1697"/>
  <c r="AA1698"/>
  <c r="AA1699"/>
  <c r="AA1700"/>
  <c r="AA1701"/>
  <c r="AA1702"/>
  <c r="AA1703"/>
  <c r="AA1704"/>
  <c r="AA1705"/>
  <c r="AA1706"/>
  <c r="AA1707"/>
  <c r="AA1708"/>
  <c r="AA1709"/>
  <c r="AA1710"/>
  <c r="AA1711"/>
  <c r="AA1712"/>
  <c r="AA1713"/>
  <c r="AA1714"/>
  <c r="AA1715"/>
  <c r="AA1716"/>
  <c r="AA1717"/>
  <c r="AA1718"/>
  <c r="AA1719"/>
  <c r="AA1720"/>
  <c r="AA1721"/>
  <c r="AA1722"/>
  <c r="AA1723"/>
  <c r="AA1724"/>
  <c r="AA1725"/>
  <c r="AA1726"/>
  <c r="AA1727"/>
  <c r="AA1728"/>
  <c r="AA1729"/>
  <c r="AA1730"/>
  <c r="AA1731"/>
  <c r="AA1732"/>
  <c r="AA1733"/>
  <c r="AA1734"/>
  <c r="AA1735"/>
  <c r="AA1736"/>
  <c r="AA1737"/>
  <c r="AA1738"/>
  <c r="AA1739"/>
  <c r="AA1740"/>
  <c r="AA1741"/>
  <c r="AA1742"/>
  <c r="AA1743"/>
  <c r="AA1744"/>
  <c r="AA1745"/>
  <c r="AA1746"/>
  <c r="AA1747"/>
  <c r="AA1748"/>
  <c r="AA1749"/>
  <c r="AA1750"/>
  <c r="AA1751"/>
  <c r="AA1752"/>
  <c r="AA1753"/>
  <c r="AA1754"/>
  <c r="AA1755"/>
  <c r="AA1756"/>
  <c r="AA1757"/>
  <c r="AA1758"/>
  <c r="AA1759"/>
  <c r="AA1760"/>
  <c r="AA1761"/>
  <c r="AA1762"/>
  <c r="AA1763"/>
  <c r="AA1764"/>
  <c r="AA1765"/>
  <c r="AA1766"/>
  <c r="AA1767"/>
  <c r="AA1768"/>
  <c r="AA1769"/>
  <c r="AA1770"/>
  <c r="AA1771"/>
  <c r="AA1772"/>
  <c r="AA1773"/>
  <c r="AA1774"/>
  <c r="AA1775"/>
  <c r="AA1776"/>
  <c r="AA1777"/>
  <c r="AA1778"/>
  <c r="AA1779"/>
  <c r="AA1780"/>
  <c r="AA1781"/>
  <c r="AA1782"/>
  <c r="AA1783"/>
  <c r="AA1784"/>
  <c r="AA1785"/>
  <c r="AA1786"/>
  <c r="AA1787"/>
  <c r="AA1788"/>
  <c r="AA1789"/>
  <c r="AA1790"/>
  <c r="AA1791"/>
  <c r="AA1792"/>
  <c r="AA1793"/>
  <c r="AA1794"/>
  <c r="AA1795"/>
  <c r="AA1796"/>
  <c r="AA1797"/>
  <c r="AA1798"/>
  <c r="AA1799"/>
  <c r="AA1800"/>
  <c r="AA1801"/>
  <c r="AA1802"/>
  <c r="AA1803"/>
  <c r="AA1804"/>
  <c r="AA1805"/>
  <c r="AA1806"/>
  <c r="AA1807"/>
  <c r="AA1808"/>
  <c r="AA1809"/>
  <c r="AA1810"/>
  <c r="AA1811"/>
  <c r="AA1812"/>
  <c r="AA1813"/>
  <c r="AA1814"/>
  <c r="AA1815"/>
  <c r="AA1816"/>
  <c r="AA1817"/>
  <c r="AA1818"/>
  <c r="AA1819"/>
  <c r="AA1820"/>
  <c r="AA1821"/>
  <c r="AA1822"/>
  <c r="AA1823"/>
  <c r="AA1824"/>
  <c r="AA1825"/>
  <c r="AA1826"/>
  <c r="AA1827"/>
  <c r="AA1828"/>
  <c r="AA1829"/>
  <c r="AA1830"/>
  <c r="AA1831"/>
  <c r="AA1832"/>
  <c r="AA1833"/>
  <c r="AA1834"/>
  <c r="AA1835"/>
  <c r="AA1836"/>
  <c r="AA1837"/>
  <c r="AA1838"/>
  <c r="AA1839"/>
  <c r="AA1840"/>
  <c r="AA1841"/>
  <c r="AA1842"/>
  <c r="AA1843"/>
  <c r="AA1844"/>
  <c r="AA1845"/>
  <c r="AA1846"/>
  <c r="AA1847"/>
  <c r="AA1848"/>
  <c r="AA1849"/>
  <c r="AA1850"/>
  <c r="AA1851"/>
  <c r="AA1852"/>
  <c r="AA1853"/>
  <c r="AA1854"/>
  <c r="AA1855"/>
  <c r="AA1856"/>
  <c r="AA1857"/>
  <c r="AA1858"/>
  <c r="AA1859"/>
  <c r="AA1860"/>
  <c r="AA1861"/>
  <c r="AA1862"/>
  <c r="AA1863"/>
  <c r="AA1864"/>
  <c r="AA1865"/>
  <c r="AA1866"/>
  <c r="AA1867"/>
  <c r="AA1868"/>
  <c r="AA1869"/>
  <c r="AA1870"/>
  <c r="AA1871"/>
  <c r="AA1872"/>
  <c r="AA1873"/>
  <c r="AA1874"/>
  <c r="AA1875"/>
  <c r="AA1876"/>
  <c r="AA1877"/>
  <c r="AA1878"/>
  <c r="AA1879"/>
  <c r="AA1880"/>
  <c r="AA1881"/>
  <c r="AA1882"/>
  <c r="AA1883"/>
  <c r="AA1884"/>
  <c r="AA1885"/>
  <c r="AA1886"/>
  <c r="AA1887"/>
  <c r="AA1888"/>
  <c r="AA1889"/>
  <c r="AA1890"/>
  <c r="AA1891"/>
  <c r="AA1892"/>
  <c r="AA1893"/>
  <c r="AA1894"/>
  <c r="AA1895"/>
  <c r="AA1896"/>
  <c r="AA1897"/>
  <c r="AA1898"/>
  <c r="AA1899"/>
  <c r="AA1900"/>
  <c r="AA1901"/>
  <c r="AA1902"/>
  <c r="AA1903"/>
  <c r="AA1904"/>
  <c r="AA1905"/>
  <c r="AA1906"/>
  <c r="AA1907"/>
  <c r="AA1908"/>
  <c r="AA1909"/>
  <c r="AA1910"/>
  <c r="AA1911"/>
  <c r="AA1912"/>
  <c r="AA1913"/>
  <c r="AA1914"/>
  <c r="AA1915"/>
  <c r="AA1916"/>
  <c r="AA1917"/>
  <c r="AA1918"/>
  <c r="AA1919"/>
  <c r="AA1920"/>
  <c r="AA1921"/>
  <c r="AA1922"/>
  <c r="AA1923"/>
  <c r="AA1924"/>
  <c r="AA1925"/>
  <c r="AA1926"/>
  <c r="AA1927"/>
  <c r="AA1928"/>
  <c r="AA1929"/>
  <c r="AA1930"/>
  <c r="AA1931"/>
  <c r="AA1932"/>
  <c r="AA1933"/>
  <c r="AA1934"/>
  <c r="AA1935"/>
  <c r="AA1936"/>
  <c r="AA1937"/>
  <c r="AA1938"/>
  <c r="AA1939"/>
  <c r="AA1940"/>
  <c r="AA1941"/>
  <c r="AA1942"/>
  <c r="AA1943"/>
  <c r="AA1944"/>
  <c r="AA1945"/>
  <c r="AA1946"/>
  <c r="AA1947"/>
  <c r="AA1948"/>
  <c r="AA1949"/>
  <c r="AA1950"/>
  <c r="AA1951"/>
  <c r="AA1952"/>
  <c r="AA1953"/>
  <c r="AA1954"/>
  <c r="AA1955"/>
  <c r="AA1956"/>
  <c r="AA1957"/>
  <c r="AA1958"/>
  <c r="AA1959"/>
  <c r="AA1960"/>
  <c r="AA1961"/>
  <c r="AA1962"/>
  <c r="AA1963"/>
  <c r="AA1964"/>
  <c r="AA1965"/>
  <c r="AA1966"/>
  <c r="AA1967"/>
  <c r="AA1968"/>
  <c r="AA1969"/>
  <c r="AA1970"/>
  <c r="AA1971"/>
  <c r="AA1972"/>
  <c r="AA1973"/>
  <c r="AA1974"/>
  <c r="AA1975"/>
  <c r="AA1976"/>
  <c r="AA1977"/>
  <c r="AA1978"/>
  <c r="AA1979"/>
  <c r="AA1980"/>
  <c r="AA1981"/>
  <c r="AA1982"/>
  <c r="AA1983"/>
  <c r="AA1984"/>
  <c r="AA1985"/>
  <c r="AA1986"/>
  <c r="AA1987"/>
  <c r="AA1988"/>
  <c r="AA1989"/>
  <c r="AA1990"/>
  <c r="AA1991"/>
  <c r="AA1992"/>
  <c r="AA1993"/>
  <c r="AA1994"/>
  <c r="AA1995"/>
  <c r="AA1996"/>
  <c r="AA1997"/>
  <c r="AA1998"/>
  <c r="AA1999"/>
  <c r="AA2000"/>
  <c r="C4" i="7" l="1"/>
  <c r="B4"/>
  <c r="M4" i="2"/>
  <c r="F17" l="1"/>
  <c r="A15" i="7" l="1"/>
  <c r="C115" i="11"/>
  <c r="G17" i="2"/>
  <c r="BL1202" i="11" s="1"/>
  <c r="C1206" l="1"/>
  <c r="B15" i="7"/>
  <c r="B14" s="1"/>
  <c r="C857" i="11"/>
  <c r="C557"/>
  <c r="C247"/>
  <c r="AR904"/>
  <c r="C685"/>
  <c r="T456"/>
  <c r="C1078"/>
  <c r="BP756"/>
  <c r="BP456"/>
  <c r="BP146"/>
  <c r="BL1052"/>
  <c r="C835"/>
  <c r="T606"/>
  <c r="AR454"/>
  <c r="C225"/>
  <c r="C1007"/>
  <c r="C707"/>
  <c r="C407"/>
  <c r="C985"/>
  <c r="T756"/>
  <c r="AR604"/>
  <c r="C385"/>
  <c r="T146"/>
  <c r="BP906"/>
  <c r="BP606"/>
  <c r="BP306"/>
  <c r="BL86"/>
  <c r="C90"/>
  <c r="DY1097"/>
  <c r="CW1097"/>
  <c r="BU1097"/>
  <c r="AR1097"/>
  <c r="O1097"/>
  <c r="DD1096"/>
  <c r="CB1096"/>
  <c r="AY1096"/>
  <c r="W1096"/>
  <c r="DK1095"/>
  <c r="CI1095"/>
  <c r="BF1095"/>
  <c r="DR1094"/>
  <c r="CP1094"/>
  <c r="BM1094"/>
  <c r="AK1094"/>
  <c r="DY1093"/>
  <c r="CW1093"/>
  <c r="BU1093"/>
  <c r="AR1093"/>
  <c r="O1093"/>
  <c r="DD1092"/>
  <c r="CB1092"/>
  <c r="AY1092"/>
  <c r="W1092"/>
  <c r="DK1091"/>
  <c r="CI1091"/>
  <c r="BF1091"/>
  <c r="DR1090"/>
  <c r="CP1090"/>
  <c r="BM1090"/>
  <c r="AK1090"/>
  <c r="DY1089"/>
  <c r="CW1089"/>
  <c r="BU1089"/>
  <c r="AR1089"/>
  <c r="O1089"/>
  <c r="DD1088"/>
  <c r="CB1088"/>
  <c r="AY1088"/>
  <c r="W1088"/>
  <c r="DK1087"/>
  <c r="CI1087"/>
  <c r="BF1087"/>
  <c r="DR1086"/>
  <c r="CP1086"/>
  <c r="BM1086"/>
  <c r="AK1086"/>
  <c r="DY1085"/>
  <c r="CW1085"/>
  <c r="BU1085"/>
  <c r="AR1085"/>
  <c r="O1085"/>
  <c r="DD1084"/>
  <c r="CB1084"/>
  <c r="AY1084"/>
  <c r="W1084"/>
  <c r="DK1083"/>
  <c r="CI1083"/>
  <c r="BF1083"/>
  <c r="DR1082"/>
  <c r="CP1082"/>
  <c r="BM1082"/>
  <c r="AK1082"/>
  <c r="DY1081"/>
  <c r="CW1081"/>
  <c r="BU1081"/>
  <c r="AR1081"/>
  <c r="O1081"/>
  <c r="DD1097"/>
  <c r="BM1097"/>
  <c r="DK1096"/>
  <c r="BU1096"/>
  <c r="AK1096"/>
  <c r="DR1095"/>
  <c r="CB1095"/>
  <c r="AR1095"/>
  <c r="DY1094"/>
  <c r="CI1094"/>
  <c r="AY1094"/>
  <c r="O1094"/>
  <c r="CP1093"/>
  <c r="BF1093"/>
  <c r="W1093"/>
  <c r="CW1092"/>
  <c r="BM1092"/>
  <c r="DD1091"/>
  <c r="BU1091"/>
  <c r="AK1091"/>
  <c r="DK1090"/>
  <c r="CB1090"/>
  <c r="AR1090"/>
  <c r="DR1089"/>
  <c r="CI1089"/>
  <c r="AY1089"/>
  <c r="DY1088"/>
  <c r="CP1088"/>
  <c r="BF1088"/>
  <c r="O1088"/>
  <c r="CW1087"/>
  <c r="BM1087"/>
  <c r="W1087"/>
  <c r="DD1086"/>
  <c r="BU1086"/>
  <c r="DK1085"/>
  <c r="CB1085"/>
  <c r="AK1085"/>
  <c r="DR1084"/>
  <c r="CI1084"/>
  <c r="AR1084"/>
  <c r="DY1083"/>
  <c r="CP1083"/>
  <c r="AY1083"/>
  <c r="O1083"/>
  <c r="CW1082"/>
  <c r="BF1082"/>
  <c r="W1082"/>
  <c r="DD1081"/>
  <c r="BM1081"/>
  <c r="CI1097"/>
  <c r="AK1097"/>
  <c r="CW1096"/>
  <c r="BF1096"/>
  <c r="DY1095"/>
  <c r="BU1095"/>
  <c r="W1095"/>
  <c r="CW1094"/>
  <c r="AR1094"/>
  <c r="DK1093"/>
  <c r="BM1093"/>
  <c r="DY1092"/>
  <c r="CI1092"/>
  <c r="AK1092"/>
  <c r="CW1091"/>
  <c r="AY1091"/>
  <c r="DY1090"/>
  <c r="BU1090"/>
  <c r="W1090"/>
  <c r="CP1089"/>
  <c r="AK1089"/>
  <c r="DK1088"/>
  <c r="BM1088"/>
  <c r="DY1087"/>
  <c r="CB1087"/>
  <c r="AK1087"/>
  <c r="CW1086"/>
  <c r="AY1086"/>
  <c r="DR1085"/>
  <c r="BM1085"/>
  <c r="W1085"/>
  <c r="CP1084"/>
  <c r="AK1084"/>
  <c r="DD1083"/>
  <c r="BM1083"/>
  <c r="DY1082"/>
  <c r="CB1082"/>
  <c r="CP1081"/>
  <c r="AY1081"/>
  <c r="DR1097"/>
  <c r="CB1097"/>
  <c r="W1097"/>
  <c r="CP1096"/>
  <c r="AR1096"/>
  <c r="DD1095"/>
  <c r="BM1095"/>
  <c r="O1095"/>
  <c r="CB1094"/>
  <c r="DD1093"/>
  <c r="AY1093"/>
  <c r="DR1092"/>
  <c r="BU1092"/>
  <c r="O1092"/>
  <c r="CP1091"/>
  <c r="AR1091"/>
  <c r="DD1090"/>
  <c r="BF1090"/>
  <c r="O1090"/>
  <c r="CB1089"/>
  <c r="CW1088"/>
  <c r="AR1088"/>
  <c r="DR1087"/>
  <c r="BU1087"/>
  <c r="O1087"/>
  <c r="CI1086"/>
  <c r="AR1086"/>
  <c r="DD1085"/>
  <c r="BF1085"/>
  <c r="DY1084"/>
  <c r="BU1084"/>
  <c r="CW1083"/>
  <c r="AR1083"/>
  <c r="DK1082"/>
  <c r="BU1082"/>
  <c r="O1082"/>
  <c r="CI1081"/>
  <c r="AK1081"/>
  <c r="DK1097"/>
  <c r="BF1097"/>
  <c r="DY1096"/>
  <c r="CI1096"/>
  <c r="CW1095"/>
  <c r="AY1095"/>
  <c r="DK1094"/>
  <c r="BU1094"/>
  <c r="W1094"/>
  <c r="CI1093"/>
  <c r="AK1093"/>
  <c r="DK1092"/>
  <c r="BF1092"/>
  <c r="DY1091"/>
  <c r="CB1091"/>
  <c r="W1091"/>
  <c r="CW1090"/>
  <c r="AY1090"/>
  <c r="DK1089"/>
  <c r="BM1089"/>
  <c r="W1089"/>
  <c r="CI1088"/>
  <c r="AK1088"/>
  <c r="DD1087"/>
  <c r="AY1087"/>
  <c r="DY1086"/>
  <c r="CB1086"/>
  <c r="W1086"/>
  <c r="CP1085"/>
  <c r="AY1085"/>
  <c r="DK1084"/>
  <c r="BM1084"/>
  <c r="O1084"/>
  <c r="CB1083"/>
  <c r="AK1083"/>
  <c r="DD1082"/>
  <c r="AY1082"/>
  <c r="DR1081"/>
  <c r="CB1081"/>
  <c r="W1081"/>
  <c r="BM1096"/>
  <c r="DD1094"/>
  <c r="BM1091"/>
  <c r="DD1089"/>
  <c r="BF1086"/>
  <c r="CW1084"/>
  <c r="W1083"/>
  <c r="BF1081"/>
  <c r="DK1026"/>
  <c r="CI1026"/>
  <c r="BF1026"/>
  <c r="DR1025"/>
  <c r="CP1025"/>
  <c r="BM1025"/>
  <c r="AK1025"/>
  <c r="DY1024"/>
  <c r="CW1024"/>
  <c r="BU1024"/>
  <c r="AR1024"/>
  <c r="O1024"/>
  <c r="DD1023"/>
  <c r="CB1023"/>
  <c r="AY1023"/>
  <c r="W1023"/>
  <c r="DK1022"/>
  <c r="CI1022"/>
  <c r="BF1022"/>
  <c r="DR1021"/>
  <c r="CP1021"/>
  <c r="BM1021"/>
  <c r="AK1021"/>
  <c r="DY1020"/>
  <c r="CW1020"/>
  <c r="BU1020"/>
  <c r="AR1020"/>
  <c r="O1020"/>
  <c r="DD1019"/>
  <c r="CB1019"/>
  <c r="AY1019"/>
  <c r="W1019"/>
  <c r="DK1018"/>
  <c r="CI1018"/>
  <c r="BF1018"/>
  <c r="DR1017"/>
  <c r="CP1017"/>
  <c r="BM1017"/>
  <c r="AK1017"/>
  <c r="DY1016"/>
  <c r="CW1016"/>
  <c r="BU1016"/>
  <c r="AR1016"/>
  <c r="O1016"/>
  <c r="DD1015"/>
  <c r="CB1015"/>
  <c r="AY1015"/>
  <c r="W1015"/>
  <c r="DK1014"/>
  <c r="CI1014"/>
  <c r="BF1014"/>
  <c r="DR1013"/>
  <c r="CP1013"/>
  <c r="BM1013"/>
  <c r="AK1013"/>
  <c r="DY1012"/>
  <c r="CW1012"/>
  <c r="BU1012"/>
  <c r="AR1012"/>
  <c r="O1012"/>
  <c r="DD1011"/>
  <c r="CB1011"/>
  <c r="AY1011"/>
  <c r="W1011"/>
  <c r="DK1010"/>
  <c r="CI1010"/>
  <c r="BF1010"/>
  <c r="CP1097"/>
  <c r="O1096"/>
  <c r="BF1094"/>
  <c r="CP1092"/>
  <c r="O1091"/>
  <c r="BF1089"/>
  <c r="CP1087"/>
  <c r="O1086"/>
  <c r="BF1084"/>
  <c r="CI1082"/>
  <c r="DD1026"/>
  <c r="CB1026"/>
  <c r="AY1026"/>
  <c r="W1026"/>
  <c r="DK1025"/>
  <c r="CI1025"/>
  <c r="BF1025"/>
  <c r="DR1024"/>
  <c r="CP1024"/>
  <c r="BM1024"/>
  <c r="AK1024"/>
  <c r="DY1023"/>
  <c r="CW1023"/>
  <c r="BU1023"/>
  <c r="AR1023"/>
  <c r="O1023"/>
  <c r="DD1022"/>
  <c r="CB1022"/>
  <c r="AY1022"/>
  <c r="W1022"/>
  <c r="DK1021"/>
  <c r="CI1021"/>
  <c r="BF1021"/>
  <c r="DR1020"/>
  <c r="CP1020"/>
  <c r="BM1020"/>
  <c r="AK1020"/>
  <c r="DY1019"/>
  <c r="CW1019"/>
  <c r="BU1019"/>
  <c r="AR1019"/>
  <c r="O1019"/>
  <c r="DD1018"/>
  <c r="CB1018"/>
  <c r="AY1018"/>
  <c r="W1018"/>
  <c r="DK1017"/>
  <c r="CI1017"/>
  <c r="BF1017"/>
  <c r="DR1016"/>
  <c r="CP1016"/>
  <c r="BM1016"/>
  <c r="AK1016"/>
  <c r="DY1015"/>
  <c r="CW1015"/>
  <c r="BU1015"/>
  <c r="AR1015"/>
  <c r="O1015"/>
  <c r="DD1014"/>
  <c r="CB1014"/>
  <c r="AY1014"/>
  <c r="W1014"/>
  <c r="DK1013"/>
  <c r="CI1013"/>
  <c r="BF1013"/>
  <c r="DR1012"/>
  <c r="CP1012"/>
  <c r="BM1012"/>
  <c r="AK1012"/>
  <c r="DY1011"/>
  <c r="CW1011"/>
  <c r="BU1011"/>
  <c r="AR1011"/>
  <c r="O1011"/>
  <c r="DD1010"/>
  <c r="CB1010"/>
  <c r="AY1010"/>
  <c r="W1010"/>
  <c r="AY1097"/>
  <c r="CP1095"/>
  <c r="DR1093"/>
  <c r="AR1092"/>
  <c r="CI1090"/>
  <c r="DR1088"/>
  <c r="AR1087"/>
  <c r="CI1085"/>
  <c r="DR1083"/>
  <c r="AR1082"/>
  <c r="DY1026"/>
  <c r="CW1026"/>
  <c r="BU1026"/>
  <c r="AR1026"/>
  <c r="O1026"/>
  <c r="DD1025"/>
  <c r="CB1025"/>
  <c r="AY1025"/>
  <c r="W1025"/>
  <c r="DK1024"/>
  <c r="CI1024"/>
  <c r="BF1024"/>
  <c r="DR1023"/>
  <c r="CP1023"/>
  <c r="BM1023"/>
  <c r="AK1023"/>
  <c r="DY1022"/>
  <c r="CW1022"/>
  <c r="BU1022"/>
  <c r="AR1022"/>
  <c r="O1022"/>
  <c r="DD1021"/>
  <c r="CB1021"/>
  <c r="AY1021"/>
  <c r="W1021"/>
  <c r="DK1020"/>
  <c r="CI1020"/>
  <c r="BF1020"/>
  <c r="DR1019"/>
  <c r="CP1019"/>
  <c r="BM1019"/>
  <c r="AK1019"/>
  <c r="DY1018"/>
  <c r="CW1018"/>
  <c r="BU1018"/>
  <c r="AR1018"/>
  <c r="O1018"/>
  <c r="DD1017"/>
  <c r="CB1017"/>
  <c r="AY1017"/>
  <c r="W1017"/>
  <c r="DK1016"/>
  <c r="CI1016"/>
  <c r="BF1016"/>
  <c r="DR1015"/>
  <c r="CP1015"/>
  <c r="BM1015"/>
  <c r="AK1015"/>
  <c r="DY1014"/>
  <c r="CW1014"/>
  <c r="BU1014"/>
  <c r="AR1014"/>
  <c r="O1014"/>
  <c r="DD1013"/>
  <c r="CB1013"/>
  <c r="AY1013"/>
  <c r="W1013"/>
  <c r="DK1012"/>
  <c r="CI1012"/>
  <c r="BF1012"/>
  <c r="DR1011"/>
  <c r="CP1011"/>
  <c r="BM1011"/>
  <c r="AK1011"/>
  <c r="DY1010"/>
  <c r="CW1010"/>
  <c r="BU1010"/>
  <c r="AR1010"/>
  <c r="O1010"/>
  <c r="AK1095"/>
  <c r="BU1088"/>
  <c r="DK1081"/>
  <c r="CP1026"/>
  <c r="CW1025"/>
  <c r="DD1024"/>
  <c r="DK1023"/>
  <c r="DR1022"/>
  <c r="DY1021"/>
  <c r="O1021"/>
  <c r="W1020"/>
  <c r="AK1018"/>
  <c r="AR1017"/>
  <c r="AY1016"/>
  <c r="BF1015"/>
  <c r="BM1014"/>
  <c r="BU1013"/>
  <c r="CB1012"/>
  <c r="CI1011"/>
  <c r="CP1010"/>
  <c r="BP971"/>
  <c r="BP967"/>
  <c r="BP963"/>
  <c r="BP959"/>
  <c r="BP955"/>
  <c r="BP951"/>
  <c r="BP947"/>
  <c r="BP943"/>
  <c r="BP941"/>
  <c r="BP937"/>
  <c r="BP933"/>
  <c r="BP929"/>
  <c r="BP925"/>
  <c r="BP921"/>
  <c r="BP917"/>
  <c r="BP913"/>
  <c r="BP909"/>
  <c r="DK876"/>
  <c r="CI876"/>
  <c r="BF876"/>
  <c r="DR875"/>
  <c r="CP875"/>
  <c r="BM875"/>
  <c r="AK875"/>
  <c r="DY874"/>
  <c r="CW874"/>
  <c r="BU874"/>
  <c r="AR874"/>
  <c r="O874"/>
  <c r="DD873"/>
  <c r="CB873"/>
  <c r="AY873"/>
  <c r="W873"/>
  <c r="DK872"/>
  <c r="CI872"/>
  <c r="BF872"/>
  <c r="DR871"/>
  <c r="CP871"/>
  <c r="BM871"/>
  <c r="AK871"/>
  <c r="DY870"/>
  <c r="CB1093"/>
  <c r="DK1086"/>
  <c r="BM1026"/>
  <c r="BU1025"/>
  <c r="CB1024"/>
  <c r="CI1023"/>
  <c r="CP1022"/>
  <c r="CW1021"/>
  <c r="DD1020"/>
  <c r="DK1019"/>
  <c r="DR1018"/>
  <c r="DY1017"/>
  <c r="O1017"/>
  <c r="W1016"/>
  <c r="AK1014"/>
  <c r="AR1013"/>
  <c r="AY1012"/>
  <c r="BF1011"/>
  <c r="BM1010"/>
  <c r="BZ972"/>
  <c r="BZ968"/>
  <c r="BZ964"/>
  <c r="BZ960"/>
  <c r="BZ956"/>
  <c r="BZ952"/>
  <c r="BZ948"/>
  <c r="BZ944"/>
  <c r="BZ940"/>
  <c r="BZ936"/>
  <c r="BZ932"/>
  <c r="BZ928"/>
  <c r="BZ924"/>
  <c r="BZ920"/>
  <c r="BZ916"/>
  <c r="BZ912"/>
  <c r="DR1091"/>
  <c r="AK1026"/>
  <c r="AR1025"/>
  <c r="AY1024"/>
  <c r="BF1023"/>
  <c r="BM1022"/>
  <c r="BU1021"/>
  <c r="CB1020"/>
  <c r="CI1019"/>
  <c r="CP1018"/>
  <c r="CW1017"/>
  <c r="DD1016"/>
  <c r="DK1015"/>
  <c r="DR1014"/>
  <c r="DY1013"/>
  <c r="O1013"/>
  <c r="W1012"/>
  <c r="AK1010"/>
  <c r="BP972"/>
  <c r="BP968"/>
  <c r="CJ968" s="1"/>
  <c r="BP964"/>
  <c r="CJ964" s="1"/>
  <c r="BP960"/>
  <c r="BP956"/>
  <c r="BP952"/>
  <c r="CJ952" s="1"/>
  <c r="BP948"/>
  <c r="CJ948" s="1"/>
  <c r="BP944"/>
  <c r="BP940"/>
  <c r="BP936"/>
  <c r="CJ936" s="1"/>
  <c r="BP932"/>
  <c r="CJ932" s="1"/>
  <c r="BP928"/>
  <c r="BP924"/>
  <c r="BP920"/>
  <c r="CJ920" s="1"/>
  <c r="BP916"/>
  <c r="CJ916" s="1"/>
  <c r="BP912"/>
  <c r="BU1083"/>
  <c r="DR1026"/>
  <c r="BF1019"/>
  <c r="CI1015"/>
  <c r="DK1011"/>
  <c r="BZ933"/>
  <c r="BZ917"/>
  <c r="CW876"/>
  <c r="BM876"/>
  <c r="W876"/>
  <c r="DD875"/>
  <c r="BU875"/>
  <c r="DK874"/>
  <c r="CB874"/>
  <c r="AK874"/>
  <c r="DR873"/>
  <c r="CI873"/>
  <c r="AR873"/>
  <c r="DY872"/>
  <c r="CP872"/>
  <c r="AY872"/>
  <c r="O872"/>
  <c r="CW871"/>
  <c r="BF871"/>
  <c r="W871"/>
  <c r="DD870"/>
  <c r="CB870"/>
  <c r="AY870"/>
  <c r="W870"/>
  <c r="DK869"/>
  <c r="CI869"/>
  <c r="BF869"/>
  <c r="DR868"/>
  <c r="CP868"/>
  <c r="BM868"/>
  <c r="AK868"/>
  <c r="DY867"/>
  <c r="CW867"/>
  <c r="BU867"/>
  <c r="AR867"/>
  <c r="O867"/>
  <c r="DD866"/>
  <c r="CB866"/>
  <c r="AY866"/>
  <c r="W866"/>
  <c r="DK865"/>
  <c r="CI865"/>
  <c r="BF865"/>
  <c r="DR864"/>
  <c r="CP864"/>
  <c r="BM864"/>
  <c r="AK864"/>
  <c r="DY863"/>
  <c r="CW863"/>
  <c r="BU863"/>
  <c r="AR863"/>
  <c r="O863"/>
  <c r="DD862"/>
  <c r="CB862"/>
  <c r="AY862"/>
  <c r="W862"/>
  <c r="DK861"/>
  <c r="CI861"/>
  <c r="BF861"/>
  <c r="DR860"/>
  <c r="CP860"/>
  <c r="BM860"/>
  <c r="AK860"/>
  <c r="DY1025"/>
  <c r="AK1022"/>
  <c r="BM1018"/>
  <c r="CP1014"/>
  <c r="DR1010"/>
  <c r="DR1027" s="1"/>
  <c r="DR1096"/>
  <c r="O1025"/>
  <c r="AR1021"/>
  <c r="BU1017"/>
  <c r="CW1013"/>
  <c r="W1024"/>
  <c r="AY1020"/>
  <c r="CB1016"/>
  <c r="DD1012"/>
  <c r="BZ929"/>
  <c r="BZ913"/>
  <c r="BP908"/>
  <c r="DD876"/>
  <c r="BU876"/>
  <c r="AK876"/>
  <c r="DK875"/>
  <c r="CB875"/>
  <c r="AR875"/>
  <c r="DR874"/>
  <c r="CI874"/>
  <c r="AY874"/>
  <c r="DY873"/>
  <c r="CP873"/>
  <c r="BF873"/>
  <c r="O873"/>
  <c r="CW872"/>
  <c r="BM872"/>
  <c r="W872"/>
  <c r="DD871"/>
  <c r="BU871"/>
  <c r="DK870"/>
  <c r="CI870"/>
  <c r="BF870"/>
  <c r="DR869"/>
  <c r="CP869"/>
  <c r="BM869"/>
  <c r="AK869"/>
  <c r="DY868"/>
  <c r="CW868"/>
  <c r="BU868"/>
  <c r="AR868"/>
  <c r="O868"/>
  <c r="DD867"/>
  <c r="CB867"/>
  <c r="AY867"/>
  <c r="W867"/>
  <c r="DK866"/>
  <c r="CI866"/>
  <c r="BF866"/>
  <c r="BZ963"/>
  <c r="BZ947"/>
  <c r="BZ925"/>
  <c r="CP876"/>
  <c r="O876"/>
  <c r="BF875"/>
  <c r="DD874"/>
  <c r="BU873"/>
  <c r="DR872"/>
  <c r="AR872"/>
  <c r="CI871"/>
  <c r="O871"/>
  <c r="BU870"/>
  <c r="O870"/>
  <c r="CB869"/>
  <c r="W869"/>
  <c r="CI868"/>
  <c r="CP867"/>
  <c r="AK867"/>
  <c r="CW866"/>
  <c r="AR866"/>
  <c r="DR865"/>
  <c r="CB865"/>
  <c r="AR865"/>
  <c r="DY864"/>
  <c r="CI864"/>
  <c r="AY864"/>
  <c r="O864"/>
  <c r="CP863"/>
  <c r="BF863"/>
  <c r="W863"/>
  <c r="CW862"/>
  <c r="BM862"/>
  <c r="DD861"/>
  <c r="BU861"/>
  <c r="AK861"/>
  <c r="DK860"/>
  <c r="CB860"/>
  <c r="AR860"/>
  <c r="BZ821"/>
  <c r="BZ817"/>
  <c r="BZ813"/>
  <c r="BZ967"/>
  <c r="BZ951"/>
  <c r="BZ921"/>
  <c r="BZ908"/>
  <c r="CB876"/>
  <c r="DY875"/>
  <c r="AY875"/>
  <c r="CP874"/>
  <c r="W874"/>
  <c r="BM873"/>
  <c r="DD872"/>
  <c r="AK872"/>
  <c r="CB871"/>
  <c r="DR870"/>
  <c r="BM870"/>
  <c r="DY869"/>
  <c r="BU869"/>
  <c r="O869"/>
  <c r="CB868"/>
  <c r="W868"/>
  <c r="CI867"/>
  <c r="CP866"/>
  <c r="AK866"/>
  <c r="DD865"/>
  <c r="BU865"/>
  <c r="AK865"/>
  <c r="DK864"/>
  <c r="CB864"/>
  <c r="AR864"/>
  <c r="DR863"/>
  <c r="CI863"/>
  <c r="AY863"/>
  <c r="DY862"/>
  <c r="CP862"/>
  <c r="BF862"/>
  <c r="O862"/>
  <c r="CW861"/>
  <c r="BM861"/>
  <c r="W861"/>
  <c r="DD860"/>
  <c r="BU860"/>
  <c r="BP821"/>
  <c r="CJ821" s="1"/>
  <c r="BP817"/>
  <c r="CJ817" s="1"/>
  <c r="BP813"/>
  <c r="CJ813" s="1"/>
  <c r="BZ971"/>
  <c r="BZ955"/>
  <c r="BZ941"/>
  <c r="DY876"/>
  <c r="AY876"/>
  <c r="CW875"/>
  <c r="W875"/>
  <c r="BM874"/>
  <c r="DK873"/>
  <c r="AK873"/>
  <c r="CB872"/>
  <c r="DY871"/>
  <c r="AY871"/>
  <c r="CW870"/>
  <c r="AR870"/>
  <c r="DD869"/>
  <c r="AY869"/>
  <c r="DK868"/>
  <c r="BF868"/>
  <c r="DR867"/>
  <c r="BM867"/>
  <c r="DY866"/>
  <c r="BU866"/>
  <c r="O866"/>
  <c r="CW865"/>
  <c r="BM865"/>
  <c r="W865"/>
  <c r="DD864"/>
  <c r="BU864"/>
  <c r="DK863"/>
  <c r="CB863"/>
  <c r="AK863"/>
  <c r="DR862"/>
  <c r="CI862"/>
  <c r="AR862"/>
  <c r="DY861"/>
  <c r="CP861"/>
  <c r="AY861"/>
  <c r="O861"/>
  <c r="CW860"/>
  <c r="BF860"/>
  <c r="W860"/>
  <c r="BZ822"/>
  <c r="BZ818"/>
  <c r="BZ814"/>
  <c r="BZ810"/>
  <c r="BZ806"/>
  <c r="BZ802"/>
  <c r="BZ798"/>
  <c r="BZ794"/>
  <c r="BZ790"/>
  <c r="BZ786"/>
  <c r="BZ959"/>
  <c r="BZ943"/>
  <c r="BZ937"/>
  <c r="BZ909"/>
  <c r="DR876"/>
  <c r="AR876"/>
  <c r="CI875"/>
  <c r="O875"/>
  <c r="BF874"/>
  <c r="CW873"/>
  <c r="BU872"/>
  <c r="DK871"/>
  <c r="AR871"/>
  <c r="CP870"/>
  <c r="AK870"/>
  <c r="CW869"/>
  <c r="AR869"/>
  <c r="DD868"/>
  <c r="AY868"/>
  <c r="DK867"/>
  <c r="BF867"/>
  <c r="DR866"/>
  <c r="BM866"/>
  <c r="DY865"/>
  <c r="CP865"/>
  <c r="AY865"/>
  <c r="O865"/>
  <c r="CW864"/>
  <c r="BF864"/>
  <c r="W864"/>
  <c r="DD863"/>
  <c r="BM863"/>
  <c r="DK862"/>
  <c r="BU862"/>
  <c r="AK862"/>
  <c r="DR861"/>
  <c r="CB861"/>
  <c r="AR861"/>
  <c r="DY860"/>
  <c r="DY877" s="1"/>
  <c r="CI860"/>
  <c r="AY860"/>
  <c r="O860"/>
  <c r="BP822"/>
  <c r="CJ822" s="1"/>
  <c r="BP818"/>
  <c r="CJ818" s="1"/>
  <c r="BP814"/>
  <c r="CJ814" s="1"/>
  <c r="BP810"/>
  <c r="CJ810" s="1"/>
  <c r="BP806"/>
  <c r="CJ806" s="1"/>
  <c r="BP802"/>
  <c r="CJ802" s="1"/>
  <c r="BP798"/>
  <c r="CJ798" s="1"/>
  <c r="BP794"/>
  <c r="CJ794" s="1"/>
  <c r="BP790"/>
  <c r="CJ790" s="1"/>
  <c r="BF126" s="1"/>
  <c r="BP786"/>
  <c r="CJ786" s="1"/>
  <c r="BZ801"/>
  <c r="BP797"/>
  <c r="BP791"/>
  <c r="BZ783"/>
  <c r="BZ779"/>
  <c r="BZ775"/>
  <c r="BZ771"/>
  <c r="BZ767"/>
  <c r="BZ763"/>
  <c r="BZ759"/>
  <c r="DR726"/>
  <c r="CP726"/>
  <c r="BM726"/>
  <c r="AK726"/>
  <c r="DY725"/>
  <c r="CW725"/>
  <c r="BU725"/>
  <c r="AR725"/>
  <c r="O725"/>
  <c r="DD724"/>
  <c r="CB724"/>
  <c r="AY724"/>
  <c r="W724"/>
  <c r="DK723"/>
  <c r="CI723"/>
  <c r="BF723"/>
  <c r="DR722"/>
  <c r="CP722"/>
  <c r="BM722"/>
  <c r="AK722"/>
  <c r="DY721"/>
  <c r="CW721"/>
  <c r="BU721"/>
  <c r="AR721"/>
  <c r="O721"/>
  <c r="DD720"/>
  <c r="CB720"/>
  <c r="AY720"/>
  <c r="W720"/>
  <c r="DK719"/>
  <c r="CI719"/>
  <c r="BF719"/>
  <c r="DR718"/>
  <c r="CP718"/>
  <c r="BM718"/>
  <c r="AK718"/>
  <c r="DY717"/>
  <c r="CW717"/>
  <c r="BU717"/>
  <c r="AR717"/>
  <c r="O717"/>
  <c r="DD716"/>
  <c r="CB716"/>
  <c r="AY716"/>
  <c r="W716"/>
  <c r="DK715"/>
  <c r="CI715"/>
  <c r="BF715"/>
  <c r="DR714"/>
  <c r="CP714"/>
  <c r="BM714"/>
  <c r="AK714"/>
  <c r="DY713"/>
  <c r="CW713"/>
  <c r="BU713"/>
  <c r="AR713"/>
  <c r="O713"/>
  <c r="DD712"/>
  <c r="CB712"/>
  <c r="AY712"/>
  <c r="W712"/>
  <c r="DK711"/>
  <c r="CI711"/>
  <c r="BF711"/>
  <c r="DR710"/>
  <c r="CP710"/>
  <c r="BM710"/>
  <c r="AK710"/>
  <c r="BZ805"/>
  <c r="BP801"/>
  <c r="BZ787"/>
  <c r="BP783"/>
  <c r="CJ783" s="1"/>
  <c r="BP779"/>
  <c r="CJ779" s="1"/>
  <c r="BP775"/>
  <c r="BP771"/>
  <c r="CJ771" s="1"/>
  <c r="BP767"/>
  <c r="CJ767" s="1"/>
  <c r="BP763"/>
  <c r="CJ763" s="1"/>
  <c r="BP759"/>
  <c r="DK726"/>
  <c r="CI726"/>
  <c r="BF726"/>
  <c r="DR725"/>
  <c r="CP725"/>
  <c r="BM725"/>
  <c r="AK725"/>
  <c r="DY724"/>
  <c r="CW724"/>
  <c r="BU724"/>
  <c r="AR724"/>
  <c r="O724"/>
  <c r="DD723"/>
  <c r="CB723"/>
  <c r="AY723"/>
  <c r="W723"/>
  <c r="DK722"/>
  <c r="CI722"/>
  <c r="BF722"/>
  <c r="DR721"/>
  <c r="CP721"/>
  <c r="BM721"/>
  <c r="AK721"/>
  <c r="DY720"/>
  <c r="CW720"/>
  <c r="BU720"/>
  <c r="AR720"/>
  <c r="O720"/>
  <c r="DD719"/>
  <c r="CB719"/>
  <c r="AY719"/>
  <c r="W719"/>
  <c r="DK718"/>
  <c r="CI718"/>
  <c r="BF718"/>
  <c r="DR717"/>
  <c r="CP717"/>
  <c r="BM717"/>
  <c r="AK717"/>
  <c r="DY716"/>
  <c r="CW716"/>
  <c r="BU716"/>
  <c r="AR716"/>
  <c r="O716"/>
  <c r="DD715"/>
  <c r="CB715"/>
  <c r="AY715"/>
  <c r="W715"/>
  <c r="DK714"/>
  <c r="CI714"/>
  <c r="BF714"/>
  <c r="DR713"/>
  <c r="CP713"/>
  <c r="BM713"/>
  <c r="AK713"/>
  <c r="DY712"/>
  <c r="CW712"/>
  <c r="BU712"/>
  <c r="AR712"/>
  <c r="O712"/>
  <c r="DD711"/>
  <c r="CB711"/>
  <c r="AY711"/>
  <c r="W711"/>
  <c r="DK710"/>
  <c r="CI710"/>
  <c r="BF710"/>
  <c r="BZ809"/>
  <c r="BP805"/>
  <c r="CJ805" s="1"/>
  <c r="BZ793"/>
  <c r="BP787"/>
  <c r="CJ787" s="1"/>
  <c r="BZ782"/>
  <c r="BP809"/>
  <c r="BZ797"/>
  <c r="BP793"/>
  <c r="BZ791"/>
  <c r="BP778"/>
  <c r="BZ766"/>
  <c r="BP762"/>
  <c r="DD726"/>
  <c r="AY726"/>
  <c r="DK725"/>
  <c r="BF725"/>
  <c r="DR724"/>
  <c r="BM724"/>
  <c r="DY723"/>
  <c r="BU723"/>
  <c r="O723"/>
  <c r="CB722"/>
  <c r="W722"/>
  <c r="CI721"/>
  <c r="CP720"/>
  <c r="AK720"/>
  <c r="CW719"/>
  <c r="AR719"/>
  <c r="DD718"/>
  <c r="AY718"/>
  <c r="DK717"/>
  <c r="BF717"/>
  <c r="DR716"/>
  <c r="BM716"/>
  <c r="DY715"/>
  <c r="BU715"/>
  <c r="O715"/>
  <c r="CB714"/>
  <c r="W714"/>
  <c r="CI713"/>
  <c r="CP712"/>
  <c r="AK712"/>
  <c r="CW711"/>
  <c r="AR711"/>
  <c r="DD710"/>
  <c r="AY710"/>
  <c r="BP672"/>
  <c r="BP668"/>
  <c r="BP664"/>
  <c r="BP660"/>
  <c r="BP656"/>
  <c r="BP652"/>
  <c r="BP648"/>
  <c r="BP644"/>
  <c r="BP640"/>
  <c r="BP636"/>
  <c r="BP632"/>
  <c r="BP628"/>
  <c r="BP624"/>
  <c r="BP620"/>
  <c r="BP616"/>
  <c r="BP612"/>
  <c r="BP608"/>
  <c r="DY576"/>
  <c r="CW576"/>
  <c r="BU576"/>
  <c r="AR576"/>
  <c r="O576"/>
  <c r="DD575"/>
  <c r="CB575"/>
  <c r="AY575"/>
  <c r="W575"/>
  <c r="DK574"/>
  <c r="CI574"/>
  <c r="BF574"/>
  <c r="DR573"/>
  <c r="CP573"/>
  <c r="BM573"/>
  <c r="AK573"/>
  <c r="DY572"/>
  <c r="CW572"/>
  <c r="BU572"/>
  <c r="AR572"/>
  <c r="O572"/>
  <c r="DD571"/>
  <c r="CB571"/>
  <c r="AY571"/>
  <c r="W571"/>
  <c r="DK570"/>
  <c r="CI570"/>
  <c r="BF570"/>
  <c r="DR569"/>
  <c r="CP569"/>
  <c r="BM569"/>
  <c r="AK569"/>
  <c r="DY568"/>
  <c r="CW568"/>
  <c r="BU568"/>
  <c r="AR568"/>
  <c r="O568"/>
  <c r="DD567"/>
  <c r="CB567"/>
  <c r="AY567"/>
  <c r="W567"/>
  <c r="DK566"/>
  <c r="CI566"/>
  <c r="BF566"/>
  <c r="DR565"/>
  <c r="CP565"/>
  <c r="BM565"/>
  <c r="AK565"/>
  <c r="DY564"/>
  <c r="CW564"/>
  <c r="BU564"/>
  <c r="AR564"/>
  <c r="O564"/>
  <c r="DD563"/>
  <c r="CB563"/>
  <c r="AY563"/>
  <c r="W563"/>
  <c r="DK562"/>
  <c r="CI562"/>
  <c r="BF562"/>
  <c r="DR561"/>
  <c r="CP561"/>
  <c r="BM561"/>
  <c r="AK561"/>
  <c r="DY560"/>
  <c r="CW560"/>
  <c r="BU560"/>
  <c r="AR560"/>
  <c r="O560"/>
  <c r="BP522"/>
  <c r="BP518"/>
  <c r="BP514"/>
  <c r="BZ770"/>
  <c r="BP766"/>
  <c r="CJ766" s="1"/>
  <c r="CW726"/>
  <c r="AR726"/>
  <c r="DD725"/>
  <c r="AY725"/>
  <c r="DK724"/>
  <c r="BF724"/>
  <c r="DR723"/>
  <c r="BM723"/>
  <c r="DY722"/>
  <c r="BU722"/>
  <c r="O722"/>
  <c r="CB721"/>
  <c r="W721"/>
  <c r="CI720"/>
  <c r="CP719"/>
  <c r="AK719"/>
  <c r="CW718"/>
  <c r="AR718"/>
  <c r="DD717"/>
  <c r="AY717"/>
  <c r="DK716"/>
  <c r="BF716"/>
  <c r="DR715"/>
  <c r="BM715"/>
  <c r="DY714"/>
  <c r="BU714"/>
  <c r="O714"/>
  <c r="CB713"/>
  <c r="W713"/>
  <c r="CI712"/>
  <c r="CP711"/>
  <c r="AK711"/>
  <c r="CW710"/>
  <c r="AR710"/>
  <c r="BZ671"/>
  <c r="BZ667"/>
  <c r="BZ663"/>
  <c r="BZ659"/>
  <c r="BZ655"/>
  <c r="BZ651"/>
  <c r="BZ647"/>
  <c r="BZ643"/>
  <c r="BZ641"/>
  <c r="BZ637"/>
  <c r="BZ633"/>
  <c r="BZ629"/>
  <c r="BZ625"/>
  <c r="BZ621"/>
  <c r="BZ617"/>
  <c r="BZ613"/>
  <c r="BZ609"/>
  <c r="DR576"/>
  <c r="CP576"/>
  <c r="BM576"/>
  <c r="AK576"/>
  <c r="DY575"/>
  <c r="CW575"/>
  <c r="BU575"/>
  <c r="AR575"/>
  <c r="O575"/>
  <c r="DD574"/>
  <c r="CB574"/>
  <c r="AY574"/>
  <c r="W574"/>
  <c r="DK573"/>
  <c r="CI573"/>
  <c r="BF573"/>
  <c r="DR572"/>
  <c r="CP572"/>
  <c r="BM572"/>
  <c r="AK572"/>
  <c r="DY571"/>
  <c r="CW571"/>
  <c r="BU571"/>
  <c r="AR571"/>
  <c r="O571"/>
  <c r="DD570"/>
  <c r="CB570"/>
  <c r="AY570"/>
  <c r="W570"/>
  <c r="DK569"/>
  <c r="CI569"/>
  <c r="BF569"/>
  <c r="DR568"/>
  <c r="CP568"/>
  <c r="BM568"/>
  <c r="AK568"/>
  <c r="DY567"/>
  <c r="CW567"/>
  <c r="BU567"/>
  <c r="AR567"/>
  <c r="O567"/>
  <c r="DD566"/>
  <c r="CB566"/>
  <c r="AY566"/>
  <c r="W566"/>
  <c r="DK565"/>
  <c r="CI565"/>
  <c r="BF565"/>
  <c r="DR564"/>
  <c r="CP564"/>
  <c r="BM564"/>
  <c r="AK564"/>
  <c r="DY563"/>
  <c r="CW563"/>
  <c r="BU563"/>
  <c r="AR563"/>
  <c r="O563"/>
  <c r="DD562"/>
  <c r="CB562"/>
  <c r="AY562"/>
  <c r="W562"/>
  <c r="DK561"/>
  <c r="CI561"/>
  <c r="BF561"/>
  <c r="DR560"/>
  <c r="CP560"/>
  <c r="BM560"/>
  <c r="AK560"/>
  <c r="BP782"/>
  <c r="CJ782" s="1"/>
  <c r="BZ774"/>
  <c r="BP770"/>
  <c r="CJ770" s="1"/>
  <c r="BZ758"/>
  <c r="CB726"/>
  <c r="W726"/>
  <c r="CI725"/>
  <c r="CP724"/>
  <c r="AK724"/>
  <c r="CW723"/>
  <c r="AR723"/>
  <c r="DD722"/>
  <c r="AY722"/>
  <c r="DK721"/>
  <c r="BF721"/>
  <c r="DR720"/>
  <c r="BM720"/>
  <c r="DY719"/>
  <c r="BU719"/>
  <c r="O719"/>
  <c r="CB718"/>
  <c r="W718"/>
  <c r="CI717"/>
  <c r="CP716"/>
  <c r="AK716"/>
  <c r="CW715"/>
  <c r="AR715"/>
  <c r="DD714"/>
  <c r="AY714"/>
  <c r="DK713"/>
  <c r="BF713"/>
  <c r="DR712"/>
  <c r="BM712"/>
  <c r="DY711"/>
  <c r="BU711"/>
  <c r="O711"/>
  <c r="CB710"/>
  <c r="W710"/>
  <c r="BP671"/>
  <c r="CJ671" s="1"/>
  <c r="BP667"/>
  <c r="CJ667" s="1"/>
  <c r="BP663"/>
  <c r="CJ663" s="1"/>
  <c r="BP659"/>
  <c r="CJ659" s="1"/>
  <c r="BP655"/>
  <c r="CJ655" s="1"/>
  <c r="BP651"/>
  <c r="CJ651" s="1"/>
  <c r="BP647"/>
  <c r="CJ647" s="1"/>
  <c r="BP643"/>
  <c r="CJ643" s="1"/>
  <c r="BP641"/>
  <c r="CJ641" s="1"/>
  <c r="BP637"/>
  <c r="CJ637" s="1"/>
  <c r="BP633"/>
  <c r="CJ633" s="1"/>
  <c r="BP629"/>
  <c r="CJ629" s="1"/>
  <c r="BP625"/>
  <c r="CJ625" s="1"/>
  <c r="BP621"/>
  <c r="CJ621" s="1"/>
  <c r="BP617"/>
  <c r="CJ617" s="1"/>
  <c r="BP613"/>
  <c r="CJ613" s="1"/>
  <c r="BP609"/>
  <c r="CJ609" s="1"/>
  <c r="DK576"/>
  <c r="CI576"/>
  <c r="BF576"/>
  <c r="DR575"/>
  <c r="CP575"/>
  <c r="BM575"/>
  <c r="AK575"/>
  <c r="DY574"/>
  <c r="CW574"/>
  <c r="BU574"/>
  <c r="AR574"/>
  <c r="O574"/>
  <c r="DD573"/>
  <c r="CB573"/>
  <c r="AY573"/>
  <c r="W573"/>
  <c r="DK572"/>
  <c r="CI572"/>
  <c r="BF572"/>
  <c r="DR571"/>
  <c r="CP571"/>
  <c r="BM571"/>
  <c r="AK571"/>
  <c r="DY570"/>
  <c r="CW570"/>
  <c r="BU570"/>
  <c r="AR570"/>
  <c r="O570"/>
  <c r="DD569"/>
  <c r="CB569"/>
  <c r="AY569"/>
  <c r="W569"/>
  <c r="DK568"/>
  <c r="CI568"/>
  <c r="BF568"/>
  <c r="DR567"/>
  <c r="CP567"/>
  <c r="BM567"/>
  <c r="AK567"/>
  <c r="DY566"/>
  <c r="CW566"/>
  <c r="BU566"/>
  <c r="AR566"/>
  <c r="O566"/>
  <c r="DD565"/>
  <c r="CB565"/>
  <c r="AY565"/>
  <c r="W565"/>
  <c r="DK564"/>
  <c r="CI564"/>
  <c r="BF564"/>
  <c r="DR563"/>
  <c r="CP563"/>
  <c r="BM563"/>
  <c r="AK563"/>
  <c r="DY562"/>
  <c r="CW562"/>
  <c r="BU562"/>
  <c r="AR562"/>
  <c r="O562"/>
  <c r="DD561"/>
  <c r="CB561"/>
  <c r="AY561"/>
  <c r="W561"/>
  <c r="DK560"/>
  <c r="CI560"/>
  <c r="BF560"/>
  <c r="BP521"/>
  <c r="BP517"/>
  <c r="BZ778"/>
  <c r="BP774"/>
  <c r="CJ774" s="1"/>
  <c r="BZ762"/>
  <c r="BP758"/>
  <c r="DY726"/>
  <c r="BU726"/>
  <c r="O726"/>
  <c r="CB725"/>
  <c r="W725"/>
  <c r="CI724"/>
  <c r="CP723"/>
  <c r="AK723"/>
  <c r="CW722"/>
  <c r="AR722"/>
  <c r="DD721"/>
  <c r="AY721"/>
  <c r="DK720"/>
  <c r="BF720"/>
  <c r="DR719"/>
  <c r="BM719"/>
  <c r="DY718"/>
  <c r="BU718"/>
  <c r="O718"/>
  <c r="CB717"/>
  <c r="W717"/>
  <c r="CI716"/>
  <c r="CP715"/>
  <c r="AK715"/>
  <c r="CW714"/>
  <c r="AR714"/>
  <c r="DD713"/>
  <c r="AY713"/>
  <c r="DK712"/>
  <c r="BF712"/>
  <c r="DR711"/>
  <c r="BM711"/>
  <c r="DY710"/>
  <c r="DY727" s="1"/>
  <c r="BU710"/>
  <c r="BU727" s="1"/>
  <c r="O710"/>
  <c r="BZ672"/>
  <c r="BZ668"/>
  <c r="BZ664"/>
  <c r="BZ660"/>
  <c r="BZ656"/>
  <c r="BZ652"/>
  <c r="BZ648"/>
  <c r="BZ644"/>
  <c r="BZ640"/>
  <c r="BZ636"/>
  <c r="BZ632"/>
  <c r="BZ628"/>
  <c r="BZ624"/>
  <c r="BZ620"/>
  <c r="BZ616"/>
  <c r="BZ612"/>
  <c r="BZ608"/>
  <c r="DD576"/>
  <c r="CB576"/>
  <c r="AY576"/>
  <c r="W576"/>
  <c r="DK575"/>
  <c r="CI575"/>
  <c r="BF575"/>
  <c r="DR574"/>
  <c r="CP574"/>
  <c r="BM574"/>
  <c r="AK574"/>
  <c r="DY573"/>
  <c r="CW573"/>
  <c r="BU573"/>
  <c r="AR573"/>
  <c r="O573"/>
  <c r="DD572"/>
  <c r="CB572"/>
  <c r="AY572"/>
  <c r="W572"/>
  <c r="DK571"/>
  <c r="CI571"/>
  <c r="BF571"/>
  <c r="DR570"/>
  <c r="CP570"/>
  <c r="BM570"/>
  <c r="AK570"/>
  <c r="DY569"/>
  <c r="CW569"/>
  <c r="BU569"/>
  <c r="AR569"/>
  <c r="O569"/>
  <c r="DD568"/>
  <c r="CB568"/>
  <c r="AY568"/>
  <c r="W568"/>
  <c r="DK567"/>
  <c r="CI567"/>
  <c r="BF567"/>
  <c r="DR566"/>
  <c r="CP566"/>
  <c r="BM566"/>
  <c r="AK566"/>
  <c r="DY565"/>
  <c r="CW565"/>
  <c r="BU565"/>
  <c r="AR565"/>
  <c r="O565"/>
  <c r="DD564"/>
  <c r="CB564"/>
  <c r="AY564"/>
  <c r="W564"/>
  <c r="DK563"/>
  <c r="CI563"/>
  <c r="BF563"/>
  <c r="DR562"/>
  <c r="CP562"/>
  <c r="BM562"/>
  <c r="AK562"/>
  <c r="DY561"/>
  <c r="CW561"/>
  <c r="BU561"/>
  <c r="AR561"/>
  <c r="O561"/>
  <c r="DD560"/>
  <c r="DD577" s="1"/>
  <c r="CB560"/>
  <c r="CB577" s="1"/>
  <c r="AY560"/>
  <c r="W560"/>
  <c r="W577" s="1"/>
  <c r="BZ522"/>
  <c r="BZ518"/>
  <c r="BZ514"/>
  <c r="BZ521"/>
  <c r="BZ517"/>
  <c r="BP513"/>
  <c r="BP509"/>
  <c r="BP505"/>
  <c r="BP501"/>
  <c r="BP497"/>
  <c r="BP493"/>
  <c r="BP491"/>
  <c r="BP487"/>
  <c r="BP483"/>
  <c r="BP479"/>
  <c r="BP475"/>
  <c r="BP471"/>
  <c r="BP467"/>
  <c r="BP463"/>
  <c r="BP459"/>
  <c r="DK426"/>
  <c r="CI426"/>
  <c r="BF426"/>
  <c r="DR425"/>
  <c r="CP425"/>
  <c r="BM425"/>
  <c r="AK425"/>
  <c r="DY424"/>
  <c r="CW424"/>
  <c r="BU424"/>
  <c r="AR424"/>
  <c r="O424"/>
  <c r="DD423"/>
  <c r="CB423"/>
  <c r="AY423"/>
  <c r="W423"/>
  <c r="DK422"/>
  <c r="CI422"/>
  <c r="BF422"/>
  <c r="DR421"/>
  <c r="CP421"/>
  <c r="BM421"/>
  <c r="AK421"/>
  <c r="DY420"/>
  <c r="CW420"/>
  <c r="BU420"/>
  <c r="AR420"/>
  <c r="O420"/>
  <c r="DD419"/>
  <c r="CB419"/>
  <c r="AY419"/>
  <c r="W419"/>
  <c r="DK418"/>
  <c r="CI418"/>
  <c r="BF418"/>
  <c r="DR417"/>
  <c r="CP417"/>
  <c r="BM417"/>
  <c r="AK417"/>
  <c r="DY416"/>
  <c r="CW416"/>
  <c r="BU416"/>
  <c r="AR416"/>
  <c r="O416"/>
  <c r="DD415"/>
  <c r="CB415"/>
  <c r="AY415"/>
  <c r="W415"/>
  <c r="DK414"/>
  <c r="CI414"/>
  <c r="BF414"/>
  <c r="DR413"/>
  <c r="CP413"/>
  <c r="BM413"/>
  <c r="AK413"/>
  <c r="DY412"/>
  <c r="CW412"/>
  <c r="BU412"/>
  <c r="AR412"/>
  <c r="O412"/>
  <c r="DD411"/>
  <c r="CB411"/>
  <c r="AY411"/>
  <c r="W411"/>
  <c r="DK410"/>
  <c r="CI410"/>
  <c r="BF410"/>
  <c r="BP371"/>
  <c r="BP367"/>
  <c r="BP363"/>
  <c r="BP359"/>
  <c r="BP355"/>
  <c r="BP351"/>
  <c r="BP347"/>
  <c r="BP343"/>
  <c r="BP341"/>
  <c r="BP337"/>
  <c r="BP333"/>
  <c r="BP329"/>
  <c r="BP325"/>
  <c r="BP321"/>
  <c r="BP317"/>
  <c r="BP313"/>
  <c r="BP309"/>
  <c r="DK266"/>
  <c r="CI266"/>
  <c r="BF266"/>
  <c r="DR265"/>
  <c r="CP265"/>
  <c r="BM265"/>
  <c r="AK265"/>
  <c r="DY264"/>
  <c r="CW264"/>
  <c r="BU264"/>
  <c r="AR264"/>
  <c r="O264"/>
  <c r="DD263"/>
  <c r="CB263"/>
  <c r="AY263"/>
  <c r="W263"/>
  <c r="DK262"/>
  <c r="CI262"/>
  <c r="BF262"/>
  <c r="DR261"/>
  <c r="CP261"/>
  <c r="BM261"/>
  <c r="AK261"/>
  <c r="DY260"/>
  <c r="CW260"/>
  <c r="BU260"/>
  <c r="AR260"/>
  <c r="O260"/>
  <c r="DD259"/>
  <c r="CB259"/>
  <c r="AY259"/>
  <c r="W259"/>
  <c r="DK258"/>
  <c r="CI258"/>
  <c r="BF258"/>
  <c r="DR257"/>
  <c r="CP257"/>
  <c r="BM257"/>
  <c r="AK257"/>
  <c r="DY256"/>
  <c r="CW256"/>
  <c r="BU256"/>
  <c r="AR256"/>
  <c r="O256"/>
  <c r="DD255"/>
  <c r="CB255"/>
  <c r="AY255"/>
  <c r="W255"/>
  <c r="DK254"/>
  <c r="CI254"/>
  <c r="BF254"/>
  <c r="DR253"/>
  <c r="CP253"/>
  <c r="BM253"/>
  <c r="AK253"/>
  <c r="DY252"/>
  <c r="CW252"/>
  <c r="BU252"/>
  <c r="AR252"/>
  <c r="O252"/>
  <c r="DD251"/>
  <c r="CB251"/>
  <c r="AY251"/>
  <c r="W251"/>
  <c r="DK250"/>
  <c r="CI250"/>
  <c r="BZ510"/>
  <c r="BZ506"/>
  <c r="BZ502"/>
  <c r="BZ498"/>
  <c r="BZ494"/>
  <c r="BZ490"/>
  <c r="BZ486"/>
  <c r="BZ482"/>
  <c r="BZ478"/>
  <c r="BZ474"/>
  <c r="BZ470"/>
  <c r="BZ466"/>
  <c r="BZ462"/>
  <c r="BZ458"/>
  <c r="DD426"/>
  <c r="CB426"/>
  <c r="AY426"/>
  <c r="W426"/>
  <c r="DK425"/>
  <c r="CI425"/>
  <c r="BF425"/>
  <c r="DR424"/>
  <c r="CP424"/>
  <c r="BM424"/>
  <c r="AK424"/>
  <c r="DY423"/>
  <c r="CW423"/>
  <c r="BU423"/>
  <c r="AR423"/>
  <c r="O423"/>
  <c r="DD422"/>
  <c r="CB422"/>
  <c r="AY422"/>
  <c r="W422"/>
  <c r="DK421"/>
  <c r="CI421"/>
  <c r="BF421"/>
  <c r="DR420"/>
  <c r="CP420"/>
  <c r="BM420"/>
  <c r="AK420"/>
  <c r="DY419"/>
  <c r="CW419"/>
  <c r="BU419"/>
  <c r="AR419"/>
  <c r="O419"/>
  <c r="DD418"/>
  <c r="CB418"/>
  <c r="AY418"/>
  <c r="W418"/>
  <c r="DK417"/>
  <c r="CI417"/>
  <c r="BF417"/>
  <c r="DR416"/>
  <c r="CP416"/>
  <c r="BM416"/>
  <c r="AK416"/>
  <c r="DY415"/>
  <c r="CW415"/>
  <c r="BU415"/>
  <c r="AR415"/>
  <c r="O415"/>
  <c r="DD414"/>
  <c r="CB414"/>
  <c r="AY414"/>
  <c r="W414"/>
  <c r="DK413"/>
  <c r="CI413"/>
  <c r="BF413"/>
  <c r="DR412"/>
  <c r="CP412"/>
  <c r="BM412"/>
  <c r="AK412"/>
  <c r="DY411"/>
  <c r="CW411"/>
  <c r="BU411"/>
  <c r="AR411"/>
  <c r="O411"/>
  <c r="DD410"/>
  <c r="CB410"/>
  <c r="AY410"/>
  <c r="W410"/>
  <c r="BZ372"/>
  <c r="BZ368"/>
  <c r="BZ364"/>
  <c r="BZ360"/>
  <c r="BZ356"/>
  <c r="BZ352"/>
  <c r="BZ348"/>
  <c r="BZ344"/>
  <c r="BZ340"/>
  <c r="BZ336"/>
  <c r="BZ332"/>
  <c r="BZ328"/>
  <c r="BZ324"/>
  <c r="BZ320"/>
  <c r="BP510"/>
  <c r="CJ510" s="1"/>
  <c r="BP506"/>
  <c r="CJ506" s="1"/>
  <c r="BP502"/>
  <c r="CJ502" s="1"/>
  <c r="BP498"/>
  <c r="CJ498" s="1"/>
  <c r="BP494"/>
  <c r="CJ494" s="1"/>
  <c r="BP490"/>
  <c r="CJ490" s="1"/>
  <c r="AL126" s="1"/>
  <c r="BP486"/>
  <c r="CJ486" s="1"/>
  <c r="BP482"/>
  <c r="CJ482" s="1"/>
  <c r="BP478"/>
  <c r="CJ478" s="1"/>
  <c r="BP474"/>
  <c r="CJ474" s="1"/>
  <c r="BP470"/>
  <c r="CJ470" s="1"/>
  <c r="BP466"/>
  <c r="CJ466" s="1"/>
  <c r="BP462"/>
  <c r="CJ462" s="1"/>
  <c r="BP458"/>
  <c r="DY426"/>
  <c r="CW426"/>
  <c r="BU426"/>
  <c r="AR426"/>
  <c r="O426"/>
  <c r="DD425"/>
  <c r="CB425"/>
  <c r="AY425"/>
  <c r="W425"/>
  <c r="DK424"/>
  <c r="CI424"/>
  <c r="BF424"/>
  <c r="DR423"/>
  <c r="CP423"/>
  <c r="BM423"/>
  <c r="AK423"/>
  <c r="DY422"/>
  <c r="CW422"/>
  <c r="BU422"/>
  <c r="AR422"/>
  <c r="O422"/>
  <c r="DD421"/>
  <c r="CB421"/>
  <c r="AY421"/>
  <c r="W421"/>
  <c r="DK420"/>
  <c r="CI420"/>
  <c r="BF420"/>
  <c r="DR419"/>
  <c r="CP419"/>
  <c r="BM419"/>
  <c r="AK419"/>
  <c r="DY418"/>
  <c r="CW418"/>
  <c r="BU418"/>
  <c r="AR418"/>
  <c r="O418"/>
  <c r="DD417"/>
  <c r="CB417"/>
  <c r="AY417"/>
  <c r="W417"/>
  <c r="DK416"/>
  <c r="CI416"/>
  <c r="BF416"/>
  <c r="DR415"/>
  <c r="CP415"/>
  <c r="BM415"/>
  <c r="AK415"/>
  <c r="DY414"/>
  <c r="CW414"/>
  <c r="BU414"/>
  <c r="AR414"/>
  <c r="O414"/>
  <c r="DD413"/>
  <c r="CB413"/>
  <c r="AY413"/>
  <c r="W413"/>
  <c r="DK412"/>
  <c r="CI412"/>
  <c r="BF412"/>
  <c r="DR411"/>
  <c r="CP411"/>
  <c r="BM411"/>
  <c r="AK411"/>
  <c r="DY410"/>
  <c r="CW410"/>
  <c r="BU410"/>
  <c r="AR410"/>
  <c r="O410"/>
  <c r="BP372"/>
  <c r="CJ372" s="1"/>
  <c r="BP368"/>
  <c r="BP364"/>
  <c r="CJ364" s="1"/>
  <c r="BP360"/>
  <c r="BP356"/>
  <c r="CJ356" s="1"/>
  <c r="BP352"/>
  <c r="BP348"/>
  <c r="CJ348" s="1"/>
  <c r="BP344"/>
  <c r="BP340"/>
  <c r="CJ340" s="1"/>
  <c r="AB126" s="1"/>
  <c r="BP336"/>
  <c r="BP332"/>
  <c r="CJ332" s="1"/>
  <c r="BP328"/>
  <c r="BP324"/>
  <c r="CJ324" s="1"/>
  <c r="BP320"/>
  <c r="BZ513"/>
  <c r="BZ509"/>
  <c r="BZ505"/>
  <c r="BZ501"/>
  <c r="BZ497"/>
  <c r="BZ493"/>
  <c r="BZ491"/>
  <c r="BZ487"/>
  <c r="BZ483"/>
  <c r="BZ479"/>
  <c r="BZ475"/>
  <c r="BZ471"/>
  <c r="BZ467"/>
  <c r="BZ463"/>
  <c r="BZ459"/>
  <c r="DR426"/>
  <c r="CP426"/>
  <c r="BM426"/>
  <c r="AK426"/>
  <c r="DY425"/>
  <c r="CW425"/>
  <c r="BU425"/>
  <c r="AR425"/>
  <c r="O425"/>
  <c r="DD424"/>
  <c r="CB424"/>
  <c r="AY424"/>
  <c r="W424"/>
  <c r="DK423"/>
  <c r="CI423"/>
  <c r="BF423"/>
  <c r="DR422"/>
  <c r="CP422"/>
  <c r="BM422"/>
  <c r="AK422"/>
  <c r="DY421"/>
  <c r="CW421"/>
  <c r="BU421"/>
  <c r="AR421"/>
  <c r="O421"/>
  <c r="DD420"/>
  <c r="CB420"/>
  <c r="AY420"/>
  <c r="W420"/>
  <c r="DK419"/>
  <c r="CI419"/>
  <c r="BF419"/>
  <c r="DR418"/>
  <c r="CP418"/>
  <c r="BM418"/>
  <c r="AK418"/>
  <c r="DY417"/>
  <c r="CW417"/>
  <c r="BU417"/>
  <c r="AR417"/>
  <c r="O417"/>
  <c r="DD416"/>
  <c r="CB416"/>
  <c r="AY416"/>
  <c r="W416"/>
  <c r="DK415"/>
  <c r="CI415"/>
  <c r="BF415"/>
  <c r="DR414"/>
  <c r="CP414"/>
  <c r="BM414"/>
  <c r="AK414"/>
  <c r="DY413"/>
  <c r="CW413"/>
  <c r="BU413"/>
  <c r="AR413"/>
  <c r="O413"/>
  <c r="DD412"/>
  <c r="CB412"/>
  <c r="AY412"/>
  <c r="W412"/>
  <c r="DK411"/>
  <c r="CI411"/>
  <c r="BF411"/>
  <c r="DR410"/>
  <c r="DR427" s="1"/>
  <c r="CP410"/>
  <c r="CP427" s="1"/>
  <c r="BM410"/>
  <c r="BM427" s="1"/>
  <c r="AK410"/>
  <c r="BZ371"/>
  <c r="BZ367"/>
  <c r="BZ363"/>
  <c r="BZ359"/>
  <c r="BZ355"/>
  <c r="BZ351"/>
  <c r="BZ347"/>
  <c r="BZ333"/>
  <c r="BZ321"/>
  <c r="BP316"/>
  <c r="BP312"/>
  <c r="BP308"/>
  <c r="DD266"/>
  <c r="BU266"/>
  <c r="AK266"/>
  <c r="DK265"/>
  <c r="CB265"/>
  <c r="AR265"/>
  <c r="DR264"/>
  <c r="CI264"/>
  <c r="AY264"/>
  <c r="DY263"/>
  <c r="CP263"/>
  <c r="BF263"/>
  <c r="O263"/>
  <c r="CW262"/>
  <c r="BM262"/>
  <c r="W262"/>
  <c r="DD261"/>
  <c r="BU261"/>
  <c r="DK260"/>
  <c r="CB260"/>
  <c r="AK260"/>
  <c r="DR259"/>
  <c r="CI259"/>
  <c r="AR259"/>
  <c r="DY258"/>
  <c r="CP258"/>
  <c r="AY258"/>
  <c r="O258"/>
  <c r="CW257"/>
  <c r="BF257"/>
  <c r="W257"/>
  <c r="DD256"/>
  <c r="BM256"/>
  <c r="DK255"/>
  <c r="BU255"/>
  <c r="AK255"/>
  <c r="DR254"/>
  <c r="CB254"/>
  <c r="AR254"/>
  <c r="DY253"/>
  <c r="CI253"/>
  <c r="AY253"/>
  <c r="O253"/>
  <c r="CP252"/>
  <c r="BF252"/>
  <c r="W252"/>
  <c r="CW251"/>
  <c r="BM251"/>
  <c r="DD250"/>
  <c r="BU250"/>
  <c r="AR250"/>
  <c r="O250"/>
  <c r="BP212"/>
  <c r="BP208"/>
  <c r="BP204"/>
  <c r="BP200"/>
  <c r="BP196"/>
  <c r="BP192"/>
  <c r="BP188"/>
  <c r="BP184"/>
  <c r="BP180"/>
  <c r="BP176"/>
  <c r="BP172"/>
  <c r="BP168"/>
  <c r="BP164"/>
  <c r="BP160"/>
  <c r="BP156"/>
  <c r="BP152"/>
  <c r="BP148"/>
  <c r="DY134"/>
  <c r="CK134"/>
  <c r="DY133"/>
  <c r="CK133"/>
  <c r="DY132"/>
  <c r="CK132"/>
  <c r="DY131"/>
  <c r="CK131"/>
  <c r="DY130"/>
  <c r="CK130"/>
  <c r="DY129"/>
  <c r="CK129"/>
  <c r="DY128"/>
  <c r="CK128"/>
  <c r="DY127"/>
  <c r="CK127"/>
  <c r="DY126"/>
  <c r="CK126"/>
  <c r="DY125"/>
  <c r="CK125"/>
  <c r="DY124"/>
  <c r="CK124"/>
  <c r="DY123"/>
  <c r="CK123"/>
  <c r="DY122"/>
  <c r="CK122"/>
  <c r="DY121"/>
  <c r="CK121"/>
  <c r="DY120"/>
  <c r="CK120"/>
  <c r="DY119"/>
  <c r="CK119"/>
  <c r="DY118"/>
  <c r="CK118"/>
  <c r="BZ337"/>
  <c r="CW266"/>
  <c r="BM266"/>
  <c r="W266"/>
  <c r="DD265"/>
  <c r="BU265"/>
  <c r="DK264"/>
  <c r="CB264"/>
  <c r="AK264"/>
  <c r="DR263"/>
  <c r="CI263"/>
  <c r="AR263"/>
  <c r="DY262"/>
  <c r="CP262"/>
  <c r="AY262"/>
  <c r="O262"/>
  <c r="CW261"/>
  <c r="BF261"/>
  <c r="W261"/>
  <c r="DD260"/>
  <c r="BM260"/>
  <c r="DK259"/>
  <c r="BU259"/>
  <c r="AK259"/>
  <c r="DR258"/>
  <c r="CB258"/>
  <c r="AR258"/>
  <c r="DY257"/>
  <c r="CI257"/>
  <c r="AY257"/>
  <c r="O257"/>
  <c r="CP256"/>
  <c r="BF256"/>
  <c r="W256"/>
  <c r="CW255"/>
  <c r="BM255"/>
  <c r="DD254"/>
  <c r="BU254"/>
  <c r="AK254"/>
  <c r="DK253"/>
  <c r="CB253"/>
  <c r="AR253"/>
  <c r="DR252"/>
  <c r="CI252"/>
  <c r="AY252"/>
  <c r="DY251"/>
  <c r="CP251"/>
  <c r="BF251"/>
  <c r="O251"/>
  <c r="CW250"/>
  <c r="BM250"/>
  <c r="AK250"/>
  <c r="BZ211"/>
  <c r="BZ207"/>
  <c r="BZ203"/>
  <c r="BZ199"/>
  <c r="BZ195"/>
  <c r="BZ191"/>
  <c r="BZ187"/>
  <c r="BZ183"/>
  <c r="BZ181"/>
  <c r="BZ177"/>
  <c r="BZ173"/>
  <c r="BZ169"/>
  <c r="BZ165"/>
  <c r="BZ161"/>
  <c r="BZ157"/>
  <c r="BZ153"/>
  <c r="BZ149"/>
  <c r="DO134"/>
  <c r="DO133"/>
  <c r="DO132"/>
  <c r="DO131"/>
  <c r="DO130"/>
  <c r="DO129"/>
  <c r="DO128"/>
  <c r="DO127"/>
  <c r="DO126"/>
  <c r="DO125"/>
  <c r="DO124"/>
  <c r="DO123"/>
  <c r="DO122"/>
  <c r="DO121"/>
  <c r="DO120"/>
  <c r="DO119"/>
  <c r="DO118"/>
  <c r="BZ343"/>
  <c r="BZ341"/>
  <c r="BZ325"/>
  <c r="DY266"/>
  <c r="CP266"/>
  <c r="AY266"/>
  <c r="O266"/>
  <c r="CW265"/>
  <c r="BF265"/>
  <c r="W265"/>
  <c r="DD264"/>
  <c r="BM264"/>
  <c r="DK263"/>
  <c r="BU263"/>
  <c r="AK263"/>
  <c r="DR262"/>
  <c r="CB262"/>
  <c r="AR262"/>
  <c r="DY261"/>
  <c r="CI261"/>
  <c r="AY261"/>
  <c r="O261"/>
  <c r="CP260"/>
  <c r="BF260"/>
  <c r="W260"/>
  <c r="CW259"/>
  <c r="BM259"/>
  <c r="DD258"/>
  <c r="BU258"/>
  <c r="AK258"/>
  <c r="DK257"/>
  <c r="CB257"/>
  <c r="AR257"/>
  <c r="DR256"/>
  <c r="CI256"/>
  <c r="AY256"/>
  <c r="DY255"/>
  <c r="CP255"/>
  <c r="BF255"/>
  <c r="O255"/>
  <c r="CW254"/>
  <c r="BM254"/>
  <c r="W254"/>
  <c r="DD253"/>
  <c r="BU253"/>
  <c r="DK252"/>
  <c r="CB252"/>
  <c r="AK252"/>
  <c r="DR251"/>
  <c r="CI251"/>
  <c r="AR251"/>
  <c r="DY250"/>
  <c r="CP250"/>
  <c r="BF250"/>
  <c r="BP211"/>
  <c r="CJ211" s="1"/>
  <c r="BP207"/>
  <c r="CJ207" s="1"/>
  <c r="BP203"/>
  <c r="CJ203" s="1"/>
  <c r="BP199"/>
  <c r="CJ199" s="1"/>
  <c r="BP195"/>
  <c r="CJ195" s="1"/>
  <c r="BP191"/>
  <c r="CJ191" s="1"/>
  <c r="BP187"/>
  <c r="CJ187" s="1"/>
  <c r="BP183"/>
  <c r="CJ183" s="1"/>
  <c r="BP181"/>
  <c r="CJ181" s="1"/>
  <c r="BP177"/>
  <c r="CJ177" s="1"/>
  <c r="BP173"/>
  <c r="CJ173" s="1"/>
  <c r="BP169"/>
  <c r="CJ169" s="1"/>
  <c r="BP165"/>
  <c r="CJ165" s="1"/>
  <c r="BP161"/>
  <c r="CJ161" s="1"/>
  <c r="BP157"/>
  <c r="CJ157" s="1"/>
  <c r="BP153"/>
  <c r="CJ153" s="1"/>
  <c r="BP149"/>
  <c r="CJ149" s="1"/>
  <c r="BZ329"/>
  <c r="BZ317"/>
  <c r="BZ316"/>
  <c r="BZ313"/>
  <c r="BZ312"/>
  <c r="BZ309"/>
  <c r="BZ308"/>
  <c r="DR266"/>
  <c r="CB266"/>
  <c r="AR266"/>
  <c r="DY265"/>
  <c r="CI265"/>
  <c r="AY265"/>
  <c r="O265"/>
  <c r="CP264"/>
  <c r="BF264"/>
  <c r="W264"/>
  <c r="CW263"/>
  <c r="BM263"/>
  <c r="DD262"/>
  <c r="BU262"/>
  <c r="AK262"/>
  <c r="DK261"/>
  <c r="CB261"/>
  <c r="AR261"/>
  <c r="DR260"/>
  <c r="CI260"/>
  <c r="AY260"/>
  <c r="DY259"/>
  <c r="CP259"/>
  <c r="BF259"/>
  <c r="O259"/>
  <c r="CW258"/>
  <c r="BM258"/>
  <c r="W258"/>
  <c r="DD257"/>
  <c r="BU257"/>
  <c r="DK256"/>
  <c r="CB256"/>
  <c r="AK256"/>
  <c r="DR255"/>
  <c r="CI255"/>
  <c r="AR255"/>
  <c r="DY254"/>
  <c r="CP254"/>
  <c r="AY254"/>
  <c r="O254"/>
  <c r="CW253"/>
  <c r="BF253"/>
  <c r="W253"/>
  <c r="DD252"/>
  <c r="BM252"/>
  <c r="DK251"/>
  <c r="BU251"/>
  <c r="AK251"/>
  <c r="DR250"/>
  <c r="CB250"/>
  <c r="AY250"/>
  <c r="W250"/>
  <c r="BZ212"/>
  <c r="BZ208"/>
  <c r="BZ204"/>
  <c r="BZ200"/>
  <c r="BZ196"/>
  <c r="BZ192"/>
  <c r="BZ188"/>
  <c r="BZ184"/>
  <c r="BZ180"/>
  <c r="BZ176"/>
  <c r="BZ172"/>
  <c r="BZ168"/>
  <c r="BZ164"/>
  <c r="BZ160"/>
  <c r="BZ156"/>
  <c r="BZ152"/>
  <c r="BZ148"/>
  <c r="CU134"/>
  <c r="CU133"/>
  <c r="CU132"/>
  <c r="CU131"/>
  <c r="CU130"/>
  <c r="CU129"/>
  <c r="CU128"/>
  <c r="CU127"/>
  <c r="CU126"/>
  <c r="CU125"/>
  <c r="CU124"/>
  <c r="CU123"/>
  <c r="CU122"/>
  <c r="CU121"/>
  <c r="CU120"/>
  <c r="CU119"/>
  <c r="CU118"/>
  <c r="A14"/>
  <c r="A14" i="7"/>
  <c r="DB1230" i="11" l="1"/>
  <c r="BV1230"/>
  <c r="AP1230"/>
  <c r="DB1229"/>
  <c r="BV1229"/>
  <c r="AP1229"/>
  <c r="DB1228"/>
  <c r="BV1228"/>
  <c r="AP1228"/>
  <c r="DB1227"/>
  <c r="BV1227"/>
  <c r="AP1227"/>
  <c r="DB1226"/>
  <c r="BV1226"/>
  <c r="AP1226"/>
  <c r="CD1217"/>
  <c r="AX1213"/>
  <c r="AX1209"/>
  <c r="CD1209"/>
  <c r="BF1210"/>
  <c r="CL1210"/>
  <c r="BN1211"/>
  <c r="CT1211"/>
  <c r="BV1212"/>
  <c r="DB1212"/>
  <c r="CD1213"/>
  <c r="AX1214"/>
  <c r="CL1214"/>
  <c r="BF1215"/>
  <c r="CT1215"/>
  <c r="BN1216"/>
  <c r="DB1216"/>
  <c r="BV1217"/>
  <c r="AX1218"/>
  <c r="CD1218"/>
  <c r="BF1219"/>
  <c r="CL1219"/>
  <c r="BN1220"/>
  <c r="CT1220"/>
  <c r="BV1221"/>
  <c r="DB1221"/>
  <c r="BV1222"/>
  <c r="DB1222"/>
  <c r="BV1223"/>
  <c r="DB1223"/>
  <c r="BV1224"/>
  <c r="DB1224"/>
  <c r="BV1225"/>
  <c r="DB1225"/>
  <c r="R1212"/>
  <c r="R1216"/>
  <c r="R1220"/>
  <c r="R1224"/>
  <c r="Z1209"/>
  <c r="AP1213"/>
  <c r="AP1217"/>
  <c r="AP1221"/>
  <c r="AP1225"/>
  <c r="AH1212"/>
  <c r="AH1216"/>
  <c r="AH1220"/>
  <c r="AH1224"/>
  <c r="Z1223"/>
  <c r="Z1219"/>
  <c r="Z1215"/>
  <c r="Z1211"/>
  <c r="BN1229"/>
  <c r="AH1229"/>
  <c r="CT1228"/>
  <c r="BN1228"/>
  <c r="AH1228"/>
  <c r="CT1227"/>
  <c r="BN1227"/>
  <c r="CT1230"/>
  <c r="BN1230"/>
  <c r="AH1230"/>
  <c r="CD1230"/>
  <c r="R1230"/>
  <c r="BF1229"/>
  <c r="CL1228"/>
  <c r="Z1228"/>
  <c r="BF1227"/>
  <c r="R1227"/>
  <c r="BN1226"/>
  <c r="Z1226"/>
  <c r="DB1220"/>
  <c r="BN1215"/>
  <c r="AX1210"/>
  <c r="CL1209"/>
  <c r="BV1210"/>
  <c r="BF1211"/>
  <c r="DB1211"/>
  <c r="CL1212"/>
  <c r="BV1213"/>
  <c r="BN1214"/>
  <c r="DB1214"/>
  <c r="CL1215"/>
  <c r="CD1216"/>
  <c r="BF1217"/>
  <c r="DB1217"/>
  <c r="CT1218"/>
  <c r="BV1219"/>
  <c r="BF1220"/>
  <c r="AX1221"/>
  <c r="CL1221"/>
  <c r="BN1222"/>
  <c r="AX1223"/>
  <c r="CL1223"/>
  <c r="BN1224"/>
  <c r="AX1225"/>
  <c r="CL1225"/>
  <c r="R1211"/>
  <c r="R1217"/>
  <c r="R1222"/>
  <c r="AH1209"/>
  <c r="AP1214"/>
  <c r="AP1219"/>
  <c r="AP1224"/>
  <c r="AH1213"/>
  <c r="AH1218"/>
  <c r="AH1223"/>
  <c r="Z1221"/>
  <c r="Z1216"/>
  <c r="Z1210"/>
  <c r="BF1230"/>
  <c r="CT1229"/>
  <c r="AX1229"/>
  <c r="CD1228"/>
  <c r="R1228"/>
  <c r="AX1227"/>
  <c r="CT1226"/>
  <c r="BF1226"/>
  <c r="R1226"/>
  <c r="CT1219"/>
  <c r="BF1214"/>
  <c r="BF1209"/>
  <c r="CT1209"/>
  <c r="CD1210"/>
  <c r="BV1211"/>
  <c r="BF1212"/>
  <c r="CT1212"/>
  <c r="CL1213"/>
  <c r="BV1214"/>
  <c r="AX1215"/>
  <c r="DB1215"/>
  <c r="CL1216"/>
  <c r="CL1230"/>
  <c r="CD1229"/>
  <c r="AX1228"/>
  <c r="Z1227"/>
  <c r="AH1226"/>
  <c r="AX1211"/>
  <c r="BN1210"/>
  <c r="CL1211"/>
  <c r="BN1213"/>
  <c r="CT1214"/>
  <c r="BF1216"/>
  <c r="CL1217"/>
  <c r="BV1218"/>
  <c r="CD1219"/>
  <c r="CD1220"/>
  <c r="CD1221"/>
  <c r="CD1222"/>
  <c r="BN1223"/>
  <c r="BF1224"/>
  <c r="BF1225"/>
  <c r="R1209"/>
  <c r="R1215"/>
  <c r="R1223"/>
  <c r="AP1211"/>
  <c r="AP1218"/>
  <c r="AH1225"/>
  <c r="AH1215"/>
  <c r="AH1222"/>
  <c r="Z1225"/>
  <c r="Z1218"/>
  <c r="Z1212"/>
  <c r="Z1229"/>
  <c r="CL1227"/>
  <c r="CL1226"/>
  <c r="CL1218"/>
  <c r="BN1209"/>
  <c r="CT1210"/>
  <c r="BN1212"/>
  <c r="CT1213"/>
  <c r="BV1215"/>
  <c r="CT1216"/>
  <c r="CT1217"/>
  <c r="DB1218"/>
  <c r="DB1219"/>
  <c r="CL1220"/>
  <c r="CT1221"/>
  <c r="CL1222"/>
  <c r="CD1223"/>
  <c r="CD1224"/>
  <c r="BN1225"/>
  <c r="R1210"/>
  <c r="R1218"/>
  <c r="R1225"/>
  <c r="AP1212"/>
  <c r="AP1220"/>
  <c r="AH1210"/>
  <c r="AH1217"/>
  <c r="Z1224"/>
  <c r="Z1217"/>
  <c r="BF1228"/>
  <c r="AX1212"/>
  <c r="DB1209"/>
  <c r="BF1213"/>
  <c r="AX1216"/>
  <c r="BN1218"/>
  <c r="BV1220"/>
  <c r="BN1221"/>
  <c r="BF1223"/>
  <c r="AX1230"/>
  <c r="Z1230"/>
  <c r="R1229"/>
  <c r="CD1227"/>
  <c r="CD1226"/>
  <c r="BV1216"/>
  <c r="BV1209"/>
  <c r="DB1210"/>
  <c r="CD1212"/>
  <c r="DB1213"/>
  <c r="CD1215"/>
  <c r="AX1217"/>
  <c r="BF1218"/>
  <c r="AX1219"/>
  <c r="AX1220"/>
  <c r="BF1221"/>
  <c r="AX1222"/>
  <c r="CT1222"/>
  <c r="CT1223"/>
  <c r="CL1224"/>
  <c r="CD1225"/>
  <c r="R1213"/>
  <c r="R1219"/>
  <c r="AP1209"/>
  <c r="AP1215"/>
  <c r="AP1222"/>
  <c r="AH1211"/>
  <c r="AH1219"/>
  <c r="Z1222"/>
  <c r="Z1214"/>
  <c r="CL1229"/>
  <c r="AH1227"/>
  <c r="AX1226"/>
  <c r="CD1211"/>
  <c r="CD1214"/>
  <c r="BN1217"/>
  <c r="BN1219"/>
  <c r="BF1222"/>
  <c r="AX1224"/>
  <c r="CT1224"/>
  <c r="CT1225"/>
  <c r="R1214"/>
  <c r="R1221"/>
  <c r="AP1210"/>
  <c r="AP1216"/>
  <c r="AP1223"/>
  <c r="AH1214"/>
  <c r="AH1221"/>
  <c r="Z1220"/>
  <c r="Z1213"/>
  <c r="CJ759"/>
  <c r="CJ775"/>
  <c r="O877"/>
  <c r="AR304"/>
  <c r="C1056"/>
  <c r="C535"/>
  <c r="AR144"/>
  <c r="CJ801"/>
  <c r="CJ320"/>
  <c r="CJ336"/>
  <c r="CJ352"/>
  <c r="CJ368"/>
  <c r="AR754"/>
  <c r="T906"/>
  <c r="T306"/>
  <c r="A1107"/>
  <c r="CJ328"/>
  <c r="CJ344"/>
  <c r="CJ360"/>
  <c r="BZ375"/>
  <c r="CK137"/>
  <c r="CI877"/>
  <c r="CU137"/>
  <c r="DO137"/>
  <c r="CB267"/>
  <c r="DR267"/>
  <c r="AY877"/>
  <c r="CJ924"/>
  <c r="CJ940"/>
  <c r="BP126" s="1"/>
  <c r="CJ956"/>
  <c r="CJ972"/>
  <c r="CJ912"/>
  <c r="CJ928"/>
  <c r="CJ944"/>
  <c r="CJ960"/>
  <c r="R1164"/>
  <c r="R1160"/>
  <c r="R1159"/>
  <c r="R1158"/>
  <c r="R1157"/>
  <c r="R1156"/>
  <c r="R1155"/>
  <c r="R1154"/>
  <c r="R1163"/>
  <c r="R1162"/>
  <c r="R1161"/>
  <c r="DY1075"/>
  <c r="CW1075"/>
  <c r="BU1075"/>
  <c r="AR1075"/>
  <c r="O1075"/>
  <c r="DD1074"/>
  <c r="CB1074"/>
  <c r="AY1074"/>
  <c r="W1074"/>
  <c r="DK1073"/>
  <c r="CI1073"/>
  <c r="BF1073"/>
  <c r="AD1073"/>
  <c r="DR1072"/>
  <c r="CP1072"/>
  <c r="BM1072"/>
  <c r="AK1072"/>
  <c r="DY1071"/>
  <c r="CW1071"/>
  <c r="BU1071"/>
  <c r="AR1071"/>
  <c r="O1071"/>
  <c r="CP1075"/>
  <c r="BF1075"/>
  <c r="W1075"/>
  <c r="CW1074"/>
  <c r="BM1074"/>
  <c r="AD1074"/>
  <c r="DD1073"/>
  <c r="BU1073"/>
  <c r="AK1073"/>
  <c r="DK1072"/>
  <c r="CB1072"/>
  <c r="AR1072"/>
  <c r="DR1071"/>
  <c r="CI1071"/>
  <c r="AY1071"/>
  <c r="DY1070"/>
  <c r="CW1070"/>
  <c r="BU1070"/>
  <c r="AR1070"/>
  <c r="O1070"/>
  <c r="DD1069"/>
  <c r="CB1069"/>
  <c r="AY1069"/>
  <c r="W1069"/>
  <c r="DK1068"/>
  <c r="CI1068"/>
  <c r="BF1068"/>
  <c r="AD1068"/>
  <c r="DR1075"/>
  <c r="CI1075"/>
  <c r="AY1075"/>
  <c r="DY1074"/>
  <c r="CP1074"/>
  <c r="BF1074"/>
  <c r="O1074"/>
  <c r="CW1073"/>
  <c r="BM1073"/>
  <c r="W1073"/>
  <c r="DD1072"/>
  <c r="BU1072"/>
  <c r="AD1072"/>
  <c r="DK1071"/>
  <c r="CB1071"/>
  <c r="AK1071"/>
  <c r="DR1070"/>
  <c r="CP1070"/>
  <c r="BM1070"/>
  <c r="AK1070"/>
  <c r="DY1069"/>
  <c r="CW1069"/>
  <c r="BU1069"/>
  <c r="AR1069"/>
  <c r="O1069"/>
  <c r="DD1068"/>
  <c r="CB1068"/>
  <c r="AY1068"/>
  <c r="W1068"/>
  <c r="DK1067"/>
  <c r="CI1067"/>
  <c r="BF1067"/>
  <c r="AD1067"/>
  <c r="DR1066"/>
  <c r="CP1066"/>
  <c r="BM1066"/>
  <c r="AK1066"/>
  <c r="DY1065"/>
  <c r="CW1065"/>
  <c r="R1153"/>
  <c r="DK1075"/>
  <c r="CB1075"/>
  <c r="AK1075"/>
  <c r="DR1074"/>
  <c r="CI1074"/>
  <c r="AR1074"/>
  <c r="DY1073"/>
  <c r="CP1073"/>
  <c r="AY1073"/>
  <c r="O1073"/>
  <c r="CW1072"/>
  <c r="BF1072"/>
  <c r="W1072"/>
  <c r="DD1071"/>
  <c r="BM1071"/>
  <c r="AD1071"/>
  <c r="DK1070"/>
  <c r="CI1070"/>
  <c r="BF1070"/>
  <c r="AD1070"/>
  <c r="DR1069"/>
  <c r="CP1069"/>
  <c r="BM1069"/>
  <c r="AK1069"/>
  <c r="DY1068"/>
  <c r="CW1068"/>
  <c r="BU1068"/>
  <c r="AR1068"/>
  <c r="O1068"/>
  <c r="DD1067"/>
  <c r="CB1067"/>
  <c r="AY1067"/>
  <c r="W1067"/>
  <c r="DK1066"/>
  <c r="CI1066"/>
  <c r="BF1066"/>
  <c r="AD1066"/>
  <c r="DR1065"/>
  <c r="DK1074"/>
  <c r="CB1073"/>
  <c r="AY1072"/>
  <c r="W1071"/>
  <c r="W1070"/>
  <c r="AD1069"/>
  <c r="AK1068"/>
  <c r="CP1067"/>
  <c r="AK1067"/>
  <c r="CW1066"/>
  <c r="AR1066"/>
  <c r="DD1065"/>
  <c r="BU1065"/>
  <c r="AR1065"/>
  <c r="O1065"/>
  <c r="DD1064"/>
  <c r="CB1064"/>
  <c r="AY1064"/>
  <c r="W1064"/>
  <c r="DK1063"/>
  <c r="CI1063"/>
  <c r="BF1063"/>
  <c r="AD1063"/>
  <c r="DR1062"/>
  <c r="CP1062"/>
  <c r="BM1062"/>
  <c r="AK1062"/>
  <c r="DY1061"/>
  <c r="CW1061"/>
  <c r="BU1061"/>
  <c r="AR1061"/>
  <c r="O1061"/>
  <c r="DD1060"/>
  <c r="CB1060"/>
  <c r="AY1060"/>
  <c r="W1060"/>
  <c r="DK1059"/>
  <c r="CI1059"/>
  <c r="BF1059"/>
  <c r="AD1059"/>
  <c r="DD1004"/>
  <c r="CB1004"/>
  <c r="AY1004"/>
  <c r="W1004"/>
  <c r="DK1003"/>
  <c r="CI1003"/>
  <c r="BF1003"/>
  <c r="AD1003"/>
  <c r="DR1002"/>
  <c r="CP1002"/>
  <c r="BM1002"/>
  <c r="AK1002"/>
  <c r="DY1001"/>
  <c r="CW1001"/>
  <c r="BU1001"/>
  <c r="AR1001"/>
  <c r="O1001"/>
  <c r="DD1000"/>
  <c r="CB1000"/>
  <c r="AY1000"/>
  <c r="W1000"/>
  <c r="DK999"/>
  <c r="CI999"/>
  <c r="BF999"/>
  <c r="AD999"/>
  <c r="DR998"/>
  <c r="DD1075"/>
  <c r="BU1074"/>
  <c r="AR1073"/>
  <c r="O1072"/>
  <c r="DD1070"/>
  <c r="DK1069"/>
  <c r="DR1068"/>
  <c r="DY1067"/>
  <c r="BU1067"/>
  <c r="O1067"/>
  <c r="CB1066"/>
  <c r="W1066"/>
  <c r="CP1065"/>
  <c r="BM1065"/>
  <c r="AK1065"/>
  <c r="DY1064"/>
  <c r="CW1064"/>
  <c r="BU1064"/>
  <c r="AR1064"/>
  <c r="O1064"/>
  <c r="DD1063"/>
  <c r="CB1063"/>
  <c r="AY1063"/>
  <c r="W1063"/>
  <c r="DK1062"/>
  <c r="CI1062"/>
  <c r="BF1062"/>
  <c r="AD1062"/>
  <c r="DR1061"/>
  <c r="CP1061"/>
  <c r="BM1061"/>
  <c r="AK1061"/>
  <c r="DY1060"/>
  <c r="CW1060"/>
  <c r="BU1060"/>
  <c r="AR1060"/>
  <c r="O1060"/>
  <c r="DD1059"/>
  <c r="CB1059"/>
  <c r="AY1059"/>
  <c r="W1059"/>
  <c r="DY1004"/>
  <c r="CW1004"/>
  <c r="BU1004"/>
  <c r="AR1004"/>
  <c r="O1004"/>
  <c r="DD1003"/>
  <c r="CB1003"/>
  <c r="AY1003"/>
  <c r="W1003"/>
  <c r="DK1002"/>
  <c r="CI1002"/>
  <c r="BF1002"/>
  <c r="AD1002"/>
  <c r="DR1001"/>
  <c r="CP1001"/>
  <c r="BM1001"/>
  <c r="AK1001"/>
  <c r="DY1000"/>
  <c r="CW1000"/>
  <c r="BU1000"/>
  <c r="AR1000"/>
  <c r="O1000"/>
  <c r="DD999"/>
  <c r="CB999"/>
  <c r="AY999"/>
  <c r="W999"/>
  <c r="DK998"/>
  <c r="CI998"/>
  <c r="BF998"/>
  <c r="AD998"/>
  <c r="DR997"/>
  <c r="CP997"/>
  <c r="BM997"/>
  <c r="AK997"/>
  <c r="DY996"/>
  <c r="CW996"/>
  <c r="BU996"/>
  <c r="BM1075"/>
  <c r="AK1074"/>
  <c r="DY1072"/>
  <c r="CP1071"/>
  <c r="CB1070"/>
  <c r="CI1069"/>
  <c r="CP1068"/>
  <c r="DR1067"/>
  <c r="BM1067"/>
  <c r="DY1066"/>
  <c r="BU1066"/>
  <c r="O1066"/>
  <c r="CI1065"/>
  <c r="BF1065"/>
  <c r="AD1065"/>
  <c r="DR1064"/>
  <c r="CP1064"/>
  <c r="BM1064"/>
  <c r="AK1064"/>
  <c r="DY1063"/>
  <c r="CW1063"/>
  <c r="BU1063"/>
  <c r="AR1063"/>
  <c r="O1063"/>
  <c r="DD1062"/>
  <c r="CB1062"/>
  <c r="AY1062"/>
  <c r="W1062"/>
  <c r="DK1061"/>
  <c r="CI1061"/>
  <c r="BF1061"/>
  <c r="AD1061"/>
  <c r="DR1060"/>
  <c r="CP1060"/>
  <c r="BM1060"/>
  <c r="AK1060"/>
  <c r="DY1059"/>
  <c r="CW1059"/>
  <c r="BU1059"/>
  <c r="AR1059"/>
  <c r="O1059"/>
  <c r="DR1004"/>
  <c r="CP1004"/>
  <c r="BM1004"/>
  <c r="AK1004"/>
  <c r="DY1003"/>
  <c r="CW1003"/>
  <c r="BU1003"/>
  <c r="AR1003"/>
  <c r="O1003"/>
  <c r="DD1002"/>
  <c r="CB1002"/>
  <c r="AY1002"/>
  <c r="W1002"/>
  <c r="DK1001"/>
  <c r="CI1001"/>
  <c r="BF1001"/>
  <c r="AD1001"/>
  <c r="DR1000"/>
  <c r="CP1000"/>
  <c r="BM1000"/>
  <c r="AK1000"/>
  <c r="DY999"/>
  <c r="CW999"/>
  <c r="BU999"/>
  <c r="AR999"/>
  <c r="O999"/>
  <c r="DD998"/>
  <c r="CB998"/>
  <c r="AY998"/>
  <c r="W998"/>
  <c r="DK997"/>
  <c r="CI997"/>
  <c r="BF997"/>
  <c r="AD997"/>
  <c r="DR996"/>
  <c r="CP996"/>
  <c r="CI1072"/>
  <c r="BM1068"/>
  <c r="AY1066"/>
  <c r="W1065"/>
  <c r="AD1064"/>
  <c r="AK1063"/>
  <c r="AR1062"/>
  <c r="AY1061"/>
  <c r="BF1060"/>
  <c r="BM1059"/>
  <c r="DK1004"/>
  <c r="DR1003"/>
  <c r="DY1002"/>
  <c r="O1002"/>
  <c r="W1001"/>
  <c r="AD1000"/>
  <c r="AK999"/>
  <c r="BU998"/>
  <c r="O998"/>
  <c r="CB997"/>
  <c r="W997"/>
  <c r="CI996"/>
  <c r="AY996"/>
  <c r="W996"/>
  <c r="DK995"/>
  <c r="CI995"/>
  <c r="BF995"/>
  <c r="AD995"/>
  <c r="DR994"/>
  <c r="CP994"/>
  <c r="BM994"/>
  <c r="AK994"/>
  <c r="DY993"/>
  <c r="CW993"/>
  <c r="BU993"/>
  <c r="AR993"/>
  <c r="O993"/>
  <c r="DD992"/>
  <c r="CB992"/>
  <c r="AY992"/>
  <c r="W992"/>
  <c r="DK991"/>
  <c r="CI991"/>
  <c r="BF991"/>
  <c r="AD991"/>
  <c r="DR990"/>
  <c r="CP990"/>
  <c r="BM990"/>
  <c r="AK990"/>
  <c r="DY989"/>
  <c r="CW989"/>
  <c r="BU989"/>
  <c r="AR989"/>
  <c r="O989"/>
  <c r="DD988"/>
  <c r="CB988"/>
  <c r="AY988"/>
  <c r="W988"/>
  <c r="AD972"/>
  <c r="AD968"/>
  <c r="AD964"/>
  <c r="AD960"/>
  <c r="AD956"/>
  <c r="AD952"/>
  <c r="AD948"/>
  <c r="AD944"/>
  <c r="AD940"/>
  <c r="AD936"/>
  <c r="AD932"/>
  <c r="AD928"/>
  <c r="AD924"/>
  <c r="AD920"/>
  <c r="AD916"/>
  <c r="AD912"/>
  <c r="AD908"/>
  <c r="BF1071"/>
  <c r="CW1067"/>
  <c r="DK1065"/>
  <c r="DK1064"/>
  <c r="DR1063"/>
  <c r="DY1062"/>
  <c r="O1062"/>
  <c r="W1061"/>
  <c r="AD1060"/>
  <c r="AK1059"/>
  <c r="AK1076" s="1"/>
  <c r="CI1004"/>
  <c r="CP1003"/>
  <c r="CW1002"/>
  <c r="DD1001"/>
  <c r="DK1000"/>
  <c r="DR999"/>
  <c r="DY998"/>
  <c r="BM998"/>
  <c r="DY997"/>
  <c r="BU997"/>
  <c r="O997"/>
  <c r="CB996"/>
  <c r="AR996"/>
  <c r="O996"/>
  <c r="DD995"/>
  <c r="CB995"/>
  <c r="AY995"/>
  <c r="W995"/>
  <c r="DK994"/>
  <c r="CI994"/>
  <c r="BF994"/>
  <c r="AD994"/>
  <c r="DR993"/>
  <c r="CP993"/>
  <c r="BM993"/>
  <c r="AK993"/>
  <c r="DY992"/>
  <c r="CW992"/>
  <c r="BU992"/>
  <c r="AR992"/>
  <c r="O992"/>
  <c r="DD991"/>
  <c r="CB991"/>
  <c r="AY991"/>
  <c r="W991"/>
  <c r="DK990"/>
  <c r="CI990"/>
  <c r="BF990"/>
  <c r="AD990"/>
  <c r="DR989"/>
  <c r="CP989"/>
  <c r="BM989"/>
  <c r="AK989"/>
  <c r="DY988"/>
  <c r="CW988"/>
  <c r="BU988"/>
  <c r="AR988"/>
  <c r="O988"/>
  <c r="T972"/>
  <c r="AN972" s="1"/>
  <c r="T968"/>
  <c r="AN968" s="1"/>
  <c r="T964"/>
  <c r="AN964" s="1"/>
  <c r="T960"/>
  <c r="AN960" s="1"/>
  <c r="T956"/>
  <c r="AN956" s="1"/>
  <c r="T952"/>
  <c r="AN952" s="1"/>
  <c r="T948"/>
  <c r="AN948" s="1"/>
  <c r="T944"/>
  <c r="AN944" s="1"/>
  <c r="T940"/>
  <c r="AN940" s="1"/>
  <c r="BP101" s="1"/>
  <c r="T936"/>
  <c r="AN936" s="1"/>
  <c r="T932"/>
  <c r="AN932" s="1"/>
  <c r="T928"/>
  <c r="AN928" s="1"/>
  <c r="T924"/>
  <c r="AN924" s="1"/>
  <c r="T920"/>
  <c r="AN920" s="1"/>
  <c r="T916"/>
  <c r="AN916" s="1"/>
  <c r="T912"/>
  <c r="AN912" s="1"/>
  <c r="AD1075"/>
  <c r="AY1070"/>
  <c r="AR1067"/>
  <c r="CB1065"/>
  <c r="CI1064"/>
  <c r="CP1063"/>
  <c r="CW1062"/>
  <c r="DD1061"/>
  <c r="DK1060"/>
  <c r="DR1059"/>
  <c r="BF1004"/>
  <c r="BM1003"/>
  <c r="BU1002"/>
  <c r="CB1001"/>
  <c r="CI1000"/>
  <c r="CP999"/>
  <c r="CW998"/>
  <c r="AR998"/>
  <c r="DD997"/>
  <c r="AY997"/>
  <c r="DK996"/>
  <c r="BM996"/>
  <c r="AK996"/>
  <c r="DY995"/>
  <c r="CW995"/>
  <c r="BU995"/>
  <c r="AR995"/>
  <c r="O995"/>
  <c r="DD994"/>
  <c r="CB994"/>
  <c r="AY994"/>
  <c r="W994"/>
  <c r="DK993"/>
  <c r="CI993"/>
  <c r="BF993"/>
  <c r="AD993"/>
  <c r="DR992"/>
  <c r="CP992"/>
  <c r="BM992"/>
  <c r="AK992"/>
  <c r="DY991"/>
  <c r="CW991"/>
  <c r="BU991"/>
  <c r="AR991"/>
  <c r="O991"/>
  <c r="DD990"/>
  <c r="CB990"/>
  <c r="AY990"/>
  <c r="W990"/>
  <c r="DK989"/>
  <c r="CI989"/>
  <c r="BF989"/>
  <c r="AD989"/>
  <c r="DR988"/>
  <c r="CP988"/>
  <c r="BM988"/>
  <c r="AK988"/>
  <c r="AD971"/>
  <c r="AD967"/>
  <c r="AD963"/>
  <c r="AD959"/>
  <c r="AD955"/>
  <c r="AD951"/>
  <c r="AD947"/>
  <c r="AD943"/>
  <c r="AD941"/>
  <c r="AD937"/>
  <c r="AD933"/>
  <c r="AD929"/>
  <c r="AD925"/>
  <c r="AD921"/>
  <c r="AD917"/>
  <c r="AD913"/>
  <c r="AY1065"/>
  <c r="CB1061"/>
  <c r="AD1004"/>
  <c r="BF1000"/>
  <c r="CW997"/>
  <c r="AD996"/>
  <c r="AK995"/>
  <c r="AR994"/>
  <c r="AY993"/>
  <c r="BF992"/>
  <c r="BM991"/>
  <c r="BU990"/>
  <c r="CB989"/>
  <c r="CI988"/>
  <c r="T929"/>
  <c r="T913"/>
  <c r="AN913" s="1"/>
  <c r="AD909"/>
  <c r="DR1073"/>
  <c r="BF1064"/>
  <c r="CI1060"/>
  <c r="AK1003"/>
  <c r="BM999"/>
  <c r="AR997"/>
  <c r="DR995"/>
  <c r="DY994"/>
  <c r="O994"/>
  <c r="W993"/>
  <c r="AD992"/>
  <c r="AK991"/>
  <c r="AR990"/>
  <c r="AY989"/>
  <c r="BF988"/>
  <c r="BF1069"/>
  <c r="BM1063"/>
  <c r="CP1059"/>
  <c r="CP1076" s="1"/>
  <c r="AR1002"/>
  <c r="CP998"/>
  <c r="DD996"/>
  <c r="CP995"/>
  <c r="CW994"/>
  <c r="DD993"/>
  <c r="DK992"/>
  <c r="DR991"/>
  <c r="DY990"/>
  <c r="O990"/>
  <c r="W989"/>
  <c r="AD988"/>
  <c r="DD1066"/>
  <c r="BU1062"/>
  <c r="AY1001"/>
  <c r="AK998"/>
  <c r="BF996"/>
  <c r="BM995"/>
  <c r="BU994"/>
  <c r="CB993"/>
  <c r="CI992"/>
  <c r="CP991"/>
  <c r="CW990"/>
  <c r="DD989"/>
  <c r="DK988"/>
  <c r="DK1005" s="1"/>
  <c r="T971"/>
  <c r="AN971" s="1"/>
  <c r="T967"/>
  <c r="AN967" s="1"/>
  <c r="T963"/>
  <c r="AN963" s="1"/>
  <c r="T959"/>
  <c r="AN959" s="1"/>
  <c r="T955"/>
  <c r="AN955" s="1"/>
  <c r="T951"/>
  <c r="AN951" s="1"/>
  <c r="T947"/>
  <c r="AN947" s="1"/>
  <c r="T943"/>
  <c r="AN943" s="1"/>
  <c r="T941"/>
  <c r="AN941" s="1"/>
  <c r="T925"/>
  <c r="AN925" s="1"/>
  <c r="T937"/>
  <c r="AN937" s="1"/>
  <c r="T909"/>
  <c r="AN909" s="1"/>
  <c r="DK854"/>
  <c r="CI854"/>
  <c r="BF854"/>
  <c r="AD854"/>
  <c r="DR853"/>
  <c r="CP853"/>
  <c r="BM853"/>
  <c r="AK853"/>
  <c r="DY852"/>
  <c r="CW852"/>
  <c r="BU852"/>
  <c r="AR852"/>
  <c r="O852"/>
  <c r="DD851"/>
  <c r="CB851"/>
  <c r="AY851"/>
  <c r="W851"/>
  <c r="DK850"/>
  <c r="CI850"/>
  <c r="BF850"/>
  <c r="AD850"/>
  <c r="DR849"/>
  <c r="CP849"/>
  <c r="BM849"/>
  <c r="AK849"/>
  <c r="DY848"/>
  <c r="CW848"/>
  <c r="BU848"/>
  <c r="AR848"/>
  <c r="O848"/>
  <c r="DD847"/>
  <c r="CB847"/>
  <c r="AY847"/>
  <c r="W847"/>
  <c r="DK846"/>
  <c r="CI846"/>
  <c r="BF846"/>
  <c r="AD846"/>
  <c r="DR845"/>
  <c r="CP845"/>
  <c r="BM845"/>
  <c r="AK845"/>
  <c r="DY844"/>
  <c r="CW844"/>
  <c r="BU844"/>
  <c r="AR844"/>
  <c r="O844"/>
  <c r="DD843"/>
  <c r="CB843"/>
  <c r="AY843"/>
  <c r="W843"/>
  <c r="DK842"/>
  <c r="CI842"/>
  <c r="BF842"/>
  <c r="AD842"/>
  <c r="DR841"/>
  <c r="CP841"/>
  <c r="BM841"/>
  <c r="AK841"/>
  <c r="DY840"/>
  <c r="CW840"/>
  <c r="BU840"/>
  <c r="AR840"/>
  <c r="O840"/>
  <c r="DD839"/>
  <c r="CB839"/>
  <c r="AY839"/>
  <c r="W839"/>
  <c r="DK838"/>
  <c r="CI838"/>
  <c r="BF838"/>
  <c r="AD838"/>
  <c r="T821"/>
  <c r="T817"/>
  <c r="T813"/>
  <c r="T933"/>
  <c r="AN933" s="1"/>
  <c r="DD854"/>
  <c r="CB854"/>
  <c r="AY854"/>
  <c r="W854"/>
  <c r="DK853"/>
  <c r="CI853"/>
  <c r="BF853"/>
  <c r="AD853"/>
  <c r="DR852"/>
  <c r="CP852"/>
  <c r="BM852"/>
  <c r="AK852"/>
  <c r="DY851"/>
  <c r="CW851"/>
  <c r="BU851"/>
  <c r="AR851"/>
  <c r="O851"/>
  <c r="DD850"/>
  <c r="CB850"/>
  <c r="AY850"/>
  <c r="W850"/>
  <c r="DK849"/>
  <c r="CI849"/>
  <c r="BF849"/>
  <c r="AD849"/>
  <c r="DR848"/>
  <c r="CP848"/>
  <c r="BM848"/>
  <c r="AK848"/>
  <c r="DY847"/>
  <c r="CW847"/>
  <c r="BU847"/>
  <c r="AR847"/>
  <c r="O847"/>
  <c r="DD846"/>
  <c r="CB846"/>
  <c r="AY846"/>
  <c r="W846"/>
  <c r="DK845"/>
  <c r="CI845"/>
  <c r="BF845"/>
  <c r="AD845"/>
  <c r="DR844"/>
  <c r="CP844"/>
  <c r="BM844"/>
  <c r="AK844"/>
  <c r="DY843"/>
  <c r="CW843"/>
  <c r="BU843"/>
  <c r="AR843"/>
  <c r="O843"/>
  <c r="DD842"/>
  <c r="CB842"/>
  <c r="AY842"/>
  <c r="W842"/>
  <c r="DK841"/>
  <c r="CI841"/>
  <c r="BF841"/>
  <c r="AD841"/>
  <c r="DR840"/>
  <c r="CP840"/>
  <c r="BM840"/>
  <c r="AK840"/>
  <c r="DY839"/>
  <c r="CW839"/>
  <c r="BU839"/>
  <c r="AR839"/>
  <c r="O839"/>
  <c r="DD838"/>
  <c r="CB838"/>
  <c r="AY838"/>
  <c r="W838"/>
  <c r="AD822"/>
  <c r="AD818"/>
  <c r="AD814"/>
  <c r="T921"/>
  <c r="AN921" s="1"/>
  <c r="T908"/>
  <c r="DY854"/>
  <c r="CW854"/>
  <c r="BU854"/>
  <c r="AR854"/>
  <c r="O854"/>
  <c r="DD853"/>
  <c r="CB853"/>
  <c r="AY853"/>
  <c r="W853"/>
  <c r="DK852"/>
  <c r="CI852"/>
  <c r="BF852"/>
  <c r="AD852"/>
  <c r="DR851"/>
  <c r="CP851"/>
  <c r="BM851"/>
  <c r="AK851"/>
  <c r="DY850"/>
  <c r="CW850"/>
  <c r="BU850"/>
  <c r="AR850"/>
  <c r="O850"/>
  <c r="DD849"/>
  <c r="CB849"/>
  <c r="AY849"/>
  <c r="W849"/>
  <c r="DK848"/>
  <c r="CI848"/>
  <c r="BF848"/>
  <c r="AD848"/>
  <c r="DR847"/>
  <c r="CP847"/>
  <c r="BM847"/>
  <c r="AK847"/>
  <c r="DY846"/>
  <c r="CW846"/>
  <c r="BU846"/>
  <c r="AR846"/>
  <c r="O846"/>
  <c r="DD845"/>
  <c r="CB845"/>
  <c r="AY845"/>
  <c r="W845"/>
  <c r="DK844"/>
  <c r="CI844"/>
  <c r="BF844"/>
  <c r="AD844"/>
  <c r="DR843"/>
  <c r="CP843"/>
  <c r="BM843"/>
  <c r="AK843"/>
  <c r="DY842"/>
  <c r="CW842"/>
  <c r="BU842"/>
  <c r="AR842"/>
  <c r="O842"/>
  <c r="DD841"/>
  <c r="CB841"/>
  <c r="AY841"/>
  <c r="W841"/>
  <c r="DK840"/>
  <c r="CI840"/>
  <c r="BF840"/>
  <c r="AD840"/>
  <c r="DR839"/>
  <c r="CP839"/>
  <c r="BM839"/>
  <c r="AK839"/>
  <c r="DY838"/>
  <c r="CW838"/>
  <c r="BU838"/>
  <c r="AR838"/>
  <c r="O838"/>
  <c r="T822"/>
  <c r="AN822" s="1"/>
  <c r="T818"/>
  <c r="AN818" s="1"/>
  <c r="T814"/>
  <c r="AN814" s="1"/>
  <c r="T810"/>
  <c r="T806"/>
  <c r="T802"/>
  <c r="T798"/>
  <c r="T794"/>
  <c r="T790"/>
  <c r="T786"/>
  <c r="T917"/>
  <c r="AN917" s="1"/>
  <c r="DR854"/>
  <c r="CP854"/>
  <c r="BM854"/>
  <c r="AK854"/>
  <c r="DY853"/>
  <c r="CW853"/>
  <c r="BU853"/>
  <c r="AR853"/>
  <c r="O853"/>
  <c r="DD852"/>
  <c r="CB852"/>
  <c r="AY852"/>
  <c r="W852"/>
  <c r="DK851"/>
  <c r="CI851"/>
  <c r="BF851"/>
  <c r="AD851"/>
  <c r="DR850"/>
  <c r="CP850"/>
  <c r="BM850"/>
  <c r="AK850"/>
  <c r="DY849"/>
  <c r="CW849"/>
  <c r="BU849"/>
  <c r="AR849"/>
  <c r="O849"/>
  <c r="DD848"/>
  <c r="CB848"/>
  <c r="AY848"/>
  <c r="W848"/>
  <c r="DK847"/>
  <c r="CI847"/>
  <c r="BF847"/>
  <c r="AD847"/>
  <c r="DR846"/>
  <c r="CP846"/>
  <c r="BM846"/>
  <c r="AK846"/>
  <c r="DY845"/>
  <c r="CW845"/>
  <c r="BU845"/>
  <c r="AR845"/>
  <c r="O845"/>
  <c r="DD844"/>
  <c r="CB844"/>
  <c r="AY844"/>
  <c r="W844"/>
  <c r="DK843"/>
  <c r="CI843"/>
  <c r="BF843"/>
  <c r="AD843"/>
  <c r="DR842"/>
  <c r="CP842"/>
  <c r="BM842"/>
  <c r="AK842"/>
  <c r="DY841"/>
  <c r="CW841"/>
  <c r="BU841"/>
  <c r="AR841"/>
  <c r="O841"/>
  <c r="DD840"/>
  <c r="CB840"/>
  <c r="AY840"/>
  <c r="W840"/>
  <c r="DK839"/>
  <c r="CI839"/>
  <c r="BF839"/>
  <c r="AD839"/>
  <c r="DR838"/>
  <c r="DR855" s="1"/>
  <c r="CP838"/>
  <c r="BM838"/>
  <c r="AK838"/>
  <c r="AD821"/>
  <c r="AD817"/>
  <c r="AD813"/>
  <c r="AD809"/>
  <c r="AD805"/>
  <c r="AD801"/>
  <c r="AD797"/>
  <c r="AD793"/>
  <c r="AD791"/>
  <c r="AD787"/>
  <c r="T809"/>
  <c r="AD806"/>
  <c r="T793"/>
  <c r="AD790"/>
  <c r="T783"/>
  <c r="T779"/>
  <c r="T775"/>
  <c r="T771"/>
  <c r="T767"/>
  <c r="T763"/>
  <c r="T759"/>
  <c r="DK704"/>
  <c r="CI704"/>
  <c r="BF704"/>
  <c r="AD704"/>
  <c r="DR703"/>
  <c r="CP703"/>
  <c r="BM703"/>
  <c r="AK703"/>
  <c r="DY702"/>
  <c r="CW702"/>
  <c r="BU702"/>
  <c r="AR702"/>
  <c r="O702"/>
  <c r="DD701"/>
  <c r="CB701"/>
  <c r="AY701"/>
  <c r="W701"/>
  <c r="DK700"/>
  <c r="CI700"/>
  <c r="BF700"/>
  <c r="AD700"/>
  <c r="DR699"/>
  <c r="CP699"/>
  <c r="BM699"/>
  <c r="AK699"/>
  <c r="DY698"/>
  <c r="CW698"/>
  <c r="BU698"/>
  <c r="AR698"/>
  <c r="O698"/>
  <c r="DD697"/>
  <c r="CB697"/>
  <c r="AY697"/>
  <c r="W697"/>
  <c r="DK696"/>
  <c r="CI696"/>
  <c r="BF696"/>
  <c r="AD696"/>
  <c r="DR695"/>
  <c r="CP695"/>
  <c r="BM695"/>
  <c r="AK695"/>
  <c r="DY694"/>
  <c r="CW694"/>
  <c r="BU694"/>
  <c r="AR694"/>
  <c r="O694"/>
  <c r="DD693"/>
  <c r="CB693"/>
  <c r="AY693"/>
  <c r="W693"/>
  <c r="AD810"/>
  <c r="T797"/>
  <c r="AN797" s="1"/>
  <c r="AD794"/>
  <c r="T791"/>
  <c r="AN791" s="1"/>
  <c r="AD782"/>
  <c r="AD778"/>
  <c r="AD774"/>
  <c r="AD770"/>
  <c r="AD766"/>
  <c r="AD762"/>
  <c r="AD758"/>
  <c r="DD704"/>
  <c r="CB704"/>
  <c r="AY704"/>
  <c r="W704"/>
  <c r="DK703"/>
  <c r="CI703"/>
  <c r="BF703"/>
  <c r="AD703"/>
  <c r="DR702"/>
  <c r="CP702"/>
  <c r="BM702"/>
  <c r="AK702"/>
  <c r="DY701"/>
  <c r="CW701"/>
  <c r="BU701"/>
  <c r="AR701"/>
  <c r="O701"/>
  <c r="DD700"/>
  <c r="CB700"/>
  <c r="AY700"/>
  <c r="W700"/>
  <c r="DK699"/>
  <c r="CI699"/>
  <c r="BF699"/>
  <c r="AD699"/>
  <c r="DR698"/>
  <c r="CP698"/>
  <c r="BM698"/>
  <c r="AK698"/>
  <c r="DY697"/>
  <c r="CW697"/>
  <c r="BU697"/>
  <c r="AR697"/>
  <c r="O697"/>
  <c r="DD696"/>
  <c r="CB696"/>
  <c r="AY696"/>
  <c r="W696"/>
  <c r="DK695"/>
  <c r="CI695"/>
  <c r="BF695"/>
  <c r="AD695"/>
  <c r="DR694"/>
  <c r="CP694"/>
  <c r="BM694"/>
  <c r="AK694"/>
  <c r="DY693"/>
  <c r="CW693"/>
  <c r="BU693"/>
  <c r="AR693"/>
  <c r="T801"/>
  <c r="AN801" s="1"/>
  <c r="AD798"/>
  <c r="AD786"/>
  <c r="T782"/>
  <c r="AN782" s="1"/>
  <c r="T805"/>
  <c r="AN805" s="1"/>
  <c r="AD802"/>
  <c r="T787"/>
  <c r="AN787" s="1"/>
  <c r="T774"/>
  <c r="AN774" s="1"/>
  <c r="AD771"/>
  <c r="T758"/>
  <c r="DY704"/>
  <c r="BU704"/>
  <c r="O704"/>
  <c r="CB703"/>
  <c r="W703"/>
  <c r="CI702"/>
  <c r="AD702"/>
  <c r="CP701"/>
  <c r="AK701"/>
  <c r="CW700"/>
  <c r="AR700"/>
  <c r="DD699"/>
  <c r="AY699"/>
  <c r="DK698"/>
  <c r="BF698"/>
  <c r="DR697"/>
  <c r="BM697"/>
  <c r="DY696"/>
  <c r="BU696"/>
  <c r="O696"/>
  <c r="CB695"/>
  <c r="W695"/>
  <c r="CI694"/>
  <c r="AD694"/>
  <c r="CP693"/>
  <c r="AK693"/>
  <c r="DR692"/>
  <c r="CP692"/>
  <c r="BM692"/>
  <c r="AK692"/>
  <c r="DY691"/>
  <c r="CW691"/>
  <c r="BU691"/>
  <c r="AR691"/>
  <c r="O691"/>
  <c r="DD690"/>
  <c r="CB690"/>
  <c r="AY690"/>
  <c r="W690"/>
  <c r="DK689"/>
  <c r="CI689"/>
  <c r="BF689"/>
  <c r="AD689"/>
  <c r="DR688"/>
  <c r="CP688"/>
  <c r="BM688"/>
  <c r="AK688"/>
  <c r="AD671"/>
  <c r="AD667"/>
  <c r="AD663"/>
  <c r="AD659"/>
  <c r="CC52" s="1"/>
  <c r="AD655"/>
  <c r="AD651"/>
  <c r="AD647"/>
  <c r="AD643"/>
  <c r="AD641"/>
  <c r="AD637"/>
  <c r="AD633"/>
  <c r="AD629"/>
  <c r="AD625"/>
  <c r="AD621"/>
  <c r="AD617"/>
  <c r="AD613"/>
  <c r="AD609"/>
  <c r="DR554"/>
  <c r="CP554"/>
  <c r="BM554"/>
  <c r="AK554"/>
  <c r="DY553"/>
  <c r="CW553"/>
  <c r="BU553"/>
  <c r="AR553"/>
  <c r="O553"/>
  <c r="DD552"/>
  <c r="CB552"/>
  <c r="AY552"/>
  <c r="W552"/>
  <c r="DK551"/>
  <c r="CI551"/>
  <c r="BF551"/>
  <c r="AD551"/>
  <c r="DR550"/>
  <c r="CP550"/>
  <c r="BM550"/>
  <c r="AK550"/>
  <c r="DY549"/>
  <c r="CW549"/>
  <c r="BU549"/>
  <c r="AR549"/>
  <c r="O549"/>
  <c r="DD548"/>
  <c r="CB548"/>
  <c r="AY548"/>
  <c r="W548"/>
  <c r="DK547"/>
  <c r="CI547"/>
  <c r="BF547"/>
  <c r="AD547"/>
  <c r="DR546"/>
  <c r="CP546"/>
  <c r="BM546"/>
  <c r="AK546"/>
  <c r="DY545"/>
  <c r="CW545"/>
  <c r="BU545"/>
  <c r="AR545"/>
  <c r="O545"/>
  <c r="DD544"/>
  <c r="CB544"/>
  <c r="AY544"/>
  <c r="W544"/>
  <c r="DK543"/>
  <c r="CI543"/>
  <c r="BF543"/>
  <c r="AD543"/>
  <c r="DR542"/>
  <c r="CP542"/>
  <c r="BM542"/>
  <c r="AK542"/>
  <c r="DY541"/>
  <c r="CW541"/>
  <c r="BU541"/>
  <c r="AR541"/>
  <c r="O541"/>
  <c r="DD540"/>
  <c r="CB540"/>
  <c r="AY540"/>
  <c r="W540"/>
  <c r="DK539"/>
  <c r="CI539"/>
  <c r="BF539"/>
  <c r="AD539"/>
  <c r="DR538"/>
  <c r="CP538"/>
  <c r="BM538"/>
  <c r="AK538"/>
  <c r="AD521"/>
  <c r="AD517"/>
  <c r="AD783"/>
  <c r="T778"/>
  <c r="AN778" s="1"/>
  <c r="AD775"/>
  <c r="T762"/>
  <c r="AN762" s="1"/>
  <c r="AD759"/>
  <c r="DR704"/>
  <c r="BM704"/>
  <c r="DY703"/>
  <c r="BU703"/>
  <c r="O703"/>
  <c r="CB702"/>
  <c r="W702"/>
  <c r="CI701"/>
  <c r="AD701"/>
  <c r="CP700"/>
  <c r="AK700"/>
  <c r="CW699"/>
  <c r="AR699"/>
  <c r="DD698"/>
  <c r="AY698"/>
  <c r="DK697"/>
  <c r="BF697"/>
  <c r="DR696"/>
  <c r="BM696"/>
  <c r="DY695"/>
  <c r="BU695"/>
  <c r="O695"/>
  <c r="CB694"/>
  <c r="W694"/>
  <c r="CI693"/>
  <c r="AD693"/>
  <c r="DK692"/>
  <c r="CI692"/>
  <c r="BF692"/>
  <c r="AD692"/>
  <c r="DR691"/>
  <c r="CP691"/>
  <c r="BM691"/>
  <c r="AK691"/>
  <c r="DY690"/>
  <c r="CW690"/>
  <c r="BU690"/>
  <c r="AR690"/>
  <c r="O690"/>
  <c r="DD689"/>
  <c r="CB689"/>
  <c r="AY689"/>
  <c r="W689"/>
  <c r="DK688"/>
  <c r="CI688"/>
  <c r="BF688"/>
  <c r="AD688"/>
  <c r="T671"/>
  <c r="AN671" s="1"/>
  <c r="T667"/>
  <c r="AN667" s="1"/>
  <c r="T663"/>
  <c r="AN663" s="1"/>
  <c r="T659"/>
  <c r="T655"/>
  <c r="AN655" s="1"/>
  <c r="T651"/>
  <c r="AN651" s="1"/>
  <c r="T647"/>
  <c r="AN647" s="1"/>
  <c r="T643"/>
  <c r="AN643" s="1"/>
  <c r="T641"/>
  <c r="AN641" s="1"/>
  <c r="T637"/>
  <c r="AN637" s="1"/>
  <c r="T633"/>
  <c r="AN633" s="1"/>
  <c r="T629"/>
  <c r="AN629" s="1"/>
  <c r="T625"/>
  <c r="AN625" s="1"/>
  <c r="T621"/>
  <c r="AN621" s="1"/>
  <c r="T617"/>
  <c r="AN617" s="1"/>
  <c r="T613"/>
  <c r="AN613" s="1"/>
  <c r="T609"/>
  <c r="AN609" s="1"/>
  <c r="DK554"/>
  <c r="CI554"/>
  <c r="BF554"/>
  <c r="AD554"/>
  <c r="DR553"/>
  <c r="CP553"/>
  <c r="BM553"/>
  <c r="AK553"/>
  <c r="DY552"/>
  <c r="CW552"/>
  <c r="BU552"/>
  <c r="AR552"/>
  <c r="O552"/>
  <c r="DD551"/>
  <c r="CB551"/>
  <c r="AY551"/>
  <c r="W551"/>
  <c r="DK550"/>
  <c r="CI550"/>
  <c r="BF550"/>
  <c r="AD550"/>
  <c r="DR549"/>
  <c r="CP549"/>
  <c r="BM549"/>
  <c r="AK549"/>
  <c r="DY548"/>
  <c r="CW548"/>
  <c r="BU548"/>
  <c r="AR548"/>
  <c r="O548"/>
  <c r="DD547"/>
  <c r="CB547"/>
  <c r="AY547"/>
  <c r="W547"/>
  <c r="DK546"/>
  <c r="CI546"/>
  <c r="BF546"/>
  <c r="AD546"/>
  <c r="DR545"/>
  <c r="CP545"/>
  <c r="BM545"/>
  <c r="AK545"/>
  <c r="DY544"/>
  <c r="CW544"/>
  <c r="BU544"/>
  <c r="AR544"/>
  <c r="O544"/>
  <c r="DD543"/>
  <c r="CB543"/>
  <c r="AY543"/>
  <c r="W543"/>
  <c r="DK542"/>
  <c r="CI542"/>
  <c r="BF542"/>
  <c r="AD542"/>
  <c r="DR541"/>
  <c r="CP541"/>
  <c r="BM541"/>
  <c r="AK541"/>
  <c r="DY540"/>
  <c r="CW540"/>
  <c r="BU540"/>
  <c r="AR540"/>
  <c r="O540"/>
  <c r="DD539"/>
  <c r="CB539"/>
  <c r="AY539"/>
  <c r="W539"/>
  <c r="DK538"/>
  <c r="CI538"/>
  <c r="BF538"/>
  <c r="AD538"/>
  <c r="AD779"/>
  <c r="T766"/>
  <c r="AN766" s="1"/>
  <c r="AD763"/>
  <c r="CW704"/>
  <c r="AR704"/>
  <c r="DD703"/>
  <c r="AY703"/>
  <c r="DK702"/>
  <c r="BF702"/>
  <c r="DR701"/>
  <c r="BM701"/>
  <c r="DY700"/>
  <c r="BU700"/>
  <c r="O700"/>
  <c r="CB699"/>
  <c r="W699"/>
  <c r="CI698"/>
  <c r="AD698"/>
  <c r="CP697"/>
  <c r="AK697"/>
  <c r="CW696"/>
  <c r="AR696"/>
  <c r="DD695"/>
  <c r="AY695"/>
  <c r="DK694"/>
  <c r="BF694"/>
  <c r="DR693"/>
  <c r="BM693"/>
  <c r="O693"/>
  <c r="DD692"/>
  <c r="CB692"/>
  <c r="AY692"/>
  <c r="W692"/>
  <c r="DK691"/>
  <c r="CI691"/>
  <c r="BF691"/>
  <c r="AD691"/>
  <c r="DR690"/>
  <c r="CP690"/>
  <c r="BM690"/>
  <c r="AK690"/>
  <c r="DY689"/>
  <c r="CW689"/>
  <c r="BU689"/>
  <c r="AR689"/>
  <c r="O689"/>
  <c r="DD688"/>
  <c r="CB688"/>
  <c r="AY688"/>
  <c r="W688"/>
  <c r="AD672"/>
  <c r="AD668"/>
  <c r="AD664"/>
  <c r="AD660"/>
  <c r="AD656"/>
  <c r="AD652"/>
  <c r="AD648"/>
  <c r="AD644"/>
  <c r="AD640"/>
  <c r="AD636"/>
  <c r="CC51" s="1"/>
  <c r="AD632"/>
  <c r="AD628"/>
  <c r="AD624"/>
  <c r="AD620"/>
  <c r="AD616"/>
  <c r="CC50" s="1"/>
  <c r="AD612"/>
  <c r="AD608"/>
  <c r="DD554"/>
  <c r="CB554"/>
  <c r="AY554"/>
  <c r="W554"/>
  <c r="DK553"/>
  <c r="CI553"/>
  <c r="BF553"/>
  <c r="AD553"/>
  <c r="DR552"/>
  <c r="CP552"/>
  <c r="BM552"/>
  <c r="AK552"/>
  <c r="DY551"/>
  <c r="CW551"/>
  <c r="BU551"/>
  <c r="AR551"/>
  <c r="O551"/>
  <c r="DD550"/>
  <c r="CB550"/>
  <c r="AY550"/>
  <c r="W550"/>
  <c r="DK549"/>
  <c r="CI549"/>
  <c r="BF549"/>
  <c r="AD549"/>
  <c r="DR548"/>
  <c r="CP548"/>
  <c r="BM548"/>
  <c r="AK548"/>
  <c r="DY547"/>
  <c r="CW547"/>
  <c r="BU547"/>
  <c r="AR547"/>
  <c r="O547"/>
  <c r="DD546"/>
  <c r="CB546"/>
  <c r="AY546"/>
  <c r="W546"/>
  <c r="DK545"/>
  <c r="CI545"/>
  <c r="BF545"/>
  <c r="AD545"/>
  <c r="DR544"/>
  <c r="CP544"/>
  <c r="BM544"/>
  <c r="AK544"/>
  <c r="DY543"/>
  <c r="CW543"/>
  <c r="BU543"/>
  <c r="AR543"/>
  <c r="O543"/>
  <c r="DD542"/>
  <c r="CB542"/>
  <c r="AY542"/>
  <c r="W542"/>
  <c r="DK541"/>
  <c r="CI541"/>
  <c r="BF541"/>
  <c r="AD541"/>
  <c r="DR540"/>
  <c r="CP540"/>
  <c r="BM540"/>
  <c r="AK540"/>
  <c r="DY539"/>
  <c r="CW539"/>
  <c r="BU539"/>
  <c r="AR539"/>
  <c r="O539"/>
  <c r="DD538"/>
  <c r="CB538"/>
  <c r="AY538"/>
  <c r="W538"/>
  <c r="AD522"/>
  <c r="AD518"/>
  <c r="T770"/>
  <c r="AN770" s="1"/>
  <c r="AD767"/>
  <c r="CP704"/>
  <c r="AK704"/>
  <c r="CW703"/>
  <c r="AR703"/>
  <c r="DD702"/>
  <c r="AY702"/>
  <c r="DK701"/>
  <c r="BF701"/>
  <c r="DR700"/>
  <c r="BM700"/>
  <c r="DY699"/>
  <c r="BU699"/>
  <c r="O699"/>
  <c r="CB698"/>
  <c r="W698"/>
  <c r="CI697"/>
  <c r="AD697"/>
  <c r="CP696"/>
  <c r="AK696"/>
  <c r="CW695"/>
  <c r="AR695"/>
  <c r="DD694"/>
  <c r="AY694"/>
  <c r="DK693"/>
  <c r="BF693"/>
  <c r="DY692"/>
  <c r="CW692"/>
  <c r="BU692"/>
  <c r="AR692"/>
  <c r="O692"/>
  <c r="DD691"/>
  <c r="CB691"/>
  <c r="AY691"/>
  <c r="W691"/>
  <c r="DK690"/>
  <c r="CI690"/>
  <c r="BF690"/>
  <c r="AD690"/>
  <c r="DR689"/>
  <c r="CP689"/>
  <c r="BM689"/>
  <c r="AK689"/>
  <c r="DY688"/>
  <c r="CW688"/>
  <c r="BU688"/>
  <c r="AR688"/>
  <c r="O688"/>
  <c r="T672"/>
  <c r="AN672" s="1"/>
  <c r="T668"/>
  <c r="AN668" s="1"/>
  <c r="T664"/>
  <c r="AN664" s="1"/>
  <c r="T660"/>
  <c r="AN660" s="1"/>
  <c r="T656"/>
  <c r="AN656" s="1"/>
  <c r="T652"/>
  <c r="AN652" s="1"/>
  <c r="T648"/>
  <c r="AN648" s="1"/>
  <c r="T644"/>
  <c r="AN644" s="1"/>
  <c r="T640"/>
  <c r="AN640" s="1"/>
  <c r="AV101" s="1"/>
  <c r="T636"/>
  <c r="T632"/>
  <c r="AN632" s="1"/>
  <c r="T628"/>
  <c r="AN628" s="1"/>
  <c r="T624"/>
  <c r="AN624" s="1"/>
  <c r="T620"/>
  <c r="AN620" s="1"/>
  <c r="T616"/>
  <c r="T612"/>
  <c r="AN612" s="1"/>
  <c r="T608"/>
  <c r="DY554"/>
  <c r="CW554"/>
  <c r="BU554"/>
  <c r="AR554"/>
  <c r="O554"/>
  <c r="DD553"/>
  <c r="CB553"/>
  <c r="AY553"/>
  <c r="W553"/>
  <c r="DK552"/>
  <c r="CI552"/>
  <c r="BF552"/>
  <c r="AD552"/>
  <c r="DR551"/>
  <c r="CP551"/>
  <c r="BM551"/>
  <c r="AK551"/>
  <c r="DY550"/>
  <c r="CW550"/>
  <c r="BU550"/>
  <c r="AR550"/>
  <c r="O550"/>
  <c r="DD549"/>
  <c r="CB549"/>
  <c r="AY549"/>
  <c r="W549"/>
  <c r="DK548"/>
  <c r="CI548"/>
  <c r="BF548"/>
  <c r="AD548"/>
  <c r="DR547"/>
  <c r="CP547"/>
  <c r="BM547"/>
  <c r="AK547"/>
  <c r="DY546"/>
  <c r="CW546"/>
  <c r="BU546"/>
  <c r="AR546"/>
  <c r="O546"/>
  <c r="DD545"/>
  <c r="CB545"/>
  <c r="AY545"/>
  <c r="W545"/>
  <c r="DK544"/>
  <c r="CI544"/>
  <c r="BF544"/>
  <c r="AD544"/>
  <c r="DR543"/>
  <c r="CP543"/>
  <c r="BM543"/>
  <c r="AK543"/>
  <c r="DY542"/>
  <c r="CW542"/>
  <c r="BU542"/>
  <c r="AR542"/>
  <c r="O542"/>
  <c r="DD541"/>
  <c r="CB541"/>
  <c r="AY541"/>
  <c r="W541"/>
  <c r="DK540"/>
  <c r="CI540"/>
  <c r="BF540"/>
  <c r="AD540"/>
  <c r="DR539"/>
  <c r="CP539"/>
  <c r="BM539"/>
  <c r="AK539"/>
  <c r="DY538"/>
  <c r="DY555" s="1"/>
  <c r="CW538"/>
  <c r="BU538"/>
  <c r="AR538"/>
  <c r="O538"/>
  <c r="O555" s="1"/>
  <c r="T522"/>
  <c r="AN522" s="1"/>
  <c r="T518"/>
  <c r="AN518" s="1"/>
  <c r="AD510"/>
  <c r="AD506"/>
  <c r="AD502"/>
  <c r="AD498"/>
  <c r="AD494"/>
  <c r="AD490"/>
  <c r="CC42" s="1"/>
  <c r="AD486"/>
  <c r="CC41" s="1"/>
  <c r="AD482"/>
  <c r="AD478"/>
  <c r="CC40" s="1"/>
  <c r="AD474"/>
  <c r="CC39" s="1"/>
  <c r="AD470"/>
  <c r="AD466"/>
  <c r="AD462"/>
  <c r="AD458"/>
  <c r="DD404"/>
  <c r="CB404"/>
  <c r="AY404"/>
  <c r="W404"/>
  <c r="DK403"/>
  <c r="CI403"/>
  <c r="BF403"/>
  <c r="AD403"/>
  <c r="DR402"/>
  <c r="CP402"/>
  <c r="BM402"/>
  <c r="AK402"/>
  <c r="DY401"/>
  <c r="CW401"/>
  <c r="BU401"/>
  <c r="AR401"/>
  <c r="O401"/>
  <c r="DD400"/>
  <c r="CB400"/>
  <c r="AY400"/>
  <c r="W400"/>
  <c r="DK399"/>
  <c r="CI399"/>
  <c r="BF399"/>
  <c r="AD399"/>
  <c r="DR398"/>
  <c r="CP398"/>
  <c r="BM398"/>
  <c r="AK398"/>
  <c r="DY397"/>
  <c r="CW397"/>
  <c r="BU397"/>
  <c r="AR397"/>
  <c r="O397"/>
  <c r="DD396"/>
  <c r="CB396"/>
  <c r="AY396"/>
  <c r="W396"/>
  <c r="DK395"/>
  <c r="CI395"/>
  <c r="BF395"/>
  <c r="AD395"/>
  <c r="DR394"/>
  <c r="CP394"/>
  <c r="BM394"/>
  <c r="AK394"/>
  <c r="DY393"/>
  <c r="CW393"/>
  <c r="BU393"/>
  <c r="AR393"/>
  <c r="O393"/>
  <c r="DD392"/>
  <c r="CB392"/>
  <c r="AY392"/>
  <c r="W392"/>
  <c r="DK391"/>
  <c r="CI391"/>
  <c r="BF391"/>
  <c r="AD391"/>
  <c r="DR390"/>
  <c r="CP390"/>
  <c r="BM390"/>
  <c r="AK390"/>
  <c r="DY389"/>
  <c r="CW389"/>
  <c r="BU389"/>
  <c r="AR389"/>
  <c r="O389"/>
  <c r="DD388"/>
  <c r="CB388"/>
  <c r="AY388"/>
  <c r="W388"/>
  <c r="AD372"/>
  <c r="AD368"/>
  <c r="AD364"/>
  <c r="AD360"/>
  <c r="AD356"/>
  <c r="AD352"/>
  <c r="AD348"/>
  <c r="AD344"/>
  <c r="AD340"/>
  <c r="AD336"/>
  <c r="CC29" s="1"/>
  <c r="AD332"/>
  <c r="AD328"/>
  <c r="AD324"/>
  <c r="AD320"/>
  <c r="CC30" s="1"/>
  <c r="AD316"/>
  <c r="AD312"/>
  <c r="AD308"/>
  <c r="T521"/>
  <c r="AN521" s="1"/>
  <c r="T517"/>
  <c r="AN517" s="1"/>
  <c r="AD514"/>
  <c r="T510"/>
  <c r="AN510" s="1"/>
  <c r="T506"/>
  <c r="AN506" s="1"/>
  <c r="T502"/>
  <c r="AN502" s="1"/>
  <c r="T498"/>
  <c r="AN498" s="1"/>
  <c r="T494"/>
  <c r="AN494" s="1"/>
  <c r="T490"/>
  <c r="T486"/>
  <c r="T482"/>
  <c r="AN482" s="1"/>
  <c r="T478"/>
  <c r="T474"/>
  <c r="T470"/>
  <c r="AN470" s="1"/>
  <c r="T466"/>
  <c r="AN466" s="1"/>
  <c r="T462"/>
  <c r="AN462" s="1"/>
  <c r="T458"/>
  <c r="DY404"/>
  <c r="CW404"/>
  <c r="BU404"/>
  <c r="AR404"/>
  <c r="O404"/>
  <c r="DD403"/>
  <c r="CB403"/>
  <c r="AY403"/>
  <c r="W403"/>
  <c r="DK402"/>
  <c r="CI402"/>
  <c r="BF402"/>
  <c r="AD402"/>
  <c r="DR401"/>
  <c r="CP401"/>
  <c r="BM401"/>
  <c r="AK401"/>
  <c r="DY400"/>
  <c r="CW400"/>
  <c r="BU400"/>
  <c r="AR400"/>
  <c r="O400"/>
  <c r="DD399"/>
  <c r="CB399"/>
  <c r="AY399"/>
  <c r="W399"/>
  <c r="DK398"/>
  <c r="CI398"/>
  <c r="BF398"/>
  <c r="AD398"/>
  <c r="DR397"/>
  <c r="CP397"/>
  <c r="BM397"/>
  <c r="AK397"/>
  <c r="DY396"/>
  <c r="CW396"/>
  <c r="BU396"/>
  <c r="AR396"/>
  <c r="O396"/>
  <c r="DD395"/>
  <c r="CB395"/>
  <c r="AY395"/>
  <c r="W395"/>
  <c r="DK394"/>
  <c r="CI394"/>
  <c r="BF394"/>
  <c r="AD394"/>
  <c r="DR393"/>
  <c r="CP393"/>
  <c r="BM393"/>
  <c r="AK393"/>
  <c r="DY392"/>
  <c r="CW392"/>
  <c r="BU392"/>
  <c r="AR392"/>
  <c r="O392"/>
  <c r="DD391"/>
  <c r="CB391"/>
  <c r="AY391"/>
  <c r="W391"/>
  <c r="DK390"/>
  <c r="CI390"/>
  <c r="BF390"/>
  <c r="AD390"/>
  <c r="DR389"/>
  <c r="CP389"/>
  <c r="BM389"/>
  <c r="AK389"/>
  <c r="DY388"/>
  <c r="CW388"/>
  <c r="BU388"/>
  <c r="AR388"/>
  <c r="O388"/>
  <c r="T372"/>
  <c r="AN372" s="1"/>
  <c r="T368"/>
  <c r="AN368" s="1"/>
  <c r="T364"/>
  <c r="AN364" s="1"/>
  <c r="T360"/>
  <c r="AN360" s="1"/>
  <c r="T356"/>
  <c r="AN356" s="1"/>
  <c r="T352"/>
  <c r="AN352" s="1"/>
  <c r="T348"/>
  <c r="AN348" s="1"/>
  <c r="T344"/>
  <c r="AN344" s="1"/>
  <c r="T340"/>
  <c r="AN340" s="1"/>
  <c r="AB101" s="1"/>
  <c r="T336"/>
  <c r="T332"/>
  <c r="AN332" s="1"/>
  <c r="T328"/>
  <c r="AN328" s="1"/>
  <c r="T324"/>
  <c r="AN324" s="1"/>
  <c r="T320"/>
  <c r="T514"/>
  <c r="AN514" s="1"/>
  <c r="AD513"/>
  <c r="AD509"/>
  <c r="AD505"/>
  <c r="AD501"/>
  <c r="AD497"/>
  <c r="AD493"/>
  <c r="AD491"/>
  <c r="AD487"/>
  <c r="AD483"/>
  <c r="AD479"/>
  <c r="AD475"/>
  <c r="AD471"/>
  <c r="AD467"/>
  <c r="AD463"/>
  <c r="AD459"/>
  <c r="DR404"/>
  <c r="CP404"/>
  <c r="BM404"/>
  <c r="AK404"/>
  <c r="DY403"/>
  <c r="CW403"/>
  <c r="BU403"/>
  <c r="AR403"/>
  <c r="O403"/>
  <c r="DD402"/>
  <c r="CB402"/>
  <c r="AY402"/>
  <c r="W402"/>
  <c r="DK401"/>
  <c r="CI401"/>
  <c r="BF401"/>
  <c r="AD401"/>
  <c r="DR400"/>
  <c r="CP400"/>
  <c r="BM400"/>
  <c r="AK400"/>
  <c r="DY399"/>
  <c r="CW399"/>
  <c r="BU399"/>
  <c r="AR399"/>
  <c r="O399"/>
  <c r="DD398"/>
  <c r="CB398"/>
  <c r="AY398"/>
  <c r="W398"/>
  <c r="DK397"/>
  <c r="CI397"/>
  <c r="BF397"/>
  <c r="AD397"/>
  <c r="DR396"/>
  <c r="CP396"/>
  <c r="BM396"/>
  <c r="AK396"/>
  <c r="DY395"/>
  <c r="CW395"/>
  <c r="BU395"/>
  <c r="AR395"/>
  <c r="O395"/>
  <c r="DD394"/>
  <c r="CB394"/>
  <c r="AY394"/>
  <c r="W394"/>
  <c r="DK393"/>
  <c r="CI393"/>
  <c r="BF393"/>
  <c r="AD393"/>
  <c r="DR392"/>
  <c r="CP392"/>
  <c r="BM392"/>
  <c r="AK392"/>
  <c r="DY391"/>
  <c r="CW391"/>
  <c r="BU391"/>
  <c r="AR391"/>
  <c r="O391"/>
  <c r="DD390"/>
  <c r="CB390"/>
  <c r="AY390"/>
  <c r="W390"/>
  <c r="DK389"/>
  <c r="CI389"/>
  <c r="BF389"/>
  <c r="AD389"/>
  <c r="DR388"/>
  <c r="CP388"/>
  <c r="BM388"/>
  <c r="AK388"/>
  <c r="AD371"/>
  <c r="AD367"/>
  <c r="AD363"/>
  <c r="AD359"/>
  <c r="AD355"/>
  <c r="AD351"/>
  <c r="AD347"/>
  <c r="AD343"/>
  <c r="AD341"/>
  <c r="AD337"/>
  <c r="AD333"/>
  <c r="AD329"/>
  <c r="AD325"/>
  <c r="AD321"/>
  <c r="T513"/>
  <c r="AN513" s="1"/>
  <c r="T509"/>
  <c r="AN509" s="1"/>
  <c r="T505"/>
  <c r="AN505" s="1"/>
  <c r="T501"/>
  <c r="AN501" s="1"/>
  <c r="T497"/>
  <c r="AN497" s="1"/>
  <c r="T493"/>
  <c r="AN493" s="1"/>
  <c r="T491"/>
  <c r="AN491" s="1"/>
  <c r="T487"/>
  <c r="AN487" s="1"/>
  <c r="T483"/>
  <c r="AN483" s="1"/>
  <c r="T479"/>
  <c r="AN479" s="1"/>
  <c r="T475"/>
  <c r="AN475" s="1"/>
  <c r="T471"/>
  <c r="AN471" s="1"/>
  <c r="T467"/>
  <c r="AN467" s="1"/>
  <c r="T463"/>
  <c r="AN463" s="1"/>
  <c r="T459"/>
  <c r="AN459" s="1"/>
  <c r="DK404"/>
  <c r="CI404"/>
  <c r="BF404"/>
  <c r="AD404"/>
  <c r="DR403"/>
  <c r="CP403"/>
  <c r="BM403"/>
  <c r="AK403"/>
  <c r="DY402"/>
  <c r="CW402"/>
  <c r="BU402"/>
  <c r="AR402"/>
  <c r="O402"/>
  <c r="DD401"/>
  <c r="CB401"/>
  <c r="AY401"/>
  <c r="W401"/>
  <c r="DK400"/>
  <c r="CI400"/>
  <c r="BF400"/>
  <c r="AD400"/>
  <c r="DR399"/>
  <c r="CP399"/>
  <c r="BM399"/>
  <c r="AK399"/>
  <c r="DY398"/>
  <c r="CW398"/>
  <c r="BU398"/>
  <c r="AR398"/>
  <c r="O398"/>
  <c r="DD397"/>
  <c r="CB397"/>
  <c r="AY397"/>
  <c r="W397"/>
  <c r="DK396"/>
  <c r="CI396"/>
  <c r="BF396"/>
  <c r="AD396"/>
  <c r="DR395"/>
  <c r="CP395"/>
  <c r="BM395"/>
  <c r="AK395"/>
  <c r="DY394"/>
  <c r="CW394"/>
  <c r="BU394"/>
  <c r="AR394"/>
  <c r="O394"/>
  <c r="DD393"/>
  <c r="CB393"/>
  <c r="AY393"/>
  <c r="W393"/>
  <c r="DK392"/>
  <c r="CI392"/>
  <c r="BF392"/>
  <c r="AD392"/>
  <c r="DR391"/>
  <c r="CP391"/>
  <c r="BM391"/>
  <c r="AK391"/>
  <c r="DY390"/>
  <c r="CW390"/>
  <c r="BU390"/>
  <c r="AR390"/>
  <c r="O390"/>
  <c r="DD389"/>
  <c r="CB389"/>
  <c r="AY389"/>
  <c r="W389"/>
  <c r="DK388"/>
  <c r="CI388"/>
  <c r="BF388"/>
  <c r="AD388"/>
  <c r="T371"/>
  <c r="AN371" s="1"/>
  <c r="T367"/>
  <c r="AN367" s="1"/>
  <c r="T363"/>
  <c r="AN363" s="1"/>
  <c r="T359"/>
  <c r="AN359" s="1"/>
  <c r="T355"/>
  <c r="AN355" s="1"/>
  <c r="T351"/>
  <c r="AN351" s="1"/>
  <c r="T347"/>
  <c r="AN347" s="1"/>
  <c r="T329"/>
  <c r="AN329" s="1"/>
  <c r="DR244"/>
  <c r="CP244"/>
  <c r="BM244"/>
  <c r="AK244"/>
  <c r="DY243"/>
  <c r="CW243"/>
  <c r="BU243"/>
  <c r="AR243"/>
  <c r="O243"/>
  <c r="DD242"/>
  <c r="CB242"/>
  <c r="AY242"/>
  <c r="W242"/>
  <c r="DK241"/>
  <c r="CI241"/>
  <c r="BF241"/>
  <c r="AD241"/>
  <c r="DR240"/>
  <c r="CP240"/>
  <c r="BM240"/>
  <c r="AK240"/>
  <c r="DY239"/>
  <c r="CW239"/>
  <c r="BU239"/>
  <c r="AR239"/>
  <c r="O239"/>
  <c r="DD238"/>
  <c r="CB238"/>
  <c r="AY238"/>
  <c r="W238"/>
  <c r="DK237"/>
  <c r="CI237"/>
  <c r="BF237"/>
  <c r="AD237"/>
  <c r="DR236"/>
  <c r="CP236"/>
  <c r="BM236"/>
  <c r="AK236"/>
  <c r="DY235"/>
  <c r="CW235"/>
  <c r="BU235"/>
  <c r="AR235"/>
  <c r="O235"/>
  <c r="DD234"/>
  <c r="CB234"/>
  <c r="AY234"/>
  <c r="W234"/>
  <c r="DK233"/>
  <c r="CI233"/>
  <c r="BF233"/>
  <c r="AD233"/>
  <c r="DR232"/>
  <c r="CP232"/>
  <c r="BM232"/>
  <c r="AK232"/>
  <c r="DY231"/>
  <c r="CW231"/>
  <c r="BU231"/>
  <c r="AR231"/>
  <c r="O231"/>
  <c r="DD230"/>
  <c r="CB230"/>
  <c r="AY230"/>
  <c r="W230"/>
  <c r="DK229"/>
  <c r="CI229"/>
  <c r="BF229"/>
  <c r="AD229"/>
  <c r="DR228"/>
  <c r="CP228"/>
  <c r="BM228"/>
  <c r="AK228"/>
  <c r="AD211"/>
  <c r="AD207"/>
  <c r="CC21" s="1"/>
  <c r="AD203"/>
  <c r="AD199"/>
  <c r="AD195"/>
  <c r="AD191"/>
  <c r="AD187"/>
  <c r="AD183"/>
  <c r="AD181"/>
  <c r="AD177"/>
  <c r="AD173"/>
  <c r="AD169"/>
  <c r="AD165"/>
  <c r="AD161"/>
  <c r="AD157"/>
  <c r="AD153"/>
  <c r="AD149"/>
  <c r="CU109"/>
  <c r="CU108"/>
  <c r="CU107"/>
  <c r="CU106"/>
  <c r="CU105"/>
  <c r="CU104"/>
  <c r="CU103"/>
  <c r="CU102"/>
  <c r="CU101"/>
  <c r="CU100"/>
  <c r="CU99"/>
  <c r="CU98"/>
  <c r="CU97"/>
  <c r="CU96"/>
  <c r="CU95"/>
  <c r="CU94"/>
  <c r="CU93"/>
  <c r="T333"/>
  <c r="AN333" s="1"/>
  <c r="T321"/>
  <c r="AN321" s="1"/>
  <c r="AD317"/>
  <c r="AD313"/>
  <c r="AD309"/>
  <c r="DK244"/>
  <c r="CI244"/>
  <c r="BF244"/>
  <c r="AD244"/>
  <c r="DR243"/>
  <c r="CP243"/>
  <c r="BM243"/>
  <c r="AK243"/>
  <c r="DY242"/>
  <c r="CW242"/>
  <c r="BU242"/>
  <c r="AR242"/>
  <c r="O242"/>
  <c r="DD241"/>
  <c r="CB241"/>
  <c r="AY241"/>
  <c r="W241"/>
  <c r="DK240"/>
  <c r="CI240"/>
  <c r="BF240"/>
  <c r="AD240"/>
  <c r="DR239"/>
  <c r="CP239"/>
  <c r="BM239"/>
  <c r="AK239"/>
  <c r="DY238"/>
  <c r="CW238"/>
  <c r="BU238"/>
  <c r="AR238"/>
  <c r="O238"/>
  <c r="DD237"/>
  <c r="CB237"/>
  <c r="AY237"/>
  <c r="W237"/>
  <c r="DK236"/>
  <c r="CI236"/>
  <c r="BF236"/>
  <c r="AD236"/>
  <c r="DR235"/>
  <c r="CP235"/>
  <c r="BM235"/>
  <c r="AK235"/>
  <c r="DY234"/>
  <c r="CW234"/>
  <c r="BU234"/>
  <c r="AR234"/>
  <c r="O234"/>
  <c r="DD233"/>
  <c r="CB233"/>
  <c r="AY233"/>
  <c r="W233"/>
  <c r="DK232"/>
  <c r="CI232"/>
  <c r="BF232"/>
  <c r="AD232"/>
  <c r="DR231"/>
  <c r="CP231"/>
  <c r="BM231"/>
  <c r="AK231"/>
  <c r="DY230"/>
  <c r="CW230"/>
  <c r="BU230"/>
  <c r="AR230"/>
  <c r="O230"/>
  <c r="DD229"/>
  <c r="CB229"/>
  <c r="AY229"/>
  <c r="W229"/>
  <c r="DK228"/>
  <c r="CI228"/>
  <c r="BF228"/>
  <c r="AD228"/>
  <c r="T211"/>
  <c r="AN211" s="1"/>
  <c r="T207"/>
  <c r="T203"/>
  <c r="AN203" s="1"/>
  <c r="T199"/>
  <c r="AN199" s="1"/>
  <c r="T195"/>
  <c r="AN195" s="1"/>
  <c r="T191"/>
  <c r="AN191" s="1"/>
  <c r="T187"/>
  <c r="AN187" s="1"/>
  <c r="T183"/>
  <c r="AN183" s="1"/>
  <c r="T181"/>
  <c r="AN181" s="1"/>
  <c r="T177"/>
  <c r="AN177" s="1"/>
  <c r="T173"/>
  <c r="AN173" s="1"/>
  <c r="T169"/>
  <c r="AN169" s="1"/>
  <c r="T165"/>
  <c r="AN165" s="1"/>
  <c r="T161"/>
  <c r="AN161" s="1"/>
  <c r="T157"/>
  <c r="AN157" s="1"/>
  <c r="T153"/>
  <c r="AN153" s="1"/>
  <c r="T149"/>
  <c r="AN149" s="1"/>
  <c r="DY109"/>
  <c r="CK109"/>
  <c r="DY108"/>
  <c r="CK108"/>
  <c r="DY107"/>
  <c r="CK107"/>
  <c r="DY106"/>
  <c r="CK106"/>
  <c r="DY105"/>
  <c r="CK105"/>
  <c r="DY104"/>
  <c r="CK104"/>
  <c r="DY103"/>
  <c r="CK103"/>
  <c r="DY102"/>
  <c r="CK102"/>
  <c r="DY101"/>
  <c r="CK101"/>
  <c r="DY100"/>
  <c r="CK100"/>
  <c r="DY99"/>
  <c r="CK99"/>
  <c r="DY98"/>
  <c r="CK98"/>
  <c r="DY97"/>
  <c r="CK97"/>
  <c r="DY96"/>
  <c r="CK96"/>
  <c r="DY95"/>
  <c r="CK95"/>
  <c r="DY94"/>
  <c r="CK94"/>
  <c r="DY93"/>
  <c r="CK93"/>
  <c r="T337"/>
  <c r="AN337" s="1"/>
  <c r="T317"/>
  <c r="AN317" s="1"/>
  <c r="T316"/>
  <c r="AN316" s="1"/>
  <c r="T313"/>
  <c r="AN313" s="1"/>
  <c r="T312"/>
  <c r="AN312" s="1"/>
  <c r="T309"/>
  <c r="AN309" s="1"/>
  <c r="T308"/>
  <c r="DD244"/>
  <c r="CB244"/>
  <c r="AY244"/>
  <c r="W244"/>
  <c r="DK243"/>
  <c r="CI243"/>
  <c r="BF243"/>
  <c r="AD243"/>
  <c r="DR242"/>
  <c r="CP242"/>
  <c r="BM242"/>
  <c r="AK242"/>
  <c r="DY241"/>
  <c r="CW241"/>
  <c r="BU241"/>
  <c r="AR241"/>
  <c r="O241"/>
  <c r="DD240"/>
  <c r="CB240"/>
  <c r="AY240"/>
  <c r="W240"/>
  <c r="DK239"/>
  <c r="CI239"/>
  <c r="BF239"/>
  <c r="AD239"/>
  <c r="DR238"/>
  <c r="CP238"/>
  <c r="BM238"/>
  <c r="AK238"/>
  <c r="DY237"/>
  <c r="CW237"/>
  <c r="BU237"/>
  <c r="AR237"/>
  <c r="O237"/>
  <c r="DD236"/>
  <c r="CB236"/>
  <c r="AY236"/>
  <c r="W236"/>
  <c r="DK235"/>
  <c r="CI235"/>
  <c r="BF235"/>
  <c r="AD235"/>
  <c r="DR234"/>
  <c r="CP234"/>
  <c r="BM234"/>
  <c r="AK234"/>
  <c r="DY233"/>
  <c r="CW233"/>
  <c r="BU233"/>
  <c r="AR233"/>
  <c r="O233"/>
  <c r="DD232"/>
  <c r="CB232"/>
  <c r="AY232"/>
  <c r="W232"/>
  <c r="DK231"/>
  <c r="CI231"/>
  <c r="BF231"/>
  <c r="AD231"/>
  <c r="DR230"/>
  <c r="CP230"/>
  <c r="BM230"/>
  <c r="AK230"/>
  <c r="DY229"/>
  <c r="CW229"/>
  <c r="BU229"/>
  <c r="AR229"/>
  <c r="O229"/>
  <c r="DD228"/>
  <c r="CB228"/>
  <c r="AY228"/>
  <c r="W228"/>
  <c r="AD212"/>
  <c r="AD208"/>
  <c r="AD204"/>
  <c r="AD200"/>
  <c r="AD196"/>
  <c r="AD192"/>
  <c r="AD188"/>
  <c r="AD184"/>
  <c r="AD180"/>
  <c r="AD176"/>
  <c r="CC20" s="1"/>
  <c r="AD172"/>
  <c r="AD168"/>
  <c r="AD164"/>
  <c r="AD160"/>
  <c r="AD156"/>
  <c r="AD152"/>
  <c r="CC19" s="1"/>
  <c r="AD148"/>
  <c r="DO109"/>
  <c r="DO108"/>
  <c r="DO107"/>
  <c r="DO106"/>
  <c r="DO105"/>
  <c r="DO104"/>
  <c r="DO103"/>
  <c r="DO102"/>
  <c r="DO101"/>
  <c r="DO100"/>
  <c r="DO99"/>
  <c r="DO98"/>
  <c r="DO97"/>
  <c r="DO96"/>
  <c r="DO95"/>
  <c r="DO94"/>
  <c r="T343"/>
  <c r="AN343" s="1"/>
  <c r="T341"/>
  <c r="AN341" s="1"/>
  <c r="T325"/>
  <c r="AN325" s="1"/>
  <c r="DY244"/>
  <c r="CW244"/>
  <c r="BU244"/>
  <c r="AR244"/>
  <c r="O244"/>
  <c r="DD243"/>
  <c r="CB243"/>
  <c r="AY243"/>
  <c r="W243"/>
  <c r="DK242"/>
  <c r="CI242"/>
  <c r="BF242"/>
  <c r="AD242"/>
  <c r="DR241"/>
  <c r="CP241"/>
  <c r="BM241"/>
  <c r="AK241"/>
  <c r="DY240"/>
  <c r="CW240"/>
  <c r="BU240"/>
  <c r="AR240"/>
  <c r="O240"/>
  <c r="DD239"/>
  <c r="CB239"/>
  <c r="AY239"/>
  <c r="W239"/>
  <c r="DK238"/>
  <c r="CI238"/>
  <c r="BF238"/>
  <c r="AD238"/>
  <c r="DR237"/>
  <c r="CP237"/>
  <c r="BM237"/>
  <c r="AK237"/>
  <c r="DY236"/>
  <c r="CW236"/>
  <c r="BU236"/>
  <c r="AR236"/>
  <c r="O236"/>
  <c r="DD235"/>
  <c r="CB235"/>
  <c r="AY235"/>
  <c r="W235"/>
  <c r="DK234"/>
  <c r="CI234"/>
  <c r="BF234"/>
  <c r="AD234"/>
  <c r="DR233"/>
  <c r="CP233"/>
  <c r="BM233"/>
  <c r="AK233"/>
  <c r="DY232"/>
  <c r="CW232"/>
  <c r="BU232"/>
  <c r="AR232"/>
  <c r="O232"/>
  <c r="DD231"/>
  <c r="CB231"/>
  <c r="AY231"/>
  <c r="W231"/>
  <c r="DK230"/>
  <c r="CI230"/>
  <c r="BF230"/>
  <c r="AD230"/>
  <c r="DR229"/>
  <c r="CP229"/>
  <c r="BM229"/>
  <c r="AK229"/>
  <c r="DY228"/>
  <c r="DY245" s="1"/>
  <c r="CW228"/>
  <c r="BU228"/>
  <c r="AR228"/>
  <c r="O228"/>
  <c r="O245" s="1"/>
  <c r="T212"/>
  <c r="AN212" s="1"/>
  <c r="T208"/>
  <c r="AN208" s="1"/>
  <c r="T204"/>
  <c r="AN204" s="1"/>
  <c r="T200"/>
  <c r="AN200" s="1"/>
  <c r="T196"/>
  <c r="AN196" s="1"/>
  <c r="T192"/>
  <c r="AN192" s="1"/>
  <c r="T188"/>
  <c r="AN188" s="1"/>
  <c r="T184"/>
  <c r="AN184" s="1"/>
  <c r="T180"/>
  <c r="AN180" s="1"/>
  <c r="R101" s="1"/>
  <c r="T176"/>
  <c r="T172"/>
  <c r="AN172" s="1"/>
  <c r="T168"/>
  <c r="AN168" s="1"/>
  <c r="T164"/>
  <c r="AN164" s="1"/>
  <c r="T160"/>
  <c r="AN160" s="1"/>
  <c r="T156"/>
  <c r="AN156" s="1"/>
  <c r="T152"/>
  <c r="T148"/>
  <c r="DE109"/>
  <c r="DE108"/>
  <c r="DE107"/>
  <c r="DE106"/>
  <c r="DE105"/>
  <c r="DE104"/>
  <c r="DE103"/>
  <c r="DE102"/>
  <c r="DE101"/>
  <c r="DE100"/>
  <c r="DE99"/>
  <c r="DE98"/>
  <c r="DE97"/>
  <c r="DE96"/>
  <c r="DE95"/>
  <c r="DE94"/>
  <c r="DE93"/>
  <c r="DO93"/>
  <c r="DO112" s="1"/>
  <c r="AY267"/>
  <c r="DE121"/>
  <c r="DE125"/>
  <c r="DE129"/>
  <c r="DE133"/>
  <c r="AZ190"/>
  <c r="R128"/>
  <c r="AZ206"/>
  <c r="R132"/>
  <c r="BF267"/>
  <c r="AD259"/>
  <c r="AD264"/>
  <c r="BM267"/>
  <c r="BP215"/>
  <c r="CJ148"/>
  <c r="CJ164"/>
  <c r="CJ180"/>
  <c r="R126" s="1"/>
  <c r="CJ196"/>
  <c r="CJ212"/>
  <c r="DD267"/>
  <c r="BP375"/>
  <c r="CJ308"/>
  <c r="AK427"/>
  <c r="AD411"/>
  <c r="AB122"/>
  <c r="AZ327"/>
  <c r="CW427"/>
  <c r="AD420"/>
  <c r="AZ469"/>
  <c r="AL120"/>
  <c r="AZ485"/>
  <c r="AL124"/>
  <c r="CB427"/>
  <c r="AD417"/>
  <c r="CI267"/>
  <c r="AD258"/>
  <c r="CJ317"/>
  <c r="CJ333"/>
  <c r="CJ347"/>
  <c r="CJ363"/>
  <c r="BF427"/>
  <c r="AD414"/>
  <c r="CJ463"/>
  <c r="CJ479"/>
  <c r="CJ493"/>
  <c r="CJ509"/>
  <c r="AY577"/>
  <c r="AD563"/>
  <c r="O727"/>
  <c r="BF577"/>
  <c r="AD564"/>
  <c r="AZ646"/>
  <c r="AV127"/>
  <c r="AZ662"/>
  <c r="AV131"/>
  <c r="W727"/>
  <c r="AD725"/>
  <c r="BZ825"/>
  <c r="AK577"/>
  <c r="AD561"/>
  <c r="CJ518"/>
  <c r="BU577"/>
  <c r="AD566"/>
  <c r="CJ612"/>
  <c r="CJ628"/>
  <c r="CJ644"/>
  <c r="CJ660"/>
  <c r="AY727"/>
  <c r="CJ762"/>
  <c r="CJ793"/>
  <c r="AD710"/>
  <c r="AD726"/>
  <c r="AZ804"/>
  <c r="BF129"/>
  <c r="CP727"/>
  <c r="AD719"/>
  <c r="AZ789"/>
  <c r="BF125"/>
  <c r="AD863"/>
  <c r="W877"/>
  <c r="AZ820"/>
  <c r="BF133"/>
  <c r="DD877"/>
  <c r="AR877"/>
  <c r="AK877"/>
  <c r="AD861"/>
  <c r="AZ927"/>
  <c r="BP122"/>
  <c r="CJ913"/>
  <c r="CJ929"/>
  <c r="CJ943"/>
  <c r="CJ959"/>
  <c r="CP1027"/>
  <c r="CW1027"/>
  <c r="AD1020"/>
  <c r="W1027"/>
  <c r="AD1025"/>
  <c r="CI1027"/>
  <c r="AD1018"/>
  <c r="W1098"/>
  <c r="AD1096"/>
  <c r="AD1084"/>
  <c r="AD1089"/>
  <c r="AD1094"/>
  <c r="AD1082"/>
  <c r="DD1098"/>
  <c r="O1098"/>
  <c r="DY1098"/>
  <c r="AD1095"/>
  <c r="AD263"/>
  <c r="DE118"/>
  <c r="DE122"/>
  <c r="DE126"/>
  <c r="DE130"/>
  <c r="DE134"/>
  <c r="AZ194"/>
  <c r="R129"/>
  <c r="AZ210"/>
  <c r="R133"/>
  <c r="CP267"/>
  <c r="AD253"/>
  <c r="CW267"/>
  <c r="CJ152"/>
  <c r="CJ168"/>
  <c r="CJ184"/>
  <c r="CJ200"/>
  <c r="O267"/>
  <c r="AD251"/>
  <c r="AD256"/>
  <c r="AD261"/>
  <c r="CJ312"/>
  <c r="AD415"/>
  <c r="AZ331"/>
  <c r="AB123"/>
  <c r="O427"/>
  <c r="DY427"/>
  <c r="AD424"/>
  <c r="AZ473"/>
  <c r="AL121"/>
  <c r="AZ489"/>
  <c r="AL125"/>
  <c r="DD427"/>
  <c r="AD421"/>
  <c r="DK267"/>
  <c r="AD262"/>
  <c r="CJ321"/>
  <c r="CJ337"/>
  <c r="CJ351"/>
  <c r="CJ367"/>
  <c r="CI427"/>
  <c r="AD418"/>
  <c r="CJ467"/>
  <c r="CJ483"/>
  <c r="CJ497"/>
  <c r="CJ513"/>
  <c r="AD567"/>
  <c r="AD716"/>
  <c r="BP825"/>
  <c r="CJ758"/>
  <c r="CJ517"/>
  <c r="CI577"/>
  <c r="AD568"/>
  <c r="AZ650"/>
  <c r="AV128"/>
  <c r="AZ666"/>
  <c r="AV132"/>
  <c r="CB727"/>
  <c r="AZ773"/>
  <c r="BF121"/>
  <c r="BM577"/>
  <c r="AD565"/>
  <c r="AR727"/>
  <c r="AD712"/>
  <c r="AZ769"/>
  <c r="BF120"/>
  <c r="CJ522"/>
  <c r="CW577"/>
  <c r="AD570"/>
  <c r="CJ616"/>
  <c r="CJ632"/>
  <c r="CJ648"/>
  <c r="CJ664"/>
  <c r="DD727"/>
  <c r="BF727"/>
  <c r="AD714"/>
  <c r="DR727"/>
  <c r="AD723"/>
  <c r="CJ791"/>
  <c r="BF877"/>
  <c r="AD864"/>
  <c r="AZ824"/>
  <c r="BF134"/>
  <c r="BZ975"/>
  <c r="CB877"/>
  <c r="AD1090"/>
  <c r="BM877"/>
  <c r="AD865"/>
  <c r="AZ915"/>
  <c r="BP119"/>
  <c r="AZ931"/>
  <c r="BP123"/>
  <c r="AK1027"/>
  <c r="BM1027"/>
  <c r="CJ917"/>
  <c r="CJ933"/>
  <c r="CJ947"/>
  <c r="CJ963"/>
  <c r="AD1019"/>
  <c r="O1027"/>
  <c r="DY1027"/>
  <c r="AD1024"/>
  <c r="AY1027"/>
  <c r="AD1013"/>
  <c r="DK1027"/>
  <c r="AD1022"/>
  <c r="AD1093"/>
  <c r="CB1098"/>
  <c r="AK1098"/>
  <c r="AD1092"/>
  <c r="AD1097"/>
  <c r="AR1098"/>
  <c r="AD1083"/>
  <c r="BZ215"/>
  <c r="AD252"/>
  <c r="AD257"/>
  <c r="BX380"/>
  <c r="AB136"/>
  <c r="CC34"/>
  <c r="DE119"/>
  <c r="DE123"/>
  <c r="DE127"/>
  <c r="DE131"/>
  <c r="AZ198"/>
  <c r="R130"/>
  <c r="AZ214"/>
  <c r="R134"/>
  <c r="DY267"/>
  <c r="CJ156"/>
  <c r="CJ172"/>
  <c r="CJ188"/>
  <c r="CJ204"/>
  <c r="AR267"/>
  <c r="CJ316"/>
  <c r="AD419"/>
  <c r="AZ335"/>
  <c r="AB124"/>
  <c r="AR427"/>
  <c r="AD412"/>
  <c r="BP525"/>
  <c r="CJ458"/>
  <c r="AZ477"/>
  <c r="AL122"/>
  <c r="W427"/>
  <c r="AD425"/>
  <c r="BZ525"/>
  <c r="AD266"/>
  <c r="CJ309"/>
  <c r="CJ325"/>
  <c r="CJ341"/>
  <c r="CJ355"/>
  <c r="CJ371"/>
  <c r="DK427"/>
  <c r="AD422"/>
  <c r="CJ471"/>
  <c r="CJ487"/>
  <c r="CJ501"/>
  <c r="AD571"/>
  <c r="AD724"/>
  <c r="CJ521"/>
  <c r="DK577"/>
  <c r="AD572"/>
  <c r="AZ654"/>
  <c r="AV129"/>
  <c r="AZ670"/>
  <c r="AV133"/>
  <c r="CP577"/>
  <c r="AD569"/>
  <c r="CW727"/>
  <c r="AD720"/>
  <c r="O577"/>
  <c r="DY577"/>
  <c r="AD574"/>
  <c r="CJ620"/>
  <c r="CJ636"/>
  <c r="CJ652"/>
  <c r="CJ668"/>
  <c r="AD713"/>
  <c r="CJ778"/>
  <c r="CJ809"/>
  <c r="AZ808"/>
  <c r="BF130"/>
  <c r="CI727"/>
  <c r="AD718"/>
  <c r="AK727"/>
  <c r="AD711"/>
  <c r="CJ797"/>
  <c r="CW877"/>
  <c r="AD860"/>
  <c r="DK877"/>
  <c r="AD862"/>
  <c r="AD874"/>
  <c r="AD866"/>
  <c r="BP975"/>
  <c r="CJ908"/>
  <c r="CP877"/>
  <c r="AD869"/>
  <c r="AD1023"/>
  <c r="AZ919"/>
  <c r="BP120"/>
  <c r="AZ935"/>
  <c r="BP124"/>
  <c r="AD1011"/>
  <c r="AD1015"/>
  <c r="AD872"/>
  <c r="CJ921"/>
  <c r="CJ937"/>
  <c r="CJ951"/>
  <c r="CJ967"/>
  <c r="DK1098"/>
  <c r="AR1027"/>
  <c r="AD1012"/>
  <c r="CB1027"/>
  <c r="AD1017"/>
  <c r="AD1010"/>
  <c r="AD1026"/>
  <c r="BF1098"/>
  <c r="AD1088"/>
  <c r="DR1098"/>
  <c r="CI1098"/>
  <c r="AY1098"/>
  <c r="AD1081"/>
  <c r="AD1086"/>
  <c r="BU1098"/>
  <c r="AD1087"/>
  <c r="W267"/>
  <c r="DE120"/>
  <c r="DE124"/>
  <c r="DE128"/>
  <c r="DE132"/>
  <c r="AZ186"/>
  <c r="R127"/>
  <c r="AZ202"/>
  <c r="R131"/>
  <c r="AD250"/>
  <c r="AK267"/>
  <c r="AD255"/>
  <c r="AD260"/>
  <c r="AD265"/>
  <c r="DY137"/>
  <c r="CJ160"/>
  <c r="CJ176"/>
  <c r="CJ192"/>
  <c r="CJ208"/>
  <c r="BU267"/>
  <c r="AD423"/>
  <c r="AZ323"/>
  <c r="AB121"/>
  <c r="AZ339"/>
  <c r="AB125"/>
  <c r="BU427"/>
  <c r="AD416"/>
  <c r="AZ465"/>
  <c r="AL119"/>
  <c r="AZ481"/>
  <c r="AL123"/>
  <c r="AY427"/>
  <c r="AD413"/>
  <c r="AD254"/>
  <c r="CJ313"/>
  <c r="CJ329"/>
  <c r="CJ343"/>
  <c r="CJ359"/>
  <c r="AD410"/>
  <c r="AD426"/>
  <c r="CJ459"/>
  <c r="CJ475"/>
  <c r="CJ491"/>
  <c r="CJ505"/>
  <c r="AD575"/>
  <c r="BZ675"/>
  <c r="AZ777"/>
  <c r="BF122"/>
  <c r="AD560"/>
  <c r="AD576"/>
  <c r="AZ658"/>
  <c r="AV130"/>
  <c r="AZ674"/>
  <c r="AV134"/>
  <c r="AD717"/>
  <c r="AZ785"/>
  <c r="BF124"/>
  <c r="DR577"/>
  <c r="AD573"/>
  <c r="CJ514"/>
  <c r="AR577"/>
  <c r="AD562"/>
  <c r="BP675"/>
  <c r="CJ608"/>
  <c r="CJ624"/>
  <c r="CJ640"/>
  <c r="AV126" s="1"/>
  <c r="CJ656"/>
  <c r="CJ672"/>
  <c r="AD721"/>
  <c r="DK727"/>
  <c r="AD722"/>
  <c r="BM727"/>
  <c r="AD715"/>
  <c r="AD873"/>
  <c r="AZ816"/>
  <c r="BF132"/>
  <c r="BU877"/>
  <c r="AD867"/>
  <c r="AD868"/>
  <c r="AD870"/>
  <c r="AD871"/>
  <c r="DR877"/>
  <c r="AD875"/>
  <c r="AZ923"/>
  <c r="BP121"/>
  <c r="AZ939"/>
  <c r="BP125"/>
  <c r="AD1085"/>
  <c r="AD876"/>
  <c r="CJ909"/>
  <c r="CJ925"/>
  <c r="CJ941"/>
  <c r="CJ955"/>
  <c r="CJ971"/>
  <c r="BU1027"/>
  <c r="AD1016"/>
  <c r="DD1027"/>
  <c r="AD1021"/>
  <c r="BF1027"/>
  <c r="AD1014"/>
  <c r="CP1098"/>
  <c r="BM1098"/>
  <c r="CW1098"/>
  <c r="AD1091"/>
  <c r="AD1005" l="1"/>
  <c r="AN929"/>
  <c r="BV1231"/>
  <c r="AD1241" s="1"/>
  <c r="DJ1214"/>
  <c r="DJ1213"/>
  <c r="DB1231"/>
  <c r="AD1245" s="1"/>
  <c r="DJ1215"/>
  <c r="BF1231"/>
  <c r="AD1239" s="1"/>
  <c r="DJ1211"/>
  <c r="DJ1220"/>
  <c r="DJ1225"/>
  <c r="DJ1209"/>
  <c r="R1231"/>
  <c r="AD1234" s="1"/>
  <c r="AH1231"/>
  <c r="AD1236" s="1"/>
  <c r="DJ1227"/>
  <c r="DJ1216"/>
  <c r="CD1231"/>
  <c r="AD1242" s="1"/>
  <c r="AP1231"/>
  <c r="AD1237" s="1"/>
  <c r="DJ1218"/>
  <c r="BN1231"/>
  <c r="AD1240" s="1"/>
  <c r="DJ1222"/>
  <c r="DJ1230"/>
  <c r="Z1231"/>
  <c r="AD1235" s="1"/>
  <c r="DJ1212"/>
  <c r="AX1231"/>
  <c r="AD1238" s="1"/>
  <c r="DJ1221"/>
  <c r="DJ1219"/>
  <c r="DJ1229"/>
  <c r="DJ1210"/>
  <c r="DJ1223"/>
  <c r="CT1231"/>
  <c r="AD1244" s="1"/>
  <c r="DJ1226"/>
  <c r="DJ1228"/>
  <c r="DJ1217"/>
  <c r="CL1231"/>
  <c r="AD1243" s="1"/>
  <c r="DJ1224"/>
  <c r="CI405"/>
  <c r="BU705"/>
  <c r="CP855"/>
  <c r="AN809"/>
  <c r="D812" s="1"/>
  <c r="DY705"/>
  <c r="AN793"/>
  <c r="BF102" s="1"/>
  <c r="CK112"/>
  <c r="CU112"/>
  <c r="AD215"/>
  <c r="BX219" s="1"/>
  <c r="DK405"/>
  <c r="BU555"/>
  <c r="O705"/>
  <c r="BM855"/>
  <c r="AD1098"/>
  <c r="CW555"/>
  <c r="AR705"/>
  <c r="AD427"/>
  <c r="CC61"/>
  <c r="CW705"/>
  <c r="CJ675"/>
  <c r="BN680"/>
  <c r="AV135"/>
  <c r="BS55"/>
  <c r="AZ974"/>
  <c r="BP134"/>
  <c r="BX680"/>
  <c r="AV136"/>
  <c r="CC55"/>
  <c r="AZ362"/>
  <c r="AB131"/>
  <c r="AD267"/>
  <c r="AD1027"/>
  <c r="AZ911"/>
  <c r="BP118"/>
  <c r="AZ800"/>
  <c r="BF128"/>
  <c r="AZ781"/>
  <c r="BF123"/>
  <c r="AZ639"/>
  <c r="AV125"/>
  <c r="AZ358"/>
  <c r="AB130"/>
  <c r="AZ635"/>
  <c r="AV124"/>
  <c r="AZ520"/>
  <c r="AL133"/>
  <c r="AZ354"/>
  <c r="AB129"/>
  <c r="AZ171"/>
  <c r="R123"/>
  <c r="AZ962"/>
  <c r="BP131"/>
  <c r="AZ615"/>
  <c r="AV119"/>
  <c r="AZ366"/>
  <c r="AB132"/>
  <c r="AZ167"/>
  <c r="R122"/>
  <c r="R95"/>
  <c r="D159"/>
  <c r="R99"/>
  <c r="D175"/>
  <c r="AR245"/>
  <c r="W245"/>
  <c r="T375"/>
  <c r="AN308"/>
  <c r="D319"/>
  <c r="AB95"/>
  <c r="DY112"/>
  <c r="R104"/>
  <c r="D194"/>
  <c r="AN207"/>
  <c r="BS21"/>
  <c r="CM21" s="1"/>
  <c r="CI245"/>
  <c r="DR245"/>
  <c r="D358"/>
  <c r="AB105"/>
  <c r="D374"/>
  <c r="AB109"/>
  <c r="D504"/>
  <c r="AL104"/>
  <c r="CP405"/>
  <c r="D331"/>
  <c r="AB98"/>
  <c r="O405"/>
  <c r="DY405"/>
  <c r="D473"/>
  <c r="AL96"/>
  <c r="AN486"/>
  <c r="BS41"/>
  <c r="CM41" s="1"/>
  <c r="D520"/>
  <c r="AL108"/>
  <c r="AY405"/>
  <c r="AR555"/>
  <c r="T675"/>
  <c r="AN608"/>
  <c r="D627"/>
  <c r="AV97"/>
  <c r="W555"/>
  <c r="AD675"/>
  <c r="DD705"/>
  <c r="BF555"/>
  <c r="D646"/>
  <c r="AV102"/>
  <c r="AN659"/>
  <c r="BS52"/>
  <c r="CM52" s="1"/>
  <c r="AD705"/>
  <c r="D765"/>
  <c r="BF94"/>
  <c r="CP555"/>
  <c r="BM705"/>
  <c r="D777"/>
  <c r="BF97"/>
  <c r="D785"/>
  <c r="BF99"/>
  <c r="AN759"/>
  <c r="AN775"/>
  <c r="D796"/>
  <c r="AN794"/>
  <c r="AN810"/>
  <c r="O855"/>
  <c r="DY855"/>
  <c r="CB855"/>
  <c r="AN817"/>
  <c r="CI855"/>
  <c r="D954"/>
  <c r="BP104"/>
  <c r="D970"/>
  <c r="BP108"/>
  <c r="CI1005"/>
  <c r="CP1005"/>
  <c r="D919"/>
  <c r="BP95"/>
  <c r="D935"/>
  <c r="BP99"/>
  <c r="AR1005"/>
  <c r="CB1005"/>
  <c r="O1076"/>
  <c r="DY1076"/>
  <c r="CB1076"/>
  <c r="DK1076"/>
  <c r="AZ958"/>
  <c r="BP130"/>
  <c r="AZ627"/>
  <c r="AV122"/>
  <c r="AZ346"/>
  <c r="AB127"/>
  <c r="AZ179"/>
  <c r="R125"/>
  <c r="BN980"/>
  <c r="CJ975"/>
  <c r="BS73"/>
  <c r="BP135"/>
  <c r="AZ623"/>
  <c r="AV121"/>
  <c r="BX530"/>
  <c r="AL136"/>
  <c r="CC45"/>
  <c r="AZ319"/>
  <c r="AB120"/>
  <c r="AZ175"/>
  <c r="R124"/>
  <c r="R136"/>
  <c r="BX220"/>
  <c r="CC24"/>
  <c r="AZ966"/>
  <c r="BP132"/>
  <c r="AZ619"/>
  <c r="AV120"/>
  <c r="AZ761"/>
  <c r="BF118"/>
  <c r="AZ516"/>
  <c r="AL132"/>
  <c r="AZ315"/>
  <c r="AB119"/>
  <c r="AZ155"/>
  <c r="R119"/>
  <c r="DE137"/>
  <c r="AZ946"/>
  <c r="BP127"/>
  <c r="AD727"/>
  <c r="AZ350"/>
  <c r="AB128"/>
  <c r="AZ151"/>
  <c r="R118"/>
  <c r="DE112"/>
  <c r="R96"/>
  <c r="D163"/>
  <c r="AN176"/>
  <c r="BS20"/>
  <c r="CM20" s="1"/>
  <c r="BU245"/>
  <c r="AY245"/>
  <c r="R105"/>
  <c r="D198"/>
  <c r="R109"/>
  <c r="D214"/>
  <c r="DK245"/>
  <c r="AK245"/>
  <c r="D362"/>
  <c r="AB106"/>
  <c r="AD405"/>
  <c r="D508"/>
  <c r="AL105"/>
  <c r="DR405"/>
  <c r="D335"/>
  <c r="AB99"/>
  <c r="AR405"/>
  <c r="T525"/>
  <c r="AN458"/>
  <c r="AN474"/>
  <c r="BS39"/>
  <c r="CM39" s="1"/>
  <c r="AN490"/>
  <c r="AL101" s="1"/>
  <c r="BS42"/>
  <c r="CM42" s="1"/>
  <c r="D524"/>
  <c r="AL109"/>
  <c r="CB405"/>
  <c r="D615"/>
  <c r="AV94"/>
  <c r="D631"/>
  <c r="AV98"/>
  <c r="D773"/>
  <c r="BF96"/>
  <c r="AY555"/>
  <c r="W705"/>
  <c r="D769"/>
  <c r="BF95"/>
  <c r="CI555"/>
  <c r="D650"/>
  <c r="AV103"/>
  <c r="D666"/>
  <c r="AV107"/>
  <c r="BF705"/>
  <c r="DR555"/>
  <c r="CP705"/>
  <c r="AN763"/>
  <c r="AN779"/>
  <c r="AK855"/>
  <c r="AN798"/>
  <c r="AR855"/>
  <c r="AN908"/>
  <c r="T975"/>
  <c r="DD855"/>
  <c r="AN821"/>
  <c r="BS61"/>
  <c r="DK855"/>
  <c r="D958"/>
  <c r="BP105"/>
  <c r="D974"/>
  <c r="BP109"/>
  <c r="DR1005"/>
  <c r="DR1076"/>
  <c r="D923"/>
  <c r="BP96"/>
  <c r="D939"/>
  <c r="BP100"/>
  <c r="BU1005"/>
  <c r="AD975"/>
  <c r="DD1005"/>
  <c r="AR1076"/>
  <c r="DD1076"/>
  <c r="AD1076"/>
  <c r="AZ954"/>
  <c r="BP129"/>
  <c r="AD577"/>
  <c r="AZ611"/>
  <c r="AV118"/>
  <c r="AZ508"/>
  <c r="AL130"/>
  <c r="AZ163"/>
  <c r="R121"/>
  <c r="AZ970"/>
  <c r="BP133"/>
  <c r="AD877"/>
  <c r="AZ504"/>
  <c r="AL129"/>
  <c r="AZ461"/>
  <c r="AL118"/>
  <c r="AZ159"/>
  <c r="R120"/>
  <c r="AZ950"/>
  <c r="BP128"/>
  <c r="BN830"/>
  <c r="CJ825"/>
  <c r="BF135"/>
  <c r="BS64"/>
  <c r="AZ500"/>
  <c r="AL128"/>
  <c r="AZ796"/>
  <c r="BF127"/>
  <c r="BX830"/>
  <c r="BF136"/>
  <c r="CC64"/>
  <c r="AZ512"/>
  <c r="AL131"/>
  <c r="AZ311"/>
  <c r="AB118"/>
  <c r="CJ215"/>
  <c r="BN220"/>
  <c r="R135"/>
  <c r="BS24"/>
  <c r="T215"/>
  <c r="AN148"/>
  <c r="R97"/>
  <c r="D167"/>
  <c r="CW245"/>
  <c r="D346"/>
  <c r="AB102"/>
  <c r="CB245"/>
  <c r="D315"/>
  <c r="AB94"/>
  <c r="R102"/>
  <c r="D186"/>
  <c r="R106"/>
  <c r="D202"/>
  <c r="AD245"/>
  <c r="BM245"/>
  <c r="D350"/>
  <c r="AB103"/>
  <c r="D366"/>
  <c r="AB107"/>
  <c r="BF405"/>
  <c r="D496"/>
  <c r="AL102"/>
  <c r="D512"/>
  <c r="AL106"/>
  <c r="AK405"/>
  <c r="AN320"/>
  <c r="BS30"/>
  <c r="CM30" s="1"/>
  <c r="AN336"/>
  <c r="BS29"/>
  <c r="CM29" s="1"/>
  <c r="BU405"/>
  <c r="D465"/>
  <c r="AL94"/>
  <c r="AN478"/>
  <c r="BS40"/>
  <c r="CM40" s="1"/>
  <c r="AD375"/>
  <c r="DD405"/>
  <c r="AN616"/>
  <c r="BS50"/>
  <c r="CM50" s="1"/>
  <c r="D635"/>
  <c r="AV99"/>
  <c r="CB555"/>
  <c r="AY705"/>
  <c r="DK555"/>
  <c r="D654"/>
  <c r="AV104"/>
  <c r="D670"/>
  <c r="AV108"/>
  <c r="CI705"/>
  <c r="D781"/>
  <c r="BF98"/>
  <c r="AK555"/>
  <c r="DR705"/>
  <c r="T825"/>
  <c r="AN758"/>
  <c r="BS60"/>
  <c r="AD825"/>
  <c r="CC60"/>
  <c r="AN767"/>
  <c r="AN783"/>
  <c r="AN786"/>
  <c r="AN802"/>
  <c r="BU855"/>
  <c r="W855"/>
  <c r="AD855"/>
  <c r="D946"/>
  <c r="BP102"/>
  <c r="D962"/>
  <c r="BP106"/>
  <c r="BF1005"/>
  <c r="AK1005"/>
  <c r="D927"/>
  <c r="BP97"/>
  <c r="CW1005"/>
  <c r="W1005"/>
  <c r="BM1076"/>
  <c r="BU1076"/>
  <c r="W1076"/>
  <c r="BF1076"/>
  <c r="AZ812"/>
  <c r="BF131"/>
  <c r="AZ524"/>
  <c r="AL134"/>
  <c r="AZ374"/>
  <c r="AB134"/>
  <c r="CJ525"/>
  <c r="BN530"/>
  <c r="AL135"/>
  <c r="BS45"/>
  <c r="BX980"/>
  <c r="BP136"/>
  <c r="CC73"/>
  <c r="AZ370"/>
  <c r="AB133"/>
  <c r="AZ765"/>
  <c r="BF119"/>
  <c r="AZ631"/>
  <c r="AV123"/>
  <c r="AZ496"/>
  <c r="AL127"/>
  <c r="BN380"/>
  <c r="CH380" s="1"/>
  <c r="CJ375"/>
  <c r="AB135"/>
  <c r="BS34"/>
  <c r="CM34" s="1"/>
  <c r="BZ126"/>
  <c r="AN152"/>
  <c r="BS19"/>
  <c r="CM19" s="1"/>
  <c r="R98"/>
  <c r="D171"/>
  <c r="DD245"/>
  <c r="R103"/>
  <c r="D190"/>
  <c r="R107"/>
  <c r="D206"/>
  <c r="BF245"/>
  <c r="CP245"/>
  <c r="D354"/>
  <c r="AB104"/>
  <c r="D370"/>
  <c r="AB108"/>
  <c r="D500"/>
  <c r="AL103"/>
  <c r="D516"/>
  <c r="AL107"/>
  <c r="BM405"/>
  <c r="D327"/>
  <c r="AB97"/>
  <c r="CW405"/>
  <c r="D469"/>
  <c r="AL95"/>
  <c r="D485"/>
  <c r="AL99"/>
  <c r="W405"/>
  <c r="AD525"/>
  <c r="D623"/>
  <c r="AV96"/>
  <c r="AN636"/>
  <c r="BS51"/>
  <c r="CM51" s="1"/>
  <c r="DD555"/>
  <c r="CB705"/>
  <c r="AD555"/>
  <c r="D658"/>
  <c r="AV105"/>
  <c r="D674"/>
  <c r="AV109"/>
  <c r="DK705"/>
  <c r="BM555"/>
  <c r="AK705"/>
  <c r="D808"/>
  <c r="BF105"/>
  <c r="D804"/>
  <c r="BF104"/>
  <c r="D800"/>
  <c r="BF103"/>
  <c r="AN771"/>
  <c r="AN790"/>
  <c r="BF101" s="1"/>
  <c r="AN806"/>
  <c r="CW855"/>
  <c r="AY855"/>
  <c r="AN813"/>
  <c r="BF855"/>
  <c r="D950"/>
  <c r="BP103"/>
  <c r="D966"/>
  <c r="BP107"/>
  <c r="BM1005"/>
  <c r="D915"/>
  <c r="BP94"/>
  <c r="D931"/>
  <c r="BP98"/>
  <c r="O1005"/>
  <c r="DY1005"/>
  <c r="AY1005"/>
  <c r="CW1076"/>
  <c r="AY1076"/>
  <c r="CI1076"/>
  <c r="DJ1231" l="1"/>
  <c r="R111"/>
  <c r="BF106"/>
  <c r="CM45"/>
  <c r="CC23"/>
  <c r="CC26" s="1"/>
  <c r="CC22"/>
  <c r="CM24"/>
  <c r="CM61"/>
  <c r="BZ133"/>
  <c r="BZ120"/>
  <c r="BZ130"/>
  <c r="BZ132"/>
  <c r="BZ129"/>
  <c r="BZ101"/>
  <c r="CH220"/>
  <c r="BX223"/>
  <c r="CH530"/>
  <c r="BZ121"/>
  <c r="BZ124"/>
  <c r="BZ125"/>
  <c r="BZ128"/>
  <c r="BZ134"/>
  <c r="BZ131"/>
  <c r="BZ127"/>
  <c r="BZ103"/>
  <c r="D789"/>
  <c r="BF100"/>
  <c r="D761"/>
  <c r="BF93"/>
  <c r="D323"/>
  <c r="AB96"/>
  <c r="BZ96" s="1"/>
  <c r="BZ102"/>
  <c r="AB137"/>
  <c r="AL137"/>
  <c r="D477"/>
  <c r="AL97"/>
  <c r="BZ97" s="1"/>
  <c r="CM73"/>
  <c r="D820"/>
  <c r="BF108"/>
  <c r="D662"/>
  <c r="AV106"/>
  <c r="BZ106" s="1"/>
  <c r="D489"/>
  <c r="AL100"/>
  <c r="AN375"/>
  <c r="BN379"/>
  <c r="AB110"/>
  <c r="BS31"/>
  <c r="BS33"/>
  <c r="BZ99"/>
  <c r="BP137"/>
  <c r="CM55"/>
  <c r="BX529"/>
  <c r="BX533" s="1"/>
  <c r="AL111"/>
  <c r="CC44"/>
  <c r="CC47" s="1"/>
  <c r="CC43"/>
  <c r="R94"/>
  <c r="BZ94" s="1"/>
  <c r="D155"/>
  <c r="AN825"/>
  <c r="BN829"/>
  <c r="BF110"/>
  <c r="BS62"/>
  <c r="BS63"/>
  <c r="D619"/>
  <c r="AV95"/>
  <c r="BZ95" s="1"/>
  <c r="D481"/>
  <c r="AL98"/>
  <c r="BZ98" s="1"/>
  <c r="BX979"/>
  <c r="BX983" s="1"/>
  <c r="BP111"/>
  <c r="CC72"/>
  <c r="CC75" s="1"/>
  <c r="CC71"/>
  <c r="AN975"/>
  <c r="BN979"/>
  <c r="BP110"/>
  <c r="BS72"/>
  <c r="BS71"/>
  <c r="D461"/>
  <c r="AL93"/>
  <c r="BZ105"/>
  <c r="R100"/>
  <c r="D179"/>
  <c r="BF137"/>
  <c r="BX679"/>
  <c r="BX683" s="1"/>
  <c r="AV111"/>
  <c r="CC54"/>
  <c r="CC57" s="1"/>
  <c r="CC53"/>
  <c r="D611"/>
  <c r="AV93"/>
  <c r="R108"/>
  <c r="D210"/>
  <c r="D639"/>
  <c r="AV100"/>
  <c r="BX829"/>
  <c r="BX833" s="1"/>
  <c r="BF111"/>
  <c r="CC63"/>
  <c r="CC66" s="1"/>
  <c r="CC62"/>
  <c r="D339"/>
  <c r="AB100"/>
  <c r="R93"/>
  <c r="D151"/>
  <c r="CH830"/>
  <c r="D911"/>
  <c r="BP93"/>
  <c r="BP112" s="1"/>
  <c r="BN529"/>
  <c r="AN525"/>
  <c r="AL110"/>
  <c r="BS43"/>
  <c r="BS44"/>
  <c r="BZ118"/>
  <c r="R137"/>
  <c r="CH980"/>
  <c r="BN679"/>
  <c r="AN675"/>
  <c r="AV110"/>
  <c r="BS53"/>
  <c r="BS54"/>
  <c r="CH680"/>
  <c r="D816"/>
  <c r="BF107"/>
  <c r="BZ107" s="1"/>
  <c r="CM60"/>
  <c r="BX379"/>
  <c r="BX383" s="1"/>
  <c r="AB111"/>
  <c r="CC31"/>
  <c r="CC33"/>
  <c r="CC36" s="1"/>
  <c r="BN219"/>
  <c r="R110"/>
  <c r="AN215"/>
  <c r="BS22"/>
  <c r="BS23"/>
  <c r="CM64"/>
  <c r="AV137"/>
  <c r="D824"/>
  <c r="BF109"/>
  <c r="BZ109" s="1"/>
  <c r="BZ119"/>
  <c r="BZ104"/>
  <c r="D311"/>
  <c r="AB93"/>
  <c r="BZ122"/>
  <c r="BZ123"/>
  <c r="CM22" l="1"/>
  <c r="CM43"/>
  <c r="AB112"/>
  <c r="CM53"/>
  <c r="CM71"/>
  <c r="AL112"/>
  <c r="BZ108"/>
  <c r="AV112"/>
  <c r="BZ100"/>
  <c r="CM33"/>
  <c r="BS36"/>
  <c r="CM36" s="1"/>
  <c r="DM33" s="1"/>
  <c r="BZ135"/>
  <c r="BS75"/>
  <c r="CM75" s="1"/>
  <c r="DM37" s="1"/>
  <c r="CM72"/>
  <c r="CH829"/>
  <c r="BN833"/>
  <c r="CH833" s="1"/>
  <c r="CM31"/>
  <c r="BS57"/>
  <c r="CM57" s="1"/>
  <c r="DM35" s="1"/>
  <c r="CM54"/>
  <c r="CH679"/>
  <c r="BN683"/>
  <c r="CH683" s="1"/>
  <c r="CM44"/>
  <c r="BS47"/>
  <c r="CH529"/>
  <c r="BN533"/>
  <c r="CH533" s="1"/>
  <c r="CM63"/>
  <c r="BS66"/>
  <c r="CM66" s="1"/>
  <c r="DM36" s="1"/>
  <c r="CC79"/>
  <c r="CM23"/>
  <c r="BS26"/>
  <c r="CM26" s="1"/>
  <c r="DM32" s="1"/>
  <c r="CH219"/>
  <c r="BN223"/>
  <c r="CH223" s="1"/>
  <c r="R112"/>
  <c r="BZ93"/>
  <c r="CH979"/>
  <c r="BN983"/>
  <c r="CH983" s="1"/>
  <c r="CM62"/>
  <c r="CH379"/>
  <c r="BN383"/>
  <c r="CH383" s="1"/>
  <c r="BF112"/>
  <c r="BS79" l="1"/>
  <c r="CM79" s="1"/>
  <c r="CM47"/>
  <c r="DM34" s="1"/>
  <c r="BZ110"/>
  <c r="BZ137" s="1"/>
</calcChain>
</file>

<file path=xl/sharedStrings.xml><?xml version="1.0" encoding="utf-8"?>
<sst xmlns="http://schemas.openxmlformats.org/spreadsheetml/2006/main" count="64295" uniqueCount="4502">
  <si>
    <t>Date Filters</t>
  </si>
  <si>
    <t>Start Date</t>
  </si>
  <si>
    <t>End Date</t>
  </si>
  <si>
    <t>Enter Year or Month</t>
  </si>
  <si>
    <t>Year</t>
  </si>
  <si>
    <t>Month</t>
  </si>
  <si>
    <t>From</t>
  </si>
  <si>
    <t>To</t>
  </si>
  <si>
    <t>User's Login History</t>
  </si>
  <si>
    <t>Loan_Type</t>
  </si>
  <si>
    <t>Bank</t>
  </si>
  <si>
    <t>BankSC</t>
  </si>
  <si>
    <t>Branch</t>
  </si>
  <si>
    <t>Mediator</t>
  </si>
  <si>
    <t>Exec</t>
  </si>
  <si>
    <t>Exec_SC</t>
  </si>
  <si>
    <t>Inspected</t>
  </si>
  <si>
    <t>Inspected_SC</t>
  </si>
  <si>
    <t>Operator</t>
  </si>
  <si>
    <t>Form_Status</t>
  </si>
  <si>
    <t>Payment_Status</t>
  </si>
  <si>
    <t>Payment_Type</t>
  </si>
  <si>
    <t>DateFilters</t>
  </si>
  <si>
    <t>User ID</t>
  </si>
  <si>
    <t>User Status</t>
  </si>
  <si>
    <t>Login Time</t>
  </si>
  <si>
    <t>Avanse</t>
  </si>
  <si>
    <t>AVA</t>
  </si>
  <si>
    <t>Koti</t>
  </si>
  <si>
    <t>Bhaskar Reddy</t>
  </si>
  <si>
    <t>Ganesh</t>
  </si>
  <si>
    <t>GA</t>
  </si>
  <si>
    <t>Sowjanya</t>
  </si>
  <si>
    <t>Pending</t>
  </si>
  <si>
    <t>Cash</t>
  </si>
  <si>
    <t>Jan</t>
  </si>
  <si>
    <t>Today</t>
  </si>
  <si>
    <t>Cash Credit</t>
  </si>
  <si>
    <t>Axis</t>
  </si>
  <si>
    <t>AXS</t>
  </si>
  <si>
    <t>Abids</t>
  </si>
  <si>
    <t>Kiran Cabs</t>
  </si>
  <si>
    <t>Kiran</t>
  </si>
  <si>
    <t>KI</t>
  </si>
  <si>
    <t>Rajeshwari</t>
  </si>
  <si>
    <t>Return</t>
  </si>
  <si>
    <t>Feb</t>
  </si>
  <si>
    <t>Yesterday</t>
  </si>
  <si>
    <t>CL</t>
  </si>
  <si>
    <t>BOI</t>
  </si>
  <si>
    <t>RM</t>
  </si>
  <si>
    <t>Lalith Mohan</t>
  </si>
  <si>
    <t>LM</t>
  </si>
  <si>
    <t>Usha Latha</t>
  </si>
  <si>
    <t>Rejected</t>
  </si>
  <si>
    <t>Double Entry</t>
  </si>
  <si>
    <t>Mar</t>
  </si>
  <si>
    <t>This Week</t>
  </si>
  <si>
    <t>CS</t>
  </si>
  <si>
    <t>Canara</t>
  </si>
  <si>
    <t>CAN</t>
  </si>
  <si>
    <t>Ramnagar</t>
  </si>
  <si>
    <t>SR</t>
  </si>
  <si>
    <t>Mahesh</t>
  </si>
  <si>
    <t>MA</t>
  </si>
  <si>
    <t>Laxman</t>
  </si>
  <si>
    <t>LA</t>
  </si>
  <si>
    <t>Yamini</t>
  </si>
  <si>
    <t>Apr</t>
  </si>
  <si>
    <t>Last Week</t>
  </si>
  <si>
    <t>Cosmos</t>
  </si>
  <si>
    <t>COS</t>
  </si>
  <si>
    <t>Sagar</t>
  </si>
  <si>
    <t>Madhu</t>
  </si>
  <si>
    <t>MD</t>
  </si>
  <si>
    <t>May</t>
  </si>
  <si>
    <t>This Month</t>
  </si>
  <si>
    <t>Indian</t>
  </si>
  <si>
    <t>IND</t>
  </si>
  <si>
    <t>Pradeep</t>
  </si>
  <si>
    <t>PR</t>
  </si>
  <si>
    <t>Jun</t>
  </si>
  <si>
    <t>Last Month</t>
  </si>
  <si>
    <t>Estimation</t>
  </si>
  <si>
    <t>SBI</t>
  </si>
  <si>
    <t>Srinivas</t>
  </si>
  <si>
    <t>Naveen</t>
  </si>
  <si>
    <t>NA</t>
  </si>
  <si>
    <t>Sai Kumar</t>
  </si>
  <si>
    <t>No Status</t>
  </si>
  <si>
    <t>Jul</t>
  </si>
  <si>
    <t>This Year</t>
  </si>
  <si>
    <t>Syndicate</t>
  </si>
  <si>
    <t>SYN</t>
  </si>
  <si>
    <t>Aug</t>
  </si>
  <si>
    <t>Last Year</t>
  </si>
  <si>
    <t>Home Equity</t>
  </si>
  <si>
    <t>TGB</t>
  </si>
  <si>
    <t>Ramesh</t>
  </si>
  <si>
    <t>RA</t>
  </si>
  <si>
    <t>Sep</t>
  </si>
  <si>
    <t>Year (OR) Month</t>
  </si>
  <si>
    <t>UBI</t>
  </si>
  <si>
    <t>Sai Babu</t>
  </si>
  <si>
    <t>SB</t>
  </si>
  <si>
    <t>Oct</t>
  </si>
  <si>
    <t>Between</t>
  </si>
  <si>
    <t>Over Due</t>
  </si>
  <si>
    <t>Vijaya</t>
  </si>
  <si>
    <t>VIJ</t>
  </si>
  <si>
    <t>Nov</t>
  </si>
  <si>
    <t>SBM</t>
  </si>
  <si>
    <t>Venkatesh</t>
  </si>
  <si>
    <t>VE</t>
  </si>
  <si>
    <t>Dec</t>
  </si>
  <si>
    <t>Project</t>
  </si>
  <si>
    <t>SBP</t>
  </si>
  <si>
    <t>All</t>
  </si>
  <si>
    <t>Revaluation</t>
  </si>
  <si>
    <t>SBT</t>
  </si>
  <si>
    <t>Take Over</t>
  </si>
  <si>
    <t>SBH</t>
  </si>
  <si>
    <t>Top Up</t>
  </si>
  <si>
    <t>VISA</t>
  </si>
  <si>
    <t>IIB</t>
  </si>
  <si>
    <t>Home Cash</t>
  </si>
  <si>
    <t>Completion</t>
  </si>
  <si>
    <t>Stage of Const.</t>
  </si>
  <si>
    <t>RL</t>
  </si>
  <si>
    <t>Security</t>
  </si>
  <si>
    <t>Bank Purpose</t>
  </si>
  <si>
    <t>Solvancy Report</t>
  </si>
  <si>
    <t>Education</t>
  </si>
  <si>
    <t>Education (VISA)</t>
  </si>
  <si>
    <t>Housing</t>
  </si>
  <si>
    <t>Mortgage</t>
  </si>
  <si>
    <t>Business</t>
  </si>
  <si>
    <t>P. Val.</t>
  </si>
  <si>
    <t>Indus Ind</t>
  </si>
  <si>
    <t>S. No.</t>
  </si>
  <si>
    <t>EB S.No.</t>
  </si>
  <si>
    <t>Ref. No.</t>
  </si>
  <si>
    <t>Rec. Date</t>
  </si>
  <si>
    <t>Sign. Date</t>
  </si>
  <si>
    <t>Loanee / Unit Name</t>
  </si>
  <si>
    <t>Valuation Amt.</t>
  </si>
  <si>
    <t>Property At</t>
  </si>
  <si>
    <t>Loan Type</t>
  </si>
  <si>
    <t>RACPC S.No.</t>
  </si>
  <si>
    <t>Executive</t>
  </si>
  <si>
    <t>Form Status</t>
  </si>
  <si>
    <t>Remarks</t>
  </si>
  <si>
    <t>Pay. Date</t>
  </si>
  <si>
    <t>Pay. Type</t>
  </si>
  <si>
    <t xml:space="preserve">Pay. Cheque No. </t>
  </si>
  <si>
    <t>Pay. Amt.</t>
  </si>
  <si>
    <t>Pay. Status</t>
  </si>
  <si>
    <t>BB Inward No.</t>
  </si>
  <si>
    <t>Fee Amt.</t>
  </si>
  <si>
    <t>Frm Rec. Date</t>
  </si>
  <si>
    <t>Pay. Remarks</t>
  </si>
  <si>
    <t>Colours</t>
  </si>
  <si>
    <t>Banjara Hills</t>
  </si>
  <si>
    <t>Medchal</t>
  </si>
  <si>
    <t>Sangareddy</t>
  </si>
  <si>
    <t>Nallakunta</t>
  </si>
  <si>
    <t>Tandur</t>
  </si>
  <si>
    <t>Motinagar</t>
  </si>
  <si>
    <t>Habsiguda</t>
  </si>
  <si>
    <t>Jubilee Hills</t>
  </si>
  <si>
    <t>Madhapur</t>
  </si>
  <si>
    <t>Gandhi Nagar</t>
  </si>
  <si>
    <t>ARM(Basheerbagh)</t>
  </si>
  <si>
    <t>Nacharam</t>
  </si>
  <si>
    <t>Charminar</t>
  </si>
  <si>
    <t>Karmanghat</t>
  </si>
  <si>
    <t>Ravi</t>
  </si>
  <si>
    <t>Gachibowli</t>
  </si>
  <si>
    <t>Vijay</t>
  </si>
  <si>
    <t>Thumkunta</t>
  </si>
  <si>
    <t>Basheerbagh</t>
  </si>
  <si>
    <t>Bank Street</t>
  </si>
  <si>
    <t>Ameerpet</t>
  </si>
  <si>
    <t>Kukatpally</t>
  </si>
  <si>
    <t>Dilshuknagar</t>
  </si>
  <si>
    <t>Gurramguda</t>
  </si>
  <si>
    <t>Malakpet</t>
  </si>
  <si>
    <t>Bhaseerbagh</t>
  </si>
  <si>
    <t>SD ROAD</t>
  </si>
  <si>
    <t>R.P Road</t>
  </si>
  <si>
    <t>Adarshanagar</t>
  </si>
  <si>
    <t>Macha Bollaram</t>
  </si>
  <si>
    <t>RACPC-III</t>
  </si>
  <si>
    <t>Parsigutta</t>
  </si>
  <si>
    <t>G.K Colony</t>
  </si>
  <si>
    <t>Hasthinapuram</t>
  </si>
  <si>
    <t>Badangpet</t>
  </si>
  <si>
    <t>Toli Chouki</t>
  </si>
  <si>
    <t>RTC Kalyanamandapam</t>
  </si>
  <si>
    <t>Prashanth Nagar</t>
  </si>
  <si>
    <t>Isnapoor</t>
  </si>
  <si>
    <t>Pragathi Nagar</t>
  </si>
  <si>
    <t>Lothukunta</t>
  </si>
  <si>
    <t>Panjagutta</t>
  </si>
  <si>
    <t>C Zech Colony</t>
  </si>
  <si>
    <t>Bandlaguda</t>
  </si>
  <si>
    <t>RACPC-Moulali</t>
  </si>
  <si>
    <t>RACPC-Abids</t>
  </si>
  <si>
    <t>Defence Colony</t>
  </si>
  <si>
    <t>Yapral</t>
  </si>
  <si>
    <t>Alkapuri Colony</t>
  </si>
  <si>
    <t>SLST</t>
  </si>
  <si>
    <t>Lunger House</t>
  </si>
  <si>
    <t>Vinayak Nagar</t>
  </si>
  <si>
    <t>General Bazar</t>
  </si>
  <si>
    <t>Gayatri Nagar(Jillelguda)</t>
  </si>
  <si>
    <t>Ramanthapur</t>
  </si>
  <si>
    <t>Ghatkesar</t>
  </si>
  <si>
    <t>Jillelguda</t>
  </si>
  <si>
    <t>Ismailkhanpet</t>
  </si>
  <si>
    <t>Nakkalagutta(Hanamkonda)</t>
  </si>
  <si>
    <t>Old Bowenpally</t>
  </si>
  <si>
    <t>West Maredpally</t>
  </si>
  <si>
    <t>Patny</t>
  </si>
  <si>
    <t>Shamshergunj</t>
  </si>
  <si>
    <t>Gudimalkapur</t>
  </si>
  <si>
    <t>Kama Reddy</t>
  </si>
  <si>
    <t>Venkatapuram</t>
  </si>
  <si>
    <t>Gaddiannaram</t>
  </si>
  <si>
    <t>Kavadiguda</t>
  </si>
  <si>
    <t>Shabad</t>
  </si>
  <si>
    <t>Loan Point(Saifabad)</t>
  </si>
  <si>
    <t>Saifabad</t>
  </si>
  <si>
    <t>Loan Point</t>
  </si>
  <si>
    <t>Loan Point(Jubilee Hills)</t>
  </si>
  <si>
    <t>PKR</t>
  </si>
  <si>
    <t>S.D Road</t>
  </si>
  <si>
    <t>Loan Point(Madhapur)</t>
  </si>
  <si>
    <t>Station Road</t>
  </si>
  <si>
    <t>SME</t>
  </si>
  <si>
    <t>Shalivahana Nagar</t>
  </si>
  <si>
    <t>Ram Koti</t>
  </si>
  <si>
    <t>Kakatiya Nagar</t>
  </si>
  <si>
    <t>Rallaguda</t>
  </si>
  <si>
    <t>Main Branch</t>
  </si>
  <si>
    <t>Chikkadapally</t>
  </si>
  <si>
    <t>KPHB Colony</t>
  </si>
  <si>
    <t>Khairatabad</t>
  </si>
  <si>
    <t>Injapur</t>
  </si>
  <si>
    <t>Kachiguda</t>
  </si>
  <si>
    <t>L.B Nagar</t>
  </si>
  <si>
    <t>Kamala Nagar</t>
  </si>
  <si>
    <t>S.P Road</t>
  </si>
  <si>
    <t>Rajendra Nagar</t>
  </si>
  <si>
    <t>Income Tax Colony</t>
  </si>
  <si>
    <t>Balapur</t>
  </si>
  <si>
    <t>NFC</t>
  </si>
  <si>
    <t>Old MLA Quarters</t>
  </si>
  <si>
    <t>Secretarait</t>
  </si>
  <si>
    <t>RACPC</t>
  </si>
  <si>
    <t xml:space="preserve">Aliabad </t>
  </si>
  <si>
    <t>Ashok Nagar</t>
  </si>
  <si>
    <t>Miyapur</t>
  </si>
  <si>
    <t>Moosarambagh</t>
  </si>
  <si>
    <t>Amberpet</t>
  </si>
  <si>
    <t>Barkathpura</t>
  </si>
  <si>
    <t>Bakaram</t>
  </si>
  <si>
    <t>Baghlingampalli</t>
  </si>
  <si>
    <t>Survaypet</t>
  </si>
  <si>
    <t>Temple Street</t>
  </si>
  <si>
    <t>Adibatla</t>
  </si>
  <si>
    <t xml:space="preserve">Gowliguda </t>
  </si>
  <si>
    <t>King Koti</t>
  </si>
  <si>
    <t>Domalguda</t>
  </si>
  <si>
    <t>D.D Colony</t>
  </si>
  <si>
    <t>Suspense</t>
  </si>
  <si>
    <t>RACPC-I</t>
  </si>
  <si>
    <t>R.K Puram</t>
  </si>
  <si>
    <t>Cheryal</t>
  </si>
  <si>
    <t>Osmangunj</t>
  </si>
  <si>
    <t>Begumpet</t>
  </si>
  <si>
    <t>RACPC-II</t>
  </si>
  <si>
    <t>Miryalguda</t>
  </si>
  <si>
    <t>Koti Main Branch</t>
  </si>
  <si>
    <t>Chiragali Lane</t>
  </si>
  <si>
    <t>Meerpet</t>
  </si>
  <si>
    <t>Alwal</t>
  </si>
  <si>
    <t>Bahadurpura</t>
  </si>
  <si>
    <t>Sitarambagh</t>
  </si>
  <si>
    <t>R.K Mutt</t>
  </si>
  <si>
    <t>Maleshian Town Ship</t>
  </si>
  <si>
    <t>PBB-Masabtank</t>
  </si>
  <si>
    <t>Mallapally</t>
  </si>
  <si>
    <t>RACPC-IV</t>
  </si>
  <si>
    <t>HLST-II</t>
  </si>
  <si>
    <t>Nallagandla</t>
  </si>
  <si>
    <t>Barkas</t>
  </si>
  <si>
    <t>PBB-Dilshuknagar</t>
  </si>
  <si>
    <t>Red Hills</t>
  </si>
  <si>
    <t>Secunderabad</t>
  </si>
  <si>
    <t>Eluru</t>
  </si>
  <si>
    <t>Parishram Bhavan</t>
  </si>
  <si>
    <t>Serilingampally</t>
  </si>
  <si>
    <t>RACPC-I(PBB Red Hills)</t>
  </si>
  <si>
    <t>M.G Road</t>
  </si>
  <si>
    <t>Shiva</t>
  </si>
  <si>
    <t>SME-Nacharam</t>
  </si>
  <si>
    <t>SME-Balanagar</t>
  </si>
  <si>
    <t>SME-Dilshuknagar</t>
  </si>
  <si>
    <t>Jeedimetla Ind.</t>
  </si>
  <si>
    <t>Jallaram</t>
  </si>
  <si>
    <t>SME-Kattedan</t>
  </si>
  <si>
    <t>PBB-Kukatpally</t>
  </si>
  <si>
    <t>Vijayawada</t>
  </si>
  <si>
    <t>SME-Hyderabad</t>
  </si>
  <si>
    <t>SMECC Patny</t>
  </si>
  <si>
    <t>Lingampally</t>
  </si>
  <si>
    <t>Particulars</t>
  </si>
  <si>
    <t>Categories</t>
  </si>
  <si>
    <t>Persons</t>
  </si>
  <si>
    <t>General Expenses</t>
  </si>
  <si>
    <t>Vinod</t>
  </si>
  <si>
    <t>Petrol  &amp; Trvl. Exp.</t>
  </si>
  <si>
    <t>Fee Returns</t>
  </si>
  <si>
    <t>Ganesh N</t>
  </si>
  <si>
    <t>Arya</t>
  </si>
  <si>
    <t>Miscellaneous Expences</t>
  </si>
  <si>
    <t>Mohan</t>
  </si>
  <si>
    <t>Staff Salaries</t>
  </si>
  <si>
    <t>TDS</t>
  </si>
  <si>
    <t>Signature</t>
  </si>
  <si>
    <t>Banks</t>
  </si>
  <si>
    <t>P_No</t>
  </si>
  <si>
    <t>Edited Person</t>
  </si>
  <si>
    <t>Edited Time</t>
  </si>
  <si>
    <t>ECIL</t>
  </si>
  <si>
    <t>Hubsiguda</t>
  </si>
  <si>
    <t>Narayanguda</t>
  </si>
  <si>
    <t>Mangalaparthi</t>
  </si>
  <si>
    <t>M.J Raod</t>
  </si>
  <si>
    <t>V.N Colony</t>
  </si>
  <si>
    <t>Vijayanagar Colony</t>
  </si>
  <si>
    <t>Srinagar colony</t>
  </si>
  <si>
    <t>Ongole</t>
  </si>
  <si>
    <t>SR Nagar</t>
  </si>
  <si>
    <t>RTC X Road</t>
  </si>
  <si>
    <t>Belvesta Branch</t>
  </si>
  <si>
    <t>Zonal Office</t>
  </si>
  <si>
    <t>Aleru</t>
  </si>
  <si>
    <t>Raj Bhavan Road</t>
  </si>
  <si>
    <t>Ramanthapur(Loan Point)</t>
  </si>
  <si>
    <t>Siddipet</t>
  </si>
  <si>
    <t>SME-Secunderabad</t>
  </si>
  <si>
    <t>SME-Vizag</t>
  </si>
  <si>
    <t>CBB</t>
  </si>
  <si>
    <t>SME-II</t>
  </si>
  <si>
    <t>New Vidyanagar</t>
  </si>
  <si>
    <t>RACPC-Secunderabad</t>
  </si>
  <si>
    <t>Gayatri Nagar</t>
  </si>
  <si>
    <t>ARK</t>
  </si>
  <si>
    <t>Sheri Lingampally</t>
  </si>
  <si>
    <t>SME-Secunderbad</t>
  </si>
  <si>
    <t>Chowtuppal</t>
  </si>
  <si>
    <t>Old Malakpet</t>
  </si>
  <si>
    <t>Chandrayangutta</t>
  </si>
  <si>
    <t>Kharmanghat</t>
  </si>
  <si>
    <t>Sripuram</t>
  </si>
  <si>
    <t>Anand Nagar</t>
  </si>
  <si>
    <t>Singapur Township</t>
  </si>
  <si>
    <t>Hayathnagar</t>
  </si>
  <si>
    <t>Siripuram Colony</t>
  </si>
  <si>
    <t>Vijayapuri Colony</t>
  </si>
  <si>
    <t>RCI-Branch</t>
  </si>
  <si>
    <t>Jeedimetla</t>
  </si>
  <si>
    <t>Bora Banda</t>
  </si>
  <si>
    <t>Chaitanyapuri</t>
  </si>
  <si>
    <t>Neredmet</t>
  </si>
  <si>
    <t>Nagaram</t>
  </si>
  <si>
    <t>Paradise Branch</t>
  </si>
  <si>
    <t>Lower Tankbund</t>
  </si>
  <si>
    <t>Golden Jubilee</t>
  </si>
  <si>
    <t>HLST-III</t>
  </si>
  <si>
    <t>Corporate Salary</t>
  </si>
  <si>
    <t>Hyd Main Branch</t>
  </si>
  <si>
    <t>Masabtank</t>
  </si>
  <si>
    <t>Kavuri Hills</t>
  </si>
  <si>
    <t>Yellareddyguda</t>
  </si>
  <si>
    <t>PBB-Banjarahills</t>
  </si>
  <si>
    <t>Yousafguda</t>
  </si>
  <si>
    <t>Golden Bowenpally</t>
  </si>
  <si>
    <t>PBB-Film Nagar</t>
  </si>
  <si>
    <t>Langer House</t>
  </si>
  <si>
    <t>HLST-I</t>
  </si>
  <si>
    <t>Parisram Branch</t>
  </si>
  <si>
    <t>RACPC-II,Kondapur</t>
  </si>
  <si>
    <t>PBB-Golden Jubilee</t>
  </si>
  <si>
    <t>Budvel</t>
  </si>
  <si>
    <t>PBB-Masab Tank</t>
  </si>
  <si>
    <t>SME-Dilkshuknagar</t>
  </si>
  <si>
    <t>SARC</t>
  </si>
  <si>
    <t>Chennai</t>
  </si>
  <si>
    <t>SME-Nizamabad</t>
  </si>
  <si>
    <t>Balkmpet</t>
  </si>
  <si>
    <t>Kompally</t>
  </si>
  <si>
    <t>Bhagyanagar Colony</t>
  </si>
  <si>
    <t>Gajjanagudla(Guntur)</t>
  </si>
  <si>
    <t>SME-KOLKATTA</t>
  </si>
  <si>
    <t>Medak</t>
  </si>
  <si>
    <t>RACPC-Secbad</t>
  </si>
  <si>
    <t>Uppal</t>
  </si>
  <si>
    <t>Mohan nagar</t>
  </si>
  <si>
    <t>Shameerpet</t>
  </si>
  <si>
    <t>East Maredpally</t>
  </si>
  <si>
    <t>Kottaguda</t>
  </si>
  <si>
    <t>IICT</t>
  </si>
  <si>
    <t>Kushaiguda</t>
  </si>
  <si>
    <t>Moulali</t>
  </si>
  <si>
    <t>Medipally</t>
  </si>
  <si>
    <t>Suchitra</t>
  </si>
  <si>
    <t>Gruhakalpa</t>
  </si>
  <si>
    <t>Gunfoundary</t>
  </si>
  <si>
    <t>Saraswathi nagar</t>
  </si>
  <si>
    <t>IIT-GACHIBOWLI</t>
  </si>
  <si>
    <t>Vikrampuri</t>
  </si>
  <si>
    <t>Somajiguda</t>
  </si>
  <si>
    <t>NCC-Sangareddy</t>
  </si>
  <si>
    <t>Manikonda</t>
  </si>
  <si>
    <t>Madinaguda</t>
  </si>
  <si>
    <t>Open university</t>
  </si>
  <si>
    <t>Sadashiv Pet</t>
  </si>
  <si>
    <t>Kavidi guda</t>
  </si>
  <si>
    <t>East Anandbag</t>
  </si>
  <si>
    <t>Padma Rao Nagar</t>
  </si>
  <si>
    <t>Budhera</t>
  </si>
  <si>
    <t>Banglore</t>
  </si>
  <si>
    <t>A.S Rao Nagar</t>
  </si>
  <si>
    <t>Patancheru</t>
  </si>
  <si>
    <t>Lakdikapul</t>
  </si>
  <si>
    <t>Shamshabad</t>
  </si>
  <si>
    <t>Manchiryela</t>
  </si>
  <si>
    <t>Punjagutta</t>
  </si>
  <si>
    <t>S.R Nagar</t>
  </si>
  <si>
    <t>SME-CBB</t>
  </si>
  <si>
    <t>Bimavaram</t>
  </si>
  <si>
    <t>Mominpet</t>
  </si>
  <si>
    <t xml:space="preserve">Kurnool </t>
  </si>
  <si>
    <t>Region-III</t>
  </si>
  <si>
    <t>Mansoorabad</t>
  </si>
  <si>
    <t>Tulasinagar</t>
  </si>
  <si>
    <t>Himayathnagar</t>
  </si>
  <si>
    <t>Venkgalrao Nagar</t>
  </si>
  <si>
    <t>Secunderabad Main Branch</t>
  </si>
  <si>
    <t>P.D Colony</t>
  </si>
  <si>
    <t>Warangal</t>
  </si>
  <si>
    <t>Vidyanagar</t>
  </si>
  <si>
    <t>Humayun Nagar</t>
  </si>
  <si>
    <t>A C Guard</t>
  </si>
  <si>
    <t>Shivalingapuram</t>
  </si>
  <si>
    <t>Mahendra-Hills</t>
  </si>
  <si>
    <t>Suryapet</t>
  </si>
  <si>
    <t>Saroor Nagar</t>
  </si>
  <si>
    <t>NRI</t>
  </si>
  <si>
    <t>Tirumalgiri</t>
  </si>
  <si>
    <t>Attapur</t>
  </si>
  <si>
    <t>Pathergatti</t>
  </si>
  <si>
    <t>Chanda Nagar</t>
  </si>
  <si>
    <t>Kondapur</t>
  </si>
  <si>
    <t>Dairy Form Road</t>
  </si>
  <si>
    <t>Mallapur</t>
  </si>
  <si>
    <t>Nellore</t>
  </si>
  <si>
    <t>Survey of India</t>
  </si>
  <si>
    <t>Shivannaguda</t>
  </si>
  <si>
    <t>Mangalparthi</t>
  </si>
  <si>
    <t>BankBranchs</t>
  </si>
  <si>
    <t>IIT Branch</t>
  </si>
  <si>
    <t>Punjagutta(RACPC-Cyberabad)</t>
  </si>
  <si>
    <t>Ramanthapur(RACPC-Cyberabad)</t>
  </si>
  <si>
    <t>SBI Main Branch</t>
  </si>
  <si>
    <t>Shbad</t>
  </si>
  <si>
    <t>S.T Road</t>
  </si>
  <si>
    <t>RACPC-Cyberabad</t>
  </si>
  <si>
    <t>PBB-FILMNAGAR</t>
  </si>
  <si>
    <t>Amberpet (RACPC-III)</t>
  </si>
  <si>
    <t>Loan Point(Lakdikapul)</t>
  </si>
  <si>
    <t>SMECC</t>
  </si>
  <si>
    <t>Due</t>
  </si>
  <si>
    <t>None</t>
  </si>
  <si>
    <t>Deleted Time</t>
  </si>
  <si>
    <t>Deleted Person</t>
  </si>
  <si>
    <t>R</t>
  </si>
  <si>
    <t>Krishna</t>
  </si>
  <si>
    <t>Wrong Entry</t>
  </si>
  <si>
    <t>Staff</t>
  </si>
  <si>
    <t>Paid</t>
  </si>
  <si>
    <t>CASH</t>
  </si>
  <si>
    <t>Petrol</t>
  </si>
  <si>
    <t>Travel</t>
  </si>
  <si>
    <t>Miscellaneous</t>
  </si>
  <si>
    <t>*</t>
  </si>
  <si>
    <t>Executive Lists</t>
  </si>
  <si>
    <t xml:space="preserve">Val. Amt. </t>
  </si>
  <si>
    <t xml:space="preserve">Inward </t>
  </si>
  <si>
    <t xml:space="preserve">Fee Amt. </t>
  </si>
  <si>
    <t>TOTAL</t>
  </si>
  <si>
    <t>Mobile Bill</t>
  </si>
  <si>
    <t>Vehicle</t>
  </si>
  <si>
    <t>PREVIOUS</t>
  </si>
  <si>
    <t>PRESENT</t>
  </si>
  <si>
    <t>INCOMES</t>
  </si>
  <si>
    <t xml:space="preserve">EXPENSES </t>
  </si>
  <si>
    <t>File Returns</t>
  </si>
  <si>
    <t>Signed</t>
  </si>
  <si>
    <t>Total Forms</t>
  </si>
  <si>
    <t>BANKS</t>
  </si>
  <si>
    <t>MADHU</t>
  </si>
  <si>
    <t>GANESH</t>
  </si>
  <si>
    <t>PRADEEP</t>
  </si>
  <si>
    <t>SRINIVAS</t>
  </si>
  <si>
    <t>KIRAN</t>
  </si>
  <si>
    <t>MAHESH</t>
  </si>
  <si>
    <t>Payment</t>
  </si>
  <si>
    <t>FORMS</t>
  </si>
  <si>
    <t>AMOUNT</t>
  </si>
  <si>
    <t>Executives</t>
  </si>
  <si>
    <t>All Executives with there Respective Banks</t>
  </si>
  <si>
    <t xml:space="preserve">GRAND TOTAL : </t>
  </si>
  <si>
    <t>TOTAL:</t>
  </si>
  <si>
    <t>Previous</t>
  </si>
  <si>
    <t>Present</t>
  </si>
  <si>
    <t>Others</t>
  </si>
  <si>
    <t>BANK</t>
  </si>
  <si>
    <t xml:space="preserve">TOTAL : </t>
  </si>
  <si>
    <t xml:space="preserve"> Expenses</t>
  </si>
  <si>
    <t>Miscellaneous Exp.</t>
  </si>
  <si>
    <t>Ganesh (Old)</t>
  </si>
  <si>
    <t>Ganesh (New)</t>
  </si>
  <si>
    <t>VEHICLE &amp; M. BILL</t>
  </si>
  <si>
    <t>Projects</t>
  </si>
  <si>
    <t>PETROL &amp; TRVL Exp.</t>
  </si>
  <si>
    <t>Salaries</t>
  </si>
  <si>
    <t>STAFF SALARIES</t>
  </si>
  <si>
    <t>Genral Expenses</t>
  </si>
  <si>
    <t>OFFICE EXPENDITURE</t>
  </si>
  <si>
    <t>INCOME</t>
  </si>
  <si>
    <t>EXPENDITURE</t>
  </si>
  <si>
    <t>Vehicle &amp; Mobile Bill</t>
  </si>
  <si>
    <t>TGB &amp; Vijaya</t>
  </si>
  <si>
    <t>Unknown Suspense</t>
  </si>
  <si>
    <t>Unknown</t>
  </si>
  <si>
    <t>Adv/Paid</t>
  </si>
  <si>
    <t>Adv/Paid/Pending</t>
  </si>
  <si>
    <t>SME-SBI</t>
  </si>
  <si>
    <t>Santosh</t>
  </si>
  <si>
    <t>User's Details</t>
  </si>
  <si>
    <t>Password</t>
  </si>
  <si>
    <t>Administrator</t>
  </si>
  <si>
    <t>User</t>
  </si>
  <si>
    <t>Reject</t>
  </si>
  <si>
    <t>Paid/Reject</t>
  </si>
  <si>
    <r>
      <t>A</t>
    </r>
    <r>
      <rPr>
        <sz val="8"/>
        <color theme="1"/>
        <rFont val="Calibri"/>
        <family val="2"/>
        <scheme val="minor"/>
      </rPr>
      <t>dv</t>
    </r>
    <r>
      <rPr>
        <sz val="11"/>
        <color theme="1"/>
        <rFont val="Calibri"/>
        <family val="2"/>
        <scheme val="minor"/>
      </rPr>
      <t>/P</t>
    </r>
    <r>
      <rPr>
        <sz val="8"/>
        <color theme="1"/>
        <rFont val="Calibri"/>
        <family val="2"/>
        <scheme val="minor"/>
      </rPr>
      <t>aid</t>
    </r>
  </si>
  <si>
    <r>
      <t>A</t>
    </r>
    <r>
      <rPr>
        <sz val="8"/>
        <color theme="1"/>
        <rFont val="Calibri"/>
        <family val="2"/>
        <scheme val="minor"/>
      </rPr>
      <t>dv</t>
    </r>
    <r>
      <rPr>
        <sz val="11"/>
        <color theme="1"/>
        <rFont val="Calibri"/>
        <family val="2"/>
        <scheme val="minor"/>
      </rPr>
      <t>/P/R</t>
    </r>
    <r>
      <rPr>
        <sz val="8"/>
        <color theme="1"/>
        <rFont val="Calibri"/>
        <family val="2"/>
        <scheme val="minor"/>
      </rPr>
      <t>ej.</t>
    </r>
  </si>
  <si>
    <r>
      <t>R</t>
    </r>
    <r>
      <rPr>
        <sz val="8"/>
        <color theme="1"/>
        <rFont val="Calibri"/>
        <family val="2"/>
        <scheme val="minor"/>
      </rPr>
      <t>eject</t>
    </r>
  </si>
  <si>
    <r>
      <t>A</t>
    </r>
    <r>
      <rPr>
        <sz val="8"/>
        <color theme="1"/>
        <rFont val="Calibri"/>
        <family val="2"/>
        <scheme val="minor"/>
      </rPr>
      <t>dv</t>
    </r>
    <r>
      <rPr>
        <sz val="11"/>
        <color theme="1"/>
        <rFont val="Calibri"/>
        <family val="2"/>
        <scheme val="minor"/>
      </rPr>
      <t>/P/P</t>
    </r>
    <r>
      <rPr>
        <sz val="8"/>
        <color theme="1"/>
        <rFont val="Calibri"/>
        <family val="2"/>
        <scheme val="minor"/>
      </rPr>
      <t>nd.</t>
    </r>
  </si>
  <si>
    <r>
      <t>P</t>
    </r>
    <r>
      <rPr>
        <sz val="8"/>
        <color theme="1"/>
        <rFont val="Calibri"/>
        <family val="2"/>
        <scheme val="minor"/>
      </rPr>
      <t>ending</t>
    </r>
  </si>
  <si>
    <r>
      <t>A</t>
    </r>
    <r>
      <rPr>
        <sz val="8"/>
        <color theme="1"/>
        <rFont val="Calibri"/>
        <family val="2"/>
        <scheme val="minor"/>
      </rPr>
      <t>dv</t>
    </r>
    <r>
      <rPr>
        <sz val="11"/>
        <color theme="1"/>
        <rFont val="Calibri"/>
        <family val="2"/>
        <scheme val="minor"/>
      </rPr>
      <t>/P/N</t>
    </r>
    <r>
      <rPr>
        <sz val="8"/>
        <color theme="1"/>
        <rFont val="Calibri"/>
        <family val="2"/>
        <scheme val="minor"/>
      </rPr>
      <t>o</t>
    </r>
    <r>
      <rPr>
        <sz val="11"/>
        <color theme="1"/>
        <rFont val="Calibri"/>
        <family val="2"/>
        <scheme val="minor"/>
      </rPr>
      <t>S</t>
    </r>
  </si>
  <si>
    <r>
      <t>No S</t>
    </r>
    <r>
      <rPr>
        <sz val="8"/>
        <color theme="1"/>
        <rFont val="Calibri"/>
        <family val="2"/>
        <scheme val="minor"/>
      </rPr>
      <t>tatus</t>
    </r>
  </si>
  <si>
    <r>
      <t>W/D E</t>
    </r>
    <r>
      <rPr>
        <sz val="8"/>
        <color theme="1"/>
        <rFont val="Calibri"/>
        <family val="2"/>
        <scheme val="minor"/>
      </rPr>
      <t>ntry</t>
    </r>
  </si>
  <si>
    <r>
      <t>F</t>
    </r>
    <r>
      <rPr>
        <sz val="8"/>
        <color theme="1"/>
        <rFont val="Calibri"/>
        <family val="2"/>
        <scheme val="minor"/>
      </rPr>
      <t>ile</t>
    </r>
    <r>
      <rPr>
        <sz val="11"/>
        <color theme="1"/>
        <rFont val="Calibri"/>
        <family val="2"/>
        <scheme val="minor"/>
      </rPr>
      <t xml:space="preserve"> I</t>
    </r>
    <r>
      <rPr>
        <sz val="8"/>
        <color theme="1"/>
        <rFont val="Calibri"/>
        <family val="2"/>
        <scheme val="minor"/>
      </rPr>
      <t>n</t>
    </r>
    <r>
      <rPr>
        <sz val="11"/>
        <color theme="1"/>
        <rFont val="Calibri"/>
        <family val="2"/>
        <scheme val="minor"/>
      </rPr>
      <t xml:space="preserve"> O</t>
    </r>
    <r>
      <rPr>
        <sz val="8"/>
        <color theme="1"/>
        <rFont val="Calibri"/>
        <family val="2"/>
        <scheme val="minor"/>
      </rPr>
      <t>fc.</t>
    </r>
  </si>
  <si>
    <r>
      <t>P</t>
    </r>
    <r>
      <rPr>
        <sz val="8"/>
        <color theme="1"/>
        <rFont val="Calibri"/>
        <family val="2"/>
        <scheme val="minor"/>
      </rPr>
      <t>aid</t>
    </r>
    <r>
      <rPr>
        <sz val="11"/>
        <color theme="1"/>
        <rFont val="Calibri"/>
        <family val="2"/>
        <scheme val="minor"/>
      </rPr>
      <t xml:space="preserve"> R</t>
    </r>
    <r>
      <rPr>
        <sz val="8"/>
        <color theme="1"/>
        <rFont val="Calibri"/>
        <family val="2"/>
        <scheme val="minor"/>
      </rPr>
      <t>ej.</t>
    </r>
  </si>
  <si>
    <t>Total</t>
  </si>
  <si>
    <t>No Sign</t>
  </si>
  <si>
    <t>Not Signed</t>
  </si>
  <si>
    <t>Adv/Paid/Reject</t>
  </si>
  <si>
    <t>Adv/Paid/NoStatus</t>
  </si>
  <si>
    <t>No Fee</t>
  </si>
  <si>
    <r>
      <t>N</t>
    </r>
    <r>
      <rPr>
        <sz val="8"/>
        <color theme="1"/>
        <rFont val="Calibri"/>
        <family val="2"/>
        <scheme val="minor"/>
      </rPr>
      <t>o</t>
    </r>
    <r>
      <rPr>
        <sz val="11"/>
        <color theme="1"/>
        <rFont val="Calibri"/>
        <family val="2"/>
        <scheme val="minor"/>
      </rPr>
      <t xml:space="preserve"> F</t>
    </r>
    <r>
      <rPr>
        <sz val="8"/>
        <color theme="1"/>
        <rFont val="Calibri"/>
        <family val="2"/>
        <scheme val="minor"/>
      </rPr>
      <t>ee</t>
    </r>
  </si>
  <si>
    <t>File in Office</t>
  </si>
  <si>
    <t>All Bank's Forms</t>
  </si>
  <si>
    <t>Office</t>
  </si>
  <si>
    <t>Y</t>
  </si>
  <si>
    <t>G</t>
  </si>
  <si>
    <t>Enter Between Dates</t>
  </si>
  <si>
    <t>Sravanthi</t>
  </si>
  <si>
    <t>Red</t>
  </si>
  <si>
    <t>Yellow</t>
  </si>
  <si>
    <t>Green</t>
  </si>
  <si>
    <t>Ravinder Rao</t>
  </si>
  <si>
    <t>LogOut Time</t>
  </si>
  <si>
    <t>How to enable macros in Excel from the Message Bar</t>
  </si>
  <si>
    <r>
      <t>If you open an Excel document that contains macros, you'll see the yellow </t>
    </r>
    <r>
      <rPr>
        <i/>
        <sz val="15.4"/>
        <color rgb="FF000000"/>
        <rFont val="Arial"/>
        <family val="2"/>
      </rPr>
      <t>Message Bar</t>
    </r>
    <r>
      <rPr>
        <sz val="15.4"/>
        <color rgb="FF000000"/>
        <rFont val="Arial"/>
        <family val="2"/>
      </rPr>
      <t> with a shield icon and the </t>
    </r>
    <r>
      <rPr>
        <i/>
        <sz val="15.4"/>
        <color rgb="FF000000"/>
        <rFont val="Arial"/>
        <family val="2"/>
      </rPr>
      <t>Enable Content</t>
    </r>
    <r>
      <rPr>
        <sz val="15.4"/>
        <color rgb="FF000000"/>
        <rFont val="Arial"/>
        <family val="2"/>
      </rPr>
      <t> button.</t>
    </r>
  </si>
  <si>
    <r>
      <t>If you are sure, the macros are from a trustworthy source, just press the </t>
    </r>
    <r>
      <rPr>
        <i/>
        <sz val="15.4"/>
        <color rgb="FF000000"/>
        <rFont val="Arial"/>
        <family val="2"/>
      </rPr>
      <t>Enable Content</t>
    </r>
    <r>
      <rPr>
        <sz val="15.4"/>
        <color rgb="FF000000"/>
        <rFont val="Arial"/>
        <family val="2"/>
      </rPr>
      <t> button on the bar.</t>
    </r>
  </si>
  <si>
    <t>The file will be opened as a trusted document and the security warning will disappear.</t>
  </si>
  <si>
    <t>Excel - enable macros via the Backstage view</t>
  </si>
  <si>
    <r>
      <t>You can also enable macros in Excel using the </t>
    </r>
    <r>
      <rPr>
        <i/>
        <sz val="15.4"/>
        <color rgb="FF000000"/>
        <rFont val="Arial"/>
        <family val="2"/>
      </rPr>
      <t>Microsoft Office Backstage</t>
    </r>
    <r>
      <rPr>
        <sz val="15.4"/>
        <color rgb="FF000000"/>
        <rFont val="Arial"/>
        <family val="2"/>
      </rPr>
      <t> view. You can see the yellow </t>
    </r>
    <r>
      <rPr>
        <i/>
        <sz val="15.4"/>
        <color rgb="FF000000"/>
        <rFont val="Arial"/>
        <family val="2"/>
      </rPr>
      <t>Message Bar</t>
    </r>
    <r>
      <rPr>
        <sz val="15.4"/>
        <color rgb="FF000000"/>
        <rFont val="Arial"/>
        <family val="2"/>
      </rPr>
      <t> if you click the </t>
    </r>
    <r>
      <rPr>
        <i/>
        <sz val="15.4"/>
        <color rgb="FF000000"/>
        <rFont val="Arial"/>
        <family val="2"/>
      </rPr>
      <t>File</t>
    </r>
    <r>
      <rPr>
        <sz val="15.4"/>
        <color rgb="FF000000"/>
        <rFont val="Arial"/>
        <family val="2"/>
      </rPr>
      <t> tab.</t>
    </r>
  </si>
  <si>
    <t>1. Click on the File tab.</t>
  </si>
  <si>
    <t>2. You'll see the yellow Security Warning area. Click Enable Content.</t>
  </si>
  <si>
    <t>3. You will see 2 features: Enable All Content and Advanced Options. Select Enable All Content to always make the document's active content available.</t>
  </si>
  <si>
    <t>The current Excel file will become a trusted document and all macros will be enabled.</t>
  </si>
  <si>
    <t>-</t>
  </si>
  <si>
    <t>All Operaters with there Respective Banks</t>
  </si>
  <si>
    <t>OPERATORS</t>
  </si>
  <si>
    <t>Neelima</t>
  </si>
  <si>
    <t>B.Shailaja</t>
  </si>
  <si>
    <t>N.Shailaja</t>
  </si>
  <si>
    <t>Sai</t>
  </si>
  <si>
    <t>Rajini</t>
  </si>
  <si>
    <t>Leena</t>
  </si>
  <si>
    <t>Priyanka</t>
  </si>
  <si>
    <t>17-Jun-GA-VIJ-1</t>
  </si>
  <si>
    <t>Rini Stalin</t>
  </si>
  <si>
    <t>Yes</t>
  </si>
  <si>
    <t>17-Jun-GA-VIJ-2</t>
  </si>
  <si>
    <t>A.Venkatesh</t>
  </si>
  <si>
    <t>17-Jun-GA-VIJ-3</t>
  </si>
  <si>
    <t>MD.Masuddin</t>
  </si>
  <si>
    <t>17-Jun-GA-VIJ-4</t>
  </si>
  <si>
    <t>J.Sharadha</t>
  </si>
  <si>
    <t>17-Jun-GA-VIJ-5</t>
  </si>
  <si>
    <t>M.Madhulatha</t>
  </si>
  <si>
    <t>17-Jun-GA-VIJ-6</t>
  </si>
  <si>
    <t>V.Srinu</t>
  </si>
  <si>
    <t>17-Jun-GA-VIJ-7</t>
  </si>
  <si>
    <t>Brij Kishore</t>
  </si>
  <si>
    <t>17-Jun-GA-VIJ-8</t>
  </si>
  <si>
    <t>J.Muralidhar</t>
  </si>
  <si>
    <t>17-Jun-GA-VIJ-9</t>
  </si>
  <si>
    <t>M.Padmavathi</t>
  </si>
  <si>
    <t>17-Jun-GA-VIJ-10</t>
  </si>
  <si>
    <t>P.Hanmanth Reddy</t>
  </si>
  <si>
    <t>17-Jun-GA-VIJ-11</t>
  </si>
  <si>
    <t>Union Roadway Ltd</t>
  </si>
  <si>
    <t>MJ Road</t>
  </si>
  <si>
    <t>17-Jun-GA-VIJ-12</t>
  </si>
  <si>
    <t>K.D Darpan</t>
  </si>
  <si>
    <t>17-Jun-GA-VIJ-13</t>
  </si>
  <si>
    <t>K.Raja Mohan Reddy</t>
  </si>
  <si>
    <t>17-Jun-GA-VIJ-14</t>
  </si>
  <si>
    <t>G.Kiran Kumar</t>
  </si>
  <si>
    <t>17-Jun-GA-VIJ-15</t>
  </si>
  <si>
    <t>Ch.Ravi Kumar</t>
  </si>
  <si>
    <t>17-Jun-GA-VIJ-16</t>
  </si>
  <si>
    <t>17-Jun-GA-VIJ-17</t>
  </si>
  <si>
    <t>B.Anand</t>
  </si>
  <si>
    <t>17-Jun-GA-VIJ-18</t>
  </si>
  <si>
    <t>B.Neeraja</t>
  </si>
  <si>
    <t>17-Jun-GA-VIJ-19</t>
  </si>
  <si>
    <t>B.Sachin</t>
  </si>
  <si>
    <t>17-Jun-GA-VIJ-20</t>
  </si>
  <si>
    <t>K.Mahender</t>
  </si>
  <si>
    <t>17-Jun-GA-VIJ-21</t>
  </si>
  <si>
    <t>D.Anil Kumar</t>
  </si>
  <si>
    <t>17-Jun-GA-VIJ-22</t>
  </si>
  <si>
    <t>Shaik Kareem Basha</t>
  </si>
  <si>
    <t>Narayan Guda</t>
  </si>
  <si>
    <t>17-Jun-GA-VIJ-23</t>
  </si>
  <si>
    <t>A.Kumara Swamy</t>
  </si>
  <si>
    <t>17-Jun-GA-VIJ-24</t>
  </si>
  <si>
    <t>K.Ravinder Reddy</t>
  </si>
  <si>
    <t>17-Jun-GA-VIJ-25</t>
  </si>
  <si>
    <t>P.Shankar</t>
  </si>
  <si>
    <t>17-Jun-GA-VIJ-26</t>
  </si>
  <si>
    <t>Ravindra K.Shetty</t>
  </si>
  <si>
    <t>17-Jun-GA-VIJ-27</t>
  </si>
  <si>
    <t>P.Aruna</t>
  </si>
  <si>
    <t>17-Jun-GA-VIJ-28</t>
  </si>
  <si>
    <t>K.Jhansi</t>
  </si>
  <si>
    <t>17-Jun-GA-VIJ-29</t>
  </si>
  <si>
    <t>M.Santosh</t>
  </si>
  <si>
    <t>HL(Top-Up)</t>
  </si>
  <si>
    <t>17-Jun-GA-VIJ-30</t>
  </si>
  <si>
    <t>S.Praveen Kumar</t>
  </si>
  <si>
    <t>17-Jun-GA-VIJ-31</t>
  </si>
  <si>
    <t>Choudary Narendra</t>
  </si>
  <si>
    <t>17-Jun-GA-VIJ-32</t>
  </si>
  <si>
    <t>Jeevan Choudary</t>
  </si>
  <si>
    <t>17-Jun-GA-VIJ-33</t>
  </si>
  <si>
    <t>C.Saranga Pani</t>
  </si>
  <si>
    <t>17-Jun-GA-VIJ-34</t>
  </si>
  <si>
    <t>K.Venu Gopal</t>
  </si>
  <si>
    <t>17-Jun-GA-VIJ-35</t>
  </si>
  <si>
    <t>S.Gopal Reddy</t>
  </si>
  <si>
    <t>17-Jun-GA-VIJ-36</t>
  </si>
  <si>
    <t>Ashwin Kumar</t>
  </si>
  <si>
    <t>17-Jun-GA-VIJ-37</t>
  </si>
  <si>
    <t>K.Gopala Krishna</t>
  </si>
  <si>
    <t>17-Jun-GA-VIJ-38</t>
  </si>
  <si>
    <t>Susheela</t>
  </si>
  <si>
    <t>17-Jun-GA-VIJ-39</t>
  </si>
  <si>
    <t>Nitudevi Bajaj</t>
  </si>
  <si>
    <t>17-Jun-GA-VIJ-40</t>
  </si>
  <si>
    <t>C.Sunil</t>
  </si>
  <si>
    <t>17-Apr-GA-VIJ-1</t>
  </si>
  <si>
    <t>S.Susheela</t>
  </si>
  <si>
    <t>17-Apr-GA-VIJ-3</t>
  </si>
  <si>
    <t>Vishal</t>
  </si>
  <si>
    <t>17-Apr-GA-VIJ-4</t>
  </si>
  <si>
    <t>K.Chandra Shekar</t>
  </si>
  <si>
    <t>17-Apr-GA-VIJ-6</t>
  </si>
  <si>
    <t>Babu</t>
  </si>
  <si>
    <t>17-Apr-GA-VIJ-7</t>
  </si>
  <si>
    <t>G.Raja Raghavendra Babu</t>
  </si>
  <si>
    <t>17-Apr-GA-VIJ-15</t>
  </si>
  <si>
    <t>DSR Murthy</t>
  </si>
  <si>
    <t>17-Apr-GA-VIJ-19</t>
  </si>
  <si>
    <t>M.Kanakaraju</t>
  </si>
  <si>
    <t>17-Apr-GA-VIJ-20</t>
  </si>
  <si>
    <t>R.Nagaraju</t>
  </si>
  <si>
    <t>17-Apr-GA-VIJ-23</t>
  </si>
  <si>
    <t>T.Bhagya Laxmi</t>
  </si>
  <si>
    <t>17-Apr-GA-VIJ-27</t>
  </si>
  <si>
    <t>Y.Krishna Mohan</t>
  </si>
  <si>
    <t>17-Apr-GA-VIJ-28</t>
  </si>
  <si>
    <t>Subhasini Reddy</t>
  </si>
  <si>
    <t>17-Apr-GA-VIJ-29</t>
  </si>
  <si>
    <t>M.Sudha</t>
  </si>
  <si>
    <t>17-Apr-GA-VIJ-30</t>
  </si>
  <si>
    <t>S.J Chander</t>
  </si>
  <si>
    <t>17-Apr-GA-VIJ-31</t>
  </si>
  <si>
    <t>M.Goutham</t>
  </si>
  <si>
    <t>17-Apr-GA-VIJ-33</t>
  </si>
  <si>
    <t>Mh.Shah</t>
  </si>
  <si>
    <t>17-Apr-GA-VIJ-35</t>
  </si>
  <si>
    <t>Y.Raju</t>
  </si>
  <si>
    <t>17-Apr-GA-VIJ-39</t>
  </si>
  <si>
    <t>A.Chandra Shekar</t>
  </si>
  <si>
    <t>17-Apr-GA-VIJ-46</t>
  </si>
  <si>
    <t>17-Apr-GA-VIJ-47</t>
  </si>
  <si>
    <t>S.Bhanu Teja</t>
  </si>
  <si>
    <t>17-May-GA-VIJ-1</t>
  </si>
  <si>
    <t>B.Rameshwar Reddy</t>
  </si>
  <si>
    <t>17-May-GA-VIJ-2</t>
  </si>
  <si>
    <t>G.Kiran</t>
  </si>
  <si>
    <t>17-May-GA-VIJ-3</t>
  </si>
  <si>
    <t>J.Maheshwari</t>
  </si>
  <si>
    <t>17-May-GA-VIJ-4</t>
  </si>
  <si>
    <t>R.Raghunandan</t>
  </si>
  <si>
    <t>17-May-GA-VIJ-5</t>
  </si>
  <si>
    <t>M.Mahesh</t>
  </si>
  <si>
    <t>17-May-GA-VIJ-6</t>
  </si>
  <si>
    <t>O.Sudheer</t>
  </si>
  <si>
    <t>17-May-GA-VIJ-7</t>
  </si>
  <si>
    <t>Nisha Benrjee</t>
  </si>
  <si>
    <t>17-May-GA-VIJ-10</t>
  </si>
  <si>
    <t>Sudha Mishra</t>
  </si>
  <si>
    <t>17-May-GA-VIJ-11</t>
  </si>
  <si>
    <t>P.Vani Madhuri</t>
  </si>
  <si>
    <t>17-May-GA-VIJ-12</t>
  </si>
  <si>
    <t>K.Swaroopa</t>
  </si>
  <si>
    <t>17-May-GA-VIJ-13</t>
  </si>
  <si>
    <t>M.Rajpal Reddy</t>
  </si>
  <si>
    <t>17-May-GA-VIJ-14</t>
  </si>
  <si>
    <t>D.Raju</t>
  </si>
  <si>
    <t>17-May-GA-VIJ-15</t>
  </si>
  <si>
    <t>Shubhraa Maheshwari</t>
  </si>
  <si>
    <t>17-May-GA-VIJ-16</t>
  </si>
  <si>
    <t>K.Veeramani</t>
  </si>
  <si>
    <t>17-May-GA-VIJ-17</t>
  </si>
  <si>
    <t>Sai Shakthi Polymers</t>
  </si>
  <si>
    <t>17-May-GA-VIJ-19</t>
  </si>
  <si>
    <t>T.Srikanth Reddy</t>
  </si>
  <si>
    <t>17-May-GA-VIJ-20</t>
  </si>
  <si>
    <t>S.Sujatha</t>
  </si>
  <si>
    <t>17-May-GA-VIJ-23</t>
  </si>
  <si>
    <t>Ch.Shashi Kala</t>
  </si>
  <si>
    <t>17-May-GA-VIJ-25</t>
  </si>
  <si>
    <t>R.Venkateshwarlu</t>
  </si>
  <si>
    <t>17-May-GA-VIJ-26</t>
  </si>
  <si>
    <t>John Israel</t>
  </si>
  <si>
    <t>17-May-GA-VIJ-27</t>
  </si>
  <si>
    <t>Bhagath Raj</t>
  </si>
  <si>
    <t>17-May-GA-VIJ-28</t>
  </si>
  <si>
    <t>P.Rahul</t>
  </si>
  <si>
    <t>17-May-GA-VIJ-29</t>
  </si>
  <si>
    <t>N.Laxmamma</t>
  </si>
  <si>
    <t>17-May-GA-VIJ-30</t>
  </si>
  <si>
    <t>G.Parasuram Reddy</t>
  </si>
  <si>
    <t>17-May-GA-VIJ-31</t>
  </si>
  <si>
    <t>M.Rama lingam</t>
  </si>
  <si>
    <t>17-May-GA-VIJ-32</t>
  </si>
  <si>
    <t>Brij kishore</t>
  </si>
  <si>
    <t>17-May-GA-VIJ-33</t>
  </si>
  <si>
    <t>S.sravanthi</t>
  </si>
  <si>
    <t>17-May-GA-VIJ-34</t>
  </si>
  <si>
    <t>B.Manasa &amp; K.N.S.Gopal</t>
  </si>
  <si>
    <t>17-May-GA-VIJ-35</t>
  </si>
  <si>
    <t>Ch.Pavan &amp; Ch.Tarun</t>
  </si>
  <si>
    <t>17-May-GA-VIJ-36</t>
  </si>
  <si>
    <t>S.Ram mohan</t>
  </si>
  <si>
    <t>17-May-GA-VIJ-37</t>
  </si>
  <si>
    <t>K.Raghava Chary</t>
  </si>
  <si>
    <t>17-May-GA-VIJ-38</t>
  </si>
  <si>
    <t>C.S.Shilpa</t>
  </si>
  <si>
    <t>17-May-GA-VIJ-39</t>
  </si>
  <si>
    <t>A.Srinivas rao</t>
  </si>
  <si>
    <t>17-May-GA-VIJ-40</t>
  </si>
  <si>
    <t>B.Kaladhar</t>
  </si>
  <si>
    <t>17-May-GA-VIJ-41</t>
  </si>
  <si>
    <t>M.Ambika &amp; M.Pandu</t>
  </si>
  <si>
    <t>17-May-GA-VIJ-42</t>
  </si>
  <si>
    <t>G.Satyapal Reddy</t>
  </si>
  <si>
    <t>17-May-GA-VIJ-43</t>
  </si>
  <si>
    <t>S.Vivex &amp; S.Saibaba</t>
  </si>
  <si>
    <t>17-May-GA-VIJ-44A</t>
  </si>
  <si>
    <t>V.Vanaja &amp; V.Jayaram Reddy</t>
  </si>
  <si>
    <t>Duplicate</t>
  </si>
  <si>
    <t>17-May-GA-VIJ-45</t>
  </si>
  <si>
    <t>R.minocha</t>
  </si>
  <si>
    <t>17-May-GA-VIJ-46</t>
  </si>
  <si>
    <t>J.Maruthi Raghavaram</t>
  </si>
  <si>
    <t>17-May-GA-VIJ-47</t>
  </si>
  <si>
    <t>Richa</t>
  </si>
  <si>
    <t>17-May-GA-TGB-2</t>
  </si>
  <si>
    <t>G.Krishna</t>
  </si>
  <si>
    <t>17-Jun-MA-SBI-1</t>
  </si>
  <si>
    <t>N.Venkata Ramana</t>
  </si>
  <si>
    <t>17-Jun-MA-SBI-2</t>
  </si>
  <si>
    <t>K.Karthik Rao</t>
  </si>
  <si>
    <t>17-Jun-MA-SBI-3</t>
  </si>
  <si>
    <t>M.Pushpanjali</t>
  </si>
  <si>
    <t>17-Jun-MA-SBI-4</t>
  </si>
  <si>
    <t>G.Swathi</t>
  </si>
  <si>
    <t>Already done in UBI</t>
  </si>
  <si>
    <t>No</t>
  </si>
  <si>
    <t>17-Jun-MA-SBI-5</t>
  </si>
  <si>
    <t>Prabhakar</t>
  </si>
  <si>
    <t>17-Jun-MA-SBI-6</t>
  </si>
  <si>
    <t>P.Srinivas</t>
  </si>
  <si>
    <t>File In Office</t>
  </si>
  <si>
    <t>17-Jun-MA-SBI-7</t>
  </si>
  <si>
    <t>Aravind Reddy</t>
  </si>
  <si>
    <t>17-Jun-MA-SBI-8</t>
  </si>
  <si>
    <t>17-Jun-MA-SBI-9</t>
  </si>
  <si>
    <t>Venkateshwarlu</t>
  </si>
  <si>
    <t>17-Jun-MA-SBI-10</t>
  </si>
  <si>
    <t>Bhagya</t>
  </si>
  <si>
    <t>17-Jun-MA-SBI-11</t>
  </si>
  <si>
    <t>Srikanth Reddy</t>
  </si>
  <si>
    <t>17-Jun-MA-SBI-12</t>
  </si>
  <si>
    <t>Ambika(Venkateshwar Rao)</t>
  </si>
  <si>
    <t>17-Jun-MA-SBI-13</t>
  </si>
  <si>
    <t>Swetha</t>
  </si>
  <si>
    <t>17-Jun-MA-SBI-14</t>
  </si>
  <si>
    <t>Linga Swamy</t>
  </si>
  <si>
    <t>17-Jun-MA-SBI-15</t>
  </si>
  <si>
    <t>17-Jun-MA-SBI-16</t>
  </si>
  <si>
    <t>Ram Chander</t>
  </si>
  <si>
    <t>17-Jun-MA-SBI-17</t>
  </si>
  <si>
    <t>Pranaya Teja</t>
  </si>
  <si>
    <t>17-Jun-MA-SBI-18</t>
  </si>
  <si>
    <t>Mallesham</t>
  </si>
  <si>
    <t>17-Jun-MA-SBI-19</t>
  </si>
  <si>
    <t>Manikyam</t>
  </si>
  <si>
    <t>17-Jun-MA-SBI-20</t>
  </si>
  <si>
    <t>Raghava</t>
  </si>
  <si>
    <t>17-Jun-MA-SBI-21</t>
  </si>
  <si>
    <t>Shiva Kumar</t>
  </si>
  <si>
    <t>17-Jun-MA-SBI-22</t>
  </si>
  <si>
    <t>Suresh</t>
  </si>
  <si>
    <t>17-Jun-MA-SBI-23</t>
  </si>
  <si>
    <t>B.Raju</t>
  </si>
  <si>
    <t>17-Jun-MA-SBI-24</t>
  </si>
  <si>
    <t>Govind Kumar</t>
  </si>
  <si>
    <t>17-Jun-MA-SBI-25</t>
  </si>
  <si>
    <t>A.Raghavendra</t>
  </si>
  <si>
    <t>Visa</t>
  </si>
  <si>
    <t>17-Jun-MA-SBI-26</t>
  </si>
  <si>
    <t>Anjaneyulu</t>
  </si>
  <si>
    <t>17-Jun-MA-SBI-27</t>
  </si>
  <si>
    <t>17-Jun-MA-SBI-28</t>
  </si>
  <si>
    <t>17-Jun-MA-SBI-29</t>
  </si>
  <si>
    <t>17-Jun-MA-SBI-30</t>
  </si>
  <si>
    <t>Srinivas Reddy</t>
  </si>
  <si>
    <t>17-Jun-MA-SBI-31</t>
  </si>
  <si>
    <t>K.Smitha</t>
  </si>
  <si>
    <t>17-Jun-MA-SBI-32</t>
  </si>
  <si>
    <t>K.Chary</t>
  </si>
  <si>
    <t>17-Jun-MA-SBI-33</t>
  </si>
  <si>
    <t>Aadhi Laxmi</t>
  </si>
  <si>
    <t>17-Jun-MA-SBI-34</t>
  </si>
  <si>
    <t>Murali</t>
  </si>
  <si>
    <t>17-Jun-MA-SBI-35</t>
  </si>
  <si>
    <t>Ram Prasad</t>
  </si>
  <si>
    <t>17-Jun-MA-SBI-36</t>
  </si>
  <si>
    <t>Rasamallu Ruth</t>
  </si>
  <si>
    <t>17-Jun-MA-SBI-37</t>
  </si>
  <si>
    <t>Aruna Prabha(Murari)</t>
  </si>
  <si>
    <t>17-Jun-MA-SBI-38</t>
  </si>
  <si>
    <t>17-Jun-MA-SBI-39</t>
  </si>
  <si>
    <t>Narendra Yadav</t>
  </si>
  <si>
    <t>17-Jun-MA-SBI-40</t>
  </si>
  <si>
    <t>Shilpa Patel</t>
  </si>
  <si>
    <t>17-Jun-MA-SBI-41</t>
  </si>
  <si>
    <t>Chandra Mohan</t>
  </si>
  <si>
    <t>17-Jun-MA-SBI-42</t>
  </si>
  <si>
    <t>G.Swaroopa Rani</t>
  </si>
  <si>
    <t>Himayatnagar</t>
  </si>
  <si>
    <t>17-Jun-MA-SBI-43</t>
  </si>
  <si>
    <t>K.Jamuna</t>
  </si>
  <si>
    <t>17-Jun-MA-SBI-44</t>
  </si>
  <si>
    <t>Venkata Ramana</t>
  </si>
  <si>
    <t>Private Valuation</t>
  </si>
  <si>
    <t>17-Jun-MA-SBI-45</t>
  </si>
  <si>
    <t>Rama Krishna</t>
  </si>
  <si>
    <t>17-Jun-MA-SBI-46</t>
  </si>
  <si>
    <t>Punyavathi</t>
  </si>
  <si>
    <t>17-Jun-MA-SBI-47</t>
  </si>
  <si>
    <t>Jolly Mukarjee</t>
  </si>
  <si>
    <t>17-Jun-MA-SBI-48</t>
  </si>
  <si>
    <t>R.Anand Krishna</t>
  </si>
  <si>
    <t>17-Jun-MA-SBI-49</t>
  </si>
  <si>
    <t>Rama Shanker</t>
  </si>
  <si>
    <t>17-Jun-MA-SBI-50</t>
  </si>
  <si>
    <t>Satyanarayana</t>
  </si>
  <si>
    <t>17-Jun-MA-SBI-51</t>
  </si>
  <si>
    <t>Nagaiah</t>
  </si>
  <si>
    <t>17-Jun-MA-SBI-52</t>
  </si>
  <si>
    <t>G.Vara Laxmi</t>
  </si>
  <si>
    <t>17-Jun-MA-SBI-53</t>
  </si>
  <si>
    <t>N.Niupama</t>
  </si>
  <si>
    <t>17-Jun-MA-SBI-54</t>
  </si>
  <si>
    <t>Rajeshwar Goud</t>
  </si>
  <si>
    <t>17-Jun-MA-SBI-55</t>
  </si>
  <si>
    <t>Sai Krishna Karthik</t>
  </si>
  <si>
    <t>17-Jun-MA-SBI-56</t>
  </si>
  <si>
    <t>Navarathu Bimal</t>
  </si>
  <si>
    <t>17-Jun-MA-SBI-57</t>
  </si>
  <si>
    <t>Jagan Mohan Reddy</t>
  </si>
  <si>
    <t>17-Jun-MA-SBI-58</t>
  </si>
  <si>
    <t>Radhika</t>
  </si>
  <si>
    <t>17-Jun-MA-SBI-59</t>
  </si>
  <si>
    <t>Ramki Villas</t>
  </si>
  <si>
    <t>17-Jun-MA-SBI-60</t>
  </si>
  <si>
    <t>A.Vinesh Raj</t>
  </si>
  <si>
    <t>17-Jun-MA-SBI-61</t>
  </si>
  <si>
    <t>K.U Konda Reddy</t>
  </si>
  <si>
    <t>17-Jun-MA-SBI-62</t>
  </si>
  <si>
    <t>17-Jun-MA-SBI-63</t>
  </si>
  <si>
    <t>Syed Yousuf</t>
  </si>
  <si>
    <t>17-Jun-MA-SBI-64</t>
  </si>
  <si>
    <t>Laxmi</t>
  </si>
  <si>
    <t>17-Jun-MA-SBI-65</t>
  </si>
  <si>
    <t>P.Padhma</t>
  </si>
  <si>
    <t>17-Jun-MA-SBI-66</t>
  </si>
  <si>
    <t>Sunitha Rathod</t>
  </si>
  <si>
    <t>shbad</t>
  </si>
  <si>
    <t>17-Jun-MA-SBI-67</t>
  </si>
  <si>
    <t>D.Rama Krishna</t>
  </si>
  <si>
    <t>17-Jun-MA-SBI-68</t>
  </si>
  <si>
    <t>She's Reddy</t>
  </si>
  <si>
    <t>17-Jun-MA-SBI-69</t>
  </si>
  <si>
    <t>Ramesh Chary</t>
  </si>
  <si>
    <t>17-Jun-MA-SBI-70</t>
  </si>
  <si>
    <t>17-Jun-MA-SBI-71</t>
  </si>
  <si>
    <t>Kalyan Nath</t>
  </si>
  <si>
    <t>17-Jun-MA-SBI-72</t>
  </si>
  <si>
    <t>C.Vijaya Mohan</t>
  </si>
  <si>
    <t>17-Jun-MA-SBI-73</t>
  </si>
  <si>
    <t>Narendranath Reddy</t>
  </si>
  <si>
    <t>17-Jun-MA-SBI-74</t>
  </si>
  <si>
    <t>Rama Devi</t>
  </si>
  <si>
    <t>17-Jun-MA-SBI-75</t>
  </si>
  <si>
    <t>17-Jun-MA-SBI-76</t>
  </si>
  <si>
    <t>Bala Raju Goud</t>
  </si>
  <si>
    <t>17-Jun-MA-SBI-77</t>
  </si>
  <si>
    <t>K.Purushotham Goud</t>
  </si>
  <si>
    <t>17-Jun-MA-SBI-78</t>
  </si>
  <si>
    <t>M.Sri Vijay</t>
  </si>
  <si>
    <t>17-Jun-MA-SBI-79</t>
  </si>
  <si>
    <t>Md.Abdul Sayyed</t>
  </si>
  <si>
    <t>17-Jun-MA-SBI-80</t>
  </si>
  <si>
    <t>B.Spandana</t>
  </si>
  <si>
    <t>17-Jun-MA-SBI-81</t>
  </si>
  <si>
    <t>17-Jun-MA-SBI-82</t>
  </si>
  <si>
    <t>Indan Singh</t>
  </si>
  <si>
    <t>17-Jun-MA-SBI-83</t>
  </si>
  <si>
    <t>R.Krishna Reddy</t>
  </si>
  <si>
    <t>17-Jun-MA-SBI-84</t>
  </si>
  <si>
    <t>V.Swarnalatha</t>
  </si>
  <si>
    <t>17-Jun-MA-SBI-85</t>
  </si>
  <si>
    <t>U.Pushpa Latha</t>
  </si>
  <si>
    <t>17-Jun-MA-SBI-86</t>
  </si>
  <si>
    <t>Sharath</t>
  </si>
  <si>
    <t>17-Jun-MA-SBI-87</t>
  </si>
  <si>
    <t>Hemla Naik</t>
  </si>
  <si>
    <t>17-Jun-MA-SBI-88</t>
  </si>
  <si>
    <t>Seetha Rama Raju</t>
  </si>
  <si>
    <t>17-Jun-MA-SBI-89</t>
  </si>
  <si>
    <t>Lavanya</t>
  </si>
  <si>
    <t>17-Jun-MA-SBI-90</t>
  </si>
  <si>
    <t>17-Jun-MA-SBI-91</t>
  </si>
  <si>
    <t>Malla Reddy</t>
  </si>
  <si>
    <t>17-Jun-MA-UBI-1</t>
  </si>
  <si>
    <t>C.Sai Ishwarya</t>
  </si>
  <si>
    <t>17-Jun-MA-UBI-2</t>
  </si>
  <si>
    <t>Kaleel</t>
  </si>
  <si>
    <t>17-Jun-MA-UBI-3</t>
  </si>
  <si>
    <t>Venkataiha</t>
  </si>
  <si>
    <t>17-Jun-MA-UBI-4</t>
  </si>
  <si>
    <t>17-Jun-MA-UBI-5</t>
  </si>
  <si>
    <t>Ramana Murthy</t>
  </si>
  <si>
    <t>17-Jun-MA-UBI-6</t>
  </si>
  <si>
    <t>Pabba Raju</t>
  </si>
  <si>
    <t>17-Jun-MA-UBI-7</t>
  </si>
  <si>
    <t>Surya Kumar</t>
  </si>
  <si>
    <t>17-Jun-MA-UBI-8</t>
  </si>
  <si>
    <t>C.Bal Raj</t>
  </si>
  <si>
    <t>17-Jun-MA-UBI-9</t>
  </si>
  <si>
    <t>Jawar Kishore</t>
  </si>
  <si>
    <t>17-Jun-MA-UBI-10</t>
  </si>
  <si>
    <t>B.Vishwanathan</t>
  </si>
  <si>
    <t>17-Jun-MA-UBI-11</t>
  </si>
  <si>
    <t>B.Rama Swamy</t>
  </si>
  <si>
    <t>17-Jun-MA-UBI-12</t>
  </si>
  <si>
    <t>T.Padmavathi</t>
  </si>
  <si>
    <t>17-Jun-MA-UBI-13</t>
  </si>
  <si>
    <t>G.Mallikarjun</t>
  </si>
  <si>
    <t>17-Jun-MA-UBI-14</t>
  </si>
  <si>
    <t>C.Sunil Babu</t>
  </si>
  <si>
    <t>17-Jun-MA-UBI-15</t>
  </si>
  <si>
    <t>V.Shardha Sai</t>
  </si>
  <si>
    <t>17-Jun-MA-UBI-16</t>
  </si>
  <si>
    <t>Syed Qayyum Hussain</t>
  </si>
  <si>
    <t>17-Jun-MA-UBI-17</t>
  </si>
  <si>
    <t>Swaroopa</t>
  </si>
  <si>
    <t>17-Jun-MA-UBI-18</t>
  </si>
  <si>
    <t>Karthik Reddy</t>
  </si>
  <si>
    <t>17-Jun-MA-UBI-19</t>
  </si>
  <si>
    <t>P.K.R</t>
  </si>
  <si>
    <t>17-Jun-MA-UBI-20</t>
  </si>
  <si>
    <t>Anand</t>
  </si>
  <si>
    <t>17-Jun-MA-UBI-21</t>
  </si>
  <si>
    <t>B.Mallesham</t>
  </si>
  <si>
    <t>17-Jun-MA-UBI-22</t>
  </si>
  <si>
    <t>M.K Yoga Raj</t>
  </si>
  <si>
    <t>17-Jun-MA-UBI-23</t>
  </si>
  <si>
    <t>17-Jun-MA-UBI-24</t>
  </si>
  <si>
    <t>Veerabadra Rao</t>
  </si>
  <si>
    <t>17-Jun-MA-UBI-25</t>
  </si>
  <si>
    <t>Mani V.Kumar</t>
  </si>
  <si>
    <t>17-Jun-MA-UBI-26</t>
  </si>
  <si>
    <t>R.Swetha</t>
  </si>
  <si>
    <t>17-Jun-MA-UBI-27</t>
  </si>
  <si>
    <t>G.Sulochana</t>
  </si>
  <si>
    <t>17-Jun-MA-UBI-28</t>
  </si>
  <si>
    <t>K.Subba Rao</t>
  </si>
  <si>
    <t>17-Jun-MA-UBI-29</t>
  </si>
  <si>
    <t>V.Chandra Shekar Reddy</t>
  </si>
  <si>
    <t>Gouliguda</t>
  </si>
  <si>
    <t>17-Jun-MA-UBI-30</t>
  </si>
  <si>
    <t>Hari Hara Prasad</t>
  </si>
  <si>
    <t>(Loan Point)Jubilee Hills</t>
  </si>
  <si>
    <t>17-Jun-MA-UBI-31</t>
  </si>
  <si>
    <t>Shilpa Reddy</t>
  </si>
  <si>
    <t>Loan Point(Lakdi Kapool)</t>
  </si>
  <si>
    <t>17-Jun-MA-UBI-32</t>
  </si>
  <si>
    <t>Vijaya Krishna Reddy</t>
  </si>
  <si>
    <t>17-Jun-MA-UBI-33</t>
  </si>
  <si>
    <t>17-Jun-MA-UBI-34</t>
  </si>
  <si>
    <t>Niveditha Reddy</t>
  </si>
  <si>
    <t>17-Jun-MA-UBI-35</t>
  </si>
  <si>
    <t>Rama Lingeshwar</t>
  </si>
  <si>
    <t>17-Jun-MA-UBI-36</t>
  </si>
  <si>
    <t>Abidullah</t>
  </si>
  <si>
    <t>17-Jun-MA-UBI-37</t>
  </si>
  <si>
    <t>K.Ramani Jyothi</t>
  </si>
  <si>
    <t>17-Jun-MA-UBI-38</t>
  </si>
  <si>
    <t>Sunil</t>
  </si>
  <si>
    <t>17-Jun-MA-UBI-39</t>
  </si>
  <si>
    <t>Govardhan</t>
  </si>
  <si>
    <t>17-Jun-MA-UBI-40</t>
  </si>
  <si>
    <t>C.Laxmi</t>
  </si>
  <si>
    <t>17-Jun-MA-UBI-41</t>
  </si>
  <si>
    <t>L.Hanumantha Reddy</t>
  </si>
  <si>
    <t>17-Jun-MA-UBI-42</t>
  </si>
  <si>
    <t>L.Sahithi</t>
  </si>
  <si>
    <t>17-Jun-MA-UBI-43</t>
  </si>
  <si>
    <t>Mothilal</t>
  </si>
  <si>
    <t>17-Jun-MA-UBI-44</t>
  </si>
  <si>
    <t>Naresh</t>
  </si>
  <si>
    <t>17-Jun-MA-UBI-45</t>
  </si>
  <si>
    <t>K.Raghu Ram</t>
  </si>
  <si>
    <t>17-Jun-MA-UBI-46</t>
  </si>
  <si>
    <t>Praveen Surya</t>
  </si>
  <si>
    <t>17-Jun-MA-UBI-47</t>
  </si>
  <si>
    <t>Jayanth Kumar</t>
  </si>
  <si>
    <t>17-Jun-MA-UBI-48</t>
  </si>
  <si>
    <t>Srilekha</t>
  </si>
  <si>
    <t>17-Jun-MA-UBI-49</t>
  </si>
  <si>
    <t>Raja Lingam</t>
  </si>
  <si>
    <t>17-Jun-MA-UBI-50</t>
  </si>
  <si>
    <t xml:space="preserve">Saraswathi </t>
  </si>
  <si>
    <t>17-Jun-MA-UBI-51</t>
  </si>
  <si>
    <t>S.Satish Kumar Goud</t>
  </si>
  <si>
    <t>17-Jun-MA-UBI-52</t>
  </si>
  <si>
    <t>H.Devi Goud</t>
  </si>
  <si>
    <t>17-Jun-MA-UBI-53</t>
  </si>
  <si>
    <t>Subramanya Suresh</t>
  </si>
  <si>
    <t>17-Jun-MA-UBI-54</t>
  </si>
  <si>
    <t>17-Jun-MA-UBI-55</t>
  </si>
  <si>
    <t>Panduranga</t>
  </si>
  <si>
    <t>17-Jun-MA-UBI-56</t>
  </si>
  <si>
    <t>N.Kiran Kumar</t>
  </si>
  <si>
    <t>17-Jun-MA-UBI-57</t>
  </si>
  <si>
    <t>B.Santosh</t>
  </si>
  <si>
    <t>17-Jun-MA-UBI-58</t>
  </si>
  <si>
    <t>M.Vishwaroopan</t>
  </si>
  <si>
    <t>17-Jun-MA-UBI-59</t>
  </si>
  <si>
    <t>S.Ram Babu</t>
  </si>
  <si>
    <t>17-Jun-MA-UBI-60</t>
  </si>
  <si>
    <t>N.Chamundeshwari</t>
  </si>
  <si>
    <t>St Road</t>
  </si>
  <si>
    <t>17-Jun-MA-UBI-61</t>
  </si>
  <si>
    <t>Sruthi Priya</t>
  </si>
  <si>
    <t>Lakdi Kapool</t>
  </si>
  <si>
    <t>17-Jun-MA-UBI-62</t>
  </si>
  <si>
    <t>Seetha Ram</t>
  </si>
  <si>
    <t>17-Jun-MA-UBI-63</t>
  </si>
  <si>
    <t>Ch.Vidya Sagar</t>
  </si>
  <si>
    <t>17-Jun-MA-UBI-64</t>
  </si>
  <si>
    <t>k.R Chandra Shekar</t>
  </si>
  <si>
    <t>17-Jun-MA-UBI-65</t>
  </si>
  <si>
    <t>17-Jun-MA-UBI-66</t>
  </si>
  <si>
    <t>Bharatha Padma</t>
  </si>
  <si>
    <t>17-Jun-MA-UBI-67</t>
  </si>
  <si>
    <t>K.Anil Kumar</t>
  </si>
  <si>
    <t>17-Jun-MA-UBI-68</t>
  </si>
  <si>
    <t>Gopi Srikanth</t>
  </si>
  <si>
    <t>Loan Pont</t>
  </si>
  <si>
    <t>17-Jun-MA-UBI-69</t>
  </si>
  <si>
    <t>Sampath Kumar</t>
  </si>
  <si>
    <t>St.Road</t>
  </si>
  <si>
    <t>17-Jun-MA-UBI-70</t>
  </si>
  <si>
    <t>Anitha</t>
  </si>
  <si>
    <t>17-Jun-MA-UBI-71</t>
  </si>
  <si>
    <t>17-Jun-MA-UBI-72</t>
  </si>
  <si>
    <t>Sanjeevi Reddy</t>
  </si>
  <si>
    <t>17-Jun-MA-UBI-73</t>
  </si>
  <si>
    <t>K.Rajender Kumar</t>
  </si>
  <si>
    <t>17-Jun-MA-UBI-74</t>
  </si>
  <si>
    <t>Radghevendra Rao</t>
  </si>
  <si>
    <t>17-Apr-MA-SBI-1</t>
  </si>
  <si>
    <t>Jaya Latha</t>
  </si>
  <si>
    <t>Naveen&amp; Mahesh</t>
  </si>
  <si>
    <t>17-Apr-MA-SBI-3</t>
  </si>
  <si>
    <t>17-Apr-MA-SBT-14</t>
  </si>
  <si>
    <t>T.Manikyamma</t>
  </si>
  <si>
    <t>17-Apr-MA-SBI-22</t>
  </si>
  <si>
    <t>K.Arun Teja</t>
  </si>
  <si>
    <t>17-Apr-MA-SBI-23</t>
  </si>
  <si>
    <t>Sri Satya Developers</t>
  </si>
  <si>
    <t>17-Apr-MA-SBI-25</t>
  </si>
  <si>
    <t>D.Damoder</t>
  </si>
  <si>
    <t>17-Apr-MA-SBI-26</t>
  </si>
  <si>
    <t>Gupta</t>
  </si>
  <si>
    <t>17-Apr-MA-SBI-27</t>
  </si>
  <si>
    <t>Adilakshmi</t>
  </si>
  <si>
    <t>17-Apr-MA-SBI-30</t>
  </si>
  <si>
    <t>G.Vinod Reddy</t>
  </si>
  <si>
    <t>17-Apr-MA-SBI-39</t>
  </si>
  <si>
    <t>Shirish Kumar</t>
  </si>
  <si>
    <t>17-Apr-MA-UBI-7</t>
  </si>
  <si>
    <t>Jagadeesh</t>
  </si>
  <si>
    <t>17-Apr-MA-UBI-16</t>
  </si>
  <si>
    <t>Mohan Krishna</t>
  </si>
  <si>
    <t>17-Apr-MA-UBI-17</t>
  </si>
  <si>
    <t>Narender</t>
  </si>
  <si>
    <t>17-Apr-MA-UBI-19</t>
  </si>
  <si>
    <t>17-Apr-MA-UBI-21</t>
  </si>
  <si>
    <t>K.Nagarathna</t>
  </si>
  <si>
    <t>17-Apr-MA-UBI-22</t>
  </si>
  <si>
    <t>Jyothirmai</t>
  </si>
  <si>
    <t>17-Apr-MA-UBI-26</t>
  </si>
  <si>
    <t>Venu Gopal</t>
  </si>
  <si>
    <t>17-Apr-MA-UBI-27</t>
  </si>
  <si>
    <t>M.Narsimha Rao</t>
  </si>
  <si>
    <t>17-Apr-MA-UBI-40</t>
  </si>
  <si>
    <t>Prasad</t>
  </si>
  <si>
    <t>17-Apr-MA-UBI-48</t>
  </si>
  <si>
    <t>A.R Constructions</t>
  </si>
  <si>
    <t>17-Apr-MA-UBI-49</t>
  </si>
  <si>
    <t>C.Mamatha</t>
  </si>
  <si>
    <t>17-Apr-MA-UBI-52</t>
  </si>
  <si>
    <t>Dr Kumara Swamy</t>
  </si>
  <si>
    <t>17-Apr-MA-UBI-62</t>
  </si>
  <si>
    <t>Indra Jeet Singh</t>
  </si>
  <si>
    <t>17-Apr-MA-UBI-63</t>
  </si>
  <si>
    <t>Amrik Furniture Ltd</t>
  </si>
  <si>
    <t>17-Apr-MA-AXI-501</t>
  </si>
  <si>
    <t>Kalpesh Bandari</t>
  </si>
  <si>
    <t>17-Apr-MA-AXI-502</t>
  </si>
  <si>
    <t>Ch.Veera Raghavulu</t>
  </si>
  <si>
    <t>17-Apr-MA-AXI-506</t>
  </si>
  <si>
    <t>V.Padmaja</t>
  </si>
  <si>
    <t>17-Apr-MA-AXI-507</t>
  </si>
  <si>
    <t>Rakesh Jain</t>
  </si>
  <si>
    <t>17-Apr-MA-AXI-508</t>
  </si>
  <si>
    <t>D.Madhava Ramesh</t>
  </si>
  <si>
    <t>17-Apr-MA-AXI-509</t>
  </si>
  <si>
    <t>17-Apr-MA-AXI-510</t>
  </si>
  <si>
    <t>Sri Rama Metal Industries</t>
  </si>
  <si>
    <t>17-Apr-MA-AXI-511</t>
  </si>
  <si>
    <t>Lakshmi Chowdari</t>
  </si>
  <si>
    <t>17-Apr-MA-AXI-512</t>
  </si>
  <si>
    <t>17-Apr-MA-AXI-513</t>
  </si>
  <si>
    <t>K.S.R.K Prasad</t>
  </si>
  <si>
    <t>17-Apr-MA-AXI-514</t>
  </si>
  <si>
    <t>E.Malini</t>
  </si>
  <si>
    <t>17-Apr-MA-AXI-515</t>
  </si>
  <si>
    <t>K.Krishna Prasad</t>
  </si>
  <si>
    <t>17-May-MA-SBI-1</t>
  </si>
  <si>
    <t>Anand Rao</t>
  </si>
  <si>
    <t>17-May-MA-SBI-4</t>
  </si>
  <si>
    <t>Meena Niranjan</t>
  </si>
  <si>
    <t>17-May-MA-SBI-5</t>
  </si>
  <si>
    <t>Nirajan</t>
  </si>
  <si>
    <t>17-May-MA-SBI-8A</t>
  </si>
  <si>
    <t>Rakesh Tiwari</t>
  </si>
  <si>
    <t>17-May-MA-SBI-9</t>
  </si>
  <si>
    <t>Kumar Dash</t>
  </si>
  <si>
    <t>17-May-MA-SBI-11A</t>
  </si>
  <si>
    <t>Bhaskaran</t>
  </si>
  <si>
    <t>17-May-MA-SBI-13</t>
  </si>
  <si>
    <t>G.Lal Reddy</t>
  </si>
  <si>
    <t>17-May-MA-SBM-16</t>
  </si>
  <si>
    <t>Christo Phen Mart</t>
  </si>
  <si>
    <t>17-May-MA-SBI-23</t>
  </si>
  <si>
    <t>B.Ravi Chandra</t>
  </si>
  <si>
    <t>17-May-MA-SBI-24</t>
  </si>
  <si>
    <t>Linns Construction Pvt Ltd</t>
  </si>
  <si>
    <t>17-May-MA-SBI-25</t>
  </si>
  <si>
    <t>T.Venkata Laxmi</t>
  </si>
  <si>
    <t>17-May-MA-SBI-26</t>
  </si>
  <si>
    <t>G.Shankar Goud</t>
  </si>
  <si>
    <t>17-May-MA-SBI-27</t>
  </si>
  <si>
    <t>Buma Lingam</t>
  </si>
  <si>
    <t>17-May-MA-SBI-28</t>
  </si>
  <si>
    <t>Suguna Bai</t>
  </si>
  <si>
    <t>17-May-MA-SBI-29</t>
  </si>
  <si>
    <t>Raghupathi Reddy</t>
  </si>
  <si>
    <t>17-May-MA-SBI-30</t>
  </si>
  <si>
    <t>P.Venkata Narayana</t>
  </si>
  <si>
    <t>17-May-MA-SBI-39</t>
  </si>
  <si>
    <t>Ch.Gopaiah</t>
  </si>
  <si>
    <t>17-May-MA-SBI-40</t>
  </si>
  <si>
    <t>Raj Kumar</t>
  </si>
  <si>
    <t>17-May-MA-SBI-41A</t>
  </si>
  <si>
    <t>N.Srinivas</t>
  </si>
  <si>
    <t>17-May-MA-SBI-42</t>
  </si>
  <si>
    <t>Bala Murugan</t>
  </si>
  <si>
    <t>17-May-MA-SBI-46</t>
  </si>
  <si>
    <t>T.K.S Venkateshwarlu</t>
  </si>
  <si>
    <t>STAFF(NO-BILL)</t>
  </si>
  <si>
    <t>17-May-MA-SBI-47</t>
  </si>
  <si>
    <t>Manipal Reddy</t>
  </si>
  <si>
    <t>17-May-MA-SBI-48</t>
  </si>
  <si>
    <t>Bharathi</t>
  </si>
  <si>
    <t>17-May-MA-SBI-51</t>
  </si>
  <si>
    <t>D.Rajitha</t>
  </si>
  <si>
    <t>17-May-MA-SBI-52</t>
  </si>
  <si>
    <t>S.Nagalaxmi</t>
  </si>
  <si>
    <t>17-May-MA-SBI-54A</t>
  </si>
  <si>
    <t>Raju</t>
  </si>
  <si>
    <t>OSF-Shi**</t>
  </si>
  <si>
    <t>17-May-MA-SBI-55A</t>
  </si>
  <si>
    <t>Gajendra</t>
  </si>
  <si>
    <t>Lothkunta</t>
  </si>
  <si>
    <t>17-May-MA-SBI-59A</t>
  </si>
  <si>
    <t>Subhadra</t>
  </si>
  <si>
    <t>17-May-MA-SBT-61</t>
  </si>
  <si>
    <t>Dhanraj</t>
  </si>
  <si>
    <t>17-May-MA-SBI-62</t>
  </si>
  <si>
    <t>V.Satyanvesh</t>
  </si>
  <si>
    <t>17-May-MA-SBI-63</t>
  </si>
  <si>
    <t>A.Amarnath Rao</t>
  </si>
  <si>
    <t>Macha bollaram</t>
  </si>
  <si>
    <t>17-May-MA-SBI-64A</t>
  </si>
  <si>
    <t>Sree nadham</t>
  </si>
  <si>
    <t>17-May-MA-SBM-66</t>
  </si>
  <si>
    <t>Dayanand Rao</t>
  </si>
  <si>
    <t>17-May-MA-SBI-67</t>
  </si>
  <si>
    <t>Jyot shana kumari</t>
  </si>
  <si>
    <t>17-May-MA-SBI-68</t>
  </si>
  <si>
    <t>Chakilam.Srinivas</t>
  </si>
  <si>
    <t>17-May-MA-SBI-69</t>
  </si>
  <si>
    <t>Arehana</t>
  </si>
  <si>
    <t>17-May-MA-SBI-70</t>
  </si>
  <si>
    <t>K.Jayaram reddy</t>
  </si>
  <si>
    <t>17-May-MA-UBI-8A</t>
  </si>
  <si>
    <t>Urmila</t>
  </si>
  <si>
    <t>17-May-MA-UBI-15</t>
  </si>
  <si>
    <t>K.Ramani</t>
  </si>
  <si>
    <t>17-May-MA-UBI-19</t>
  </si>
  <si>
    <t>G.Vijaya Kumar</t>
  </si>
  <si>
    <t>17-May-MA-UBI-22</t>
  </si>
  <si>
    <t>Ravindra</t>
  </si>
  <si>
    <t>17-May-MA-UBI-23</t>
  </si>
  <si>
    <t>T.Raghu</t>
  </si>
  <si>
    <t>17-May-MA-UBI-27</t>
  </si>
  <si>
    <t>Krishna Kumari</t>
  </si>
  <si>
    <t>17-May-MA-UBI-34</t>
  </si>
  <si>
    <t>17-May-MA-UBI-35</t>
  </si>
  <si>
    <t>K.Shravan Kumar</t>
  </si>
  <si>
    <t>17-May-MA-UBI-36A</t>
  </si>
  <si>
    <t>Sai Baba</t>
  </si>
  <si>
    <t>17-May-MA-UBI-38A</t>
  </si>
  <si>
    <t>Suguna Chary</t>
  </si>
  <si>
    <t>17-May-MA-UBI-39</t>
  </si>
  <si>
    <t>Naaz Praveen</t>
  </si>
  <si>
    <t>17-May-MA-UBI-42A</t>
  </si>
  <si>
    <t>K.Mallikarjuna Rao</t>
  </si>
  <si>
    <t>17-May-MA-UBI-43A</t>
  </si>
  <si>
    <t>K.Yashoda</t>
  </si>
  <si>
    <t>17-May-MA-UBI-44A</t>
  </si>
  <si>
    <t>Vijaya Lakshmi</t>
  </si>
  <si>
    <t>17-May-MA-UBI-45A</t>
  </si>
  <si>
    <t>N.K.K Prasad</t>
  </si>
  <si>
    <t>17-May-MA-UBI-46A</t>
  </si>
  <si>
    <t>Madhava Rao</t>
  </si>
  <si>
    <t>17-May-MA-UBI-47A</t>
  </si>
  <si>
    <t>17-May-MA-UBI-48</t>
  </si>
  <si>
    <t>G.Nikitha</t>
  </si>
  <si>
    <t>17-May-MA-UBI-49</t>
  </si>
  <si>
    <t>Laxmi Gandra</t>
  </si>
  <si>
    <t>17-May-MA-UBI-51A</t>
  </si>
  <si>
    <t>Bujji</t>
  </si>
  <si>
    <t>17-May-MA-UBI-52A</t>
  </si>
  <si>
    <t>B.Sri Sailam</t>
  </si>
  <si>
    <t>17-May-MA-UBI-53</t>
  </si>
  <si>
    <t>Madhusudan</t>
  </si>
  <si>
    <t>17-May-MA-UBI-55</t>
  </si>
  <si>
    <t>Sanjeeva Reddy</t>
  </si>
  <si>
    <t>17-May-MA-UBI-56</t>
  </si>
  <si>
    <t>S.Shilpa</t>
  </si>
  <si>
    <t>17-May-MA-UBI-61A</t>
  </si>
  <si>
    <t>Maher Rakesh</t>
  </si>
  <si>
    <t>17-May-MA-UBI-62</t>
  </si>
  <si>
    <t>Rajendra Prasad</t>
  </si>
  <si>
    <t>17-May-MA-UBI-63A</t>
  </si>
  <si>
    <t>Rameh</t>
  </si>
  <si>
    <t>17-May-MA-UBI-64</t>
  </si>
  <si>
    <t>Manoj Kumar Jaswal</t>
  </si>
  <si>
    <t>17-May-MA-UBI-65</t>
  </si>
  <si>
    <t>Sudhakar</t>
  </si>
  <si>
    <t>17-May-MA-UBI-66</t>
  </si>
  <si>
    <t>Satyanaraya Rao</t>
  </si>
  <si>
    <t>17-May-MA-UBI-67A</t>
  </si>
  <si>
    <t>17-May-MA-AXI-519</t>
  </si>
  <si>
    <t>Tirupathi Reddy</t>
  </si>
  <si>
    <t>17-May-MA-AXI-520</t>
  </si>
  <si>
    <t>V.V Rajendra Prasad</t>
  </si>
  <si>
    <t>Satya Prakash</t>
  </si>
  <si>
    <t>17-May-MA-AXI-521</t>
  </si>
  <si>
    <t>Creative Organics</t>
  </si>
  <si>
    <t>Manish</t>
  </si>
  <si>
    <t>17-May-MA-AXI-522</t>
  </si>
  <si>
    <t>K.Rami Reddy</t>
  </si>
  <si>
    <t>17-May-MA-AXI-523</t>
  </si>
  <si>
    <t>K.Mamatha</t>
  </si>
  <si>
    <t>17-May-MA-AXI-524</t>
  </si>
  <si>
    <t>17-May-MA-AXI-525</t>
  </si>
  <si>
    <t>Archean Marbles</t>
  </si>
  <si>
    <t>17-May-MA-AXI-526</t>
  </si>
  <si>
    <t>Vinay Bandari</t>
  </si>
  <si>
    <t>17-May-MA-AXI-527</t>
  </si>
  <si>
    <t>Padmaja</t>
  </si>
  <si>
    <t>17-May-MA-AXI-530</t>
  </si>
  <si>
    <t>Sanjay Agarwal</t>
  </si>
  <si>
    <t>Nagarjuna</t>
  </si>
  <si>
    <t>17-May-MA-AXI-531</t>
  </si>
  <si>
    <t>Bhaskar Agro Chemicals</t>
  </si>
  <si>
    <t>Shailaja</t>
  </si>
  <si>
    <t>17-May-MA-AXI-532</t>
  </si>
  <si>
    <t>Anand Jambholkar</t>
  </si>
  <si>
    <t>17-May-MA-AXI-533</t>
  </si>
  <si>
    <t>17-May-MA-AXI-534</t>
  </si>
  <si>
    <t>17-May-MA-AXI-535</t>
  </si>
  <si>
    <t>17-May-MA-AXI-536</t>
  </si>
  <si>
    <t>Madhavi</t>
  </si>
  <si>
    <t>16-Jul-PR-BOI-12</t>
  </si>
  <si>
    <t>Anuradha Vanamali</t>
  </si>
  <si>
    <t>16-Oct-PR-BOI-7</t>
  </si>
  <si>
    <t>Ashish</t>
  </si>
  <si>
    <t>KPHB</t>
  </si>
  <si>
    <t>16-Nov-PR-BOI-2</t>
  </si>
  <si>
    <t>One City(Incore Constructions)</t>
  </si>
  <si>
    <t>17-Jan-PR-BOI-1</t>
  </si>
  <si>
    <t>Vishwateja Enterprises</t>
  </si>
  <si>
    <t>17-Jan-PR-BOI-3</t>
  </si>
  <si>
    <t>Prestaige High Field</t>
  </si>
  <si>
    <t>17-Feb-PR-BOI-1</t>
  </si>
  <si>
    <t>17-Apr-PR-BOI-2</t>
  </si>
  <si>
    <t>Abdul Samad</t>
  </si>
  <si>
    <t>L.B.Nagar</t>
  </si>
  <si>
    <t>17-Apr-PR-BOI-4</t>
  </si>
  <si>
    <t>Thirupathaiah</t>
  </si>
  <si>
    <t>17-May-PR-BOI-1</t>
  </si>
  <si>
    <t>17-May-PR-BOI-2</t>
  </si>
  <si>
    <t>B.Satyam</t>
  </si>
  <si>
    <t>17-May-PR-BOI-4</t>
  </si>
  <si>
    <t>Raghavulu</t>
  </si>
  <si>
    <t>17-May-PR-BOI-6</t>
  </si>
  <si>
    <t>Rudra Sree Housing Pvt Ltd</t>
  </si>
  <si>
    <t>17-Jun-PR-BOI-1</t>
  </si>
  <si>
    <t>Soma Shekar</t>
  </si>
  <si>
    <t>17-Jun-PR-BOI-2</t>
  </si>
  <si>
    <t>17-Jun-PR-BOI-3</t>
  </si>
  <si>
    <t>17-Jun-PR-BOI-4</t>
  </si>
  <si>
    <t>17-Jun-PR-BOI-5</t>
  </si>
  <si>
    <t>Ch.Venkateshwarlu</t>
  </si>
  <si>
    <t>17-Jun-PR-BOI-6</t>
  </si>
  <si>
    <t>K.Rehamma</t>
  </si>
  <si>
    <t>17-Jun-PR-BOI-7</t>
  </si>
  <si>
    <t>K.Kavitha</t>
  </si>
  <si>
    <t>17-Jun-PR-BOI-8</t>
  </si>
  <si>
    <t>Krishna Veni</t>
  </si>
  <si>
    <t>17-Jun-PR-SBI-1A</t>
  </si>
  <si>
    <t>B.Gopal Reddy</t>
  </si>
  <si>
    <t>17-Jun-PR-SBI-2</t>
  </si>
  <si>
    <t>Dheeravath Naga</t>
  </si>
  <si>
    <t>17-Jun-PR-SBI-3A</t>
  </si>
  <si>
    <t>V.Bala Nageshwar Rao</t>
  </si>
  <si>
    <t>17-Jun-PR-SBI-4A</t>
  </si>
  <si>
    <t>K.Mahender Reddy</t>
  </si>
  <si>
    <t>17-Jun-PR-SBI-5A</t>
  </si>
  <si>
    <t>S.Venkat Reddy</t>
  </si>
  <si>
    <t>17-Jun-PR-SBI-6</t>
  </si>
  <si>
    <t>Srinivas Rao</t>
  </si>
  <si>
    <t>17-Jun-PR-SBI-7</t>
  </si>
  <si>
    <t>G.Lalitha</t>
  </si>
  <si>
    <t>17-Jun-PR-SBI-8</t>
  </si>
  <si>
    <t>D.Ganesh</t>
  </si>
  <si>
    <t>17-Jun-PR-SBI-9</t>
  </si>
  <si>
    <t>K.Vijaya Lakshmi</t>
  </si>
  <si>
    <t>17-Jun-PR-SBI-10</t>
  </si>
  <si>
    <t>J.Kanakaiah</t>
  </si>
  <si>
    <t>17-Jun-PR-SBI-11</t>
  </si>
  <si>
    <t>T.Geetha</t>
  </si>
  <si>
    <t>17-Jun-PR-SBI-12</t>
  </si>
  <si>
    <t>17-Jun-PR-SBI-13</t>
  </si>
  <si>
    <t xml:space="preserve">Narender </t>
  </si>
  <si>
    <t>17-Jun-PR-SBI-14</t>
  </si>
  <si>
    <t>C.Venkateshwarlu</t>
  </si>
  <si>
    <t>17-Jun-PR-SBI-15</t>
  </si>
  <si>
    <t>Mohan Rao</t>
  </si>
  <si>
    <t>17-Jun-PR-SBI-16</t>
  </si>
  <si>
    <t>Krishna Kumar</t>
  </si>
  <si>
    <t>17-Jun-PR-SBI-17</t>
  </si>
  <si>
    <t>17-Jun-PR-SBI-18</t>
  </si>
  <si>
    <t>C.Rama Chandraiah</t>
  </si>
  <si>
    <t>LB Nagar</t>
  </si>
  <si>
    <t>17-Jun-PR-SBI-19</t>
  </si>
  <si>
    <t>K.Hari Kumar</t>
  </si>
  <si>
    <t>17-Jun-PR-SBI-20</t>
  </si>
  <si>
    <t>M.Srinivasa Rao</t>
  </si>
  <si>
    <t>17-Jun-PR-SBI-21</t>
  </si>
  <si>
    <t>Yuvaraj Singh</t>
  </si>
  <si>
    <t>17-Jun-PR-SBI-22</t>
  </si>
  <si>
    <t>17-Jun-PR-SBI-23</t>
  </si>
  <si>
    <t>S.Srikanth</t>
  </si>
  <si>
    <t>17-Jun-PR-SBI-24</t>
  </si>
  <si>
    <t>Nitya Rama Chandran</t>
  </si>
  <si>
    <t>17-Jun-PR-SBI-25</t>
  </si>
  <si>
    <t>17-Jun-PR-SBI-26</t>
  </si>
  <si>
    <t>S.Ruthu</t>
  </si>
  <si>
    <t>17-Jun-PR-SBI-27</t>
  </si>
  <si>
    <t>Sathish Reddy</t>
  </si>
  <si>
    <t>17-Jun-PR-SBI-28</t>
  </si>
  <si>
    <t>A.Uma Rani</t>
  </si>
  <si>
    <t>17-Jun-PR-SBI-29</t>
  </si>
  <si>
    <t>K.Dhamodar</t>
  </si>
  <si>
    <t>17-Jun-PR-SBI-30</t>
  </si>
  <si>
    <t>Jagannadh</t>
  </si>
  <si>
    <t>17-Jun-PR-SBI-31</t>
  </si>
  <si>
    <t>K.Manikappa</t>
  </si>
  <si>
    <t>17-Jun-PR-SBI-32</t>
  </si>
  <si>
    <t>Pushpa Latha</t>
  </si>
  <si>
    <t>17-Jun-PR-SBI-33</t>
  </si>
  <si>
    <t>K.Krishna Varma</t>
  </si>
  <si>
    <t>17-Jun-PR-SBI-34</t>
  </si>
  <si>
    <t>Sridhar</t>
  </si>
  <si>
    <t>17-Jun-PR-SBI-35</t>
  </si>
  <si>
    <t>Sri Rm Ramakrishna</t>
  </si>
  <si>
    <t>17-Jun-PR-SBI-36</t>
  </si>
  <si>
    <t>17-Jun-PR-SBI-37</t>
  </si>
  <si>
    <t>Shiva Sai Karthik</t>
  </si>
  <si>
    <t>17-Jun-PR-SBI-38</t>
  </si>
  <si>
    <t>P.Raja Shree</t>
  </si>
  <si>
    <t>17-Jun-PR-SBI-39</t>
  </si>
  <si>
    <t>Rajesh</t>
  </si>
  <si>
    <t>17-Jun-PR-SBI-40</t>
  </si>
  <si>
    <t>17-Jun-PR-SBI-41</t>
  </si>
  <si>
    <t>Isaac &amp; Monica</t>
  </si>
  <si>
    <t>17-Jun-PR-SBI-42</t>
  </si>
  <si>
    <t>Kavitha Goel</t>
  </si>
  <si>
    <t>17-Jun-PR-SBI-43</t>
  </si>
  <si>
    <t>Azmeera Silma Naik</t>
  </si>
  <si>
    <t>17-Jun-PR-SBI-44</t>
  </si>
  <si>
    <t>Janaki Rama Raju</t>
  </si>
  <si>
    <t>Kaveri Hills</t>
  </si>
  <si>
    <t>17-Jun-PR-SBI-45</t>
  </si>
  <si>
    <t>B.Laxmi Narsimha Rao</t>
  </si>
  <si>
    <t>17-Jun-PR-SBI-46</t>
  </si>
  <si>
    <t>Devi Swayam Jyothi</t>
  </si>
  <si>
    <t>17-Jun-PR-SBI-47</t>
  </si>
  <si>
    <t>S.Leelavathi</t>
  </si>
  <si>
    <t>17-Jun-PR-SBI-48</t>
  </si>
  <si>
    <t>B.Laxmi Narayana</t>
  </si>
  <si>
    <t>17-Jun-PR-SBI-49</t>
  </si>
  <si>
    <t>Janaiah</t>
  </si>
  <si>
    <t>17-Jun-PR-SBI-50</t>
  </si>
  <si>
    <t>V.Ativalamma</t>
  </si>
  <si>
    <t>17-Jun-PR-SBI-51</t>
  </si>
  <si>
    <t>LVRS Pavan Kumar</t>
  </si>
  <si>
    <t>17-Jun-PR-SBI-52</t>
  </si>
  <si>
    <t>17-Jun-PR-SBI-53</t>
  </si>
  <si>
    <t>M.Durga Adi Lakshmi</t>
  </si>
  <si>
    <t>17-Jun-PR-SBI-54</t>
  </si>
  <si>
    <t>P.Naveen Kumar</t>
  </si>
  <si>
    <t>17-Jun-PR-SBI-55</t>
  </si>
  <si>
    <t>S.Venu Gopal</t>
  </si>
  <si>
    <t>Siripuram</t>
  </si>
  <si>
    <t>Timurthy</t>
  </si>
  <si>
    <t>17-Jun-PR-SBI-56</t>
  </si>
  <si>
    <t>R.Srinath</t>
  </si>
  <si>
    <t>17-Jun-PR-SBI-57</t>
  </si>
  <si>
    <t>Anuragam-A</t>
  </si>
  <si>
    <t>17-Jun-PR-SBI-58</t>
  </si>
  <si>
    <t>ANuragam-B</t>
  </si>
  <si>
    <t>17-Jun-PR-SBI-59</t>
  </si>
  <si>
    <t>G.J Venkata Sathya Chandra Kumar</t>
  </si>
  <si>
    <t>Tirumurthy</t>
  </si>
  <si>
    <t>17-Jun-PR-SBI-60</t>
  </si>
  <si>
    <t>S.Niranjan</t>
  </si>
  <si>
    <t>17-Jun-PR-SBI-61</t>
  </si>
  <si>
    <t>Ganga Devi</t>
  </si>
  <si>
    <t>17-Jun-PR-SBI-62</t>
  </si>
  <si>
    <t xml:space="preserve">Praveen </t>
  </si>
  <si>
    <t>17-Jun-PR-SBI-63</t>
  </si>
  <si>
    <t>Medha</t>
  </si>
  <si>
    <t>17-Jun-PR-SBI-64</t>
  </si>
  <si>
    <t>Y.Bala Subramanyam</t>
  </si>
  <si>
    <t>17-Jun-PR-SBI-65</t>
  </si>
  <si>
    <t>Monica</t>
  </si>
  <si>
    <t>17-Jun-PR-SBI-66</t>
  </si>
  <si>
    <t>T.Ram Gopal</t>
  </si>
  <si>
    <t>17-Jun-PR-SBI-67</t>
  </si>
  <si>
    <t>Prabha Mehta</t>
  </si>
  <si>
    <t>17-Jun-PR-SBI-68</t>
  </si>
  <si>
    <t>J.Nagendra Raj</t>
  </si>
  <si>
    <t>17-Jun-PR-SBI-69</t>
  </si>
  <si>
    <t>Venkateshwar Reddy</t>
  </si>
  <si>
    <t>17-Jun-PR-SBI-70</t>
  </si>
  <si>
    <t>P.Subba Rao</t>
  </si>
  <si>
    <t>17-Jun-PR-SBI-71</t>
  </si>
  <si>
    <t>17-Jun-PR-SBI-72</t>
  </si>
  <si>
    <t>Mayur Bannia</t>
  </si>
  <si>
    <t>17-Jun-PR-SBI-73</t>
  </si>
  <si>
    <t>Y.Govind Rao</t>
  </si>
  <si>
    <t>17-Jun-PR-SBI-74</t>
  </si>
  <si>
    <t>Sarojini Ramavath</t>
  </si>
  <si>
    <t>17-Jun-PR-SBI-75</t>
  </si>
  <si>
    <t>A.Padmavathi</t>
  </si>
  <si>
    <t>Amberpet(RACPC--3)</t>
  </si>
  <si>
    <t>17-Jun-PR-SBI-76</t>
  </si>
  <si>
    <t>V.Kamakshi</t>
  </si>
  <si>
    <t>17-Jun-PR-SBI-77</t>
  </si>
  <si>
    <t>S.Vinay Chandra Dev Kumar</t>
  </si>
  <si>
    <t>17-Jun-PR-SBI-78</t>
  </si>
  <si>
    <t>Y.Laitha Poorna</t>
  </si>
  <si>
    <t>17-Jun-PR-SBI-79</t>
  </si>
  <si>
    <t>Badri Rama Rao</t>
  </si>
  <si>
    <t>17-Jun-PR-SBI-80</t>
  </si>
  <si>
    <t>K.Nagender Reddy</t>
  </si>
  <si>
    <t>17-Jun-PR-SBI-81</t>
  </si>
  <si>
    <t>G.Krishna Reddy</t>
  </si>
  <si>
    <t>17-Jun-PR-SBI-82</t>
  </si>
  <si>
    <t>E.Rama Krishna</t>
  </si>
  <si>
    <t>17-Jun-PR-SBI-83</t>
  </si>
  <si>
    <t>Varala Balaji Vijaya</t>
  </si>
  <si>
    <t>17-Jun-PR-SBI-84</t>
  </si>
  <si>
    <t>K.Saraswathi Bai</t>
  </si>
  <si>
    <t>17-Jun-PR-SBI-85</t>
  </si>
  <si>
    <t>L.U Karthikeya</t>
  </si>
  <si>
    <t>17-Jun-PR-SBI-86</t>
  </si>
  <si>
    <t>Manjula</t>
  </si>
  <si>
    <t>17-Jun-PR-SBI-87</t>
  </si>
  <si>
    <t>G.Shalini Rao</t>
  </si>
  <si>
    <t>17-Jun-PR-SBI-88</t>
  </si>
  <si>
    <t>Girish Shetty</t>
  </si>
  <si>
    <t>17-Jun-PR-SBI-89</t>
  </si>
  <si>
    <t>T.Komaraiah</t>
  </si>
  <si>
    <t>17-Jun-PR-SBI-1B</t>
  </si>
  <si>
    <t>17-Jun-PR-SBI-3B</t>
  </si>
  <si>
    <t>17-Jun-PR-SBI-4B</t>
  </si>
  <si>
    <t>Neerati Philip(31-Jan)</t>
  </si>
  <si>
    <t>17-Jun-PR-SBI-5B</t>
  </si>
  <si>
    <t>Bella Savla(VISA)</t>
  </si>
  <si>
    <t>16-Nov-PR-SBI-11</t>
  </si>
  <si>
    <t>J.A Avanthi</t>
  </si>
  <si>
    <t>16-Nov-PR-SBI-13</t>
  </si>
  <si>
    <t>C.Abhinaya</t>
  </si>
  <si>
    <t>16-Dec-PR-SBI-30</t>
  </si>
  <si>
    <t>V.Krishna Kumari</t>
  </si>
  <si>
    <t>17-Jan-PR-SBI-20</t>
  </si>
  <si>
    <t>Sandhya Rani</t>
  </si>
  <si>
    <t>17-Jan-PR-SBI-32</t>
  </si>
  <si>
    <t>S.Kalamma(Mahesh)</t>
  </si>
  <si>
    <t>17-Jan-PR-SBI-33</t>
  </si>
  <si>
    <t>Madhava Reddy</t>
  </si>
  <si>
    <t>17-Jan-PR-SBI-34</t>
  </si>
  <si>
    <t>Pallavi Venkataiah</t>
  </si>
  <si>
    <t>17-Jan-PR-SBI-35</t>
  </si>
  <si>
    <t>Mahender(Anil)</t>
  </si>
  <si>
    <t>17-Jan-PR-SBI-42</t>
  </si>
  <si>
    <t>M.V Raja Shekar</t>
  </si>
  <si>
    <t>17-Jan-PR-SBI-47</t>
  </si>
  <si>
    <t>Vankati babu</t>
  </si>
  <si>
    <t>17-Jan-PR-SBI-48</t>
  </si>
  <si>
    <t>Kondal  Reddy</t>
  </si>
  <si>
    <t>17-Feb-PR-SBI-17</t>
  </si>
  <si>
    <t>C.Sridevi</t>
  </si>
  <si>
    <t>17-Feb-PR-SBI-25</t>
  </si>
  <si>
    <t>Vasantha Rama Krishna</t>
  </si>
  <si>
    <t>17-Feb-PR-SBI-26</t>
  </si>
  <si>
    <t>17-Feb-PR-SBI-27</t>
  </si>
  <si>
    <t>Sham Sunder Reddy</t>
  </si>
  <si>
    <t>17-Feb-PR-SBI-30</t>
  </si>
  <si>
    <t>A.Padma Latha</t>
  </si>
  <si>
    <t>17-Feb-PR-SBI-32</t>
  </si>
  <si>
    <t>G.K Ratnam</t>
  </si>
  <si>
    <t>17-Feb-PR-SBI-36</t>
  </si>
  <si>
    <t>Koti Main</t>
  </si>
  <si>
    <t>17-Feb-PR-SBI-42</t>
  </si>
  <si>
    <t>T.Venkaiah</t>
  </si>
  <si>
    <t>17-Feb-PR-SBI-52</t>
  </si>
  <si>
    <t>A.Venkateshwarlu</t>
  </si>
  <si>
    <t>17-Feb-PR-SBI-54</t>
  </si>
  <si>
    <t>P.Jaipal Reddy</t>
  </si>
  <si>
    <t>17-Feb-PR-SBI-55</t>
  </si>
  <si>
    <t>J.Raju</t>
  </si>
  <si>
    <t>17-Feb-PR-SBI-56</t>
  </si>
  <si>
    <t>Thakur Dinesh Singh</t>
  </si>
  <si>
    <t>17-Mar-PR-SBI-3</t>
  </si>
  <si>
    <t xml:space="preserve">Venkatesh </t>
  </si>
  <si>
    <t>17-Mar-PR-SBI-6</t>
  </si>
  <si>
    <t>Kondal Reddy</t>
  </si>
  <si>
    <t>17-Mar-PR-SBI-8</t>
  </si>
  <si>
    <t>Bhaskar (Surender)</t>
  </si>
  <si>
    <t>17-Mar-PR-SBI-10</t>
  </si>
  <si>
    <t>P.Gopi Krishna</t>
  </si>
  <si>
    <t>17-Mar-PR-SBI-16</t>
  </si>
  <si>
    <t>Y.Venkat Reddy</t>
  </si>
  <si>
    <t>17-Mar-PR-SBI-18</t>
  </si>
  <si>
    <t>Vanam Mamatha</t>
  </si>
  <si>
    <t>17-Mar-PR-SBI-21</t>
  </si>
  <si>
    <t>17-Mar-PR-SBI-23</t>
  </si>
  <si>
    <t>K.Lakshmi &amp; Satish</t>
  </si>
  <si>
    <t>17-Mar-PR-SBI-24</t>
  </si>
  <si>
    <t>J.Sri Lakshmi</t>
  </si>
  <si>
    <t>17-Mar-PR-SBI-28</t>
  </si>
  <si>
    <t>Padma Latha Lavanya</t>
  </si>
  <si>
    <t>17-Mar-PR-SBI-31</t>
  </si>
  <si>
    <t>K.Bennaiah</t>
  </si>
  <si>
    <t>17-Mar-PR-SBI-36</t>
  </si>
  <si>
    <t>Rathlavath Sunitha</t>
  </si>
  <si>
    <t>17-Mar-PR-SBI-37</t>
  </si>
  <si>
    <t>Randheer Reddy</t>
  </si>
  <si>
    <t>17-Mar-PR-SBI-44</t>
  </si>
  <si>
    <t>E.Nagamani</t>
  </si>
  <si>
    <t>17-Mar-PR-SBI-50</t>
  </si>
  <si>
    <t>T.Bhaskar Rao</t>
  </si>
  <si>
    <t>17-Mar-PR-SBI-52</t>
  </si>
  <si>
    <t>Naveen Kumar</t>
  </si>
  <si>
    <t>17-Mar-PR-SBI-55</t>
  </si>
  <si>
    <t>17-Mar-PR-SBI-56</t>
  </si>
  <si>
    <t>Sapavath</t>
  </si>
  <si>
    <t>17-Mar-PR-SBI-71</t>
  </si>
  <si>
    <t>17-Mar-PR-SBI-75</t>
  </si>
  <si>
    <t>K.Bal Singh</t>
  </si>
  <si>
    <t>17-Mar-PR-SBI-76</t>
  </si>
  <si>
    <t>Srikanth</t>
  </si>
  <si>
    <t>File in office</t>
  </si>
  <si>
    <t>17-Mar-PR-SBI-78</t>
  </si>
  <si>
    <t>T.Laxman Goud</t>
  </si>
  <si>
    <t>17-Mar-PR-SBI-80</t>
  </si>
  <si>
    <t>Vamshidhar Reddy</t>
  </si>
  <si>
    <t>17-Mar-PR-SBI-82</t>
  </si>
  <si>
    <t>Swathi reddy</t>
  </si>
  <si>
    <t>17-Mar-PR-SBI-85</t>
  </si>
  <si>
    <t>Srinivasa Steels</t>
  </si>
  <si>
    <t>17-Mar-PR-SBI-88</t>
  </si>
  <si>
    <t>B.Paravathi</t>
  </si>
  <si>
    <t>17-Mar-PR-SBI-90</t>
  </si>
  <si>
    <t>Vijayapal Pathloth</t>
  </si>
  <si>
    <t>17-Mar-PR-SBI-91</t>
  </si>
  <si>
    <t>Ch.Laxmi Pathi</t>
  </si>
  <si>
    <t>17-Mar-PR-SBI-94</t>
  </si>
  <si>
    <t>K.Harish Charan</t>
  </si>
  <si>
    <t>17-Apr-PR-SBI-3</t>
  </si>
  <si>
    <t>Chinna Kasi Reddy</t>
  </si>
  <si>
    <t>17-Apr-PR-SBI-4</t>
  </si>
  <si>
    <t>V.Venkata Nagendra Laxman Kumar</t>
  </si>
  <si>
    <t>17-Apr-PR-SBI-8</t>
  </si>
  <si>
    <t>S.Shanthi Kumari</t>
  </si>
  <si>
    <t>17-Apr-PR-SBI-12</t>
  </si>
  <si>
    <t>R.Shanthi</t>
  </si>
  <si>
    <t>17-Apr-PR-SBI-13</t>
  </si>
  <si>
    <t>R.Mamatha</t>
  </si>
  <si>
    <t>17-Apr-PR-SBI-14</t>
  </si>
  <si>
    <t>C.Narsimhulu</t>
  </si>
  <si>
    <t>17-Apr-PR-SBI-18</t>
  </si>
  <si>
    <t>Vivera Hotel</t>
  </si>
  <si>
    <t>17-Apr-PR-SBI-19</t>
  </si>
  <si>
    <t>17-Apr-PR-SBI-30</t>
  </si>
  <si>
    <t>Sujatha Srinivas</t>
  </si>
  <si>
    <t>17-Apr-PR-SBI-34</t>
  </si>
  <si>
    <t>Priyadarshini</t>
  </si>
  <si>
    <t>17-Apr-PR-SBI-38</t>
  </si>
  <si>
    <t>K.Mahesh</t>
  </si>
  <si>
    <t>17-Apr-PR-SBI-47</t>
  </si>
  <si>
    <t>Narender Savla</t>
  </si>
  <si>
    <t>17-Apr-PR-SBI-48</t>
  </si>
  <si>
    <t>17-Apr-PR-SBI-49</t>
  </si>
  <si>
    <t>Narsimha Reddy</t>
  </si>
  <si>
    <t>17-Apr-PR-SBI-52</t>
  </si>
  <si>
    <t>Krishna Goud</t>
  </si>
  <si>
    <t>17-Apr-PR-SBI-56</t>
  </si>
  <si>
    <t>R.Abhilash</t>
  </si>
  <si>
    <t>17-Apr-PR-SBI-57</t>
  </si>
  <si>
    <t>S.Harika</t>
  </si>
  <si>
    <t>17-Apr-PR-SBI-58</t>
  </si>
  <si>
    <t>G.Srinivas</t>
  </si>
  <si>
    <t>17-Apr-PR-SBI-59</t>
  </si>
  <si>
    <t>Rameshwar Reddy</t>
  </si>
  <si>
    <t>17-Apr-PR-SBI-60</t>
  </si>
  <si>
    <t>D.Vinay Kumar</t>
  </si>
  <si>
    <t>Saroornagar</t>
  </si>
  <si>
    <t>17-Apr-PR-SBI-61</t>
  </si>
  <si>
    <t>C.Yamini</t>
  </si>
  <si>
    <t>17-May-PR-SBI-4</t>
  </si>
  <si>
    <t>Dheeraj Kumar</t>
  </si>
  <si>
    <t>17-May-PR-SBI-9</t>
  </si>
  <si>
    <t>Srinivas Murthy</t>
  </si>
  <si>
    <t>17-May-PR-SBI-14</t>
  </si>
  <si>
    <t>V.Maha Lakshmi</t>
  </si>
  <si>
    <t>17-May-PR-SBI-15</t>
  </si>
  <si>
    <t>M.Sudhakar Chary</t>
  </si>
  <si>
    <t>17-May-PR-SBI-17</t>
  </si>
  <si>
    <t>A.Yadagiri</t>
  </si>
  <si>
    <t>17-May-PR-SBI-18</t>
  </si>
  <si>
    <t>J.Krishna Veni</t>
  </si>
  <si>
    <t>17-May-PR-SBI-19</t>
  </si>
  <si>
    <t>A.Saritha</t>
  </si>
  <si>
    <t>17-May-PR-SBI-22</t>
  </si>
  <si>
    <t>Pavan</t>
  </si>
  <si>
    <t>17-May-PR-SBI-24</t>
  </si>
  <si>
    <t>Venkat Reddy</t>
  </si>
  <si>
    <t>17-May-PR-SBI-26</t>
  </si>
  <si>
    <t>Sparshitha</t>
  </si>
  <si>
    <t>17-May-PR-SBI-27</t>
  </si>
  <si>
    <t>Nagaraj</t>
  </si>
  <si>
    <t>17-May-PR-SBI-30</t>
  </si>
  <si>
    <t>Satya Sree</t>
  </si>
  <si>
    <t>17-May-PR-SBI-37</t>
  </si>
  <si>
    <t>Md.Fareed</t>
  </si>
  <si>
    <t>17-May-PR-SBI-40</t>
  </si>
  <si>
    <t>A.V Bharathi</t>
  </si>
  <si>
    <t>17-May-PR-SBI-43</t>
  </si>
  <si>
    <t>17-May-PR-SBI-44</t>
  </si>
  <si>
    <t>K.Vasanth Kumari</t>
  </si>
  <si>
    <t>17-May-PR-SBI-46</t>
  </si>
  <si>
    <t>17-May-PR-SBI-48</t>
  </si>
  <si>
    <t>Ramuloo</t>
  </si>
  <si>
    <t>17-May-PR-SBI-49</t>
  </si>
  <si>
    <t>G.Venu Gopal</t>
  </si>
  <si>
    <t>17-May-PR-SBI-50A</t>
  </si>
  <si>
    <t>17-May-PR-SBI-54</t>
  </si>
  <si>
    <t>17-May-PR-SBI-61</t>
  </si>
  <si>
    <t>B.Mahamtesh</t>
  </si>
  <si>
    <t>17-May-PR-SBI-63</t>
  </si>
  <si>
    <t>N.Srinivasulu</t>
  </si>
  <si>
    <t>17-May-PR-SBI-64</t>
  </si>
  <si>
    <t>L.Manjula</t>
  </si>
  <si>
    <t>17-May-PR-SBI-65</t>
  </si>
  <si>
    <t>Reality</t>
  </si>
  <si>
    <t>17-May-PR-SBI-71</t>
  </si>
  <si>
    <t>G.Lakshmi Narayana</t>
  </si>
  <si>
    <t>17-May-PR-SBI-72</t>
  </si>
  <si>
    <t>M.Rama Swamy</t>
  </si>
  <si>
    <t>17-May-PR-SBI-76</t>
  </si>
  <si>
    <t>A.Srinivas Rao</t>
  </si>
  <si>
    <t>17-May-PR-SBI-80</t>
  </si>
  <si>
    <t>S.Monica</t>
  </si>
  <si>
    <t>17-May-PR-SBI-81A</t>
  </si>
  <si>
    <t>B.Santosh Kumar</t>
  </si>
  <si>
    <t>17-May-PR-SBI-82</t>
  </si>
  <si>
    <t>C.Srinivas Rao</t>
  </si>
  <si>
    <t>17-May-PR-SBI-83</t>
  </si>
  <si>
    <t>Samyuktha</t>
  </si>
  <si>
    <t>17-May-PR-SBI-84</t>
  </si>
  <si>
    <t>Sai Vaishnavi</t>
  </si>
  <si>
    <t>17-May-PR-SBI-85</t>
  </si>
  <si>
    <t>Gyaneshwar</t>
  </si>
  <si>
    <t>17-May-PR-SBI-87</t>
  </si>
  <si>
    <t>P.vijender reddy</t>
  </si>
  <si>
    <t>17-May-PR-SBI-89</t>
  </si>
  <si>
    <t>K.Venugopal</t>
  </si>
  <si>
    <t>17-May-PR-SBI-90</t>
  </si>
  <si>
    <t>K.venkateshwarlu</t>
  </si>
  <si>
    <t>S.D.Road</t>
  </si>
  <si>
    <t>17-May-PR-SBI-91</t>
  </si>
  <si>
    <t>G.Shylaja</t>
  </si>
  <si>
    <t>17-Jun-PR-SYN-1</t>
  </si>
  <si>
    <t>Korra Loka</t>
  </si>
  <si>
    <t>17-Jun-PR-SYN-2</t>
  </si>
  <si>
    <t>Arun Kumar Reddy</t>
  </si>
  <si>
    <t>17-Jun-PR-SYN-3</t>
  </si>
  <si>
    <t>K.Ashwin Kumar Varma</t>
  </si>
  <si>
    <t>17-Jun-PR-SYN-4</t>
  </si>
  <si>
    <t>E.Nirmala</t>
  </si>
  <si>
    <t>17-Jun-PR-SYN-5</t>
  </si>
  <si>
    <t>Khursheed Begum</t>
  </si>
  <si>
    <t>17-Jun-PR -SYN-6</t>
  </si>
  <si>
    <t>17-Jun-PR -SYN-7</t>
  </si>
  <si>
    <t>Chalapathi Rao(6 Files)</t>
  </si>
  <si>
    <t>17-Jun-PR-SYN-8</t>
  </si>
  <si>
    <t>P.Sanjappa</t>
  </si>
  <si>
    <t>17-Jun-PR -SYN-9</t>
  </si>
  <si>
    <t>Y.Shailendra Babu</t>
  </si>
  <si>
    <t>17-Jun-PR-SYN-10</t>
  </si>
  <si>
    <t>J.Anitha</t>
  </si>
  <si>
    <t>17-Jun-PR -SYN-11</t>
  </si>
  <si>
    <t>S.Susheela Kumari</t>
  </si>
  <si>
    <t>17-Jun-PR-SYN-12</t>
  </si>
  <si>
    <t>Unity Constructions Pvt Ltd</t>
  </si>
  <si>
    <t>17-Jun-PR-SYN-13</t>
  </si>
  <si>
    <t>M.Mallaiah</t>
  </si>
  <si>
    <t>17-Jun-PR-SYN-14</t>
  </si>
  <si>
    <t>Y.Padmavathi</t>
  </si>
  <si>
    <t>17-Jun-PR-SYN-15</t>
  </si>
  <si>
    <t>16-Jul-PR-SYN-8</t>
  </si>
  <si>
    <t>Nageshwar Rao</t>
  </si>
  <si>
    <t>17-Jan-PR-SYN-22</t>
  </si>
  <si>
    <t>Hathiyani Dhayji patel</t>
  </si>
  <si>
    <t>17-Feb-PR-SYN-7</t>
  </si>
  <si>
    <t>G.Madhavi</t>
  </si>
  <si>
    <t>Khairtabad</t>
  </si>
  <si>
    <t>17-Mar-PR-SYN-8A</t>
  </si>
  <si>
    <t>Sunitha</t>
  </si>
  <si>
    <t>17-Mar-PR-SYN-19</t>
  </si>
  <si>
    <t>Sampath</t>
  </si>
  <si>
    <t>17-Mar-PR-SYN-29</t>
  </si>
  <si>
    <t>17-Mar-PR-SYN-41</t>
  </si>
  <si>
    <t>Kushal</t>
  </si>
  <si>
    <t>17-Apr-PR-SYN-3</t>
  </si>
  <si>
    <t>Induri Janrdhan</t>
  </si>
  <si>
    <t>17-Apr-PR -SYN-6</t>
  </si>
  <si>
    <t>N.Poonam Raju</t>
  </si>
  <si>
    <t>17-Apr-PR-SYN-8</t>
  </si>
  <si>
    <t>K.Renuka</t>
  </si>
  <si>
    <t>17-Apr-PR -SYN-9</t>
  </si>
  <si>
    <t>C.Subodh Kumar</t>
  </si>
  <si>
    <t>17-Apr-PR -SYN-10</t>
  </si>
  <si>
    <t>M.Mahesh Kumar</t>
  </si>
  <si>
    <t>17-Apr-PR-SYN-11</t>
  </si>
  <si>
    <t>P.Narsimha</t>
  </si>
  <si>
    <t>17-Apr-PR-SYN-26</t>
  </si>
  <si>
    <t>VLN Subramanyam</t>
  </si>
  <si>
    <t>17-Apr-PR-SYN-33</t>
  </si>
  <si>
    <t>R.Shanker</t>
  </si>
  <si>
    <t>Bandla Guda</t>
  </si>
  <si>
    <t>17-May-PR -SYN-1</t>
  </si>
  <si>
    <t>D.Vijaypal Reddy</t>
  </si>
  <si>
    <t>17-May-PR-SYN-5</t>
  </si>
  <si>
    <t>Prem Kumar</t>
  </si>
  <si>
    <t>17-May-PR-SYN-13</t>
  </si>
  <si>
    <t>K.Krishna</t>
  </si>
  <si>
    <t>17-May-PR-SYN-14</t>
  </si>
  <si>
    <t>B.Venkanna (Satya Madhavi)</t>
  </si>
  <si>
    <t>17-May-PR-SYN-16</t>
  </si>
  <si>
    <t>B.Swapna</t>
  </si>
  <si>
    <t>17-May-PR -SYN-22</t>
  </si>
  <si>
    <t>Ch.Hanumanth Rao</t>
  </si>
  <si>
    <t>17-May-PR-SYN-23</t>
  </si>
  <si>
    <t>M.Srinivas</t>
  </si>
  <si>
    <t>17-May-PR -SYN-26</t>
  </si>
  <si>
    <t>E.Raja Mani</t>
  </si>
  <si>
    <t>17-May-PR-SYN-27</t>
  </si>
  <si>
    <t>V.Madhavi</t>
  </si>
  <si>
    <t>17-May-PR-SYN-28</t>
  </si>
  <si>
    <t>K.Swetha</t>
  </si>
  <si>
    <t>17-May-PR-SYN-31</t>
  </si>
  <si>
    <t>Bhagyamma</t>
  </si>
  <si>
    <t>17-Jun-KI-SBI-49</t>
  </si>
  <si>
    <t>D.Narmada</t>
  </si>
  <si>
    <t>17-Jun-KI-SBI-50</t>
  </si>
  <si>
    <t>Y.Ram Kumar</t>
  </si>
  <si>
    <t>17-Jun-KI-SBI-51</t>
  </si>
  <si>
    <t>17-Jun-KI-SBI-48</t>
  </si>
  <si>
    <t>Hari Krishna Reddy</t>
  </si>
  <si>
    <t>17-Jun-KI-SBI-47</t>
  </si>
  <si>
    <t>P.V.V Aditya</t>
  </si>
  <si>
    <t>17-Jun-KI-SBI-42</t>
  </si>
  <si>
    <t>J.Samba Shiva Rao</t>
  </si>
  <si>
    <t>Chiranjeev</t>
  </si>
  <si>
    <t>17-Jun-KI-SBI-43</t>
  </si>
  <si>
    <t>Maithili Bala</t>
  </si>
  <si>
    <t>17-Jun-KI-SBI-44</t>
  </si>
  <si>
    <t>P.Deepthi</t>
  </si>
  <si>
    <t>17-Jun-KI-SBI-45</t>
  </si>
  <si>
    <t>K.Mohan Krishna</t>
  </si>
  <si>
    <t>Janardhan</t>
  </si>
  <si>
    <t>17-Jun-KI-SBI-46</t>
  </si>
  <si>
    <t>K.Suresh</t>
  </si>
  <si>
    <t>Tirupathi</t>
  </si>
  <si>
    <t>17-Jun-KI-SBI-36</t>
  </si>
  <si>
    <t>A.Abhilash</t>
  </si>
  <si>
    <t>17-Jun-KI-SBI-37</t>
  </si>
  <si>
    <t>K.Srinivasa Vamshi Krishna</t>
  </si>
  <si>
    <t>R.K</t>
  </si>
  <si>
    <t>17-Jun-KI-SBI-38A</t>
  </si>
  <si>
    <t>M.S.V Krishna Rao</t>
  </si>
  <si>
    <t>17-Jun-KI-SBI-39A</t>
  </si>
  <si>
    <t>K.Naveen Babu</t>
  </si>
  <si>
    <t>17-Jun-KI-SBI-38B</t>
  </si>
  <si>
    <t>Jaya Sree</t>
  </si>
  <si>
    <t>Sammaiah</t>
  </si>
  <si>
    <t>17-Jun-KI-SBI-39B</t>
  </si>
  <si>
    <t>MLN Vijaya Kumari</t>
  </si>
  <si>
    <t>17-Jun-KI-SBI-40</t>
  </si>
  <si>
    <t>Swathi Nirmala</t>
  </si>
  <si>
    <t>17-Jun-KI-SBI-41</t>
  </si>
  <si>
    <t>A.Jalender Reddy</t>
  </si>
  <si>
    <t>Ibrahim</t>
  </si>
  <si>
    <t>17-Jun-KI-SBI-35</t>
  </si>
  <si>
    <t>Vasathi Housing Ltd</t>
  </si>
  <si>
    <t>17-Jun-KI-SBI-33</t>
  </si>
  <si>
    <t>Md.Imtiyazuddin</t>
  </si>
  <si>
    <t>17-Jun-KI-SBI-34</t>
  </si>
  <si>
    <t>Jaya Dev</t>
  </si>
  <si>
    <t>17-Jun-KI-SBI-30</t>
  </si>
  <si>
    <t>K.Ramesh</t>
  </si>
  <si>
    <t>17-Jun-KI-SBI-31</t>
  </si>
  <si>
    <t>G.Venkata Krishna Reddy</t>
  </si>
  <si>
    <t>Farooq</t>
  </si>
  <si>
    <t>17-Jun-KI-SBI-32</t>
  </si>
  <si>
    <t>V.Malla Reddy</t>
  </si>
  <si>
    <t>17-Jun-KI-SBI-29</t>
  </si>
  <si>
    <t>Balakrishna Motiram Yadav</t>
  </si>
  <si>
    <t>17-Jun-KI-SBI-27</t>
  </si>
  <si>
    <t>Cyber Employees Welfare Society</t>
  </si>
  <si>
    <t>Ramulu</t>
  </si>
  <si>
    <t>17-Jun-KI-SBI-28</t>
  </si>
  <si>
    <t>Vidhan Rao</t>
  </si>
  <si>
    <t>Perimalu</t>
  </si>
  <si>
    <t>17-Jun-KI-SBI-23</t>
  </si>
  <si>
    <t>P.Veerababu</t>
  </si>
  <si>
    <t>HSR</t>
  </si>
  <si>
    <t>17-Jun-KI-SBI-24</t>
  </si>
  <si>
    <t>Md.Ghouse Basha</t>
  </si>
  <si>
    <t>17-Jun-KI-SBI-25</t>
  </si>
  <si>
    <t>Jains Carton Creek</t>
  </si>
  <si>
    <t>Hari Prasad</t>
  </si>
  <si>
    <t>17-Jun-KI-SBI-26</t>
  </si>
  <si>
    <t>Krishna Reddy</t>
  </si>
  <si>
    <t>Mahesh Bala</t>
  </si>
  <si>
    <t>17-Jun-KI-SBI-20</t>
  </si>
  <si>
    <t>J.Srinivas</t>
  </si>
  <si>
    <t>17-Jun-KI-SBI-21</t>
  </si>
  <si>
    <t>L.Venkatappaiah</t>
  </si>
  <si>
    <t>17-Jun-KI-SBI-22</t>
  </si>
  <si>
    <t>P.N.V.R.K Murthy</t>
  </si>
  <si>
    <t>17-Jun-KI-SBI-18</t>
  </si>
  <si>
    <t>Aruna &amp; Vishnu Vardhan</t>
  </si>
  <si>
    <t>17-Jun-KI-SBI-19</t>
  </si>
  <si>
    <t>G.Sudha</t>
  </si>
  <si>
    <t>17-Jun-KI-SBI-13</t>
  </si>
  <si>
    <t>D.Rajender</t>
  </si>
  <si>
    <t>Nagesh</t>
  </si>
  <si>
    <t>17-Jun-KI-SBI-14</t>
  </si>
  <si>
    <t>K.Ravi</t>
  </si>
  <si>
    <t>17-Jun-KI-SBI-15</t>
  </si>
  <si>
    <t>T.Srinivas</t>
  </si>
  <si>
    <t>17-Jun-KI-SBI-16</t>
  </si>
  <si>
    <t>R.Roja Kumari</t>
  </si>
  <si>
    <t>17-Jun-KI-SBI-17</t>
  </si>
  <si>
    <t>Anil Kumar Chandu</t>
  </si>
  <si>
    <t>17-Jun-KI-SBI-10</t>
  </si>
  <si>
    <t>G.Pavani (Srikanth Raju)</t>
  </si>
  <si>
    <t>17-Jun-KI-SBI-11</t>
  </si>
  <si>
    <t>P.Parvatheesham</t>
  </si>
  <si>
    <t>17-Jun-KI-SBI-12</t>
  </si>
  <si>
    <t>M.Mahender Reddy</t>
  </si>
  <si>
    <t>17-Jun-KI-SBI-9</t>
  </si>
  <si>
    <t>17-Jun-KI-SBI-8</t>
  </si>
  <si>
    <t>V.Venu Kumar</t>
  </si>
  <si>
    <t>17-Jun-KI-SBI-4</t>
  </si>
  <si>
    <t>N.Shyam Prasad</t>
  </si>
  <si>
    <t>17-Jun-KI-SBI-5</t>
  </si>
  <si>
    <t>P.Spoorthi</t>
  </si>
  <si>
    <t>17-Jun-KI-SBI-6</t>
  </si>
  <si>
    <t>M.R Mohammed Irfan</t>
  </si>
  <si>
    <t>17-Jun-KI-SBI-7</t>
  </si>
  <si>
    <t>Hallmark Builders"Hallmark Tranquil"</t>
  </si>
  <si>
    <t>17-Jun-KI-SBI-1</t>
  </si>
  <si>
    <t>S.Lakshmi(Venkateshwara  Sharma)</t>
  </si>
  <si>
    <t>17-Jun-KI-SBI-2</t>
  </si>
  <si>
    <t>K.Seena Naik</t>
  </si>
  <si>
    <t>Bhaskar</t>
  </si>
  <si>
    <t>17-Jun-KI-SBI-3</t>
  </si>
  <si>
    <t>K.Ramana Murthy</t>
  </si>
  <si>
    <t>17-May-KI-SBI-55</t>
  </si>
  <si>
    <t>Sanagavarapu.V.R.Satish</t>
  </si>
  <si>
    <t>Nagaraju</t>
  </si>
  <si>
    <t>17-May-KI-SBI-56</t>
  </si>
  <si>
    <t>P.Sriharsha</t>
  </si>
  <si>
    <t>17-May-KI-SBI-57</t>
  </si>
  <si>
    <t>Ramky One Cosmos</t>
  </si>
  <si>
    <t>Hari prasad</t>
  </si>
  <si>
    <t>17-May-KI-SBI-58</t>
  </si>
  <si>
    <t>Sahith Reddy</t>
  </si>
  <si>
    <t>17-May-KI-SBI-59</t>
  </si>
  <si>
    <t>Kanaram choudary</t>
  </si>
  <si>
    <t>17-May-KI-SBI-60</t>
  </si>
  <si>
    <t>Devender</t>
  </si>
  <si>
    <t>17-May-KI-SBI-61</t>
  </si>
  <si>
    <t>Shaik Shahul</t>
  </si>
  <si>
    <t>17-May-KI-SBI-62</t>
  </si>
  <si>
    <t>Udari Amrutha</t>
  </si>
  <si>
    <t>17-May-KI-SBI-53</t>
  </si>
  <si>
    <t>N.Mohan Reddy</t>
  </si>
  <si>
    <t>Eshwar Reddy</t>
  </si>
  <si>
    <t>17-May-KI-SBI-54</t>
  </si>
  <si>
    <t>S.V.Nageshara Rao</t>
  </si>
  <si>
    <t>17-May-KI-SBI-49</t>
  </si>
  <si>
    <t>Ch.Mukta</t>
  </si>
  <si>
    <t>Anupam</t>
  </si>
  <si>
    <t>17-May-KI-SBI-50</t>
  </si>
  <si>
    <t>Ch.Arun</t>
  </si>
  <si>
    <t>17-May-KI-SBI-46</t>
  </si>
  <si>
    <t>G.Prabhu Kishore</t>
  </si>
  <si>
    <t>17-May-KI-SBI-47</t>
  </si>
  <si>
    <t>G.Vijaya Lakshmi</t>
  </si>
  <si>
    <t>17-May-KI-SBI-44</t>
  </si>
  <si>
    <t>M.Madhusudhana Prabhu</t>
  </si>
  <si>
    <t>17-May-KI-SBI-43</t>
  </si>
  <si>
    <t>G.Arjun Reddy</t>
  </si>
  <si>
    <t>17-May-KI-SBI-40</t>
  </si>
  <si>
    <t>Lakshmi Infra Tech</t>
  </si>
  <si>
    <t>17-May-KI-SBI-41</t>
  </si>
  <si>
    <t>Sri Dipak Kumar</t>
  </si>
  <si>
    <t>Sridevi</t>
  </si>
  <si>
    <t>17-May-KI-SBI-42</t>
  </si>
  <si>
    <t xml:space="preserve">Siva Sankar </t>
  </si>
  <si>
    <t>17-May-KI-SBI-36</t>
  </si>
  <si>
    <t>K.Kamal Prasad</t>
  </si>
  <si>
    <t>17-May-KI-SBI-39</t>
  </si>
  <si>
    <t>Y.Babu Rao</t>
  </si>
  <si>
    <t>17-May-KI-SBI-33</t>
  </si>
  <si>
    <t>G.Sudheer Reddy</t>
  </si>
  <si>
    <t>R.k</t>
  </si>
  <si>
    <t>17-May-KI-SBI-34</t>
  </si>
  <si>
    <t>N.Prem Kumar</t>
  </si>
  <si>
    <t>17-May-KI-SBI-25</t>
  </si>
  <si>
    <t>G.Jagadeeshwari Devi</t>
  </si>
  <si>
    <t>17-May-KI-SBI-26</t>
  </si>
  <si>
    <t>K.Ram Mohan</t>
  </si>
  <si>
    <t>17-May-KI-SBI-27</t>
  </si>
  <si>
    <t>M.Anand Reddy</t>
  </si>
  <si>
    <t>Komal</t>
  </si>
  <si>
    <t>17-May-KI-SBI-28</t>
  </si>
  <si>
    <t>M.Madhu Babu</t>
  </si>
  <si>
    <t>17-May-KI-SBI-29</t>
  </si>
  <si>
    <t>P.Srujan</t>
  </si>
  <si>
    <t>17-May-KI-SBI-30</t>
  </si>
  <si>
    <t>G.Padma</t>
  </si>
  <si>
    <t>17-May-KI-SBI-24</t>
  </si>
  <si>
    <t>N.Kishore</t>
  </si>
  <si>
    <t>MSR</t>
  </si>
  <si>
    <t>17-May-KI-SBI-22</t>
  </si>
  <si>
    <t>Krishna Priya Rayudu</t>
  </si>
  <si>
    <t>17-May-KI-SBI-20</t>
  </si>
  <si>
    <t>Amberley Heights(Manipal Reddy)</t>
  </si>
  <si>
    <t>17-May-KI-SBI-21</t>
  </si>
  <si>
    <t>S.Malini Bai</t>
  </si>
  <si>
    <t>17-May-KI-SBI-18</t>
  </si>
  <si>
    <t>T.Rohit Kumar</t>
  </si>
  <si>
    <t>17-May-KI-SBI-13A</t>
  </si>
  <si>
    <t>Hrushikesh Muralidharan</t>
  </si>
  <si>
    <t>17-May-KI-SBI-14A</t>
  </si>
  <si>
    <t>K.Danamma</t>
  </si>
  <si>
    <t>17-May-KI-SBI-12</t>
  </si>
  <si>
    <t>V.C Prakash Reddy</t>
  </si>
  <si>
    <t>17-May-KI-SBI-8A</t>
  </si>
  <si>
    <t>Ishwar Chandra Das</t>
  </si>
  <si>
    <t>17-May-KI-SBI-9A</t>
  </si>
  <si>
    <t>P.Kodhanda Rama Sharma</t>
  </si>
  <si>
    <t>17-May-KI-SBI-10</t>
  </si>
  <si>
    <t>P.Devendar</t>
  </si>
  <si>
    <t>17-May-KI-SBI-7</t>
  </si>
  <si>
    <t>M.Kasuma Kumari</t>
  </si>
  <si>
    <t>17-May-KI-SBI-6</t>
  </si>
  <si>
    <t>Pacifica Hyderabad Projects"Hill Crest Phase-I"</t>
  </si>
  <si>
    <t>17-May-KI-SBI-3A</t>
  </si>
  <si>
    <t>Parifica Hyd Projects"Hill Crest Phase-I"</t>
  </si>
  <si>
    <t>17-May-KI-SBI-4</t>
  </si>
  <si>
    <t>Satyendra Kumar Roy</t>
  </si>
  <si>
    <t>17-Apr-KI-SBI-53</t>
  </si>
  <si>
    <t>N.Santosh Kumar</t>
  </si>
  <si>
    <t>17-Apr-KI-SBI-51</t>
  </si>
  <si>
    <t>B.S.V.N Satyanarayana Murthy</t>
  </si>
  <si>
    <t>17-Apr-KI-SBI-47</t>
  </si>
  <si>
    <t>P.Ravi Teja</t>
  </si>
  <si>
    <t>17-Apr-KI-SBI-49</t>
  </si>
  <si>
    <t>SVS Infracon Pvt Ltd</t>
  </si>
  <si>
    <t>17-Apr-KI-SBI-46</t>
  </si>
  <si>
    <t>Sikhara Projects (Sikhara Bliss)</t>
  </si>
  <si>
    <t>17-Apr-KI-SBI-39</t>
  </si>
  <si>
    <t>G.Ravindranath</t>
  </si>
  <si>
    <t>17-Apr-KI-SBI-43</t>
  </si>
  <si>
    <t>J.Jangama</t>
  </si>
  <si>
    <t>17-Apr-KI-SBI-35</t>
  </si>
  <si>
    <t>D.Suresh</t>
  </si>
  <si>
    <t>17-Apr-KI-SBI-38</t>
  </si>
  <si>
    <t>M.V.K.N Murthy</t>
  </si>
  <si>
    <t>17-Apr-KI-SBI-28</t>
  </si>
  <si>
    <t xml:space="preserve">P.Satish </t>
  </si>
  <si>
    <t>17-Apr-KI-SBI-22</t>
  </si>
  <si>
    <t>Prekon Constuctions</t>
  </si>
  <si>
    <t>17-Apr-KI-SBI-23</t>
  </si>
  <si>
    <t>Raghu Raju</t>
  </si>
  <si>
    <t>17-Apr-KI-SBI-24</t>
  </si>
  <si>
    <t>C.Vijaya Dev</t>
  </si>
  <si>
    <t>17-Apr-KI-SBI-26</t>
  </si>
  <si>
    <t>Y.K Prudhviraj</t>
  </si>
  <si>
    <t>17-Apr-KI-SBI-21</t>
  </si>
  <si>
    <t>D.Chaitanya</t>
  </si>
  <si>
    <t>17-Apr-KI-SBI-19</t>
  </si>
  <si>
    <t>SRK Ventures "VISTAS"</t>
  </si>
  <si>
    <t>17-Apr-KI-SBI-17</t>
  </si>
  <si>
    <t>R.Narsimha Chary</t>
  </si>
  <si>
    <t>17-Mar-KI-CAN-7</t>
  </si>
  <si>
    <t>A.P Raja(Indire Rajan)</t>
  </si>
  <si>
    <t>17-Apr-KI-SBI-15</t>
  </si>
  <si>
    <t>Kavitha &amp; Ashok Reddy</t>
  </si>
  <si>
    <t>17-Apr-KI-SBI-16</t>
  </si>
  <si>
    <t>D.Shouri Reddy</t>
  </si>
  <si>
    <t>17-Apr-KI-SBI-12</t>
  </si>
  <si>
    <t>Ramaraju Anupama</t>
  </si>
  <si>
    <t>17-Apr-KI-SBI-14</t>
  </si>
  <si>
    <t>M.Venkata LakshmimNarayana</t>
  </si>
  <si>
    <t>17-Apr-KI-SBI-10</t>
  </si>
  <si>
    <t>Rohiteshwara Manohar Mujamdar</t>
  </si>
  <si>
    <t>17-Apr-KI-SBI-8</t>
  </si>
  <si>
    <t>Anitha Boyapati</t>
  </si>
  <si>
    <t>17-Apr-KI-SBI-5</t>
  </si>
  <si>
    <t>Trishala Infrastructure (The Life)</t>
  </si>
  <si>
    <t>17-Apr-KI-SBI-60</t>
  </si>
  <si>
    <t>Venkata Satyanarayana Murthy</t>
  </si>
  <si>
    <t>17-Mar-KI-SBI-57</t>
  </si>
  <si>
    <t>Poorna Build Tech Pvt Ltd"Magnus"</t>
  </si>
  <si>
    <t>17-Mar-KI-SBI-58</t>
  </si>
  <si>
    <t>Anuj Kumar Sharma</t>
  </si>
  <si>
    <t>17-Mar-KI-SBI-56</t>
  </si>
  <si>
    <t>Dasari John</t>
  </si>
  <si>
    <t>17-Mar-KI-SBI-50</t>
  </si>
  <si>
    <t>Usha Krishna</t>
  </si>
  <si>
    <t>17-Mar-KI-SBI-51</t>
  </si>
  <si>
    <t>V.B Shankar Nag Nemmuri</t>
  </si>
  <si>
    <t>17-Mar-KI-SBI-48</t>
  </si>
  <si>
    <t>Luxor Aportments</t>
  </si>
  <si>
    <t>17-Mar-KI-SBI-49</t>
  </si>
  <si>
    <t>17-Mar-KI-SBI-40</t>
  </si>
  <si>
    <t>Shravanthi Beram</t>
  </si>
  <si>
    <t>Rasheed</t>
  </si>
  <si>
    <t>17-Mar-KI-SBI-41</t>
  </si>
  <si>
    <t>Apurva Kumar</t>
  </si>
  <si>
    <t>17-Mar-KI-SBI-42</t>
  </si>
  <si>
    <t>Arogyam Kolipaka</t>
  </si>
  <si>
    <t>Mahender Babu</t>
  </si>
  <si>
    <t>17-Mar-KI-CAN-53</t>
  </si>
  <si>
    <t>N.Srinivasa Rao</t>
  </si>
  <si>
    <t>17-Mar-KI-SBI-43</t>
  </si>
  <si>
    <t>Radhika Kalyani</t>
  </si>
  <si>
    <t>17-Mar-KI-SBI-44</t>
  </si>
  <si>
    <t>Krishna Chaitanya</t>
  </si>
  <si>
    <t>17-Mar-KI-SBI-36</t>
  </si>
  <si>
    <t>Arunima Ganguly</t>
  </si>
  <si>
    <t>17-Mar-KI-SBI-37</t>
  </si>
  <si>
    <t>Swamy Naidu</t>
  </si>
  <si>
    <t>17-Mar-KI-SBI-33</t>
  </si>
  <si>
    <t>M.Lakshmi Prasanna</t>
  </si>
  <si>
    <t>17-Mar-KI-SBI-29</t>
  </si>
  <si>
    <t>Mehar Sri Ram</t>
  </si>
  <si>
    <t>17-Mar-KI-SBI-30</t>
  </si>
  <si>
    <t>Alugubelli Manjula</t>
  </si>
  <si>
    <t>17-Mar-KI-SBI-19</t>
  </si>
  <si>
    <t>Eshwar Madoori</t>
  </si>
  <si>
    <t>17-Mar-KI-SBI-20</t>
  </si>
  <si>
    <t>Aparna Hill Park (Lake Breeeze)</t>
  </si>
  <si>
    <t>17-Mar-KI-SBI-23A</t>
  </si>
  <si>
    <t>K.Madhav Sai Ram Reddy</t>
  </si>
  <si>
    <t>BM</t>
  </si>
  <si>
    <t>17-Mar-KI-SBI-14</t>
  </si>
  <si>
    <t>Siva Kumar&amp; Others</t>
  </si>
  <si>
    <t>17-Mar-KI-SBI-4</t>
  </si>
  <si>
    <t>D.Satish Kumar</t>
  </si>
  <si>
    <t>17-Mar-KI-SBI-2</t>
  </si>
  <si>
    <t>D.Sandhya Rani</t>
  </si>
  <si>
    <t>17-Feb-KI-SBI-19</t>
  </si>
  <si>
    <t>S.Lavanya</t>
  </si>
  <si>
    <t>17-Feb-KI-SBI-20</t>
  </si>
  <si>
    <t>S.Rama Krishna Reddy</t>
  </si>
  <si>
    <t>17-Feb-KI-SBI-16</t>
  </si>
  <si>
    <t>L.Jeevan Prakash</t>
  </si>
  <si>
    <t>17-Feb-KI-SBI-17</t>
  </si>
  <si>
    <t>A.Satish</t>
  </si>
  <si>
    <t>17-Feb-KI-SBI-13</t>
  </si>
  <si>
    <t>D.N.V Ramana Rao</t>
  </si>
  <si>
    <t>17-Feb-KI-SBI-11</t>
  </si>
  <si>
    <t>M.Pallavi</t>
  </si>
  <si>
    <t>17-Feb-KI-SBI-12</t>
  </si>
  <si>
    <t>K.Padmavathi</t>
  </si>
  <si>
    <t>17-Feb-KI-SBI-6</t>
  </si>
  <si>
    <t>Nikhil Sai Krishna Convention(NSK Exotika)</t>
  </si>
  <si>
    <t>17-Jan-KI-SBI-51</t>
  </si>
  <si>
    <t>S.Kameshwara subramanyam</t>
  </si>
  <si>
    <t>17-Jan-KI-SBI-50</t>
  </si>
  <si>
    <t>P.Hanu</t>
  </si>
  <si>
    <t>17-Jan-KI-SBI-46</t>
  </si>
  <si>
    <t>S.Ananth Kumar</t>
  </si>
  <si>
    <t>PBB FILMNAGAR</t>
  </si>
  <si>
    <t>17-Jan-KI-SBI-41</t>
  </si>
  <si>
    <t>Y.Uday Kiran</t>
  </si>
  <si>
    <t>17-Jan-KI-SBI-42</t>
  </si>
  <si>
    <t>P.Venkata Rajashekar</t>
  </si>
  <si>
    <t>17-Jan-KI-SBI-39</t>
  </si>
  <si>
    <t>M.Aruna (K.Srinivas)</t>
  </si>
  <si>
    <t>17-Jan-KI-SBI-31</t>
  </si>
  <si>
    <t>Neha Prakash</t>
  </si>
  <si>
    <t>17-Jan-KI-SBI-32</t>
  </si>
  <si>
    <t>Lakshmi Manasa(Praveen Kumar)</t>
  </si>
  <si>
    <t>17-Jan-KI-SBI-33</t>
  </si>
  <si>
    <t xml:space="preserve">Jupudi Gayatri </t>
  </si>
  <si>
    <t>17-Jan-KI-SBI-34</t>
  </si>
  <si>
    <t>H.Santosh Kumar</t>
  </si>
  <si>
    <t>17-Jan-KI-SBI-16</t>
  </si>
  <si>
    <t>S.Lakshmi Sanjana</t>
  </si>
  <si>
    <t>17-Jan-KI-SBI-15</t>
  </si>
  <si>
    <t>G.Bhargav &amp; Mounika</t>
  </si>
  <si>
    <t>Padmarao Nagar</t>
  </si>
  <si>
    <t>Buchaiah</t>
  </si>
  <si>
    <t>17-Jan-KI-SBI-3</t>
  </si>
  <si>
    <t>Vazhraa Nirman (Pushpak)</t>
  </si>
  <si>
    <t>AGM</t>
  </si>
  <si>
    <t>16-Dec-KI-SBI-33</t>
  </si>
  <si>
    <t>P.Laxmana</t>
  </si>
  <si>
    <t>16-Dec-KI-SBI-23</t>
  </si>
  <si>
    <t>Sri Sai Krupa (Sai Heights II)</t>
  </si>
  <si>
    <t>Nanda Gopal</t>
  </si>
  <si>
    <t>16-Dec-KI-SBI-25</t>
  </si>
  <si>
    <t>Universal Realtons Pvt Ltd(The Botanika)</t>
  </si>
  <si>
    <t>Sheshagiri</t>
  </si>
  <si>
    <t>16-Dec-KI-SBI-17</t>
  </si>
  <si>
    <t>Maruthi Shyam Sunder</t>
  </si>
  <si>
    <t>16-Dec-KI-SBI-18</t>
  </si>
  <si>
    <t>S.M Developers (Movva Residancy)</t>
  </si>
  <si>
    <t>Vidya Sagar</t>
  </si>
  <si>
    <t>16-Dec-KI-SBI-14</t>
  </si>
  <si>
    <t>Mahesh Kolli</t>
  </si>
  <si>
    <t>16-Dec-KI-SBI-1</t>
  </si>
  <si>
    <t>Lohitha Bandaru</t>
  </si>
  <si>
    <t>16-Nov-KI-SBI-55</t>
  </si>
  <si>
    <t>Somesh Byragonda</t>
  </si>
  <si>
    <t>16-Nov-KI-SBI-53</t>
  </si>
  <si>
    <t>Green Blossoms</t>
  </si>
  <si>
    <t>16-Nov-KI-SBI-50</t>
  </si>
  <si>
    <t>R.Lakshmi</t>
  </si>
  <si>
    <t>16-Nov-KI-SBI-46</t>
  </si>
  <si>
    <t>T.V Muralidhar</t>
  </si>
  <si>
    <t>16-Nov-KI-SBI-44</t>
  </si>
  <si>
    <t>K.Karthik (Rama Lakshmi)</t>
  </si>
  <si>
    <t>16-Nov-KI-SBI-33</t>
  </si>
  <si>
    <t>Syed Taher</t>
  </si>
  <si>
    <t>16-Nov-KI-SBI-32</t>
  </si>
  <si>
    <t>Pratod Purushottam Rao Pande</t>
  </si>
  <si>
    <t>16-Nov-KI-SBI-29</t>
  </si>
  <si>
    <t>Shajanan Begum</t>
  </si>
  <si>
    <t>16-Nov-KI-SBI-26</t>
  </si>
  <si>
    <t>Arzu Chimni</t>
  </si>
  <si>
    <t>16-Nov-KI-SBI-15</t>
  </si>
  <si>
    <t>Chandra Shekar  Bejugam</t>
  </si>
  <si>
    <t>16-Nov-KI-SBI-17</t>
  </si>
  <si>
    <t>B.Shankaraiah</t>
  </si>
  <si>
    <t>16-Nov-KI-SBI-6</t>
  </si>
  <si>
    <t>Jagannath Das</t>
  </si>
  <si>
    <t>16-Oct-KI-SBI-41</t>
  </si>
  <si>
    <t>M.Swamynadh</t>
  </si>
  <si>
    <t>16-Oct-KI-SBI-13</t>
  </si>
  <si>
    <t>GEM Vivendas Pvt Ltd(GEM Raja Residency)</t>
  </si>
  <si>
    <t>Kamal</t>
  </si>
  <si>
    <t>16-Oct-KI-SBI-11</t>
  </si>
  <si>
    <t>V.Archana/ Krishna</t>
  </si>
  <si>
    <t>16-Oct-KI-SBI-6</t>
  </si>
  <si>
    <t>Rajesh Varma</t>
  </si>
  <si>
    <t>16-Sep-KI-SBI-28</t>
  </si>
  <si>
    <t>Seoni Bodu&amp; Nilendra Mukharjee</t>
  </si>
  <si>
    <t>16-Sep-KI-SBI-25</t>
  </si>
  <si>
    <t>M.Suryanarayana</t>
  </si>
  <si>
    <t>16-Sep-KI-SBI-6</t>
  </si>
  <si>
    <t>Zaheer Hussain Shaik</t>
  </si>
  <si>
    <t>Varma</t>
  </si>
  <si>
    <t>16-Aug-KI-SBI-26</t>
  </si>
  <si>
    <t>Aishwarya &amp; Vishwanath</t>
  </si>
  <si>
    <t>16-Aug-KI-SBI-17</t>
  </si>
  <si>
    <t>N.Sumitra Devi</t>
  </si>
  <si>
    <t>16-Aug-KI-SBI-7</t>
  </si>
  <si>
    <t>R.Ram Reddy</t>
  </si>
  <si>
    <t>16-Jun-KI-SBI-1</t>
  </si>
  <si>
    <t>LVR Infra Structure Pvt Ltd(Balaji)</t>
  </si>
  <si>
    <t>Rakesh</t>
  </si>
  <si>
    <t>16-May-KI-SBI-33</t>
  </si>
  <si>
    <t>SRK Ventures LLP(Vista)</t>
  </si>
  <si>
    <t>16-May-KI-SBI-10</t>
  </si>
  <si>
    <t>Riddhis Builders (Tulip Phase-II)</t>
  </si>
  <si>
    <t>08-Sep-KI-SBI-26</t>
  </si>
  <si>
    <t>Anand Singh Bondili</t>
  </si>
  <si>
    <t>16-Oct-KI-SBI-35</t>
  </si>
  <si>
    <t>Prathyusha Bharathi</t>
  </si>
  <si>
    <t>16-Oct-KI-SBI-33</t>
  </si>
  <si>
    <t>K.Nagabhushan Reddy</t>
  </si>
  <si>
    <t>16-Jul-KI-SBI-16</t>
  </si>
  <si>
    <t>R.Pushparaj</t>
  </si>
  <si>
    <t>16-Jun-KI-SBI-6</t>
  </si>
  <si>
    <t>P.Thathi Reddy</t>
  </si>
  <si>
    <t>16-Jun-KI-SBI-2</t>
  </si>
  <si>
    <t>Ratna Solutions(Emerald)</t>
  </si>
  <si>
    <t>17-Jun-SR-SME-27</t>
  </si>
  <si>
    <t>A.Lakshmi</t>
  </si>
  <si>
    <t>17-Jun-SR-SME-28</t>
  </si>
  <si>
    <t>K.Rama Tulasi Reddy</t>
  </si>
  <si>
    <t>17-Jun-SR-SME-25</t>
  </si>
  <si>
    <t>P.Yella Reddy</t>
  </si>
  <si>
    <t>17-Jun-SR-SME-26</t>
  </si>
  <si>
    <t>LME(M.Ravi Kumar)</t>
  </si>
  <si>
    <t>17-Jun-SR-SME-24</t>
  </si>
  <si>
    <t>P.Koti Reddy</t>
  </si>
  <si>
    <t>17-Jun-SR-SME-23</t>
  </si>
  <si>
    <t>V.Sreenivasulu</t>
  </si>
  <si>
    <t>17-Jun-SR-SME-21</t>
  </si>
  <si>
    <t>Shaik Sabeer</t>
  </si>
  <si>
    <t>17-Jun-SR-SME-22</t>
  </si>
  <si>
    <t>Shaik Tauseef Ahmed</t>
  </si>
  <si>
    <t>17-Jun-SR-SME-19</t>
  </si>
  <si>
    <t>K.Hymavathi</t>
  </si>
  <si>
    <t>17-Jun-SR-SME-20</t>
  </si>
  <si>
    <t>E.Ashok</t>
  </si>
  <si>
    <t>17-Jun-SR-SME-17</t>
  </si>
  <si>
    <t>V.Bhavani</t>
  </si>
  <si>
    <t>17-Jun-SR-SME-18</t>
  </si>
  <si>
    <t>Ch.Venkata Ramana</t>
  </si>
  <si>
    <t>17-Jun-SR-SME-15</t>
  </si>
  <si>
    <t>Carbotine Toolings India Pvt Ltd</t>
  </si>
  <si>
    <t>17-Jun-SR-SME-16</t>
  </si>
  <si>
    <t>17-Jun-SR-SME-14</t>
  </si>
  <si>
    <t>Mamata Dugar Singh</t>
  </si>
  <si>
    <t>17-Jun-SR-SME-11</t>
  </si>
  <si>
    <t>T.Bharathi</t>
  </si>
  <si>
    <t>17-Jun-SR-SME-12</t>
  </si>
  <si>
    <t>K.Bhagyalakshmi</t>
  </si>
  <si>
    <t>17-Jun-SR-SME-13</t>
  </si>
  <si>
    <t>Aggarwal Anuj</t>
  </si>
  <si>
    <t>17-Jun-SR-SME-10</t>
  </si>
  <si>
    <t>N.Sravan Kumar</t>
  </si>
  <si>
    <t>17-Jun-SR-SME-9</t>
  </si>
  <si>
    <t>N.Sai Ram Reddy</t>
  </si>
  <si>
    <t>17-Jun-SR-SME-8</t>
  </si>
  <si>
    <t>M.Usha</t>
  </si>
  <si>
    <t>17-Jun-SR-SME-7</t>
  </si>
  <si>
    <t>Sapala Organics</t>
  </si>
  <si>
    <t>17-Jun-SR-SME-2</t>
  </si>
  <si>
    <t>Alluri Ranga Prasad Raju</t>
  </si>
  <si>
    <t>17-Jun-SR-SME-3</t>
  </si>
  <si>
    <t>G.Ikshwak</t>
  </si>
  <si>
    <t>17-Jun-SR-SME-4</t>
  </si>
  <si>
    <t>Gowni Praneeth Reddy</t>
  </si>
  <si>
    <t>17-Jun-SR-SME-5</t>
  </si>
  <si>
    <t>Sairam Ranga</t>
  </si>
  <si>
    <t>17-Jun-SR-COS-1</t>
  </si>
  <si>
    <t>Jonnada Mohan Rao</t>
  </si>
  <si>
    <t>17-Jun-SR-COS-2</t>
  </si>
  <si>
    <t>Santosh Granites</t>
  </si>
  <si>
    <t>17-Jun-SR-COS-3</t>
  </si>
  <si>
    <t>PRG Buildcon India</t>
  </si>
  <si>
    <t>17-Jun-SR-COS-4</t>
  </si>
  <si>
    <t>Andhra Prabha Publications Ltd</t>
  </si>
  <si>
    <t>17-Jun-SR-COS-5</t>
  </si>
  <si>
    <t>17-Jun-SR-COS-6</t>
  </si>
  <si>
    <t>B.Usha Rani</t>
  </si>
  <si>
    <t>17-Jun-SR-COS-7</t>
  </si>
  <si>
    <t>K.Swarnalatha Devi</t>
  </si>
  <si>
    <t>17-Jun-SR-COS-8</t>
  </si>
  <si>
    <t>Chitimi Reddy Lova Raju</t>
  </si>
  <si>
    <t>17-Jun-SR-COS-9</t>
  </si>
  <si>
    <t>Meenkshi B Desai</t>
  </si>
  <si>
    <t>17-Jun-SR-COS-10</t>
  </si>
  <si>
    <t>Chetan Desai</t>
  </si>
  <si>
    <t>17-Jun-SR-COS-11</t>
  </si>
  <si>
    <t>Venigala Suma Bala</t>
  </si>
  <si>
    <t>17-Jun-SR-COS-12</t>
  </si>
  <si>
    <t>G.Jagannatham</t>
  </si>
  <si>
    <t>MG Road</t>
  </si>
  <si>
    <t>17-Jun-SR-COS-13</t>
  </si>
  <si>
    <t>K.Roshan Jaiswal</t>
  </si>
  <si>
    <t>17-Jun-SR-IND-1</t>
  </si>
  <si>
    <t>J.Sri Devi</t>
  </si>
  <si>
    <t>17-Jun-SR-IND-2</t>
  </si>
  <si>
    <t>Emorphosys Software Solution</t>
  </si>
  <si>
    <t>17-Jun-SR-IND-3</t>
  </si>
  <si>
    <t>Rama Sharma</t>
  </si>
  <si>
    <t>17-Jun-SR-IND-4</t>
  </si>
  <si>
    <t>K.V.S Prakash Rao</t>
  </si>
  <si>
    <t>17-Jun-SR-IND-5</t>
  </si>
  <si>
    <t>T.Raghava Reddy</t>
  </si>
  <si>
    <t>17-Jun-SR-IND-6</t>
  </si>
  <si>
    <t>Uday Kumar</t>
  </si>
  <si>
    <t>17-Jun-SR-IND-7</t>
  </si>
  <si>
    <t>Nagaraj Dhupati</t>
  </si>
  <si>
    <t>17-Jun-SR-IND-8</t>
  </si>
  <si>
    <t>M.Damodhar Reddy</t>
  </si>
  <si>
    <t>17-Jun-SR-IND-9</t>
  </si>
  <si>
    <t>17-Jun-SR-IND-10</t>
  </si>
  <si>
    <t>Elegans Infra</t>
  </si>
  <si>
    <t>17-Jun-SR-IND-11</t>
  </si>
  <si>
    <t>M.Amruthanath</t>
  </si>
  <si>
    <t>17-Jun-SR-IND-12</t>
  </si>
  <si>
    <t>17-Jun-SR-IND-13</t>
  </si>
  <si>
    <t>K.Venkata Sai Phani Krishna</t>
  </si>
  <si>
    <t>17-Jun-SR-IND-14</t>
  </si>
  <si>
    <t>N.Chandra Deepti</t>
  </si>
  <si>
    <t>17-Jun-SR-SME-6</t>
  </si>
  <si>
    <t>K.Srinivas</t>
  </si>
  <si>
    <t>17-Jun-SR-SME-1</t>
  </si>
  <si>
    <t xml:space="preserve">Pulse Pharmacuticals </t>
  </si>
  <si>
    <t>17-May-SR-SME-12</t>
  </si>
  <si>
    <t>Shakti Cables</t>
  </si>
  <si>
    <t>16-Jan-SR-COS-19</t>
  </si>
  <si>
    <t>K.Prashanti</t>
  </si>
  <si>
    <t>17-May-SR-SME-10</t>
  </si>
  <si>
    <t>M.Manjula</t>
  </si>
  <si>
    <t>17-May-SR-SME-11</t>
  </si>
  <si>
    <t>Narayana Reddy</t>
  </si>
  <si>
    <t>17-May-SR-SME-7</t>
  </si>
  <si>
    <t>V.Durga Sudha</t>
  </si>
  <si>
    <t>17-May-SR-SME-6</t>
  </si>
  <si>
    <t>Shwetha Agarwal</t>
  </si>
  <si>
    <t>17-May-SR-SME-5</t>
  </si>
  <si>
    <t>E.N Ashok Kumar</t>
  </si>
  <si>
    <t>17-May-SR-SME-4</t>
  </si>
  <si>
    <t>D.Satish</t>
  </si>
  <si>
    <t>17-Apr-SR-SME-5</t>
  </si>
  <si>
    <t>Gurupreet Galvanaizing Pvt Ltd</t>
  </si>
  <si>
    <t>17-Apr-SR-SME-6</t>
  </si>
  <si>
    <t>17-Apr-SR-SME-7</t>
  </si>
  <si>
    <t>17-Apr-SR-SME-8</t>
  </si>
  <si>
    <t>17-Apr-SR-SME-9</t>
  </si>
  <si>
    <t>17-Apr-SR-SME-2</t>
  </si>
  <si>
    <t>P.Snigdha</t>
  </si>
  <si>
    <t>16-Mar-SR-IND-13</t>
  </si>
  <si>
    <t>Surendra Narala</t>
  </si>
  <si>
    <t>16-Mar-SR-IND-19</t>
  </si>
  <si>
    <t>M.Siva Prasad</t>
  </si>
  <si>
    <t>16-Apr-SR-IND-4</t>
  </si>
  <si>
    <t>A.Nagi Reddy</t>
  </si>
  <si>
    <t>16-Apr-SR-IND-5</t>
  </si>
  <si>
    <t>V.Srinivas Rao</t>
  </si>
  <si>
    <t>17-Mar-SR-SME-21</t>
  </si>
  <si>
    <t>Sampath Industries</t>
  </si>
  <si>
    <t>16-May-SR-IND-5</t>
  </si>
  <si>
    <t>Ramaraju Hanumatha rao</t>
  </si>
  <si>
    <t>17-Mar-SR-SME-15</t>
  </si>
  <si>
    <t>Urmila Sarda</t>
  </si>
  <si>
    <t>17-Mar-SR-SME-12</t>
  </si>
  <si>
    <t>Radhika (Madhusudan)</t>
  </si>
  <si>
    <t>17-Mar-SR-SME-13</t>
  </si>
  <si>
    <t>17-Mar-SR-SME-14</t>
  </si>
  <si>
    <t>Putta Madhusudan</t>
  </si>
  <si>
    <t>17-Mar-SR-SME-4</t>
  </si>
  <si>
    <t>Sunkohu Sridevi</t>
  </si>
  <si>
    <t>17-Mar-SR-SME-1</t>
  </si>
  <si>
    <t>Bharathi Enterprises</t>
  </si>
  <si>
    <t>17-Feb-SR-SME-7</t>
  </si>
  <si>
    <t>Vamshi Krishna</t>
  </si>
  <si>
    <t>17-Feb-SR-SME-8</t>
  </si>
  <si>
    <t>Balaji Refrigeration &amp; Chandra Shekar</t>
  </si>
  <si>
    <t>17-Feb-SR-SME-6</t>
  </si>
  <si>
    <t>C.K Linga Reddy &amp; Others</t>
  </si>
  <si>
    <t>17-Feb-SR-SME-5</t>
  </si>
  <si>
    <t>Sanjay Technical Services Pvt Ltd</t>
  </si>
  <si>
    <t>16-Jul-SR-IND-9</t>
  </si>
  <si>
    <t>Raja Sree &amp; Vidhyanandana</t>
  </si>
  <si>
    <t>17-Feb-SR-SME-3</t>
  </si>
  <si>
    <t>17-Feb-SR-SME-2</t>
  </si>
  <si>
    <t>Hi-Tech Engineering</t>
  </si>
  <si>
    <t>16-Dec-SR-SME-4</t>
  </si>
  <si>
    <t>Sai Balaji Industries</t>
  </si>
  <si>
    <t>16-Nov-SR-SME-7</t>
  </si>
  <si>
    <t>Prashant Saboo</t>
  </si>
  <si>
    <t>16-Aug-SR-IND-6</t>
  </si>
  <si>
    <t>Nallapaneni Anji</t>
  </si>
  <si>
    <t>16-Nov-SR-SME-8</t>
  </si>
  <si>
    <t>16-Nov-SR-SME-9</t>
  </si>
  <si>
    <t>16-Nov-SR-SME-6</t>
  </si>
  <si>
    <t>K.Bhava Narayana</t>
  </si>
  <si>
    <t>16-Nov-SR-SME-3</t>
  </si>
  <si>
    <t>Karan's Project Pvt Ltd</t>
  </si>
  <si>
    <t>16-Sep-SR-IND-35</t>
  </si>
  <si>
    <t>SVLN Developers</t>
  </si>
  <si>
    <t>16-Nov-SR-SME-4</t>
  </si>
  <si>
    <t>16-Oct-SR-IND-7</t>
  </si>
  <si>
    <t>B.V.S Reddy</t>
  </si>
  <si>
    <t>16-Oct-SR-COS-4</t>
  </si>
  <si>
    <t>Pinnamaneni Siva Teja</t>
  </si>
  <si>
    <t>16-Nov-SR-SME-5</t>
  </si>
  <si>
    <t>16-Oct-SR-SME-7</t>
  </si>
  <si>
    <t>Bhavini Ved</t>
  </si>
  <si>
    <t>16-Sep-SR-SME-8</t>
  </si>
  <si>
    <t>K.Venkatesh &amp;Neelima</t>
  </si>
  <si>
    <t>16-Sep-SR-SME-1</t>
  </si>
  <si>
    <t>Pradeep kumar Gupta</t>
  </si>
  <si>
    <t>16-Aug-SR-SME-10</t>
  </si>
  <si>
    <t>B.Laxmi  Narayana</t>
  </si>
  <si>
    <t>16-Aug-SR-SME-3</t>
  </si>
  <si>
    <t>Golden Mesh Industries</t>
  </si>
  <si>
    <t>16-Aug-SR-SME-4</t>
  </si>
  <si>
    <t>K.venkateshwara Rao</t>
  </si>
  <si>
    <t>16-Nov-SR-IND-6</t>
  </si>
  <si>
    <t>Deepchand Bondalapati</t>
  </si>
  <si>
    <t>16-Nov-SR-IND-7</t>
  </si>
  <si>
    <t>Uppala Papi Reddy</t>
  </si>
  <si>
    <t>16-Nov-SR-IND-8</t>
  </si>
  <si>
    <t>Elite Meadows</t>
  </si>
  <si>
    <t>16-Nov-SR-IND-11</t>
  </si>
  <si>
    <t>Nagaraju Dhupati</t>
  </si>
  <si>
    <t>16-Nov-SR-IND-14</t>
  </si>
  <si>
    <t>KSR Indrani Heights</t>
  </si>
  <si>
    <t>16-Nov-SR-IND-15</t>
  </si>
  <si>
    <t>Maddamshetty Jagadeeshwari</t>
  </si>
  <si>
    <t>16-Nov-SR-IND-16</t>
  </si>
  <si>
    <t>V.Srinivasa Rao</t>
  </si>
  <si>
    <t>Kakateeya Nagar</t>
  </si>
  <si>
    <t>16-Aug-SR-SME-1</t>
  </si>
  <si>
    <t>O-Venkata Subba Reddy</t>
  </si>
  <si>
    <t>16-Dec-SR-IND-1</t>
  </si>
  <si>
    <t>Pedireddy Govinda Rao</t>
  </si>
  <si>
    <t>16-Dec-SR-IND-2</t>
  </si>
  <si>
    <t>Danavalli Vijaya Sree</t>
  </si>
  <si>
    <t>16-Dec-SR-IND-3</t>
  </si>
  <si>
    <t>Kyatham Venkata Ramana Reddy</t>
  </si>
  <si>
    <t>16-Dec-SR-IND-4</t>
  </si>
  <si>
    <t>Katpally Ganga Bhagwan Reddy</t>
  </si>
  <si>
    <t>16-Dec-SR-IND-5</t>
  </si>
  <si>
    <t>Menneni Bala Kishan Rai</t>
  </si>
  <si>
    <t>16-Dec-SR-IND-6</t>
  </si>
  <si>
    <t>Adavalli Srinivas Reddy</t>
  </si>
  <si>
    <t>16-Dec-SR-IND-8</t>
  </si>
  <si>
    <t>Kommana Boina Venkateshwara Rao</t>
  </si>
  <si>
    <t>16-Dec-SR-IND-14</t>
  </si>
  <si>
    <t>G.Mani Kumar(Mamatha)</t>
  </si>
  <si>
    <t>17-Jan-SR-IND-2</t>
  </si>
  <si>
    <t>P.Narsimha Raju</t>
  </si>
  <si>
    <t>17-Jan-SR-IND-5</t>
  </si>
  <si>
    <t>Kaparapa Sahadev</t>
  </si>
  <si>
    <t>17-Jan-SR-IND-9</t>
  </si>
  <si>
    <t>Menneni Rajitha</t>
  </si>
  <si>
    <t>16-Jul-SR-SME-18</t>
  </si>
  <si>
    <t>Ch.Harinath Singh</t>
  </si>
  <si>
    <t>16-Jun-SR-SME-16</t>
  </si>
  <si>
    <t>Teegala Laxma Reddy</t>
  </si>
  <si>
    <t>16-Jun-SR-SME-5</t>
  </si>
  <si>
    <t>S.Prathap Reddy</t>
  </si>
  <si>
    <t>16-Jun-SR-SME-17</t>
  </si>
  <si>
    <t>I.Deepika &amp; Madhu Sudhan</t>
  </si>
  <si>
    <t>16-Jun-SR-SME-13</t>
  </si>
  <si>
    <t>K.Nageshwara Rao</t>
  </si>
  <si>
    <t>16-Jun-SR-SME-1</t>
  </si>
  <si>
    <t>Varad Extrusions</t>
  </si>
  <si>
    <t>16-Jun-SR-SME-2</t>
  </si>
  <si>
    <t>16-May-SR-SME-4</t>
  </si>
  <si>
    <t>Md.Growell Formulation P.Ltd</t>
  </si>
  <si>
    <t>16-Mar-SR-SME-8</t>
  </si>
  <si>
    <t>Aditya Enterprises</t>
  </si>
  <si>
    <t>16-Mar-SR-SME-3</t>
  </si>
  <si>
    <t>Rajeshwari Industries</t>
  </si>
  <si>
    <t>16-Mar-SR-SME-19</t>
  </si>
  <si>
    <t>G.Sharada</t>
  </si>
  <si>
    <t>16-Mar-SR-SME-52</t>
  </si>
  <si>
    <t>Sri Lakshmi Steels</t>
  </si>
  <si>
    <t>16-Mar-SR-SME-53</t>
  </si>
  <si>
    <t>16-Jul-SR-COS-2</t>
  </si>
  <si>
    <t>Imax Developers Pvt Ltd</t>
  </si>
  <si>
    <t>16-Jul-SR-COS-5</t>
  </si>
  <si>
    <t>Brahma Gurbani(Kishanchand)</t>
  </si>
  <si>
    <t>16-Jul-SR-IND-15</t>
  </si>
  <si>
    <t>Nutakki Chandra Deepthi</t>
  </si>
  <si>
    <t>16-Jul-SR-IND-17</t>
  </si>
  <si>
    <t>Naga Durga Usha</t>
  </si>
  <si>
    <t>16-Jul-SR-IND-27</t>
  </si>
  <si>
    <t>Vijitha Yerramsetty</t>
  </si>
  <si>
    <t>16-Jun-SR-IND-30</t>
  </si>
  <si>
    <t>Mendu Preetish</t>
  </si>
  <si>
    <t>16-Mar-SR-SME-54</t>
  </si>
  <si>
    <t>16-Mar-SR-SME-55</t>
  </si>
  <si>
    <t>16-Mar-SR-SME-18</t>
  </si>
  <si>
    <t>Swathi Industries</t>
  </si>
  <si>
    <t>16-Mar-SR-SME-9</t>
  </si>
  <si>
    <t>Deepak Galvanising</t>
  </si>
  <si>
    <t>16-Feb-SR-SME-3</t>
  </si>
  <si>
    <t>Jaithri Fuel Station</t>
  </si>
  <si>
    <t>16-Jan-SR-SME-62</t>
  </si>
  <si>
    <t>Pushpakala &amp; Praveen &amp; Prasad</t>
  </si>
  <si>
    <t>16-Mar-SR-IND-2</t>
  </si>
  <si>
    <t>S.Charan Tej Reddy</t>
  </si>
  <si>
    <t>17-Apr-SR-IND-9</t>
  </si>
  <si>
    <t>Sai Ram Constructions</t>
  </si>
  <si>
    <t>16-Jan-SR-SME-56</t>
  </si>
  <si>
    <t>Sharadha Eco Power Ltd</t>
  </si>
  <si>
    <t>16-Jan-SR-SME-57</t>
  </si>
  <si>
    <t>16-Jan-SR-SME-58</t>
  </si>
  <si>
    <t>16-Jan-SR-SME-61</t>
  </si>
  <si>
    <t>15-Dec-SR-SME-30</t>
  </si>
  <si>
    <t>S.Vijay laxmi</t>
  </si>
  <si>
    <t>15-Nov-SR-SME-81</t>
  </si>
  <si>
    <t>V.Durga Devi</t>
  </si>
  <si>
    <t>08-Sep-SR-SME-7</t>
  </si>
  <si>
    <t>Bharat Tubes</t>
  </si>
  <si>
    <t>17-May-SR-COS-3</t>
  </si>
  <si>
    <t>Saraswathi Devi</t>
  </si>
  <si>
    <t>17-May-SR-COS-4</t>
  </si>
  <si>
    <t>Ritesh Suresh</t>
  </si>
  <si>
    <t>17-May-SR-COS-5</t>
  </si>
  <si>
    <t>Saboo Motors</t>
  </si>
  <si>
    <t>17-May-SR-COS-6</t>
  </si>
  <si>
    <t>Anupam Fuels Pvt Ltd</t>
  </si>
  <si>
    <t>17-May-SR-COS-7</t>
  </si>
  <si>
    <t>Ritesh Sureka</t>
  </si>
  <si>
    <t>17-May-SR-COS-8</t>
  </si>
  <si>
    <t>K.Uday Kumar</t>
  </si>
  <si>
    <t>17-May-SR-IND-1</t>
  </si>
  <si>
    <t>V.Srinivas</t>
  </si>
  <si>
    <t>17-May-SR-IND-2</t>
  </si>
  <si>
    <t>17-May-SR-IND-4</t>
  </si>
  <si>
    <t>N.Chandra Deepthi</t>
  </si>
  <si>
    <t>17-May-SR-IND-7</t>
  </si>
  <si>
    <t>S.Srinivasa Reddy</t>
  </si>
  <si>
    <t>17-May-SR-IND-8</t>
  </si>
  <si>
    <t>P.V Narsimha Raju</t>
  </si>
  <si>
    <t>17-May-SR-IND-10</t>
  </si>
  <si>
    <t>M.Srinivas Reddy</t>
  </si>
  <si>
    <t>17-May-SR-IND-11</t>
  </si>
  <si>
    <t>S.V.L.N Developers</t>
  </si>
  <si>
    <t>17-May-SR-IND-12</t>
  </si>
  <si>
    <t>Vishnu Reddy</t>
  </si>
  <si>
    <t>17-May-SR-IND-13</t>
  </si>
  <si>
    <t>R.Symala Kumari</t>
  </si>
  <si>
    <t>17-May-SR-IND-17</t>
  </si>
  <si>
    <t>G.Ashok Arya</t>
  </si>
  <si>
    <t>15-Sep-MA-SBH-55</t>
  </si>
  <si>
    <t>Baleeshwaraiah</t>
  </si>
  <si>
    <t>15-Sep-MA-SBH-66</t>
  </si>
  <si>
    <t>U.Bhaskarn</t>
  </si>
  <si>
    <t>15-Sep-MA-SBH-84</t>
  </si>
  <si>
    <t>M.Santaiah</t>
  </si>
  <si>
    <t>15-Oct-MA-SBH-44</t>
  </si>
  <si>
    <t>Pooja Nekth</t>
  </si>
  <si>
    <t>15-Oct-MA-SBH-48</t>
  </si>
  <si>
    <t>K.Kowmidi</t>
  </si>
  <si>
    <t>15-Oct-MA-SBH-51</t>
  </si>
  <si>
    <t>M.Vikram kumar</t>
  </si>
  <si>
    <t>Vijayanagar colony</t>
  </si>
  <si>
    <t>15-Oct-MA-SBH-59</t>
  </si>
  <si>
    <t>D.Vimala</t>
  </si>
  <si>
    <t>15-Oct-MA-UBI-20</t>
  </si>
  <si>
    <t>S.Pandari</t>
  </si>
  <si>
    <t>15-Nov-MA-SBH-15</t>
  </si>
  <si>
    <t>S.Ponnaiah</t>
  </si>
  <si>
    <t>15-Nov-MA-SBH-24</t>
  </si>
  <si>
    <t>Pramila &amp; Sharma</t>
  </si>
  <si>
    <t>15-Nov-MA-SBH-37</t>
  </si>
  <si>
    <t>Krishna Murthy</t>
  </si>
  <si>
    <t>15-Nov-MA-SBH-48</t>
  </si>
  <si>
    <t>Lalitha</t>
  </si>
  <si>
    <t>Mahender</t>
  </si>
  <si>
    <t>15-Nov-MA-SBH-62</t>
  </si>
  <si>
    <t>Msv,Kamasai &amp;Deshapaka.Pradeep</t>
  </si>
  <si>
    <t>15-Nov-MA-SBH-65</t>
  </si>
  <si>
    <t>Ranga chary</t>
  </si>
  <si>
    <t>15-Nov-MA-SBH-67</t>
  </si>
  <si>
    <t>R.Raghavaiah</t>
  </si>
  <si>
    <t>RACPC-CYBARABAD</t>
  </si>
  <si>
    <t>15-Nov-MA-SBH-83</t>
  </si>
  <si>
    <t>G.Anil Kumar Reddy</t>
  </si>
  <si>
    <t>15-Nov-MA-SBH-130</t>
  </si>
  <si>
    <t>M.Ramesh</t>
  </si>
  <si>
    <t>15-Dec-MA-SBH-10</t>
  </si>
  <si>
    <t>S.Venkat reddy</t>
  </si>
  <si>
    <t>15-Dec-MA-SBH-15</t>
  </si>
  <si>
    <t>Uma rani</t>
  </si>
  <si>
    <t>15-Dec-MA-SBH-23</t>
  </si>
  <si>
    <t>M.Vamshi krishna reddy</t>
  </si>
  <si>
    <t>15-Dec-MA-SBH-39</t>
  </si>
  <si>
    <t>B.Mahendr Yadav</t>
  </si>
  <si>
    <t>15-Dec-MA-SBH-86</t>
  </si>
  <si>
    <t>K.V.S.Prabhakar</t>
  </si>
  <si>
    <t>15-Dec-MA-SBH-109</t>
  </si>
  <si>
    <t>A.Prashanth</t>
  </si>
  <si>
    <t>16-Jan-MA-SBH-5</t>
  </si>
  <si>
    <t>U.Savithri</t>
  </si>
  <si>
    <t>16-Jan-MA-SBH-40</t>
  </si>
  <si>
    <t>Krishna Menan</t>
  </si>
  <si>
    <t>16-Jan-MA-SBH-59</t>
  </si>
  <si>
    <t>K.Raghu nath</t>
  </si>
  <si>
    <t>Ramanthapur ( racpc-cyberabad)</t>
  </si>
  <si>
    <t>16-Jan-MA-UBI-24</t>
  </si>
  <si>
    <t>Nikhil Surabhi</t>
  </si>
  <si>
    <t>16-Jan-MA-UBI-26</t>
  </si>
  <si>
    <t>Ramesh.Aruva</t>
  </si>
  <si>
    <t>16-Jan-MA-UBI-27</t>
  </si>
  <si>
    <t>V.Praveen kumar</t>
  </si>
  <si>
    <t>16-Jan-MA-UBI-44</t>
  </si>
  <si>
    <t>Srinivas reddy</t>
  </si>
  <si>
    <t>16-Jan-MA-UBI-46</t>
  </si>
  <si>
    <t>Preem.Sai kumar</t>
  </si>
  <si>
    <t>16-Feb-MA-SBH-9</t>
  </si>
  <si>
    <t>A.Yellareddy</t>
  </si>
  <si>
    <t>16-Feb-MA-SBH-31</t>
  </si>
  <si>
    <t>Karnakar</t>
  </si>
  <si>
    <t>16-Feb-MA-SBH-33</t>
  </si>
  <si>
    <t>Achyuth</t>
  </si>
  <si>
    <t>16-Feb-MA-SBH-36</t>
  </si>
  <si>
    <t>C.Purandhar</t>
  </si>
  <si>
    <t>16-Feb-MA-SBH-37</t>
  </si>
  <si>
    <t>K.Gopal reddy</t>
  </si>
  <si>
    <t>16-Feb-MA-SBH-38</t>
  </si>
  <si>
    <t>K.Vanaja</t>
  </si>
  <si>
    <t>16-Feb-MA-SBH-105</t>
  </si>
  <si>
    <t>Sheetal  devi</t>
  </si>
  <si>
    <t>16-Feb-MA-SBH-107</t>
  </si>
  <si>
    <t>Bhavani Bar&amp;Restaurent</t>
  </si>
  <si>
    <t>SMECCC</t>
  </si>
  <si>
    <t>16-Feb-MA-SBH-108</t>
  </si>
  <si>
    <t>Lakshmi Jyotsna</t>
  </si>
  <si>
    <t>16-Feb-MA-SBH-109</t>
  </si>
  <si>
    <t>B.N Lakshmi prasanna</t>
  </si>
  <si>
    <t>16-Feb-MA-SBH-110</t>
  </si>
  <si>
    <t>N.praveen kumar</t>
  </si>
  <si>
    <t>16-Feb-MA-SBH-113</t>
  </si>
  <si>
    <t>Y.pentaiah</t>
  </si>
  <si>
    <t>16-Feb-MA-UBI-34</t>
  </si>
  <si>
    <t xml:space="preserve"> K.Raghu pathi reddy</t>
  </si>
  <si>
    <t>16-Feb-MA-SBT-2</t>
  </si>
  <si>
    <t>B.V.K.Nrsimha</t>
  </si>
  <si>
    <t>16-Feb-MA-SBT-3</t>
  </si>
  <si>
    <t>16-Feb-MA-SBT-6</t>
  </si>
  <si>
    <t>Veeramani</t>
  </si>
  <si>
    <t>16-Feb-MA-SBT-8</t>
  </si>
  <si>
    <t>Johan  &amp; Gorge</t>
  </si>
  <si>
    <t>Padhma Rao Nagar</t>
  </si>
  <si>
    <t>16-Feb-MA-SBT-15</t>
  </si>
  <si>
    <t>Jaya kumar</t>
  </si>
  <si>
    <t>16-Mar-MA-SBH-2</t>
  </si>
  <si>
    <t>D.Yadagiri</t>
  </si>
  <si>
    <t>16-Mar-MA-SBH-13</t>
  </si>
  <si>
    <t>Pusuloju Sudarshan</t>
  </si>
  <si>
    <t>16-Mar-MA-SBH-78</t>
  </si>
  <si>
    <t>Venkata Bala Prasad</t>
  </si>
  <si>
    <t>16-Mar-MA-SBH-145</t>
  </si>
  <si>
    <t>J.Chirstopher Raj</t>
  </si>
  <si>
    <t>16-Mar-MA-UBI-14</t>
  </si>
  <si>
    <t>Khaza Kusuma Kumari</t>
  </si>
  <si>
    <t>16-Mar-MA-SBT-1</t>
  </si>
  <si>
    <t>T.Subash</t>
  </si>
  <si>
    <t>16-Mar-MA-SBT-11</t>
  </si>
  <si>
    <t>N.Mallikarjuna Raja Shekar</t>
  </si>
  <si>
    <t>16-Mar-MA-SBT-18</t>
  </si>
  <si>
    <t>M.Sri Devi</t>
  </si>
  <si>
    <t>16-Apr-MA-SBT-9</t>
  </si>
  <si>
    <t>Durga Bai</t>
  </si>
  <si>
    <t>16-Apr-MA-SBT-12</t>
  </si>
  <si>
    <t>G.Mallikarjuna Reddy</t>
  </si>
  <si>
    <t>16-Apr-MA-SBT-14</t>
  </si>
  <si>
    <t>N.Srinivas Reddy</t>
  </si>
  <si>
    <t>16-Apr-MA-UBI-16</t>
  </si>
  <si>
    <t>Sravana Varalaxmi</t>
  </si>
  <si>
    <t>16-May-MA-SBH-29</t>
  </si>
  <si>
    <t>Chandra shekar</t>
  </si>
  <si>
    <t>16-May-MA-SBH-33</t>
  </si>
  <si>
    <t>Venkatasai prashanth</t>
  </si>
  <si>
    <t>RACPC-ABIDS</t>
  </si>
  <si>
    <t>16-May-MA-SBH-39</t>
  </si>
  <si>
    <t>Syd.Najeebuddin</t>
  </si>
  <si>
    <t>16-May-MA-SBH-51</t>
  </si>
  <si>
    <t>Beerendra Kumar  Singh</t>
  </si>
  <si>
    <t>Defence colony</t>
  </si>
  <si>
    <t>16-May-MA-SBH-54</t>
  </si>
  <si>
    <t>K.Madhavi</t>
  </si>
  <si>
    <t>16-May-MA-SBH-55</t>
  </si>
  <si>
    <t>R.S.Sreekanth</t>
  </si>
  <si>
    <t>16-May-MA-SBH-78</t>
  </si>
  <si>
    <t>M.Vijaya</t>
  </si>
  <si>
    <t>16-May-MA-UBI-23</t>
  </si>
  <si>
    <t>L.Srinivas Rao</t>
  </si>
  <si>
    <t>16-May-MA-UBI-25</t>
  </si>
  <si>
    <t>S.Pavan</t>
  </si>
  <si>
    <t>16-May-MA-SBT-1</t>
  </si>
  <si>
    <t>K.M.Electrices</t>
  </si>
  <si>
    <t>16-Jun-MA-SBH-12</t>
  </si>
  <si>
    <t>G.Anjali (Venkateshwar)</t>
  </si>
  <si>
    <t>16-Jun-MA-SBH-13</t>
  </si>
  <si>
    <t>R.Venkataiah</t>
  </si>
  <si>
    <t>16-Jun-MA-SBH-14</t>
  </si>
  <si>
    <t>P.Divya</t>
  </si>
  <si>
    <t>16-Jun-MA-SBH-46</t>
  </si>
  <si>
    <t>S.Prashanth</t>
  </si>
  <si>
    <t>16-Jun-MA-SBH-52</t>
  </si>
  <si>
    <t>K.Sunanda Varma</t>
  </si>
  <si>
    <t>II T Branch</t>
  </si>
  <si>
    <t>16-Jun-MA-SBH-54</t>
  </si>
  <si>
    <t>G.Laxma Reddy</t>
  </si>
  <si>
    <t>16-Jun-MA-SBH-90</t>
  </si>
  <si>
    <t>16-Jun-MA-SBH-91</t>
  </si>
  <si>
    <t>G.Naresh</t>
  </si>
  <si>
    <t>16-Jun-MA-SBT-2</t>
  </si>
  <si>
    <t>Ramky</t>
  </si>
  <si>
    <t>16-Jul-MA-SBH-8</t>
  </si>
  <si>
    <t>Sathish Kumar</t>
  </si>
  <si>
    <t>16-Jul-MA-SBH-30</t>
  </si>
  <si>
    <t>K.Ramulu</t>
  </si>
  <si>
    <t>16-Jul-MA-SBH-42</t>
  </si>
  <si>
    <t>Srujana &amp; Srinivas</t>
  </si>
  <si>
    <t>16-Jul-MA-SBH-53</t>
  </si>
  <si>
    <t>Parameshwar</t>
  </si>
  <si>
    <t>16-Jul-MA-SBH-59</t>
  </si>
  <si>
    <t>Dwarakanath</t>
  </si>
  <si>
    <t>16-Jul-MA-SBH-68</t>
  </si>
  <si>
    <t>B.Sridevi</t>
  </si>
  <si>
    <t>16-Aug-MA-SBH-1</t>
  </si>
  <si>
    <t>N.Nirmala</t>
  </si>
  <si>
    <t>16-Aug-MA-SBH-2</t>
  </si>
  <si>
    <t>Anuradha</t>
  </si>
  <si>
    <t>16-Aug-MA-SBH-28</t>
  </si>
  <si>
    <t>Kumarkar Rajesh</t>
  </si>
  <si>
    <t>16-Aug-MA-SBH-43</t>
  </si>
  <si>
    <t>Ravindera</t>
  </si>
  <si>
    <t>16-Aug-MA-SBH-46</t>
  </si>
  <si>
    <t>P.Satya Venkatesh</t>
  </si>
  <si>
    <t>16-Aug-MA-UBI-8</t>
  </si>
  <si>
    <t>T.Madhu Babu</t>
  </si>
  <si>
    <t>16-Aug-MA-UBI-14</t>
  </si>
  <si>
    <t>Nanda Kishore</t>
  </si>
  <si>
    <t>16-Aug-MA-SBP-3</t>
  </si>
  <si>
    <t>N.Maruthi Prasad</t>
  </si>
  <si>
    <t>16-Aug-MA-SBP-4</t>
  </si>
  <si>
    <t>B.Rajashekar</t>
  </si>
  <si>
    <t>16-Sep-MA-SBH-11</t>
  </si>
  <si>
    <t>Zaheda Sultana</t>
  </si>
  <si>
    <t>16-Sep-MA-SBH-43</t>
  </si>
  <si>
    <t>T.Manoja Prasad</t>
  </si>
  <si>
    <t>16-Sep-MA-SBT-5</t>
  </si>
  <si>
    <t>Jaya Raj Reddy</t>
  </si>
  <si>
    <t>16-Oct-MA-SBH-23</t>
  </si>
  <si>
    <t>D.Ajay Kumar</t>
  </si>
  <si>
    <t>Manohar</t>
  </si>
  <si>
    <t>16-Oct-MA-SBH-25</t>
  </si>
  <si>
    <t>Srikanth Goud</t>
  </si>
  <si>
    <t>16-Oct-MA-SBH-26</t>
  </si>
  <si>
    <t>Vijaya Ratnam</t>
  </si>
  <si>
    <t>16-Oct-MA-SBH-44</t>
  </si>
  <si>
    <t>C.Vinay Kumar</t>
  </si>
  <si>
    <t>16-Oct-MA-SBH-47</t>
  </si>
  <si>
    <t>B.Siddi Reddy</t>
  </si>
  <si>
    <t>16-Oct-MA-SBH-52</t>
  </si>
  <si>
    <t>Mahender Yadaiah</t>
  </si>
  <si>
    <t>16-Oct-MA-UBI-14</t>
  </si>
  <si>
    <t>Narayan Rao</t>
  </si>
  <si>
    <t>16-Oct-MA-SBT-3</t>
  </si>
  <si>
    <t>J.Nageshwar Rao</t>
  </si>
  <si>
    <t>16-Oct-MA-SBT-8</t>
  </si>
  <si>
    <t>A.Vijay</t>
  </si>
  <si>
    <t>16-Nov-MA-SBH-14</t>
  </si>
  <si>
    <t>G.Srinivasa Raju(Raja Babu)</t>
  </si>
  <si>
    <t>16-Nov-MA-SBH-16</t>
  </si>
  <si>
    <t>T.Papi Reddy</t>
  </si>
  <si>
    <t>16-Nov-MA-SBH-17</t>
  </si>
  <si>
    <t>Bandaiah</t>
  </si>
  <si>
    <t>16-Nov-MA-SBH-18</t>
  </si>
  <si>
    <t>Amaravathi</t>
  </si>
  <si>
    <t>16-Nov-MA-UBI-7</t>
  </si>
  <si>
    <t>P.Anitha</t>
  </si>
  <si>
    <t>16-Nov-MA-UBI-11</t>
  </si>
  <si>
    <t>Tirumalesh</t>
  </si>
  <si>
    <t>Loan point</t>
  </si>
  <si>
    <t>16-Nov-MA-UBI-18</t>
  </si>
  <si>
    <t>STAFF</t>
  </si>
  <si>
    <t>16-Nov-MA-SBT-1</t>
  </si>
  <si>
    <t>P.Chenna Keshava Rao</t>
  </si>
  <si>
    <t>16-Nov-MA-SBT-2</t>
  </si>
  <si>
    <t>K.Venkateshwarlu</t>
  </si>
  <si>
    <t>16-Nov-MA-SBT-3</t>
  </si>
  <si>
    <t>Anas Mohiuddin</t>
  </si>
  <si>
    <t>16-Dec-MA-SBH-2</t>
  </si>
  <si>
    <t>Y.S Anjaneyulu</t>
  </si>
  <si>
    <t>16-Dec-MA-SBH-4</t>
  </si>
  <si>
    <t>Sujatha</t>
  </si>
  <si>
    <t>16-Dec-MA-SBH-43</t>
  </si>
  <si>
    <t>Galanda Power &amp;Tele Communication</t>
  </si>
  <si>
    <t>16-Dec-MA-SBH-51</t>
  </si>
  <si>
    <t>Sunandini Goud</t>
  </si>
  <si>
    <t>16-Dec-MA-SBH-54</t>
  </si>
  <si>
    <t>16-Dec-MA-UBI-20</t>
  </si>
  <si>
    <t>Sri Subham Srinivas</t>
  </si>
  <si>
    <t>16-Dec-MA-UBI-23</t>
  </si>
  <si>
    <t>Srinath</t>
  </si>
  <si>
    <t>16-Dec-MA-SBT-2</t>
  </si>
  <si>
    <t>Suvidha Inspection Methods</t>
  </si>
  <si>
    <t>16-Dec-MA-SBT-5</t>
  </si>
  <si>
    <t>M.V.S Venu Gopal</t>
  </si>
  <si>
    <t>16-Dec-MA-SBP-1</t>
  </si>
  <si>
    <t xml:space="preserve">Sanajay </t>
  </si>
  <si>
    <t>17-Jan-MA-SBH-10</t>
  </si>
  <si>
    <t>17-Jan-MA-SBH-42</t>
  </si>
  <si>
    <t>K.R Vyas Rao</t>
  </si>
  <si>
    <t>17-Jan-MA-UBI-17</t>
  </si>
  <si>
    <t>17-Jan-MA-UBI-25</t>
  </si>
  <si>
    <t>Ashok</t>
  </si>
  <si>
    <t>17-Feb-MA-SBH-5</t>
  </si>
  <si>
    <t>Sambaiah</t>
  </si>
  <si>
    <t>17-Feb-MA-SBH-12</t>
  </si>
  <si>
    <t>Mallesh</t>
  </si>
  <si>
    <t>17-Feb-MA-SBH-15</t>
  </si>
  <si>
    <t>T.Srikanth</t>
  </si>
  <si>
    <t>17-Feb-MA-SBH-30</t>
  </si>
  <si>
    <t>B.O Chenna Reddy</t>
  </si>
  <si>
    <t>17-Feb-MA-UBI-9</t>
  </si>
  <si>
    <t>Rajendra</t>
  </si>
  <si>
    <t>17-Feb-MA-UBI-16</t>
  </si>
  <si>
    <t>Razwana Begum</t>
  </si>
  <si>
    <t>16-Feb-MA-SBT-4</t>
  </si>
  <si>
    <t>Soumya Mathew</t>
  </si>
  <si>
    <t>17-Feb-MA-SBP-1</t>
  </si>
  <si>
    <t>S.Satish Kumar</t>
  </si>
  <si>
    <t>17-Feb-MA-SBP-4</t>
  </si>
  <si>
    <t>Vijaya Kumar</t>
  </si>
  <si>
    <t>17-Feb-MA-AXI-1</t>
  </si>
  <si>
    <t>Rajeet Reddy</t>
  </si>
  <si>
    <t>17-Feb-MA-AXI-2</t>
  </si>
  <si>
    <t>Ashok Agarwal</t>
  </si>
  <si>
    <t>17-Feb-MA-AXI-3</t>
  </si>
  <si>
    <t>Greentek India Pvt  Ltd</t>
  </si>
  <si>
    <t>(2/3/17)</t>
  </si>
  <si>
    <t>17-Feb-MA-AXI-4</t>
  </si>
  <si>
    <t>Vara Laxmi</t>
  </si>
  <si>
    <t>(2/4/17)</t>
  </si>
  <si>
    <t>17-Feb-MA-AXI-5</t>
  </si>
  <si>
    <t>Krishna Mohan</t>
  </si>
  <si>
    <t>(2/5/17)</t>
  </si>
  <si>
    <t>17-Feb-MA-AXI-6</t>
  </si>
  <si>
    <t>Bhawant Anand</t>
  </si>
  <si>
    <t>17-Feb-MA-AXI-7</t>
  </si>
  <si>
    <t>G.Narsing Rao</t>
  </si>
  <si>
    <t>17-Feb-MA-AXI-8</t>
  </si>
  <si>
    <t>Bhushanam Goud</t>
  </si>
  <si>
    <t>17-Feb-MA-AXI-11</t>
  </si>
  <si>
    <t>Ashvan Datta</t>
  </si>
  <si>
    <t>17-Feb-MA-AXI-12</t>
  </si>
  <si>
    <t>NCL Wintech India Ltd</t>
  </si>
  <si>
    <t>17-Feb-MA-AXI-13</t>
  </si>
  <si>
    <t>Santoshi Kumari Devi</t>
  </si>
  <si>
    <t>17-Feb-MA-AXI-14</t>
  </si>
  <si>
    <t>Sekhar Padhy</t>
  </si>
  <si>
    <t>17-Feb-MA-AXI-15</t>
  </si>
  <si>
    <t>17-Feb-MA-AXI-17</t>
  </si>
  <si>
    <t>17-Mar-MA-SBH-34</t>
  </si>
  <si>
    <t>E.Mahimala</t>
  </si>
  <si>
    <t>Sai baba</t>
  </si>
  <si>
    <t>17-Mar-MA-SBH-37</t>
  </si>
  <si>
    <t>K.Murthy</t>
  </si>
  <si>
    <t>Punjagutta(RACPC-Cyberabad</t>
  </si>
  <si>
    <t>17-Mar-MA-SBH-49</t>
  </si>
  <si>
    <t>Naga Raju</t>
  </si>
  <si>
    <t>17-Mar-MA-UBI-15</t>
  </si>
  <si>
    <t>Phani Kumar Reddy</t>
  </si>
  <si>
    <t>17-Mar-MA-UBI-16</t>
  </si>
  <si>
    <t>17-Mar-MA-UBI-17</t>
  </si>
  <si>
    <t>17-Mar-MA-UBI-24</t>
  </si>
  <si>
    <t>Goose Global Agri Pvt Ltd</t>
  </si>
  <si>
    <t>17-Mar-MA-UBI-37</t>
  </si>
  <si>
    <t>Sai Archana</t>
  </si>
  <si>
    <t>17-Mar-MA-UBI-43</t>
  </si>
  <si>
    <t>Kunam Raghava Reddy</t>
  </si>
  <si>
    <t>17-Mar-MA-UBI-48</t>
  </si>
  <si>
    <t>Narayana</t>
  </si>
  <si>
    <t>17-Mar-MA-UBI-52</t>
  </si>
  <si>
    <t>G.Vijaya Bhaskar</t>
  </si>
  <si>
    <t>17-Mar-MA-AXI-1</t>
  </si>
  <si>
    <t>Chakravarthy</t>
  </si>
  <si>
    <t>17-Mar-MA-AXI-16</t>
  </si>
  <si>
    <t>Sanjay Kumar Agarwal</t>
  </si>
  <si>
    <t>17-Mar-MA-AXI-21</t>
  </si>
  <si>
    <t>Anamole Jewellers</t>
  </si>
  <si>
    <t>AXIS 3/21,22,23/17</t>
  </si>
  <si>
    <t>17-Mar-MA-AXI-22</t>
  </si>
  <si>
    <t>17-Mar-MA-AXI-23</t>
  </si>
  <si>
    <t>17-Mar-MA-AXI-37</t>
  </si>
  <si>
    <t>H.R Chambers</t>
  </si>
  <si>
    <t>17-Mar-MA-AXI-38</t>
  </si>
  <si>
    <t>A.Yogesh</t>
  </si>
  <si>
    <t>17-May-MA-AXI-528</t>
  </si>
  <si>
    <t>K.L Technical Services</t>
  </si>
  <si>
    <t>17-May-MA-AXI-529</t>
  </si>
  <si>
    <t>S.K Safty Wings Pvt Ltd</t>
  </si>
  <si>
    <t>***</t>
  </si>
  <si>
    <t>17-Apr-MA-AXI-503</t>
  </si>
  <si>
    <t>Rukmini</t>
  </si>
  <si>
    <t>17-Apr-MA-AXI-504</t>
  </si>
  <si>
    <t>Sri Vaishnavi Constructions</t>
  </si>
  <si>
    <t>17-Apr-MA-AXI-505</t>
  </si>
  <si>
    <t>Bhanu Prasada Rao</t>
  </si>
  <si>
    <t>17-May-MA-AXI-516</t>
  </si>
  <si>
    <t>Anuj Agarwal</t>
  </si>
  <si>
    <t>17-Jan-MA-AXI-2</t>
  </si>
  <si>
    <t>Deepika&amp;manisha</t>
  </si>
  <si>
    <t>Axis / 02/02/17</t>
  </si>
  <si>
    <t>17-Jan-MA-AXI-11</t>
  </si>
  <si>
    <t>M.Venkateshwara Reddy</t>
  </si>
  <si>
    <t>17-Jan-MA-AXI-12</t>
  </si>
  <si>
    <t>Satyanarayana Reddy</t>
  </si>
  <si>
    <t>17-Jan-MA-AXI-13</t>
  </si>
  <si>
    <t>Muddireddy Kesava Reddy</t>
  </si>
  <si>
    <t>17-Jan-MA-AXI-14</t>
  </si>
  <si>
    <t>Archimedis Laboratories</t>
  </si>
  <si>
    <t>17-Jan-MA-AXI-18</t>
  </si>
  <si>
    <t>S.Aparna Reddy</t>
  </si>
  <si>
    <t>17-Mar-MA-AXI-4</t>
  </si>
  <si>
    <t>Lakshmi Kantha Rao</t>
  </si>
  <si>
    <t>17-Mar-MA-AXI-12</t>
  </si>
  <si>
    <t>Vantech Chemical Ltd</t>
  </si>
  <si>
    <t>17-Mar-MA-AXI-13</t>
  </si>
  <si>
    <t>J.A Rama Rao</t>
  </si>
  <si>
    <t>17-Mar-MA-AXI-14</t>
  </si>
  <si>
    <t>17-Mar-MA-AXI-15</t>
  </si>
  <si>
    <t>J.Vijaya Lakshmi</t>
  </si>
  <si>
    <t>17-Mar-MA-AXI-17</t>
  </si>
  <si>
    <t>Rasol Agro Proteens Ltd</t>
  </si>
  <si>
    <t>AXIS 3/17/17</t>
  </si>
  <si>
    <t>17-Mar-MA-AXI-18</t>
  </si>
  <si>
    <t>Kiran Devi</t>
  </si>
  <si>
    <t>17-Mar-MA-AXI-19</t>
  </si>
  <si>
    <t>Prateek Industries</t>
  </si>
  <si>
    <t>17-Mar-MA-AXI-20</t>
  </si>
  <si>
    <t>Komaraiah</t>
  </si>
  <si>
    <t>AXIS 3/20/17</t>
  </si>
  <si>
    <t>17-Mar-MA-AXI-25</t>
  </si>
  <si>
    <t>U.V Ramana</t>
  </si>
  <si>
    <t>17-Mar-MA-AXI-26</t>
  </si>
  <si>
    <t>Vensar Projects Ltd</t>
  </si>
  <si>
    <t>17-Mar-MA-AXI-28</t>
  </si>
  <si>
    <t>N.Srikanth</t>
  </si>
  <si>
    <t>17-Mar-MA-AXI-29</t>
  </si>
  <si>
    <t>Kalyan &amp; Basanth</t>
  </si>
  <si>
    <t>17-Mar-MA-AXI-30</t>
  </si>
  <si>
    <t>17-Mar-MA-AXI-33</t>
  </si>
  <si>
    <t>17-Mar-MA-AXI-36</t>
  </si>
  <si>
    <t>DPS School Building</t>
  </si>
  <si>
    <t>17-May-PR-BOI-3</t>
  </si>
  <si>
    <t>Y.Brinda</t>
  </si>
  <si>
    <t>Khairathabad</t>
  </si>
  <si>
    <t>cash</t>
  </si>
  <si>
    <t>17-May-PR-BOI-5</t>
  </si>
  <si>
    <t>K.Manik Reddy</t>
  </si>
  <si>
    <t>17-May-PR-BOI-7</t>
  </si>
  <si>
    <t>K.Mohan Kumar</t>
  </si>
  <si>
    <t>17-May-PR-BOI-8</t>
  </si>
  <si>
    <t>Darshan</t>
  </si>
  <si>
    <t>17-May-PR-BOI-9</t>
  </si>
  <si>
    <t>17-May-PR-BOI-10</t>
  </si>
  <si>
    <t>Shireesha</t>
  </si>
  <si>
    <t>17-Apr-PR-BOI-5</t>
  </si>
  <si>
    <t>17-Apr-PR-BOI-6</t>
  </si>
  <si>
    <t>Gunda Rao Badasheshi</t>
  </si>
  <si>
    <t>17-May-KI-COS-1</t>
  </si>
  <si>
    <t>Shree Shyam Granites</t>
  </si>
  <si>
    <t>17-May-KI-COS-2</t>
  </si>
  <si>
    <t>Toshniwal Granites Pvt Ltd</t>
  </si>
  <si>
    <t>17-Apr-KI-COS-1</t>
  </si>
  <si>
    <t>Saboo Motors(Veerendhar Reddy)</t>
  </si>
  <si>
    <t>17-Apr-KI-COS-2</t>
  </si>
  <si>
    <t xml:space="preserve">Nisha </t>
  </si>
  <si>
    <t>17-Apr-KI-COS-3</t>
  </si>
  <si>
    <t>Shailesh Kumar Kagot</t>
  </si>
  <si>
    <t>17-Apr-KI-COS-4</t>
  </si>
  <si>
    <t>T.Jhansi Roja</t>
  </si>
  <si>
    <t>17-Apr-KI-COS-5</t>
  </si>
  <si>
    <t>Hind Granites Pvt Ltd</t>
  </si>
  <si>
    <t>17-Apr-KI-COS-6</t>
  </si>
  <si>
    <t>Maheshwari Mega Ventures</t>
  </si>
  <si>
    <t>17-May-KI-IND-5</t>
  </si>
  <si>
    <t>G.Akhilesh Hari Chand(G.Venkata Durga)</t>
  </si>
  <si>
    <t>17-May-KI-IND-6</t>
  </si>
  <si>
    <t>S.Nagaraju</t>
  </si>
  <si>
    <t>17-May-KI-IND-9</t>
  </si>
  <si>
    <t>G.S.N Suman Babu</t>
  </si>
  <si>
    <t>17-May-KI-IND-14</t>
  </si>
  <si>
    <t>J.Ravi</t>
  </si>
  <si>
    <t>Kakatiyanagar</t>
  </si>
  <si>
    <t>17-May-KI-IND-15</t>
  </si>
  <si>
    <t>K.V.S Prasad</t>
  </si>
  <si>
    <t>17-May-KI-IND-16</t>
  </si>
  <si>
    <t>M.Narsimha Reddy</t>
  </si>
  <si>
    <t>17-May-KI-IND-18</t>
  </si>
  <si>
    <t>Dupati Lakshmi Tirumala Devi</t>
  </si>
  <si>
    <t>17-May-KI-IND-19</t>
  </si>
  <si>
    <t>M.Raja Rajeshwari</t>
  </si>
  <si>
    <t>17-May-KI-IND-20</t>
  </si>
  <si>
    <t>D.R Srinivas</t>
  </si>
  <si>
    <t>16-Jul-KI-IND-11</t>
  </si>
  <si>
    <t>P.Ram Mohan rao</t>
  </si>
  <si>
    <t>17-Jan-KI-IND-6</t>
  </si>
  <si>
    <t>K.Vedalatha (Pravasthi)</t>
  </si>
  <si>
    <t>17-Jan-KI-IND-10</t>
  </si>
  <si>
    <t>Harshavardhan</t>
  </si>
  <si>
    <t>Banjarahills</t>
  </si>
  <si>
    <t>17-Feb-KI-IND-7</t>
  </si>
  <si>
    <t>M.Bhagyalatha</t>
  </si>
  <si>
    <t>17-Mar-KI-IND-9</t>
  </si>
  <si>
    <t>P.Sundaraiah</t>
  </si>
  <si>
    <t>17-Mar-KI-IND-13</t>
  </si>
  <si>
    <t>K.Laxmi Priya</t>
  </si>
  <si>
    <t>17-Apr-KI-IND-8</t>
  </si>
  <si>
    <t>D.Srinadh Reddy</t>
  </si>
  <si>
    <t>16-Sep-MA-SBH-3</t>
  </si>
  <si>
    <t>K.Krishna Murthy</t>
  </si>
  <si>
    <t>Ismail Khanpet</t>
  </si>
  <si>
    <t>16-Dec-MA-SBH-26</t>
  </si>
  <si>
    <t>Y.Venkataiah</t>
  </si>
  <si>
    <t>17-Mar-MA-SBH-4</t>
  </si>
  <si>
    <t>Venkanna</t>
  </si>
  <si>
    <t>17-Mar-MA-SBH-50</t>
  </si>
  <si>
    <t>N.V Ravinder</t>
  </si>
  <si>
    <t>17-May-KI-SBI-1A</t>
  </si>
  <si>
    <t>N.Sreenath</t>
  </si>
  <si>
    <t>17-May-KI-SBI-2A</t>
  </si>
  <si>
    <t>P.Chandrahamsa</t>
  </si>
  <si>
    <t>17-May-KI-SBI-11</t>
  </si>
  <si>
    <t>P.Rishi Kumar(Aruna)</t>
  </si>
  <si>
    <t>17-May-KI-SBI-15</t>
  </si>
  <si>
    <t>Rakesh Naidu &amp; Kavitha</t>
  </si>
  <si>
    <t>17-May-KI-SBI-16</t>
  </si>
  <si>
    <t>Sujoy Sen</t>
  </si>
  <si>
    <t>Rajesh Kumar</t>
  </si>
  <si>
    <t>17-May-KI-SBI-17</t>
  </si>
  <si>
    <t>K.Venkata Narayana</t>
  </si>
  <si>
    <t>17-May-KI-SBI-23</t>
  </si>
  <si>
    <t>H.Jaya Sri</t>
  </si>
  <si>
    <t>Hara Hari</t>
  </si>
  <si>
    <t>17-May-KI-SBI-31</t>
  </si>
  <si>
    <t>K.Sreenee</t>
  </si>
  <si>
    <t>17-May-KI-SBI-32</t>
  </si>
  <si>
    <t>17-May-KI-SBI-35</t>
  </si>
  <si>
    <t>Y.Saritha</t>
  </si>
  <si>
    <t>17-May-KI-SBI-37</t>
  </si>
  <si>
    <t>Rajesh Babu</t>
  </si>
  <si>
    <t>17-May-KI-SBI-38</t>
  </si>
  <si>
    <t>Y.Ratnakar</t>
  </si>
  <si>
    <t>17-May-KI-SBI-45</t>
  </si>
  <si>
    <t>K.Srinivasulu</t>
  </si>
  <si>
    <t>17-May-KI-SBI-48</t>
  </si>
  <si>
    <t>L.Anitha</t>
  </si>
  <si>
    <t>17-May-KI-SBI-51</t>
  </si>
  <si>
    <t>Hari Shankar</t>
  </si>
  <si>
    <t>17-May-KI-SBI-52</t>
  </si>
  <si>
    <t>M.Sunitha</t>
  </si>
  <si>
    <t>16-Oct-KI-SBI-21</t>
  </si>
  <si>
    <t>N.Sujana &amp; K.Navath</t>
  </si>
  <si>
    <t>Karan</t>
  </si>
  <si>
    <t>16-Oct-KI-SBI-22</t>
  </si>
  <si>
    <t>K.Lok Sudhir</t>
  </si>
  <si>
    <t>16-Oct-KI-SBI-23</t>
  </si>
  <si>
    <t>T.V.V Satyanarayana</t>
  </si>
  <si>
    <t>16-Oct-KI-SBI-24</t>
  </si>
  <si>
    <t>R.Ranganath</t>
  </si>
  <si>
    <t>16-Nov-KI-SBI-19</t>
  </si>
  <si>
    <t>Nistasa Venkata Satya</t>
  </si>
  <si>
    <t>16-Nov-KI-SBI-20</t>
  </si>
  <si>
    <t>Medida Vijaya Gouri</t>
  </si>
  <si>
    <t>16-Nov-KI-SBI-22</t>
  </si>
  <si>
    <t>N.Sree Rama Krishna</t>
  </si>
  <si>
    <t>16-Nov-KI-SBI-23</t>
  </si>
  <si>
    <t>Navin Deshpande</t>
  </si>
  <si>
    <t>16-Nov-KI-SBI-24</t>
  </si>
  <si>
    <t>K.Ratna Kumari</t>
  </si>
  <si>
    <t>16-Nov-KI-SBI-25</t>
  </si>
  <si>
    <t>E.Lalitha</t>
  </si>
  <si>
    <t>16-Nov-KI-SBI-35</t>
  </si>
  <si>
    <t>B.Lakshmi Sai Kumari</t>
  </si>
  <si>
    <t>16-Nov-KI-SBI-36</t>
  </si>
  <si>
    <t>P.Koteshwar Rao</t>
  </si>
  <si>
    <t>16-Nov-KI-SBI-37</t>
  </si>
  <si>
    <t>D.Prasad Rao</t>
  </si>
  <si>
    <t>17-Jan-KI-SBI-11</t>
  </si>
  <si>
    <t>Harish Reddy</t>
  </si>
  <si>
    <t>17-Jan-KI-SBI-25</t>
  </si>
  <si>
    <t>G.Ponnari &amp; Anil Kumar</t>
  </si>
  <si>
    <t>17-Jan-KI-SBI-44</t>
  </si>
  <si>
    <t>B.Srinivas</t>
  </si>
  <si>
    <t>SBI-MAIN -BR</t>
  </si>
  <si>
    <t>17-Feb-KI-SBI-2</t>
  </si>
  <si>
    <t>Reshma Vennela (Sriram)</t>
  </si>
  <si>
    <t>17-Feb-KI-SBI-15</t>
  </si>
  <si>
    <t>Neo Poly Industries</t>
  </si>
  <si>
    <t>17-Mar-KI-SBI-6</t>
  </si>
  <si>
    <t>Lakshmi Infra Tech India(Lakshmi Sterling)</t>
  </si>
  <si>
    <t>17-Mar-KI-SBI-13</t>
  </si>
  <si>
    <t>Nayan Constructions (Nayan's Natures Serene)</t>
  </si>
  <si>
    <t>17-Mar-KI-SBI-21</t>
  </si>
  <si>
    <t>Prime Estates Developers(UBER Heights)</t>
  </si>
  <si>
    <t>17-Mar-KI-SBI-25A</t>
  </si>
  <si>
    <t>Ragamayee &amp; Sudhakar</t>
  </si>
  <si>
    <t>17-Mar-KI-SBI-32</t>
  </si>
  <si>
    <t>K.Krishna Chaitanya</t>
  </si>
  <si>
    <t>17-Mar-KI-SBI-38</t>
  </si>
  <si>
    <t>Shivaji Saragadam</t>
  </si>
  <si>
    <t>RAPC-II</t>
  </si>
  <si>
    <t>Vasathi</t>
  </si>
  <si>
    <t>17-Mar-KI-SBI-39</t>
  </si>
  <si>
    <t xml:space="preserve">Kishore Kumar </t>
  </si>
  <si>
    <t>17-Mar-KI-SBI-55</t>
  </si>
  <si>
    <t>Sahithi Infratech Ventures Pvt Ltd</t>
  </si>
  <si>
    <t>17-Apr-KI-SBI-2</t>
  </si>
  <si>
    <t>Ameer Ali Baig</t>
  </si>
  <si>
    <t>17-Apr-KI-SBI-11</t>
  </si>
  <si>
    <t>Giridhari Homes Pvt Ltd</t>
  </si>
  <si>
    <t>17-Apr-KI-SBI-45</t>
  </si>
  <si>
    <t>Sandeep Gamini</t>
  </si>
  <si>
    <t>Ramana</t>
  </si>
  <si>
    <t>17-Apr-KI-SBI-52</t>
  </si>
  <si>
    <t>G.Venu Gopala Swamy</t>
  </si>
  <si>
    <t>17-Apr-KI-SBI-54</t>
  </si>
  <si>
    <t>S.Shiva Kumar</t>
  </si>
  <si>
    <t>17-Apr-KI-SBI-55</t>
  </si>
  <si>
    <t>S.Vijaya Lakshmi</t>
  </si>
  <si>
    <t>17-May-MA-SBI-2</t>
  </si>
  <si>
    <t>Ramesh Reddy</t>
  </si>
  <si>
    <t>17-May-MA-SBI-3</t>
  </si>
  <si>
    <t>S.V Mona Chary</t>
  </si>
  <si>
    <t>17-May-MA-SBI-8B</t>
  </si>
  <si>
    <t>17-May-MA-SBI-10</t>
  </si>
  <si>
    <t>Surekha Ravi Kiran</t>
  </si>
  <si>
    <t>17-May-MA-SBI-11B</t>
  </si>
  <si>
    <t>17-May-MA-SBI-12</t>
  </si>
  <si>
    <t>Karunakaran</t>
  </si>
  <si>
    <t>17-May-MA-SBI-14</t>
  </si>
  <si>
    <t>Karvy Comtrade Ltd</t>
  </si>
  <si>
    <t>Private</t>
  </si>
  <si>
    <t>17-May-MA-SBI-15</t>
  </si>
  <si>
    <t>17-May-MA-SBI-17</t>
  </si>
  <si>
    <t>Chakrapani</t>
  </si>
  <si>
    <t>17-May-MA-SBI-21</t>
  </si>
  <si>
    <t>Hari Babu</t>
  </si>
  <si>
    <t>17-May-MA-SBI-22</t>
  </si>
  <si>
    <t>Jaya Sheela</t>
  </si>
  <si>
    <t>Gun Foundary</t>
  </si>
  <si>
    <t>17-May-MA-SBI-31</t>
  </si>
  <si>
    <t>M.Sreekanth</t>
  </si>
  <si>
    <t>17-May-MA-SBI-32</t>
  </si>
  <si>
    <t>Gangaiah</t>
  </si>
  <si>
    <t>17-May-MA-SBI-33</t>
  </si>
  <si>
    <t>17-May-MA-SBI-34</t>
  </si>
  <si>
    <t>Induri Srinivas</t>
  </si>
  <si>
    <t>17-May-MA-SBI-35</t>
  </si>
  <si>
    <t>Amarnath</t>
  </si>
  <si>
    <t>17-May-MA-SBI-36</t>
  </si>
  <si>
    <t>Surender Kumar</t>
  </si>
  <si>
    <t>17-May-MA-SBI-38</t>
  </si>
  <si>
    <t>N.Ravinder</t>
  </si>
  <si>
    <t>17-May-MA-SBI-41B</t>
  </si>
  <si>
    <t>17-May-MA-SBI-43</t>
  </si>
  <si>
    <t>Ch.Raju</t>
  </si>
  <si>
    <t>17-May-MA-SBI-44</t>
  </si>
  <si>
    <t>S.P Pallavi</t>
  </si>
  <si>
    <t>17-May-MA-SBI-45</t>
  </si>
  <si>
    <t>S.Srinivas Rao</t>
  </si>
  <si>
    <t>17-May-MA-SBI-49</t>
  </si>
  <si>
    <t>Sourab sukla</t>
  </si>
  <si>
    <t>17-May-MA-SBI-50</t>
  </si>
  <si>
    <t>Ravinder Reddy</t>
  </si>
  <si>
    <t>17-May-MA-SBI-53</t>
  </si>
  <si>
    <t>Anantha Lakshmi</t>
  </si>
  <si>
    <t>17-May-MA-SBI-54B</t>
  </si>
  <si>
    <t>17-May-MA-SBI-55B</t>
  </si>
  <si>
    <t>17-May-MA-SBI-56</t>
  </si>
  <si>
    <t>T.Vijayanand Reddy</t>
  </si>
  <si>
    <t>17-May-MA-SBI-57</t>
  </si>
  <si>
    <t>Deepak Raj</t>
  </si>
  <si>
    <t>17-May-MA-SBI-58</t>
  </si>
  <si>
    <t>17-May-MA-SBI-59B</t>
  </si>
  <si>
    <t>17-May-MA-SBI-60</t>
  </si>
  <si>
    <t>Venu</t>
  </si>
  <si>
    <t>17-May-MA-SBI-64B</t>
  </si>
  <si>
    <t>17-Apr-MA-SBI-7</t>
  </si>
  <si>
    <t>Krishnaveni</t>
  </si>
  <si>
    <t>17-Apr-MA-SBI-28</t>
  </si>
  <si>
    <t>Naseem Ullah Baig</t>
  </si>
  <si>
    <t>17-Apr-MA-SBI-29</t>
  </si>
  <si>
    <t>Bhaskara Chary</t>
  </si>
  <si>
    <t>17-Apr-MA-SBI-31</t>
  </si>
  <si>
    <t>G.Umesh Reddy</t>
  </si>
  <si>
    <t>17-Apr-MA-SBI-33</t>
  </si>
  <si>
    <t>Dinesh Reddy</t>
  </si>
  <si>
    <t>17-Apr-MA-SBI-34</t>
  </si>
  <si>
    <t>S.Divya Rekha</t>
  </si>
  <si>
    <t>17-Apr-MA-SBI-37</t>
  </si>
  <si>
    <t xml:space="preserve">C.Vani </t>
  </si>
  <si>
    <t>Hastinapuram</t>
  </si>
  <si>
    <t>17-Apr-MA-SBI-38</t>
  </si>
  <si>
    <t>Y.Narayana</t>
  </si>
  <si>
    <t>17-May-PR-SBI-1</t>
  </si>
  <si>
    <t>17-May-PR-SBI-2</t>
  </si>
  <si>
    <t>S.Venkateshwarlu</t>
  </si>
  <si>
    <t>17-May-PR-SBI-3</t>
  </si>
  <si>
    <t>P.Yasaswini</t>
  </si>
  <si>
    <t>17-May-PR-SBI-5</t>
  </si>
  <si>
    <t>G.Chandra Shekar Reddy</t>
  </si>
  <si>
    <t>17-May-PR-SBI-6</t>
  </si>
  <si>
    <t>D.Narsimha Rao</t>
  </si>
  <si>
    <t>17-May-PR-SBI-7</t>
  </si>
  <si>
    <t>Chandra Shekar</t>
  </si>
  <si>
    <t>17-May-PR-SBI-8</t>
  </si>
  <si>
    <t>E.S Pradeep Kumar</t>
  </si>
  <si>
    <t>17-May-PR-SBI-10</t>
  </si>
  <si>
    <t>V.Mahesh</t>
  </si>
  <si>
    <t>17-May-PR-SBI-11</t>
  </si>
  <si>
    <t>G.Neelakanta Swamy</t>
  </si>
  <si>
    <t>17-May-PR-SBI-12</t>
  </si>
  <si>
    <t>K.Nagaiah</t>
  </si>
  <si>
    <t>17-May-PR-SBI-13</t>
  </si>
  <si>
    <t>G.Madhusudhan Reddy</t>
  </si>
  <si>
    <t>17-May-PR-SBI-16</t>
  </si>
  <si>
    <t>M.Ramya Priya</t>
  </si>
  <si>
    <t>17-May-PR-SBI-20</t>
  </si>
  <si>
    <t>Bhavanam Saidu</t>
  </si>
  <si>
    <t>17-May-PR-SBi-21</t>
  </si>
  <si>
    <t>SBi</t>
  </si>
  <si>
    <t>17-May-PR-SBI-23</t>
  </si>
  <si>
    <t>Chandu Saidulu</t>
  </si>
  <si>
    <t>17-May-PR-SBI-25</t>
  </si>
  <si>
    <t>J.Vamshi Vishwanath</t>
  </si>
  <si>
    <t>17-May-PR-SBI-28</t>
  </si>
  <si>
    <t>P.Sunitha</t>
  </si>
  <si>
    <t>17-May-PR-SBI-29</t>
  </si>
  <si>
    <t>G.A Narender</t>
  </si>
  <si>
    <t>17-May-PR-SBI-31</t>
  </si>
  <si>
    <t>K.Jaya</t>
  </si>
  <si>
    <t>Gandhinagar</t>
  </si>
  <si>
    <t>17-May-PR-SBI-32</t>
  </si>
  <si>
    <t>Venkat Ramana</t>
  </si>
  <si>
    <t>17-May-PR-SBI-33</t>
  </si>
  <si>
    <t>S.Srinivas</t>
  </si>
  <si>
    <t>17-May-PR-SBI-34</t>
  </si>
  <si>
    <t>K.Srivalli</t>
  </si>
  <si>
    <t>17-May-PR-SBI-35</t>
  </si>
  <si>
    <t>Joseph</t>
  </si>
  <si>
    <t>17-May-PR-SBI-36</t>
  </si>
  <si>
    <t>K.Shyam Prasad</t>
  </si>
  <si>
    <t>17-May-PR-SBI-38</t>
  </si>
  <si>
    <t>Harish Goud</t>
  </si>
  <si>
    <t>17-May-PR-SBI-39</t>
  </si>
  <si>
    <t>17-May-PR-SBI-41</t>
  </si>
  <si>
    <t>N.Vijay Kumar</t>
  </si>
  <si>
    <t>17-May-PR-SBI-42</t>
  </si>
  <si>
    <t>R.Laxmi</t>
  </si>
  <si>
    <t>17-May-PR-SBI-45</t>
  </si>
  <si>
    <t>C.Raja Srikar Karthik</t>
  </si>
  <si>
    <t>17-May-PR-SBI-47</t>
  </si>
  <si>
    <t>Sanil Francis</t>
  </si>
  <si>
    <t>17-May-PR-SBI-50B</t>
  </si>
  <si>
    <t>17-May-PR-SBI-51</t>
  </si>
  <si>
    <t>A.Sivaram</t>
  </si>
  <si>
    <t>17-May-PR-SBI-53</t>
  </si>
  <si>
    <t>Suresh Srinivasa</t>
  </si>
  <si>
    <t>17-May-PR-SBI-55</t>
  </si>
  <si>
    <t>17-May-PR-SBI-56</t>
  </si>
  <si>
    <t>17-May-PR-SBI-57</t>
  </si>
  <si>
    <t>17-May-PR-SBI-58</t>
  </si>
  <si>
    <t>Harini Reddy</t>
  </si>
  <si>
    <t>17-May-PR-SBI-60</t>
  </si>
  <si>
    <t>Shyam Prasad</t>
  </si>
  <si>
    <t>17-May-PR-SBI-62</t>
  </si>
  <si>
    <t>17-May-PR-SBI-66</t>
  </si>
  <si>
    <t>K.Uma Devi</t>
  </si>
  <si>
    <t>17-May-PR-SBI-67</t>
  </si>
  <si>
    <t>K.Srikanth</t>
  </si>
  <si>
    <t>17-May-PR-SBI-68</t>
  </si>
  <si>
    <t>K.Nageshwar Rao</t>
  </si>
  <si>
    <t>17-May-PR-SBI-69</t>
  </si>
  <si>
    <t>T.Vamshi</t>
  </si>
  <si>
    <t>17-May-PR-SBI-70</t>
  </si>
  <si>
    <t>Sri Lekha</t>
  </si>
  <si>
    <t>17-May-PR-SBI-73</t>
  </si>
  <si>
    <t>Padma</t>
  </si>
  <si>
    <t>17-May-PR-SBI-74</t>
  </si>
  <si>
    <t>A.Karthik Reddy</t>
  </si>
  <si>
    <t>17-May-PR-SBI-75</t>
  </si>
  <si>
    <t>Dr.Vinod</t>
  </si>
  <si>
    <t>17-May-PR-SBI-77</t>
  </si>
  <si>
    <t>Prashanth</t>
  </si>
  <si>
    <t>17-May-PR-SBI-78</t>
  </si>
  <si>
    <t>B.Naga Vankata Satya Lakshmi</t>
  </si>
  <si>
    <t>17-May-PR-SBI-79</t>
  </si>
  <si>
    <t>Naresh Krishna</t>
  </si>
  <si>
    <t>17-May-PR-SBI-81B</t>
  </si>
  <si>
    <t>PR-SBI-88</t>
  </si>
  <si>
    <t>Santosh (Nagaraju)</t>
  </si>
  <si>
    <t>No Rec. Date</t>
  </si>
  <si>
    <t>16-Nov-PR-SBI-29</t>
  </si>
  <si>
    <t>B.Vinayak Rao</t>
  </si>
  <si>
    <t>16-Nov-PR-SBI-31</t>
  </si>
  <si>
    <t>Jan Reddy</t>
  </si>
  <si>
    <t>Hasthinapur</t>
  </si>
  <si>
    <t>16-Nov-PR-SBI-40</t>
  </si>
  <si>
    <t>Gayathri</t>
  </si>
  <si>
    <t>16-Dec-PR-SBI-8</t>
  </si>
  <si>
    <t>B.Pushpalatha</t>
  </si>
  <si>
    <t>16-Dec-PR-SBI-13</t>
  </si>
  <si>
    <t>Dinesh Singh</t>
  </si>
  <si>
    <t>16-Dec-PR-SBI-21</t>
  </si>
  <si>
    <t>Suvarnamma</t>
  </si>
  <si>
    <t>16-Dec-PR-SBI-34</t>
  </si>
  <si>
    <t>Panduranga Vittal Kumar</t>
  </si>
  <si>
    <t>16-Dec-PR-SBI-35</t>
  </si>
  <si>
    <t>Swamy Sumana</t>
  </si>
  <si>
    <t>16-Dec-PR-SBI-38</t>
  </si>
  <si>
    <t>Anantha Chary</t>
  </si>
  <si>
    <t>16-Dec-PR-SBI-45</t>
  </si>
  <si>
    <t>Srinivas Raju</t>
  </si>
  <si>
    <t>16-Dec-PR-SBI-46</t>
  </si>
  <si>
    <t>T.Lakshana</t>
  </si>
  <si>
    <t>17-Jan-PR-SBI-1</t>
  </si>
  <si>
    <t>M.Harish Reddy</t>
  </si>
  <si>
    <t>17-Jan-PR-SBI-10</t>
  </si>
  <si>
    <t>M.Venkateshwarlu</t>
  </si>
  <si>
    <t>17-Jan-PR-SBI-11</t>
  </si>
  <si>
    <t>17-Jan-PR-SBI-22</t>
  </si>
  <si>
    <t>Kranthi Pothuri</t>
  </si>
  <si>
    <t>17-Mar-PR-SBI-2</t>
  </si>
  <si>
    <t>Srinivas Reddy &amp; Vijay</t>
  </si>
  <si>
    <t>17-Apr-PR-SBI-20</t>
  </si>
  <si>
    <t>G.Sunil Chander</t>
  </si>
  <si>
    <t>17-Apr-PR-SBI-26</t>
  </si>
  <si>
    <t>D.Sridevi(Tejaswini)</t>
  </si>
  <si>
    <t>17-Apr-PR-SBI-39</t>
  </si>
  <si>
    <t>Balachandra</t>
  </si>
  <si>
    <t>17-Apr-PR-SBI-41</t>
  </si>
  <si>
    <t>M.Devaraju</t>
  </si>
  <si>
    <t>17-Apr-PR-SBI-50</t>
  </si>
  <si>
    <t>Siddartha</t>
  </si>
  <si>
    <t>17-Apr-PR-SBI-51</t>
  </si>
  <si>
    <t>Gulam Maqbool Ahmed</t>
  </si>
  <si>
    <t>17-Apr-PR-SBI-54</t>
  </si>
  <si>
    <t>M.Sandeep</t>
  </si>
  <si>
    <t>17-Apr-PR-SBI-55</t>
  </si>
  <si>
    <t>A.Santhosh Padma</t>
  </si>
  <si>
    <t>17-Apr-PR-SBI-62</t>
  </si>
  <si>
    <t>M.Narsingh Rao</t>
  </si>
  <si>
    <t>17-May-KI-SME-1B</t>
  </si>
  <si>
    <t>Jeedimetla IND</t>
  </si>
  <si>
    <t>17-May-KI-SME-2B</t>
  </si>
  <si>
    <t>Kasulabada Krishna</t>
  </si>
  <si>
    <t>17-May-KI-SME-3B</t>
  </si>
  <si>
    <t>M.Chandra Shekar</t>
  </si>
  <si>
    <t>Construction</t>
  </si>
  <si>
    <t>17-May-KI-SME-8B</t>
  </si>
  <si>
    <t>K.Lalitha Moudgalya</t>
  </si>
  <si>
    <t>17-May-KI-SME-9B</t>
  </si>
  <si>
    <t>Someshwara Rao</t>
  </si>
  <si>
    <t>17-May-KI-SME-13B</t>
  </si>
  <si>
    <t>Varahi Pharma</t>
  </si>
  <si>
    <t>17-May-KI-SME-14B</t>
  </si>
  <si>
    <t>Pappu Ram</t>
  </si>
  <si>
    <t>17-Mar-KI-SME-11</t>
  </si>
  <si>
    <t>Y.Srigovind</t>
  </si>
  <si>
    <t>17-Mar-KI-SME-16</t>
  </si>
  <si>
    <t>E.Kishore Kumar</t>
  </si>
  <si>
    <t>17-Mar-KI-SME-17</t>
  </si>
  <si>
    <t>E.Narsimha</t>
  </si>
  <si>
    <t>17-Mar-KI-SME-22</t>
  </si>
  <si>
    <t>Kalavathi Devi</t>
  </si>
  <si>
    <t>17-Mar-KI-SME-23B</t>
  </si>
  <si>
    <t>Premier Agencies</t>
  </si>
  <si>
    <t>17-Mar-KI-SME-24</t>
  </si>
  <si>
    <t>17-Mar-KI-SME-25B</t>
  </si>
  <si>
    <t>17-Apr-KI-SME-4</t>
  </si>
  <si>
    <t>Mohd Tajuddin</t>
  </si>
  <si>
    <t>17-May-MA-SBM-6</t>
  </si>
  <si>
    <t>Gouri Shankar</t>
  </si>
  <si>
    <t>17-May-MA-SBM-7</t>
  </si>
  <si>
    <t>17-May-MA-SBM-18</t>
  </si>
  <si>
    <t>Manish Prabhu</t>
  </si>
  <si>
    <t>17-May-MA-SBM-20</t>
  </si>
  <si>
    <t>Narsimha</t>
  </si>
  <si>
    <t>17-Apr-MA-SBP-2</t>
  </si>
  <si>
    <t>R.Vidya Sagar</t>
  </si>
  <si>
    <t>17-May-MA-SBT-37</t>
  </si>
  <si>
    <t>17-Mar-MA-SBT-5</t>
  </si>
  <si>
    <t>K.G Varghase</t>
  </si>
  <si>
    <t>17-May-PR-SYN-2</t>
  </si>
  <si>
    <t>R.Komaraiah</t>
  </si>
  <si>
    <t>17-May-PR-SYN-3</t>
  </si>
  <si>
    <t>Zareena Begum</t>
  </si>
  <si>
    <t>17-May-PR-SYN-4</t>
  </si>
  <si>
    <t>Baddu Singh</t>
  </si>
  <si>
    <t>17-May-PR-SYN-6</t>
  </si>
  <si>
    <t>G.Usha Rani</t>
  </si>
  <si>
    <t>17-May-PR-SYN-7</t>
  </si>
  <si>
    <t>Rashmi Reddy</t>
  </si>
  <si>
    <t>17-May-PR-SYN-8</t>
  </si>
  <si>
    <t>N.Alfred Sinatra Moses</t>
  </si>
  <si>
    <t>17-May-PR-SYN-9</t>
  </si>
  <si>
    <t>O.Bharath</t>
  </si>
  <si>
    <t>17-May-PR-SYN-10</t>
  </si>
  <si>
    <t>G.Jalender Reddy</t>
  </si>
  <si>
    <t>17-May-PR-SYN-11</t>
  </si>
  <si>
    <t>Ali Thaher</t>
  </si>
  <si>
    <t>17-May-PR-SYN-12</t>
  </si>
  <si>
    <t>P.Prasad Reddy</t>
  </si>
  <si>
    <t>17-May-PR-SYN-15</t>
  </si>
  <si>
    <t>M.Jakeera Sultana</t>
  </si>
  <si>
    <t>17-May-PR-SYN-17</t>
  </si>
  <si>
    <t>Kamalavathi</t>
  </si>
  <si>
    <t>17-May-PR-SYN-18</t>
  </si>
  <si>
    <t>Narsimha Raju</t>
  </si>
  <si>
    <t>17-May-PR-SYN-19</t>
  </si>
  <si>
    <t>Mohan Srinivas</t>
  </si>
  <si>
    <t>17-May-PR-SYN-20</t>
  </si>
  <si>
    <t>B.Rama Laxmamma</t>
  </si>
  <si>
    <t>17-May-PR-SYN-21</t>
  </si>
  <si>
    <t>Silica Ceramica</t>
  </si>
  <si>
    <t>17-May-PR-SYN-24</t>
  </si>
  <si>
    <t>Veera Krishna</t>
  </si>
  <si>
    <t>17-May-PR-SYN-25</t>
  </si>
  <si>
    <t>G.Siddappa</t>
  </si>
  <si>
    <t>17-May-PR-SYN-29</t>
  </si>
  <si>
    <t>Om Sai Bairewes</t>
  </si>
  <si>
    <t>17-May-PR-SYN-30</t>
  </si>
  <si>
    <t>S.Pavan Kishore</t>
  </si>
  <si>
    <t>16-Nov-PR-SYN-14</t>
  </si>
  <si>
    <t>17-Mar-PR-SYN-8B</t>
  </si>
  <si>
    <t>17-Apr-PR-SYN-22</t>
  </si>
  <si>
    <t>M.Ramaiah</t>
  </si>
  <si>
    <t>17-Apr-PR-SYN-23</t>
  </si>
  <si>
    <t>Narasimha Sastry</t>
  </si>
  <si>
    <t>17-Apr-PR-SYN-36</t>
  </si>
  <si>
    <t>Haseena</t>
  </si>
  <si>
    <t>17-Apr-PR-SYN-37</t>
  </si>
  <si>
    <t>A.Rama Krishna</t>
  </si>
  <si>
    <t>17-Apr-PR-SYN-38</t>
  </si>
  <si>
    <t>S &amp;S Green Projects</t>
  </si>
  <si>
    <t>J-HILLS</t>
  </si>
  <si>
    <t>17-Apr-PR-SYN-41</t>
  </si>
  <si>
    <t>Pulla Reddy</t>
  </si>
  <si>
    <t>17-Apr-PR-SYN-42</t>
  </si>
  <si>
    <t>K.Jagadeeshwar Rao</t>
  </si>
  <si>
    <t>17-Apr-PR-SYN-43</t>
  </si>
  <si>
    <t>Pulya Nair</t>
  </si>
  <si>
    <t>17-Apr-PR-SYN-44</t>
  </si>
  <si>
    <t>R.V Padmavathi</t>
  </si>
  <si>
    <t>17-Apr-PR-SYN-45</t>
  </si>
  <si>
    <t>A.Sita Ramulu</t>
  </si>
  <si>
    <t>17-Apr-PR-SYN-46</t>
  </si>
  <si>
    <t>Ravi &amp; Prathiba</t>
  </si>
  <si>
    <t>17-May-GA-TGB-1</t>
  </si>
  <si>
    <t>P.Shankara Chary</t>
  </si>
  <si>
    <t>17-May-MA-UBI-1</t>
  </si>
  <si>
    <t>Kamakshi</t>
  </si>
  <si>
    <t>17-May-MA-UBI-2</t>
  </si>
  <si>
    <t>Akbar Khan</t>
  </si>
  <si>
    <t>17-May-MA-UBI-3</t>
  </si>
  <si>
    <t>H.Ajendra</t>
  </si>
  <si>
    <t>17-May-MA-UBI-4</t>
  </si>
  <si>
    <t>17-May-MA-UBI-5</t>
  </si>
  <si>
    <t>17-May-MA-UBI-6</t>
  </si>
  <si>
    <t>P.Shantamma</t>
  </si>
  <si>
    <t>Jubilee Hills(Loan Point)</t>
  </si>
  <si>
    <t>17-May-MA-UBI-7</t>
  </si>
  <si>
    <t>17-May-MA-UBI-8B</t>
  </si>
  <si>
    <t>17-May-MA-UBI-9</t>
  </si>
  <si>
    <t>M.Swaroopa</t>
  </si>
  <si>
    <t>17-May-MA-UBI-10</t>
  </si>
  <si>
    <t>I.Lakshmi Narsavva</t>
  </si>
  <si>
    <t>17-May-MA-UBI-11</t>
  </si>
  <si>
    <t>Th.Shoba Rani</t>
  </si>
  <si>
    <t>17-May-MA-UBI-13</t>
  </si>
  <si>
    <t>D.Mallesh</t>
  </si>
  <si>
    <t>17-May-MA-UBI-14</t>
  </si>
  <si>
    <t>Ravi Kumar</t>
  </si>
  <si>
    <t>17-May-MA-UBI-16</t>
  </si>
  <si>
    <t>17-May-MA-UBI-17</t>
  </si>
  <si>
    <t>Anand Kumar</t>
  </si>
  <si>
    <t>17-May-MA-UBI-18</t>
  </si>
  <si>
    <t>Shoba Yadav</t>
  </si>
  <si>
    <t>17-May-MA-UBI-21</t>
  </si>
  <si>
    <t>Munish Rao</t>
  </si>
  <si>
    <t>17-May-MA-UBI-24</t>
  </si>
  <si>
    <t>17-May-MA-UBI-25</t>
  </si>
  <si>
    <t>P.Madhavi</t>
  </si>
  <si>
    <t>Loan Point(Lakdikapool)</t>
  </si>
  <si>
    <t>17-May-MA-UBI-26</t>
  </si>
  <si>
    <t>17-May-MA-UBI-28</t>
  </si>
  <si>
    <t>Manvitha</t>
  </si>
  <si>
    <t>Jubileehills</t>
  </si>
  <si>
    <t>17-May-MA-UBI-29</t>
  </si>
  <si>
    <t>Sushmitha</t>
  </si>
  <si>
    <t>17-May-MA-UBI-30</t>
  </si>
  <si>
    <t>17-May-MA-UBI-31</t>
  </si>
  <si>
    <t>Raja Shekar</t>
  </si>
  <si>
    <t>17-May-MA-UBI-32</t>
  </si>
  <si>
    <t>Goda Swathi</t>
  </si>
  <si>
    <t>17-May-MA-UBI-33</t>
  </si>
  <si>
    <t>Ajay Kumar</t>
  </si>
  <si>
    <t>17-May-MA-UBI-36B</t>
  </si>
  <si>
    <t>17-May-MA-UBI-37</t>
  </si>
  <si>
    <t>P.Laxmi Ganapathi</t>
  </si>
  <si>
    <t>17-May-MA-UBI-38B</t>
  </si>
  <si>
    <t>17-May-MA-UBI-40</t>
  </si>
  <si>
    <t>Sheshank</t>
  </si>
  <si>
    <t>17-May-MA-UBI-41</t>
  </si>
  <si>
    <t>S.Ramesh</t>
  </si>
  <si>
    <t>17-May-MA-UBI-42B</t>
  </si>
  <si>
    <t>17-May-MA-UBI-43B</t>
  </si>
  <si>
    <t>17-May-MA-UBI-44B</t>
  </si>
  <si>
    <t>17-May-MA-UBI-45B</t>
  </si>
  <si>
    <t>17-May-MA-UBI-46B</t>
  </si>
  <si>
    <t>17-May-MA-UBI-47B</t>
  </si>
  <si>
    <t>17-May-MA-UBI-51B</t>
  </si>
  <si>
    <t>17-May-MA-UBI-52B</t>
  </si>
  <si>
    <t>17-May-MA-UBI-54</t>
  </si>
  <si>
    <t>D.Ashritha</t>
  </si>
  <si>
    <t>17-May-MA-UBI-57</t>
  </si>
  <si>
    <t>Rajeshwarappa</t>
  </si>
  <si>
    <t>17-May-MA-UBI-58</t>
  </si>
  <si>
    <t>17-May-MA-UBI-59</t>
  </si>
  <si>
    <t>Shashikala</t>
  </si>
  <si>
    <t>17-May-MA-UBI-61B</t>
  </si>
  <si>
    <t>17-May-MA-UBI-63B</t>
  </si>
  <si>
    <t>17-May-MA-UBI-67B</t>
  </si>
  <si>
    <t>17-Apr-MA-UBI-18</t>
  </si>
  <si>
    <t xml:space="preserve">Nagender </t>
  </si>
  <si>
    <t>17-Apr-MA-UBI-34</t>
  </si>
  <si>
    <t>M.Ahmed</t>
  </si>
  <si>
    <t>17-Apr-MA-UBI-35</t>
  </si>
  <si>
    <t>K.Usha Sri</t>
  </si>
  <si>
    <t>17-Apr-MA-UBI-36</t>
  </si>
  <si>
    <t>Prameela</t>
  </si>
  <si>
    <t>17-Apr-MA-UBI-37</t>
  </si>
  <si>
    <t>Savera Wines(Prameela)</t>
  </si>
  <si>
    <t>17-Apr-MA-UBI-39</t>
  </si>
  <si>
    <t>Srinivas Goud</t>
  </si>
  <si>
    <t>17-Apr-MA-UBI-42</t>
  </si>
  <si>
    <t>M.Praveen</t>
  </si>
  <si>
    <t>17-Apr-MA-UBI-51</t>
  </si>
  <si>
    <t>17-Apr-MA-UBI-53</t>
  </si>
  <si>
    <t>B.N.R Construction</t>
  </si>
  <si>
    <t>17-Apr-MA-UBI-60</t>
  </si>
  <si>
    <t>17-Apr-MA-UBI-61</t>
  </si>
  <si>
    <t>17-Apr-MA-UBI-64</t>
  </si>
  <si>
    <t xml:space="preserve">Ajendra </t>
  </si>
  <si>
    <t>17-Apr-MA-UBI-65</t>
  </si>
  <si>
    <t>T.Priyanka</t>
  </si>
  <si>
    <t>17-Apr-MA-UBI-66</t>
  </si>
  <si>
    <t>T.Rahul</t>
  </si>
  <si>
    <t>16-Apr-MA-UBI-9</t>
  </si>
  <si>
    <t>D.Rama Murthy</t>
  </si>
  <si>
    <t>17-Jan-MA-UBI-22</t>
  </si>
  <si>
    <t>Mahendra Babu</t>
  </si>
  <si>
    <t>17-Feb-MA-UBI-29</t>
  </si>
  <si>
    <t>SARK Heights</t>
  </si>
  <si>
    <t>17-Mar-MA-UBI-41</t>
  </si>
  <si>
    <t>Shubam Sharma</t>
  </si>
  <si>
    <t>17-Mar-MA-UBI-42</t>
  </si>
  <si>
    <t>Ravindra Kumar Sharma</t>
  </si>
  <si>
    <t>17-Mar-MA-UBI-49</t>
  </si>
  <si>
    <t>17-Mar-MA-UBI-53</t>
  </si>
  <si>
    <t>Karthik</t>
  </si>
  <si>
    <t>17-Mar-MA-UBI-68</t>
  </si>
  <si>
    <t>Balaji Jewellers</t>
  </si>
  <si>
    <t>17-Mar-MA-UBI-73</t>
  </si>
  <si>
    <t>Chennai Shopping Mall</t>
  </si>
  <si>
    <t>17-May-GA-VIJ-8</t>
  </si>
  <si>
    <t>MA.Rafeeq</t>
  </si>
  <si>
    <t>17-May-GA-VIJ-9</t>
  </si>
  <si>
    <t>Y.Sathi Reddy</t>
  </si>
  <si>
    <t>17-May-GA-VIJ-18</t>
  </si>
  <si>
    <t>Prakash Vithoba Shenvi</t>
  </si>
  <si>
    <t>17-May-GA-VIJ-21</t>
  </si>
  <si>
    <t>G.Durga Prasad</t>
  </si>
  <si>
    <t>17-May-GA-VIJ-22</t>
  </si>
  <si>
    <t>N.Swarupa Rani</t>
  </si>
  <si>
    <t>17-May-GA-VIJ-24</t>
  </si>
  <si>
    <t>J.Suguna</t>
  </si>
  <si>
    <t>17-Apr-GA-VIJ-18</t>
  </si>
  <si>
    <t>Madhusudan Madani</t>
  </si>
  <si>
    <t>17-Apr-GA-VIJ-24</t>
  </si>
  <si>
    <t>V.Savithri</t>
  </si>
  <si>
    <t>17-Apr-GA-VIJ-34</t>
  </si>
  <si>
    <t>S.Maheshwari</t>
  </si>
  <si>
    <t>17-Apr-GA-VIJ-38</t>
  </si>
  <si>
    <t>G.Sushma</t>
  </si>
  <si>
    <t>17-Apr-GA-VIJ-40</t>
  </si>
  <si>
    <t>Naga Lakshmi</t>
  </si>
  <si>
    <t>17-Apr-GA-VIJ-41</t>
  </si>
  <si>
    <t>V.Sridhar Reddy</t>
  </si>
  <si>
    <t>17-Apr-GA-VIJ-42</t>
  </si>
  <si>
    <t>P.Venkateshwara</t>
  </si>
  <si>
    <t>17-Apr-GA-VIJ-43</t>
  </si>
  <si>
    <t>B.Bala Krishna</t>
  </si>
  <si>
    <t>17-May-GA-VIJ-44B</t>
  </si>
  <si>
    <t>P.Chandra Malleshwar Reddy</t>
  </si>
  <si>
    <t>17-Apr-GA-VIJ-45</t>
  </si>
  <si>
    <t>M.Raghavender Rao</t>
  </si>
  <si>
    <t>17-Jun-GA-VIJ-1-P1</t>
  </si>
  <si>
    <t>17-Jun-GA-VIJ-3-P1</t>
  </si>
  <si>
    <t>17-Jun-GA-VIJ-4-P1</t>
  </si>
  <si>
    <t>17-Jun-GA-VIJ-5-P1</t>
  </si>
  <si>
    <t>17-Jun-GA-VIJ-8-P1</t>
  </si>
  <si>
    <t>17-Jun-GA-VIJ-10-P1</t>
  </si>
  <si>
    <t>17-Jun-GA-VIJ-11-P1</t>
  </si>
  <si>
    <t>17-Jun-GA-VIJ-12-P1</t>
  </si>
  <si>
    <t>17-Jun-GA-VIJ-14-P1</t>
  </si>
  <si>
    <t>17-Jun-GA-VIJ-20-P1</t>
  </si>
  <si>
    <t>17-Jun-GA-VIJ-21-P1</t>
  </si>
  <si>
    <t>17-Jun-GA-VIJ-22-P1</t>
  </si>
  <si>
    <t>17-Jun-GA-VIJ-25-P1</t>
  </si>
  <si>
    <t>17-Jun-GA-VIJ-33-P1</t>
  </si>
  <si>
    <t>17-Jun-GA-VIJ-36-P1</t>
  </si>
  <si>
    <t>17-May-GA-VIJ-1-P1</t>
  </si>
  <si>
    <t>17-May-GA-VIJ-6-P1</t>
  </si>
  <si>
    <t>17-May-GA-VIJ-11-P1</t>
  </si>
  <si>
    <t>17-May-GA-VIJ-12-P1</t>
  </si>
  <si>
    <t>17-May-GA-VIJ-19-P1</t>
  </si>
  <si>
    <t>17-May-GA-VIJ-23-P1</t>
  </si>
  <si>
    <t>17-May-GA-VIJ-27-P1</t>
  </si>
  <si>
    <t>17-May-GA-VIJ-29-P1</t>
  </si>
  <si>
    <t>17-May-GA-VIJ-33-P1</t>
  </si>
  <si>
    <t>17-May-GA-VIJ-35-P1</t>
  </si>
  <si>
    <t>17-May-GA-VIJ-36-P1</t>
  </si>
  <si>
    <t>17-May-GA-VIJ-38-P1</t>
  </si>
  <si>
    <t>17-May-GA-VIJ-42-P1</t>
  </si>
  <si>
    <t>17-May-GA-VIJ-44A-P1</t>
  </si>
  <si>
    <t>17-May-GA-VIJ-46-P1</t>
  </si>
  <si>
    <t>17-Jun-MA-SBI-1-P1</t>
  </si>
  <si>
    <t>17-Jun-MA-SBI-5-P1</t>
  </si>
  <si>
    <t>17-Jun-MA-SBI-12-P1</t>
  </si>
  <si>
    <t>17-Jun-MA-SBI-13-P1</t>
  </si>
  <si>
    <t>17-Jun-MA-SBI-16-P1</t>
  </si>
  <si>
    <t>17-Jun-MA-SBI-18-P1</t>
  </si>
  <si>
    <t>17-Jun-MA-SBI-19-P1</t>
  </si>
  <si>
    <t>17-Jun-MA-SBI-21-P1</t>
  </si>
  <si>
    <t>17-Jun-MA-SBI-24-P1</t>
  </si>
  <si>
    <t>17-Jun-MA-SBI-25-P1</t>
  </si>
  <si>
    <t>17-Jun-MA-SBI-26-P1</t>
  </si>
  <si>
    <t>17-Jun-MA-SBI-29-P1</t>
  </si>
  <si>
    <t>17-Jun-MA-SBI-32-P1</t>
  </si>
  <si>
    <t>17-Jun-MA-SBI-39-P1</t>
  </si>
  <si>
    <t>17-Jun-MA-SBI-40-P1</t>
  </si>
  <si>
    <t>17-Jun-MA-SBI-41-P1</t>
  </si>
  <si>
    <t>17-Jun-MA-SBI-46-P1</t>
  </si>
  <si>
    <t>17-Jun-MA-SBI-49-P1</t>
  </si>
  <si>
    <t>17-Jun-MA-SBI-50-P1</t>
  </si>
  <si>
    <t>17-Jun-MA-SBI-54-P1</t>
  </si>
  <si>
    <t>17-Jun-MA-SBI-57-P1</t>
  </si>
  <si>
    <t>17-Jun-MA-SBI-58-P1</t>
  </si>
  <si>
    <t>17-Jun-MA-SBI-60-P1</t>
  </si>
  <si>
    <t>17-Jun-MA-SBI-65-P1</t>
  </si>
  <si>
    <t>17-Jun-MA-SBI-66-P1</t>
  </si>
  <si>
    <t>17-Jun-MA-SBI-67-P1</t>
  </si>
  <si>
    <t>17-Jun-MA-SBI-68-P1</t>
  </si>
  <si>
    <t>17-Jun-MA-SBI-69-P1</t>
  </si>
  <si>
    <t>17-Jun-MA-SBI-71-P1</t>
  </si>
  <si>
    <t>17-Jun-MA-SBI-75-P1</t>
  </si>
  <si>
    <t>17-Jun-MA-SBI-80-P1</t>
  </si>
  <si>
    <t>17-Jun-MA-SBI-84-P1</t>
  </si>
  <si>
    <t>17-Jun-MA-SBI-87-P1</t>
  </si>
  <si>
    <t>17-Jun-MA-SBI-90-P1</t>
  </si>
  <si>
    <t>17-Jun-MA-SBI-91-P1</t>
  </si>
  <si>
    <t>17-Jun-MA-UBI-1-P1</t>
  </si>
  <si>
    <t>17-Jun-MA-UBI-2-P1</t>
  </si>
  <si>
    <t>17-Jun-MA-UBI-3-P1</t>
  </si>
  <si>
    <t>17-Jun-MA-UBI-4-P1</t>
  </si>
  <si>
    <t>17-Jun-MA-UBI-7-P1</t>
  </si>
  <si>
    <t>17-Jun-MA-UBI-8-P1</t>
  </si>
  <si>
    <t>17-Jun-MA-UBI-9-P1</t>
  </si>
  <si>
    <t>17-Jun-MA-UBI-10-P1</t>
  </si>
  <si>
    <t>17-Jun-MA-UBI-11-P1</t>
  </si>
  <si>
    <t>17-Jun-MA-UBI-12-P1</t>
  </si>
  <si>
    <t>17-Jun-MA-UBI-14-P1</t>
  </si>
  <si>
    <t>17-Jun-MA-UBI-15-P1</t>
  </si>
  <si>
    <t>17-Jun-MA-UBI-16-P1</t>
  </si>
  <si>
    <t>17-Jun-MA-UBI-17-P1</t>
  </si>
  <si>
    <t>17-Jun-MA-UBI-18-P1</t>
  </si>
  <si>
    <t>17-Jun-MA-UBI-19-P1</t>
  </si>
  <si>
    <t>17-Jun-MA-UBI-20-P1</t>
  </si>
  <si>
    <t>17-Jun-MA-UBI-21-P1</t>
  </si>
  <si>
    <t>17-Jun-MA-UBI-22-P1</t>
  </si>
  <si>
    <t>17-Jun-MA-UBI-23-P1</t>
  </si>
  <si>
    <t>17-Jun-MA-UBI-24-P1</t>
  </si>
  <si>
    <t>17-Jun-MA-UBI-26-P1</t>
  </si>
  <si>
    <t>17-Jun-MA-UBI-27-P1</t>
  </si>
  <si>
    <t>17-Jun-MA-UBI-28-P1</t>
  </si>
  <si>
    <t>17-Jun-MA-UBI-30-P1</t>
  </si>
  <si>
    <t>17-Jun-MA-UBI-31-P1</t>
  </si>
  <si>
    <t>17-Jun-MA-UBI-32-P1</t>
  </si>
  <si>
    <t>17-Jun-MA-UBI-33-P1</t>
  </si>
  <si>
    <t>17-Jun-MA-UBI-39-P1</t>
  </si>
  <si>
    <t>17-Jun-MA-UBI-43-P1</t>
  </si>
  <si>
    <t>17-Jun-MA-UBI-45-P1</t>
  </si>
  <si>
    <t>17-Jun-MA-UBI-47-P1</t>
  </si>
  <si>
    <t>17-Jun-MA-UBI-48-P1</t>
  </si>
  <si>
    <t>17-Jun-MA-UBI-50-P1</t>
  </si>
  <si>
    <t>17-Jun-MA-UBI-60-P1</t>
  </si>
  <si>
    <t>17-Jun-MA-UBI-63-P1</t>
  </si>
  <si>
    <t>17-Jun-MA-UBI-64-P1</t>
  </si>
  <si>
    <t>17-Jun-MA-UBI-65-P1</t>
  </si>
  <si>
    <t>17-Jun-MA-UBI-66-P1</t>
  </si>
  <si>
    <t>17-Jun-MA-UBI-67-P1</t>
  </si>
  <si>
    <t>17-Jun-MA-UBI-68-P1</t>
  </si>
  <si>
    <t>17-Jun-MA-UBI-69-P1</t>
  </si>
  <si>
    <t>17-Jun-MA-UBI-73-P1</t>
  </si>
  <si>
    <t>17-May-MA-SBI-4-P1</t>
  </si>
  <si>
    <t>17-May-MA-SBI-5-P1</t>
  </si>
  <si>
    <t>17-May-MA-SBI-8A-P1</t>
  </si>
  <si>
    <t>17-May-MA-SBI-13-P1</t>
  </si>
  <si>
    <t>17-May-MA-SBI-29-P1</t>
  </si>
  <si>
    <t>17-May-MA-SBI-39-P1</t>
  </si>
  <si>
    <t>17-May-MA-SBI-40-P1</t>
  </si>
  <si>
    <t>17-May-MA-SBI-41A-P1</t>
  </si>
  <si>
    <t>17-May-MA-SBI-51-P1</t>
  </si>
  <si>
    <t>17-May-MA-SBI-52-P1</t>
  </si>
  <si>
    <t>17-May-MA-SBI-54A-P1</t>
  </si>
  <si>
    <t>17-May-MA-SBI-55A-P1</t>
  </si>
  <si>
    <t>17-May-MA-SBT-61-P1</t>
  </si>
  <si>
    <t>17-May-MA-SBI-62-P1</t>
  </si>
  <si>
    <t>17-May-MA-SBI-64A-P1</t>
  </si>
  <si>
    <t>17-May-MA-SBM-66-P1</t>
  </si>
  <si>
    <t>17-May-MA-SBI-70-P1</t>
  </si>
  <si>
    <t>17-May-MA-UBI-35-P1</t>
  </si>
  <si>
    <t>17-May-MA-UBI-38A-P1</t>
  </si>
  <si>
    <t>17-May-MA-UBI-42A-P1</t>
  </si>
  <si>
    <t>17-May-MA-UBI-43A-P1</t>
  </si>
  <si>
    <t>17-May-MA-UBI-44A-P1</t>
  </si>
  <si>
    <t>17-May-MA-UBI-45A-P1</t>
  </si>
  <si>
    <t>17-May-MA-UBI-46A-P1</t>
  </si>
  <si>
    <t>17-May-MA-UBI-47A-P1</t>
  </si>
  <si>
    <t>17-May-MA-UBI-53-P1</t>
  </si>
  <si>
    <t>17-May-MA-UBI-56-P1</t>
  </si>
  <si>
    <t>17-May-MA-UBI-62-P1</t>
  </si>
  <si>
    <t>17-May-MA-UBI-64-P1</t>
  </si>
  <si>
    <t>17-May-MA-UBI-65-P1</t>
  </si>
  <si>
    <t>16-Jul-PR-BOI-12-P1</t>
  </si>
  <si>
    <t>16-Oct-PR-BOI-7-P1</t>
  </si>
  <si>
    <t>16-Nov-PR-BOI-2-P1</t>
  </si>
  <si>
    <t>17-Jan-PR-BOI-3-P1</t>
  </si>
  <si>
    <t>17-Apr-PR-BOI-4-P1</t>
  </si>
  <si>
    <t>17-May-PR-BOI-1-P1</t>
  </si>
  <si>
    <t>17-May-PR-BOI-2-P1</t>
  </si>
  <si>
    <t>17-May-PR-BOI-4-P1</t>
  </si>
  <si>
    <t>17-May-PR-BOI-6-P1</t>
  </si>
  <si>
    <t>17-Jun-PR-BOI-1-P1</t>
  </si>
  <si>
    <t>17-Jun-PR-BOI-2-P1</t>
  </si>
  <si>
    <t>17-Jun-PR-BOI-4-P1</t>
  </si>
  <si>
    <t>17-Jun-PR-BOI-5-P1</t>
  </si>
  <si>
    <t>17-Jun-PR-BOI-6-P1</t>
  </si>
  <si>
    <t>17-Jun-PR-BOI-8-P1</t>
  </si>
  <si>
    <t>17-Jun-PR-SBI-2-P1</t>
  </si>
  <si>
    <t>17-Jun-PR-SBI-3A-P1</t>
  </si>
  <si>
    <t>17-Jun-PR-SBI-4A-P1</t>
  </si>
  <si>
    <t>17-Jun-PR-SBI-6-P1</t>
  </si>
  <si>
    <t>17-Jun-PR-SBI-7-P1</t>
  </si>
  <si>
    <t>17-Jun-PR-SBI-8-P1</t>
  </si>
  <si>
    <t>17-Jun-PR-SBI-12-P1</t>
  </si>
  <si>
    <t>17-Jun-PR-SBI-13-P1</t>
  </si>
  <si>
    <t>17-Jun-PR-SBI-14-P1</t>
  </si>
  <si>
    <t>17-Jun-PR-SBI-16-P1</t>
  </si>
  <si>
    <t>17-Jun-PR-SBI-17-P1</t>
  </si>
  <si>
    <t>17-Jun-PR-SBI-19-P1</t>
  </si>
  <si>
    <t>17-Jun-PR-SBI-21-P1</t>
  </si>
  <si>
    <t>17-Jun-PR-SBI-22-P1</t>
  </si>
  <si>
    <t>17-Jun-PR-SBI-23-P1</t>
  </si>
  <si>
    <t>17-Jun-PR-SBI-28-P1</t>
  </si>
  <si>
    <t>17-Jun-PR-SBI-29-P1</t>
  </si>
  <si>
    <t>17-Jun-PR-SBI-32-P1</t>
  </si>
  <si>
    <t>17-Jun-PR-SBI-33-P1</t>
  </si>
  <si>
    <t>17-Jun-PR-SBI-37-P1</t>
  </si>
  <si>
    <t>17-Jun-PR-SBI-40-P1</t>
  </si>
  <si>
    <t>17-Jun-PR-SBI-41-P1</t>
  </si>
  <si>
    <t>17-Jun-PR-SBI-42-P1</t>
  </si>
  <si>
    <t>17-Jun-PR-SBI-43-P1</t>
  </si>
  <si>
    <t>17-Jun-PR-SBI-45-P1</t>
  </si>
  <si>
    <t>17-Jun-PR-SBI-47-P1</t>
  </si>
  <si>
    <t>17-Jun-PR-SBI-48-P1</t>
  </si>
  <si>
    <t>17-Jun-PR-SBI-51-P1</t>
  </si>
  <si>
    <t>17-Jun-PR-SBI-54-P1</t>
  </si>
  <si>
    <t>17-Jun-PR-SBI-55-P1</t>
  </si>
  <si>
    <t>17-Jun-PR-SBI-60-P1</t>
  </si>
  <si>
    <t>17-Jun-PR-SBI-61-P1</t>
  </si>
  <si>
    <t>17-Jun-PR-SBI-63-P1</t>
  </si>
  <si>
    <t>17-Jun-PR-SBI-65-P1</t>
  </si>
  <si>
    <t>17-Jun-PR-SBI-66-P1</t>
  </si>
  <si>
    <t>17-Jun-PR-SBI-67-P1</t>
  </si>
  <si>
    <t>17-Jun-PR-SBI-69-P1</t>
  </si>
  <si>
    <t>17-Jun-PR-SBI-72-P1</t>
  </si>
  <si>
    <t>17-Jun-PR-SBI-74-P1</t>
  </si>
  <si>
    <t>17-Jun-PR-SBI-75-P1</t>
  </si>
  <si>
    <t>17-Jun-PR-SBI-76-P1</t>
  </si>
  <si>
    <t>17-Jun-PR-SBI-80-P1</t>
  </si>
  <si>
    <t>17-Jun-PR-SBI-81-P1</t>
  </si>
  <si>
    <t>17-Jun-PR-SBI-86-P1</t>
  </si>
  <si>
    <t>17-Jun-PR-SBI-1B-P1</t>
  </si>
  <si>
    <t>17-Jun-PR-SBI-3B-P1</t>
  </si>
  <si>
    <t>17-Jun-PR-SBI-4B-P1</t>
  </si>
  <si>
    <t>17-Jun-PR-SBI-5B-P1</t>
  </si>
  <si>
    <t>17-Jan-PR-SBI-32-P1</t>
  </si>
  <si>
    <t>17-Jan-PR-SBI-33-P1</t>
  </si>
  <si>
    <t>17-Jan-PR-SBI-34-P1</t>
  </si>
  <si>
    <t>17-Jan-PR-SBI-35-P1</t>
  </si>
  <si>
    <t>17-Jan-PR-SBI-42-P1</t>
  </si>
  <si>
    <t>17-Jan-PR-SBI-47-P1</t>
  </si>
  <si>
    <t>17-Jan-PR-SBI-48-P1</t>
  </si>
  <si>
    <t>17-Feb-PR-SBI-17-P1</t>
  </si>
  <si>
    <t>17-Feb-PR-SBI-25-P1</t>
  </si>
  <si>
    <t>17-Feb-PR-SBI-26-P1</t>
  </si>
  <si>
    <t>17-Feb-PR-SBI-27-P1</t>
  </si>
  <si>
    <t>17-Feb-PR-SBI-30-P1</t>
  </si>
  <si>
    <t>17-Feb-PR-SBI-32-P1</t>
  </si>
  <si>
    <t>17-Feb-PR-SBI-52-P1</t>
  </si>
  <si>
    <t>17-Mar-PR-SBI-23-P1</t>
  </si>
  <si>
    <t>17-Mar-PR-SBI-75-P1</t>
  </si>
  <si>
    <t>17-Apr-PR-SBI-18-P1</t>
  </si>
  <si>
    <t>17-Apr-PR-SBI-19-P1</t>
  </si>
  <si>
    <t>17-Apr-PR-SBI-47-P1</t>
  </si>
  <si>
    <t>17-Apr-PR-SBI-48-P1</t>
  </si>
  <si>
    <t>17-May-PR-SBI-15-P1</t>
  </si>
  <si>
    <t>17-May-PR-SBI-24-P1</t>
  </si>
  <si>
    <t>17-May-PR-SBI-46-P1</t>
  </si>
  <si>
    <t>17-May-PR-SBI-49-P1</t>
  </si>
  <si>
    <t>17-May-PR-SBI-54-P1</t>
  </si>
  <si>
    <t>17-May-PR-SBI-76-P1</t>
  </si>
  <si>
    <t>17-May-PR-SBI-80-P1</t>
  </si>
  <si>
    <t>17-May-PR-SBI-84-P1</t>
  </si>
  <si>
    <t>17-May-PR-SBI-89-P1</t>
  </si>
  <si>
    <t>17-May-PR-SBI-90-P1</t>
  </si>
  <si>
    <t>17-Jun-PR-SYN-1-P1</t>
  </si>
  <si>
    <t>17-Jun-PR-SYN-3-P1</t>
  </si>
  <si>
    <t>17-Jun-PR-SYN-4-P1</t>
  </si>
  <si>
    <t>17-Jun-PR-SYN-5-P1</t>
  </si>
  <si>
    <t>17-Jun-PR -SYN-6-P1</t>
  </si>
  <si>
    <t>17-Jun-PR -SYN-7-P1</t>
  </si>
  <si>
    <t>17-Jun-PR -SYN-9-P1</t>
  </si>
  <si>
    <t>17-Feb-PR-SYN-7-P1</t>
  </si>
  <si>
    <t>17-Mar-PR-SYN-19-P1</t>
  </si>
  <si>
    <t>17-Mar-PR-SYN-41-P1</t>
  </si>
  <si>
    <t>17-Apr-PR-SYN-8-P1</t>
  </si>
  <si>
    <t>17-Apr-PR-SYN-26-P1</t>
  </si>
  <si>
    <t>17-May-PR-SYN-14-P1</t>
  </si>
  <si>
    <t>17-May-PR-SYN-23-P1</t>
  </si>
  <si>
    <t>17-May-PR-SYN-28-P1</t>
  </si>
  <si>
    <t>17-May-PR-SYN-31-P1</t>
  </si>
  <si>
    <t>17-Jun-KI-SBI-36-P1</t>
  </si>
  <si>
    <t>17-Jun-KI-SBI-41-P1</t>
  </si>
  <si>
    <t>17-Jun-KI-SBI-32-P1</t>
  </si>
  <si>
    <t>17-Jun-KI-SBI-23-P1</t>
  </si>
  <si>
    <t>17-Jun-KI-SBI-24-P1</t>
  </si>
  <si>
    <t>17-Jun-KI-SBI-26-P1</t>
  </si>
  <si>
    <t>17-Jun-KI-SBI-20-P1</t>
  </si>
  <si>
    <t>17-Jun-KI-SBI-18-P1</t>
  </si>
  <si>
    <t>17-Jun-KI-SBI-10-P1</t>
  </si>
  <si>
    <t>17-Jun-KI-SBI-11-P1</t>
  </si>
  <si>
    <t>17-Jun-KI-SBI-9-P1</t>
  </si>
  <si>
    <t>17-Jun-KI-SBI-8-P1</t>
  </si>
  <si>
    <t>17-May-KI-SBI-55-P1</t>
  </si>
  <si>
    <t>17-May-KI-SBI-56-P1</t>
  </si>
  <si>
    <t>17-May-KI-SBI-61-P1</t>
  </si>
  <si>
    <t>17-May-KI-SBI-62-P1</t>
  </si>
  <si>
    <t>17-May-KI-SBI-46-P1</t>
  </si>
  <si>
    <t>17-May-KI-SBI-47-P1</t>
  </si>
  <si>
    <t>17-May-KI-SBI-43-P1</t>
  </si>
  <si>
    <t>17-May-KI-SBI-42-P1</t>
  </si>
  <si>
    <t>17-May-KI-SBI-36-P1</t>
  </si>
  <si>
    <t>17-May-KI-SBI-34-P1</t>
  </si>
  <si>
    <t>17-May-KI-SBI-24-P1</t>
  </si>
  <si>
    <t>17-May-KI-SBI-22-P1</t>
  </si>
  <si>
    <t>17-May-KI-SBI-14A-P1</t>
  </si>
  <si>
    <t>17-Apr-KI-SBI-43-P1</t>
  </si>
  <si>
    <t>17-Apr-KI-SBI-28-P1</t>
  </si>
  <si>
    <t>17-Apr-KI-SBI-24-P1</t>
  </si>
  <si>
    <t>17-Jun-SR-SME-27-P1</t>
  </si>
  <si>
    <t>17-Jun-SR-SME-28-P1</t>
  </si>
  <si>
    <t>17-Jun-SR-SME-26-P1</t>
  </si>
  <si>
    <t>17-Jun-SR-SME-24-P1</t>
  </si>
  <si>
    <t>17-Jun-SR-SME-16-P1</t>
  </si>
  <si>
    <t>17-Jun-SR-SME-14-P1</t>
  </si>
  <si>
    <t>17-Jun-SR-SME-11-P1</t>
  </si>
  <si>
    <t>17-Jun-SR-SME-8-P1</t>
  </si>
  <si>
    <t>17-Jun-SR-SME-2-P1</t>
  </si>
  <si>
    <t>17-Jun-SR-SME-3-P1</t>
  </si>
  <si>
    <t>17-Jun-SR-SME-5-P1</t>
  </si>
  <si>
    <t>17-Jun-SR-COS-2-P1</t>
  </si>
  <si>
    <t>17-Jun-SR-COS-5-P1</t>
  </si>
  <si>
    <t>17-Jun-SR-COS-6-P1</t>
  </si>
  <si>
    <t>17-Jun-SR-COS-12-P1</t>
  </si>
  <si>
    <t>17-Jun-SR-IND-1-P1</t>
  </si>
  <si>
    <t>17-Jun-SR-IND-2-P1</t>
  </si>
  <si>
    <t>17-Jun-SR-IND-4-P1</t>
  </si>
  <si>
    <t>17-Jun-SR-IND-5-P1</t>
  </si>
  <si>
    <t>17-Jun-SR-IND-6-P1</t>
  </si>
  <si>
    <t>17-Jun-SR-IND-8-P1</t>
  </si>
  <si>
    <t>17-Jun-SR-IND-9-P1</t>
  </si>
  <si>
    <t>17-Jun-SR-IND-13-P1</t>
  </si>
  <si>
    <t>17-Jun-SR-SME-6-P1</t>
  </si>
  <si>
    <t>17-Jun-SR-SME-1-P1</t>
  </si>
  <si>
    <t>17-May-SR-SME-10-P1</t>
  </si>
  <si>
    <t>17-May-SR-SME-11-P1</t>
  </si>
  <si>
    <t>16-Dec-SR-SME-4-P1</t>
  </si>
  <si>
    <t>16-Aug-SR-IND-6-P1</t>
  </si>
  <si>
    <t>16-Nov-SR-IND-7-P1</t>
  </si>
  <si>
    <t>16-Dec-SR-IND-1-P1</t>
  </si>
  <si>
    <t>17-Jan-SR-IND-2-P1</t>
  </si>
  <si>
    <t>17-Jan-SR-IND-5-P1</t>
  </si>
  <si>
    <t>16-Mar-SR-SME-8-P1</t>
  </si>
  <si>
    <t>16-Mar-SR-SME-3-P1</t>
  </si>
  <si>
    <t>16-Jul-SR-IND-17-P1</t>
  </si>
  <si>
    <t>16-Jul-SR-IND-27-P1</t>
  </si>
  <si>
    <t>16-Jun-SR-IND-30-P1</t>
  </si>
  <si>
    <t>17-May-SR-COS-3-P1</t>
  </si>
  <si>
    <t>17-May-SR-COS-4-P1</t>
  </si>
  <si>
    <t>17-May-SR-COS-6-P1</t>
  </si>
  <si>
    <t>17-May-SR-COS-7-P1</t>
  </si>
  <si>
    <t>17-May-SR-IND-1-P1</t>
  </si>
  <si>
    <t>17-May-SR-IND-2-P1</t>
  </si>
  <si>
    <t>17-May-SR-IND-7-P1</t>
  </si>
  <si>
    <t>17-May-SR-IND-8-P1</t>
  </si>
  <si>
    <t>17-May-SR-IND-13-P1</t>
  </si>
  <si>
    <t>17-Mar-MA-UBI-15-P1</t>
  </si>
  <si>
    <t>17-Mar-MA-UBI-16-P1</t>
  </si>
  <si>
    <t>17-Mar-MA-UBI-17-P1</t>
  </si>
  <si>
    <t>17-Mar-MA-UBI-24-P1</t>
  </si>
  <si>
    <t>17-May-MA-AXI-528-P1</t>
  </si>
  <si>
    <t>17-May-MA-AXI-529-P1</t>
  </si>
  <si>
    <t>17-Apr-MA-AXI-503-P1</t>
  </si>
  <si>
    <t>17-Apr-MA-AXI-504-P1</t>
  </si>
  <si>
    <t>17-Apr-MA-AXI-505-P1</t>
  </si>
  <si>
    <t>17-May-MA-AXI-516-P1</t>
  </si>
  <si>
    <t>17-Jan-MA-AXI-2-P1</t>
  </si>
  <si>
    <t>17-Jan-MA-AXI-11-P1</t>
  </si>
  <si>
    <t>17-Jan-MA-AXI-12-P1</t>
  </si>
  <si>
    <t>17-Jan-MA-AXI-13-P1</t>
  </si>
  <si>
    <t>17-Jan-MA-AXI-14-P1</t>
  </si>
  <si>
    <t>17-Jan-MA-AXI-18-P1</t>
  </si>
  <si>
    <t>17-Mar-MA-AXI-4-P1</t>
  </si>
  <si>
    <t>17-Mar-MA-AXI-12-P1</t>
  </si>
  <si>
    <t>17-Mar-MA-AXI-13-P1</t>
  </si>
  <si>
    <t>17-Mar-MA-AXI-14-P1</t>
  </si>
  <si>
    <t>17-Mar-MA-AXI-15-P1</t>
  </si>
  <si>
    <t>17-Mar-MA-AXI-17-P1</t>
  </si>
  <si>
    <t>17-Mar-MA-AXI-18-P1</t>
  </si>
  <si>
    <t>17-Mar-MA-AXI-19-P1</t>
  </si>
  <si>
    <t>17-Mar-MA-AXI-20-P1</t>
  </si>
  <si>
    <t>17-Mar-MA-AXI-25-P1</t>
  </si>
  <si>
    <t>17-Mar-MA-AXI-26-P1</t>
  </si>
  <si>
    <t>17-Mar-MA-AXI-28-P1</t>
  </si>
  <si>
    <t>17-Mar-MA-AXI-29-P1</t>
  </si>
  <si>
    <t>17-Mar-MA-AXI-30-P1</t>
  </si>
  <si>
    <t>17-Mar-MA-AXI-33-P1</t>
  </si>
  <si>
    <t>17-Mar-MA-AXI-36-P1</t>
  </si>
  <si>
    <t>17-May-PR-BOI-3-P1</t>
  </si>
  <si>
    <t>17-May-PR-BOI-5-P1</t>
  </si>
  <si>
    <t>17-May-PR-BOI-7-P1</t>
  </si>
  <si>
    <t>17-May-PR-BOI-8-P1</t>
  </si>
  <si>
    <t>17-May-PR-BOI-9-P1</t>
  </si>
  <si>
    <t>17-May-PR-BOI-10-P1</t>
  </si>
  <si>
    <t>17-Apr-PR-BOI-5-P1</t>
  </si>
  <si>
    <t>17-Apr-PR-BOI-6-P1</t>
  </si>
  <si>
    <t>17-May-KI-COS-1-P1</t>
  </si>
  <si>
    <t>17-May-KI-COS-2-P1</t>
  </si>
  <si>
    <t>17-Apr-KI-COS-1-P1</t>
  </si>
  <si>
    <t>17-Apr-KI-COS-2-P1</t>
  </si>
  <si>
    <t>17-Apr-KI-COS-3-P1</t>
  </si>
  <si>
    <t>17-Apr-KI-COS-4-P1</t>
  </si>
  <si>
    <t>17-Apr-KI-COS-5-P1</t>
  </si>
  <si>
    <t>17-Apr-KI-COS-6-P1</t>
  </si>
  <si>
    <t>17-May-KI-IND-5-P1</t>
  </si>
  <si>
    <t>17-May-KI-IND-6-P1</t>
  </si>
  <si>
    <t>17-May-KI-IND-9-P1</t>
  </si>
  <si>
    <t>17-May-KI-IND-14-P1</t>
  </si>
  <si>
    <t>17-May-KI-IND-15-P1</t>
  </si>
  <si>
    <t>17-May-KI-IND-16-P1</t>
  </si>
  <si>
    <t>17-May-KI-IND-18-P1</t>
  </si>
  <si>
    <t>17-May-KI-IND-19-P1</t>
  </si>
  <si>
    <t>17-May-KI-IND-20-P1</t>
  </si>
  <si>
    <t>16-Jul-KI-IND-11-P1</t>
  </si>
  <si>
    <t>17-Jan-KI-IND-6-P1</t>
  </si>
  <si>
    <t>17-Jan-KI-IND-10-P1</t>
  </si>
  <si>
    <t>17-Feb-KI-IND-7-P1</t>
  </si>
  <si>
    <t>17-Mar-KI-IND-9-P1</t>
  </si>
  <si>
    <t>17-Mar-KI-IND-13-P1</t>
  </si>
  <si>
    <t>17-Apr-KI-IND-8-P1</t>
  </si>
  <si>
    <t>16-Sep-MA-SBH-3-P1</t>
  </si>
  <si>
    <t>16-Dec-MA-SBH-26-P1</t>
  </si>
  <si>
    <t>17-Mar-MA-SBH-4-P1</t>
  </si>
  <si>
    <t>17-Mar-MA-SBH-50-P1</t>
  </si>
  <si>
    <t>17-May-KI-SBI-1A-P1</t>
  </si>
  <si>
    <t>17-May-KI-SBI-2A-P1</t>
  </si>
  <si>
    <t>17-May-KI-SBI-11-P1</t>
  </si>
  <si>
    <t>17-May-KI-SBI-15-P1</t>
  </si>
  <si>
    <t>17-May-KI-SBI-16-P1</t>
  </si>
  <si>
    <t>17-May-KI-SBI-17-P1</t>
  </si>
  <si>
    <t>17-May-KI-SBI-23-P1</t>
  </si>
  <si>
    <t>17-May-KI-SBI-31-P1</t>
  </si>
  <si>
    <t>17-May-KI-SBI-32-P1</t>
  </si>
  <si>
    <t>17-May-KI-SBI-35-P1</t>
  </si>
  <si>
    <t>17-May-KI-SBI-37-P1</t>
  </si>
  <si>
    <t>17-May-KI-SBI-38-P1</t>
  </si>
  <si>
    <t>17-May-KI-SBI-45-P1</t>
  </si>
  <si>
    <t>17-May-KI-SBI-48-P1</t>
  </si>
  <si>
    <t>17-May-KI-SBI-51-P1</t>
  </si>
  <si>
    <t>17-May-KI-SBI-52-P1</t>
  </si>
  <si>
    <t>16-Oct-KI-SBI-21-P1</t>
  </si>
  <si>
    <t>16-Oct-KI-SBI-22-P1</t>
  </si>
  <si>
    <t>16-Oct-KI-SBI-23-P1</t>
  </si>
  <si>
    <t>16-Oct-KI-SBI-24-P1</t>
  </si>
  <si>
    <t>16-Nov-KI-SBI-19-P1</t>
  </si>
  <si>
    <t>16-Nov-KI-SBI-20-P1</t>
  </si>
  <si>
    <t>16-Nov-KI-SBI-22-P1</t>
  </si>
  <si>
    <t>16-Nov-KI-SBI-23-P1</t>
  </si>
  <si>
    <t>16-Nov-KI-SBI-24-P1</t>
  </si>
  <si>
    <t>16-Nov-KI-SBI-25-P1</t>
  </si>
  <si>
    <t>16-Nov-KI-SBI-35-P1</t>
  </si>
  <si>
    <t>16-Nov-KI-SBI-36-P1</t>
  </si>
  <si>
    <t>16-Nov-KI-SBI-37-P1</t>
  </si>
  <si>
    <t>17-Jan-KI-SBI-11-P1</t>
  </si>
  <si>
    <t>17-Jan-KI-SBI-25-P1</t>
  </si>
  <si>
    <t>17-Jan-KI-SBI-44-P1</t>
  </si>
  <si>
    <t>17-Feb-KI-SBI-2-P1</t>
  </si>
  <si>
    <t>17-Feb-KI-SBI-15-P1</t>
  </si>
  <si>
    <t>17-Mar-KI-SBI-6-P1</t>
  </si>
  <si>
    <t>17-Mar-KI-SBI-13-P1</t>
  </si>
  <si>
    <t>17-Mar-KI-SBI-21-P1</t>
  </si>
  <si>
    <t>17-Mar-KI-SBI-25A-P1</t>
  </si>
  <si>
    <t>17-Mar-KI-SBI-32-P1</t>
  </si>
  <si>
    <t>17-Mar-KI-SBI-38-P1</t>
  </si>
  <si>
    <t>17-Mar-KI-SBI-39-P1</t>
  </si>
  <si>
    <t>17-Mar-KI-SBI-55-P1</t>
  </si>
  <si>
    <t>17-Apr-KI-SBI-2-P1</t>
  </si>
  <si>
    <t>17-Apr-KI-SBI-11-P1</t>
  </si>
  <si>
    <t>17-Apr-KI-SBI-45-P1</t>
  </si>
  <si>
    <t>17-Apr-KI-SBI-52-P1</t>
  </si>
  <si>
    <t>17-Apr-KI-SBI-54-P1</t>
  </si>
  <si>
    <t>17-Apr-KI-SBI-55-P1</t>
  </si>
  <si>
    <t>17-May-MA-SBI-2-P1</t>
  </si>
  <si>
    <t>17-May-MA-SBI-3-P1</t>
  </si>
  <si>
    <t>17-May-MA-SBI-8B-P1</t>
  </si>
  <si>
    <t>17-May-MA-SBI-10-P1</t>
  </si>
  <si>
    <t>17-May-MA-SBI-11B-P1</t>
  </si>
  <si>
    <t>17-May-MA-SBI-12-P1</t>
  </si>
  <si>
    <t>17-May-MA-SBI-14-P1</t>
  </si>
  <si>
    <t>17-May-MA-SBI-15-P1</t>
  </si>
  <si>
    <t>17-May-MA-SBI-17-P1</t>
  </si>
  <si>
    <t>17-May-MA-SBI-21-P1</t>
  </si>
  <si>
    <t>17-May-MA-SBI-22-P1</t>
  </si>
  <si>
    <t>17-May-MA-SBI-31-P1</t>
  </si>
  <si>
    <t>17-May-MA-SBI-32-P1</t>
  </si>
  <si>
    <t>17-May-MA-SBI-33-P1</t>
  </si>
  <si>
    <t>17-May-MA-SBI-34-P1</t>
  </si>
  <si>
    <t>17-May-MA-SBI-35-P1</t>
  </si>
  <si>
    <t>17-May-MA-SBI-36-P1</t>
  </si>
  <si>
    <t>17-May-MA-SBI-38-P1</t>
  </si>
  <si>
    <t>17-May-MA-SBI-41B-P1</t>
  </si>
  <si>
    <t>17-May-MA-SBI-43-P1</t>
  </si>
  <si>
    <t>17-May-MA-SBI-44-P1</t>
  </si>
  <si>
    <t>17-May-MA-SBI-45-P1</t>
  </si>
  <si>
    <t>17-May-MA-SBI-49-P1</t>
  </si>
  <si>
    <t>17-May-MA-SBI-50-P1</t>
  </si>
  <si>
    <t>17-May-MA-SBI-53-P1</t>
  </si>
  <si>
    <t>17-May-MA-SBI-54B-P1</t>
  </si>
  <si>
    <t>17-May-MA-SBI-55B-P1</t>
  </si>
  <si>
    <t>17-May-MA-SBI-56-P1</t>
  </si>
  <si>
    <t>17-May-MA-SBI-57-P1</t>
  </si>
  <si>
    <t>17-May-MA-SBI-58-P1</t>
  </si>
  <si>
    <t>17-May-MA-SBI-59B-P1</t>
  </si>
  <si>
    <t>17-May-MA-SBI-60-P1</t>
  </si>
  <si>
    <t>17-May-MA-SBI-64B-P1</t>
  </si>
  <si>
    <t>17-Apr-MA-SBI-7-P1</t>
  </si>
  <si>
    <t>17-Apr-MA-SBI-28-P1</t>
  </si>
  <si>
    <t>17-Apr-MA-SBI-29-P1</t>
  </si>
  <si>
    <t>17-Apr-MA-SBI-31-P1</t>
  </si>
  <si>
    <t>17-Apr-MA-SBI-33-P1</t>
  </si>
  <si>
    <t>17-Apr-MA-SBI-34-P1</t>
  </si>
  <si>
    <t>17-Apr-MA-SBI-37-P1</t>
  </si>
  <si>
    <t>17-Apr-MA-SBI-38-P1</t>
  </si>
  <si>
    <t>17-May-PR-SBI-1-P1</t>
  </si>
  <si>
    <t>17-May-PR-SBI-2-P1</t>
  </si>
  <si>
    <t>17-May-PR-SBI-3-P1</t>
  </si>
  <si>
    <t>17-May-PR-SBI-5-P1</t>
  </si>
  <si>
    <t>17-May-PR-SBI-6-P1</t>
  </si>
  <si>
    <t>17-May-PR-SBI-7-P1</t>
  </si>
  <si>
    <t>17-May-PR-SBI-8-P1</t>
  </si>
  <si>
    <t>17-May-PR-SBI-10-P1</t>
  </si>
  <si>
    <t>17-May-PR-SBI-11-P1</t>
  </si>
  <si>
    <t>17-May-PR-SBI-12-P1</t>
  </si>
  <si>
    <t>17-May-PR-SBI-13-P1</t>
  </si>
  <si>
    <t>17-May-PR-SBI-16-P1</t>
  </si>
  <si>
    <t>17-May-PR-SBI-20-P1</t>
  </si>
  <si>
    <t>17-May-PR-SBi-21-P1</t>
  </si>
  <si>
    <t>17-May-PR-SBI-23-P1</t>
  </si>
  <si>
    <t>17-May-PR-SBI-25-P1</t>
  </si>
  <si>
    <t>17-May-PR-SBI-28-P1</t>
  </si>
  <si>
    <t>17-May-PR-SBI-29-P1</t>
  </si>
  <si>
    <t>17-May-PR-SBI-31-P1</t>
  </si>
  <si>
    <t>17-May-PR-SBI-32-P1</t>
  </si>
  <si>
    <t>17-May-PR-SBI-33-P1</t>
  </si>
  <si>
    <t>17-May-PR-SBI-34-P1</t>
  </si>
  <si>
    <t>17-May-PR-SBI-35-P1</t>
  </si>
  <si>
    <t>17-May-PR-SBI-36-P1</t>
  </si>
  <si>
    <t>17-May-PR-SBI-38-P1</t>
  </si>
  <si>
    <t>17-May-PR-SBI-39-P1</t>
  </si>
  <si>
    <t>17-May-PR-SBI-41-P1</t>
  </si>
  <si>
    <t>17-May-PR-SBI-42-P1</t>
  </si>
  <si>
    <t>17-May-PR-SBI-45-P1</t>
  </si>
  <si>
    <t>17-May-PR-SBI-47-P1</t>
  </si>
  <si>
    <t>17-May-PR-SBI-50B-P1</t>
  </si>
  <si>
    <t>17-May-PR-SBI-51-P1</t>
  </si>
  <si>
    <t>17-May-PR-SBI-53-P1</t>
  </si>
  <si>
    <t>17-May-PR-SBI-55-P1</t>
  </si>
  <si>
    <t>17-May-PR-SBI-56-P1</t>
  </si>
  <si>
    <t>17-May-PR-SBI-57-P1</t>
  </si>
  <si>
    <t>17-May-PR-SBI-58-P1</t>
  </si>
  <si>
    <t>17-May-PR-SBI-60-P1</t>
  </si>
  <si>
    <t>17-May-PR-SBI-62-P1</t>
  </si>
  <si>
    <t>17-May-PR-SBI-66-P1</t>
  </si>
  <si>
    <t>17-May-PR-SBI-67-P1</t>
  </si>
  <si>
    <t>17-May-PR-SBI-68-P1</t>
  </si>
  <si>
    <t>17-May-PR-SBI-69-P1</t>
  </si>
  <si>
    <t>17-May-PR-SBI-70-P1</t>
  </si>
  <si>
    <t>17-May-PR-SBI-73-P1</t>
  </si>
  <si>
    <t>17-May-PR-SBI-74-P1</t>
  </si>
  <si>
    <t>17-May-PR-SBI-75-P1</t>
  </si>
  <si>
    <t>17-May-PR-SBI-77-P1</t>
  </si>
  <si>
    <t>17-May-PR-SBI-78-P1</t>
  </si>
  <si>
    <t>17-May-PR-SBI-79-P1</t>
  </si>
  <si>
    <t>17-May-PR-SBI-81B-P1</t>
  </si>
  <si>
    <t>PR-SBI-88-P1</t>
  </si>
  <si>
    <t>16-Nov-PR-SBI-29-P1</t>
  </si>
  <si>
    <t>16-Nov-PR-SBI-31-P1</t>
  </si>
  <si>
    <t>16-Nov-PR-SBI-40-P1</t>
  </si>
  <si>
    <t>16-Dec-PR-SBI-8-P1</t>
  </si>
  <si>
    <t>16-Dec-PR-SBI-13-P1</t>
  </si>
  <si>
    <t>16-Dec-PR-SBI-21-P1</t>
  </si>
  <si>
    <t>16-Dec-PR-SBI-34-P1</t>
  </si>
  <si>
    <t>16-Dec-PR-SBI-35-P1</t>
  </si>
  <si>
    <t>16-Dec-PR-SBI-38-P1</t>
  </si>
  <si>
    <t>16-Dec-PR-SBI-45-P1</t>
  </si>
  <si>
    <t>16-Dec-PR-SBI-46-P1</t>
  </si>
  <si>
    <t>17-Jan-PR-SBI-1-P1</t>
  </si>
  <si>
    <t>17-Jan-PR-SBI-10-P1</t>
  </si>
  <si>
    <t>17-Jan-PR-SBI-11-P1</t>
  </si>
  <si>
    <t>17-Jan-PR-SBI-22-P1</t>
  </si>
  <si>
    <t>17-Mar-PR-SBI-2-P1</t>
  </si>
  <si>
    <t>17-Apr-PR-SBI-20-P1</t>
  </si>
  <si>
    <t>17-Apr-PR-SBI-26-P1</t>
  </si>
  <si>
    <t>17-Apr-PR-SBI-39-P1</t>
  </si>
  <si>
    <t>17-Apr-PR-SBI-41-P1</t>
  </si>
  <si>
    <t>17-Apr-PR-SBI-50-P1</t>
  </si>
  <si>
    <t>17-Apr-PR-SBI-51-P1</t>
  </si>
  <si>
    <t>17-Apr-PR-SBI-54-P1</t>
  </si>
  <si>
    <t>17-Apr-PR-SBI-55-P1</t>
  </si>
  <si>
    <t>17-Apr-PR-SBI-62-P1</t>
  </si>
  <si>
    <t>17-May-KI-SME-1B-P1</t>
  </si>
  <si>
    <t>17-May-KI-SME-2B-P1</t>
  </si>
  <si>
    <t>17-May-KI-SME-3B-P1</t>
  </si>
  <si>
    <t>17-May-KI-SME-8B-P1</t>
  </si>
  <si>
    <t>17-May-KI-SME-9B-P1</t>
  </si>
  <si>
    <t>17-May-KI-SME-13B-P1</t>
  </si>
  <si>
    <t>17-May-KI-SME-14B-P1</t>
  </si>
  <si>
    <t>17-Mar-KI-SME-11-P1</t>
  </si>
  <si>
    <t>17-Mar-KI-SME-16-P1</t>
  </si>
  <si>
    <t>17-Mar-KI-SME-17-P1</t>
  </si>
  <si>
    <t>17-Mar-KI-SME-22-P1</t>
  </si>
  <si>
    <t>17-Mar-KI-SME-23B-P1</t>
  </si>
  <si>
    <t>17-Mar-KI-SME-24-P1</t>
  </si>
  <si>
    <t>17-Mar-KI-SME-25B-P1</t>
  </si>
  <si>
    <t>17-Apr-KI-SME-4-P1</t>
  </si>
  <si>
    <t>17-May-MA-SBM-6-P1</t>
  </si>
  <si>
    <t>17-May-MA-SBM-7-P1</t>
  </si>
  <si>
    <t>17-May-MA-SBM-18-P1</t>
  </si>
  <si>
    <t>17-May-MA-SBM-20-P1</t>
  </si>
  <si>
    <t>17-Apr-MA-SBP-2-P1</t>
  </si>
  <si>
    <t>17-May-MA-SBT-37-P1</t>
  </si>
  <si>
    <t>17-Mar-MA-SBT-5-P1</t>
  </si>
  <si>
    <t>17-May-PR-SYN-2-P1</t>
  </si>
  <si>
    <t>17-May-PR-SYN-3-P1</t>
  </si>
  <si>
    <t>17-May-PR-SYN-4-P1</t>
  </si>
  <si>
    <t>17-May-PR-SYN-6-P1</t>
  </si>
  <si>
    <t>17-May-PR-SYN-7-P1</t>
  </si>
  <si>
    <t>17-May-PR-SYN-8-P1</t>
  </si>
  <si>
    <t>17-May-PR-SYN-9-P1</t>
  </si>
  <si>
    <t>17-May-PR-SYN-10-P1</t>
  </si>
  <si>
    <t>17-May-PR-SYN-11-P1</t>
  </si>
  <si>
    <t>17-May-PR-SYN-12-P1</t>
  </si>
  <si>
    <t>17-May-PR-SYN-15-P1</t>
  </si>
  <si>
    <t>17-May-PR-SYN-17-P1</t>
  </si>
  <si>
    <t>17-May-PR-SYN-18-P1</t>
  </si>
  <si>
    <t>17-May-PR-SYN-19-P1</t>
  </si>
  <si>
    <t>17-May-PR-SYN-20-P1</t>
  </si>
  <si>
    <t>17-May-PR-SYN-21-P1</t>
  </si>
  <si>
    <t>17-May-PR-SYN-24-P1</t>
  </si>
  <si>
    <t>17-May-PR-SYN-25-P1</t>
  </si>
  <si>
    <t>17-May-PR-SYN-29-P1</t>
  </si>
  <si>
    <t>17-May-PR-SYN-30-P1</t>
  </si>
  <si>
    <t>16-Nov-PR-SYN-14-P1</t>
  </si>
  <si>
    <t>17-Mar-PR-SYN-8B-P1</t>
  </si>
  <si>
    <t>17-Apr-PR-SYN-22-P1</t>
  </si>
  <si>
    <t>17-Apr-PR-SYN-23-P1</t>
  </si>
  <si>
    <t>17-Apr-PR-SYN-36-P1</t>
  </si>
  <si>
    <t>17-Apr-PR-SYN-37-P1</t>
  </si>
  <si>
    <t>17-Apr-PR-SYN-38-P1</t>
  </si>
  <si>
    <t>17-Apr-PR-SYN-41-P1</t>
  </si>
  <si>
    <t>17-Apr-PR-SYN-42-P1</t>
  </si>
  <si>
    <t>17-Apr-PR-SYN-43-P1</t>
  </si>
  <si>
    <t>17-Apr-PR-SYN-44-P1</t>
  </si>
  <si>
    <t>17-Apr-PR-SYN-45-P1</t>
  </si>
  <si>
    <t>17-Apr-PR-SYN-46-P1</t>
  </si>
  <si>
    <t>17-May-GA-TGB-1-P1</t>
  </si>
  <si>
    <t>17-May-MA-UBI-1-P1</t>
  </si>
  <si>
    <t>17-May-MA-UBI-2-P1</t>
  </si>
  <si>
    <t>17-May-MA-UBI-3-P1</t>
  </si>
  <si>
    <t>17-May-MA-UBI-4-P1</t>
  </si>
  <si>
    <t>17-May-MA-UBI-5-P1</t>
  </si>
  <si>
    <t>17-May-MA-UBI-6-P1</t>
  </si>
  <si>
    <t>17-May-MA-UBI-7-P1</t>
  </si>
  <si>
    <t>17-May-MA-UBI-8B-P1</t>
  </si>
  <si>
    <t>17-May-MA-UBI-9-P1</t>
  </si>
  <si>
    <t>17-May-MA-UBI-10-P1</t>
  </si>
  <si>
    <t>17-May-MA-UBI-11-P1</t>
  </si>
  <si>
    <t>17-May-MA-UBI-13-P1</t>
  </si>
  <si>
    <t>17-May-MA-UBI-14-P1</t>
  </si>
  <si>
    <t>17-May-MA-UBI-16-P1</t>
  </si>
  <si>
    <t>17-May-MA-UBI-17-P1</t>
  </si>
  <si>
    <t>17-May-MA-UBI-18-P1</t>
  </si>
  <si>
    <t>17-May-MA-UBI-21-P1</t>
  </si>
  <si>
    <t>17-May-MA-UBI-24-P1</t>
  </si>
  <si>
    <t>17-May-MA-UBI-25-P1</t>
  </si>
  <si>
    <t>17-May-MA-UBI-26-P1</t>
  </si>
  <si>
    <t>17-May-MA-UBI-28-P1</t>
  </si>
  <si>
    <t>17-May-MA-UBI-29-P1</t>
  </si>
  <si>
    <t>17-May-MA-UBI-30-P1</t>
  </si>
  <si>
    <t>17-May-MA-UBI-31-P1</t>
  </si>
  <si>
    <t>17-May-MA-UBI-32-P1</t>
  </si>
  <si>
    <t>17-May-MA-UBI-33-P1</t>
  </si>
  <si>
    <t>17-May-MA-UBI-36B-P1</t>
  </si>
  <si>
    <t>17-May-MA-UBI-37-P1</t>
  </si>
  <si>
    <t>17-May-MA-UBI-38B-P1</t>
  </si>
  <si>
    <t>17-May-MA-UBI-40-P1</t>
  </si>
  <si>
    <t>17-May-MA-UBI-41-P1</t>
  </si>
  <si>
    <t>17-May-MA-UBI-42B-P1</t>
  </si>
  <si>
    <t>17-May-MA-UBI-43B-P1</t>
  </si>
  <si>
    <t>17-May-MA-UBI-44B-P1</t>
  </si>
  <si>
    <t>17-May-MA-UBI-45B-P1</t>
  </si>
  <si>
    <t>17-May-MA-UBI-46B-P1</t>
  </si>
  <si>
    <t>17-May-MA-UBI-47B-P1</t>
  </si>
  <si>
    <t>17-May-MA-UBI-51B-P1</t>
  </si>
  <si>
    <t>17-May-MA-UBI-52B-P1</t>
  </si>
  <si>
    <t>17-May-MA-UBI-54-P1</t>
  </si>
  <si>
    <t>17-May-MA-UBI-57-P1</t>
  </si>
  <si>
    <t>17-May-MA-UBI-58-P1</t>
  </si>
  <si>
    <t>17-May-MA-UBI-59-P1</t>
  </si>
  <si>
    <t>17-May-MA-UBI-61B-P1</t>
  </si>
  <si>
    <t>17-May-MA-UBI-63B-P1</t>
  </si>
  <si>
    <t>17-May-MA-UBI-67B-P1</t>
  </si>
  <si>
    <t>17-Apr-MA-UBI-18-P1</t>
  </si>
  <si>
    <t>17-Apr-MA-UBI-34-P1</t>
  </si>
  <si>
    <t>17-Apr-MA-UBI-35-P1</t>
  </si>
  <si>
    <t>17-Apr-MA-UBI-36-P1</t>
  </si>
  <si>
    <t>17-Apr-MA-UBI-37-P1</t>
  </si>
  <si>
    <t>17-Apr-MA-UBI-39-P1</t>
  </si>
  <si>
    <t>17-Apr-MA-UBI-42-P1</t>
  </si>
  <si>
    <t>17-Apr-MA-UBI-51-P1</t>
  </si>
  <si>
    <t>17-Apr-MA-UBI-53-P1</t>
  </si>
  <si>
    <t>17-Apr-MA-UBI-60-P1</t>
  </si>
  <si>
    <t>17-Apr-MA-UBI-61-P1</t>
  </si>
  <si>
    <t>17-Apr-MA-UBI-64-P1</t>
  </si>
  <si>
    <t>17-Apr-MA-UBI-65-P1</t>
  </si>
  <si>
    <t>17-Apr-MA-UBI-66-P1</t>
  </si>
  <si>
    <t>16-Apr-MA-UBI-9-P1</t>
  </si>
  <si>
    <t>17-Jan-MA-UBI-22-P1</t>
  </si>
  <si>
    <t>17-Feb-MA-UBI-29-P1</t>
  </si>
  <si>
    <t>17-Mar-MA-UBI-41-P1</t>
  </si>
  <si>
    <t>17-Mar-MA-UBI-42-P1</t>
  </si>
  <si>
    <t>17-Mar-MA-UBI-49-P1</t>
  </si>
  <si>
    <t>17-Mar-MA-UBI-53-P1</t>
  </si>
  <si>
    <t>17-Mar-MA-UBI-68-P1</t>
  </si>
  <si>
    <t>17-Mar-MA-UBI-73-P1</t>
  </si>
  <si>
    <t>17-May-GA-VIJ-8-P1</t>
  </si>
  <si>
    <t>17-May-GA-VIJ-9-P1</t>
  </si>
  <si>
    <t>17-May-GA-VIJ-18-P1</t>
  </si>
  <si>
    <t>17-May-GA-VIJ-21-P1</t>
  </si>
  <si>
    <t>17-May-GA-VIJ-22-P1</t>
  </si>
  <si>
    <t>17-May-GA-VIJ-24-P1</t>
  </si>
  <si>
    <t>17-Apr-GA-VIJ-18-P1</t>
  </si>
  <si>
    <t>17-Apr-GA-VIJ-24-P1</t>
  </si>
  <si>
    <t>17-Apr-GA-VIJ-34-P1</t>
  </si>
  <si>
    <t>17-Apr-GA-VIJ-38-P1</t>
  </si>
  <si>
    <t>17-Apr-GA-VIJ-40-P1</t>
  </si>
  <si>
    <t>17-Apr-GA-VIJ-41-P1</t>
  </si>
  <si>
    <t>17-Apr-GA-VIJ-42-P1</t>
  </si>
  <si>
    <t>17-Apr-GA-VIJ-43-P1</t>
  </si>
  <si>
    <t>17-May-GA-VIJ-44B-P1</t>
  </si>
  <si>
    <t>17-Apr-GA-VIJ-45-P1</t>
  </si>
  <si>
    <t>Tea</t>
  </si>
  <si>
    <t>Office Expenses</t>
  </si>
  <si>
    <t>Stationary Items</t>
  </si>
  <si>
    <t xml:space="preserve">Fee Return </t>
  </si>
  <si>
    <t>Mahesh Sir Told</t>
  </si>
  <si>
    <t>Xerox bill</t>
  </si>
  <si>
    <t>locks &amp; stationary</t>
  </si>
  <si>
    <t>Catrage Refilling</t>
  </si>
  <si>
    <t>Courier</t>
  </si>
  <si>
    <t>Stamps</t>
  </si>
  <si>
    <t>Tolgate</t>
  </si>
  <si>
    <t>Water repair</t>
  </si>
  <si>
    <t>News Paper bill</t>
  </si>
  <si>
    <t>Epson Colour Bottles</t>
  </si>
  <si>
    <t>Systems Repair</t>
  </si>
  <si>
    <t>Sudhakar Printers</t>
  </si>
  <si>
    <t>EC Report</t>
  </si>
  <si>
    <t>Internet Bill</t>
  </si>
  <si>
    <t>Canon Scaner</t>
  </si>
  <si>
    <t>Tata Phone Bill</t>
  </si>
  <si>
    <t>Photo Papers</t>
  </si>
  <si>
    <t>News Paper Bill</t>
  </si>
  <si>
    <t>Salaries May-2017</t>
  </si>
  <si>
    <t>Salaries Apr-2017</t>
  </si>
  <si>
    <t>Moti Nagar</t>
  </si>
  <si>
    <t>Gayatri Devi(10-April)</t>
  </si>
  <si>
    <t>Avanse Financial</t>
  </si>
  <si>
    <t>1634/330/1718</t>
  </si>
  <si>
    <t>Somashekar(BOI File)</t>
  </si>
  <si>
    <t>Neha International(50-march)</t>
  </si>
  <si>
    <t>Mrunalini</t>
  </si>
  <si>
    <t>1634/375/1718</t>
  </si>
  <si>
    <t>Vasudha</t>
  </si>
  <si>
    <t>T.Saroja(25-May)</t>
  </si>
  <si>
    <t>Cash Deposit</t>
  </si>
  <si>
    <t>Pavani Constructions(28-April)</t>
  </si>
  <si>
    <t>Ch No:71</t>
  </si>
  <si>
    <t>Venkateshwar(Estimation)</t>
  </si>
  <si>
    <t>Ch.No 55513(Estimation)</t>
  </si>
  <si>
    <t>Ch No 971150(Estimation)</t>
  </si>
  <si>
    <t>Ch No 88284(Estimation)</t>
  </si>
  <si>
    <t>Ch No695222(Estimation)</t>
  </si>
  <si>
    <t>Ch.No 164244(31-April)</t>
  </si>
  <si>
    <t>Ch.No 175614(30-April)</t>
  </si>
  <si>
    <t>Sushanth Reddy</t>
  </si>
  <si>
    <t>Sanjana</t>
  </si>
  <si>
    <t>1634/158/1718(10/15/16)</t>
  </si>
  <si>
    <t>1634/165/1718(7&amp;8/12/16)</t>
  </si>
  <si>
    <t>1634/286/1718</t>
  </si>
  <si>
    <t>1634/288/1718</t>
  </si>
  <si>
    <t>1634/284/1718</t>
  </si>
  <si>
    <t>1634/285/1718</t>
  </si>
  <si>
    <t>1634/287/1718</t>
  </si>
  <si>
    <t>AVANCES</t>
  </si>
  <si>
    <t>Sandeep Estimation</t>
  </si>
  <si>
    <t>Prathiba</t>
  </si>
  <si>
    <t>Rajendra kumar</t>
  </si>
  <si>
    <t>PROJECT</t>
  </si>
  <si>
    <t>D.V.S.Datta(visa)</t>
  </si>
  <si>
    <t>M.Nohari (44-March)</t>
  </si>
  <si>
    <t>Nishanth (38-March)</t>
  </si>
  <si>
    <t>Radha Shankar(20-Jan)</t>
  </si>
  <si>
    <t>P.Shankaram</t>
  </si>
  <si>
    <t>N.Srikanth(33-feb)</t>
  </si>
  <si>
    <t>K.Rama rao (12-feb)</t>
  </si>
  <si>
    <t>R.Govindaiah (1-Aug)</t>
  </si>
  <si>
    <t>K.Anitha(16-Dec)</t>
  </si>
  <si>
    <t>Valuvation</t>
  </si>
  <si>
    <t>K.Venkateshwara rao</t>
  </si>
  <si>
    <t>Bala niharika (47-March)</t>
  </si>
  <si>
    <t>D.Sathyanara</t>
  </si>
  <si>
    <t>Shankara Constractions</t>
  </si>
  <si>
    <t>TRF</t>
  </si>
  <si>
    <t>Manasa</t>
  </si>
  <si>
    <t>Parasuram</t>
  </si>
  <si>
    <t>17-Jun-MA-SBI-50-P2</t>
  </si>
</sst>
</file>

<file path=xl/styles.xml><?xml version="1.0" encoding="utf-8"?>
<styleSheet xmlns="http://schemas.openxmlformats.org/spreadsheetml/2006/main">
  <numFmts count="6">
    <numFmt numFmtId="164" formatCode="[$-409]d/mmm/yy;@"/>
    <numFmt numFmtId="165" formatCode="\(ddd\)\ dd/mmm/yyyy\ h:mm:ss\ AM/PM"/>
    <numFmt numFmtId="166" formatCode="_(* #,##0_);_(* \(#,##0\);_(* &quot;-&quot;??_);_(@_)"/>
    <numFmt numFmtId="167" formatCode="[$-409]d/mmm/yyyy;@"/>
    <numFmt numFmtId="168" formatCode="dd\-mmm\-yyyy"/>
    <numFmt numFmtId="169" formatCode="dd/mmm/yyyy"/>
  </numFmts>
  <fonts count="25">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theme="1"/>
      <name val="Calibri"/>
      <family val="2"/>
      <scheme val="minor"/>
    </font>
    <font>
      <sz val="20"/>
      <color theme="0"/>
      <name val="Calibri"/>
      <family val="2"/>
      <scheme val="minor"/>
    </font>
    <font>
      <b/>
      <sz val="14"/>
      <color theme="1"/>
      <name val="Calibri"/>
      <family val="2"/>
      <scheme val="minor"/>
    </font>
    <font>
      <sz val="10"/>
      <color rgb="FF333333"/>
      <name val="Verdana"/>
      <family val="2"/>
    </font>
    <font>
      <b/>
      <sz val="24"/>
      <color theme="1"/>
      <name val="Lucida Calligraphy"/>
      <family val="4"/>
    </font>
    <font>
      <sz val="12"/>
      <color theme="1"/>
      <name val="Calibri"/>
      <family val="2"/>
      <scheme val="minor"/>
    </font>
    <font>
      <b/>
      <sz val="12"/>
      <color theme="1"/>
      <name val="Calibri"/>
      <family val="2"/>
      <scheme val="minor"/>
    </font>
    <font>
      <b/>
      <sz val="11"/>
      <color theme="1"/>
      <name val="Calibri Light"/>
      <family val="2"/>
      <scheme val="major"/>
    </font>
    <font>
      <sz val="11"/>
      <color theme="1"/>
      <name val="Calibri Light"/>
      <family val="2"/>
      <scheme val="major"/>
    </font>
    <font>
      <b/>
      <sz val="16"/>
      <color theme="1"/>
      <name val="Calibri"/>
      <family val="2"/>
      <scheme val="minor"/>
    </font>
    <font>
      <b/>
      <sz val="18"/>
      <color theme="1"/>
      <name val="Calibri"/>
      <family val="2"/>
      <scheme val="minor"/>
    </font>
    <font>
      <sz val="12"/>
      <color theme="1"/>
      <name val="Calibri Light"/>
      <family val="1"/>
      <scheme val="major"/>
    </font>
    <font>
      <sz val="12"/>
      <color theme="1"/>
      <name val="Calibri Light"/>
      <family val="2"/>
      <scheme val="major"/>
    </font>
    <font>
      <b/>
      <sz val="22"/>
      <color theme="1"/>
      <name val="Calibri"/>
      <family val="2"/>
      <scheme val="minor"/>
    </font>
    <font>
      <sz val="11"/>
      <name val="Calibri"/>
      <family val="2"/>
      <scheme val="minor"/>
    </font>
    <font>
      <sz val="11"/>
      <color theme="2"/>
      <name val="Calibri"/>
      <family val="2"/>
      <scheme val="minor"/>
    </font>
    <font>
      <sz val="8"/>
      <color theme="1"/>
      <name val="Calibri"/>
      <family val="2"/>
      <scheme val="minor"/>
    </font>
    <font>
      <sz val="29.7"/>
      <color rgb="FF000000"/>
      <name val="Arial"/>
      <family val="2"/>
    </font>
    <font>
      <sz val="15.4"/>
      <color rgb="FF000000"/>
      <name val="Arial"/>
      <family val="2"/>
    </font>
    <font>
      <i/>
      <sz val="15.4"/>
      <color rgb="FF000000"/>
      <name val="Arial"/>
      <family val="2"/>
    </font>
    <font>
      <sz val="14"/>
      <color rgb="FF000000"/>
      <name val="Arial"/>
      <family val="2"/>
    </font>
  </fonts>
  <fills count="15">
    <fill>
      <patternFill patternType="none"/>
    </fill>
    <fill>
      <patternFill patternType="gray125"/>
    </fill>
    <fill>
      <patternFill patternType="solid">
        <fgColor theme="8" tint="0.3999755851924192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1" tint="0.14999847407452621"/>
        <bgColor indexed="64"/>
      </patternFill>
    </fill>
    <fill>
      <patternFill patternType="solid">
        <fgColor theme="1" tint="4.9989318521683403E-2"/>
        <bgColor indexed="64"/>
      </patternFill>
    </fill>
    <fill>
      <patternFill patternType="solid">
        <fgColor theme="0" tint="-0.14999847407452621"/>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rgb="FFFFFFFF"/>
        <bgColor indexed="64"/>
      </patternFill>
    </fill>
    <fill>
      <patternFill patternType="solid">
        <fgColor rgb="FFE10000"/>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style="double">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double">
        <color indexed="64"/>
      </top>
      <bottom style="double">
        <color indexed="64"/>
      </bottom>
      <diagonal/>
    </border>
    <border>
      <left style="double">
        <color indexed="64"/>
      </left>
      <right style="thin">
        <color indexed="64"/>
      </right>
      <top style="double">
        <color indexed="64"/>
      </top>
      <bottom style="double">
        <color indexed="64"/>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right style="thin">
        <color indexed="64"/>
      </right>
      <top style="thin">
        <color indexed="64"/>
      </top>
      <bottom style="double">
        <color indexed="64"/>
      </bottom>
      <diagonal/>
    </border>
    <border>
      <left/>
      <right/>
      <top style="thin">
        <color indexed="64"/>
      </top>
      <bottom style="double">
        <color indexed="64"/>
      </bottom>
      <diagonal/>
    </border>
    <border>
      <left style="thin">
        <color indexed="64"/>
      </left>
      <right/>
      <top style="thin">
        <color indexed="64"/>
      </top>
      <bottom style="double">
        <color indexed="64"/>
      </bottom>
      <diagonal/>
    </border>
    <border>
      <left style="thin">
        <color indexed="64"/>
      </left>
      <right style="thin">
        <color indexed="64"/>
      </right>
      <top style="thin">
        <color indexed="64"/>
      </top>
      <bottom/>
      <diagonal/>
    </border>
    <border>
      <left style="thin">
        <color indexed="64"/>
      </left>
      <right style="double">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double">
        <color indexed="64"/>
      </left>
      <right style="thin">
        <color indexed="64"/>
      </right>
      <top style="double">
        <color indexed="64"/>
      </top>
      <bottom style="thin">
        <color indexed="64"/>
      </bottom>
      <diagonal/>
    </border>
    <border>
      <left/>
      <right style="double">
        <color indexed="64"/>
      </right>
      <top style="thin">
        <color indexed="64"/>
      </top>
      <bottom style="thin">
        <color indexed="64"/>
      </bottom>
      <diagonal/>
    </border>
    <border>
      <left style="double">
        <color indexed="64"/>
      </left>
      <right/>
      <top style="thin">
        <color indexed="64"/>
      </top>
      <bottom style="thin">
        <color indexed="64"/>
      </bottom>
      <diagonal/>
    </border>
    <border>
      <left/>
      <right style="double">
        <color indexed="64"/>
      </right>
      <top/>
      <bottom style="thin">
        <color indexed="64"/>
      </bottom>
      <diagonal/>
    </border>
    <border>
      <left style="double">
        <color indexed="64"/>
      </left>
      <right/>
      <top/>
      <bottom style="thin">
        <color indexed="64"/>
      </bottom>
      <diagonal/>
    </border>
    <border>
      <left style="thin">
        <color indexed="64"/>
      </left>
      <right/>
      <top style="double">
        <color indexed="64"/>
      </top>
      <bottom style="double">
        <color indexed="64"/>
      </bottom>
      <diagonal/>
    </border>
    <border>
      <left style="thin">
        <color indexed="64"/>
      </left>
      <right style="double">
        <color indexed="64"/>
      </right>
      <top style="thin">
        <color indexed="64"/>
      </top>
      <bottom/>
      <diagonal/>
    </border>
    <border>
      <left style="double">
        <color indexed="64"/>
      </left>
      <right style="thin">
        <color indexed="64"/>
      </right>
      <top style="thin">
        <color indexed="64"/>
      </top>
      <bottom/>
      <diagonal/>
    </border>
    <border>
      <left style="thin">
        <color indexed="64"/>
      </left>
      <right style="double">
        <color indexed="64"/>
      </right>
      <top/>
      <bottom style="thin">
        <color indexed="64"/>
      </bottom>
      <diagonal/>
    </border>
    <border>
      <left style="double">
        <color indexed="64"/>
      </left>
      <right style="thin">
        <color indexed="64"/>
      </right>
      <top/>
      <bottom style="thin">
        <color indexed="64"/>
      </bottom>
      <diagonal/>
    </border>
    <border>
      <left style="thin">
        <color indexed="64"/>
      </left>
      <right style="double">
        <color indexed="64"/>
      </right>
      <top style="double">
        <color indexed="64"/>
      </top>
      <bottom style="double">
        <color indexed="64"/>
      </bottom>
      <diagonal/>
    </border>
    <border>
      <left style="thin">
        <color indexed="64"/>
      </left>
      <right/>
      <top style="double">
        <color indexed="64"/>
      </top>
      <bottom style="thin">
        <color indexed="64"/>
      </bottom>
      <diagonal/>
    </border>
    <border>
      <left/>
      <right style="thin">
        <color indexed="64"/>
      </right>
      <top/>
      <bottom style="double">
        <color indexed="64"/>
      </bottom>
      <diagonal/>
    </border>
    <border>
      <left/>
      <right/>
      <top/>
      <bottom style="double">
        <color indexed="64"/>
      </bottom>
      <diagonal/>
    </border>
    <border>
      <left style="thin">
        <color indexed="64"/>
      </left>
      <right/>
      <top/>
      <bottom style="double">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style="thin">
        <color indexed="64"/>
      </top>
      <bottom style="double">
        <color indexed="64"/>
      </bottom>
      <diagonal/>
    </border>
    <border>
      <left/>
      <right style="double">
        <color indexed="64"/>
      </right>
      <top style="thin">
        <color indexed="64"/>
      </top>
      <bottom style="double">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right/>
      <top style="double">
        <color indexed="64"/>
      </top>
      <bottom style="double">
        <color indexed="64"/>
      </bottom>
      <diagonal/>
    </border>
    <border>
      <left/>
      <right style="thin">
        <color indexed="64"/>
      </right>
      <top style="double">
        <color indexed="64"/>
      </top>
      <bottom style="double">
        <color indexed="64"/>
      </bottom>
      <diagonal/>
    </border>
    <border>
      <left style="thin">
        <color indexed="64"/>
      </left>
      <right style="thin">
        <color indexed="64"/>
      </right>
      <top/>
      <bottom style="double">
        <color indexed="64"/>
      </bottom>
      <diagonal/>
    </border>
  </borders>
  <cellStyleXfs count="1">
    <xf numFmtId="0" fontId="0" fillId="0" borderId="0"/>
  </cellStyleXfs>
  <cellXfs count="479">
    <xf numFmtId="0" fontId="0" fillId="0" borderId="0" xfId="0"/>
    <xf numFmtId="0" fontId="0" fillId="0" borderId="0" xfId="0" applyBorder="1"/>
    <xf numFmtId="0" fontId="3" fillId="0" borderId="0" xfId="0" applyFont="1" applyBorder="1"/>
    <xf numFmtId="0" fontId="0" fillId="0" borderId="0" xfId="0" applyFill="1" applyBorder="1" applyAlignment="1">
      <alignment horizontal="center"/>
    </xf>
    <xf numFmtId="0" fontId="2" fillId="3" borderId="1" xfId="0" applyFont="1" applyFill="1" applyBorder="1" applyAlignment="1">
      <alignment horizontal="center" vertical="center"/>
    </xf>
    <xf numFmtId="0" fontId="0" fillId="0" borderId="0" xfId="0" applyAlignment="1">
      <alignment horizontal="center"/>
    </xf>
    <xf numFmtId="0" fontId="0" fillId="0" borderId="0" xfId="0" applyBorder="1" applyAlignment="1">
      <alignment horizontal="center" vertical="center"/>
    </xf>
    <xf numFmtId="0" fontId="0" fillId="4" borderId="1" xfId="0" applyFont="1" applyFill="1" applyBorder="1" applyAlignment="1">
      <alignment horizontal="left" vertical="center"/>
    </xf>
    <xf numFmtId="0" fontId="0" fillId="4" borderId="1" xfId="0" applyFill="1" applyBorder="1" applyAlignment="1">
      <alignment horizontal="center" vertical="center"/>
    </xf>
    <xf numFmtId="0" fontId="1" fillId="5" borderId="1" xfId="0" applyFont="1" applyFill="1" applyBorder="1" applyAlignment="1">
      <alignment horizontal="center" vertical="center"/>
    </xf>
    <xf numFmtId="15" fontId="1" fillId="5" borderId="1" xfId="0" applyNumberFormat="1" applyFont="1" applyFill="1" applyBorder="1" applyAlignment="1">
      <alignment horizontal="center"/>
    </xf>
    <xf numFmtId="0" fontId="1" fillId="5" borderId="1" xfId="0" applyFont="1" applyFill="1" applyBorder="1" applyAlignment="1">
      <alignment horizontal="center"/>
    </xf>
    <xf numFmtId="0" fontId="6" fillId="7" borderId="1" xfId="0" applyFont="1" applyFill="1" applyBorder="1" applyAlignment="1">
      <alignment horizontal="center" vertical="center"/>
    </xf>
    <xf numFmtId="0" fontId="0" fillId="0" borderId="0" xfId="0" applyAlignment="1">
      <alignment horizontal="left"/>
    </xf>
    <xf numFmtId="0" fontId="2" fillId="8" borderId="8" xfId="0" applyNumberFormat="1" applyFont="1" applyFill="1" applyBorder="1" applyAlignment="1">
      <alignment horizontal="center" vertical="center"/>
    </xf>
    <xf numFmtId="0" fontId="2" fillId="8" borderId="8" xfId="0" applyNumberFormat="1" applyFont="1" applyFill="1" applyBorder="1" applyAlignment="1">
      <alignment horizontal="center"/>
    </xf>
    <xf numFmtId="0" fontId="2" fillId="9" borderId="8" xfId="0" applyNumberFormat="1" applyFont="1" applyFill="1" applyBorder="1" applyAlignment="1">
      <alignment horizontal="center"/>
    </xf>
    <xf numFmtId="164" fontId="2" fillId="9" borderId="8" xfId="0" applyNumberFormat="1" applyFont="1" applyFill="1" applyBorder="1" applyAlignment="1">
      <alignment horizontal="center"/>
    </xf>
    <xf numFmtId="0" fontId="2" fillId="9" borderId="8" xfId="0" applyNumberFormat="1" applyFont="1" applyFill="1" applyBorder="1" applyAlignment="1">
      <alignment horizontal="center" vertical="center"/>
    </xf>
    <xf numFmtId="0" fontId="2" fillId="10" borderId="8" xfId="0" applyNumberFormat="1" applyFont="1" applyFill="1" applyBorder="1" applyAlignment="1">
      <alignment horizontal="center" vertical="center"/>
    </xf>
    <xf numFmtId="0" fontId="2" fillId="10" borderId="9" xfId="0" applyNumberFormat="1" applyFont="1" applyFill="1" applyBorder="1" applyAlignment="1">
      <alignment horizontal="center" vertical="center"/>
    </xf>
    <xf numFmtId="164" fontId="0" fillId="0" borderId="0" xfId="0" applyNumberFormat="1"/>
    <xf numFmtId="3" fontId="0" fillId="0" borderId="0" xfId="0" applyNumberFormat="1"/>
    <xf numFmtId="17" fontId="0" fillId="0" borderId="0" xfId="0" applyNumberFormat="1"/>
    <xf numFmtId="0" fontId="0" fillId="0" borderId="0" xfId="0" applyBorder="1" applyAlignment="1"/>
    <xf numFmtId="15" fontId="0" fillId="0" borderId="0" xfId="0" applyNumberFormat="1"/>
    <xf numFmtId="0" fontId="2" fillId="9" borderId="1" xfId="0" applyNumberFormat="1" applyFont="1" applyFill="1" applyBorder="1" applyAlignment="1">
      <alignment horizontal="center" vertical="center"/>
    </xf>
    <xf numFmtId="164" fontId="7" fillId="0" borderId="1" xfId="0" applyNumberFormat="1" applyFont="1" applyBorder="1"/>
    <xf numFmtId="0" fontId="2" fillId="10" borderId="1" xfId="0" applyNumberFormat="1" applyFont="1" applyFill="1" applyBorder="1" applyAlignment="1">
      <alignment horizontal="center" vertical="center"/>
    </xf>
    <xf numFmtId="0" fontId="2" fillId="9" borderId="9" xfId="0" applyNumberFormat="1" applyFont="1" applyFill="1" applyBorder="1" applyAlignment="1">
      <alignment horizontal="center" vertical="center"/>
    </xf>
    <xf numFmtId="14" fontId="0" fillId="0" borderId="0" xfId="0" applyNumberFormat="1"/>
    <xf numFmtId="22" fontId="3" fillId="0" borderId="0" xfId="0" applyNumberFormat="1" applyFont="1" applyBorder="1"/>
    <xf numFmtId="0" fontId="0" fillId="0" borderId="0" xfId="0" applyNumberFormat="1"/>
    <xf numFmtId="0" fontId="2" fillId="0" borderId="8" xfId="0" applyNumberFormat="1" applyFont="1" applyFill="1" applyBorder="1" applyAlignment="1">
      <alignment horizontal="center" vertical="center"/>
    </xf>
    <xf numFmtId="165" fontId="2" fillId="9" borderId="1" xfId="0" applyNumberFormat="1" applyFont="1" applyFill="1" applyBorder="1" applyAlignment="1">
      <alignment horizontal="center" vertical="center"/>
    </xf>
    <xf numFmtId="3" fontId="10" fillId="0" borderId="0" xfId="0" applyNumberFormat="1" applyFont="1" applyBorder="1"/>
    <xf numFmtId="0" fontId="2" fillId="0" borderId="0" xfId="0" applyFont="1" applyBorder="1"/>
    <xf numFmtId="0" fontId="0" fillId="0" borderId="10" xfId="0" applyBorder="1" applyAlignment="1"/>
    <xf numFmtId="0" fontId="2" fillId="0" borderId="0" xfId="0" applyFont="1" applyBorder="1" applyAlignment="1">
      <alignment horizontal="center"/>
    </xf>
    <xf numFmtId="3" fontId="2" fillId="0" borderId="0" xfId="0" applyNumberFormat="1" applyFont="1"/>
    <xf numFmtId="0" fontId="0" fillId="0" borderId="14" xfId="0" applyBorder="1"/>
    <xf numFmtId="0" fontId="12" fillId="0" borderId="0" xfId="0" applyFont="1" applyBorder="1" applyAlignment="1">
      <alignment horizontal="right"/>
    </xf>
    <xf numFmtId="0" fontId="12" fillId="0" borderId="0" xfId="0" applyFont="1" applyBorder="1" applyAlignment="1"/>
    <xf numFmtId="0" fontId="0" fillId="0" borderId="10" xfId="0" applyBorder="1"/>
    <xf numFmtId="0" fontId="0" fillId="0" borderId="0" xfId="0" applyFont="1"/>
    <xf numFmtId="3" fontId="0" fillId="0" borderId="0" xfId="0" applyNumberFormat="1" applyFont="1"/>
    <xf numFmtId="0" fontId="0" fillId="0" borderId="14" xfId="0" applyFont="1" applyBorder="1"/>
    <xf numFmtId="0" fontId="0" fillId="0" borderId="0" xfId="0" applyFont="1" applyBorder="1"/>
    <xf numFmtId="0" fontId="0" fillId="0" borderId="10" xfId="0" applyFont="1" applyBorder="1"/>
    <xf numFmtId="0" fontId="9" fillId="0" borderId="0" xfId="0" applyFont="1" applyAlignment="1">
      <alignment vertical="center"/>
    </xf>
    <xf numFmtId="164" fontId="13" fillId="0" borderId="0" xfId="0" applyNumberFormat="1" applyFont="1" applyAlignment="1">
      <alignment vertical="center"/>
    </xf>
    <xf numFmtId="0" fontId="0" fillId="0" borderId="0" xfId="0" applyAlignment="1"/>
    <xf numFmtId="0" fontId="0" fillId="0" borderId="11" xfId="0" applyBorder="1"/>
    <xf numFmtId="3" fontId="9" fillId="0" borderId="12" xfId="0" applyNumberFormat="1" applyFont="1" applyBorder="1" applyAlignment="1"/>
    <xf numFmtId="0" fontId="15" fillId="0" borderId="12" xfId="0" applyFont="1" applyBorder="1" applyAlignment="1"/>
    <xf numFmtId="0" fontId="0" fillId="0" borderId="13" xfId="0" applyBorder="1"/>
    <xf numFmtId="3" fontId="10" fillId="0" borderId="12" xfId="0" applyNumberFormat="1" applyFont="1" applyBorder="1" applyAlignment="1"/>
    <xf numFmtId="0" fontId="0" fillId="0" borderId="12" xfId="0" applyBorder="1"/>
    <xf numFmtId="3" fontId="0" fillId="0" borderId="12" xfId="0" applyNumberFormat="1" applyBorder="1"/>
    <xf numFmtId="0" fontId="0" fillId="0" borderId="12" xfId="0" applyBorder="1" applyAlignment="1">
      <alignment horizontal="left"/>
    </xf>
    <xf numFmtId="3" fontId="9" fillId="0" borderId="0" xfId="0" applyNumberFormat="1" applyFont="1" applyBorder="1" applyAlignment="1"/>
    <xf numFmtId="0" fontId="15" fillId="0" borderId="0" xfId="0" applyFont="1" applyBorder="1" applyAlignment="1"/>
    <xf numFmtId="3" fontId="10" fillId="0" borderId="0" xfId="0" applyNumberFormat="1" applyFont="1" applyBorder="1" applyAlignment="1"/>
    <xf numFmtId="3" fontId="0" fillId="0" borderId="0" xfId="0" applyNumberFormat="1" applyBorder="1"/>
    <xf numFmtId="0" fontId="2" fillId="0" borderId="0" xfId="0" applyFont="1" applyBorder="1" applyAlignment="1">
      <alignment horizontal="left"/>
    </xf>
    <xf numFmtId="0" fontId="0" fillId="0" borderId="0" xfId="0" applyBorder="1" applyAlignment="1">
      <alignment horizontal="left"/>
    </xf>
    <xf numFmtId="0" fontId="10" fillId="0" borderId="0" xfId="0" applyFont="1" applyBorder="1" applyAlignment="1">
      <alignment horizontal="left"/>
    </xf>
    <xf numFmtId="0" fontId="2" fillId="0" borderId="14" xfId="0" applyFont="1" applyBorder="1" applyAlignment="1">
      <alignment horizontal="center"/>
    </xf>
    <xf numFmtId="0" fontId="2" fillId="0" borderId="10" xfId="0" applyFont="1" applyBorder="1" applyAlignment="1">
      <alignment horizontal="center"/>
    </xf>
    <xf numFmtId="0" fontId="9" fillId="0" borderId="0" xfId="0" applyFont="1" applyBorder="1"/>
    <xf numFmtId="3" fontId="9" fillId="0" borderId="0" xfId="0" applyNumberFormat="1" applyFont="1" applyBorder="1"/>
    <xf numFmtId="0" fontId="9" fillId="0" borderId="0" xfId="0" applyFont="1" applyBorder="1" applyAlignment="1">
      <alignment horizontal="left"/>
    </xf>
    <xf numFmtId="0" fontId="0" fillId="0" borderId="7" xfId="0" applyBorder="1"/>
    <xf numFmtId="0" fontId="0" fillId="0" borderId="5" xfId="0" applyBorder="1" applyAlignment="1">
      <alignment horizontal="center"/>
    </xf>
    <xf numFmtId="0" fontId="0" fillId="0" borderId="0" xfId="0" applyBorder="1" applyAlignment="1">
      <alignment horizontal="center"/>
    </xf>
    <xf numFmtId="0" fontId="0" fillId="0" borderId="7" xfId="0" applyBorder="1" applyAlignment="1">
      <alignment horizontal="center"/>
    </xf>
    <xf numFmtId="0" fontId="0" fillId="0" borderId="5" xfId="0" applyBorder="1"/>
    <xf numFmtId="0" fontId="0" fillId="0" borderId="0" xfId="0" quotePrefix="1" applyAlignment="1"/>
    <xf numFmtId="0" fontId="0" fillId="0" borderId="0" xfId="0" applyBorder="1"/>
    <xf numFmtId="0" fontId="0" fillId="0" borderId="14" xfId="0" applyBorder="1"/>
    <xf numFmtId="0" fontId="12" fillId="0" borderId="41" xfId="0" applyFont="1" applyBorder="1" applyAlignment="1"/>
    <xf numFmtId="0" fontId="0" fillId="0" borderId="41" xfId="0" applyBorder="1"/>
    <xf numFmtId="0" fontId="12" fillId="0" borderId="41" xfId="0" applyFont="1" applyBorder="1" applyAlignment="1">
      <alignment horizontal="right"/>
    </xf>
    <xf numFmtId="0" fontId="0" fillId="0" borderId="40" xfId="0" applyBorder="1"/>
    <xf numFmtId="0" fontId="0" fillId="0" borderId="42" xfId="0" applyBorder="1"/>
    <xf numFmtId="0" fontId="2" fillId="0" borderId="41" xfId="0" applyFont="1" applyBorder="1"/>
    <xf numFmtId="0" fontId="0" fillId="0" borderId="9" xfId="0" applyBorder="1"/>
    <xf numFmtId="0" fontId="0" fillId="0" borderId="9" xfId="0" applyBorder="1" applyAlignment="1"/>
    <xf numFmtId="3" fontId="0" fillId="0" borderId="0" xfId="0" applyNumberFormat="1" applyBorder="1"/>
    <xf numFmtId="0" fontId="0" fillId="0" borderId="10" xfId="0" applyBorder="1"/>
    <xf numFmtId="0" fontId="0" fillId="0" borderId="0" xfId="0" applyBorder="1"/>
    <xf numFmtId="0" fontId="0" fillId="0" borderId="14" xfId="0" applyBorder="1"/>
    <xf numFmtId="3" fontId="0" fillId="0" borderId="0" xfId="0" applyNumberFormat="1" applyFont="1" applyBorder="1"/>
    <xf numFmtId="0" fontId="0" fillId="0" borderId="42" xfId="0" applyBorder="1"/>
    <xf numFmtId="0" fontId="0" fillId="0" borderId="41" xfId="0" applyBorder="1"/>
    <xf numFmtId="0" fontId="0" fillId="0" borderId="40" xfId="0" applyBorder="1"/>
    <xf numFmtId="0" fontId="0" fillId="0" borderId="0" xfId="0"/>
    <xf numFmtId="167" fontId="0" fillId="0" borderId="0" xfId="0" applyNumberFormat="1"/>
    <xf numFmtId="0" fontId="0" fillId="0" borderId="0" xfId="0" applyFill="1" applyBorder="1" applyAlignment="1">
      <alignment horizontal="center" vertical="center"/>
    </xf>
    <xf numFmtId="0" fontId="0" fillId="0" borderId="0" xfId="0"/>
    <xf numFmtId="0" fontId="0" fillId="0" borderId="0" xfId="0"/>
    <xf numFmtId="0" fontId="0" fillId="0" borderId="0" xfId="0"/>
    <xf numFmtId="0" fontId="0" fillId="0" borderId="10" xfId="0" applyBorder="1"/>
    <xf numFmtId="0" fontId="0" fillId="0" borderId="0" xfId="0" applyBorder="1"/>
    <xf numFmtId="0" fontId="0" fillId="0" borderId="14" xfId="0" applyBorder="1"/>
    <xf numFmtId="0" fontId="0" fillId="0" borderId="0" xfId="0"/>
    <xf numFmtId="0" fontId="2" fillId="0" borderId="0" xfId="0" applyFont="1"/>
    <xf numFmtId="0" fontId="3" fillId="0" borderId="0" xfId="0" applyFont="1" applyAlignment="1">
      <alignment horizontal="right"/>
    </xf>
    <xf numFmtId="3" fontId="3" fillId="0" borderId="0" xfId="0" applyNumberFormat="1" applyFont="1" applyAlignment="1"/>
    <xf numFmtId="3" fontId="3" fillId="0" borderId="0" xfId="0" applyNumberFormat="1" applyFont="1"/>
    <xf numFmtId="0" fontId="0" fillId="0" borderId="14" xfId="0" applyBorder="1" applyAlignment="1"/>
    <xf numFmtId="0" fontId="0" fillId="0" borderId="0" xfId="0" applyFill="1" applyBorder="1" applyAlignment="1"/>
    <xf numFmtId="0" fontId="0" fillId="0" borderId="1" xfId="0" applyFill="1" applyBorder="1"/>
    <xf numFmtId="0" fontId="18" fillId="0" borderId="1" xfId="0" applyFont="1" applyFill="1" applyBorder="1"/>
    <xf numFmtId="0" fontId="0" fillId="0" borderId="0" xfId="0"/>
    <xf numFmtId="0" fontId="0" fillId="0" borderId="0" xfId="0" applyAlignment="1">
      <alignment horizontal="center" vertical="center"/>
    </xf>
    <xf numFmtId="165" fontId="0" fillId="0" borderId="0" xfId="0" applyNumberFormat="1" applyAlignment="1">
      <alignment horizontal="center" vertical="center"/>
    </xf>
    <xf numFmtId="0" fontId="0" fillId="0" borderId="0" xfId="0" applyBorder="1" applyAlignment="1">
      <alignment horizontal="left"/>
    </xf>
    <xf numFmtId="0" fontId="0" fillId="0" borderId="0" xfId="0" applyBorder="1" applyAlignment="1">
      <alignment horizontal="right"/>
    </xf>
    <xf numFmtId="0" fontId="0" fillId="0" borderId="0" xfId="0" applyBorder="1"/>
    <xf numFmtId="0" fontId="0" fillId="0" borderId="0" xfId="0" applyFont="1" applyFill="1" applyBorder="1" applyAlignment="1">
      <alignment horizontal="right"/>
    </xf>
    <xf numFmtId="0" fontId="0" fillId="0" borderId="0" xfId="0" applyBorder="1" applyAlignment="1">
      <alignment horizontal="left"/>
    </xf>
    <xf numFmtId="0" fontId="0" fillId="0" borderId="0" xfId="0" applyBorder="1" applyAlignment="1">
      <alignment horizontal="right"/>
    </xf>
    <xf numFmtId="0" fontId="0" fillId="0" borderId="0" xfId="0" applyBorder="1"/>
    <xf numFmtId="3" fontId="0" fillId="0" borderId="0" xfId="0" applyNumberFormat="1"/>
    <xf numFmtId="0" fontId="6" fillId="7" borderId="8" xfId="0" applyFont="1" applyFill="1" applyBorder="1" applyAlignment="1">
      <alignment horizontal="center" vertical="center"/>
    </xf>
    <xf numFmtId="169" fontId="2" fillId="9" borderId="8" xfId="0" applyNumberFormat="1" applyFont="1" applyFill="1" applyBorder="1" applyAlignment="1">
      <alignment horizontal="center"/>
    </xf>
    <xf numFmtId="169" fontId="0" fillId="0" borderId="0" xfId="0" applyNumberFormat="1"/>
    <xf numFmtId="169" fontId="2" fillId="10" borderId="8" xfId="0" applyNumberFormat="1" applyFont="1" applyFill="1" applyBorder="1" applyAlignment="1">
      <alignment horizontal="center" vertical="center"/>
    </xf>
    <xf numFmtId="3" fontId="2" fillId="9" borderId="8" xfId="0" applyNumberFormat="1" applyFont="1" applyFill="1" applyBorder="1" applyAlignment="1">
      <alignment horizontal="center" vertical="center"/>
    </xf>
    <xf numFmtId="3" fontId="2" fillId="10" borderId="8" xfId="0" applyNumberFormat="1" applyFont="1" applyFill="1" applyBorder="1" applyAlignment="1">
      <alignment horizontal="center" vertical="center"/>
    </xf>
    <xf numFmtId="0" fontId="0" fillId="0" borderId="0" xfId="0" applyAlignment="1">
      <alignment horizontal="right"/>
    </xf>
    <xf numFmtId="0" fontId="0" fillId="0" borderId="0" xfId="0" applyFont="1" applyAlignment="1">
      <alignment horizontal="right"/>
    </xf>
    <xf numFmtId="0" fontId="0" fillId="0" borderId="0" xfId="0" applyFill="1" applyBorder="1" applyAlignment="1">
      <alignment horizontal="right"/>
    </xf>
    <xf numFmtId="15" fontId="0" fillId="0" borderId="1" xfId="0" applyNumberFormat="1" applyBorder="1" applyProtection="1"/>
    <xf numFmtId="3" fontId="0" fillId="0" borderId="0" xfId="0" applyNumberFormat="1"/>
    <xf numFmtId="0" fontId="2" fillId="8" borderId="25" xfId="0" applyNumberFormat="1" applyFont="1" applyFill="1" applyBorder="1" applyAlignment="1">
      <alignment horizontal="center" vertical="center"/>
    </xf>
    <xf numFmtId="0" fontId="2" fillId="8" borderId="7" xfId="0" applyNumberFormat="1" applyFont="1" applyFill="1" applyBorder="1" applyAlignment="1">
      <alignment horizontal="center" vertical="center"/>
    </xf>
    <xf numFmtId="0" fontId="2" fillId="8" borderId="25" xfId="0" applyNumberFormat="1" applyFont="1" applyFill="1" applyBorder="1" applyAlignment="1">
      <alignment horizontal="center"/>
    </xf>
    <xf numFmtId="0" fontId="2" fillId="9" borderId="25" xfId="0" applyNumberFormat="1" applyFont="1" applyFill="1" applyBorder="1" applyAlignment="1">
      <alignment horizontal="center"/>
    </xf>
    <xf numFmtId="164" fontId="2" fillId="9" borderId="25" xfId="0" applyNumberFormat="1" applyFont="1" applyFill="1" applyBorder="1" applyAlignment="1">
      <alignment horizontal="center"/>
    </xf>
    <xf numFmtId="0" fontId="2" fillId="9" borderId="25" xfId="0" applyNumberFormat="1" applyFont="1" applyFill="1" applyBorder="1" applyAlignment="1">
      <alignment horizontal="center" vertical="center"/>
    </xf>
    <xf numFmtId="0" fontId="2" fillId="10" borderId="25" xfId="0" applyNumberFormat="1" applyFont="1" applyFill="1" applyBorder="1" applyAlignment="1">
      <alignment horizontal="center" vertical="center"/>
    </xf>
    <xf numFmtId="0" fontId="2" fillId="10" borderId="7" xfId="0" applyNumberFormat="1" applyFont="1" applyFill="1" applyBorder="1" applyAlignment="1">
      <alignment horizontal="center" vertical="center"/>
    </xf>
    <xf numFmtId="165" fontId="2" fillId="9" borderId="25" xfId="0" applyNumberFormat="1" applyFont="1" applyFill="1" applyBorder="1" applyAlignment="1">
      <alignment horizontal="center" vertical="center"/>
    </xf>
    <xf numFmtId="169" fontId="0" fillId="0" borderId="0" xfId="0" applyNumberFormat="1" applyAlignment="1">
      <alignment horizontal="center" vertical="center"/>
    </xf>
    <xf numFmtId="169" fontId="0" fillId="0" borderId="0" xfId="0" applyNumberFormat="1" applyAlignment="1">
      <alignment horizontal="center"/>
    </xf>
    <xf numFmtId="0" fontId="0" fillId="0" borderId="1" xfId="0" applyNumberFormat="1" applyFill="1" applyBorder="1" applyAlignment="1" applyProtection="1">
      <alignment horizontal="center"/>
      <protection locked="0"/>
    </xf>
    <xf numFmtId="0" fontId="0" fillId="0" borderId="1" xfId="0" applyNumberFormat="1" applyFill="1" applyBorder="1" applyAlignment="1" applyProtection="1">
      <alignment horizontal="center" vertical="center"/>
      <protection locked="0"/>
    </xf>
    <xf numFmtId="164" fontId="0" fillId="0" borderId="1" xfId="0" applyNumberFormat="1" applyFill="1" applyBorder="1" applyAlignment="1" applyProtection="1">
      <alignment horizontal="center"/>
      <protection locked="0"/>
    </xf>
    <xf numFmtId="0" fontId="3" fillId="0" borderId="0" xfId="0" applyFont="1" applyProtection="1">
      <protection locked="0" hidden="1"/>
    </xf>
    <xf numFmtId="0" fontId="0" fillId="0" borderId="1" xfId="0" applyBorder="1" applyProtection="1">
      <protection locked="0"/>
    </xf>
    <xf numFmtId="168" fontId="0" fillId="0" borderId="1" xfId="0" applyNumberFormat="1" applyBorder="1" applyProtection="1">
      <protection locked="0"/>
    </xf>
    <xf numFmtId="3" fontId="0" fillId="0" borderId="1" xfId="0" applyNumberFormat="1" applyBorder="1" applyProtection="1">
      <protection locked="0"/>
    </xf>
    <xf numFmtId="168" fontId="19" fillId="0" borderId="1" xfId="0" applyNumberFormat="1" applyFont="1" applyBorder="1" applyProtection="1">
      <protection locked="0"/>
    </xf>
    <xf numFmtId="0" fontId="0" fillId="0" borderId="1" xfId="0" applyFill="1" applyBorder="1" applyProtection="1">
      <protection locked="0"/>
    </xf>
    <xf numFmtId="0" fontId="0" fillId="9" borderId="0" xfId="0" applyFill="1"/>
    <xf numFmtId="0" fontId="0" fillId="0" borderId="0" xfId="0"/>
    <xf numFmtId="0" fontId="0" fillId="0" borderId="1" xfId="0" applyBorder="1" applyProtection="1"/>
    <xf numFmtId="165" fontId="0" fillId="0" borderId="1" xfId="0" applyNumberFormat="1" applyBorder="1" applyAlignment="1" applyProtection="1">
      <alignment horizontal="center" vertical="center"/>
    </xf>
    <xf numFmtId="0" fontId="0" fillId="0" borderId="1" xfId="0" applyNumberFormat="1" applyBorder="1" applyAlignment="1" applyProtection="1">
      <alignment horizontal="center" vertical="center"/>
    </xf>
    <xf numFmtId="169" fontId="0" fillId="0" borderId="0" xfId="0" applyNumberFormat="1" applyAlignment="1">
      <alignment horizontal="left"/>
    </xf>
    <xf numFmtId="0" fontId="0" fillId="0" borderId="14" xfId="0" applyBorder="1"/>
    <xf numFmtId="0" fontId="0" fillId="0" borderId="0" xfId="0"/>
    <xf numFmtId="0" fontId="21" fillId="0" borderId="0" xfId="0" applyFont="1" applyAlignment="1">
      <alignment vertical="center"/>
    </xf>
    <xf numFmtId="0" fontId="22" fillId="0" borderId="0" xfId="0" applyFont="1" applyAlignment="1">
      <alignment vertical="center"/>
    </xf>
    <xf numFmtId="0" fontId="22" fillId="0" borderId="0" xfId="0" applyFont="1" applyAlignment="1">
      <alignment vertical="center" wrapText="1"/>
    </xf>
    <xf numFmtId="0" fontId="0" fillId="0" borderId="0" xfId="0" applyAlignment="1">
      <alignment horizontal="left" vertical="center" wrapText="1" indent="1"/>
    </xf>
    <xf numFmtId="0" fontId="24" fillId="0" borderId="0" xfId="0" applyFont="1" applyAlignment="1">
      <alignment horizontal="left" vertical="center"/>
    </xf>
    <xf numFmtId="0" fontId="22" fillId="0" borderId="0" xfId="0" applyFont="1" applyAlignment="1">
      <alignment horizontal="left" vertical="center" indent="1"/>
    </xf>
    <xf numFmtId="0" fontId="22" fillId="0" borderId="0" xfId="0" applyFont="1" applyAlignment="1">
      <alignment horizontal="left" vertical="center" wrapText="1" indent="1"/>
    </xf>
    <xf numFmtId="0" fontId="0" fillId="13" borderId="0" xfId="0" applyFill="1" applyAlignment="1">
      <alignment horizontal="left" vertical="center" wrapText="1" indent="1"/>
    </xf>
    <xf numFmtId="165" fontId="0" fillId="0" borderId="0" xfId="0" applyNumberFormat="1"/>
    <xf numFmtId="165" fontId="2" fillId="9" borderId="9" xfId="0" applyNumberFormat="1" applyFont="1" applyFill="1" applyBorder="1" applyAlignment="1">
      <alignment horizontal="center" vertical="center"/>
    </xf>
    <xf numFmtId="165" fontId="6" fillId="7" borderId="1" xfId="0" applyNumberFormat="1" applyFont="1" applyFill="1" applyBorder="1" applyAlignment="1">
      <alignment horizontal="center" vertical="center"/>
    </xf>
    <xf numFmtId="0" fontId="0" fillId="0" borderId="0" xfId="0"/>
    <xf numFmtId="0" fontId="0" fillId="14" borderId="0" xfId="0" applyFill="1"/>
    <xf numFmtId="3" fontId="0" fillId="0" borderId="0" xfId="0" applyNumberFormat="1"/>
    <xf numFmtId="0" fontId="0" fillId="0" borderId="0" xfId="0"/>
    <xf numFmtId="0" fontId="2" fillId="0" borderId="0" xfId="0" applyFont="1" applyBorder="1" applyAlignment="1"/>
    <xf numFmtId="0" fontId="0" fillId="0" borderId="0" xfId="0"/>
    <xf numFmtId="3" fontId="0" fillId="0" borderId="0" xfId="0" applyNumberFormat="1"/>
    <xf numFmtId="0" fontId="0" fillId="0" borderId="0" xfId="0"/>
    <xf numFmtId="0" fontId="0" fillId="0" borderId="1" xfId="0" applyNumberFormat="1" applyBorder="1" applyProtection="1">
      <protection locked="0"/>
    </xf>
    <xf numFmtId="0" fontId="0" fillId="0" borderId="0" xfId="0"/>
    <xf numFmtId="3" fontId="0" fillId="0" borderId="0" xfId="0" applyNumberFormat="1"/>
    <xf numFmtId="0" fontId="0" fillId="0" borderId="0" xfId="0"/>
    <xf numFmtId="0" fontId="0" fillId="0" borderId="1" xfId="0" applyBorder="1"/>
    <xf numFmtId="0" fontId="0" fillId="0" borderId="0" xfId="0"/>
    <xf numFmtId="3" fontId="0" fillId="0" borderId="0" xfId="0" applyNumberFormat="1"/>
    <xf numFmtId="3" fontId="0" fillId="0" borderId="0" xfId="0" applyNumberFormat="1"/>
    <xf numFmtId="0" fontId="0" fillId="0" borderId="0" xfId="0"/>
    <xf numFmtId="22" fontId="0" fillId="0" borderId="0" xfId="0" applyNumberFormat="1"/>
    <xf numFmtId="3" fontId="0" fillId="0" borderId="0" xfId="0" applyNumberFormat="1"/>
    <xf numFmtId="0" fontId="0" fillId="0" borderId="0" xfId="0"/>
    <xf numFmtId="0" fontId="2" fillId="2" borderId="0" xfId="0" applyFont="1" applyFill="1" applyBorder="1" applyAlignment="1">
      <alignment horizontal="center"/>
    </xf>
    <xf numFmtId="0" fontId="4" fillId="0" borderId="0" xfId="0" applyFont="1" applyBorder="1" applyAlignment="1" applyProtection="1">
      <alignment horizontal="center" vertical="center"/>
      <protection locked="0"/>
    </xf>
    <xf numFmtId="15" fontId="0" fillId="4" borderId="1" xfId="0" applyNumberFormat="1" applyFill="1" applyBorder="1" applyAlignment="1">
      <alignment horizontal="center"/>
    </xf>
    <xf numFmtId="0" fontId="5" fillId="6" borderId="5" xfId="0" applyFont="1" applyFill="1" applyBorder="1" applyAlignment="1">
      <alignment horizontal="center" vertical="center"/>
    </xf>
    <xf numFmtId="0" fontId="5" fillId="6" borderId="6" xfId="0" applyFont="1" applyFill="1" applyBorder="1" applyAlignment="1">
      <alignment horizontal="center" vertical="center"/>
    </xf>
    <xf numFmtId="0" fontId="5" fillId="6" borderId="7" xfId="0" applyFont="1" applyFill="1" applyBorder="1" applyAlignment="1">
      <alignment horizontal="center" vertical="center"/>
    </xf>
    <xf numFmtId="0" fontId="5" fillId="6" borderId="1" xfId="0" applyFont="1" applyFill="1" applyBorder="1" applyAlignment="1">
      <alignment horizontal="center" vertical="center"/>
    </xf>
    <xf numFmtId="0" fontId="8" fillId="0" borderId="0" xfId="0" applyFont="1" applyAlignment="1">
      <alignment horizontal="right" vertical="center"/>
    </xf>
    <xf numFmtId="3" fontId="2" fillId="0" borderId="33" xfId="0" applyNumberFormat="1" applyFont="1" applyBorder="1" applyAlignment="1"/>
    <xf numFmtId="3" fontId="2" fillId="0" borderId="50" xfId="0" applyNumberFormat="1" applyFont="1" applyBorder="1" applyAlignment="1"/>
    <xf numFmtId="3" fontId="2" fillId="0" borderId="51" xfId="0" applyNumberFormat="1" applyFont="1" applyBorder="1" applyAlignment="1"/>
    <xf numFmtId="3" fontId="0" fillId="0" borderId="25" xfId="0" applyNumberFormat="1" applyBorder="1" applyAlignment="1"/>
    <xf numFmtId="3" fontId="0" fillId="0" borderId="9" xfId="0" applyNumberFormat="1" applyBorder="1" applyAlignment="1"/>
    <xf numFmtId="0" fontId="0" fillId="11" borderId="1" xfId="0" applyFill="1" applyBorder="1" applyAlignment="1">
      <alignment horizontal="center" vertical="center"/>
    </xf>
    <xf numFmtId="0" fontId="2" fillId="0" borderId="1" xfId="0" applyFont="1" applyBorder="1" applyAlignment="1">
      <alignment horizontal="center"/>
    </xf>
    <xf numFmtId="0" fontId="10" fillId="0" borderId="1" xfId="0" applyFont="1" applyBorder="1" applyAlignment="1">
      <alignment horizontal="center"/>
    </xf>
    <xf numFmtId="3" fontId="0" fillId="0" borderId="52" xfId="0" applyNumberFormat="1" applyBorder="1" applyAlignment="1"/>
    <xf numFmtId="3" fontId="2" fillId="0" borderId="10" xfId="0" applyNumberFormat="1" applyFont="1" applyBorder="1" applyAlignment="1"/>
    <xf numFmtId="3" fontId="2" fillId="0" borderId="0" xfId="0" applyNumberFormat="1" applyFont="1" applyBorder="1" applyAlignment="1"/>
    <xf numFmtId="3" fontId="2" fillId="0" borderId="14" xfId="0" applyNumberFormat="1" applyFont="1" applyBorder="1" applyAlignment="1"/>
    <xf numFmtId="0" fontId="2" fillId="0" borderId="9" xfId="0" applyFont="1" applyBorder="1" applyAlignment="1">
      <alignment horizontal="right" indent="1"/>
    </xf>
    <xf numFmtId="0" fontId="2" fillId="0" borderId="52" xfId="0" applyFont="1" applyBorder="1" applyAlignment="1">
      <alignment horizontal="right" indent="1"/>
    </xf>
    <xf numFmtId="0" fontId="2" fillId="0" borderId="9" xfId="0" applyFont="1" applyBorder="1" applyAlignment="1">
      <alignment horizontal="left" indent="1"/>
    </xf>
    <xf numFmtId="0" fontId="10" fillId="11" borderId="1" xfId="0" applyFont="1" applyFill="1" applyBorder="1" applyAlignment="1">
      <alignment horizontal="center"/>
    </xf>
    <xf numFmtId="3" fontId="2" fillId="0" borderId="5" xfId="0" applyNumberFormat="1" applyFont="1" applyBorder="1" applyAlignment="1"/>
    <xf numFmtId="3" fontId="2" fillId="0" borderId="6" xfId="0" applyNumberFormat="1" applyFont="1" applyBorder="1" applyAlignment="1"/>
    <xf numFmtId="3" fontId="2" fillId="0" borderId="7" xfId="0" applyNumberFormat="1" applyFont="1" applyBorder="1" applyAlignment="1"/>
    <xf numFmtId="3" fontId="2" fillId="0" borderId="18" xfId="0" applyNumberFormat="1" applyFont="1" applyBorder="1"/>
    <xf numFmtId="0" fontId="2" fillId="0" borderId="19" xfId="0" applyFont="1" applyFill="1" applyBorder="1" applyAlignment="1">
      <alignment horizontal="center"/>
    </xf>
    <xf numFmtId="0" fontId="2" fillId="0" borderId="18" xfId="0" applyFont="1" applyFill="1" applyBorder="1" applyAlignment="1">
      <alignment horizontal="center"/>
    </xf>
    <xf numFmtId="164" fontId="14" fillId="0" borderId="0" xfId="0" applyNumberFormat="1" applyFont="1" applyAlignment="1">
      <alignment horizontal="center" vertical="center"/>
    </xf>
    <xf numFmtId="0" fontId="10" fillId="0" borderId="0" xfId="0" applyFont="1" applyAlignment="1">
      <alignment horizontal="center" vertical="center"/>
    </xf>
    <xf numFmtId="0" fontId="6" fillId="0" borderId="1" xfId="0" applyFont="1" applyBorder="1" applyAlignment="1">
      <alignment horizontal="center" vertical="center"/>
    </xf>
    <xf numFmtId="0" fontId="2" fillId="0" borderId="25" xfId="0" applyFont="1" applyBorder="1" applyAlignment="1">
      <alignment horizontal="left" indent="1"/>
    </xf>
    <xf numFmtId="0" fontId="0" fillId="0" borderId="0" xfId="0" applyBorder="1"/>
    <xf numFmtId="164" fontId="14" fillId="0" borderId="0" xfId="0" applyNumberFormat="1" applyFont="1" applyBorder="1" applyAlignment="1">
      <alignment horizontal="center" vertical="center"/>
    </xf>
    <xf numFmtId="0" fontId="2" fillId="0" borderId="2" xfId="0" applyFont="1" applyBorder="1" applyAlignment="1">
      <alignment horizontal="center"/>
    </xf>
    <xf numFmtId="0" fontId="2" fillId="0" borderId="3" xfId="0" applyFont="1" applyBorder="1" applyAlignment="1">
      <alignment horizontal="center"/>
    </xf>
    <xf numFmtId="0" fontId="2" fillId="0" borderId="4" xfId="0" applyFont="1" applyBorder="1" applyAlignment="1">
      <alignment horizontal="center"/>
    </xf>
    <xf numFmtId="3" fontId="0" fillId="0" borderId="5" xfId="0" applyNumberFormat="1" applyBorder="1" applyAlignment="1"/>
    <xf numFmtId="3" fontId="0" fillId="0" borderId="6" xfId="0" applyNumberFormat="1" applyBorder="1" applyAlignment="1"/>
    <xf numFmtId="3" fontId="0" fillId="0" borderId="7" xfId="0" applyNumberFormat="1" applyBorder="1" applyAlignment="1"/>
    <xf numFmtId="3" fontId="0" fillId="0" borderId="10" xfId="0" applyNumberFormat="1" applyBorder="1" applyAlignment="1"/>
    <xf numFmtId="3" fontId="0" fillId="0" borderId="0" xfId="0" applyNumberFormat="1" applyBorder="1" applyAlignment="1"/>
    <xf numFmtId="3" fontId="0" fillId="0" borderId="14" xfId="0" applyNumberFormat="1" applyBorder="1" applyAlignment="1"/>
    <xf numFmtId="3" fontId="0" fillId="0" borderId="42" xfId="0" applyNumberFormat="1" applyBorder="1" applyAlignment="1"/>
    <xf numFmtId="3" fontId="0" fillId="0" borderId="41" xfId="0" applyNumberFormat="1" applyBorder="1" applyAlignment="1"/>
    <xf numFmtId="3" fontId="0" fillId="0" borderId="40" xfId="0" applyNumberFormat="1" applyBorder="1" applyAlignment="1"/>
    <xf numFmtId="3" fontId="2" fillId="0" borderId="27" xfId="0" applyNumberFormat="1" applyFont="1" applyBorder="1"/>
    <xf numFmtId="0" fontId="2" fillId="0" borderId="27" xfId="0" applyFont="1" applyBorder="1"/>
    <xf numFmtId="0" fontId="0" fillId="11" borderId="4" xfId="0" applyFill="1" applyBorder="1" applyAlignment="1">
      <alignment horizontal="center" vertical="center"/>
    </xf>
    <xf numFmtId="0" fontId="2" fillId="0" borderId="39" xfId="0" applyFont="1" applyBorder="1" applyAlignment="1"/>
    <xf numFmtId="0" fontId="2" fillId="0" borderId="48" xfId="0" applyFont="1" applyBorder="1" applyAlignment="1"/>
    <xf numFmtId="0" fontId="2" fillId="0" borderId="10" xfId="0" applyFont="1" applyBorder="1" applyAlignment="1"/>
    <xf numFmtId="0" fontId="2" fillId="0" borderId="0" xfId="0" applyFont="1" applyBorder="1" applyAlignment="1"/>
    <xf numFmtId="0" fontId="0" fillId="11" borderId="2" xfId="0" applyFill="1" applyBorder="1" applyAlignment="1">
      <alignment horizontal="center" vertical="center"/>
    </xf>
    <xf numFmtId="0" fontId="0" fillId="11" borderId="3" xfId="0" applyFill="1" applyBorder="1" applyAlignment="1">
      <alignment horizontal="center" vertical="center"/>
    </xf>
    <xf numFmtId="3" fontId="0" fillId="0" borderId="42" xfId="0" applyNumberFormat="1" applyBorder="1"/>
    <xf numFmtId="3" fontId="0" fillId="0" borderId="41" xfId="0" applyNumberFormat="1" applyBorder="1"/>
    <xf numFmtId="3" fontId="0" fillId="0" borderId="40" xfId="0" applyNumberFormat="1" applyBorder="1"/>
    <xf numFmtId="0" fontId="0" fillId="0" borderId="42" xfId="0" applyBorder="1" applyAlignment="1">
      <alignment horizontal="right"/>
    </xf>
    <xf numFmtId="0" fontId="0" fillId="0" borderId="41" xfId="0" applyBorder="1" applyAlignment="1">
      <alignment horizontal="right"/>
    </xf>
    <xf numFmtId="0" fontId="0" fillId="0" borderId="40" xfId="0" applyBorder="1" applyAlignment="1">
      <alignment horizontal="right"/>
    </xf>
    <xf numFmtId="3" fontId="10" fillId="0" borderId="13" xfId="0" applyNumberFormat="1" applyFont="1" applyBorder="1"/>
    <xf numFmtId="3" fontId="10" fillId="0" borderId="12" xfId="0" applyNumberFormat="1" applyFont="1" applyBorder="1"/>
    <xf numFmtId="3" fontId="10" fillId="0" borderId="11" xfId="0" applyNumberFormat="1" applyFont="1" applyBorder="1"/>
    <xf numFmtId="0" fontId="11" fillId="0" borderId="2" xfId="0" applyFont="1" applyBorder="1" applyAlignment="1">
      <alignment horizontal="center"/>
    </xf>
    <xf numFmtId="0" fontId="11" fillId="0" borderId="3" xfId="0" applyFont="1" applyBorder="1" applyAlignment="1">
      <alignment horizontal="center"/>
    </xf>
    <xf numFmtId="0" fontId="11" fillId="0" borderId="4" xfId="0" applyFont="1" applyBorder="1" applyAlignment="1">
      <alignment horizontal="center"/>
    </xf>
    <xf numFmtId="0" fontId="0" fillId="0" borderId="10" xfId="0" applyBorder="1" applyAlignment="1">
      <alignment horizontal="center"/>
    </xf>
    <xf numFmtId="0" fontId="0" fillId="0" borderId="0" xfId="0" applyBorder="1" applyAlignment="1">
      <alignment horizontal="center"/>
    </xf>
    <xf numFmtId="0" fontId="0" fillId="0" borderId="14" xfId="0" applyBorder="1" applyAlignment="1">
      <alignment horizontal="center"/>
    </xf>
    <xf numFmtId="3" fontId="0" fillId="0" borderId="10" xfId="0" applyNumberFormat="1" applyBorder="1"/>
    <xf numFmtId="3" fontId="0" fillId="0" borderId="0" xfId="0" applyNumberFormat="1" applyBorder="1"/>
    <xf numFmtId="3" fontId="0" fillId="0" borderId="14" xfId="0" applyNumberFormat="1" applyBorder="1"/>
    <xf numFmtId="0" fontId="0" fillId="0" borderId="10" xfId="0" applyBorder="1" applyAlignment="1">
      <alignment horizontal="right"/>
    </xf>
    <xf numFmtId="0" fontId="0" fillId="0" borderId="0" xfId="0" applyBorder="1" applyAlignment="1">
      <alignment horizontal="right"/>
    </xf>
    <xf numFmtId="0" fontId="0" fillId="0" borderId="14" xfId="0" applyBorder="1" applyAlignment="1">
      <alignment horizontal="right"/>
    </xf>
    <xf numFmtId="3" fontId="10" fillId="0" borderId="39" xfId="0" applyNumberFormat="1" applyFont="1" applyBorder="1"/>
    <xf numFmtId="3" fontId="10" fillId="0" borderId="48" xfId="0" applyNumberFormat="1" applyFont="1" applyBorder="1"/>
    <xf numFmtId="3" fontId="10" fillId="0" borderId="49" xfId="0" applyNumberFormat="1" applyFont="1" applyBorder="1"/>
    <xf numFmtId="3" fontId="0" fillId="0" borderId="10" xfId="0" applyNumberFormat="1" applyFont="1" applyBorder="1"/>
    <xf numFmtId="3" fontId="0" fillId="0" borderId="0" xfId="0" applyNumberFormat="1" applyFont="1" applyBorder="1"/>
    <xf numFmtId="3" fontId="0" fillId="0" borderId="14" xfId="0" applyNumberFormat="1" applyFont="1" applyBorder="1"/>
    <xf numFmtId="0" fontId="10" fillId="0" borderId="13" xfId="0" applyFont="1" applyBorder="1" applyAlignment="1">
      <alignment horizontal="right"/>
    </xf>
    <xf numFmtId="0" fontId="10" fillId="0" borderId="12" xfId="0" applyFont="1" applyBorder="1" applyAlignment="1">
      <alignment horizontal="right"/>
    </xf>
    <xf numFmtId="0" fontId="10" fillId="0" borderId="11" xfId="0" applyFont="1" applyBorder="1" applyAlignment="1">
      <alignment horizontal="right"/>
    </xf>
    <xf numFmtId="0" fontId="10" fillId="0" borderId="39" xfId="0" applyFont="1" applyBorder="1" applyAlignment="1">
      <alignment horizontal="right"/>
    </xf>
    <xf numFmtId="0" fontId="10" fillId="0" borderId="48" xfId="0" applyFont="1" applyBorder="1" applyAlignment="1">
      <alignment horizontal="right"/>
    </xf>
    <xf numFmtId="0" fontId="10" fillId="0" borderId="49" xfId="0" applyFont="1" applyBorder="1" applyAlignment="1">
      <alignment horizontal="right"/>
    </xf>
    <xf numFmtId="0" fontId="0" fillId="0" borderId="42" xfId="0" applyBorder="1" applyAlignment="1">
      <alignment horizontal="center"/>
    </xf>
    <xf numFmtId="0" fontId="0" fillId="0" borderId="41" xfId="0" applyBorder="1" applyAlignment="1">
      <alignment horizontal="center"/>
    </xf>
    <xf numFmtId="0" fontId="0" fillId="0" borderId="40" xfId="0" applyBorder="1" applyAlignment="1">
      <alignment horizontal="center"/>
    </xf>
    <xf numFmtId="0" fontId="0" fillId="0" borderId="10" xfId="0" applyBorder="1"/>
    <xf numFmtId="0" fontId="0" fillId="0" borderId="14" xfId="0" applyBorder="1"/>
    <xf numFmtId="3" fontId="2" fillId="0" borderId="21" xfId="0" applyNumberFormat="1" applyFont="1" applyFill="1" applyBorder="1"/>
    <xf numFmtId="0" fontId="2" fillId="0" borderId="1" xfId="0" applyFont="1" applyFill="1" applyBorder="1"/>
    <xf numFmtId="0" fontId="2" fillId="0" borderId="20" xfId="0" applyFont="1" applyFill="1" applyBorder="1"/>
    <xf numFmtId="0" fontId="2" fillId="0" borderId="10" xfId="0" applyFont="1" applyBorder="1" applyAlignment="1">
      <alignment horizontal="left" indent="1"/>
    </xf>
    <xf numFmtId="0" fontId="2" fillId="0" borderId="0" xfId="0" applyFont="1" applyBorder="1" applyAlignment="1">
      <alignment horizontal="left" indent="1"/>
    </xf>
    <xf numFmtId="0" fontId="2" fillId="0" borderId="14" xfId="0" applyFont="1" applyBorder="1" applyAlignment="1">
      <alignment horizontal="left" indent="1"/>
    </xf>
    <xf numFmtId="3" fontId="0" fillId="0" borderId="14" xfId="0" applyNumberFormat="1" applyFill="1" applyBorder="1"/>
    <xf numFmtId="0" fontId="0" fillId="0" borderId="14" xfId="0" applyFill="1" applyBorder="1"/>
    <xf numFmtId="0" fontId="0" fillId="0" borderId="0" xfId="0" applyFill="1" applyBorder="1"/>
    <xf numFmtId="0" fontId="2" fillId="0" borderId="5" xfId="0" applyFont="1" applyBorder="1" applyAlignment="1">
      <alignment horizontal="left" indent="1"/>
    </xf>
    <xf numFmtId="0" fontId="2" fillId="0" borderId="6" xfId="0" applyFont="1" applyBorder="1" applyAlignment="1">
      <alignment horizontal="left" indent="1"/>
    </xf>
    <xf numFmtId="0" fontId="2" fillId="0" borderId="7" xfId="0" applyFont="1" applyBorder="1" applyAlignment="1">
      <alignment horizontal="left" indent="1"/>
    </xf>
    <xf numFmtId="3" fontId="0" fillId="0" borderId="0" xfId="0" applyNumberFormat="1"/>
    <xf numFmtId="0" fontId="0" fillId="0" borderId="0" xfId="0"/>
    <xf numFmtId="3" fontId="0" fillId="0" borderId="5" xfId="0" applyNumberFormat="1" applyBorder="1"/>
    <xf numFmtId="0" fontId="0" fillId="0" borderId="6" xfId="0" applyBorder="1"/>
    <xf numFmtId="0" fontId="0" fillId="0" borderId="7" xfId="0" applyBorder="1"/>
    <xf numFmtId="0" fontId="0" fillId="0" borderId="5" xfId="0" applyBorder="1"/>
    <xf numFmtId="0" fontId="12" fillId="0" borderId="10" xfId="0" applyFont="1" applyBorder="1" applyAlignment="1">
      <alignment horizontal="right" indent="1"/>
    </xf>
    <xf numFmtId="0" fontId="12" fillId="0" borderId="0" xfId="0" applyFont="1" applyBorder="1" applyAlignment="1">
      <alignment horizontal="right" indent="1"/>
    </xf>
    <xf numFmtId="0" fontId="12" fillId="0" borderId="14" xfId="0" applyFont="1" applyBorder="1" applyAlignment="1">
      <alignment horizontal="right" indent="1"/>
    </xf>
    <xf numFmtId="3" fontId="2" fillId="0" borderId="28" xfId="0" applyNumberFormat="1" applyFont="1" applyBorder="1" applyAlignment="1">
      <alignment horizontal="center" vertical="center"/>
    </xf>
    <xf numFmtId="3" fontId="2" fillId="0" borderId="27" xfId="0" applyNumberFormat="1" applyFont="1" applyBorder="1" applyAlignment="1">
      <alignment horizontal="center" vertical="center"/>
    </xf>
    <xf numFmtId="3" fontId="2" fillId="0" borderId="26" xfId="0" applyNumberFormat="1" applyFont="1" applyBorder="1" applyAlignment="1">
      <alignment horizontal="center" vertical="center"/>
    </xf>
    <xf numFmtId="3" fontId="2" fillId="0" borderId="21" xfId="0" applyNumberFormat="1" applyFont="1" applyBorder="1" applyAlignment="1">
      <alignment horizontal="center" vertical="center"/>
    </xf>
    <xf numFmtId="3" fontId="2" fillId="0" borderId="1" xfId="0" applyNumberFormat="1" applyFont="1" applyBorder="1" applyAlignment="1">
      <alignment horizontal="center" vertical="center"/>
    </xf>
    <xf numFmtId="3" fontId="2" fillId="0" borderId="20" xfId="0" applyNumberFormat="1" applyFont="1" applyBorder="1" applyAlignment="1">
      <alignment horizontal="center" vertical="center"/>
    </xf>
    <xf numFmtId="3" fontId="2" fillId="0" borderId="17" xfId="0" applyNumberFormat="1" applyFont="1" applyBorder="1" applyAlignment="1">
      <alignment horizontal="center" vertical="center"/>
    </xf>
    <xf numFmtId="3" fontId="2" fillId="0" borderId="16" xfId="0" applyNumberFormat="1" applyFont="1" applyBorder="1" applyAlignment="1">
      <alignment horizontal="center" vertical="center"/>
    </xf>
    <xf numFmtId="3" fontId="2" fillId="0" borderId="15" xfId="0" applyNumberFormat="1" applyFont="1" applyBorder="1" applyAlignment="1">
      <alignment horizontal="center" vertical="center"/>
    </xf>
    <xf numFmtId="3" fontId="9" fillId="0" borderId="1" xfId="0" applyNumberFormat="1" applyFont="1" applyBorder="1"/>
    <xf numFmtId="0" fontId="10" fillId="12" borderId="1" xfId="0" applyFont="1" applyFill="1" applyBorder="1" applyAlignment="1">
      <alignment horizontal="left"/>
    </xf>
    <xf numFmtId="3" fontId="9" fillId="0" borderId="10" xfId="0" applyNumberFormat="1" applyFont="1" applyBorder="1"/>
    <xf numFmtId="3" fontId="9" fillId="0" borderId="0" xfId="0" applyNumberFormat="1" applyFont="1" applyBorder="1"/>
    <xf numFmtId="3" fontId="9" fillId="0" borderId="14" xfId="0" applyNumberFormat="1" applyFont="1" applyBorder="1"/>
    <xf numFmtId="0" fontId="15" fillId="0" borderId="10" xfId="0" applyFont="1" applyBorder="1" applyAlignment="1">
      <alignment horizontal="left" indent="3"/>
    </xf>
    <xf numFmtId="0" fontId="15" fillId="0" borderId="0" xfId="0" applyFont="1" applyBorder="1" applyAlignment="1">
      <alignment horizontal="left" indent="3"/>
    </xf>
    <xf numFmtId="0" fontId="15" fillId="0" borderId="14" xfId="0" applyFont="1" applyBorder="1" applyAlignment="1">
      <alignment horizontal="left" indent="3"/>
    </xf>
    <xf numFmtId="3" fontId="9" fillId="0" borderId="10" xfId="0" applyNumberFormat="1" applyFont="1" applyBorder="1" applyAlignment="1"/>
    <xf numFmtId="3" fontId="9" fillId="0" borderId="0" xfId="0" applyNumberFormat="1" applyFont="1" applyBorder="1" applyAlignment="1"/>
    <xf numFmtId="3" fontId="9" fillId="0" borderId="14" xfId="0" applyNumberFormat="1" applyFont="1" applyBorder="1" applyAlignment="1"/>
    <xf numFmtId="0" fontId="10" fillId="0" borderId="8" xfId="0" applyFont="1" applyBorder="1"/>
    <xf numFmtId="3" fontId="10" fillId="0" borderId="8" xfId="0" applyNumberFormat="1" applyFont="1" applyBorder="1"/>
    <xf numFmtId="3" fontId="9" fillId="0" borderId="24" xfId="0" applyNumberFormat="1" applyFont="1" applyBorder="1"/>
    <xf numFmtId="3" fontId="9" fillId="0" borderId="23" xfId="0" applyNumberFormat="1" applyFont="1" applyBorder="1"/>
    <xf numFmtId="3" fontId="9" fillId="0" borderId="22" xfId="0" applyNumberFormat="1" applyFont="1" applyBorder="1"/>
    <xf numFmtId="3" fontId="9" fillId="0" borderId="16" xfId="0" applyNumberFormat="1" applyFont="1" applyBorder="1"/>
    <xf numFmtId="0" fontId="9" fillId="0" borderId="10" xfId="0" applyFont="1" applyBorder="1" applyAlignment="1">
      <alignment horizontal="left" indent="3"/>
    </xf>
    <xf numFmtId="0" fontId="9" fillId="0" borderId="0" xfId="0" applyFont="1" applyBorder="1" applyAlignment="1">
      <alignment horizontal="left" indent="3"/>
    </xf>
    <xf numFmtId="0" fontId="9" fillId="0" borderId="14" xfId="0" applyFont="1" applyBorder="1" applyAlignment="1">
      <alignment horizontal="left" indent="3"/>
    </xf>
    <xf numFmtId="0" fontId="9" fillId="0" borderId="16" xfId="0" applyFont="1" applyBorder="1" applyAlignment="1">
      <alignment horizontal="right"/>
    </xf>
    <xf numFmtId="3" fontId="10" fillId="0" borderId="27" xfId="0" applyNumberFormat="1" applyFont="1" applyBorder="1"/>
    <xf numFmtId="0" fontId="10" fillId="0" borderId="8" xfId="0" applyFont="1" applyBorder="1" applyAlignment="1">
      <alignment horizontal="left"/>
    </xf>
    <xf numFmtId="0" fontId="9" fillId="0" borderId="42" xfId="0" applyFont="1" applyBorder="1" applyAlignment="1">
      <alignment horizontal="left"/>
    </xf>
    <xf numFmtId="0" fontId="9" fillId="0" borderId="41" xfId="0" applyFont="1" applyBorder="1" applyAlignment="1">
      <alignment horizontal="left"/>
    </xf>
    <xf numFmtId="0" fontId="9" fillId="0" borderId="40" xfId="0" applyFont="1" applyBorder="1" applyAlignment="1">
      <alignment horizontal="left"/>
    </xf>
    <xf numFmtId="3" fontId="9" fillId="0" borderId="41" xfId="0" applyNumberFormat="1" applyFont="1" applyBorder="1"/>
    <xf numFmtId="3" fontId="10" fillId="0" borderId="42" xfId="0" applyNumberFormat="1" applyFont="1" applyBorder="1"/>
    <xf numFmtId="3" fontId="10" fillId="0" borderId="41" xfId="0" applyNumberFormat="1" applyFont="1" applyBorder="1"/>
    <xf numFmtId="3" fontId="10" fillId="0" borderId="40" xfId="0" applyNumberFormat="1" applyFont="1" applyBorder="1"/>
    <xf numFmtId="0" fontId="17" fillId="0" borderId="6" xfId="0" applyFont="1" applyBorder="1" applyAlignment="1">
      <alignment horizontal="center" vertical="center"/>
    </xf>
    <xf numFmtId="0" fontId="17" fillId="0" borderId="0" xfId="0" applyFont="1" applyBorder="1" applyAlignment="1">
      <alignment horizontal="center" vertical="center"/>
    </xf>
    <xf numFmtId="0" fontId="17" fillId="0" borderId="6" xfId="0" applyNumberFormat="1" applyFont="1" applyBorder="1" applyAlignment="1">
      <alignment horizontal="center" vertical="center"/>
    </xf>
    <xf numFmtId="0" fontId="17" fillId="0" borderId="0" xfId="0" applyNumberFormat="1" applyFont="1" applyBorder="1" applyAlignment="1">
      <alignment horizontal="center" vertical="center"/>
    </xf>
    <xf numFmtId="0" fontId="16" fillId="12" borderId="4" xfId="0" applyNumberFormat="1" applyFont="1" applyFill="1" applyBorder="1" applyAlignment="1">
      <alignment horizontal="center"/>
    </xf>
    <xf numFmtId="0" fontId="16" fillId="12" borderId="1" xfId="0" applyNumberFormat="1" applyFont="1" applyFill="1" applyBorder="1" applyAlignment="1">
      <alignment horizontal="center"/>
    </xf>
    <xf numFmtId="0" fontId="16" fillId="12" borderId="2" xfId="0" applyNumberFormat="1" applyFont="1" applyFill="1" applyBorder="1" applyAlignment="1">
      <alignment horizontal="center"/>
    </xf>
    <xf numFmtId="0" fontId="10" fillId="12" borderId="1" xfId="0" applyFont="1" applyFill="1" applyBorder="1" applyAlignment="1">
      <alignment horizontal="center"/>
    </xf>
    <xf numFmtId="3" fontId="16" fillId="12" borderId="4" xfId="0" applyNumberFormat="1" applyFont="1" applyFill="1" applyBorder="1" applyAlignment="1">
      <alignment horizontal="center"/>
    </xf>
    <xf numFmtId="3" fontId="16" fillId="12" borderId="1" xfId="0" applyNumberFormat="1" applyFont="1" applyFill="1" applyBorder="1" applyAlignment="1">
      <alignment horizontal="center"/>
    </xf>
    <xf numFmtId="3" fontId="16" fillId="12" borderId="2" xfId="0" applyNumberFormat="1" applyFont="1" applyFill="1" applyBorder="1" applyAlignment="1">
      <alignment horizontal="center"/>
    </xf>
    <xf numFmtId="0" fontId="9" fillId="0" borderId="1" xfId="0" applyFont="1" applyBorder="1" applyAlignment="1">
      <alignment horizontal="right"/>
    </xf>
    <xf numFmtId="3" fontId="9" fillId="0" borderId="5" xfId="0" applyNumberFormat="1" applyFont="1" applyBorder="1" applyAlignment="1"/>
    <xf numFmtId="3" fontId="9" fillId="0" borderId="6" xfId="0" applyNumberFormat="1" applyFont="1" applyBorder="1" applyAlignment="1"/>
    <xf numFmtId="3" fontId="9" fillId="0" borderId="7" xfId="0" applyNumberFormat="1" applyFont="1" applyBorder="1" applyAlignment="1"/>
    <xf numFmtId="3" fontId="9" fillId="0" borderId="42" xfId="0" applyNumberFormat="1" applyFont="1" applyBorder="1"/>
    <xf numFmtId="3" fontId="9" fillId="0" borderId="40" xfId="0" applyNumberFormat="1" applyFont="1" applyBorder="1"/>
    <xf numFmtId="3" fontId="9" fillId="0" borderId="5" xfId="0" applyNumberFormat="1" applyFont="1" applyBorder="1"/>
    <xf numFmtId="3" fontId="9" fillId="0" borderId="6" xfId="0" applyNumberFormat="1" applyFont="1" applyBorder="1"/>
    <xf numFmtId="3" fontId="9" fillId="0" borderId="7" xfId="0" applyNumberFormat="1" applyFont="1" applyBorder="1"/>
    <xf numFmtId="3" fontId="9" fillId="0" borderId="13" xfId="0" applyNumberFormat="1" applyFont="1" applyBorder="1"/>
    <xf numFmtId="3" fontId="9" fillId="0" borderId="12" xfId="0" applyNumberFormat="1" applyFont="1" applyBorder="1"/>
    <xf numFmtId="3" fontId="9" fillId="0" borderId="11" xfId="0" applyNumberFormat="1" applyFont="1" applyBorder="1"/>
    <xf numFmtId="3" fontId="9" fillId="0" borderId="1" xfId="0" applyNumberFormat="1" applyFont="1" applyBorder="1" applyAlignment="1"/>
    <xf numFmtId="0" fontId="10" fillId="12" borderId="2" xfId="0" applyFont="1" applyFill="1" applyBorder="1" applyAlignment="1">
      <alignment horizontal="center"/>
    </xf>
    <xf numFmtId="0" fontId="10" fillId="12" borderId="3" xfId="0" applyFont="1" applyFill="1" applyBorder="1" applyAlignment="1">
      <alignment horizontal="center"/>
    </xf>
    <xf numFmtId="0" fontId="10" fillId="12" borderId="4" xfId="0" applyFont="1" applyFill="1" applyBorder="1" applyAlignment="1">
      <alignment horizontal="center"/>
    </xf>
    <xf numFmtId="0" fontId="15" fillId="0" borderId="42" xfId="0" applyFont="1" applyBorder="1" applyAlignment="1">
      <alignment horizontal="left" indent="3"/>
    </xf>
    <xf numFmtId="0" fontId="15" fillId="0" borderId="41" xfId="0" applyFont="1" applyBorder="1" applyAlignment="1">
      <alignment horizontal="left" indent="3"/>
    </xf>
    <xf numFmtId="0" fontId="15" fillId="0" borderId="40" xfId="0" applyFont="1" applyBorder="1" applyAlignment="1">
      <alignment horizontal="left" indent="3"/>
    </xf>
    <xf numFmtId="3" fontId="9" fillId="0" borderId="13" xfId="0" applyNumberFormat="1" applyFont="1" applyBorder="1" applyAlignment="1"/>
    <xf numFmtId="3" fontId="9" fillId="0" borderId="12" xfId="0" applyNumberFormat="1" applyFont="1" applyBorder="1" applyAlignment="1"/>
    <xf numFmtId="3" fontId="9" fillId="0" borderId="11" xfId="0" applyNumberFormat="1" applyFont="1" applyBorder="1" applyAlignment="1"/>
    <xf numFmtId="0" fontId="2" fillId="0" borderId="8" xfId="0" applyFont="1" applyBorder="1" applyAlignment="1">
      <alignment horizontal="center"/>
    </xf>
    <xf numFmtId="0" fontId="2" fillId="11" borderId="2" xfId="0" applyFont="1" applyFill="1" applyBorder="1" applyAlignment="1">
      <alignment horizontal="center" vertical="center"/>
    </xf>
    <xf numFmtId="0" fontId="2" fillId="11" borderId="3" xfId="0" applyFont="1" applyFill="1" applyBorder="1" applyAlignment="1">
      <alignment horizontal="center" vertical="center"/>
    </xf>
    <xf numFmtId="0" fontId="2" fillId="11" borderId="4" xfId="0" applyFont="1" applyFill="1" applyBorder="1" applyAlignment="1">
      <alignment horizontal="center" vertical="center"/>
    </xf>
    <xf numFmtId="0" fontId="0" fillId="11" borderId="1" xfId="0" applyFont="1" applyFill="1" applyBorder="1" applyAlignment="1">
      <alignment horizontal="right"/>
    </xf>
    <xf numFmtId="0" fontId="10" fillId="0" borderId="1" xfId="0" applyFont="1" applyFill="1" applyBorder="1" applyAlignment="1">
      <alignment horizontal="left"/>
    </xf>
    <xf numFmtId="0" fontId="2" fillId="11" borderId="24" xfId="0" applyFont="1" applyFill="1" applyBorder="1" applyAlignment="1">
      <alignment horizontal="right"/>
    </xf>
    <xf numFmtId="0" fontId="2" fillId="11" borderId="23" xfId="0" applyFont="1" applyFill="1" applyBorder="1" applyAlignment="1">
      <alignment horizontal="right"/>
    </xf>
    <xf numFmtId="0" fontId="2" fillId="11" borderId="22" xfId="0" applyFont="1" applyFill="1" applyBorder="1" applyAlignment="1">
      <alignment horizontal="right"/>
    </xf>
    <xf numFmtId="3" fontId="2" fillId="0" borderId="37" xfId="0" applyNumberFormat="1" applyFont="1" applyFill="1" applyBorder="1"/>
    <xf numFmtId="0" fontId="2" fillId="0" borderId="8" xfId="0" applyFont="1" applyFill="1" applyBorder="1"/>
    <xf numFmtId="0" fontId="2" fillId="0" borderId="36" xfId="0" applyFont="1" applyFill="1" applyBorder="1"/>
    <xf numFmtId="0" fontId="10" fillId="0" borderId="19" xfId="0" applyFont="1" applyBorder="1" applyAlignment="1">
      <alignment horizontal="left"/>
    </xf>
    <xf numFmtId="0" fontId="10" fillId="0" borderId="18" xfId="0" applyFont="1" applyBorder="1" applyAlignment="1">
      <alignment horizontal="left"/>
    </xf>
    <xf numFmtId="3" fontId="10" fillId="0" borderId="18" xfId="0" applyNumberFormat="1" applyFont="1" applyBorder="1"/>
    <xf numFmtId="3" fontId="10" fillId="0" borderId="38" xfId="0" applyNumberFormat="1" applyFont="1" applyBorder="1"/>
    <xf numFmtId="0" fontId="6" fillId="0" borderId="8" xfId="0" applyFont="1" applyBorder="1" applyAlignment="1">
      <alignment horizontal="center" vertical="center"/>
    </xf>
    <xf numFmtId="0" fontId="10" fillId="0" borderId="13" xfId="0" applyFont="1" applyBorder="1" applyAlignment="1">
      <alignment horizontal="center"/>
    </xf>
    <xf numFmtId="0" fontId="10" fillId="0" borderId="12" xfId="0" applyFont="1" applyBorder="1" applyAlignment="1">
      <alignment horizontal="center"/>
    </xf>
    <xf numFmtId="0" fontId="10" fillId="0" borderId="11" xfId="0" applyFont="1" applyBorder="1" applyAlignment="1">
      <alignment horizontal="center"/>
    </xf>
    <xf numFmtId="0" fontId="2" fillId="0" borderId="13" xfId="0" applyFont="1" applyBorder="1" applyAlignment="1">
      <alignment horizontal="center" vertical="center"/>
    </xf>
    <xf numFmtId="0" fontId="2" fillId="0" borderId="12" xfId="0" applyFont="1" applyBorder="1" applyAlignment="1">
      <alignment horizontal="center" vertical="center"/>
    </xf>
    <xf numFmtId="0" fontId="2" fillId="0" borderId="11" xfId="0" applyFont="1" applyBorder="1" applyAlignment="1">
      <alignment horizontal="center" vertical="center"/>
    </xf>
    <xf numFmtId="0" fontId="0" fillId="0" borderId="1" xfId="0" applyFont="1" applyBorder="1" applyAlignment="1">
      <alignment horizontal="right" indent="1"/>
    </xf>
    <xf numFmtId="3" fontId="0" fillId="0" borderId="1" xfId="0" applyNumberFormat="1" applyBorder="1"/>
    <xf numFmtId="0" fontId="0" fillId="0" borderId="1" xfId="0" applyBorder="1"/>
    <xf numFmtId="0" fontId="0" fillId="0" borderId="2" xfId="0" applyBorder="1"/>
    <xf numFmtId="3" fontId="2" fillId="0" borderId="35" xfId="0" applyNumberFormat="1" applyFont="1" applyFill="1" applyBorder="1"/>
    <xf numFmtId="0" fontId="2" fillId="0" borderId="25" xfId="0" applyFont="1" applyFill="1" applyBorder="1"/>
    <xf numFmtId="0" fontId="2" fillId="0" borderId="34" xfId="0" applyFont="1" applyFill="1" applyBorder="1"/>
    <xf numFmtId="3" fontId="2" fillId="0" borderId="32" xfId="0" applyNumberFormat="1" applyFont="1" applyFill="1" applyBorder="1"/>
    <xf numFmtId="3" fontId="2" fillId="0" borderId="12" xfId="0" applyNumberFormat="1" applyFont="1" applyFill="1" applyBorder="1"/>
    <xf numFmtId="3" fontId="2" fillId="0" borderId="31" xfId="0" applyNumberFormat="1" applyFont="1" applyFill="1" applyBorder="1"/>
    <xf numFmtId="0" fontId="10" fillId="0" borderId="2" xfId="0" applyFont="1" applyBorder="1" applyAlignment="1">
      <alignment horizontal="center"/>
    </xf>
    <xf numFmtId="0" fontId="10" fillId="0" borderId="3" xfId="0" applyFont="1" applyBorder="1" applyAlignment="1">
      <alignment horizontal="center"/>
    </xf>
    <xf numFmtId="0" fontId="10" fillId="0" borderId="4" xfId="0" applyFont="1" applyBorder="1" applyAlignment="1">
      <alignment horizontal="center"/>
    </xf>
    <xf numFmtId="3" fontId="0" fillId="0" borderId="13" xfId="0" applyNumberFormat="1" applyBorder="1"/>
    <xf numFmtId="0" fontId="0" fillId="0" borderId="12" xfId="0" applyBorder="1"/>
    <xf numFmtId="0" fontId="0" fillId="0" borderId="11" xfId="0" applyBorder="1"/>
    <xf numFmtId="0" fontId="0" fillId="0" borderId="25" xfId="0" applyFont="1" applyBorder="1" applyAlignment="1">
      <alignment horizontal="right" indent="1"/>
    </xf>
    <xf numFmtId="3" fontId="0" fillId="0" borderId="24" xfId="0" applyNumberFormat="1" applyBorder="1"/>
    <xf numFmtId="0" fontId="0" fillId="0" borderId="23" xfId="0" applyBorder="1"/>
    <xf numFmtId="0" fontId="0" fillId="0" borderId="22" xfId="0" applyBorder="1"/>
    <xf numFmtId="166" fontId="0" fillId="0" borderId="1" xfId="0" applyNumberFormat="1" applyBorder="1"/>
    <xf numFmtId="0" fontId="2" fillId="0" borderId="18" xfId="0" applyFont="1" applyBorder="1"/>
    <xf numFmtId="0" fontId="2" fillId="0" borderId="33" xfId="0" applyFont="1" applyBorder="1"/>
    <xf numFmtId="3" fontId="2" fillId="0" borderId="30" xfId="0" applyNumberFormat="1" applyFont="1" applyFill="1" applyBorder="1"/>
    <xf numFmtId="3" fontId="2" fillId="0" borderId="3" xfId="0" applyNumberFormat="1" applyFont="1" applyFill="1" applyBorder="1"/>
    <xf numFmtId="3" fontId="2" fillId="0" borderId="29" xfId="0" applyNumberFormat="1" applyFont="1" applyFill="1" applyBorder="1"/>
    <xf numFmtId="3" fontId="0" fillId="0" borderId="13" xfId="0" applyNumberFormat="1" applyBorder="1" applyAlignment="1"/>
    <xf numFmtId="3" fontId="0" fillId="0" borderId="12" xfId="0" applyNumberFormat="1" applyBorder="1" applyAlignment="1"/>
    <xf numFmtId="3" fontId="0" fillId="0" borderId="11" xfId="0" applyNumberFormat="1" applyBorder="1" applyAlignment="1"/>
    <xf numFmtId="3" fontId="2" fillId="0" borderId="43" xfId="0" applyNumberFormat="1" applyFont="1" applyBorder="1" applyAlignment="1">
      <alignment horizontal="center" vertical="center"/>
    </xf>
    <xf numFmtId="3" fontId="2" fillId="0" borderId="44" xfId="0" applyNumberFormat="1" applyFont="1" applyBorder="1" applyAlignment="1">
      <alignment horizontal="center" vertical="center"/>
    </xf>
    <xf numFmtId="3" fontId="2" fillId="0" borderId="45" xfId="0" applyNumberFormat="1" applyFont="1" applyBorder="1" applyAlignment="1">
      <alignment horizontal="center" vertical="center"/>
    </xf>
    <xf numFmtId="3" fontId="2" fillId="0" borderId="32" xfId="0" applyNumberFormat="1" applyFont="1" applyBorder="1" applyAlignment="1">
      <alignment horizontal="center" vertical="center"/>
    </xf>
    <xf numFmtId="3" fontId="2" fillId="0" borderId="12" xfId="0" applyNumberFormat="1" applyFont="1" applyBorder="1" applyAlignment="1">
      <alignment horizontal="center" vertical="center"/>
    </xf>
    <xf numFmtId="3" fontId="2" fillId="0" borderId="31" xfId="0" applyNumberFormat="1" applyFont="1" applyBorder="1" applyAlignment="1">
      <alignment horizontal="center" vertical="center"/>
    </xf>
    <xf numFmtId="0" fontId="13" fillId="0" borderId="0" xfId="0" applyFont="1" applyAlignment="1">
      <alignment horizontal="center" vertical="center"/>
    </xf>
    <xf numFmtId="0" fontId="0" fillId="11" borderId="2" xfId="0" applyFont="1" applyFill="1" applyBorder="1" applyAlignment="1">
      <alignment horizontal="right"/>
    </xf>
    <xf numFmtId="0" fontId="0" fillId="11" borderId="3" xfId="0" applyFont="1" applyFill="1" applyBorder="1" applyAlignment="1">
      <alignment horizontal="right"/>
    </xf>
    <xf numFmtId="0" fontId="0" fillId="11" borderId="4" xfId="0" applyFont="1" applyFill="1" applyBorder="1" applyAlignment="1">
      <alignment horizontal="right"/>
    </xf>
    <xf numFmtId="0" fontId="2" fillId="11" borderId="2" xfId="0" applyFont="1" applyFill="1" applyBorder="1" applyAlignment="1">
      <alignment horizontal="right"/>
    </xf>
    <xf numFmtId="0" fontId="2" fillId="11" borderId="3" xfId="0" applyFont="1" applyFill="1" applyBorder="1" applyAlignment="1">
      <alignment horizontal="right"/>
    </xf>
    <xf numFmtId="0" fontId="2" fillId="11" borderId="4" xfId="0" applyFont="1" applyFill="1" applyBorder="1" applyAlignment="1">
      <alignment horizontal="right"/>
    </xf>
    <xf numFmtId="3" fontId="0" fillId="0" borderId="5" xfId="0" applyNumberFormat="1" applyFont="1" applyBorder="1"/>
    <xf numFmtId="3" fontId="0" fillId="0" borderId="6" xfId="0" applyNumberFormat="1" applyFont="1" applyBorder="1"/>
    <xf numFmtId="3" fontId="0" fillId="0" borderId="7" xfId="0" applyNumberFormat="1" applyFont="1" applyBorder="1"/>
    <xf numFmtId="164" fontId="13" fillId="0" borderId="0" xfId="0" applyNumberFormat="1" applyFont="1" applyAlignment="1">
      <alignment horizontal="center" vertical="center"/>
    </xf>
    <xf numFmtId="0" fontId="10" fillId="0" borderId="1" xfId="0" applyFont="1" applyBorder="1" applyAlignment="1">
      <alignment horizontal="center" vertical="center"/>
    </xf>
    <xf numFmtId="0" fontId="10" fillId="0" borderId="2" xfId="0" applyFont="1" applyBorder="1" applyAlignment="1">
      <alignment horizontal="center" vertical="center"/>
    </xf>
    <xf numFmtId="0" fontId="10" fillId="0" borderId="3" xfId="0" applyFont="1" applyBorder="1" applyAlignment="1">
      <alignment horizontal="center" vertical="center"/>
    </xf>
    <xf numFmtId="0" fontId="10" fillId="0" borderId="4" xfId="0" applyFont="1" applyBorder="1" applyAlignment="1">
      <alignment horizontal="center" vertical="center"/>
    </xf>
    <xf numFmtId="3" fontId="2" fillId="0" borderId="46" xfId="0" applyNumberFormat="1" applyFont="1" applyBorder="1" applyAlignment="1">
      <alignment horizontal="center" vertical="center"/>
    </xf>
    <xf numFmtId="3" fontId="2" fillId="0" borderId="23" xfId="0" applyNumberFormat="1" applyFont="1" applyBorder="1" applyAlignment="1">
      <alignment horizontal="center" vertical="center"/>
    </xf>
    <xf numFmtId="3" fontId="2" fillId="0" borderId="47" xfId="0" applyNumberFormat="1" applyFont="1" applyBorder="1" applyAlignment="1">
      <alignment horizontal="center" vertical="center"/>
    </xf>
    <xf numFmtId="0" fontId="10" fillId="0" borderId="27" xfId="0" applyFont="1" applyBorder="1" applyAlignment="1">
      <alignment horizontal="center"/>
    </xf>
    <xf numFmtId="0" fontId="0" fillId="0" borderId="5" xfId="0" applyBorder="1" applyAlignment="1">
      <alignment horizontal="center"/>
    </xf>
    <xf numFmtId="0" fontId="0" fillId="0" borderId="6" xfId="0" applyBorder="1" applyAlignment="1">
      <alignment horizontal="center"/>
    </xf>
    <xf numFmtId="0" fontId="0" fillId="0" borderId="7" xfId="0" applyBorder="1" applyAlignment="1">
      <alignment horizontal="center"/>
    </xf>
    <xf numFmtId="3" fontId="0" fillId="0" borderId="6" xfId="0" applyNumberFormat="1" applyBorder="1"/>
    <xf numFmtId="3" fontId="0" fillId="0" borderId="7" xfId="0" applyNumberFormat="1" applyBorder="1"/>
    <xf numFmtId="0" fontId="0" fillId="0" borderId="5" xfId="0" applyBorder="1" applyAlignment="1">
      <alignment horizontal="left"/>
    </xf>
    <xf numFmtId="0" fontId="0" fillId="0" borderId="6" xfId="0" applyBorder="1" applyAlignment="1">
      <alignment horizontal="left"/>
    </xf>
    <xf numFmtId="0" fontId="0" fillId="0" borderId="7" xfId="0" applyBorder="1" applyAlignment="1">
      <alignment horizontal="left"/>
    </xf>
    <xf numFmtId="0" fontId="0" fillId="0" borderId="10" xfId="0" applyBorder="1" applyAlignment="1">
      <alignment horizontal="left"/>
    </xf>
    <xf numFmtId="0" fontId="0" fillId="0" borderId="0" xfId="0" applyBorder="1" applyAlignment="1">
      <alignment horizontal="left"/>
    </xf>
    <xf numFmtId="0" fontId="0" fillId="0" borderId="14" xfId="0" applyBorder="1" applyAlignment="1">
      <alignment horizontal="left"/>
    </xf>
    <xf numFmtId="0" fontId="2" fillId="0" borderId="13" xfId="0" applyFont="1" applyBorder="1" applyAlignment="1">
      <alignment horizontal="right"/>
    </xf>
    <xf numFmtId="0" fontId="2" fillId="0" borderId="12" xfId="0" applyFont="1" applyBorder="1" applyAlignment="1">
      <alignment horizontal="right"/>
    </xf>
    <xf numFmtId="0" fontId="2" fillId="0" borderId="11" xfId="0" applyFont="1" applyBorder="1" applyAlignment="1">
      <alignment horizontal="right"/>
    </xf>
    <xf numFmtId="0" fontId="10" fillId="0" borderId="8" xfId="0" applyFont="1" applyBorder="1" applyAlignment="1">
      <alignment horizontal="center"/>
    </xf>
    <xf numFmtId="3" fontId="2" fillId="0" borderId="13" xfId="0" applyNumberFormat="1" applyFont="1" applyBorder="1"/>
    <xf numFmtId="3" fontId="2" fillId="0" borderId="12" xfId="0" applyNumberFormat="1" applyFont="1" applyBorder="1"/>
    <xf numFmtId="3" fontId="2" fillId="0" borderId="11" xfId="0" applyNumberFormat="1" applyFont="1" applyBorder="1"/>
    <xf numFmtId="0" fontId="2" fillId="0" borderId="1" xfId="0" applyFont="1" applyBorder="1" applyAlignment="1">
      <alignment horizontal="center" vertical="center"/>
    </xf>
  </cellXfs>
  <cellStyles count="1">
    <cellStyle name="Normal" xfId="0" builtinId="0"/>
  </cellStyles>
  <dxfs count="35">
    <dxf>
      <alignment horizontal="left" readingOrder="0"/>
    </dxf>
    <dxf>
      <alignment horizontal="center" readingOrder="0"/>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patternType="solid">
          <bgColor theme="7" tint="0.59999389629810485"/>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patternType="none">
          <fgColor indexed="64"/>
          <bgColor indexed="65"/>
        </patternFill>
      </fill>
      <alignment horizontal="center" vertical="center" textRotation="0" wrapText="0" indent="0" relativeIndent="255" justifyLastLine="0" shrinkToFit="0" readingOrder="0"/>
    </dxf>
    <dxf>
      <border outline="0">
        <top style="thin">
          <color indexed="64"/>
        </top>
      </border>
    </dxf>
    <dxf>
      <fill>
        <patternFill patternType="none">
          <fgColor indexed="64"/>
          <bgColor indexed="65"/>
        </patternFill>
      </fill>
      <alignment horizontal="center" vertical="center" textRotation="0" wrapText="0" indent="0" relativeIndent="255" justifyLastLine="0" shrinkToFit="0" readingOrder="0"/>
    </dxf>
    <dxf>
      <border outline="0">
        <bottom style="thin">
          <color indexed="64"/>
        </bottom>
      </border>
    </dxf>
    <dxf>
      <font>
        <b/>
        <i val="0"/>
        <strike val="0"/>
        <condense val="0"/>
        <extend val="0"/>
        <outline val="0"/>
        <shadow val="0"/>
        <u val="none"/>
        <vertAlign val="baseline"/>
        <sz val="14"/>
        <color theme="1"/>
        <name val="Calibri"/>
        <scheme val="minor"/>
      </font>
      <fill>
        <patternFill patternType="solid">
          <fgColor indexed="64"/>
          <bgColor theme="0" tint="-0.14999847407452621"/>
        </patternFill>
      </fill>
      <alignment horizontal="center" vertical="center" textRotation="0" wrapText="0" indent="0" relativeIndent="255" justifyLastLine="0" shrinkToFit="0" readingOrder="0"/>
    </dxf>
    <dxf>
      <border outline="0">
        <bottom style="thin">
          <color indexed="64"/>
        </bottom>
      </border>
    </dxf>
    <dxf>
      <font>
        <b/>
        <i val="0"/>
        <strike val="0"/>
        <condense val="0"/>
        <extend val="0"/>
        <outline val="0"/>
        <shadow val="0"/>
        <u val="none"/>
        <vertAlign val="baseline"/>
        <sz val="11"/>
        <color theme="1"/>
        <name val="Calibri"/>
        <scheme val="minor"/>
      </font>
      <numFmt numFmtId="0" formatCode="General"/>
      <fill>
        <patternFill patternType="none">
          <fgColor indexed="64"/>
          <bgColor auto="1"/>
        </patternFill>
      </fill>
      <alignment horizontal="center" vertical="center" textRotation="0" wrapText="0" indent="0" relativeIndent="255" justifyLastLine="0" shrinkToFit="0" readingOrder="0"/>
    </dxf>
    <dxf>
      <font>
        <b/>
        <color theme="1"/>
      </font>
    </dxf>
    <dxf>
      <font>
        <b/>
        <color theme="1"/>
      </font>
    </dxf>
    <dxf>
      <font>
        <b/>
        <color theme="1"/>
      </font>
    </dxf>
    <dxf>
      <font>
        <b/>
        <color theme="1"/>
      </font>
      <border>
        <left style="thin">
          <color theme="0" tint="-0.34998626667073579"/>
        </left>
        <right style="thin">
          <color theme="0" tint="-0.34998626667073579"/>
        </right>
      </border>
    </dxf>
    <dxf>
      <fill>
        <patternFill patternType="solid">
          <fgColor theme="0" tint="-0.14999847407452621"/>
          <bgColor theme="0" tint="-0.14999847407452621"/>
        </patternFill>
      </fill>
    </dxf>
    <dxf>
      <fill>
        <patternFill patternType="solid">
          <fgColor theme="0" tint="-0.14999847407452621"/>
          <bgColor theme="0" tint="-0.14999847407452621"/>
        </patternFill>
      </fill>
      <border>
        <top style="thin">
          <color theme="1" tint="0.499984740745262"/>
        </top>
        <bottom style="thin">
          <color theme="1" tint="0.499984740745262"/>
        </bottom>
      </border>
    </dxf>
    <dxf>
      <font>
        <b/>
        <color theme="1"/>
      </font>
    </dxf>
    <dxf>
      <font>
        <b/>
        <color theme="1"/>
      </font>
      <border>
        <top style="thin">
          <color theme="1" tint="0.499984740745262"/>
        </top>
      </border>
    </dxf>
    <dxf>
      <font>
        <b/>
        <color theme="1"/>
      </font>
      <border>
        <bottom style="thin">
          <color theme="1" tint="0.499984740745262"/>
        </bottom>
      </border>
    </dxf>
    <dxf>
      <font>
        <color theme="1"/>
      </font>
      <border>
        <left style="thin">
          <color theme="1" tint="0.499984740745262"/>
        </left>
        <right style="thin">
          <color theme="1" tint="0.499984740745262"/>
        </right>
        <top style="thin">
          <color theme="1" tint="0.499984740745262"/>
        </top>
        <bottom style="thin">
          <color theme="1" tint="0.499984740745262"/>
        </bottom>
        <vertical style="thin">
          <color theme="1" tint="0.499984740745262"/>
        </vertical>
        <horizontal style="thin">
          <color theme="1" tint="0.499984740745262"/>
        </horizontal>
      </border>
    </dxf>
  </dxfs>
  <tableStyles count="1" defaultTableStyle="TableStyleMedium2" defaultPivotStyle="PivotStyleLight16">
    <tableStyle name="PivotStyleLight22 2" table="0" count="10">
      <tableStyleElement type="wholeTable" dxfId="34"/>
      <tableStyleElement type="headerRow" dxfId="33"/>
      <tableStyleElement type="totalRow" dxfId="32"/>
      <tableStyleElement type="firstColumn" dxfId="31"/>
      <tableStyleElement type="firstRowStripe" dxfId="30"/>
      <tableStyleElement type="firstColumnStripe" dxfId="29"/>
      <tableStyleElement type="firstSubtotalColumn" dxfId="28"/>
      <tableStyleElement type="firstSubtotalRow" dxfId="27"/>
      <tableStyleElement type="secondSubtotalRow" dxfId="26"/>
      <tableStyleElement type="pageFieldLabels" dxfId="25"/>
    </tableStyle>
  </tableStyles>
  <colors>
    <mruColors>
      <color rgb="FFFFC8C8"/>
      <color rgb="FF9445EB"/>
      <color rgb="FF31938E"/>
      <color rgb="FFC8C168"/>
      <color rgb="FF33C8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microsoft.com/office/2011/relationships/timelineCache" Target="timelineCaches/timelineCache1.xml"/><Relationship Id="rId2" Type="http://schemas.openxmlformats.org/officeDocument/2006/relationships/worksheet" Target="worksheets/sheet2.xml"/><Relationship Id="rId16" Type="http://schemas.microsoft.com/office/2007/relationships/slicerCache" Target="slicerCaches/slicerCache4.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7/relationships/slicerCache" Target="slicerCaches/slicerCache3.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978C9E23-D4B0-11CE-BF2D-00AA003F40D0}" ax:persistence="persistStreamInit" r:id="rId1"/>
</file>

<file path=xl/activeX/activeX6.xml><?xml version="1.0" encoding="utf-8"?>
<ax:ocx xmlns:ax="http://schemas.microsoft.com/office/2006/activeX" xmlns:r="http://schemas.openxmlformats.org/officeDocument/2006/relationships" ax:classid="{978C9E23-D4B0-11CE-BF2D-00AA003F40D0}" ax:persistence="persistStreamInit" r:id="rId1"/>
</file>

<file path=xl/activeX/activeX7.xml><?xml version="1.0" encoding="utf-8"?>
<ax:ocx xmlns:ax="http://schemas.microsoft.com/office/2006/activeX" xmlns:r="http://schemas.openxmlformats.org/officeDocument/2006/relationships" ax:classid="{978C9E23-D4B0-11CE-BF2D-00AA003F40D0}"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chart1.xml><?xml version="1.0" encoding="utf-8"?>
<c:chartSpace xmlns:c="http://schemas.openxmlformats.org/drawingml/2006/chart" xmlns:a="http://schemas.openxmlformats.org/drawingml/2006/main" xmlns:r="http://schemas.openxmlformats.org/officeDocument/2006/relationships">
  <c:lang val="en-US"/>
  <c:chart>
    <c:title>
      <c:tx>
        <c:rich>
          <a:bodyPr rot="0" spcFirstLastPara="1" vertOverflow="ellipsis" vert="horz" wrap="square" anchor="ctr" anchorCtr="1"/>
          <a:lstStyle/>
          <a:p>
            <a:pPr>
              <a:defRPr sz="1500" b="1" i="0" u="none" strike="noStrike" kern="1200" spc="0" baseline="0">
                <a:solidFill>
                  <a:schemeClr val="tx1">
                    <a:lumMod val="65000"/>
                    <a:lumOff val="35000"/>
                  </a:schemeClr>
                </a:solidFill>
                <a:latin typeface="+mn-lt"/>
                <a:ea typeface="+mn-ea"/>
                <a:cs typeface="+mn-cs"/>
              </a:defRPr>
            </a:pPr>
            <a:r>
              <a:rPr lang="en-US" sz="1500" b="1" i="0" baseline="0"/>
              <a:t>All Bank Forms</a:t>
            </a:r>
          </a:p>
        </c:rich>
      </c:tx>
      <c:layout>
        <c:manualLayout>
          <c:xMode val="edge"/>
          <c:yMode val="edge"/>
          <c:x val="0.41164905867689183"/>
          <c:y val="1.6614671119726251E-2"/>
        </c:manualLayout>
      </c:layout>
      <c:spPr>
        <a:noFill/>
        <a:ln>
          <a:noFill/>
        </a:ln>
        <a:effectLst/>
      </c:spPr>
    </c:title>
    <c:plotArea>
      <c:layout>
        <c:manualLayout>
          <c:layoutTarget val="inner"/>
          <c:xMode val="edge"/>
          <c:yMode val="edge"/>
          <c:x val="1.2225576501926376E-2"/>
          <c:y val="0.12285090698882556"/>
          <c:w val="0.97247089938915132"/>
          <c:h val="0.80076654884415499"/>
        </c:manualLayout>
      </c:layout>
      <c:barChart>
        <c:barDir val="col"/>
        <c:grouping val="clustered"/>
        <c:ser>
          <c:idx val="0"/>
          <c:order val="0"/>
          <c:tx>
            <c:v>Total</c:v>
          </c:tx>
          <c:spPr>
            <a:solidFill>
              <a:schemeClr val="accent6"/>
            </a:solidFill>
            <a:ln>
              <a:noFill/>
            </a:ln>
            <a:effectLst/>
          </c:spPr>
          <c:dLbls>
            <c:numFmt formatCode="#&quot;&quot;" sourceLinked="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Val val="1"/>
            <c:extLst xmlns:c16r2="http://schemas.microsoft.com/office/drawing/2015/06/char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'Balance Sheet'!$C$1059:$N$1075</c:f>
              <c:strCache>
                <c:ptCount val="17"/>
                <c:pt idx="0">
                  <c:v>Avanse</c:v>
                </c:pt>
                <c:pt idx="1">
                  <c:v>Axis</c:v>
                </c:pt>
                <c:pt idx="2">
                  <c:v>BOI</c:v>
                </c:pt>
                <c:pt idx="3">
                  <c:v>Canara</c:v>
                </c:pt>
                <c:pt idx="4">
                  <c:v>Cosmos</c:v>
                </c:pt>
                <c:pt idx="5">
                  <c:v>Indian</c:v>
                </c:pt>
                <c:pt idx="6">
                  <c:v>Indus Ind</c:v>
                </c:pt>
                <c:pt idx="7">
                  <c:v>SBI</c:v>
                </c:pt>
                <c:pt idx="8">
                  <c:v>SME-SBI</c:v>
                </c:pt>
                <c:pt idx="9">
                  <c:v>SBH</c:v>
                </c:pt>
                <c:pt idx="10">
                  <c:v>SBM</c:v>
                </c:pt>
                <c:pt idx="11">
                  <c:v>SBP</c:v>
                </c:pt>
                <c:pt idx="12">
                  <c:v>SBT</c:v>
                </c:pt>
                <c:pt idx="13">
                  <c:v>Syndicate</c:v>
                </c:pt>
                <c:pt idx="14">
                  <c:v>TGB</c:v>
                </c:pt>
                <c:pt idx="15">
                  <c:v>UBI</c:v>
                </c:pt>
                <c:pt idx="16">
                  <c:v>Vijaya</c:v>
                </c:pt>
              </c:strCache>
            </c:strRef>
          </c:cat>
          <c:val>
            <c:numRef>
              <c:f>'Balance Sheet'!$O$1059:$O$1075</c:f>
              <c:numCache>
                <c:formatCode>#,##0</c:formatCode>
                <c:ptCount val="17"/>
                <c:pt idx="0">
                  <c:v>0</c:v>
                </c:pt>
                <c:pt idx="1">
                  <c:v>77</c:v>
                </c:pt>
                <c:pt idx="2">
                  <c:v>25</c:v>
                </c:pt>
                <c:pt idx="3">
                  <c:v>2</c:v>
                </c:pt>
                <c:pt idx="4">
                  <c:v>27</c:v>
                </c:pt>
                <c:pt idx="5">
                  <c:v>43</c:v>
                </c:pt>
                <c:pt idx="6">
                  <c:v>0</c:v>
                </c:pt>
                <c:pt idx="7">
                  <c:v>643</c:v>
                </c:pt>
                <c:pt idx="8">
                  <c:v>69</c:v>
                </c:pt>
                <c:pt idx="9">
                  <c:v>11</c:v>
                </c:pt>
                <c:pt idx="10">
                  <c:v>6</c:v>
                </c:pt>
                <c:pt idx="11">
                  <c:v>3</c:v>
                </c:pt>
                <c:pt idx="12">
                  <c:v>5</c:v>
                </c:pt>
                <c:pt idx="13">
                  <c:v>72</c:v>
                </c:pt>
                <c:pt idx="14">
                  <c:v>2</c:v>
                </c:pt>
                <c:pt idx="15">
                  <c:v>199</c:v>
                </c:pt>
                <c:pt idx="16">
                  <c:v>116</c:v>
                </c:pt>
              </c:numCache>
            </c:numRef>
          </c:val>
          <c:extLst xmlns:c16r2="http://schemas.microsoft.com/office/drawing/2015/06/chart">
            <c:ext xmlns:c16="http://schemas.microsoft.com/office/drawing/2014/chart" uri="{C3380CC4-5D6E-409C-BE32-E72D297353CC}">
              <c16:uniqueId val="{00000003-A076-474F-B589-E9F57D704ADB}"/>
            </c:ext>
          </c:extLst>
        </c:ser>
        <c:ser>
          <c:idx val="1"/>
          <c:order val="1"/>
          <c:tx>
            <c:v>Signed</c:v>
          </c:tx>
          <c:spPr>
            <a:solidFill>
              <a:schemeClr val="accent5"/>
            </a:solidFill>
            <a:ln>
              <a:noFill/>
            </a:ln>
            <a:effectLst/>
          </c:spPr>
          <c:dLbls>
            <c:numFmt formatCode="#&quot;&quot;" sourceLinked="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Val val="1"/>
            <c:extLst xmlns:c16r2="http://schemas.microsoft.com/office/drawing/2015/06/char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'Balance Sheet'!$C$1059:$N$1075</c:f>
              <c:strCache>
                <c:ptCount val="17"/>
                <c:pt idx="0">
                  <c:v>Avanse</c:v>
                </c:pt>
                <c:pt idx="1">
                  <c:v>Axis</c:v>
                </c:pt>
                <c:pt idx="2">
                  <c:v>BOI</c:v>
                </c:pt>
                <c:pt idx="3">
                  <c:v>Canara</c:v>
                </c:pt>
                <c:pt idx="4">
                  <c:v>Cosmos</c:v>
                </c:pt>
                <c:pt idx="5">
                  <c:v>Indian</c:v>
                </c:pt>
                <c:pt idx="6">
                  <c:v>Indus Ind</c:v>
                </c:pt>
                <c:pt idx="7">
                  <c:v>SBI</c:v>
                </c:pt>
                <c:pt idx="8">
                  <c:v>SME-SBI</c:v>
                </c:pt>
                <c:pt idx="9">
                  <c:v>SBH</c:v>
                </c:pt>
                <c:pt idx="10">
                  <c:v>SBM</c:v>
                </c:pt>
                <c:pt idx="11">
                  <c:v>SBP</c:v>
                </c:pt>
                <c:pt idx="12">
                  <c:v>SBT</c:v>
                </c:pt>
                <c:pt idx="13">
                  <c:v>Syndicate</c:v>
                </c:pt>
                <c:pt idx="14">
                  <c:v>TGB</c:v>
                </c:pt>
                <c:pt idx="15">
                  <c:v>UBI</c:v>
                </c:pt>
                <c:pt idx="16">
                  <c:v>Vijaya</c:v>
                </c:pt>
              </c:strCache>
            </c:strRef>
          </c:cat>
          <c:val>
            <c:numRef>
              <c:f>'Balance Sheet'!$W$1059:$W$1075</c:f>
              <c:numCache>
                <c:formatCode>#,##0</c:formatCode>
                <c:ptCount val="17"/>
                <c:pt idx="0">
                  <c:v>0</c:v>
                </c:pt>
                <c:pt idx="1">
                  <c:v>55</c:v>
                </c:pt>
                <c:pt idx="2">
                  <c:v>23</c:v>
                </c:pt>
                <c:pt idx="3">
                  <c:v>2</c:v>
                </c:pt>
                <c:pt idx="4">
                  <c:v>27</c:v>
                </c:pt>
                <c:pt idx="5">
                  <c:v>42</c:v>
                </c:pt>
                <c:pt idx="6">
                  <c:v>0</c:v>
                </c:pt>
                <c:pt idx="7">
                  <c:v>550</c:v>
                </c:pt>
                <c:pt idx="8">
                  <c:v>68</c:v>
                </c:pt>
                <c:pt idx="9">
                  <c:v>11</c:v>
                </c:pt>
                <c:pt idx="10">
                  <c:v>5</c:v>
                </c:pt>
                <c:pt idx="11">
                  <c:v>3</c:v>
                </c:pt>
                <c:pt idx="12">
                  <c:v>5</c:v>
                </c:pt>
                <c:pt idx="13">
                  <c:v>64</c:v>
                </c:pt>
                <c:pt idx="14">
                  <c:v>2</c:v>
                </c:pt>
                <c:pt idx="15">
                  <c:v>132</c:v>
                </c:pt>
                <c:pt idx="16">
                  <c:v>90</c:v>
                </c:pt>
              </c:numCache>
            </c:numRef>
          </c:val>
          <c:extLst xmlns:c16r2="http://schemas.microsoft.com/office/drawing/2015/06/chart">
            <c:ext xmlns:c16="http://schemas.microsoft.com/office/drawing/2014/chart" uri="{C3380CC4-5D6E-409C-BE32-E72D297353CC}">
              <c16:uniqueId val="{00000002-A076-474F-B589-E9F57D704ADB}"/>
            </c:ext>
          </c:extLst>
        </c:ser>
        <c:ser>
          <c:idx val="2"/>
          <c:order val="2"/>
          <c:tx>
            <c:v>Paid</c:v>
          </c:tx>
          <c:spPr>
            <a:solidFill>
              <a:schemeClr val="accent4"/>
            </a:solidFill>
            <a:ln>
              <a:noFill/>
            </a:ln>
            <a:effectLst/>
          </c:spPr>
          <c:dLbls>
            <c:numFmt formatCode="#&quot;&quot;" sourceLinked="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Val val="1"/>
            <c:extLst xmlns:c16r2="http://schemas.microsoft.com/office/drawing/2015/06/char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'Balance Sheet'!$C$1059:$N$1075</c:f>
              <c:strCache>
                <c:ptCount val="17"/>
                <c:pt idx="0">
                  <c:v>Avanse</c:v>
                </c:pt>
                <c:pt idx="1">
                  <c:v>Axis</c:v>
                </c:pt>
                <c:pt idx="2">
                  <c:v>BOI</c:v>
                </c:pt>
                <c:pt idx="3">
                  <c:v>Canara</c:v>
                </c:pt>
                <c:pt idx="4">
                  <c:v>Cosmos</c:v>
                </c:pt>
                <c:pt idx="5">
                  <c:v>Indian</c:v>
                </c:pt>
                <c:pt idx="6">
                  <c:v>Indus Ind</c:v>
                </c:pt>
                <c:pt idx="7">
                  <c:v>SBI</c:v>
                </c:pt>
                <c:pt idx="8">
                  <c:v>SME-SBI</c:v>
                </c:pt>
                <c:pt idx="9">
                  <c:v>SBH</c:v>
                </c:pt>
                <c:pt idx="10">
                  <c:v>SBM</c:v>
                </c:pt>
                <c:pt idx="11">
                  <c:v>SBP</c:v>
                </c:pt>
                <c:pt idx="12">
                  <c:v>SBT</c:v>
                </c:pt>
                <c:pt idx="13">
                  <c:v>Syndicate</c:v>
                </c:pt>
                <c:pt idx="14">
                  <c:v>TGB</c:v>
                </c:pt>
                <c:pt idx="15">
                  <c:v>UBI</c:v>
                </c:pt>
                <c:pt idx="16">
                  <c:v>Vijaya</c:v>
                </c:pt>
              </c:strCache>
            </c:strRef>
          </c:cat>
          <c:val>
            <c:numRef>
              <c:f>'Balance Sheet'!$AD$1059:$AD$1075</c:f>
              <c:numCache>
                <c:formatCode>#,##0</c:formatCode>
                <c:ptCount val="17"/>
                <c:pt idx="0">
                  <c:v>0</c:v>
                </c:pt>
                <c:pt idx="1">
                  <c:v>27</c:v>
                </c:pt>
                <c:pt idx="2">
                  <c:v>20</c:v>
                </c:pt>
                <c:pt idx="3">
                  <c:v>0</c:v>
                </c:pt>
                <c:pt idx="4">
                  <c:v>16</c:v>
                </c:pt>
                <c:pt idx="5">
                  <c:v>30</c:v>
                </c:pt>
                <c:pt idx="6">
                  <c:v>0</c:v>
                </c:pt>
                <c:pt idx="7">
                  <c:v>279</c:v>
                </c:pt>
                <c:pt idx="8">
                  <c:v>30</c:v>
                </c:pt>
                <c:pt idx="9">
                  <c:v>2</c:v>
                </c:pt>
                <c:pt idx="10">
                  <c:v>5</c:v>
                </c:pt>
                <c:pt idx="11">
                  <c:v>1</c:v>
                </c:pt>
                <c:pt idx="12">
                  <c:v>3</c:v>
                </c:pt>
                <c:pt idx="13">
                  <c:v>48</c:v>
                </c:pt>
                <c:pt idx="14">
                  <c:v>1</c:v>
                </c:pt>
                <c:pt idx="15">
                  <c:v>100</c:v>
                </c:pt>
                <c:pt idx="16">
                  <c:v>46</c:v>
                </c:pt>
              </c:numCache>
            </c:numRef>
          </c:val>
          <c:extLst xmlns:c16r2="http://schemas.microsoft.com/office/drawing/2015/06/chart">
            <c:ext xmlns:c16="http://schemas.microsoft.com/office/drawing/2014/chart" uri="{C3380CC4-5D6E-409C-BE32-E72D297353CC}">
              <c16:uniqueId val="{00000001-A076-474F-B589-E9F57D704ADB}"/>
            </c:ext>
          </c:extLst>
        </c:ser>
        <c:ser>
          <c:idx val="3"/>
          <c:order val="3"/>
          <c:tx>
            <c:v>Due</c:v>
          </c:tx>
          <c:spPr>
            <a:solidFill>
              <a:schemeClr val="accent6">
                <a:lumMod val="60000"/>
              </a:schemeClr>
            </a:solidFill>
            <a:ln>
              <a:noFill/>
            </a:ln>
            <a:effectLst/>
          </c:spPr>
          <c:dLbls>
            <c:numFmt formatCode="#&quot;&quot;" sourceLinked="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Val val="1"/>
            <c:extLst xmlns:c16r2="http://schemas.microsoft.com/office/drawing/2015/06/char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'Balance Sheet'!$C$1059:$N$1075</c:f>
              <c:strCache>
                <c:ptCount val="17"/>
                <c:pt idx="0">
                  <c:v>Avanse</c:v>
                </c:pt>
                <c:pt idx="1">
                  <c:v>Axis</c:v>
                </c:pt>
                <c:pt idx="2">
                  <c:v>BOI</c:v>
                </c:pt>
                <c:pt idx="3">
                  <c:v>Canara</c:v>
                </c:pt>
                <c:pt idx="4">
                  <c:v>Cosmos</c:v>
                </c:pt>
                <c:pt idx="5">
                  <c:v>Indian</c:v>
                </c:pt>
                <c:pt idx="6">
                  <c:v>Indus Ind</c:v>
                </c:pt>
                <c:pt idx="7">
                  <c:v>SBI</c:v>
                </c:pt>
                <c:pt idx="8">
                  <c:v>SME-SBI</c:v>
                </c:pt>
                <c:pt idx="9">
                  <c:v>SBH</c:v>
                </c:pt>
                <c:pt idx="10">
                  <c:v>SBM</c:v>
                </c:pt>
                <c:pt idx="11">
                  <c:v>SBP</c:v>
                </c:pt>
                <c:pt idx="12">
                  <c:v>SBT</c:v>
                </c:pt>
                <c:pt idx="13">
                  <c:v>Syndicate</c:v>
                </c:pt>
                <c:pt idx="14">
                  <c:v>TGB</c:v>
                </c:pt>
                <c:pt idx="15">
                  <c:v>UBI</c:v>
                </c:pt>
                <c:pt idx="16">
                  <c:v>Vijaya</c:v>
                </c:pt>
              </c:strCache>
            </c:strRef>
          </c:cat>
          <c:val>
            <c:numRef>
              <c:f>'Balance Sheet'!$AK$1059:$AK$1075</c:f>
              <c:numCache>
                <c:formatCode>#,##0</c:formatCode>
                <c:ptCount val="17"/>
                <c:pt idx="0">
                  <c:v>0</c:v>
                </c:pt>
                <c:pt idx="1">
                  <c:v>28</c:v>
                </c:pt>
                <c:pt idx="2">
                  <c:v>3</c:v>
                </c:pt>
                <c:pt idx="3">
                  <c:v>2</c:v>
                </c:pt>
                <c:pt idx="4">
                  <c:v>11</c:v>
                </c:pt>
                <c:pt idx="5">
                  <c:v>12</c:v>
                </c:pt>
                <c:pt idx="6">
                  <c:v>0</c:v>
                </c:pt>
                <c:pt idx="7">
                  <c:v>267</c:v>
                </c:pt>
                <c:pt idx="8">
                  <c:v>38</c:v>
                </c:pt>
                <c:pt idx="9">
                  <c:v>9</c:v>
                </c:pt>
                <c:pt idx="10">
                  <c:v>0</c:v>
                </c:pt>
                <c:pt idx="11">
                  <c:v>2</c:v>
                </c:pt>
                <c:pt idx="12">
                  <c:v>2</c:v>
                </c:pt>
                <c:pt idx="13">
                  <c:v>16</c:v>
                </c:pt>
                <c:pt idx="14">
                  <c:v>1</c:v>
                </c:pt>
                <c:pt idx="15">
                  <c:v>32</c:v>
                </c:pt>
                <c:pt idx="16">
                  <c:v>44</c:v>
                </c:pt>
              </c:numCache>
            </c:numRef>
          </c:val>
          <c:extLst xmlns:c16r2="http://schemas.microsoft.com/office/drawing/2015/06/chart">
            <c:ext xmlns:c16="http://schemas.microsoft.com/office/drawing/2014/chart" uri="{C3380CC4-5D6E-409C-BE32-E72D297353CC}">
              <c16:uniqueId val="{00000000-A076-474F-B589-E9F57D704ADB}"/>
            </c:ext>
          </c:extLst>
        </c:ser>
        <c:dLbls/>
        <c:overlap val="-10"/>
        <c:axId val="110215552"/>
        <c:axId val="110217088"/>
      </c:barChart>
      <c:catAx>
        <c:axId val="110215552"/>
        <c:scaling>
          <c:orientation val="minMax"/>
        </c:scaling>
        <c:axPos val="b"/>
        <c:numFmt formatCode="General" sourceLinked="1"/>
        <c:maj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110217088"/>
        <c:crosses val="autoZero"/>
        <c:auto val="1"/>
        <c:lblAlgn val="ctr"/>
        <c:lblOffset val="100"/>
      </c:catAx>
      <c:valAx>
        <c:axId val="110217088"/>
        <c:scaling>
          <c:orientation val="minMax"/>
        </c:scaling>
        <c:delete val="1"/>
        <c:axPos val="l"/>
        <c:numFmt formatCode="#,##0" sourceLinked="1"/>
        <c:majorTickMark val="none"/>
        <c:tickLblPos val="none"/>
        <c:crossAx val="110215552"/>
        <c:crosses val="autoZero"/>
        <c:crossBetween val="between"/>
      </c:valAx>
      <c:spPr>
        <a:noFill/>
        <a:ln>
          <a:noFill/>
        </a:ln>
        <a:effectLst/>
      </c:spPr>
    </c:plotArea>
    <c:legend>
      <c:legendPos val="r"/>
      <c:layout>
        <c:manualLayout>
          <c:xMode val="edge"/>
          <c:yMode val="edge"/>
          <c:x val="0.6445125810735407"/>
          <c:y val="3.2555197483630852E-2"/>
          <c:w val="0.28805348987073576"/>
          <c:h val="8.6698324240023411E-2"/>
        </c:manualLayout>
      </c:layout>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dispBlanksAs val="gap"/>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11" l="0.70000000000000007" r="0.70000000000000007" t="0.75000000000000011" header="0.30000000000000004" footer="0.30000000000000004"/>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chart>
    <c:title>
      <c:tx>
        <c:rich>
          <a:bodyPr rot="0" spcFirstLastPara="1" vertOverflow="ellipsis" vert="horz" wrap="square" anchor="ctr" anchorCtr="1"/>
          <a:lstStyle/>
          <a:p>
            <a:pPr>
              <a:defRPr sz="1500" b="1" i="0" u="none" strike="noStrike" kern="1200" spc="0" baseline="0">
                <a:solidFill>
                  <a:schemeClr val="tx1">
                    <a:lumMod val="65000"/>
                    <a:lumOff val="35000"/>
                  </a:schemeClr>
                </a:solidFill>
                <a:latin typeface="+mn-lt"/>
                <a:ea typeface="+mn-ea"/>
                <a:cs typeface="+mn-cs"/>
              </a:defRPr>
            </a:pPr>
            <a:r>
              <a:rPr lang="en-US" sz="1500" b="1" i="0" baseline="0"/>
              <a:t>Banks Total Amounts </a:t>
            </a:r>
          </a:p>
        </c:rich>
      </c:tx>
      <c:layout/>
      <c:overlay val="1"/>
      <c:spPr>
        <a:noFill/>
        <a:ln>
          <a:noFill/>
        </a:ln>
        <a:effectLst/>
      </c:spPr>
    </c:title>
    <c:plotArea>
      <c:layout>
        <c:manualLayout>
          <c:layoutTarget val="inner"/>
          <c:xMode val="edge"/>
          <c:yMode val="edge"/>
          <c:x val="4.9984884419568033E-2"/>
          <c:y val="0.21957620480685991"/>
          <c:w val="0.90685867880972693"/>
          <c:h val="0.59502466641931551"/>
        </c:manualLayout>
      </c:layout>
      <c:barChart>
        <c:barDir val="col"/>
        <c:grouping val="clustered"/>
        <c:ser>
          <c:idx val="0"/>
          <c:order val="0"/>
          <c:tx>
            <c:v>Amount</c:v>
          </c:tx>
          <c:spPr>
            <a:solidFill>
              <a:srgbClr val="92D050"/>
            </a:solidFill>
            <a:ln>
              <a:noFill/>
            </a:ln>
            <a:effectLst/>
          </c:spPr>
          <c:dLbls>
            <c:numFmt formatCode="#,##0" sourceLinked="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Val val="1"/>
            <c:extLst xmlns:c16r2="http://schemas.microsoft.com/office/drawing/2015/06/char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'Balance Sheet'!$C$93:$Q$109</c:f>
              <c:strCache>
                <c:ptCount val="17"/>
                <c:pt idx="0">
                  <c:v>Avanse</c:v>
                </c:pt>
                <c:pt idx="1">
                  <c:v>Axis</c:v>
                </c:pt>
                <c:pt idx="2">
                  <c:v>BOI</c:v>
                </c:pt>
                <c:pt idx="3">
                  <c:v>Canara</c:v>
                </c:pt>
                <c:pt idx="4">
                  <c:v>Cosmos</c:v>
                </c:pt>
                <c:pt idx="5">
                  <c:v>Indian</c:v>
                </c:pt>
                <c:pt idx="6">
                  <c:v>Indus Ind</c:v>
                </c:pt>
                <c:pt idx="7">
                  <c:v>SBI</c:v>
                </c:pt>
                <c:pt idx="8">
                  <c:v>SME-SBI</c:v>
                </c:pt>
                <c:pt idx="9">
                  <c:v>SBH</c:v>
                </c:pt>
                <c:pt idx="10">
                  <c:v>SBM</c:v>
                </c:pt>
                <c:pt idx="11">
                  <c:v>SBP</c:v>
                </c:pt>
                <c:pt idx="12">
                  <c:v>SBT</c:v>
                </c:pt>
                <c:pt idx="13">
                  <c:v>Syndicate</c:v>
                </c:pt>
                <c:pt idx="14">
                  <c:v>TGB</c:v>
                </c:pt>
                <c:pt idx="15">
                  <c:v>UBI</c:v>
                </c:pt>
                <c:pt idx="16">
                  <c:v>Vijaya</c:v>
                </c:pt>
              </c:strCache>
            </c:strRef>
          </c:cat>
          <c:val>
            <c:numRef>
              <c:f>'Balance Sheet'!$BZ$93:$BZ$109</c:f>
              <c:numCache>
                <c:formatCode>#,##0</c:formatCode>
                <c:ptCount val="17"/>
                <c:pt idx="0">
                  <c:v>32760</c:v>
                </c:pt>
                <c:pt idx="1">
                  <c:v>224000</c:v>
                </c:pt>
                <c:pt idx="2">
                  <c:v>123500</c:v>
                </c:pt>
                <c:pt idx="3">
                  <c:v>0</c:v>
                </c:pt>
                <c:pt idx="4">
                  <c:v>138815</c:v>
                </c:pt>
                <c:pt idx="5">
                  <c:v>100450</c:v>
                </c:pt>
                <c:pt idx="6">
                  <c:v>0</c:v>
                </c:pt>
                <c:pt idx="7">
                  <c:v>1309500</c:v>
                </c:pt>
                <c:pt idx="8">
                  <c:v>157500</c:v>
                </c:pt>
                <c:pt idx="9">
                  <c:v>44210</c:v>
                </c:pt>
                <c:pt idx="10">
                  <c:v>25500</c:v>
                </c:pt>
                <c:pt idx="11">
                  <c:v>5000</c:v>
                </c:pt>
                <c:pt idx="12">
                  <c:v>19500</c:v>
                </c:pt>
                <c:pt idx="13">
                  <c:v>246650</c:v>
                </c:pt>
                <c:pt idx="14">
                  <c:v>3500</c:v>
                </c:pt>
                <c:pt idx="15">
                  <c:v>624500</c:v>
                </c:pt>
                <c:pt idx="16">
                  <c:v>283700</c:v>
                </c:pt>
              </c:numCache>
            </c:numRef>
          </c:val>
          <c:extLst xmlns:c16r2="http://schemas.microsoft.com/office/drawing/2015/06/chart">
            <c:ext xmlns:c16="http://schemas.microsoft.com/office/drawing/2014/chart" uri="{C3380CC4-5D6E-409C-BE32-E72D297353CC}">
              <c16:uniqueId val="{00000011-7686-4674-AE4C-3A524E42F187}"/>
            </c:ext>
          </c:extLst>
        </c:ser>
        <c:dLbls>
          <c:showVal val="1"/>
        </c:dLbls>
        <c:gapWidth val="50"/>
        <c:axId val="110315776"/>
        <c:axId val="110317568"/>
      </c:barChart>
      <c:catAx>
        <c:axId val="110315776"/>
        <c:scaling>
          <c:orientation val="minMax"/>
        </c:scaling>
        <c:axPos val="b"/>
        <c:numFmt formatCode="General" sourceLinked="1"/>
        <c:maj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110317568"/>
        <c:crosses val="autoZero"/>
        <c:auto val="1"/>
        <c:lblAlgn val="ctr"/>
        <c:lblOffset val="100"/>
      </c:catAx>
      <c:valAx>
        <c:axId val="110317568"/>
        <c:scaling>
          <c:orientation val="minMax"/>
        </c:scaling>
        <c:delete val="1"/>
        <c:axPos val="l"/>
        <c:numFmt formatCode="#,##0" sourceLinked="1"/>
        <c:majorTickMark val="none"/>
        <c:tickLblPos val="none"/>
        <c:crossAx val="110315776"/>
        <c:crosses val="autoZero"/>
        <c:crossBetween val="between"/>
      </c:valAx>
      <c:spPr>
        <a:noFill/>
        <a:ln>
          <a:noFill/>
        </a:ln>
        <a:effectLst/>
      </c:spPr>
    </c:plotArea>
    <c:dispBlanksAs val="gap"/>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11" l="0.70000000000000007" r="0.70000000000000007" t="0.75000000000000011" header="0.30000000000000004" footer="0.30000000000000004"/>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n-US"/>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i="0" baseline="0"/>
              <a:t>DUE'S</a:t>
            </a:r>
          </a:p>
        </c:rich>
      </c:tx>
      <c:layout/>
      <c:spPr>
        <a:noFill/>
        <a:ln>
          <a:noFill/>
        </a:ln>
        <a:effectLst/>
      </c:spPr>
    </c:title>
    <c:plotArea>
      <c:layout>
        <c:manualLayout>
          <c:layoutTarget val="inner"/>
          <c:xMode val="edge"/>
          <c:yMode val="edge"/>
          <c:x val="5.829473905508617E-2"/>
          <c:y val="0.11087489858043796"/>
          <c:w val="0.87922781859382382"/>
          <c:h val="0.69238674319461258"/>
        </c:manualLayout>
      </c:layout>
      <c:barChart>
        <c:barDir val="col"/>
        <c:grouping val="stacked"/>
        <c:ser>
          <c:idx val="0"/>
          <c:order val="0"/>
          <c:tx>
            <c:v>Red</c:v>
          </c:tx>
          <c:spPr>
            <a:solidFill>
              <a:srgbClr val="FF0000"/>
            </a:solidFill>
            <a:ln>
              <a:noFill/>
            </a:ln>
            <a:effectLst/>
          </c:spPr>
          <c:dLbls>
            <c:numFmt formatCode="#&quot;&quot;" sourceLinked="0"/>
            <c:spPr>
              <a:noFill/>
              <a:ln>
                <a:noFill/>
              </a:ln>
              <a:effectLst/>
            </c:spPr>
            <c:txPr>
              <a:bodyPr rot="-5400000" spcFirstLastPara="1" vertOverflow="ellipsis" wrap="square" lIns="38100" tIns="19050" rIns="38100" bIns="19050" anchor="ctr" anchorCtr="1">
                <a:spAutoFit/>
              </a:bodyPr>
              <a:lstStyle/>
              <a:p>
                <a:pPr>
                  <a:defRPr sz="800" b="1" i="0" u="none" strike="noStrike" kern="1200" baseline="0">
                    <a:solidFill>
                      <a:schemeClr val="bg1"/>
                    </a:solidFill>
                    <a:latin typeface="+mn-lt"/>
                    <a:ea typeface="+mn-ea"/>
                    <a:cs typeface="+mn-cs"/>
                  </a:defRPr>
                </a:pPr>
                <a:endParaRPr lang="en-US"/>
              </a:p>
            </c:txPr>
            <c:dLblPos val="inBase"/>
            <c:showVal val="1"/>
            <c:extLst xmlns:c16r2="http://schemas.microsoft.com/office/drawing/2015/06/char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'Balance Sheet'!$CL$1154:$CL$1159</c:f>
              <c:strCache>
                <c:ptCount val="6"/>
                <c:pt idx="0">
                  <c:v>Mahesh</c:v>
                </c:pt>
                <c:pt idx="1">
                  <c:v>Kiran</c:v>
                </c:pt>
                <c:pt idx="2">
                  <c:v>Srinivas</c:v>
                </c:pt>
                <c:pt idx="3">
                  <c:v>Pradeep</c:v>
                </c:pt>
                <c:pt idx="4">
                  <c:v>Ganesh</c:v>
                </c:pt>
                <c:pt idx="5">
                  <c:v>Madhu</c:v>
                </c:pt>
              </c:strCache>
            </c:strRef>
          </c:cat>
          <c:val>
            <c:numRef>
              <c:f>'Balance Sheet'!$CM$1154:$CM$1159</c:f>
              <c:numCache>
                <c:formatCode>General</c:formatCode>
                <c:ptCount val="6"/>
                <c:pt idx="0">
                  <c:v>238</c:v>
                </c:pt>
                <c:pt idx="1">
                  <c:v>176</c:v>
                </c:pt>
                <c:pt idx="2">
                  <c:v>125</c:v>
                </c:pt>
                <c:pt idx="3">
                  <c:v>116</c:v>
                </c:pt>
                <c:pt idx="4">
                  <c:v>45</c:v>
                </c:pt>
                <c:pt idx="5">
                  <c:v>0</c:v>
                </c:pt>
              </c:numCache>
            </c:numRef>
          </c:val>
          <c:extLst xmlns:c16r2="http://schemas.microsoft.com/office/drawing/2015/06/chart">
            <c:ext xmlns:c16="http://schemas.microsoft.com/office/drawing/2014/chart" uri="{C3380CC4-5D6E-409C-BE32-E72D297353CC}">
              <c16:uniqueId val="{00000000-E4CF-46E1-B1AA-3F6E21B340F0}"/>
            </c:ext>
          </c:extLst>
        </c:ser>
        <c:ser>
          <c:idx val="1"/>
          <c:order val="1"/>
          <c:tx>
            <c:v>Yellow</c:v>
          </c:tx>
          <c:spPr>
            <a:solidFill>
              <a:srgbClr val="FFFF00"/>
            </a:solidFill>
            <a:ln>
              <a:noFill/>
            </a:ln>
            <a:effectLst/>
          </c:spPr>
          <c:dLbls>
            <c:numFmt formatCode="#&quot;&quot;" sourceLinked="0"/>
            <c:spPr>
              <a:noFill/>
              <a:ln>
                <a:noFill/>
              </a:ln>
              <a:effectLst/>
            </c:spPr>
            <c:txPr>
              <a:bodyPr rot="-5400000" spcFirstLastPara="1" vertOverflow="ellipsis"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Val val="1"/>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'Balance Sheet'!$CL$1154:$CL$1159</c:f>
              <c:strCache>
                <c:ptCount val="6"/>
                <c:pt idx="0">
                  <c:v>Mahesh</c:v>
                </c:pt>
                <c:pt idx="1">
                  <c:v>Kiran</c:v>
                </c:pt>
                <c:pt idx="2">
                  <c:v>Srinivas</c:v>
                </c:pt>
                <c:pt idx="3">
                  <c:v>Pradeep</c:v>
                </c:pt>
                <c:pt idx="4">
                  <c:v>Ganesh</c:v>
                </c:pt>
                <c:pt idx="5">
                  <c:v>Madhu</c:v>
                </c:pt>
              </c:strCache>
            </c:strRef>
          </c:cat>
          <c:val>
            <c:numRef>
              <c:f>'Balance Sheet'!$CN$1154:$CN$1159</c:f>
              <c:numCache>
                <c:formatCode>General</c:formatCode>
                <c:ptCount val="6"/>
                <c:pt idx="0">
                  <c:v>0</c:v>
                </c:pt>
                <c:pt idx="1">
                  <c:v>0</c:v>
                </c:pt>
                <c:pt idx="2">
                  <c:v>0</c:v>
                </c:pt>
                <c:pt idx="3">
                  <c:v>0</c:v>
                </c:pt>
                <c:pt idx="4">
                  <c:v>0</c:v>
                </c:pt>
                <c:pt idx="5">
                  <c:v>0</c:v>
                </c:pt>
              </c:numCache>
            </c:numRef>
          </c:val>
          <c:extLst xmlns:c16r2="http://schemas.microsoft.com/office/drawing/2015/06/chart">
            <c:ext xmlns:c16="http://schemas.microsoft.com/office/drawing/2014/chart" uri="{C3380CC4-5D6E-409C-BE32-E72D297353CC}">
              <c16:uniqueId val="{00000001-E4CF-46E1-B1AA-3F6E21B340F0}"/>
            </c:ext>
          </c:extLst>
        </c:ser>
        <c:ser>
          <c:idx val="2"/>
          <c:order val="2"/>
          <c:tx>
            <c:v>Green</c:v>
          </c:tx>
          <c:spPr>
            <a:solidFill>
              <a:srgbClr val="92D050"/>
            </a:solidFill>
            <a:ln>
              <a:noFill/>
            </a:ln>
            <a:effectLst/>
          </c:spPr>
          <c:dLbls>
            <c:numFmt formatCode="#&quot;&quot;" sourceLinked="0"/>
            <c:spPr>
              <a:noFill/>
              <a:ln>
                <a:noFill/>
              </a:ln>
              <a:effectLst/>
            </c:spPr>
            <c:txPr>
              <a:bodyPr rot="-5400000" spcFirstLastPara="1" vertOverflow="ellipsis"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Val val="1"/>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'Balance Sheet'!$CL$1154:$CL$1159</c:f>
              <c:strCache>
                <c:ptCount val="6"/>
                <c:pt idx="0">
                  <c:v>Mahesh</c:v>
                </c:pt>
                <c:pt idx="1">
                  <c:v>Kiran</c:v>
                </c:pt>
                <c:pt idx="2">
                  <c:v>Srinivas</c:v>
                </c:pt>
                <c:pt idx="3">
                  <c:v>Pradeep</c:v>
                </c:pt>
                <c:pt idx="4">
                  <c:v>Ganesh</c:v>
                </c:pt>
                <c:pt idx="5">
                  <c:v>Madhu</c:v>
                </c:pt>
              </c:strCache>
            </c:strRef>
          </c:cat>
          <c:val>
            <c:numRef>
              <c:f>'Balance Sheet'!$CO$1154:$CO$1159</c:f>
              <c:numCache>
                <c:formatCode>General</c:formatCode>
                <c:ptCount val="6"/>
                <c:pt idx="0">
                  <c:v>0</c:v>
                </c:pt>
                <c:pt idx="1">
                  <c:v>0</c:v>
                </c:pt>
                <c:pt idx="2">
                  <c:v>0</c:v>
                </c:pt>
                <c:pt idx="3">
                  <c:v>0</c:v>
                </c:pt>
                <c:pt idx="4">
                  <c:v>0</c:v>
                </c:pt>
                <c:pt idx="5">
                  <c:v>0</c:v>
                </c:pt>
              </c:numCache>
            </c:numRef>
          </c:val>
          <c:extLst xmlns:c16r2="http://schemas.microsoft.com/office/drawing/2015/06/chart">
            <c:ext xmlns:c16="http://schemas.microsoft.com/office/drawing/2014/chart" uri="{C3380CC4-5D6E-409C-BE32-E72D297353CC}">
              <c16:uniqueId val="{00000002-E4CF-46E1-B1AA-3F6E21B340F0}"/>
            </c:ext>
          </c:extLst>
        </c:ser>
        <c:dLbls>
          <c:showVal val="1"/>
        </c:dLbls>
        <c:gapWidth val="30"/>
        <c:overlap val="100"/>
        <c:axId val="110398464"/>
        <c:axId val="110408448"/>
      </c:barChart>
      <c:catAx>
        <c:axId val="110398464"/>
        <c:scaling>
          <c:orientation val="minMax"/>
        </c:scaling>
        <c:axPos val="b"/>
        <c:numFmt formatCode="General" sourceLinked="1"/>
        <c:maj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110408448"/>
        <c:crosses val="autoZero"/>
        <c:auto val="1"/>
        <c:lblAlgn val="ctr"/>
        <c:lblOffset val="100"/>
      </c:catAx>
      <c:valAx>
        <c:axId val="110408448"/>
        <c:scaling>
          <c:orientation val="minMax"/>
        </c:scaling>
        <c:delete val="1"/>
        <c:axPos val="l"/>
        <c:numFmt formatCode="General" sourceLinked="1"/>
        <c:majorTickMark val="none"/>
        <c:tickLblPos val="none"/>
        <c:crossAx val="110398464"/>
        <c:crosses val="autoZero"/>
        <c:crossBetween val="between"/>
      </c:valAx>
      <c:spPr>
        <a:noFill/>
        <a:ln>
          <a:noFill/>
        </a:ln>
        <a:effectLst/>
      </c:spPr>
    </c:plotArea>
    <c:dispBlanksAs val="gap"/>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11" l="0.70000000000000007" r="0.70000000000000007" t="0.75000000000000011" header="0.30000000000000004" footer="0.30000000000000004"/>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n-US"/>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a:t>INCOME</a:t>
            </a:r>
          </a:p>
        </c:rich>
      </c:tx>
      <c:layout/>
      <c:spPr>
        <a:noFill/>
        <a:ln>
          <a:noFill/>
        </a:ln>
        <a:effectLst/>
      </c:spPr>
    </c:title>
    <c:plotArea>
      <c:layout>
        <c:manualLayout>
          <c:layoutTarget val="inner"/>
          <c:xMode val="edge"/>
          <c:yMode val="edge"/>
          <c:x val="1.3843230533683292E-2"/>
          <c:y val="0.24441528142315547"/>
          <c:w val="0.97778446523522755"/>
          <c:h val="0.65654434562342157"/>
        </c:manualLayout>
      </c:layout>
      <c:barChart>
        <c:barDir val="col"/>
        <c:grouping val="clustered"/>
        <c:ser>
          <c:idx val="0"/>
          <c:order val="0"/>
          <c:spPr>
            <a:solidFill>
              <a:schemeClr val="accent1"/>
            </a:solidFill>
            <a:ln>
              <a:noFill/>
            </a:ln>
            <a:effectLst/>
            <a:scene3d>
              <a:camera prst="orthographicFront"/>
              <a:lightRig rig="brightRoom" dir="t"/>
            </a:scene3d>
            <a:sp3d prstMaterial="flat">
              <a:bevelT w="50800" h="101600" prst="angle"/>
              <a:contourClr>
                <a:srgbClr val="000000"/>
              </a:contourClr>
            </a:sp3d>
          </c:spPr>
          <c:dPt>
            <c:idx val="0"/>
            <c:spPr>
              <a:solidFill>
                <a:schemeClr val="accent2"/>
              </a:solidFill>
              <a:ln>
                <a:noFill/>
              </a:ln>
              <a:effectLst/>
              <a:scene3d>
                <a:camera prst="orthographicFront"/>
                <a:lightRig rig="brightRoom" dir="t"/>
              </a:scene3d>
              <a:sp3d prstMaterial="flat">
                <a:bevelT w="50800" h="101600" prst="angle"/>
                <a:contourClr>
                  <a:srgbClr val="000000"/>
                </a:contourClr>
              </a:sp3d>
            </c:spPr>
            <c:extLst xmlns:c16r2="http://schemas.microsoft.com/office/drawing/2015/06/chart">
              <c:ext xmlns:c16="http://schemas.microsoft.com/office/drawing/2014/chart" uri="{C3380CC4-5D6E-409C-BE32-E72D297353CC}">
                <c16:uniqueId val="{00000001-C02E-46E7-A0A5-2214F8DADF09}"/>
              </c:ext>
            </c:extLst>
          </c:dPt>
          <c:dPt>
            <c:idx val="1"/>
            <c:spPr>
              <a:solidFill>
                <a:srgbClr val="FFC000"/>
              </a:solidFill>
              <a:ln>
                <a:noFill/>
              </a:ln>
              <a:effectLst/>
              <a:scene3d>
                <a:camera prst="orthographicFront"/>
                <a:lightRig rig="brightRoom" dir="t"/>
              </a:scene3d>
              <a:sp3d prstMaterial="flat">
                <a:bevelT w="50800" h="101600" prst="angle"/>
                <a:contourClr>
                  <a:srgbClr val="000000"/>
                </a:contourClr>
              </a:sp3d>
            </c:spPr>
            <c:extLst xmlns:c16r2="http://schemas.microsoft.com/office/drawing/2015/06/chart">
              <c:ext xmlns:c16="http://schemas.microsoft.com/office/drawing/2014/chart" uri="{C3380CC4-5D6E-409C-BE32-E72D297353CC}">
                <c16:uniqueId val="{00000003-C02E-46E7-A0A5-2214F8DADF09}"/>
              </c:ext>
            </c:extLst>
          </c:dPt>
          <c:dPt>
            <c:idx val="2"/>
            <c:spPr>
              <a:solidFill>
                <a:srgbClr val="FF0000"/>
              </a:solidFill>
              <a:ln>
                <a:noFill/>
              </a:ln>
              <a:effectLst/>
              <a:scene3d>
                <a:camera prst="orthographicFront"/>
                <a:lightRig rig="brightRoom" dir="t"/>
              </a:scene3d>
              <a:sp3d prstMaterial="flat">
                <a:bevelT w="50800" h="101600" prst="angle"/>
                <a:contourClr>
                  <a:srgbClr val="000000"/>
                </a:contourClr>
              </a:sp3d>
            </c:spPr>
            <c:extLst xmlns:c16r2="http://schemas.microsoft.com/office/drawing/2015/06/chart">
              <c:ext xmlns:c16="http://schemas.microsoft.com/office/drawing/2014/chart" uri="{C3380CC4-5D6E-409C-BE32-E72D297353CC}">
                <c16:uniqueId val="{00000005-C02E-46E7-A0A5-2214F8DADF09}"/>
              </c:ext>
            </c:extLst>
          </c:dPt>
          <c:dPt>
            <c:idx val="3"/>
            <c:spPr>
              <a:solidFill>
                <a:srgbClr val="00B050"/>
              </a:solidFill>
              <a:ln>
                <a:noFill/>
              </a:ln>
              <a:effectLst/>
              <a:scene3d>
                <a:camera prst="orthographicFront"/>
                <a:lightRig rig="brightRoom" dir="t"/>
              </a:scene3d>
              <a:sp3d prstMaterial="flat">
                <a:bevelT w="50800" h="101600" prst="angle"/>
                <a:contourClr>
                  <a:srgbClr val="000000"/>
                </a:contourClr>
              </a:sp3d>
            </c:spPr>
            <c:extLst xmlns:c16r2="http://schemas.microsoft.com/office/drawing/2015/06/chart">
              <c:ext xmlns:c16="http://schemas.microsoft.com/office/drawing/2014/chart" uri="{C3380CC4-5D6E-409C-BE32-E72D297353CC}">
                <c16:uniqueId val="{00000007-C02E-46E7-A0A5-2214F8DADF09}"/>
              </c:ext>
            </c:extLst>
          </c:dPt>
          <c:dPt>
            <c:idx val="4"/>
            <c:spPr>
              <a:solidFill>
                <a:srgbClr val="FFFF00"/>
              </a:solidFill>
              <a:ln>
                <a:noFill/>
              </a:ln>
              <a:effectLst/>
              <a:scene3d>
                <a:camera prst="orthographicFront"/>
                <a:lightRig rig="brightRoom" dir="t"/>
              </a:scene3d>
              <a:sp3d prstMaterial="flat">
                <a:bevelT w="50800" h="101600" prst="angle"/>
                <a:contourClr>
                  <a:srgbClr val="000000"/>
                </a:contourClr>
              </a:sp3d>
            </c:spPr>
            <c:extLst xmlns:c16r2="http://schemas.microsoft.com/office/drawing/2015/06/chart">
              <c:ext xmlns:c16="http://schemas.microsoft.com/office/drawing/2014/chart" uri="{C3380CC4-5D6E-409C-BE32-E72D297353CC}">
                <c16:uniqueId val="{00000009-C02E-46E7-A0A5-2214F8DADF09}"/>
              </c:ext>
            </c:extLst>
          </c:dPt>
          <c:dPt>
            <c:idx val="5"/>
            <c:extLst xmlns:c16r2="http://schemas.microsoft.com/office/drawing/2015/06/chart">
              <c:ext xmlns:c16="http://schemas.microsoft.com/office/drawing/2014/chart" uri="{C3380CC4-5D6E-409C-BE32-E72D297353CC}">
                <c16:uniqueId val="{0000000B-C02E-46E7-A0A5-2214F8DADF09}"/>
              </c:ext>
            </c:extLst>
          </c:dPt>
          <c:dLbls>
            <c:spPr>
              <a:noFill/>
              <a:ln>
                <a:noFill/>
              </a:ln>
              <a:effectLst/>
            </c:spPr>
            <c:txPr>
              <a:bodyPr rot="-5400000" spcFirstLastPara="1" vertOverflow="ellipsis" wrap="square" lIns="38100" tIns="19050" rIns="38100" bIns="19050" anchor="ctr" anchorCtr="1">
                <a:spAutoFit/>
              </a:bodyPr>
              <a:lstStyle/>
              <a:p>
                <a:pPr>
                  <a:defRPr sz="1100" b="1" i="0" u="none" strike="noStrike" kern="1200" baseline="0">
                    <a:solidFill>
                      <a:schemeClr val="tx1"/>
                    </a:solidFill>
                    <a:latin typeface="+mn-lt"/>
                    <a:ea typeface="+mn-ea"/>
                    <a:cs typeface="+mn-cs"/>
                  </a:defRPr>
                </a:pPr>
                <a:endParaRPr lang="en-US"/>
              </a:p>
            </c:txPr>
            <c:dLblPos val="outEnd"/>
            <c:showVal val="1"/>
            <c:extLst xmlns:c16r2="http://schemas.microsoft.com/office/drawing/2015/06/char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'Balance Sheet'!$DL$32:$DL$37</c:f>
              <c:strCache>
                <c:ptCount val="6"/>
                <c:pt idx="0">
                  <c:v>Mahesh</c:v>
                </c:pt>
                <c:pt idx="1">
                  <c:v>Kiran</c:v>
                </c:pt>
                <c:pt idx="2">
                  <c:v>Srinivas</c:v>
                </c:pt>
                <c:pt idx="3">
                  <c:v>Pradeep</c:v>
                </c:pt>
                <c:pt idx="4">
                  <c:v>Ganesh</c:v>
                </c:pt>
                <c:pt idx="5">
                  <c:v>Madhu</c:v>
                </c:pt>
              </c:strCache>
            </c:strRef>
          </c:cat>
          <c:val>
            <c:numRef>
              <c:f>'Balance Sheet'!$DM$32:$DM$37</c:f>
              <c:numCache>
                <c:formatCode>#,##0</c:formatCode>
                <c:ptCount val="6"/>
                <c:pt idx="0">
                  <c:v>1355200</c:v>
                </c:pt>
                <c:pt idx="1">
                  <c:v>672145</c:v>
                </c:pt>
                <c:pt idx="2">
                  <c:v>224585</c:v>
                </c:pt>
                <c:pt idx="3">
                  <c:v>937650</c:v>
                </c:pt>
                <c:pt idx="4">
                  <c:v>356500</c:v>
                </c:pt>
                <c:pt idx="5">
                  <c:v>0</c:v>
                </c:pt>
              </c:numCache>
            </c:numRef>
          </c:val>
          <c:extLst xmlns:c16r2="http://schemas.microsoft.com/office/drawing/2015/06/chart">
            <c:ext xmlns:c16="http://schemas.microsoft.com/office/drawing/2014/chart" uri="{C3380CC4-5D6E-409C-BE32-E72D297353CC}">
              <c16:uniqueId val="{0000000C-C02E-46E7-A0A5-2214F8DADF09}"/>
            </c:ext>
          </c:extLst>
        </c:ser>
        <c:dLbls/>
        <c:gapWidth val="100"/>
        <c:axId val="110536192"/>
        <c:axId val="110537728"/>
      </c:barChart>
      <c:catAx>
        <c:axId val="110536192"/>
        <c:scaling>
          <c:orientation val="minMax"/>
        </c:scaling>
        <c:axPos val="b"/>
        <c:numFmt formatCode="General" sourceLinked="1"/>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110537728"/>
        <c:crosses val="autoZero"/>
        <c:auto val="1"/>
        <c:lblAlgn val="ctr"/>
        <c:lblOffset val="100"/>
      </c:catAx>
      <c:valAx>
        <c:axId val="110537728"/>
        <c:scaling>
          <c:orientation val="minMax"/>
        </c:scaling>
        <c:delete val="1"/>
        <c:axPos val="l"/>
        <c:numFmt formatCode="#,##0" sourceLinked="1"/>
        <c:tickLblPos val="none"/>
        <c:crossAx val="110536192"/>
        <c:crosses val="autoZero"/>
        <c:crossBetween val="between"/>
      </c:valAx>
      <c:spPr>
        <a:noFill/>
        <a:ln>
          <a:noFill/>
        </a:ln>
        <a:effectLst/>
      </c:spPr>
    </c:plotArea>
    <c:dispBlanksAs val="gap"/>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11" l="0.70000000000000007" r="0.70000000000000007" t="0.75000000000000011" header="0.30000000000000004" footer="0.30000000000000004"/>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n-US"/>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a:t>Expenditure</a:t>
            </a:r>
          </a:p>
        </c:rich>
      </c:tx>
      <c:layout/>
      <c:spPr>
        <a:noFill/>
        <a:ln>
          <a:noFill/>
        </a:ln>
        <a:effectLst/>
      </c:spPr>
    </c:title>
    <c:plotArea>
      <c:layout>
        <c:manualLayout>
          <c:layoutTarget val="inner"/>
          <c:xMode val="edge"/>
          <c:yMode val="edge"/>
          <c:x val="3.1688573061902127E-2"/>
          <c:y val="0.28946507121424547"/>
          <c:w val="0.93305273980035319"/>
          <c:h val="0.61550220063682537"/>
        </c:manualLayout>
      </c:layout>
      <c:barChart>
        <c:barDir val="col"/>
        <c:grouping val="clustered"/>
        <c:ser>
          <c:idx val="0"/>
          <c:order val="0"/>
          <c:spPr>
            <a:solidFill>
              <a:srgbClr val="00B050"/>
            </a:solidFill>
            <a:ln>
              <a:noFill/>
            </a:ln>
            <a:effectLst/>
            <a:scene3d>
              <a:camera prst="orthographicFront"/>
              <a:lightRig rig="brightRoom" dir="t"/>
            </a:scene3d>
            <a:sp3d prstMaterial="flat">
              <a:bevelT w="50800" h="101600" prst="angle"/>
              <a:contourClr>
                <a:srgbClr val="000000"/>
              </a:contourClr>
            </a:sp3d>
          </c:spPr>
          <c:dPt>
            <c:idx val="0"/>
            <c:spPr>
              <a:solidFill>
                <a:srgbClr val="00B0F0"/>
              </a:solidFill>
              <a:ln>
                <a:noFill/>
              </a:ln>
              <a:effectLst/>
              <a:scene3d>
                <a:camera prst="orthographicFront"/>
                <a:lightRig rig="brightRoom" dir="t"/>
              </a:scene3d>
              <a:sp3d prstMaterial="flat">
                <a:bevelT w="50800" h="101600" prst="angle"/>
                <a:contourClr>
                  <a:srgbClr val="000000"/>
                </a:contourClr>
              </a:sp3d>
            </c:spPr>
            <c:extLst xmlns:c16r2="http://schemas.microsoft.com/office/drawing/2015/06/chart">
              <c:ext xmlns:c16="http://schemas.microsoft.com/office/drawing/2014/chart" uri="{C3380CC4-5D6E-409C-BE32-E72D297353CC}">
                <c16:uniqueId val="{00000001-B873-47A0-9826-476E78043B30}"/>
              </c:ext>
            </c:extLst>
          </c:dPt>
          <c:dPt>
            <c:idx val="1"/>
            <c:extLst xmlns:c16r2="http://schemas.microsoft.com/office/drawing/2015/06/chart">
              <c:ext xmlns:c16="http://schemas.microsoft.com/office/drawing/2014/chart" uri="{C3380CC4-5D6E-409C-BE32-E72D297353CC}">
                <c16:uniqueId val="{00000003-B873-47A0-9826-476E78043B30}"/>
              </c:ext>
            </c:extLst>
          </c:dPt>
          <c:dPt>
            <c:idx val="2"/>
            <c:spPr>
              <a:solidFill>
                <a:srgbClr val="FF0000"/>
              </a:solidFill>
              <a:ln>
                <a:noFill/>
              </a:ln>
              <a:effectLst/>
              <a:scene3d>
                <a:camera prst="orthographicFront"/>
                <a:lightRig rig="brightRoom" dir="t"/>
              </a:scene3d>
              <a:sp3d prstMaterial="flat">
                <a:bevelT w="50800" h="101600" prst="angle"/>
                <a:contourClr>
                  <a:srgbClr val="000000"/>
                </a:contourClr>
              </a:sp3d>
            </c:spPr>
            <c:extLst xmlns:c16r2="http://schemas.microsoft.com/office/drawing/2015/06/chart">
              <c:ext xmlns:c16="http://schemas.microsoft.com/office/drawing/2014/chart" uri="{C3380CC4-5D6E-409C-BE32-E72D297353CC}">
                <c16:uniqueId val="{00000005-B873-47A0-9826-476E78043B30}"/>
              </c:ext>
            </c:extLst>
          </c:dPt>
          <c:dLbls>
            <c:spPr>
              <a:noFill/>
              <a:ln>
                <a:noFill/>
              </a:ln>
              <a:effectLst/>
            </c:spPr>
            <c:txPr>
              <a:bodyPr rot="-5400000" spcFirstLastPara="1" vertOverflow="ellipsis" wrap="square" lIns="38100" tIns="19050" rIns="38100" bIns="19050" anchor="ctr" anchorCtr="1">
                <a:spAutoFit/>
              </a:bodyPr>
              <a:lstStyle/>
              <a:p>
                <a:pPr>
                  <a:defRPr sz="1100" b="1" i="0" u="none" strike="noStrike" kern="1200" baseline="0">
                    <a:solidFill>
                      <a:schemeClr val="tx1"/>
                    </a:solidFill>
                    <a:latin typeface="+mn-lt"/>
                    <a:ea typeface="+mn-ea"/>
                    <a:cs typeface="+mn-cs"/>
                  </a:defRPr>
                </a:pPr>
                <a:endParaRPr lang="en-US"/>
              </a:p>
            </c:txPr>
            <c:dLblPos val="outEnd"/>
            <c:showVal val="1"/>
            <c:extLst xmlns:c16r2="http://schemas.microsoft.com/office/drawing/2015/06/char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'Balance Sheet'!$DH$28:$DH$30</c:f>
              <c:strCache>
                <c:ptCount val="3"/>
                <c:pt idx="0">
                  <c:v>Office</c:v>
                </c:pt>
                <c:pt idx="1">
                  <c:v>Salaries</c:v>
                </c:pt>
                <c:pt idx="2">
                  <c:v>Miscellaneous</c:v>
                </c:pt>
              </c:strCache>
            </c:strRef>
          </c:cat>
          <c:val>
            <c:numRef>
              <c:f>'Balance Sheet'!$DI$28:$DI$30</c:f>
              <c:numCache>
                <c:formatCode>#,##0</c:formatCode>
                <c:ptCount val="3"/>
                <c:pt idx="0">
                  <c:v>64365</c:v>
                </c:pt>
                <c:pt idx="1">
                  <c:v>704500</c:v>
                </c:pt>
                <c:pt idx="2">
                  <c:v>205000</c:v>
                </c:pt>
              </c:numCache>
            </c:numRef>
          </c:val>
          <c:extLst xmlns:c16r2="http://schemas.microsoft.com/office/drawing/2015/06/chart">
            <c:ext xmlns:c16="http://schemas.microsoft.com/office/drawing/2014/chart" uri="{C3380CC4-5D6E-409C-BE32-E72D297353CC}">
              <c16:uniqueId val="{00000006-B873-47A0-9826-476E78043B30}"/>
            </c:ext>
          </c:extLst>
        </c:ser>
        <c:dLbls>
          <c:showVal val="1"/>
        </c:dLbls>
        <c:gapWidth val="100"/>
        <c:axId val="110003712"/>
        <c:axId val="110005248"/>
      </c:barChart>
      <c:catAx>
        <c:axId val="110003712"/>
        <c:scaling>
          <c:orientation val="minMax"/>
        </c:scaling>
        <c:axPos val="b"/>
        <c:numFmt formatCode="General" sourceLinked="1"/>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110005248"/>
        <c:crosses val="autoZero"/>
        <c:auto val="1"/>
        <c:lblAlgn val="ctr"/>
        <c:lblOffset val="100"/>
      </c:catAx>
      <c:valAx>
        <c:axId val="110005248"/>
        <c:scaling>
          <c:orientation val="minMax"/>
        </c:scaling>
        <c:delete val="1"/>
        <c:axPos val="l"/>
        <c:numFmt formatCode="#,##0" sourceLinked="1"/>
        <c:tickLblPos val="none"/>
        <c:crossAx val="110003712"/>
        <c:crosses val="autoZero"/>
        <c:crossBetween val="between"/>
      </c:valAx>
      <c:spPr>
        <a:noFill/>
        <a:ln>
          <a:noFill/>
        </a:ln>
        <a:effectLst/>
      </c:spPr>
    </c:plotArea>
    <c:dispBlanksAs val="gap"/>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11" l="0.70000000000000007" r="0.70000000000000007" t="0.75000000000000011" header="0.30000000000000004" footer="0.30000000000000004"/>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n-US"/>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i="0" baseline="0"/>
              <a:t>INSPECTED PERSONS</a:t>
            </a:r>
          </a:p>
        </c:rich>
      </c:tx>
      <c:layout/>
      <c:spPr>
        <a:noFill/>
        <a:ln>
          <a:noFill/>
        </a:ln>
        <a:effectLst/>
      </c:spPr>
    </c:title>
    <c:plotArea>
      <c:layout/>
      <c:barChart>
        <c:barDir val="col"/>
        <c:grouping val="clustered"/>
        <c:ser>
          <c:idx val="0"/>
          <c:order val="0"/>
          <c:spPr>
            <a:solidFill>
              <a:schemeClr val="accent1"/>
            </a:solidFill>
            <a:ln>
              <a:noFill/>
            </a:ln>
            <a:effectLst/>
          </c:spPr>
          <c:dPt>
            <c:idx val="0"/>
            <c:spPr>
              <a:solidFill>
                <a:srgbClr val="C00000"/>
              </a:solidFill>
              <a:ln>
                <a:noFill/>
              </a:ln>
              <a:effectLst/>
            </c:spPr>
            <c:extLst xmlns:c16r2="http://schemas.microsoft.com/office/drawing/2015/06/chart">
              <c:ext xmlns:c16="http://schemas.microsoft.com/office/drawing/2014/chart" uri="{C3380CC4-5D6E-409C-BE32-E72D297353CC}">
                <c16:uniqueId val="{00000005-F9A6-4650-8C56-BD17E882E15B}"/>
              </c:ext>
            </c:extLst>
          </c:dPt>
          <c:dPt>
            <c:idx val="1"/>
            <c:spPr>
              <a:solidFill>
                <a:schemeClr val="accent4"/>
              </a:solidFill>
              <a:ln>
                <a:noFill/>
              </a:ln>
              <a:effectLst/>
            </c:spPr>
            <c:extLst xmlns:c16r2="http://schemas.microsoft.com/office/drawing/2015/06/chart">
              <c:ext xmlns:c16="http://schemas.microsoft.com/office/drawing/2014/chart" uri="{C3380CC4-5D6E-409C-BE32-E72D297353CC}">
                <c16:uniqueId val="{00000002-F9A6-4650-8C56-BD17E882E15B}"/>
              </c:ext>
            </c:extLst>
          </c:dPt>
          <c:dPt>
            <c:idx val="5"/>
            <c:spPr>
              <a:solidFill>
                <a:schemeClr val="accent2"/>
              </a:solidFill>
              <a:ln>
                <a:noFill/>
              </a:ln>
              <a:effectLst/>
            </c:spPr>
            <c:extLst xmlns:c16r2="http://schemas.microsoft.com/office/drawing/2015/06/chart">
              <c:ext xmlns:c16="http://schemas.microsoft.com/office/drawing/2014/chart" uri="{C3380CC4-5D6E-409C-BE32-E72D297353CC}">
                <c16:uniqueId val="{00000001-F9A6-4650-8C56-BD17E882E15B}"/>
              </c:ext>
            </c:extLst>
          </c:dPt>
          <c:dPt>
            <c:idx val="7"/>
            <c:spPr>
              <a:solidFill>
                <a:schemeClr val="accent6"/>
              </a:solidFill>
              <a:ln>
                <a:noFill/>
              </a:ln>
              <a:effectLst/>
            </c:spPr>
            <c:extLst xmlns:c16r2="http://schemas.microsoft.com/office/drawing/2015/06/chart">
              <c:ext xmlns:c16="http://schemas.microsoft.com/office/drawing/2014/chart" uri="{C3380CC4-5D6E-409C-BE32-E72D297353CC}">
                <c16:uniqueId val="{00000003-F9A6-4650-8C56-BD17E882E15B}"/>
              </c:ext>
            </c:extLst>
          </c:dPt>
          <c:dPt>
            <c:idx val="10"/>
            <c:spPr>
              <a:solidFill>
                <a:srgbClr val="FF0000"/>
              </a:solidFill>
              <a:ln>
                <a:noFill/>
              </a:ln>
              <a:effectLst/>
            </c:spPr>
            <c:extLst xmlns:c16r2="http://schemas.microsoft.com/office/drawing/2015/06/chart">
              <c:ext xmlns:c16="http://schemas.microsoft.com/office/drawing/2014/chart" uri="{C3380CC4-5D6E-409C-BE32-E72D297353CC}">
                <c16:uniqueId val="{00000004-F9A6-4650-8C56-BD17E882E15B}"/>
              </c:ext>
            </c:extLst>
          </c:dPt>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Val val="1"/>
            <c:extLst xmlns:c16r2="http://schemas.microsoft.com/office/drawing/2015/06/char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'Balance Sheet'!$Q$1153:$Q$1164</c:f>
              <c:strCache>
                <c:ptCount val="12"/>
                <c:pt idx="0">
                  <c:v>Ganesh</c:v>
                </c:pt>
                <c:pt idx="1">
                  <c:v>Kiran</c:v>
                </c:pt>
                <c:pt idx="2">
                  <c:v>Lalith Mohan</c:v>
                </c:pt>
                <c:pt idx="3">
                  <c:v>Laxman</c:v>
                </c:pt>
                <c:pt idx="4">
                  <c:v>Madhu</c:v>
                </c:pt>
                <c:pt idx="5">
                  <c:v>Mahesh</c:v>
                </c:pt>
                <c:pt idx="6">
                  <c:v>Naveen</c:v>
                </c:pt>
                <c:pt idx="7">
                  <c:v>Pradeep</c:v>
                </c:pt>
                <c:pt idx="8">
                  <c:v>Ramesh</c:v>
                </c:pt>
                <c:pt idx="9">
                  <c:v>Sai Babu</c:v>
                </c:pt>
                <c:pt idx="10">
                  <c:v>Srinivas</c:v>
                </c:pt>
                <c:pt idx="11">
                  <c:v>Venkatesh</c:v>
                </c:pt>
              </c:strCache>
            </c:strRef>
          </c:cat>
          <c:val>
            <c:numRef>
              <c:f>'Balance Sheet'!$R$1153:$R$1164</c:f>
              <c:numCache>
                <c:formatCode>General</c:formatCode>
                <c:ptCount val="12"/>
                <c:pt idx="0">
                  <c:v>100</c:v>
                </c:pt>
                <c:pt idx="1">
                  <c:v>64</c:v>
                </c:pt>
                <c:pt idx="2">
                  <c:v>6</c:v>
                </c:pt>
                <c:pt idx="3">
                  <c:v>14</c:v>
                </c:pt>
                <c:pt idx="4">
                  <c:v>70</c:v>
                </c:pt>
                <c:pt idx="5">
                  <c:v>164</c:v>
                </c:pt>
                <c:pt idx="6">
                  <c:v>182</c:v>
                </c:pt>
                <c:pt idx="7">
                  <c:v>144</c:v>
                </c:pt>
                <c:pt idx="8">
                  <c:v>34</c:v>
                </c:pt>
                <c:pt idx="9">
                  <c:v>0</c:v>
                </c:pt>
                <c:pt idx="10">
                  <c:v>39</c:v>
                </c:pt>
                <c:pt idx="11">
                  <c:v>164</c:v>
                </c:pt>
              </c:numCache>
            </c:numRef>
          </c:val>
          <c:extLst xmlns:c16r2="http://schemas.microsoft.com/office/drawing/2015/06/chart">
            <c:ext xmlns:c16="http://schemas.microsoft.com/office/drawing/2014/chart" uri="{C3380CC4-5D6E-409C-BE32-E72D297353CC}">
              <c16:uniqueId val="{00000000-F9A6-4650-8C56-BD17E882E15B}"/>
            </c:ext>
          </c:extLst>
        </c:ser>
        <c:dLbls/>
        <c:gapWidth val="50"/>
        <c:axId val="110529536"/>
        <c:axId val="110695168"/>
      </c:barChart>
      <c:catAx>
        <c:axId val="110529536"/>
        <c:scaling>
          <c:orientation val="minMax"/>
        </c:scaling>
        <c:axPos val="b"/>
        <c:numFmt formatCode="General" sourceLinked="1"/>
        <c:maj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110695168"/>
        <c:crosses val="autoZero"/>
        <c:auto val="1"/>
        <c:lblAlgn val="ctr"/>
        <c:lblOffset val="100"/>
      </c:catAx>
      <c:valAx>
        <c:axId val="110695168"/>
        <c:scaling>
          <c:orientation val="minMax"/>
        </c:scaling>
        <c:delete val="1"/>
        <c:axPos val="l"/>
        <c:numFmt formatCode="General" sourceLinked="1"/>
        <c:majorTickMark val="none"/>
        <c:tickLblPos val="none"/>
        <c:crossAx val="110529536"/>
        <c:crosses val="autoZero"/>
        <c:crossBetween val="between"/>
      </c:valAx>
      <c:spPr>
        <a:noFill/>
        <a:ln>
          <a:noFill/>
        </a:ln>
        <a:effectLst/>
      </c:spPr>
    </c:plotArea>
    <c:plotVisOnly val="1"/>
    <c:dispBlanksAs val="gap"/>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11" l="0.70000000000000007" r="0.70000000000000007" t="0.75000000000000011" header="0.30000000000000004" footer="0.30000000000000004"/>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n-US"/>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i="0" baseline="0"/>
              <a:t>DUE'S</a:t>
            </a:r>
          </a:p>
        </c:rich>
      </c:tx>
      <c:layout/>
      <c:spPr>
        <a:noFill/>
        <a:ln>
          <a:noFill/>
        </a:ln>
        <a:effectLst/>
      </c:spPr>
    </c:title>
    <c:plotArea>
      <c:layout>
        <c:manualLayout>
          <c:layoutTarget val="inner"/>
          <c:xMode val="edge"/>
          <c:yMode val="edge"/>
          <c:x val="5.829473905508617E-2"/>
          <c:y val="0.11087489858043796"/>
          <c:w val="0.87922781859382382"/>
          <c:h val="0.69238674319461258"/>
        </c:manualLayout>
      </c:layout>
      <c:barChart>
        <c:barDir val="col"/>
        <c:grouping val="stacked"/>
        <c:ser>
          <c:idx val="0"/>
          <c:order val="0"/>
          <c:tx>
            <c:v>Red</c:v>
          </c:tx>
          <c:spPr>
            <a:solidFill>
              <a:srgbClr val="FF0000"/>
            </a:solidFill>
            <a:ln>
              <a:noFill/>
            </a:ln>
            <a:effectLst/>
          </c:spPr>
          <c:dLbls>
            <c:spPr>
              <a:noFill/>
              <a:ln>
                <a:noFill/>
              </a:ln>
              <a:effectLst/>
            </c:spPr>
            <c:txPr>
              <a:bodyPr rot="-5400000" spcFirstLastPara="1" vertOverflow="ellipsis" wrap="square" lIns="38100" tIns="19050" rIns="38100" bIns="19050" anchor="ctr" anchorCtr="1">
                <a:spAutoFit/>
              </a:bodyPr>
              <a:lstStyle/>
              <a:p>
                <a:pPr>
                  <a:defRPr sz="800" b="1" i="0" u="none" strike="noStrike" kern="1200" baseline="0">
                    <a:solidFill>
                      <a:schemeClr val="bg1"/>
                    </a:solidFill>
                    <a:latin typeface="+mn-lt"/>
                    <a:ea typeface="+mn-ea"/>
                    <a:cs typeface="+mn-cs"/>
                  </a:defRPr>
                </a:pPr>
                <a:endParaRPr lang="en-US"/>
              </a:p>
            </c:txPr>
            <c:dLblPos val="inBase"/>
            <c:showVal val="1"/>
            <c:extLst xmlns:c16r2="http://schemas.microsoft.com/office/drawing/2015/06/char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'Balance Sheet'!$CL$1154:$CL$1159</c:f>
              <c:strCache>
                <c:ptCount val="6"/>
                <c:pt idx="0">
                  <c:v>Mahesh</c:v>
                </c:pt>
                <c:pt idx="1">
                  <c:v>Kiran</c:v>
                </c:pt>
                <c:pt idx="2">
                  <c:v>Srinivas</c:v>
                </c:pt>
                <c:pt idx="3">
                  <c:v>Pradeep</c:v>
                </c:pt>
                <c:pt idx="4">
                  <c:v>Ganesh</c:v>
                </c:pt>
                <c:pt idx="5">
                  <c:v>Madhu</c:v>
                </c:pt>
              </c:strCache>
            </c:strRef>
          </c:cat>
          <c:val>
            <c:numRef>
              <c:f>'Balance Sheet'!$CM$1154:$CM$1159</c:f>
              <c:numCache>
                <c:formatCode>General</c:formatCode>
                <c:ptCount val="6"/>
                <c:pt idx="0">
                  <c:v>238</c:v>
                </c:pt>
                <c:pt idx="1">
                  <c:v>176</c:v>
                </c:pt>
                <c:pt idx="2">
                  <c:v>125</c:v>
                </c:pt>
                <c:pt idx="3">
                  <c:v>116</c:v>
                </c:pt>
                <c:pt idx="4">
                  <c:v>45</c:v>
                </c:pt>
                <c:pt idx="5">
                  <c:v>0</c:v>
                </c:pt>
              </c:numCache>
            </c:numRef>
          </c:val>
          <c:extLst xmlns:c16r2="http://schemas.microsoft.com/office/drawing/2015/06/chart">
            <c:ext xmlns:c16="http://schemas.microsoft.com/office/drawing/2014/chart" uri="{C3380CC4-5D6E-409C-BE32-E72D297353CC}">
              <c16:uniqueId val="{00000000-DC08-49A9-A764-575C1390C7D7}"/>
            </c:ext>
          </c:extLst>
        </c:ser>
        <c:ser>
          <c:idx val="1"/>
          <c:order val="1"/>
          <c:tx>
            <c:v>Yellow</c:v>
          </c:tx>
          <c:spPr>
            <a:solidFill>
              <a:srgbClr val="FFFF00"/>
            </a:solidFill>
            <a:ln>
              <a:noFill/>
            </a:ln>
            <a:effectLst/>
          </c:spPr>
          <c:dLbls>
            <c:numFmt formatCode="#&quot;&quot;" sourceLinked="0"/>
            <c:spPr>
              <a:noFill/>
              <a:ln>
                <a:noFill/>
              </a:ln>
              <a:effectLst/>
            </c:spPr>
            <c:txPr>
              <a:bodyPr rot="-5400000" spcFirstLastPara="1" vertOverflow="ellipsis" wrap="square" lIns="38100" tIns="19050" rIns="38100" bIns="19050" anchor="ctr" anchorCtr="1">
                <a:spAutoFit/>
              </a:bodyPr>
              <a:lstStyle/>
              <a:p>
                <a:pPr>
                  <a:defRPr sz="800" b="1" i="0" u="none" strike="noStrike" kern="1200" baseline="0">
                    <a:solidFill>
                      <a:schemeClr val="tx1">
                        <a:lumMod val="75000"/>
                        <a:lumOff val="25000"/>
                      </a:schemeClr>
                    </a:solidFill>
                    <a:latin typeface="+mn-lt"/>
                    <a:ea typeface="+mn-ea"/>
                    <a:cs typeface="+mn-cs"/>
                  </a:defRPr>
                </a:pPr>
                <a:endParaRPr lang="en-US"/>
              </a:p>
            </c:txPr>
            <c:dLblPos val="ctr"/>
            <c:showVal val="1"/>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'Balance Sheet'!$CL$1154:$CL$1159</c:f>
              <c:strCache>
                <c:ptCount val="6"/>
                <c:pt idx="0">
                  <c:v>Mahesh</c:v>
                </c:pt>
                <c:pt idx="1">
                  <c:v>Kiran</c:v>
                </c:pt>
                <c:pt idx="2">
                  <c:v>Srinivas</c:v>
                </c:pt>
                <c:pt idx="3">
                  <c:v>Pradeep</c:v>
                </c:pt>
                <c:pt idx="4">
                  <c:v>Ganesh</c:v>
                </c:pt>
                <c:pt idx="5">
                  <c:v>Madhu</c:v>
                </c:pt>
              </c:strCache>
            </c:strRef>
          </c:cat>
          <c:val>
            <c:numRef>
              <c:f>'Balance Sheet'!$CN$1154:$CN$1159</c:f>
              <c:numCache>
                <c:formatCode>General</c:formatCode>
                <c:ptCount val="6"/>
                <c:pt idx="0">
                  <c:v>0</c:v>
                </c:pt>
                <c:pt idx="1">
                  <c:v>0</c:v>
                </c:pt>
                <c:pt idx="2">
                  <c:v>0</c:v>
                </c:pt>
                <c:pt idx="3">
                  <c:v>0</c:v>
                </c:pt>
                <c:pt idx="4">
                  <c:v>0</c:v>
                </c:pt>
                <c:pt idx="5">
                  <c:v>0</c:v>
                </c:pt>
              </c:numCache>
            </c:numRef>
          </c:val>
          <c:extLst xmlns:c16r2="http://schemas.microsoft.com/office/drawing/2015/06/chart">
            <c:ext xmlns:c16="http://schemas.microsoft.com/office/drawing/2014/chart" uri="{C3380CC4-5D6E-409C-BE32-E72D297353CC}">
              <c16:uniqueId val="{00000001-DC08-49A9-A764-575C1390C7D7}"/>
            </c:ext>
          </c:extLst>
        </c:ser>
        <c:ser>
          <c:idx val="2"/>
          <c:order val="2"/>
          <c:tx>
            <c:v>Green</c:v>
          </c:tx>
          <c:spPr>
            <a:solidFill>
              <a:srgbClr val="92D050"/>
            </a:solidFill>
            <a:ln>
              <a:noFill/>
            </a:ln>
            <a:effectLst/>
          </c:spPr>
          <c:dLbls>
            <c:numFmt formatCode="#&quot;&quot;" sourceLinked="0"/>
            <c:spPr>
              <a:noFill/>
              <a:ln>
                <a:noFill/>
              </a:ln>
              <a:effectLst/>
            </c:spPr>
            <c:txPr>
              <a:bodyPr rot="-5400000" spcFirstLastPara="1" vertOverflow="ellipsis" wrap="square" lIns="38100" tIns="19050" rIns="38100" bIns="19050" anchor="ctr" anchorCtr="1">
                <a:spAutoFit/>
              </a:bodyPr>
              <a:lstStyle/>
              <a:p>
                <a:pPr>
                  <a:defRPr sz="800" b="1" i="0" u="none" strike="noStrike" kern="1200" baseline="0">
                    <a:solidFill>
                      <a:schemeClr val="tx1"/>
                    </a:solidFill>
                    <a:latin typeface="+mn-lt"/>
                    <a:ea typeface="+mn-ea"/>
                    <a:cs typeface="+mn-cs"/>
                  </a:defRPr>
                </a:pPr>
                <a:endParaRPr lang="en-US"/>
              </a:p>
            </c:txPr>
            <c:dLblPos val="inEnd"/>
            <c:showVal val="1"/>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'Balance Sheet'!$CL$1154:$CL$1159</c:f>
              <c:strCache>
                <c:ptCount val="6"/>
                <c:pt idx="0">
                  <c:v>Mahesh</c:v>
                </c:pt>
                <c:pt idx="1">
                  <c:v>Kiran</c:v>
                </c:pt>
                <c:pt idx="2">
                  <c:v>Srinivas</c:v>
                </c:pt>
                <c:pt idx="3">
                  <c:v>Pradeep</c:v>
                </c:pt>
                <c:pt idx="4">
                  <c:v>Ganesh</c:v>
                </c:pt>
                <c:pt idx="5">
                  <c:v>Madhu</c:v>
                </c:pt>
              </c:strCache>
            </c:strRef>
          </c:cat>
          <c:val>
            <c:numRef>
              <c:f>'Balance Sheet'!$CO$1154:$CO$1159</c:f>
              <c:numCache>
                <c:formatCode>General</c:formatCode>
                <c:ptCount val="6"/>
                <c:pt idx="0">
                  <c:v>0</c:v>
                </c:pt>
                <c:pt idx="1">
                  <c:v>0</c:v>
                </c:pt>
                <c:pt idx="2">
                  <c:v>0</c:v>
                </c:pt>
                <c:pt idx="3">
                  <c:v>0</c:v>
                </c:pt>
                <c:pt idx="4">
                  <c:v>0</c:v>
                </c:pt>
                <c:pt idx="5">
                  <c:v>0</c:v>
                </c:pt>
              </c:numCache>
            </c:numRef>
          </c:val>
          <c:extLst xmlns:c16r2="http://schemas.microsoft.com/office/drawing/2015/06/chart">
            <c:ext xmlns:c16="http://schemas.microsoft.com/office/drawing/2014/chart" uri="{C3380CC4-5D6E-409C-BE32-E72D297353CC}">
              <c16:uniqueId val="{00000002-DC08-49A9-A764-575C1390C7D7}"/>
            </c:ext>
          </c:extLst>
        </c:ser>
        <c:dLbls>
          <c:showVal val="1"/>
        </c:dLbls>
        <c:gapWidth val="30"/>
        <c:overlap val="100"/>
        <c:axId val="114920832"/>
        <c:axId val="114930816"/>
      </c:barChart>
      <c:catAx>
        <c:axId val="114920832"/>
        <c:scaling>
          <c:orientation val="minMax"/>
        </c:scaling>
        <c:axPos val="b"/>
        <c:numFmt formatCode="General" sourceLinked="1"/>
        <c:maj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114930816"/>
        <c:crosses val="autoZero"/>
        <c:auto val="1"/>
        <c:lblAlgn val="ctr"/>
        <c:lblOffset val="100"/>
      </c:catAx>
      <c:valAx>
        <c:axId val="114930816"/>
        <c:scaling>
          <c:orientation val="minMax"/>
        </c:scaling>
        <c:delete val="1"/>
        <c:axPos val="l"/>
        <c:numFmt formatCode="General" sourceLinked="1"/>
        <c:majorTickMark val="none"/>
        <c:tickLblPos val="none"/>
        <c:crossAx val="114920832"/>
        <c:crosses val="autoZero"/>
        <c:crossBetween val="between"/>
      </c:valAx>
      <c:spPr>
        <a:noFill/>
        <a:ln>
          <a:noFill/>
        </a:ln>
        <a:effectLst/>
      </c:spPr>
    </c:plotArea>
    <c:dispBlanksAs val="gap"/>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11" l="0.70000000000000007" r="0.70000000000000007" t="0.75000000000000011" header="0.30000000000000004" footer="0.30000000000000004"/>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n-US"/>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i="0" baseline="0"/>
              <a:t>INSPECTED PERSONS</a:t>
            </a:r>
          </a:p>
        </c:rich>
      </c:tx>
      <c:layout/>
      <c:spPr>
        <a:noFill/>
        <a:ln>
          <a:noFill/>
        </a:ln>
        <a:effectLst/>
      </c:spPr>
    </c:title>
    <c:plotArea>
      <c:layout>
        <c:manualLayout>
          <c:layoutTarget val="inner"/>
          <c:xMode val="edge"/>
          <c:yMode val="edge"/>
          <c:x val="4.7178333763915829E-2"/>
          <c:y val="0.12888409151850452"/>
          <c:w val="0.90564333247216844"/>
          <c:h val="0.61026573418919894"/>
        </c:manualLayout>
      </c:layout>
      <c:barChart>
        <c:barDir val="col"/>
        <c:grouping val="clustered"/>
        <c:ser>
          <c:idx val="0"/>
          <c:order val="0"/>
          <c:spPr>
            <a:solidFill>
              <a:schemeClr val="accent1"/>
            </a:solidFill>
            <a:ln>
              <a:noFill/>
            </a:ln>
            <a:effectLst/>
          </c:spPr>
          <c:dPt>
            <c:idx val="0"/>
            <c:spPr>
              <a:solidFill>
                <a:srgbClr val="C00000"/>
              </a:solidFill>
              <a:ln>
                <a:noFill/>
              </a:ln>
              <a:effectLst/>
            </c:spPr>
            <c:extLst xmlns:c16r2="http://schemas.microsoft.com/office/drawing/2015/06/chart">
              <c:ext xmlns:c16="http://schemas.microsoft.com/office/drawing/2014/chart" uri="{C3380CC4-5D6E-409C-BE32-E72D297353CC}">
                <c16:uniqueId val="{00000001-6388-4C8E-96F1-8FE1919E2C9D}"/>
              </c:ext>
            </c:extLst>
          </c:dPt>
          <c:dPt>
            <c:idx val="1"/>
            <c:spPr>
              <a:solidFill>
                <a:schemeClr val="accent4"/>
              </a:solidFill>
              <a:ln>
                <a:noFill/>
              </a:ln>
              <a:effectLst/>
            </c:spPr>
            <c:extLst xmlns:c16r2="http://schemas.microsoft.com/office/drawing/2015/06/chart">
              <c:ext xmlns:c16="http://schemas.microsoft.com/office/drawing/2014/chart" uri="{C3380CC4-5D6E-409C-BE32-E72D297353CC}">
                <c16:uniqueId val="{00000003-6388-4C8E-96F1-8FE1919E2C9D}"/>
              </c:ext>
            </c:extLst>
          </c:dPt>
          <c:dPt>
            <c:idx val="5"/>
            <c:spPr>
              <a:solidFill>
                <a:schemeClr val="accent2"/>
              </a:solidFill>
              <a:ln>
                <a:noFill/>
              </a:ln>
              <a:effectLst/>
            </c:spPr>
            <c:extLst xmlns:c16r2="http://schemas.microsoft.com/office/drawing/2015/06/chart">
              <c:ext xmlns:c16="http://schemas.microsoft.com/office/drawing/2014/chart" uri="{C3380CC4-5D6E-409C-BE32-E72D297353CC}">
                <c16:uniqueId val="{00000005-6388-4C8E-96F1-8FE1919E2C9D}"/>
              </c:ext>
            </c:extLst>
          </c:dPt>
          <c:dPt>
            <c:idx val="7"/>
            <c:spPr>
              <a:solidFill>
                <a:schemeClr val="accent6"/>
              </a:solidFill>
              <a:ln>
                <a:noFill/>
              </a:ln>
              <a:effectLst/>
            </c:spPr>
            <c:extLst xmlns:c16r2="http://schemas.microsoft.com/office/drawing/2015/06/chart">
              <c:ext xmlns:c16="http://schemas.microsoft.com/office/drawing/2014/chart" uri="{C3380CC4-5D6E-409C-BE32-E72D297353CC}">
                <c16:uniqueId val="{00000007-6388-4C8E-96F1-8FE1919E2C9D}"/>
              </c:ext>
            </c:extLst>
          </c:dPt>
          <c:dPt>
            <c:idx val="10"/>
            <c:spPr>
              <a:solidFill>
                <a:srgbClr val="FF0000"/>
              </a:solidFill>
              <a:ln>
                <a:noFill/>
              </a:ln>
              <a:effectLst/>
            </c:spPr>
            <c:extLst xmlns:c16r2="http://schemas.microsoft.com/office/drawing/2015/06/chart">
              <c:ext xmlns:c16="http://schemas.microsoft.com/office/drawing/2014/chart" uri="{C3380CC4-5D6E-409C-BE32-E72D297353CC}">
                <c16:uniqueId val="{00000009-6388-4C8E-96F1-8FE1919E2C9D}"/>
              </c:ext>
            </c:extLst>
          </c:dPt>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Val val="1"/>
            <c:extLst xmlns:c16r2="http://schemas.microsoft.com/office/drawing/2015/06/char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'Balance Sheet'!$Q$1153:$Q$1164</c:f>
              <c:strCache>
                <c:ptCount val="12"/>
                <c:pt idx="0">
                  <c:v>Ganesh</c:v>
                </c:pt>
                <c:pt idx="1">
                  <c:v>Kiran</c:v>
                </c:pt>
                <c:pt idx="2">
                  <c:v>Lalith Mohan</c:v>
                </c:pt>
                <c:pt idx="3">
                  <c:v>Laxman</c:v>
                </c:pt>
                <c:pt idx="4">
                  <c:v>Madhu</c:v>
                </c:pt>
                <c:pt idx="5">
                  <c:v>Mahesh</c:v>
                </c:pt>
                <c:pt idx="6">
                  <c:v>Naveen</c:v>
                </c:pt>
                <c:pt idx="7">
                  <c:v>Pradeep</c:v>
                </c:pt>
                <c:pt idx="8">
                  <c:v>Ramesh</c:v>
                </c:pt>
                <c:pt idx="9">
                  <c:v>Sai Babu</c:v>
                </c:pt>
                <c:pt idx="10">
                  <c:v>Srinivas</c:v>
                </c:pt>
                <c:pt idx="11">
                  <c:v>Venkatesh</c:v>
                </c:pt>
              </c:strCache>
            </c:strRef>
          </c:cat>
          <c:val>
            <c:numRef>
              <c:f>'Balance Sheet'!$R$1153:$R$1164</c:f>
              <c:numCache>
                <c:formatCode>General</c:formatCode>
                <c:ptCount val="12"/>
                <c:pt idx="0">
                  <c:v>100</c:v>
                </c:pt>
                <c:pt idx="1">
                  <c:v>64</c:v>
                </c:pt>
                <c:pt idx="2">
                  <c:v>6</c:v>
                </c:pt>
                <c:pt idx="3">
                  <c:v>14</c:v>
                </c:pt>
                <c:pt idx="4">
                  <c:v>70</c:v>
                </c:pt>
                <c:pt idx="5">
                  <c:v>164</c:v>
                </c:pt>
                <c:pt idx="6">
                  <c:v>182</c:v>
                </c:pt>
                <c:pt idx="7">
                  <c:v>144</c:v>
                </c:pt>
                <c:pt idx="8">
                  <c:v>34</c:v>
                </c:pt>
                <c:pt idx="9">
                  <c:v>0</c:v>
                </c:pt>
                <c:pt idx="10">
                  <c:v>39</c:v>
                </c:pt>
                <c:pt idx="11">
                  <c:v>164</c:v>
                </c:pt>
              </c:numCache>
            </c:numRef>
          </c:val>
          <c:extLst xmlns:c16r2="http://schemas.microsoft.com/office/drawing/2015/06/chart">
            <c:ext xmlns:c16="http://schemas.microsoft.com/office/drawing/2014/chart" uri="{C3380CC4-5D6E-409C-BE32-E72D297353CC}">
              <c16:uniqueId val="{0000000A-6388-4C8E-96F1-8FE1919E2C9D}"/>
            </c:ext>
          </c:extLst>
        </c:ser>
        <c:dLbls/>
        <c:gapWidth val="50"/>
        <c:axId val="114967680"/>
        <c:axId val="114969216"/>
      </c:barChart>
      <c:catAx>
        <c:axId val="114967680"/>
        <c:scaling>
          <c:orientation val="minMax"/>
        </c:scaling>
        <c:axPos val="b"/>
        <c:numFmt formatCode="General" sourceLinked="1"/>
        <c:maj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114969216"/>
        <c:crosses val="autoZero"/>
        <c:auto val="1"/>
        <c:lblAlgn val="ctr"/>
        <c:lblOffset val="100"/>
      </c:catAx>
      <c:valAx>
        <c:axId val="114969216"/>
        <c:scaling>
          <c:orientation val="minMax"/>
        </c:scaling>
        <c:delete val="1"/>
        <c:axPos val="l"/>
        <c:numFmt formatCode="General" sourceLinked="1"/>
        <c:majorTickMark val="none"/>
        <c:tickLblPos val="none"/>
        <c:crossAx val="114967680"/>
        <c:crosses val="autoZero"/>
        <c:crossBetween val="between"/>
      </c:valAx>
      <c:spPr>
        <a:noFill/>
        <a:ln>
          <a:noFill/>
        </a:ln>
        <a:effectLst/>
      </c:spPr>
    </c:plotArea>
    <c:plotVisOnly val="1"/>
    <c:dispBlanksAs val="gap"/>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11" l="0.70000000000000007" r="0.70000000000000007" t="0.75000000000000011" header="0.30000000000000004" footer="0.30000000000000004"/>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n-US"/>
  <c:chart>
    <c:title>
      <c:tx>
        <c:rich>
          <a:bodyPr rot="0" spcFirstLastPara="1" vertOverflow="ellipsis" vert="horz" wrap="square" anchor="ctr" anchorCtr="1"/>
          <a:lstStyle/>
          <a:p>
            <a:pPr>
              <a:defRPr sz="1500" b="1" i="0" u="none" strike="noStrike" kern="1200" spc="0" baseline="0">
                <a:solidFill>
                  <a:schemeClr val="tx1">
                    <a:lumMod val="65000"/>
                    <a:lumOff val="35000"/>
                  </a:schemeClr>
                </a:solidFill>
                <a:latin typeface="+mn-lt"/>
                <a:ea typeface="+mn-ea"/>
                <a:cs typeface="+mn-cs"/>
              </a:defRPr>
            </a:pPr>
            <a:r>
              <a:rPr lang="en-US" sz="1500" b="1" i="0" baseline="0"/>
              <a:t>Banks Total Amounts </a:t>
            </a:r>
          </a:p>
        </c:rich>
      </c:tx>
      <c:layout/>
      <c:overlay val="1"/>
      <c:spPr>
        <a:noFill/>
        <a:ln>
          <a:noFill/>
        </a:ln>
        <a:effectLst/>
      </c:spPr>
    </c:title>
    <c:plotArea>
      <c:layout>
        <c:manualLayout>
          <c:layoutTarget val="inner"/>
          <c:xMode val="edge"/>
          <c:yMode val="edge"/>
          <c:x val="4.9984884419568033E-2"/>
          <c:y val="0.22969508424583696"/>
          <c:w val="0.90685867880972693"/>
          <c:h val="0.57070028838945164"/>
        </c:manualLayout>
      </c:layout>
      <c:barChart>
        <c:barDir val="col"/>
        <c:grouping val="clustered"/>
        <c:ser>
          <c:idx val="0"/>
          <c:order val="0"/>
          <c:tx>
            <c:v>Amount</c:v>
          </c:tx>
          <c:spPr>
            <a:solidFill>
              <a:srgbClr val="92D050"/>
            </a:solidFill>
            <a:ln>
              <a:noFill/>
            </a:ln>
            <a:effectLst/>
          </c:spPr>
          <c:dLbls>
            <c:numFmt formatCode="#,##0" sourceLinked="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Val val="1"/>
            <c:extLst xmlns:c16r2="http://schemas.microsoft.com/office/drawing/2015/06/char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'Balance Sheet'!$C$93:$Q$109</c:f>
              <c:strCache>
                <c:ptCount val="17"/>
                <c:pt idx="0">
                  <c:v>Avanse</c:v>
                </c:pt>
                <c:pt idx="1">
                  <c:v>Axis</c:v>
                </c:pt>
                <c:pt idx="2">
                  <c:v>BOI</c:v>
                </c:pt>
                <c:pt idx="3">
                  <c:v>Canara</c:v>
                </c:pt>
                <c:pt idx="4">
                  <c:v>Cosmos</c:v>
                </c:pt>
                <c:pt idx="5">
                  <c:v>Indian</c:v>
                </c:pt>
                <c:pt idx="6">
                  <c:v>Indus Ind</c:v>
                </c:pt>
                <c:pt idx="7">
                  <c:v>SBI</c:v>
                </c:pt>
                <c:pt idx="8">
                  <c:v>SME-SBI</c:v>
                </c:pt>
                <c:pt idx="9">
                  <c:v>SBH</c:v>
                </c:pt>
                <c:pt idx="10">
                  <c:v>SBM</c:v>
                </c:pt>
                <c:pt idx="11">
                  <c:v>SBP</c:v>
                </c:pt>
                <c:pt idx="12">
                  <c:v>SBT</c:v>
                </c:pt>
                <c:pt idx="13">
                  <c:v>Syndicate</c:v>
                </c:pt>
                <c:pt idx="14">
                  <c:v>TGB</c:v>
                </c:pt>
                <c:pt idx="15">
                  <c:v>UBI</c:v>
                </c:pt>
                <c:pt idx="16">
                  <c:v>Vijaya</c:v>
                </c:pt>
              </c:strCache>
            </c:strRef>
          </c:cat>
          <c:val>
            <c:numRef>
              <c:f>'Balance Sheet'!$BZ$93:$BZ$109</c:f>
              <c:numCache>
                <c:formatCode>#,##0</c:formatCode>
                <c:ptCount val="17"/>
                <c:pt idx="0">
                  <c:v>32760</c:v>
                </c:pt>
                <c:pt idx="1">
                  <c:v>224000</c:v>
                </c:pt>
                <c:pt idx="2">
                  <c:v>123500</c:v>
                </c:pt>
                <c:pt idx="3">
                  <c:v>0</c:v>
                </c:pt>
                <c:pt idx="4">
                  <c:v>138815</c:v>
                </c:pt>
                <c:pt idx="5">
                  <c:v>100450</c:v>
                </c:pt>
                <c:pt idx="6">
                  <c:v>0</c:v>
                </c:pt>
                <c:pt idx="7">
                  <c:v>1309500</c:v>
                </c:pt>
                <c:pt idx="8">
                  <c:v>157500</c:v>
                </c:pt>
                <c:pt idx="9">
                  <c:v>44210</c:v>
                </c:pt>
                <c:pt idx="10">
                  <c:v>25500</c:v>
                </c:pt>
                <c:pt idx="11">
                  <c:v>5000</c:v>
                </c:pt>
                <c:pt idx="12">
                  <c:v>19500</c:v>
                </c:pt>
                <c:pt idx="13">
                  <c:v>246650</c:v>
                </c:pt>
                <c:pt idx="14">
                  <c:v>3500</c:v>
                </c:pt>
                <c:pt idx="15">
                  <c:v>624500</c:v>
                </c:pt>
                <c:pt idx="16">
                  <c:v>283700</c:v>
                </c:pt>
              </c:numCache>
            </c:numRef>
          </c:val>
          <c:extLst xmlns:c16r2="http://schemas.microsoft.com/office/drawing/2015/06/chart">
            <c:ext xmlns:c16="http://schemas.microsoft.com/office/drawing/2014/chart" uri="{C3380CC4-5D6E-409C-BE32-E72D297353CC}">
              <c16:uniqueId val="{00000000-195A-4929-A2B9-709808F372E3}"/>
            </c:ext>
          </c:extLst>
        </c:ser>
        <c:dLbls>
          <c:showVal val="1"/>
        </c:dLbls>
        <c:gapWidth val="50"/>
        <c:axId val="114997888"/>
        <c:axId val="114819456"/>
      </c:barChart>
      <c:catAx>
        <c:axId val="114997888"/>
        <c:scaling>
          <c:orientation val="minMax"/>
        </c:scaling>
        <c:axPos val="b"/>
        <c:numFmt formatCode="General" sourceLinked="1"/>
        <c:maj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114819456"/>
        <c:crosses val="autoZero"/>
        <c:auto val="1"/>
        <c:lblAlgn val="ctr"/>
        <c:lblOffset val="100"/>
      </c:catAx>
      <c:valAx>
        <c:axId val="114819456"/>
        <c:scaling>
          <c:orientation val="minMax"/>
        </c:scaling>
        <c:delete val="1"/>
        <c:axPos val="l"/>
        <c:numFmt formatCode="#,##0" sourceLinked="1"/>
        <c:majorTickMark val="none"/>
        <c:tickLblPos val="none"/>
        <c:crossAx val="114997888"/>
        <c:crosses val="autoZero"/>
        <c:crossBetween val="between"/>
      </c:valAx>
      <c:spPr>
        <a:noFill/>
        <a:ln>
          <a:noFill/>
        </a:ln>
        <a:effectLst/>
      </c:spPr>
    </c:plotArea>
    <c:dispBlanksAs val="gap"/>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11" l="0.70000000000000007" r="0.70000000000000007" t="0.75000000000000011" header="0.30000000000000004" footer="0.30000000000000004"/>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en-US"/>
  <c:chart>
    <c:title>
      <c:tx>
        <c:rich>
          <a:bodyPr rot="0" spcFirstLastPara="1" vertOverflow="ellipsis" vert="horz" wrap="square" anchor="ctr" anchorCtr="1"/>
          <a:lstStyle/>
          <a:p>
            <a:pPr>
              <a:defRPr sz="1500" b="1" i="0" u="none" strike="noStrike" kern="1200" spc="0" baseline="0">
                <a:solidFill>
                  <a:schemeClr val="tx1">
                    <a:lumMod val="65000"/>
                    <a:lumOff val="35000"/>
                  </a:schemeClr>
                </a:solidFill>
                <a:latin typeface="+mn-lt"/>
                <a:ea typeface="+mn-ea"/>
                <a:cs typeface="+mn-cs"/>
              </a:defRPr>
            </a:pPr>
            <a:r>
              <a:rPr lang="en-US" sz="1500" b="1" i="0" baseline="0"/>
              <a:t>All Bank Forms</a:t>
            </a:r>
          </a:p>
        </c:rich>
      </c:tx>
      <c:layout>
        <c:manualLayout>
          <c:xMode val="edge"/>
          <c:yMode val="edge"/>
          <c:x val="0.41164905867689183"/>
          <c:y val="1.6614671119726251E-2"/>
        </c:manualLayout>
      </c:layout>
      <c:spPr>
        <a:noFill/>
        <a:ln>
          <a:noFill/>
        </a:ln>
        <a:effectLst/>
      </c:spPr>
    </c:title>
    <c:plotArea>
      <c:layout>
        <c:manualLayout>
          <c:layoutTarget val="inner"/>
          <c:xMode val="edge"/>
          <c:yMode val="edge"/>
          <c:x val="1.2225576501926376E-2"/>
          <c:y val="0.15711358996792074"/>
          <c:w val="0.97247089938915132"/>
          <c:h val="0.6773097112860893"/>
        </c:manualLayout>
      </c:layout>
      <c:barChart>
        <c:barDir val="col"/>
        <c:grouping val="clustered"/>
        <c:ser>
          <c:idx val="0"/>
          <c:order val="0"/>
          <c:tx>
            <c:v>Total</c:v>
          </c:tx>
          <c:spPr>
            <a:solidFill>
              <a:schemeClr val="accent6"/>
            </a:solidFill>
            <a:ln>
              <a:noFill/>
            </a:ln>
            <a:effectLst/>
          </c:spPr>
          <c:dLbls>
            <c:numFmt formatCode="#&quot;&quot;" sourceLinked="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Val val="1"/>
            <c:extLst xmlns:c16r2="http://schemas.microsoft.com/office/drawing/2015/06/char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'Balance Sheet'!$C$1059:$N$1075</c:f>
              <c:strCache>
                <c:ptCount val="17"/>
                <c:pt idx="0">
                  <c:v>Avanse</c:v>
                </c:pt>
                <c:pt idx="1">
                  <c:v>Axis</c:v>
                </c:pt>
                <c:pt idx="2">
                  <c:v>BOI</c:v>
                </c:pt>
                <c:pt idx="3">
                  <c:v>Canara</c:v>
                </c:pt>
                <c:pt idx="4">
                  <c:v>Cosmos</c:v>
                </c:pt>
                <c:pt idx="5">
                  <c:v>Indian</c:v>
                </c:pt>
                <c:pt idx="6">
                  <c:v>Indus Ind</c:v>
                </c:pt>
                <c:pt idx="7">
                  <c:v>SBI</c:v>
                </c:pt>
                <c:pt idx="8">
                  <c:v>SME-SBI</c:v>
                </c:pt>
                <c:pt idx="9">
                  <c:v>SBH</c:v>
                </c:pt>
                <c:pt idx="10">
                  <c:v>SBM</c:v>
                </c:pt>
                <c:pt idx="11">
                  <c:v>SBP</c:v>
                </c:pt>
                <c:pt idx="12">
                  <c:v>SBT</c:v>
                </c:pt>
                <c:pt idx="13">
                  <c:v>Syndicate</c:v>
                </c:pt>
                <c:pt idx="14">
                  <c:v>TGB</c:v>
                </c:pt>
                <c:pt idx="15">
                  <c:v>UBI</c:v>
                </c:pt>
                <c:pt idx="16">
                  <c:v>Vijaya</c:v>
                </c:pt>
              </c:strCache>
            </c:strRef>
          </c:cat>
          <c:val>
            <c:numRef>
              <c:f>'Balance Sheet'!$O$1059:$O$1075</c:f>
              <c:numCache>
                <c:formatCode>#,##0</c:formatCode>
                <c:ptCount val="17"/>
                <c:pt idx="0">
                  <c:v>0</c:v>
                </c:pt>
                <c:pt idx="1">
                  <c:v>77</c:v>
                </c:pt>
                <c:pt idx="2">
                  <c:v>25</c:v>
                </c:pt>
                <c:pt idx="3">
                  <c:v>2</c:v>
                </c:pt>
                <c:pt idx="4">
                  <c:v>27</c:v>
                </c:pt>
                <c:pt idx="5">
                  <c:v>43</c:v>
                </c:pt>
                <c:pt idx="6">
                  <c:v>0</c:v>
                </c:pt>
                <c:pt idx="7">
                  <c:v>643</c:v>
                </c:pt>
                <c:pt idx="8">
                  <c:v>69</c:v>
                </c:pt>
                <c:pt idx="9">
                  <c:v>11</c:v>
                </c:pt>
                <c:pt idx="10">
                  <c:v>6</c:v>
                </c:pt>
                <c:pt idx="11">
                  <c:v>3</c:v>
                </c:pt>
                <c:pt idx="12">
                  <c:v>5</c:v>
                </c:pt>
                <c:pt idx="13">
                  <c:v>72</c:v>
                </c:pt>
                <c:pt idx="14">
                  <c:v>2</c:v>
                </c:pt>
                <c:pt idx="15">
                  <c:v>199</c:v>
                </c:pt>
                <c:pt idx="16">
                  <c:v>116</c:v>
                </c:pt>
              </c:numCache>
            </c:numRef>
          </c:val>
          <c:extLst xmlns:c16r2="http://schemas.microsoft.com/office/drawing/2015/06/chart">
            <c:ext xmlns:c16="http://schemas.microsoft.com/office/drawing/2014/chart" uri="{C3380CC4-5D6E-409C-BE32-E72D297353CC}">
              <c16:uniqueId val="{00000003-F898-44C4-996D-855E65EDA6DA}"/>
            </c:ext>
          </c:extLst>
        </c:ser>
        <c:ser>
          <c:idx val="1"/>
          <c:order val="1"/>
          <c:tx>
            <c:v>Signed</c:v>
          </c:tx>
          <c:spPr>
            <a:solidFill>
              <a:schemeClr val="accent5"/>
            </a:solidFill>
            <a:ln>
              <a:noFill/>
            </a:ln>
            <a:effectLst/>
          </c:spPr>
          <c:dLbls>
            <c:numFmt formatCode="#&quot;&quot;" sourceLinked="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Val val="1"/>
            <c:extLst xmlns:c16r2="http://schemas.microsoft.com/office/drawing/2015/06/char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'Balance Sheet'!$C$1059:$N$1075</c:f>
              <c:strCache>
                <c:ptCount val="17"/>
                <c:pt idx="0">
                  <c:v>Avanse</c:v>
                </c:pt>
                <c:pt idx="1">
                  <c:v>Axis</c:v>
                </c:pt>
                <c:pt idx="2">
                  <c:v>BOI</c:v>
                </c:pt>
                <c:pt idx="3">
                  <c:v>Canara</c:v>
                </c:pt>
                <c:pt idx="4">
                  <c:v>Cosmos</c:v>
                </c:pt>
                <c:pt idx="5">
                  <c:v>Indian</c:v>
                </c:pt>
                <c:pt idx="6">
                  <c:v>Indus Ind</c:v>
                </c:pt>
                <c:pt idx="7">
                  <c:v>SBI</c:v>
                </c:pt>
                <c:pt idx="8">
                  <c:v>SME-SBI</c:v>
                </c:pt>
                <c:pt idx="9">
                  <c:v>SBH</c:v>
                </c:pt>
                <c:pt idx="10">
                  <c:v>SBM</c:v>
                </c:pt>
                <c:pt idx="11">
                  <c:v>SBP</c:v>
                </c:pt>
                <c:pt idx="12">
                  <c:v>SBT</c:v>
                </c:pt>
                <c:pt idx="13">
                  <c:v>Syndicate</c:v>
                </c:pt>
                <c:pt idx="14">
                  <c:v>TGB</c:v>
                </c:pt>
                <c:pt idx="15">
                  <c:v>UBI</c:v>
                </c:pt>
                <c:pt idx="16">
                  <c:v>Vijaya</c:v>
                </c:pt>
              </c:strCache>
            </c:strRef>
          </c:cat>
          <c:val>
            <c:numRef>
              <c:f>'Balance Sheet'!$W$1059:$W$1075</c:f>
              <c:numCache>
                <c:formatCode>#,##0</c:formatCode>
                <c:ptCount val="17"/>
                <c:pt idx="0">
                  <c:v>0</c:v>
                </c:pt>
                <c:pt idx="1">
                  <c:v>55</c:v>
                </c:pt>
                <c:pt idx="2">
                  <c:v>23</c:v>
                </c:pt>
                <c:pt idx="3">
                  <c:v>2</c:v>
                </c:pt>
                <c:pt idx="4">
                  <c:v>27</c:v>
                </c:pt>
                <c:pt idx="5">
                  <c:v>42</c:v>
                </c:pt>
                <c:pt idx="6">
                  <c:v>0</c:v>
                </c:pt>
                <c:pt idx="7">
                  <c:v>550</c:v>
                </c:pt>
                <c:pt idx="8">
                  <c:v>68</c:v>
                </c:pt>
                <c:pt idx="9">
                  <c:v>11</c:v>
                </c:pt>
                <c:pt idx="10">
                  <c:v>5</c:v>
                </c:pt>
                <c:pt idx="11">
                  <c:v>3</c:v>
                </c:pt>
                <c:pt idx="12">
                  <c:v>5</c:v>
                </c:pt>
                <c:pt idx="13">
                  <c:v>64</c:v>
                </c:pt>
                <c:pt idx="14">
                  <c:v>2</c:v>
                </c:pt>
                <c:pt idx="15">
                  <c:v>132</c:v>
                </c:pt>
                <c:pt idx="16">
                  <c:v>90</c:v>
                </c:pt>
              </c:numCache>
            </c:numRef>
          </c:val>
          <c:extLst xmlns:c16r2="http://schemas.microsoft.com/office/drawing/2015/06/chart">
            <c:ext xmlns:c16="http://schemas.microsoft.com/office/drawing/2014/chart" uri="{C3380CC4-5D6E-409C-BE32-E72D297353CC}">
              <c16:uniqueId val="{00000002-F898-44C4-996D-855E65EDA6DA}"/>
            </c:ext>
          </c:extLst>
        </c:ser>
        <c:ser>
          <c:idx val="2"/>
          <c:order val="2"/>
          <c:tx>
            <c:v>Paid</c:v>
          </c:tx>
          <c:spPr>
            <a:solidFill>
              <a:schemeClr val="accent4"/>
            </a:solidFill>
            <a:ln>
              <a:noFill/>
            </a:ln>
            <a:effectLst/>
          </c:spPr>
          <c:dLbls>
            <c:numFmt formatCode="#&quot;&quot;" sourceLinked="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Val val="1"/>
            <c:extLst xmlns:c16r2="http://schemas.microsoft.com/office/drawing/2015/06/char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'Balance Sheet'!$C$1059:$N$1075</c:f>
              <c:strCache>
                <c:ptCount val="17"/>
                <c:pt idx="0">
                  <c:v>Avanse</c:v>
                </c:pt>
                <c:pt idx="1">
                  <c:v>Axis</c:v>
                </c:pt>
                <c:pt idx="2">
                  <c:v>BOI</c:v>
                </c:pt>
                <c:pt idx="3">
                  <c:v>Canara</c:v>
                </c:pt>
                <c:pt idx="4">
                  <c:v>Cosmos</c:v>
                </c:pt>
                <c:pt idx="5">
                  <c:v>Indian</c:v>
                </c:pt>
                <c:pt idx="6">
                  <c:v>Indus Ind</c:v>
                </c:pt>
                <c:pt idx="7">
                  <c:v>SBI</c:v>
                </c:pt>
                <c:pt idx="8">
                  <c:v>SME-SBI</c:v>
                </c:pt>
                <c:pt idx="9">
                  <c:v>SBH</c:v>
                </c:pt>
                <c:pt idx="10">
                  <c:v>SBM</c:v>
                </c:pt>
                <c:pt idx="11">
                  <c:v>SBP</c:v>
                </c:pt>
                <c:pt idx="12">
                  <c:v>SBT</c:v>
                </c:pt>
                <c:pt idx="13">
                  <c:v>Syndicate</c:v>
                </c:pt>
                <c:pt idx="14">
                  <c:v>TGB</c:v>
                </c:pt>
                <c:pt idx="15">
                  <c:v>UBI</c:v>
                </c:pt>
                <c:pt idx="16">
                  <c:v>Vijaya</c:v>
                </c:pt>
              </c:strCache>
            </c:strRef>
          </c:cat>
          <c:val>
            <c:numRef>
              <c:f>'Balance Sheet'!$AD$1059:$AD$1075</c:f>
              <c:numCache>
                <c:formatCode>#,##0</c:formatCode>
                <c:ptCount val="17"/>
                <c:pt idx="0">
                  <c:v>0</c:v>
                </c:pt>
                <c:pt idx="1">
                  <c:v>27</c:v>
                </c:pt>
                <c:pt idx="2">
                  <c:v>20</c:v>
                </c:pt>
                <c:pt idx="3">
                  <c:v>0</c:v>
                </c:pt>
                <c:pt idx="4">
                  <c:v>16</c:v>
                </c:pt>
                <c:pt idx="5">
                  <c:v>30</c:v>
                </c:pt>
                <c:pt idx="6">
                  <c:v>0</c:v>
                </c:pt>
                <c:pt idx="7">
                  <c:v>279</c:v>
                </c:pt>
                <c:pt idx="8">
                  <c:v>30</c:v>
                </c:pt>
                <c:pt idx="9">
                  <c:v>2</c:v>
                </c:pt>
                <c:pt idx="10">
                  <c:v>5</c:v>
                </c:pt>
                <c:pt idx="11">
                  <c:v>1</c:v>
                </c:pt>
                <c:pt idx="12">
                  <c:v>3</c:v>
                </c:pt>
                <c:pt idx="13">
                  <c:v>48</c:v>
                </c:pt>
                <c:pt idx="14">
                  <c:v>1</c:v>
                </c:pt>
                <c:pt idx="15">
                  <c:v>100</c:v>
                </c:pt>
                <c:pt idx="16">
                  <c:v>46</c:v>
                </c:pt>
              </c:numCache>
            </c:numRef>
          </c:val>
          <c:extLst xmlns:c16r2="http://schemas.microsoft.com/office/drawing/2015/06/chart">
            <c:ext xmlns:c16="http://schemas.microsoft.com/office/drawing/2014/chart" uri="{C3380CC4-5D6E-409C-BE32-E72D297353CC}">
              <c16:uniqueId val="{00000001-F898-44C4-996D-855E65EDA6DA}"/>
            </c:ext>
          </c:extLst>
        </c:ser>
        <c:ser>
          <c:idx val="3"/>
          <c:order val="3"/>
          <c:tx>
            <c:v>Due</c:v>
          </c:tx>
          <c:spPr>
            <a:solidFill>
              <a:schemeClr val="accent6">
                <a:lumMod val="60000"/>
              </a:schemeClr>
            </a:solidFill>
            <a:ln>
              <a:noFill/>
            </a:ln>
            <a:effectLst/>
          </c:spPr>
          <c:dLbls>
            <c:numFmt formatCode="#&quot;&quot;" sourceLinked="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Val val="1"/>
            <c:extLst xmlns:c16r2="http://schemas.microsoft.com/office/drawing/2015/06/char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'Balance Sheet'!$C$1059:$N$1075</c:f>
              <c:strCache>
                <c:ptCount val="17"/>
                <c:pt idx="0">
                  <c:v>Avanse</c:v>
                </c:pt>
                <c:pt idx="1">
                  <c:v>Axis</c:v>
                </c:pt>
                <c:pt idx="2">
                  <c:v>BOI</c:v>
                </c:pt>
                <c:pt idx="3">
                  <c:v>Canara</c:v>
                </c:pt>
                <c:pt idx="4">
                  <c:v>Cosmos</c:v>
                </c:pt>
                <c:pt idx="5">
                  <c:v>Indian</c:v>
                </c:pt>
                <c:pt idx="6">
                  <c:v>Indus Ind</c:v>
                </c:pt>
                <c:pt idx="7">
                  <c:v>SBI</c:v>
                </c:pt>
                <c:pt idx="8">
                  <c:v>SME-SBI</c:v>
                </c:pt>
                <c:pt idx="9">
                  <c:v>SBH</c:v>
                </c:pt>
                <c:pt idx="10">
                  <c:v>SBM</c:v>
                </c:pt>
                <c:pt idx="11">
                  <c:v>SBP</c:v>
                </c:pt>
                <c:pt idx="12">
                  <c:v>SBT</c:v>
                </c:pt>
                <c:pt idx="13">
                  <c:v>Syndicate</c:v>
                </c:pt>
                <c:pt idx="14">
                  <c:v>TGB</c:v>
                </c:pt>
                <c:pt idx="15">
                  <c:v>UBI</c:v>
                </c:pt>
                <c:pt idx="16">
                  <c:v>Vijaya</c:v>
                </c:pt>
              </c:strCache>
            </c:strRef>
          </c:cat>
          <c:val>
            <c:numRef>
              <c:f>'Balance Sheet'!$AK$1059:$AK$1075</c:f>
              <c:numCache>
                <c:formatCode>#,##0</c:formatCode>
                <c:ptCount val="17"/>
                <c:pt idx="0">
                  <c:v>0</c:v>
                </c:pt>
                <c:pt idx="1">
                  <c:v>28</c:v>
                </c:pt>
                <c:pt idx="2">
                  <c:v>3</c:v>
                </c:pt>
                <c:pt idx="3">
                  <c:v>2</c:v>
                </c:pt>
                <c:pt idx="4">
                  <c:v>11</c:v>
                </c:pt>
                <c:pt idx="5">
                  <c:v>12</c:v>
                </c:pt>
                <c:pt idx="6">
                  <c:v>0</c:v>
                </c:pt>
                <c:pt idx="7">
                  <c:v>267</c:v>
                </c:pt>
                <c:pt idx="8">
                  <c:v>38</c:v>
                </c:pt>
                <c:pt idx="9">
                  <c:v>9</c:v>
                </c:pt>
                <c:pt idx="10">
                  <c:v>0</c:v>
                </c:pt>
                <c:pt idx="11">
                  <c:v>2</c:v>
                </c:pt>
                <c:pt idx="12">
                  <c:v>2</c:v>
                </c:pt>
                <c:pt idx="13">
                  <c:v>16</c:v>
                </c:pt>
                <c:pt idx="14">
                  <c:v>1</c:v>
                </c:pt>
                <c:pt idx="15">
                  <c:v>32</c:v>
                </c:pt>
                <c:pt idx="16">
                  <c:v>44</c:v>
                </c:pt>
              </c:numCache>
            </c:numRef>
          </c:val>
          <c:extLst xmlns:c16r2="http://schemas.microsoft.com/office/drawing/2015/06/chart">
            <c:ext xmlns:c16="http://schemas.microsoft.com/office/drawing/2014/chart" uri="{C3380CC4-5D6E-409C-BE32-E72D297353CC}">
              <c16:uniqueId val="{00000000-F898-44C4-996D-855E65EDA6DA}"/>
            </c:ext>
          </c:extLst>
        </c:ser>
        <c:dLbls/>
        <c:overlap val="-10"/>
        <c:axId val="114881664"/>
        <c:axId val="114883200"/>
      </c:barChart>
      <c:catAx>
        <c:axId val="114881664"/>
        <c:scaling>
          <c:orientation val="minMax"/>
        </c:scaling>
        <c:axPos val="b"/>
        <c:numFmt formatCode="General" sourceLinked="1"/>
        <c:maj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114883200"/>
        <c:crosses val="autoZero"/>
        <c:auto val="1"/>
        <c:lblAlgn val="ctr"/>
        <c:lblOffset val="100"/>
      </c:catAx>
      <c:valAx>
        <c:axId val="114883200"/>
        <c:scaling>
          <c:orientation val="minMax"/>
        </c:scaling>
        <c:delete val="1"/>
        <c:axPos val="l"/>
        <c:numFmt formatCode="#,##0" sourceLinked="1"/>
        <c:majorTickMark val="none"/>
        <c:tickLblPos val="none"/>
        <c:crossAx val="114881664"/>
        <c:crosses val="autoZero"/>
        <c:crossBetween val="between"/>
      </c:valAx>
      <c:spPr>
        <a:noFill/>
        <a:ln>
          <a:noFill/>
        </a:ln>
        <a:effectLst/>
      </c:spPr>
    </c:plotArea>
    <c:legend>
      <c:legendPos val="r"/>
      <c:layout>
        <c:manualLayout>
          <c:xMode val="edge"/>
          <c:yMode val="edge"/>
          <c:x val="0.6445125810735407"/>
          <c:y val="3.2555197483630852E-2"/>
          <c:w val="0.28805348987073576"/>
          <c:h val="8.6698324240023411E-2"/>
        </c:manualLayout>
      </c:layout>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dispBlanksAs val="gap"/>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11" l="0.70000000000000007" r="0.70000000000000007" t="0.75000000000000011" header="0.30000000000000004" footer="0.30000000000000004"/>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lang val="en-US"/>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a:t>INCOME</a:t>
            </a:r>
          </a:p>
        </c:rich>
      </c:tx>
      <c:layout/>
      <c:spPr>
        <a:noFill/>
        <a:ln>
          <a:noFill/>
        </a:ln>
        <a:effectLst/>
      </c:spPr>
    </c:title>
    <c:plotArea>
      <c:layout>
        <c:manualLayout>
          <c:layoutTarget val="inner"/>
          <c:xMode val="edge"/>
          <c:yMode val="edge"/>
          <c:x val="1.3843369437914185E-2"/>
          <c:y val="0.25135963473315831"/>
          <c:w val="0.97778446523522755"/>
          <c:h val="0.65654434562342157"/>
        </c:manualLayout>
      </c:layout>
      <c:barChart>
        <c:barDir val="col"/>
        <c:grouping val="clustered"/>
        <c:ser>
          <c:idx val="0"/>
          <c:order val="0"/>
          <c:spPr>
            <a:solidFill>
              <a:schemeClr val="accent1"/>
            </a:solidFill>
            <a:ln>
              <a:noFill/>
            </a:ln>
            <a:effectLst/>
            <a:scene3d>
              <a:camera prst="orthographicFront"/>
              <a:lightRig rig="brightRoom" dir="t"/>
            </a:scene3d>
            <a:sp3d prstMaterial="flat">
              <a:bevelT w="50800" h="101600" prst="angle"/>
              <a:contourClr>
                <a:srgbClr val="000000"/>
              </a:contourClr>
            </a:sp3d>
          </c:spPr>
          <c:dPt>
            <c:idx val="0"/>
            <c:spPr>
              <a:solidFill>
                <a:schemeClr val="accent2"/>
              </a:solidFill>
              <a:ln>
                <a:noFill/>
              </a:ln>
              <a:effectLst/>
              <a:scene3d>
                <a:camera prst="orthographicFront"/>
                <a:lightRig rig="brightRoom" dir="t"/>
              </a:scene3d>
              <a:sp3d prstMaterial="flat">
                <a:bevelT w="50800" h="101600" prst="angle"/>
                <a:contourClr>
                  <a:srgbClr val="000000"/>
                </a:contourClr>
              </a:sp3d>
            </c:spPr>
            <c:extLst xmlns:c16r2="http://schemas.microsoft.com/office/drawing/2015/06/chart">
              <c:ext xmlns:c16="http://schemas.microsoft.com/office/drawing/2014/chart" uri="{C3380CC4-5D6E-409C-BE32-E72D297353CC}">
                <c16:uniqueId val="{00000001-AEFB-4955-8A96-32F6A1B0ED68}"/>
              </c:ext>
            </c:extLst>
          </c:dPt>
          <c:dPt>
            <c:idx val="1"/>
            <c:spPr>
              <a:solidFill>
                <a:srgbClr val="FFC000"/>
              </a:solidFill>
              <a:ln>
                <a:noFill/>
              </a:ln>
              <a:effectLst/>
              <a:scene3d>
                <a:camera prst="orthographicFront"/>
                <a:lightRig rig="brightRoom" dir="t"/>
              </a:scene3d>
              <a:sp3d prstMaterial="flat">
                <a:bevelT w="50800" h="101600" prst="angle"/>
                <a:contourClr>
                  <a:srgbClr val="000000"/>
                </a:contourClr>
              </a:sp3d>
            </c:spPr>
            <c:extLst xmlns:c16r2="http://schemas.microsoft.com/office/drawing/2015/06/chart">
              <c:ext xmlns:c16="http://schemas.microsoft.com/office/drawing/2014/chart" uri="{C3380CC4-5D6E-409C-BE32-E72D297353CC}">
                <c16:uniqueId val="{00000003-AEFB-4955-8A96-32F6A1B0ED68}"/>
              </c:ext>
            </c:extLst>
          </c:dPt>
          <c:dPt>
            <c:idx val="2"/>
            <c:spPr>
              <a:solidFill>
                <a:srgbClr val="FF0000"/>
              </a:solidFill>
              <a:ln>
                <a:noFill/>
              </a:ln>
              <a:effectLst/>
              <a:scene3d>
                <a:camera prst="orthographicFront"/>
                <a:lightRig rig="brightRoom" dir="t"/>
              </a:scene3d>
              <a:sp3d prstMaterial="flat">
                <a:bevelT w="50800" h="101600" prst="angle"/>
                <a:contourClr>
                  <a:srgbClr val="000000"/>
                </a:contourClr>
              </a:sp3d>
            </c:spPr>
            <c:extLst xmlns:c16r2="http://schemas.microsoft.com/office/drawing/2015/06/chart">
              <c:ext xmlns:c16="http://schemas.microsoft.com/office/drawing/2014/chart" uri="{C3380CC4-5D6E-409C-BE32-E72D297353CC}">
                <c16:uniqueId val="{00000005-AEFB-4955-8A96-32F6A1B0ED68}"/>
              </c:ext>
            </c:extLst>
          </c:dPt>
          <c:dPt>
            <c:idx val="3"/>
            <c:spPr>
              <a:solidFill>
                <a:srgbClr val="00B050"/>
              </a:solidFill>
              <a:ln>
                <a:noFill/>
              </a:ln>
              <a:effectLst/>
              <a:scene3d>
                <a:camera prst="orthographicFront"/>
                <a:lightRig rig="brightRoom" dir="t"/>
              </a:scene3d>
              <a:sp3d prstMaterial="flat">
                <a:bevelT w="50800" h="101600" prst="angle"/>
                <a:contourClr>
                  <a:srgbClr val="000000"/>
                </a:contourClr>
              </a:sp3d>
            </c:spPr>
            <c:extLst xmlns:c16r2="http://schemas.microsoft.com/office/drawing/2015/06/chart">
              <c:ext xmlns:c16="http://schemas.microsoft.com/office/drawing/2014/chart" uri="{C3380CC4-5D6E-409C-BE32-E72D297353CC}">
                <c16:uniqueId val="{00000007-AEFB-4955-8A96-32F6A1B0ED68}"/>
              </c:ext>
            </c:extLst>
          </c:dPt>
          <c:dPt>
            <c:idx val="4"/>
            <c:spPr>
              <a:solidFill>
                <a:srgbClr val="FFFF00"/>
              </a:solidFill>
              <a:ln>
                <a:noFill/>
              </a:ln>
              <a:effectLst/>
              <a:scene3d>
                <a:camera prst="orthographicFront"/>
                <a:lightRig rig="brightRoom" dir="t"/>
              </a:scene3d>
              <a:sp3d prstMaterial="flat">
                <a:bevelT w="50800" h="101600" prst="angle"/>
                <a:contourClr>
                  <a:srgbClr val="000000"/>
                </a:contourClr>
              </a:sp3d>
            </c:spPr>
            <c:extLst xmlns:c16r2="http://schemas.microsoft.com/office/drawing/2015/06/chart">
              <c:ext xmlns:c16="http://schemas.microsoft.com/office/drawing/2014/chart" uri="{C3380CC4-5D6E-409C-BE32-E72D297353CC}">
                <c16:uniqueId val="{00000009-AEFB-4955-8A96-32F6A1B0ED68}"/>
              </c:ext>
            </c:extLst>
          </c:dPt>
          <c:dPt>
            <c:idx val="5"/>
            <c:extLst xmlns:c16r2="http://schemas.microsoft.com/office/drawing/2015/06/chart">
              <c:ext xmlns:c16="http://schemas.microsoft.com/office/drawing/2014/chart" uri="{C3380CC4-5D6E-409C-BE32-E72D297353CC}">
                <c16:uniqueId val="{0000000B-AEFB-4955-8A96-32F6A1B0ED68}"/>
              </c:ext>
            </c:extLst>
          </c:dPt>
          <c:dLbls>
            <c:spPr>
              <a:noFill/>
              <a:ln>
                <a:noFill/>
              </a:ln>
              <a:effectLst/>
            </c:spPr>
            <c:txPr>
              <a:bodyPr rot="-5400000" spcFirstLastPara="1" vertOverflow="ellipsis" wrap="square" lIns="38100" tIns="19050" rIns="38100" bIns="19050" anchor="ctr" anchorCtr="1">
                <a:spAutoFit/>
              </a:bodyPr>
              <a:lstStyle/>
              <a:p>
                <a:pPr>
                  <a:defRPr sz="1100" b="1" i="0" u="none" strike="noStrike" kern="1200" baseline="0">
                    <a:solidFill>
                      <a:schemeClr val="tx1"/>
                    </a:solidFill>
                    <a:latin typeface="+mn-lt"/>
                    <a:ea typeface="+mn-ea"/>
                    <a:cs typeface="+mn-cs"/>
                  </a:defRPr>
                </a:pPr>
                <a:endParaRPr lang="en-US"/>
              </a:p>
            </c:txPr>
            <c:dLblPos val="outEnd"/>
            <c:showVal val="1"/>
            <c:extLst xmlns:c16r2="http://schemas.microsoft.com/office/drawing/2015/06/char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'Balance Sheet'!$DL$32:$DL$37</c:f>
              <c:strCache>
                <c:ptCount val="6"/>
                <c:pt idx="0">
                  <c:v>Mahesh</c:v>
                </c:pt>
                <c:pt idx="1">
                  <c:v>Kiran</c:v>
                </c:pt>
                <c:pt idx="2">
                  <c:v>Srinivas</c:v>
                </c:pt>
                <c:pt idx="3">
                  <c:v>Pradeep</c:v>
                </c:pt>
                <c:pt idx="4">
                  <c:v>Ganesh</c:v>
                </c:pt>
                <c:pt idx="5">
                  <c:v>Madhu</c:v>
                </c:pt>
              </c:strCache>
            </c:strRef>
          </c:cat>
          <c:val>
            <c:numRef>
              <c:f>'Balance Sheet'!$DM$32:$DM$37</c:f>
              <c:numCache>
                <c:formatCode>#,##0</c:formatCode>
                <c:ptCount val="6"/>
                <c:pt idx="0">
                  <c:v>1355200</c:v>
                </c:pt>
                <c:pt idx="1">
                  <c:v>672145</c:v>
                </c:pt>
                <c:pt idx="2">
                  <c:v>224585</c:v>
                </c:pt>
                <c:pt idx="3">
                  <c:v>937650</c:v>
                </c:pt>
                <c:pt idx="4">
                  <c:v>356500</c:v>
                </c:pt>
                <c:pt idx="5">
                  <c:v>0</c:v>
                </c:pt>
              </c:numCache>
            </c:numRef>
          </c:val>
          <c:extLst xmlns:c16r2="http://schemas.microsoft.com/office/drawing/2015/06/chart">
            <c:ext xmlns:c16="http://schemas.microsoft.com/office/drawing/2014/chart" uri="{C3380CC4-5D6E-409C-BE32-E72D297353CC}">
              <c16:uniqueId val="{0000000C-AEFB-4955-8A96-32F6A1B0ED68}"/>
            </c:ext>
          </c:extLst>
        </c:ser>
        <c:dLbls/>
        <c:gapWidth val="100"/>
        <c:axId val="115068928"/>
        <c:axId val="115070464"/>
      </c:barChart>
      <c:catAx>
        <c:axId val="115068928"/>
        <c:scaling>
          <c:orientation val="minMax"/>
        </c:scaling>
        <c:axPos val="b"/>
        <c:numFmt formatCode="General" sourceLinked="1"/>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115070464"/>
        <c:crosses val="autoZero"/>
        <c:auto val="1"/>
        <c:lblAlgn val="ctr"/>
        <c:lblOffset val="100"/>
      </c:catAx>
      <c:valAx>
        <c:axId val="115070464"/>
        <c:scaling>
          <c:orientation val="minMax"/>
        </c:scaling>
        <c:delete val="1"/>
        <c:axPos val="l"/>
        <c:numFmt formatCode="#,##0" sourceLinked="1"/>
        <c:tickLblPos val="none"/>
        <c:crossAx val="115068928"/>
        <c:crosses val="autoZero"/>
        <c:crossBetween val="between"/>
      </c:valAx>
      <c:spPr>
        <a:noFill/>
        <a:ln>
          <a:noFill/>
        </a:ln>
        <a:effectLst/>
      </c:spPr>
    </c:plotArea>
    <c:dispBlanksAs val="gap"/>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11" l="0.70000000000000007" r="0.70000000000000007" t="0.75000000000000011" header="0.30000000000000004" footer="0.30000000000000004"/>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lang val="en-US"/>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a:t>Expenditure</a:t>
            </a:r>
          </a:p>
        </c:rich>
      </c:tx>
      <c:layout/>
      <c:spPr>
        <a:noFill/>
        <a:ln>
          <a:noFill/>
        </a:ln>
        <a:effectLst/>
      </c:spPr>
    </c:title>
    <c:plotArea>
      <c:layout>
        <c:manualLayout>
          <c:layoutTarget val="inner"/>
          <c:xMode val="edge"/>
          <c:yMode val="edge"/>
          <c:x val="3.1688573061902127E-2"/>
          <c:y val="0.28946507121424547"/>
          <c:w val="0.93305273980035319"/>
          <c:h val="0.61550220063682537"/>
        </c:manualLayout>
      </c:layout>
      <c:barChart>
        <c:barDir val="col"/>
        <c:grouping val="clustered"/>
        <c:ser>
          <c:idx val="0"/>
          <c:order val="0"/>
          <c:spPr>
            <a:solidFill>
              <a:srgbClr val="00B050"/>
            </a:solidFill>
            <a:ln>
              <a:noFill/>
            </a:ln>
            <a:effectLst/>
            <a:scene3d>
              <a:camera prst="orthographicFront"/>
              <a:lightRig rig="brightRoom" dir="t"/>
            </a:scene3d>
            <a:sp3d prstMaterial="flat">
              <a:bevelT w="50800" h="101600" prst="angle"/>
              <a:contourClr>
                <a:srgbClr val="000000"/>
              </a:contourClr>
            </a:sp3d>
          </c:spPr>
          <c:dPt>
            <c:idx val="0"/>
            <c:spPr>
              <a:solidFill>
                <a:srgbClr val="00B0F0"/>
              </a:solidFill>
              <a:ln>
                <a:noFill/>
              </a:ln>
              <a:effectLst/>
              <a:scene3d>
                <a:camera prst="orthographicFront"/>
                <a:lightRig rig="brightRoom" dir="t"/>
              </a:scene3d>
              <a:sp3d prstMaterial="flat">
                <a:bevelT w="50800" h="101600" prst="angle"/>
                <a:contourClr>
                  <a:srgbClr val="000000"/>
                </a:contourClr>
              </a:sp3d>
            </c:spPr>
            <c:extLst xmlns:c16r2="http://schemas.microsoft.com/office/drawing/2015/06/chart">
              <c:ext xmlns:c16="http://schemas.microsoft.com/office/drawing/2014/chart" uri="{C3380CC4-5D6E-409C-BE32-E72D297353CC}">
                <c16:uniqueId val="{00000001-868A-4336-8960-51AAF769F3B7}"/>
              </c:ext>
            </c:extLst>
          </c:dPt>
          <c:dPt>
            <c:idx val="1"/>
            <c:extLst xmlns:c16r2="http://schemas.microsoft.com/office/drawing/2015/06/chart">
              <c:ext xmlns:c16="http://schemas.microsoft.com/office/drawing/2014/chart" uri="{C3380CC4-5D6E-409C-BE32-E72D297353CC}">
                <c16:uniqueId val="{00000003-868A-4336-8960-51AAF769F3B7}"/>
              </c:ext>
            </c:extLst>
          </c:dPt>
          <c:dPt>
            <c:idx val="2"/>
            <c:spPr>
              <a:solidFill>
                <a:srgbClr val="FF0000"/>
              </a:solidFill>
              <a:ln>
                <a:noFill/>
              </a:ln>
              <a:effectLst/>
              <a:scene3d>
                <a:camera prst="orthographicFront"/>
                <a:lightRig rig="brightRoom" dir="t"/>
              </a:scene3d>
              <a:sp3d prstMaterial="flat">
                <a:bevelT w="50800" h="101600" prst="angle"/>
                <a:contourClr>
                  <a:srgbClr val="000000"/>
                </a:contourClr>
              </a:sp3d>
            </c:spPr>
            <c:extLst xmlns:c16r2="http://schemas.microsoft.com/office/drawing/2015/06/chart">
              <c:ext xmlns:c16="http://schemas.microsoft.com/office/drawing/2014/chart" uri="{C3380CC4-5D6E-409C-BE32-E72D297353CC}">
                <c16:uniqueId val="{00000005-868A-4336-8960-51AAF769F3B7}"/>
              </c:ext>
            </c:extLst>
          </c:dPt>
          <c:dLbls>
            <c:spPr>
              <a:noFill/>
              <a:ln>
                <a:noFill/>
              </a:ln>
              <a:effectLst/>
            </c:spPr>
            <c:txPr>
              <a:bodyPr rot="-5400000" spcFirstLastPara="1" vertOverflow="ellipsis" wrap="square" lIns="38100" tIns="19050" rIns="38100" bIns="19050" anchor="ctr" anchorCtr="1">
                <a:spAutoFit/>
              </a:bodyPr>
              <a:lstStyle/>
              <a:p>
                <a:pPr>
                  <a:defRPr sz="1100" b="1" i="0" u="none" strike="noStrike" kern="1200" baseline="0">
                    <a:solidFill>
                      <a:schemeClr val="tx1"/>
                    </a:solidFill>
                    <a:latin typeface="+mn-lt"/>
                    <a:ea typeface="+mn-ea"/>
                    <a:cs typeface="+mn-cs"/>
                  </a:defRPr>
                </a:pPr>
                <a:endParaRPr lang="en-US"/>
              </a:p>
            </c:txPr>
            <c:dLblPos val="outEnd"/>
            <c:showVal val="1"/>
            <c:extLst xmlns:c16r2="http://schemas.microsoft.com/office/drawing/2015/06/char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'Balance Sheet'!$DH$28:$DH$30</c:f>
              <c:strCache>
                <c:ptCount val="3"/>
                <c:pt idx="0">
                  <c:v>Office</c:v>
                </c:pt>
                <c:pt idx="1">
                  <c:v>Salaries</c:v>
                </c:pt>
                <c:pt idx="2">
                  <c:v>Miscellaneous</c:v>
                </c:pt>
              </c:strCache>
            </c:strRef>
          </c:cat>
          <c:val>
            <c:numRef>
              <c:f>'Balance Sheet'!$DI$28:$DI$30</c:f>
              <c:numCache>
                <c:formatCode>#,##0</c:formatCode>
                <c:ptCount val="3"/>
                <c:pt idx="0">
                  <c:v>64365</c:v>
                </c:pt>
                <c:pt idx="1">
                  <c:v>704500</c:v>
                </c:pt>
                <c:pt idx="2">
                  <c:v>205000</c:v>
                </c:pt>
              </c:numCache>
            </c:numRef>
          </c:val>
          <c:extLst xmlns:c16r2="http://schemas.microsoft.com/office/drawing/2015/06/chart">
            <c:ext xmlns:c16="http://schemas.microsoft.com/office/drawing/2014/chart" uri="{C3380CC4-5D6E-409C-BE32-E72D297353CC}">
              <c16:uniqueId val="{00000006-868A-4336-8960-51AAF769F3B7}"/>
            </c:ext>
          </c:extLst>
        </c:ser>
        <c:dLbls>
          <c:showVal val="1"/>
        </c:dLbls>
        <c:gapWidth val="100"/>
        <c:axId val="115113984"/>
        <c:axId val="115115520"/>
      </c:barChart>
      <c:catAx>
        <c:axId val="115113984"/>
        <c:scaling>
          <c:orientation val="minMax"/>
        </c:scaling>
        <c:axPos val="b"/>
        <c:numFmt formatCode="General" sourceLinked="1"/>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115115520"/>
        <c:crosses val="autoZero"/>
        <c:auto val="1"/>
        <c:lblAlgn val="ctr"/>
        <c:lblOffset val="100"/>
      </c:catAx>
      <c:valAx>
        <c:axId val="115115520"/>
        <c:scaling>
          <c:orientation val="minMax"/>
        </c:scaling>
        <c:delete val="1"/>
        <c:axPos val="l"/>
        <c:numFmt formatCode="#,##0" sourceLinked="1"/>
        <c:tickLblPos val="none"/>
        <c:crossAx val="115113984"/>
        <c:crosses val="autoZero"/>
        <c:crossBetween val="between"/>
      </c:valAx>
      <c:spPr>
        <a:noFill/>
        <a:ln>
          <a:noFill/>
        </a:ln>
        <a:effectLst/>
      </c:spPr>
    </c:plotArea>
    <c:dispBlanksAs val="gap"/>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11" l="0.70000000000000007" r="0.70000000000000007" t="0.75000000000000011" header="0.30000000000000004" footer="0.30000000000000004"/>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lang val="en-US"/>
  <c:chart>
    <c:title>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plotArea>
      <c:layout/>
      <c:barChart>
        <c:barDir val="col"/>
        <c:grouping val="clustered"/>
        <c:ser>
          <c:idx val="0"/>
          <c:order val="0"/>
          <c:tx>
            <c:v>DUES</c:v>
          </c:tx>
          <c:spPr>
            <a:solidFill>
              <a:srgbClr val="FF0000"/>
            </a:solidFill>
            <a:ln>
              <a:noFill/>
            </a:ln>
            <a:effectLst/>
          </c:spPr>
          <c:dPt>
            <c:idx val="1"/>
            <c:spPr>
              <a:solidFill>
                <a:srgbClr val="FFFF00"/>
              </a:solidFill>
              <a:ln>
                <a:noFill/>
              </a:ln>
              <a:effectLst/>
            </c:spPr>
            <c:extLst xmlns:c16r2="http://schemas.microsoft.com/office/drawing/2015/06/chart">
              <c:ext xmlns:c16="http://schemas.microsoft.com/office/drawing/2014/chart" uri="{C3380CC4-5D6E-409C-BE32-E72D297353CC}">
                <c16:uniqueId val="{00000000-8308-489F-BA9C-6996388E0755}"/>
              </c:ext>
            </c:extLst>
          </c:dPt>
          <c:dPt>
            <c:idx val="2"/>
            <c:spPr>
              <a:solidFill>
                <a:srgbClr val="92D050"/>
              </a:solidFill>
              <a:ln>
                <a:noFill/>
              </a:ln>
              <a:effectLst/>
            </c:spPr>
            <c:extLst xmlns:c16r2="http://schemas.microsoft.com/office/drawing/2015/06/chart">
              <c:ext xmlns:c16="http://schemas.microsoft.com/office/drawing/2014/chart" uri="{C3380CC4-5D6E-409C-BE32-E72D297353CC}">
                <c16:uniqueId val="{00000001-8308-489F-BA9C-6996388E0755}"/>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Val val="1"/>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'Balance Sheet'!$DG$907:$DG$909</c:f>
              <c:strCache>
                <c:ptCount val="3"/>
                <c:pt idx="0">
                  <c:v>Red</c:v>
                </c:pt>
                <c:pt idx="1">
                  <c:v>Yellow</c:v>
                </c:pt>
                <c:pt idx="2">
                  <c:v>Green</c:v>
                </c:pt>
              </c:strCache>
            </c:strRef>
          </c:cat>
          <c:val>
            <c:numRef>
              <c:f>'Balance Sheet'!$DH$907:$DH$909</c:f>
              <c:numCache>
                <c:formatCode>General</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3-C617-4757-862F-18761D2BC4C3}"/>
            </c:ext>
          </c:extLst>
        </c:ser>
        <c:dLbls>
          <c:showVal val="1"/>
        </c:dLbls>
        <c:gapWidth val="219"/>
        <c:overlap val="-27"/>
        <c:axId val="115149824"/>
        <c:axId val="115159808"/>
      </c:barChart>
      <c:catAx>
        <c:axId val="115149824"/>
        <c:scaling>
          <c:orientation val="minMax"/>
        </c:scaling>
        <c:axPos val="b"/>
        <c:numFmt formatCode="General" sourceLinked="1"/>
        <c:maj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crossAx val="115159808"/>
        <c:crosses val="autoZero"/>
        <c:auto val="1"/>
        <c:lblAlgn val="ctr"/>
        <c:lblOffset val="100"/>
      </c:catAx>
      <c:valAx>
        <c:axId val="115159808"/>
        <c:scaling>
          <c:orientation val="minMax"/>
        </c:scaling>
        <c:delete val="1"/>
        <c:axPos val="l"/>
        <c:numFmt formatCode="General" sourceLinked="1"/>
        <c:majorTickMark val="none"/>
        <c:tickLblPos val="none"/>
        <c:crossAx val="115149824"/>
        <c:crosses val="autoZero"/>
        <c:crossBetween val="between"/>
      </c:valAx>
      <c:spPr>
        <a:noFill/>
        <a:ln>
          <a:noFill/>
        </a:ln>
        <a:effectLst/>
      </c:spPr>
    </c:plotArea>
    <c:dispBlanksAs val="gap"/>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11" l="0.70000000000000007" r="0.70000000000000007" t="0.75000000000000011" header="0.30000000000000004" footer="0.30000000000000004"/>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lang val="en-US"/>
  <c:chart>
    <c:title>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plotArea>
      <c:layout/>
      <c:barChart>
        <c:barDir val="col"/>
        <c:grouping val="clustered"/>
        <c:ser>
          <c:idx val="0"/>
          <c:order val="0"/>
          <c:tx>
            <c:v>DUES</c:v>
          </c:tx>
          <c:spPr>
            <a:solidFill>
              <a:srgbClr val="FF0000"/>
            </a:solidFill>
            <a:ln>
              <a:noFill/>
            </a:ln>
            <a:effectLst/>
          </c:spPr>
          <c:dPt>
            <c:idx val="1"/>
            <c:spPr>
              <a:solidFill>
                <a:srgbClr val="FFFF00"/>
              </a:solidFill>
              <a:ln>
                <a:noFill/>
              </a:ln>
              <a:effectLst/>
            </c:spPr>
            <c:extLst xmlns:c16r2="http://schemas.microsoft.com/office/drawing/2015/06/chart">
              <c:ext xmlns:c16="http://schemas.microsoft.com/office/drawing/2014/chart" uri="{C3380CC4-5D6E-409C-BE32-E72D297353CC}">
                <c16:uniqueId val="{00000000-8B82-4355-9D3C-3C85C7C3225E}"/>
              </c:ext>
            </c:extLst>
          </c:dPt>
          <c:dPt>
            <c:idx val="2"/>
            <c:spPr>
              <a:solidFill>
                <a:srgbClr val="92D050"/>
              </a:solidFill>
              <a:ln>
                <a:noFill/>
              </a:ln>
              <a:effectLst/>
            </c:spPr>
            <c:extLst xmlns:c16r2="http://schemas.microsoft.com/office/drawing/2015/06/chart">
              <c:ext xmlns:c16="http://schemas.microsoft.com/office/drawing/2014/chart" uri="{C3380CC4-5D6E-409C-BE32-E72D297353CC}">
                <c16:uniqueId val="{00000001-8B82-4355-9D3C-3C85C7C3225E}"/>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Val val="1"/>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'Balance Sheet'!$DG$758:$DG$760</c:f>
              <c:strCache>
                <c:ptCount val="3"/>
                <c:pt idx="0">
                  <c:v>Red</c:v>
                </c:pt>
                <c:pt idx="1">
                  <c:v>Yellow</c:v>
                </c:pt>
                <c:pt idx="2">
                  <c:v>Green</c:v>
                </c:pt>
              </c:strCache>
            </c:strRef>
          </c:cat>
          <c:val>
            <c:numRef>
              <c:f>'Balance Sheet'!$DH$758:$DH$760</c:f>
              <c:numCache>
                <c:formatCode>General</c:formatCode>
                <c:ptCount val="3"/>
                <c:pt idx="0">
                  <c:v>45</c:v>
                </c:pt>
                <c:pt idx="1">
                  <c:v>0</c:v>
                </c:pt>
                <c:pt idx="2">
                  <c:v>0</c:v>
                </c:pt>
              </c:numCache>
            </c:numRef>
          </c:val>
          <c:extLst xmlns:c16r2="http://schemas.microsoft.com/office/drawing/2015/06/chart">
            <c:ext xmlns:c16="http://schemas.microsoft.com/office/drawing/2014/chart" uri="{C3380CC4-5D6E-409C-BE32-E72D297353CC}">
              <c16:uniqueId val="{00000003-91A1-4C45-81E4-28CF049E400B}"/>
            </c:ext>
          </c:extLst>
        </c:ser>
        <c:dLbls/>
        <c:gapWidth val="219"/>
        <c:overlap val="-27"/>
        <c:axId val="115206400"/>
        <c:axId val="115220480"/>
      </c:barChart>
      <c:catAx>
        <c:axId val="115206400"/>
        <c:scaling>
          <c:orientation val="minMax"/>
        </c:scaling>
        <c:axPos val="b"/>
        <c:numFmt formatCode="General" sourceLinked="1"/>
        <c:maj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crossAx val="115220480"/>
        <c:crosses val="autoZero"/>
        <c:auto val="1"/>
        <c:lblAlgn val="ctr"/>
        <c:lblOffset val="100"/>
      </c:catAx>
      <c:valAx>
        <c:axId val="115220480"/>
        <c:scaling>
          <c:orientation val="minMax"/>
        </c:scaling>
        <c:delete val="1"/>
        <c:axPos val="l"/>
        <c:numFmt formatCode="General" sourceLinked="1"/>
        <c:majorTickMark val="none"/>
        <c:tickLblPos val="none"/>
        <c:crossAx val="115206400"/>
        <c:crosses val="autoZero"/>
        <c:crossBetween val="between"/>
      </c:valAx>
      <c:spPr>
        <a:noFill/>
        <a:ln>
          <a:noFill/>
        </a:ln>
        <a:effectLst/>
      </c:spPr>
    </c:plotArea>
    <c:dispBlanksAs val="gap"/>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11" l="0.70000000000000007" r="0.70000000000000007" t="0.75000000000000011" header="0.30000000000000004" footer="0.30000000000000004"/>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lang val="en-US"/>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i="0" baseline="0"/>
              <a:t>DUES</a:t>
            </a:r>
          </a:p>
        </c:rich>
      </c:tx>
      <c:spPr>
        <a:noFill/>
        <a:ln>
          <a:noFill/>
        </a:ln>
        <a:effectLst/>
      </c:spPr>
    </c:title>
    <c:plotArea>
      <c:layout/>
      <c:barChart>
        <c:barDir val="col"/>
        <c:grouping val="clustered"/>
        <c:ser>
          <c:idx val="0"/>
          <c:order val="0"/>
          <c:tx>
            <c:v>Dues</c:v>
          </c:tx>
          <c:spPr>
            <a:solidFill>
              <a:schemeClr val="accent1"/>
            </a:solidFill>
            <a:ln>
              <a:noFill/>
            </a:ln>
            <a:effectLst/>
          </c:spPr>
          <c:dPt>
            <c:idx val="0"/>
            <c:spPr>
              <a:solidFill>
                <a:srgbClr val="FF0000"/>
              </a:solidFill>
              <a:ln>
                <a:noFill/>
              </a:ln>
              <a:effectLst/>
            </c:spPr>
            <c:extLst xmlns:c16r2="http://schemas.microsoft.com/office/drawing/2015/06/chart">
              <c:ext xmlns:c16="http://schemas.microsoft.com/office/drawing/2014/chart" uri="{C3380CC4-5D6E-409C-BE32-E72D297353CC}">
                <c16:uniqueId val="{00000004-4839-4D5E-B73A-026EC7537273}"/>
              </c:ext>
            </c:extLst>
          </c:dPt>
          <c:dPt>
            <c:idx val="1"/>
            <c:spPr>
              <a:solidFill>
                <a:srgbClr val="FFFF00"/>
              </a:solidFill>
              <a:ln>
                <a:noFill/>
              </a:ln>
              <a:effectLst/>
            </c:spPr>
            <c:extLst xmlns:c16r2="http://schemas.microsoft.com/office/drawing/2015/06/chart">
              <c:ext xmlns:c16="http://schemas.microsoft.com/office/drawing/2014/chart" uri="{C3380CC4-5D6E-409C-BE32-E72D297353CC}">
                <c16:uniqueId val="{00000002-16B3-48D5-9CBA-66EA00C4B11F}"/>
              </c:ext>
            </c:extLst>
          </c:dPt>
          <c:dPt>
            <c:idx val="2"/>
            <c:spPr>
              <a:solidFill>
                <a:srgbClr val="92D050"/>
              </a:solidFill>
              <a:ln>
                <a:noFill/>
              </a:ln>
              <a:effectLst/>
            </c:spPr>
            <c:extLst xmlns:c16r2="http://schemas.microsoft.com/office/drawing/2015/06/chart">
              <c:ext xmlns:c16="http://schemas.microsoft.com/office/drawing/2014/chart" uri="{C3380CC4-5D6E-409C-BE32-E72D297353CC}">
                <c16:uniqueId val="{00000003-16B3-48D5-9CBA-66EA00C4B11F}"/>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Val val="1"/>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'Balance Sheet'!$DG$607:$DG$609</c:f>
              <c:strCache>
                <c:ptCount val="3"/>
                <c:pt idx="0">
                  <c:v>Red</c:v>
                </c:pt>
                <c:pt idx="1">
                  <c:v>Yellow</c:v>
                </c:pt>
                <c:pt idx="2">
                  <c:v>Green</c:v>
                </c:pt>
              </c:strCache>
            </c:strRef>
          </c:cat>
          <c:val>
            <c:numRef>
              <c:f>'Balance Sheet'!$DH$607:$DH$609</c:f>
              <c:numCache>
                <c:formatCode>General</c:formatCode>
                <c:ptCount val="3"/>
                <c:pt idx="0">
                  <c:v>116</c:v>
                </c:pt>
                <c:pt idx="1">
                  <c:v>0</c:v>
                </c:pt>
                <c:pt idx="2">
                  <c:v>0</c:v>
                </c:pt>
              </c:numCache>
            </c:numRef>
          </c:val>
          <c:extLst xmlns:c16r2="http://schemas.microsoft.com/office/drawing/2015/06/chart">
            <c:ext xmlns:c16="http://schemas.microsoft.com/office/drawing/2014/chart" uri="{C3380CC4-5D6E-409C-BE32-E72D297353CC}">
              <c16:uniqueId val="{00000003-4839-4D5E-B73A-026EC7537273}"/>
            </c:ext>
          </c:extLst>
        </c:ser>
        <c:dLbls/>
        <c:gapWidth val="219"/>
        <c:overlap val="-27"/>
        <c:axId val="115247360"/>
        <c:axId val="115253248"/>
      </c:barChart>
      <c:catAx>
        <c:axId val="115247360"/>
        <c:scaling>
          <c:orientation val="minMax"/>
        </c:scaling>
        <c:axPos val="b"/>
        <c:numFmt formatCode="General" sourceLinked="1"/>
        <c:maj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crossAx val="115253248"/>
        <c:crosses val="autoZero"/>
        <c:auto val="1"/>
        <c:lblAlgn val="ctr"/>
        <c:lblOffset val="100"/>
      </c:catAx>
      <c:valAx>
        <c:axId val="115253248"/>
        <c:scaling>
          <c:orientation val="minMax"/>
        </c:scaling>
        <c:delete val="1"/>
        <c:axPos val="l"/>
        <c:numFmt formatCode="General" sourceLinked="1"/>
        <c:majorTickMark val="none"/>
        <c:tickLblPos val="none"/>
        <c:crossAx val="115247360"/>
        <c:crosses val="autoZero"/>
        <c:crossBetween val="between"/>
      </c:valAx>
      <c:spPr>
        <a:noFill/>
        <a:ln>
          <a:noFill/>
        </a:ln>
        <a:effectLst/>
      </c:spPr>
    </c:plotArea>
    <c:dispBlanksAs val="gap"/>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11" l="0.70000000000000007" r="0.70000000000000007" t="0.75000000000000011" header="0.30000000000000004" footer="0.30000000000000004"/>
    <c:pageSetup orientation="portrait"/>
  </c:printSettings>
</c:chartSpace>
</file>

<file path=xl/charts/chart16.xml><?xml version="1.0" encoding="utf-8"?>
<c:chartSpace xmlns:c="http://schemas.openxmlformats.org/drawingml/2006/chart" xmlns:a="http://schemas.openxmlformats.org/drawingml/2006/main" xmlns:r="http://schemas.openxmlformats.org/officeDocument/2006/relationships">
  <c:lang val="en-US"/>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i="0" baseline="0"/>
              <a:t>DUES</a:t>
            </a:r>
          </a:p>
        </c:rich>
      </c:tx>
      <c:spPr>
        <a:noFill/>
        <a:ln>
          <a:noFill/>
        </a:ln>
        <a:effectLst/>
      </c:spPr>
    </c:title>
    <c:plotArea>
      <c:layout/>
      <c:barChart>
        <c:barDir val="col"/>
        <c:grouping val="clustered"/>
        <c:ser>
          <c:idx val="0"/>
          <c:order val="0"/>
          <c:tx>
            <c:v>DUES</c:v>
          </c:tx>
          <c:spPr>
            <a:solidFill>
              <a:srgbClr val="FF0000"/>
            </a:solidFill>
            <a:ln>
              <a:noFill/>
            </a:ln>
            <a:effectLst/>
          </c:spPr>
          <c:dPt>
            <c:idx val="1"/>
            <c:spPr>
              <a:solidFill>
                <a:srgbClr val="FFFF00"/>
              </a:solidFill>
              <a:ln>
                <a:noFill/>
              </a:ln>
              <a:effectLst/>
            </c:spPr>
            <c:extLst xmlns:c16r2="http://schemas.microsoft.com/office/drawing/2015/06/chart">
              <c:ext xmlns:c16="http://schemas.microsoft.com/office/drawing/2014/chart" uri="{C3380CC4-5D6E-409C-BE32-E72D297353CC}">
                <c16:uniqueId val="{00000000-B356-483A-BA3E-C0E8CB435F53}"/>
              </c:ext>
            </c:extLst>
          </c:dPt>
          <c:dPt>
            <c:idx val="2"/>
            <c:spPr>
              <a:solidFill>
                <a:srgbClr val="92D050"/>
              </a:solidFill>
              <a:ln>
                <a:noFill/>
              </a:ln>
              <a:effectLst/>
            </c:spPr>
            <c:extLst xmlns:c16r2="http://schemas.microsoft.com/office/drawing/2015/06/chart">
              <c:ext xmlns:c16="http://schemas.microsoft.com/office/drawing/2014/chart" uri="{C3380CC4-5D6E-409C-BE32-E72D297353CC}">
                <c16:uniqueId val="{00000001-B356-483A-BA3E-C0E8CB435F53}"/>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Val val="1"/>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'Balance Sheet'!$DG$457:$DG$459</c:f>
              <c:strCache>
                <c:ptCount val="3"/>
                <c:pt idx="0">
                  <c:v>Red</c:v>
                </c:pt>
                <c:pt idx="1">
                  <c:v>Yellow</c:v>
                </c:pt>
                <c:pt idx="2">
                  <c:v>Green</c:v>
                </c:pt>
              </c:strCache>
            </c:strRef>
          </c:cat>
          <c:val>
            <c:numRef>
              <c:f>'Balance Sheet'!$DH$457:$DH$459</c:f>
              <c:numCache>
                <c:formatCode>General</c:formatCode>
                <c:ptCount val="3"/>
                <c:pt idx="0">
                  <c:v>125</c:v>
                </c:pt>
                <c:pt idx="1">
                  <c:v>0</c:v>
                </c:pt>
                <c:pt idx="2">
                  <c:v>0</c:v>
                </c:pt>
              </c:numCache>
            </c:numRef>
          </c:val>
          <c:extLst xmlns:c16r2="http://schemas.microsoft.com/office/drawing/2015/06/chart">
            <c:ext xmlns:c16="http://schemas.microsoft.com/office/drawing/2014/chart" uri="{C3380CC4-5D6E-409C-BE32-E72D297353CC}">
              <c16:uniqueId val="{00000000-490E-4D56-BE70-91860A6A8882}"/>
            </c:ext>
          </c:extLst>
        </c:ser>
        <c:dLbls/>
        <c:gapWidth val="219"/>
        <c:overlap val="-27"/>
        <c:axId val="115279360"/>
        <c:axId val="115280896"/>
      </c:barChart>
      <c:catAx>
        <c:axId val="115279360"/>
        <c:scaling>
          <c:orientation val="minMax"/>
        </c:scaling>
        <c:axPos val="b"/>
        <c:numFmt formatCode="General" sourceLinked="1"/>
        <c:maj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crossAx val="115280896"/>
        <c:crosses val="autoZero"/>
        <c:auto val="1"/>
        <c:lblAlgn val="ctr"/>
        <c:lblOffset val="100"/>
      </c:catAx>
      <c:valAx>
        <c:axId val="115280896"/>
        <c:scaling>
          <c:orientation val="minMax"/>
        </c:scaling>
        <c:delete val="1"/>
        <c:axPos val="l"/>
        <c:numFmt formatCode="General" sourceLinked="1"/>
        <c:majorTickMark val="none"/>
        <c:tickLblPos val="none"/>
        <c:crossAx val="115279360"/>
        <c:crosses val="autoZero"/>
        <c:crossBetween val="between"/>
      </c:valAx>
      <c:spPr>
        <a:noFill/>
        <a:ln>
          <a:noFill/>
        </a:ln>
        <a:effectLst/>
      </c:spPr>
    </c:plotArea>
    <c:dispBlanksAs val="gap"/>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11" l="0.70000000000000007" r="0.70000000000000007" t="0.75000000000000011" header="0.30000000000000004" footer="0.30000000000000004"/>
    <c:pageSetup orientation="portrait"/>
  </c:printSettings>
</c:chartSpace>
</file>

<file path=xl/charts/chart17.xml><?xml version="1.0" encoding="utf-8"?>
<c:chartSpace xmlns:c="http://schemas.openxmlformats.org/drawingml/2006/chart" xmlns:a="http://schemas.openxmlformats.org/drawingml/2006/main" xmlns:r="http://schemas.openxmlformats.org/officeDocument/2006/relationships">
  <c:lang val="en-US"/>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i="0" baseline="0"/>
              <a:t>DUES</a:t>
            </a:r>
          </a:p>
        </c:rich>
      </c:tx>
      <c:spPr>
        <a:noFill/>
        <a:ln>
          <a:noFill/>
        </a:ln>
        <a:effectLst/>
      </c:spPr>
    </c:title>
    <c:plotArea>
      <c:layout/>
      <c:barChart>
        <c:barDir val="col"/>
        <c:grouping val="clustered"/>
        <c:ser>
          <c:idx val="0"/>
          <c:order val="0"/>
          <c:tx>
            <c:v>Kiran</c:v>
          </c:tx>
          <c:spPr>
            <a:solidFill>
              <a:srgbClr val="FF0000"/>
            </a:solidFill>
            <a:ln>
              <a:noFill/>
            </a:ln>
            <a:effectLst/>
          </c:spPr>
          <c:dPt>
            <c:idx val="1"/>
            <c:spPr>
              <a:solidFill>
                <a:srgbClr val="FFFF00"/>
              </a:solidFill>
              <a:ln>
                <a:noFill/>
              </a:ln>
              <a:effectLst/>
            </c:spPr>
            <c:extLst xmlns:c16r2="http://schemas.microsoft.com/office/drawing/2015/06/chart">
              <c:ext xmlns:c16="http://schemas.microsoft.com/office/drawing/2014/chart" uri="{C3380CC4-5D6E-409C-BE32-E72D297353CC}">
                <c16:uniqueId val="{00000000-583C-4AE4-8EFD-044076C34073}"/>
              </c:ext>
            </c:extLst>
          </c:dPt>
          <c:dPt>
            <c:idx val="2"/>
            <c:spPr>
              <a:solidFill>
                <a:srgbClr val="92D050"/>
              </a:solidFill>
              <a:ln>
                <a:noFill/>
              </a:ln>
              <a:effectLst/>
            </c:spPr>
            <c:extLst xmlns:c16r2="http://schemas.microsoft.com/office/drawing/2015/06/chart">
              <c:ext xmlns:c16="http://schemas.microsoft.com/office/drawing/2014/chart" uri="{C3380CC4-5D6E-409C-BE32-E72D297353CC}">
                <c16:uniqueId val="{00000001-583C-4AE4-8EFD-044076C34073}"/>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Val val="1"/>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'Balance Sheet'!$DG$307:$DG$309</c:f>
              <c:strCache>
                <c:ptCount val="3"/>
                <c:pt idx="0">
                  <c:v>Red</c:v>
                </c:pt>
                <c:pt idx="1">
                  <c:v>Yellow</c:v>
                </c:pt>
                <c:pt idx="2">
                  <c:v>Green</c:v>
                </c:pt>
              </c:strCache>
            </c:strRef>
          </c:cat>
          <c:val>
            <c:numRef>
              <c:f>'Balance Sheet'!$DH$307:$DH$309</c:f>
              <c:numCache>
                <c:formatCode>General</c:formatCode>
                <c:ptCount val="3"/>
                <c:pt idx="0">
                  <c:v>176</c:v>
                </c:pt>
                <c:pt idx="1">
                  <c:v>0</c:v>
                </c:pt>
                <c:pt idx="2">
                  <c:v>0</c:v>
                </c:pt>
              </c:numCache>
            </c:numRef>
          </c:val>
          <c:extLst xmlns:c16r2="http://schemas.microsoft.com/office/drawing/2015/06/chart">
            <c:ext xmlns:c16="http://schemas.microsoft.com/office/drawing/2014/chart" uri="{C3380CC4-5D6E-409C-BE32-E72D297353CC}">
              <c16:uniqueId val="{00000005-2407-44B1-84A2-8672CB0FFA37}"/>
            </c:ext>
          </c:extLst>
        </c:ser>
        <c:dLbls/>
        <c:gapWidth val="219"/>
        <c:overlap val="-27"/>
        <c:axId val="115331840"/>
        <c:axId val="115333376"/>
      </c:barChart>
      <c:catAx>
        <c:axId val="115331840"/>
        <c:scaling>
          <c:orientation val="minMax"/>
        </c:scaling>
        <c:axPos val="b"/>
        <c:numFmt formatCode="General" sourceLinked="1"/>
        <c:maj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crossAx val="115333376"/>
        <c:crosses val="autoZero"/>
        <c:auto val="1"/>
        <c:lblAlgn val="ctr"/>
        <c:lblOffset val="100"/>
      </c:catAx>
      <c:valAx>
        <c:axId val="115333376"/>
        <c:scaling>
          <c:orientation val="minMax"/>
        </c:scaling>
        <c:delete val="1"/>
        <c:axPos val="l"/>
        <c:numFmt formatCode="General" sourceLinked="1"/>
        <c:majorTickMark val="none"/>
        <c:tickLblPos val="none"/>
        <c:crossAx val="115331840"/>
        <c:crosses val="autoZero"/>
        <c:crossBetween val="between"/>
      </c:valAx>
      <c:spPr>
        <a:noFill/>
        <a:ln>
          <a:noFill/>
        </a:ln>
        <a:effectLst/>
      </c:spPr>
    </c:plotArea>
    <c:dispBlanksAs val="gap"/>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11" l="0.70000000000000007" r="0.70000000000000007" t="0.75000000000000011" header="0.30000000000000004" footer="0.30000000000000004"/>
    <c:pageSetup orientation="portrait"/>
  </c:printSettings>
</c:chartSpace>
</file>

<file path=xl/charts/chart18.xml><?xml version="1.0" encoding="utf-8"?>
<c:chartSpace xmlns:c="http://schemas.openxmlformats.org/drawingml/2006/chart" xmlns:a="http://schemas.openxmlformats.org/drawingml/2006/main" xmlns:r="http://schemas.openxmlformats.org/officeDocument/2006/relationships">
  <c:lang val="en-US"/>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i="0" baseline="0"/>
              <a:t>DUES</a:t>
            </a:r>
          </a:p>
        </c:rich>
      </c:tx>
      <c:spPr>
        <a:noFill/>
        <a:ln>
          <a:noFill/>
        </a:ln>
        <a:effectLst/>
      </c:spPr>
    </c:title>
    <c:plotArea>
      <c:layout>
        <c:manualLayout>
          <c:layoutTarget val="inner"/>
          <c:xMode val="edge"/>
          <c:yMode val="edge"/>
          <c:x val="4.1984732824427488E-2"/>
          <c:y val="0.25504629629629627"/>
          <c:w val="0.91603053435114501"/>
          <c:h val="0.72249015748031509"/>
        </c:manualLayout>
      </c:layout>
      <c:barChart>
        <c:barDir val="col"/>
        <c:grouping val="clustered"/>
        <c:ser>
          <c:idx val="0"/>
          <c:order val="0"/>
          <c:tx>
            <c:v>Mahesh</c:v>
          </c:tx>
          <c:spPr>
            <a:solidFill>
              <a:srgbClr val="FF0000"/>
            </a:solidFill>
            <a:ln>
              <a:noFill/>
            </a:ln>
            <a:effectLst/>
          </c:spPr>
          <c:dPt>
            <c:idx val="1"/>
            <c:spPr>
              <a:solidFill>
                <a:srgbClr val="FFFF00"/>
              </a:solidFill>
              <a:ln>
                <a:noFill/>
              </a:ln>
              <a:effectLst/>
            </c:spPr>
            <c:extLst xmlns:c16r2="http://schemas.microsoft.com/office/drawing/2015/06/chart">
              <c:ext xmlns:c16="http://schemas.microsoft.com/office/drawing/2014/chart" uri="{C3380CC4-5D6E-409C-BE32-E72D297353CC}">
                <c16:uniqueId val="{00000000-2A8B-45C9-993C-71DAF160E1B3}"/>
              </c:ext>
            </c:extLst>
          </c:dPt>
          <c:dPt>
            <c:idx val="2"/>
            <c:spPr>
              <a:solidFill>
                <a:srgbClr val="92D050"/>
              </a:solidFill>
              <a:ln>
                <a:noFill/>
              </a:ln>
              <a:effectLst/>
            </c:spPr>
            <c:extLst xmlns:c16r2="http://schemas.microsoft.com/office/drawing/2015/06/chart">
              <c:ext xmlns:c16="http://schemas.microsoft.com/office/drawing/2014/chart" uri="{C3380CC4-5D6E-409C-BE32-E72D297353CC}">
                <c16:uniqueId val="{00000001-2A8B-45C9-993C-71DAF160E1B3}"/>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Val val="1"/>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'Balance Sheet'!$DF$147:$DF$149</c:f>
              <c:strCache>
                <c:ptCount val="3"/>
                <c:pt idx="0">
                  <c:v>Red</c:v>
                </c:pt>
                <c:pt idx="1">
                  <c:v>Yellow</c:v>
                </c:pt>
                <c:pt idx="2">
                  <c:v>Green</c:v>
                </c:pt>
              </c:strCache>
            </c:strRef>
          </c:cat>
          <c:val>
            <c:numRef>
              <c:f>'Balance Sheet'!$DG$147:$DG$149</c:f>
              <c:numCache>
                <c:formatCode>General</c:formatCode>
                <c:ptCount val="3"/>
                <c:pt idx="0">
                  <c:v>238</c:v>
                </c:pt>
                <c:pt idx="1">
                  <c:v>0</c:v>
                </c:pt>
                <c:pt idx="2">
                  <c:v>0</c:v>
                </c:pt>
              </c:numCache>
            </c:numRef>
          </c:val>
          <c:extLst xmlns:c16r2="http://schemas.microsoft.com/office/drawing/2015/06/chart">
            <c:ext xmlns:c16="http://schemas.microsoft.com/office/drawing/2014/chart" uri="{C3380CC4-5D6E-409C-BE32-E72D297353CC}">
              <c16:uniqueId val="{00000003-BDD7-44EE-8169-BC760EF01406}"/>
            </c:ext>
          </c:extLst>
        </c:ser>
        <c:dLbls/>
        <c:gapWidth val="219"/>
        <c:overlap val="-27"/>
        <c:axId val="115376128"/>
        <c:axId val="115377664"/>
      </c:barChart>
      <c:catAx>
        <c:axId val="115376128"/>
        <c:scaling>
          <c:orientation val="minMax"/>
        </c:scaling>
        <c:axPos val="b"/>
        <c:numFmt formatCode="General" sourceLinked="1"/>
        <c:maj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crossAx val="115377664"/>
        <c:crosses val="autoZero"/>
        <c:auto val="1"/>
        <c:lblAlgn val="ctr"/>
        <c:lblOffset val="100"/>
      </c:catAx>
      <c:valAx>
        <c:axId val="115377664"/>
        <c:scaling>
          <c:orientation val="minMax"/>
        </c:scaling>
        <c:delete val="1"/>
        <c:axPos val="l"/>
        <c:numFmt formatCode="General" sourceLinked="1"/>
        <c:majorTickMark val="none"/>
        <c:tickLblPos val="none"/>
        <c:crossAx val="115376128"/>
        <c:crosses val="autoZero"/>
        <c:crossBetween val="between"/>
      </c:valAx>
      <c:spPr>
        <a:noFill/>
        <a:ln>
          <a:noFill/>
        </a:ln>
        <a:effectLst/>
      </c:spPr>
    </c:plotArea>
    <c:dispBlanksAs val="gap"/>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11" l="0.70000000000000007" r="0.70000000000000007" t="0.75000000000000011" header="0.30000000000000004" footer="0.30000000000000004"/>
    <c:pageSetup orientation="portrait"/>
  </c:printSettings>
</c:chartSpace>
</file>

<file path=xl/charts/chart19.xml><?xml version="1.0" encoding="utf-8"?>
<c:chartSpace xmlns:c="http://schemas.openxmlformats.org/drawingml/2006/chart" xmlns:a="http://schemas.openxmlformats.org/drawingml/2006/main" xmlns:r="http://schemas.openxmlformats.org/officeDocument/2006/relationships">
  <c:lang val="en-US"/>
  <c:chart>
    <c:plotArea>
      <c:layout/>
      <c:barChart>
        <c:barDir val="col"/>
        <c:grouping val="clustered"/>
        <c:ser>
          <c:idx val="0"/>
          <c:order val="0"/>
          <c:tx>
            <c:v>Red</c:v>
          </c:tx>
          <c:spPr>
            <a:solidFill>
              <a:srgbClr val="FF0000"/>
            </a:solidFill>
            <a:ln>
              <a:noFill/>
            </a:ln>
            <a:effectLst/>
          </c:spPr>
          <c:val>
            <c:numLit>
              <c:formatCode>General</c:formatCode>
              <c:ptCount val="1"/>
              <c:pt idx="0">
                <c:v>1</c:v>
              </c:pt>
            </c:numLit>
          </c:val>
          <c:extLst xmlns:c16r2="http://schemas.microsoft.com/office/drawing/2015/06/chart">
            <c:ext xmlns:c16="http://schemas.microsoft.com/office/drawing/2014/chart" uri="{C3380CC4-5D6E-409C-BE32-E72D297353CC}">
              <c16:uniqueId val="{00000000-BD80-4B9B-A12D-8548371D47C2}"/>
            </c:ext>
          </c:extLst>
        </c:ser>
        <c:ser>
          <c:idx val="1"/>
          <c:order val="1"/>
          <c:tx>
            <c:v>Yellow</c:v>
          </c:tx>
          <c:spPr>
            <a:solidFill>
              <a:srgbClr val="FFFF00"/>
            </a:solidFill>
            <a:ln>
              <a:noFill/>
            </a:ln>
            <a:effectLst/>
          </c:spPr>
          <c:val>
            <c:numLit>
              <c:formatCode>General</c:formatCode>
              <c:ptCount val="1"/>
              <c:pt idx="0">
                <c:v>1</c:v>
              </c:pt>
            </c:numLit>
          </c:val>
          <c:extLst xmlns:c16r2="http://schemas.microsoft.com/office/drawing/2015/06/chart">
            <c:ext xmlns:c16="http://schemas.microsoft.com/office/drawing/2014/chart" uri="{C3380CC4-5D6E-409C-BE32-E72D297353CC}">
              <c16:uniqueId val="{00000001-BD80-4B9B-A12D-8548371D47C2}"/>
            </c:ext>
          </c:extLst>
        </c:ser>
        <c:ser>
          <c:idx val="2"/>
          <c:order val="2"/>
          <c:tx>
            <c:v>Green</c:v>
          </c:tx>
          <c:spPr>
            <a:solidFill>
              <a:srgbClr val="00B050"/>
            </a:solidFill>
            <a:ln>
              <a:noFill/>
            </a:ln>
            <a:effectLst/>
          </c:spPr>
          <c:val>
            <c:numLit>
              <c:formatCode>General</c:formatCode>
              <c:ptCount val="1"/>
              <c:pt idx="0">
                <c:v>1</c:v>
              </c:pt>
            </c:numLit>
          </c:val>
          <c:extLst xmlns:c16r2="http://schemas.microsoft.com/office/drawing/2015/06/chart">
            <c:ext xmlns:c16="http://schemas.microsoft.com/office/drawing/2014/chart" uri="{C3380CC4-5D6E-409C-BE32-E72D297353CC}">
              <c16:uniqueId val="{00000002-BD80-4B9B-A12D-8548371D47C2}"/>
            </c:ext>
          </c:extLst>
        </c:ser>
        <c:dLbls/>
        <c:gapWidth val="219"/>
        <c:overlap val="-27"/>
        <c:axId val="115467008"/>
        <c:axId val="115468544"/>
      </c:barChart>
      <c:catAx>
        <c:axId val="115467008"/>
        <c:scaling>
          <c:orientation val="minMax"/>
        </c:scaling>
        <c:axPos val="b"/>
        <c:maj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468544"/>
        <c:crosses val="autoZero"/>
        <c:auto val="1"/>
        <c:lblAlgn val="ctr"/>
        <c:lblOffset val="100"/>
      </c:catAx>
      <c:valAx>
        <c:axId val="115468544"/>
        <c:scaling>
          <c:orientation val="minMax"/>
        </c:scaling>
        <c:axPos val="l"/>
        <c:majorGridlines>
          <c:spPr>
            <a:ln w="9525" cap="flat" cmpd="sng" algn="ctr">
              <a:solidFill>
                <a:schemeClr val="tx1">
                  <a:lumMod val="15000"/>
                  <a:lumOff val="85000"/>
                </a:schemeClr>
              </a:solidFill>
              <a:round/>
            </a:ln>
            <a:effectLst/>
          </c:spPr>
        </c:majorGridlines>
        <c:numFmt formatCode="General" sourceLinked="1"/>
        <c:maj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467008"/>
        <c:crosses val="autoZero"/>
        <c:crossBetween val="between"/>
      </c:valAx>
      <c:spPr>
        <a:noFill/>
        <a:ln>
          <a:noFill/>
        </a:ln>
        <a:effectLst/>
      </c:spPr>
    </c:plotArea>
    <c:plotVisOnly val="1"/>
    <c:dispBlanksAs val="gap"/>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11" l="0.70000000000000007" r="0.70000000000000007" t="0.75000000000000011" header="0.30000000000000004" footer="0.30000000000000004"/>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lang val="en-US"/>
  <c:chart>
    <c:title>
      <c:tx>
        <c:rich>
          <a:bodyPr rot="0" spcFirstLastPara="1" vertOverflow="ellipsis" vert="horz" wrap="square" anchor="ctr" anchorCtr="1"/>
          <a:lstStyle/>
          <a:p>
            <a:pPr>
              <a:defRPr sz="1500" b="1" i="0" u="none" strike="noStrike" kern="1200" spc="0" baseline="0">
                <a:solidFill>
                  <a:schemeClr val="tx1">
                    <a:lumMod val="65000"/>
                    <a:lumOff val="35000"/>
                  </a:schemeClr>
                </a:solidFill>
                <a:latin typeface="+mn-lt"/>
                <a:ea typeface="+mn-ea"/>
                <a:cs typeface="+mn-cs"/>
              </a:defRPr>
            </a:pPr>
            <a:r>
              <a:rPr lang="en-US" sz="1500" b="1" i="0" baseline="0"/>
              <a:t>OPERATORS</a:t>
            </a:r>
          </a:p>
        </c:rich>
      </c:tx>
      <c:spPr>
        <a:noFill/>
        <a:ln>
          <a:noFill/>
        </a:ln>
        <a:effectLst/>
      </c:spPr>
    </c:title>
    <c:plotArea>
      <c:layout>
        <c:manualLayout>
          <c:layoutTarget val="inner"/>
          <c:xMode val="edge"/>
          <c:yMode val="edge"/>
          <c:x val="6.2386630119198551E-3"/>
          <c:y val="0.11706649625693492"/>
          <c:w val="0.98752267397616023"/>
          <c:h val="0.73921420944533667"/>
        </c:manualLayout>
      </c:layout>
      <c:barChart>
        <c:barDir val="col"/>
        <c:grouping val="clustered"/>
        <c:ser>
          <c:idx val="0"/>
          <c:order val="0"/>
          <c:spPr>
            <a:solidFill>
              <a:schemeClr val="accent1"/>
            </a:solidFill>
            <a:ln>
              <a:noFill/>
            </a:ln>
            <a:effectLst/>
          </c:spP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Val val="1"/>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'Balance Sheet'!$AC$1234:$AC$1245</c:f>
              <c:strCache>
                <c:ptCount val="12"/>
                <c:pt idx="0">
                  <c:v>Neelima</c:v>
                </c:pt>
                <c:pt idx="1">
                  <c:v>Sowjanya</c:v>
                </c:pt>
                <c:pt idx="2">
                  <c:v>Usha Latha</c:v>
                </c:pt>
                <c:pt idx="3">
                  <c:v>Rajeshwari</c:v>
                </c:pt>
                <c:pt idx="4">
                  <c:v>Yamini</c:v>
                </c:pt>
                <c:pt idx="5">
                  <c:v>B.Shailaja</c:v>
                </c:pt>
                <c:pt idx="6">
                  <c:v>N.Shailaja</c:v>
                </c:pt>
                <c:pt idx="7">
                  <c:v>Sai</c:v>
                </c:pt>
                <c:pt idx="8">
                  <c:v>Rajini</c:v>
                </c:pt>
                <c:pt idx="9">
                  <c:v>Leena</c:v>
                </c:pt>
                <c:pt idx="10">
                  <c:v>Priyanka</c:v>
                </c:pt>
                <c:pt idx="11">
                  <c:v>Madhu</c:v>
                </c:pt>
              </c:strCache>
            </c:strRef>
          </c:cat>
          <c:val>
            <c:numRef>
              <c:f>'Balance Sheet'!$AD$1234:$AD$1245</c:f>
              <c:numCache>
                <c:formatCode>#,##0</c:formatCode>
                <c:ptCount val="12"/>
                <c:pt idx="0">
                  <c:v>135</c:v>
                </c:pt>
                <c:pt idx="1">
                  <c:v>109</c:v>
                </c:pt>
                <c:pt idx="2">
                  <c:v>109</c:v>
                </c:pt>
                <c:pt idx="3">
                  <c:v>113</c:v>
                </c:pt>
                <c:pt idx="4">
                  <c:v>116</c:v>
                </c:pt>
                <c:pt idx="5">
                  <c:v>115</c:v>
                </c:pt>
                <c:pt idx="6">
                  <c:v>114</c:v>
                </c:pt>
                <c:pt idx="7">
                  <c:v>95</c:v>
                </c:pt>
                <c:pt idx="8">
                  <c:v>105</c:v>
                </c:pt>
                <c:pt idx="9">
                  <c:v>102</c:v>
                </c:pt>
                <c:pt idx="10">
                  <c:v>77</c:v>
                </c:pt>
                <c:pt idx="11">
                  <c:v>113</c:v>
                </c:pt>
              </c:numCache>
            </c:numRef>
          </c:val>
          <c:extLst xmlns:c16r2="http://schemas.microsoft.com/office/drawing/2015/06/chart">
            <c:ext xmlns:c16="http://schemas.microsoft.com/office/drawing/2014/chart" uri="{C3380CC4-5D6E-409C-BE32-E72D297353CC}">
              <c16:uniqueId val="{00000000-34B6-4079-8C85-D18E8D58B512}"/>
            </c:ext>
          </c:extLst>
        </c:ser>
        <c:dLbls/>
        <c:gapWidth val="86"/>
        <c:overlap val="-27"/>
        <c:axId val="115864320"/>
        <c:axId val="115865856"/>
      </c:barChart>
      <c:catAx>
        <c:axId val="115864320"/>
        <c:scaling>
          <c:orientation val="minMax"/>
        </c:scaling>
        <c:axPos val="b"/>
        <c:numFmt formatCode="General" sourceLinked="1"/>
        <c:maj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115865856"/>
        <c:crosses val="autoZero"/>
        <c:auto val="1"/>
        <c:lblAlgn val="ctr"/>
        <c:lblOffset val="100"/>
      </c:catAx>
      <c:valAx>
        <c:axId val="115865856"/>
        <c:scaling>
          <c:orientation val="minMax"/>
        </c:scaling>
        <c:delete val="1"/>
        <c:axPos val="l"/>
        <c:numFmt formatCode="#,##0" sourceLinked="1"/>
        <c:majorTickMark val="none"/>
        <c:tickLblPos val="none"/>
        <c:crossAx val="115864320"/>
        <c:crosses val="autoZero"/>
        <c:crossBetween val="between"/>
      </c:valAx>
      <c:spPr>
        <a:noFill/>
        <a:ln w="25400">
          <a:noFill/>
        </a:ln>
        <a:effectLst/>
      </c:spPr>
    </c:plotArea>
    <c:dispBlanksAs val="gap"/>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11" l="0.70000000000000007" r="0.70000000000000007" t="0.75000000000000011" header="0.30000000000000004" footer="0.30000000000000004"/>
    <c:pageSetup/>
  </c:printSettings>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Lines="10" dropStyle="combo" dx="16" fmlaLink="$C$15" fmlaRange="'List Boxs'!$W$2:$W$11" noThreeD="1" sel="7" val="0"/>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8" Type="http://schemas.openxmlformats.org/officeDocument/2006/relationships/image" Target="../media/image7.jpeg"/><Relationship Id="rId3" Type="http://schemas.openxmlformats.org/officeDocument/2006/relationships/chart" Target="../charts/chart2.xml"/><Relationship Id="rId7" Type="http://schemas.openxmlformats.org/officeDocument/2006/relationships/chart" Target="../charts/chart6.xml"/><Relationship Id="rId2" Type="http://schemas.openxmlformats.org/officeDocument/2006/relationships/chart" Target="../charts/chart1.xml"/><Relationship Id="rId1" Type="http://schemas.openxmlformats.org/officeDocument/2006/relationships/image" Target="../media/image6.png"/><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5.xml.rels><?xml version="1.0" encoding="UTF-8" standalone="yes"?>
<Relationships xmlns="http://schemas.openxmlformats.org/package/2006/relationships"><Relationship Id="rId3" Type="http://schemas.openxmlformats.org/officeDocument/2006/relationships/image" Target="../media/image15.png"/><Relationship Id="rId2" Type="http://schemas.openxmlformats.org/officeDocument/2006/relationships/image" Target="../media/image14.jpeg"/><Relationship Id="rId1" Type="http://schemas.openxmlformats.org/officeDocument/2006/relationships/image" Target="../media/image13.png"/></Relationships>
</file>

<file path=xl/drawings/_rels/drawing6.xml.rels><?xml version="1.0" encoding="UTF-8" standalone="yes"?>
<Relationships xmlns="http://schemas.openxmlformats.org/package/2006/relationships"><Relationship Id="rId8" Type="http://schemas.openxmlformats.org/officeDocument/2006/relationships/chart" Target="../charts/chart14.xml"/><Relationship Id="rId13" Type="http://schemas.openxmlformats.org/officeDocument/2006/relationships/image" Target="../media/image26.png"/><Relationship Id="rId18" Type="http://schemas.openxmlformats.org/officeDocument/2006/relationships/image" Target="../media/image31.png"/><Relationship Id="rId3" Type="http://schemas.openxmlformats.org/officeDocument/2006/relationships/chart" Target="../charts/chart9.xml"/><Relationship Id="rId21" Type="http://schemas.openxmlformats.org/officeDocument/2006/relationships/chart" Target="../charts/chart19.xml"/><Relationship Id="rId7" Type="http://schemas.openxmlformats.org/officeDocument/2006/relationships/chart" Target="../charts/chart13.xml"/><Relationship Id="rId12" Type="http://schemas.openxmlformats.org/officeDocument/2006/relationships/chart" Target="../charts/chart18.xml"/><Relationship Id="rId17" Type="http://schemas.openxmlformats.org/officeDocument/2006/relationships/image" Target="../media/image30.jpeg"/><Relationship Id="rId25" Type="http://schemas.openxmlformats.org/officeDocument/2006/relationships/chart" Target="../charts/chart20.xml"/><Relationship Id="rId2" Type="http://schemas.openxmlformats.org/officeDocument/2006/relationships/chart" Target="../charts/chart8.xml"/><Relationship Id="rId16" Type="http://schemas.openxmlformats.org/officeDocument/2006/relationships/image" Target="../media/image29.jpeg"/><Relationship Id="rId20" Type="http://schemas.openxmlformats.org/officeDocument/2006/relationships/image" Target="../media/image33.png"/><Relationship Id="rId1" Type="http://schemas.openxmlformats.org/officeDocument/2006/relationships/chart" Target="../charts/chart7.xml"/><Relationship Id="rId6" Type="http://schemas.openxmlformats.org/officeDocument/2006/relationships/chart" Target="../charts/chart12.xml"/><Relationship Id="rId11" Type="http://schemas.openxmlformats.org/officeDocument/2006/relationships/chart" Target="../charts/chart17.xml"/><Relationship Id="rId24" Type="http://schemas.openxmlformats.org/officeDocument/2006/relationships/image" Target="../media/image36.jpeg"/><Relationship Id="rId5" Type="http://schemas.openxmlformats.org/officeDocument/2006/relationships/chart" Target="../charts/chart11.xml"/><Relationship Id="rId15" Type="http://schemas.openxmlformats.org/officeDocument/2006/relationships/image" Target="../media/image28.jpeg"/><Relationship Id="rId23" Type="http://schemas.openxmlformats.org/officeDocument/2006/relationships/image" Target="../media/image35.png"/><Relationship Id="rId10" Type="http://schemas.openxmlformats.org/officeDocument/2006/relationships/chart" Target="../charts/chart16.xml"/><Relationship Id="rId19" Type="http://schemas.openxmlformats.org/officeDocument/2006/relationships/image" Target="../media/image32.png"/><Relationship Id="rId4" Type="http://schemas.openxmlformats.org/officeDocument/2006/relationships/chart" Target="../charts/chart10.xml"/><Relationship Id="rId9" Type="http://schemas.openxmlformats.org/officeDocument/2006/relationships/chart" Target="../charts/chart15.xml"/><Relationship Id="rId14" Type="http://schemas.openxmlformats.org/officeDocument/2006/relationships/image" Target="../media/image27.png"/><Relationship Id="rId22" Type="http://schemas.openxmlformats.org/officeDocument/2006/relationships/image" Target="../media/image34.png"/></Relationships>
</file>

<file path=xl/drawings/_rels/vmlDrawing2.v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10.emf"/><Relationship Id="rId1" Type="http://schemas.openxmlformats.org/officeDocument/2006/relationships/image" Target="../media/image9.emf"/><Relationship Id="rId4" Type="http://schemas.openxmlformats.org/officeDocument/2006/relationships/image" Target="../media/image12.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18.emf"/><Relationship Id="rId7" Type="http://schemas.openxmlformats.org/officeDocument/2006/relationships/image" Target="../media/image22.emf"/><Relationship Id="rId2" Type="http://schemas.openxmlformats.org/officeDocument/2006/relationships/image" Target="../media/image17.emf"/><Relationship Id="rId1" Type="http://schemas.openxmlformats.org/officeDocument/2006/relationships/image" Target="../media/image16.emf"/><Relationship Id="rId6" Type="http://schemas.openxmlformats.org/officeDocument/2006/relationships/image" Target="../media/image21.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drawing1.xml><?xml version="1.0" encoding="utf-8"?>
<xdr:wsDr xmlns:xdr="http://schemas.openxmlformats.org/drawingml/2006/spreadsheetDrawing" xmlns:a="http://schemas.openxmlformats.org/drawingml/2006/main">
  <xdr:twoCellAnchor editAs="oneCell">
    <xdr:from>
      <xdr:col>6</xdr:col>
      <xdr:colOff>329293</xdr:colOff>
      <xdr:row>24</xdr:row>
      <xdr:rowOff>133350</xdr:rowOff>
    </xdr:from>
    <xdr:to>
      <xdr:col>14</xdr:col>
      <xdr:colOff>405493</xdr:colOff>
      <xdr:row>30</xdr:row>
      <xdr:rowOff>85725</xdr:rowOff>
    </xdr:to>
    <xdr:pic>
      <xdr:nvPicPr>
        <xdr:cNvPr id="2" name="Picture 1" descr="Press the Enable Content button on the Message Ba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xmlns="" val="0"/>
            </a:ext>
          </a:extLst>
        </a:blip>
        <a:srcRect/>
        <a:stretch>
          <a:fillRect/>
        </a:stretch>
      </xdr:blipFill>
      <xdr:spPr bwMode="auto">
        <a:xfrm>
          <a:off x="3986893" y="5124450"/>
          <a:ext cx="4953000" cy="1495425"/>
        </a:xfrm>
        <a:prstGeom prst="rect">
          <a:avLst/>
        </a:prstGeom>
        <a:noFill/>
        <a:extLst>
          <a:ext uri="{909E8E84-426E-40DD-AFC4-6F175D3DCCD1}">
            <a14:hiddenFill xmlns:a14="http://schemas.microsoft.com/office/drawing/2010/main" xmlns="">
              <a:solidFill>
                <a:srgbClr val="FFFFFF"/>
              </a:solidFill>
            </a14:hiddenFill>
          </a:ext>
        </a:extLst>
      </xdr:spPr>
    </xdr:pic>
    <xdr:clientData/>
  </xdr:twoCellAnchor>
  <xdr:twoCellAnchor editAs="oneCell">
    <xdr:from>
      <xdr:col>7</xdr:col>
      <xdr:colOff>314325</xdr:colOff>
      <xdr:row>38</xdr:row>
      <xdr:rowOff>85725</xdr:rowOff>
    </xdr:from>
    <xdr:to>
      <xdr:col>13</xdr:col>
      <xdr:colOff>152400</xdr:colOff>
      <xdr:row>43</xdr:row>
      <xdr:rowOff>152399</xdr:rowOff>
    </xdr:to>
    <xdr:pic>
      <xdr:nvPicPr>
        <xdr:cNvPr id="3" name="Picture 2" descr="Click the File tab"/>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xmlns="" val="0"/>
            </a:ext>
          </a:extLst>
        </a:blip>
        <a:srcRect/>
        <a:stretch>
          <a:fillRect/>
        </a:stretch>
      </xdr:blipFill>
      <xdr:spPr bwMode="auto">
        <a:xfrm>
          <a:off x="4581525" y="8734425"/>
          <a:ext cx="3495675" cy="1352549"/>
        </a:xfrm>
        <a:prstGeom prst="rect">
          <a:avLst/>
        </a:prstGeom>
        <a:noFill/>
        <a:extLst>
          <a:ext uri="{909E8E84-426E-40DD-AFC4-6F175D3DCCD1}">
            <a14:hiddenFill xmlns:a14="http://schemas.microsoft.com/office/drawing/2010/main" xmlns="">
              <a:solidFill>
                <a:srgbClr val="FFFFFF"/>
              </a:solidFill>
            </a14:hiddenFill>
          </a:ext>
        </a:extLst>
      </xdr:spPr>
    </xdr:pic>
    <xdr:clientData/>
  </xdr:twoCellAnchor>
  <xdr:twoCellAnchor editAs="oneCell">
    <xdr:from>
      <xdr:col>5</xdr:col>
      <xdr:colOff>581025</xdr:colOff>
      <xdr:row>46</xdr:row>
      <xdr:rowOff>114300</xdr:rowOff>
    </xdr:from>
    <xdr:to>
      <xdr:col>14</xdr:col>
      <xdr:colOff>571500</xdr:colOff>
      <xdr:row>52</xdr:row>
      <xdr:rowOff>85726</xdr:rowOff>
    </xdr:to>
    <xdr:pic>
      <xdr:nvPicPr>
        <xdr:cNvPr id="4" name="Picture 3" descr="In the Security Warning area, click Enable Content"/>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xmlns="" val="0"/>
            </a:ext>
          </a:extLst>
        </a:blip>
        <a:srcRect/>
        <a:stretch>
          <a:fillRect/>
        </a:stretch>
      </xdr:blipFill>
      <xdr:spPr bwMode="auto">
        <a:xfrm>
          <a:off x="3629025" y="10725150"/>
          <a:ext cx="5476875" cy="1514476"/>
        </a:xfrm>
        <a:prstGeom prst="rect">
          <a:avLst/>
        </a:prstGeom>
        <a:noFill/>
        <a:extLst>
          <a:ext uri="{909E8E84-426E-40DD-AFC4-6F175D3DCCD1}">
            <a14:hiddenFill xmlns:a14="http://schemas.microsoft.com/office/drawing/2010/main" xmlns="">
              <a:solidFill>
                <a:srgbClr val="FFFFFF"/>
              </a:solidFill>
            </a14:hiddenFill>
          </a:ext>
        </a:extLst>
      </xdr:spPr>
    </xdr:pic>
    <xdr:clientData/>
  </xdr:twoCellAnchor>
  <xdr:twoCellAnchor editAs="oneCell">
    <xdr:from>
      <xdr:col>5</xdr:col>
      <xdr:colOff>523875</xdr:colOff>
      <xdr:row>55</xdr:row>
      <xdr:rowOff>38100</xdr:rowOff>
    </xdr:from>
    <xdr:to>
      <xdr:col>14</xdr:col>
      <xdr:colOff>542925</xdr:colOff>
      <xdr:row>68</xdr:row>
      <xdr:rowOff>66676</xdr:rowOff>
    </xdr:to>
    <xdr:pic>
      <xdr:nvPicPr>
        <xdr:cNvPr id="5" name="Picture 4" descr="Select Enable All Content to always make the document's active content available"/>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xmlns="" val="0"/>
            </a:ext>
          </a:extLst>
        </a:blip>
        <a:srcRect/>
        <a:stretch>
          <a:fillRect/>
        </a:stretch>
      </xdr:blipFill>
      <xdr:spPr bwMode="auto">
        <a:xfrm>
          <a:off x="3571875" y="12906375"/>
          <a:ext cx="5505450" cy="2571751"/>
        </a:xfrm>
        <a:prstGeom prst="rect">
          <a:avLst/>
        </a:prstGeom>
        <a:noFill/>
        <a:extLst>
          <a:ext uri="{909E8E84-426E-40DD-AFC4-6F175D3DCCD1}">
            <a14:hiddenFill xmlns:a14="http://schemas.microsoft.com/office/drawing/2010/main" xmlns="">
              <a:solidFill>
                <a:srgbClr val="FFFFFF"/>
              </a:solidFill>
            </a14:hiddenFill>
          </a:ext>
        </a:extLst>
      </xdr:spPr>
    </xdr:pic>
    <xdr:clientData/>
  </xdr:twoCellAnchor>
  <xdr:twoCellAnchor editAs="oneCell">
    <xdr:from>
      <xdr:col>7</xdr:col>
      <xdr:colOff>403679</xdr:colOff>
      <xdr:row>2</xdr:row>
      <xdr:rowOff>93890</xdr:rowOff>
    </xdr:from>
    <xdr:to>
      <xdr:col>21</xdr:col>
      <xdr:colOff>101146</xdr:colOff>
      <xdr:row>14</xdr:row>
      <xdr:rowOff>182341</xdr:rowOff>
    </xdr:to>
    <xdr:pic>
      <xdr:nvPicPr>
        <xdr:cNvPr id="6" name="Picture 5"/>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xmlns="" val="0"/>
            </a:ext>
          </a:extLst>
        </a:blip>
        <a:stretch>
          <a:fillRect/>
        </a:stretch>
      </xdr:blipFill>
      <xdr:spPr>
        <a:xfrm>
          <a:off x="4670879" y="474890"/>
          <a:ext cx="8231867" cy="237445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27327</xdr:colOff>
      <xdr:row>1</xdr:row>
      <xdr:rowOff>9118</xdr:rowOff>
    </xdr:from>
    <xdr:to>
      <xdr:col>7</xdr:col>
      <xdr:colOff>434840</xdr:colOff>
      <xdr:row>5</xdr:row>
      <xdr:rowOff>174508</xdr:rowOff>
    </xdr:to>
    <xdr:grpSp>
      <xdr:nvGrpSpPr>
        <xdr:cNvPr id="2" name="Group 1"/>
        <xdr:cNvGrpSpPr/>
      </xdr:nvGrpSpPr>
      <xdr:grpSpPr>
        <a:xfrm>
          <a:off x="179727" y="199618"/>
          <a:ext cx="3379313" cy="940090"/>
          <a:chOff x="179727" y="199618"/>
          <a:chExt cx="3379313" cy="940090"/>
        </a:xfrm>
        <a:effectLst>
          <a:glow rad="228600">
            <a:schemeClr val="accent5">
              <a:satMod val="175000"/>
              <a:alpha val="40000"/>
            </a:schemeClr>
          </a:glow>
        </a:effectLst>
      </xdr:grpSpPr>
      <xdr:sp macro="" textlink="">
        <xdr:nvSpPr>
          <xdr:cNvPr id="8" name="Rectangle 7"/>
          <xdr:cNvSpPr/>
        </xdr:nvSpPr>
        <xdr:spPr>
          <a:xfrm>
            <a:off x="179727" y="199618"/>
            <a:ext cx="3379313" cy="940090"/>
          </a:xfrm>
          <a:prstGeom prst="rect">
            <a:avLst/>
          </a:prstGeom>
          <a:ln>
            <a:noFill/>
          </a:ln>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pic>
        <xdr:nvPicPr>
          <xdr:cNvPr id="9" name="Picture 8"/>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xmlns="" val="0"/>
              </a:ext>
            </a:extLst>
          </a:blip>
          <a:stretch>
            <a:fillRect/>
          </a:stretch>
        </xdr:blipFill>
        <xdr:spPr>
          <a:xfrm>
            <a:off x="294270" y="222452"/>
            <a:ext cx="3147369" cy="907847"/>
          </a:xfrm>
          <a:prstGeom prst="rect">
            <a:avLst/>
          </a:prstGeom>
        </xdr:spPr>
      </xdr:pic>
    </xdr:grpSp>
    <xdr:clientData/>
  </xdr:twoCellAnchor>
  <xdr:twoCellAnchor editAs="absolute">
    <xdr:from>
      <xdr:col>0</xdr:col>
      <xdr:colOff>142981</xdr:colOff>
      <xdr:row>7</xdr:row>
      <xdr:rowOff>11206</xdr:rowOff>
    </xdr:from>
    <xdr:to>
      <xdr:col>7</xdr:col>
      <xdr:colOff>429480</xdr:colOff>
      <xdr:row>13</xdr:row>
      <xdr:rowOff>100105</xdr:rowOff>
    </xdr:to>
    <xdr:grpSp>
      <xdr:nvGrpSpPr>
        <xdr:cNvPr id="19" name="Group 18"/>
        <xdr:cNvGrpSpPr/>
      </xdr:nvGrpSpPr>
      <xdr:grpSpPr>
        <a:xfrm>
          <a:off x="142981" y="1357406"/>
          <a:ext cx="3410699" cy="1231899"/>
          <a:chOff x="131851" y="1303432"/>
          <a:chExt cx="3387448" cy="1231899"/>
        </a:xfrm>
      </xdr:grpSpPr>
      <xdr:sp macro="[0]!DayBookForm" textlink="">
        <xdr:nvSpPr>
          <xdr:cNvPr id="3" name="Rectangle 2"/>
          <xdr:cNvSpPr/>
        </xdr:nvSpPr>
        <xdr:spPr>
          <a:xfrm>
            <a:off x="142875" y="1744756"/>
            <a:ext cx="1648385" cy="352424"/>
          </a:xfrm>
          <a:prstGeom prst="rect">
            <a:avLst/>
          </a:prstGeom>
          <a:solidFill>
            <a:schemeClr val="accent1">
              <a:lumMod val="75000"/>
            </a:schemeClr>
          </a:solidFill>
          <a:ln>
            <a:solidFill>
              <a:schemeClr val="accent1">
                <a:lumMod val="20000"/>
                <a:lumOff val="80000"/>
              </a:schemeClr>
            </a:solidFill>
          </a:ln>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Day</a:t>
            </a:r>
            <a:r>
              <a:rPr lang="en-US" sz="1600" b="1" baseline="0"/>
              <a:t> Book</a:t>
            </a:r>
          </a:p>
        </xdr:txBody>
      </xdr:sp>
      <xdr:sp macro="[0]!btBalSheet" textlink="">
        <xdr:nvSpPr>
          <xdr:cNvPr id="4" name="Rectangle 3"/>
          <xdr:cNvSpPr/>
        </xdr:nvSpPr>
        <xdr:spPr>
          <a:xfrm>
            <a:off x="1862978" y="2182907"/>
            <a:ext cx="1644463" cy="352424"/>
          </a:xfrm>
          <a:prstGeom prst="rect">
            <a:avLst/>
          </a:prstGeom>
          <a:solidFill>
            <a:schemeClr val="accent6">
              <a:lumMod val="50000"/>
            </a:schemeClr>
          </a:solidFill>
          <a:ln>
            <a:solidFill>
              <a:schemeClr val="accent1">
                <a:lumMod val="20000"/>
                <a:lumOff val="80000"/>
              </a:schemeClr>
            </a:solidFill>
          </a:ln>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Balance Sheet</a:t>
            </a:r>
          </a:p>
        </xdr:txBody>
      </xdr:sp>
      <xdr:sp macro="[0]!cDetailsForm" textlink="">
        <xdr:nvSpPr>
          <xdr:cNvPr id="5" name="Rectangle 4"/>
          <xdr:cNvSpPr/>
        </xdr:nvSpPr>
        <xdr:spPr>
          <a:xfrm>
            <a:off x="142875" y="1303432"/>
            <a:ext cx="1648385" cy="352424"/>
          </a:xfrm>
          <a:prstGeom prst="rect">
            <a:avLst/>
          </a:prstGeom>
          <a:solidFill>
            <a:srgbClr val="C00000"/>
          </a:solidFill>
          <a:ln>
            <a:solidFill>
              <a:schemeClr val="accent1">
                <a:lumMod val="20000"/>
                <a:lumOff val="80000"/>
              </a:schemeClr>
            </a:solidFill>
          </a:ln>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chemeClr val="bg1"/>
                </a:solidFill>
              </a:rPr>
              <a:t>Customer Details</a:t>
            </a:r>
          </a:p>
        </xdr:txBody>
      </xdr:sp>
      <xdr:sp macro="[0]!AdvFilterForm" textlink="">
        <xdr:nvSpPr>
          <xdr:cNvPr id="6" name="Rectangle 5"/>
          <xdr:cNvSpPr/>
        </xdr:nvSpPr>
        <xdr:spPr>
          <a:xfrm>
            <a:off x="1862978" y="1306606"/>
            <a:ext cx="1644463" cy="342900"/>
          </a:xfrm>
          <a:prstGeom prst="rect">
            <a:avLst/>
          </a:prstGeom>
          <a:solidFill>
            <a:schemeClr val="accent4">
              <a:lumMod val="75000"/>
            </a:schemeClr>
          </a:solidFill>
          <a:ln>
            <a:solidFill>
              <a:schemeClr val="accent1">
                <a:lumMod val="20000"/>
                <a:lumOff val="80000"/>
              </a:schemeClr>
            </a:solidFill>
          </a:ln>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Advance Search</a:t>
            </a:r>
          </a:p>
        </xdr:txBody>
      </xdr:sp>
      <xdr:sp macro="[0]!btPrintSheet" textlink="">
        <xdr:nvSpPr>
          <xdr:cNvPr id="15" name="Rectangle 14"/>
          <xdr:cNvSpPr/>
        </xdr:nvSpPr>
        <xdr:spPr>
          <a:xfrm>
            <a:off x="1870914" y="1744757"/>
            <a:ext cx="1648385" cy="352424"/>
          </a:xfrm>
          <a:prstGeom prst="rect">
            <a:avLst/>
          </a:prstGeom>
          <a:solidFill>
            <a:schemeClr val="tx1">
              <a:lumMod val="85000"/>
              <a:lumOff val="15000"/>
            </a:schemeClr>
          </a:solidFill>
          <a:ln>
            <a:solidFill>
              <a:schemeClr val="accent1">
                <a:lumMod val="20000"/>
                <a:lumOff val="80000"/>
              </a:schemeClr>
            </a:solidFill>
          </a:ln>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Print Sheet</a:t>
            </a:r>
          </a:p>
        </xdr:txBody>
      </xdr:sp>
      <xdr:sp macro="[0]!btDataEntry" textlink="">
        <xdr:nvSpPr>
          <xdr:cNvPr id="16" name="Rectangle 15"/>
          <xdr:cNvSpPr/>
        </xdr:nvSpPr>
        <xdr:spPr>
          <a:xfrm>
            <a:off x="131851" y="2182906"/>
            <a:ext cx="1644463" cy="352424"/>
          </a:xfrm>
          <a:prstGeom prst="rect">
            <a:avLst/>
          </a:prstGeom>
          <a:solidFill>
            <a:srgbClr val="002060"/>
          </a:solidFill>
          <a:ln>
            <a:solidFill>
              <a:schemeClr val="accent1">
                <a:lumMod val="20000"/>
                <a:lumOff val="80000"/>
              </a:schemeClr>
            </a:solidFill>
          </a:ln>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Data Entry</a:t>
            </a:r>
          </a:p>
        </xdr:txBody>
      </xdr:sp>
    </xdr:grpSp>
    <xdr:clientData/>
  </xdr:twoCellAnchor>
  <xdr:twoCellAnchor>
    <xdr:from>
      <xdr:col>0</xdr:col>
      <xdr:colOff>133348</xdr:colOff>
      <xdr:row>26</xdr:row>
      <xdr:rowOff>123824</xdr:rowOff>
    </xdr:from>
    <xdr:to>
      <xdr:col>28</xdr:col>
      <xdr:colOff>596900</xdr:colOff>
      <xdr:row>48</xdr:row>
      <xdr:rowOff>47624</xdr:rowOff>
    </xdr:to>
    <xdr:grpSp>
      <xdr:nvGrpSpPr>
        <xdr:cNvPr id="11" name="Group 10"/>
        <xdr:cNvGrpSpPr/>
      </xdr:nvGrpSpPr>
      <xdr:grpSpPr>
        <a:xfrm>
          <a:off x="133348" y="3756024"/>
          <a:ext cx="16389352" cy="4114800"/>
          <a:chOff x="133348" y="4327524"/>
          <a:chExt cx="16338552" cy="4114800"/>
        </a:xfrm>
      </xdr:grpSpPr>
      <xdr:graphicFrame macro="">
        <xdr:nvGraphicFramePr>
          <xdr:cNvPr id="17" name="Chart 16"/>
          <xdr:cNvGraphicFramePr>
            <a:graphicFrameLocks/>
          </xdr:cNvGraphicFramePr>
        </xdr:nvGraphicFramePr>
        <xdr:xfrm>
          <a:off x="133348" y="4327524"/>
          <a:ext cx="11779252" cy="4114800"/>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18" name="Chart 17"/>
          <xdr:cNvGraphicFramePr>
            <a:graphicFrameLocks/>
          </xdr:cNvGraphicFramePr>
        </xdr:nvGraphicFramePr>
        <xdr:xfrm>
          <a:off x="11963400" y="4327524"/>
          <a:ext cx="4508500" cy="4114800"/>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twoCellAnchor>
    <xdr:from>
      <xdr:col>1</xdr:col>
      <xdr:colOff>0</xdr:colOff>
      <xdr:row>14</xdr:row>
      <xdr:rowOff>76200</xdr:rowOff>
    </xdr:from>
    <xdr:to>
      <xdr:col>7</xdr:col>
      <xdr:colOff>495300</xdr:colOff>
      <xdr:row>25</xdr:row>
      <xdr:rowOff>114300</xdr:rowOff>
    </xdr:to>
    <xdr:grpSp>
      <xdr:nvGrpSpPr>
        <xdr:cNvPr id="20" name="Group 19"/>
        <xdr:cNvGrpSpPr/>
      </xdr:nvGrpSpPr>
      <xdr:grpSpPr>
        <a:xfrm>
          <a:off x="152400" y="2755900"/>
          <a:ext cx="3467100" cy="800100"/>
          <a:chOff x="38100" y="2654300"/>
          <a:chExt cx="3635375" cy="1393825"/>
        </a:xfrm>
      </xdr:grpSpPr>
      <xdr:cxnSp macro="">
        <xdr:nvCxnSpPr>
          <xdr:cNvPr id="27" name="Straight Connector 26"/>
          <xdr:cNvCxnSpPr/>
        </xdr:nvCxnSpPr>
        <xdr:spPr>
          <a:xfrm>
            <a:off x="47625" y="2663825"/>
            <a:ext cx="0" cy="1374775"/>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28" name="Straight Connector 27"/>
          <xdr:cNvCxnSpPr/>
        </xdr:nvCxnSpPr>
        <xdr:spPr>
          <a:xfrm>
            <a:off x="3663950" y="2663825"/>
            <a:ext cx="0" cy="138430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29" name="Straight Connector 28"/>
          <xdr:cNvCxnSpPr/>
        </xdr:nvCxnSpPr>
        <xdr:spPr>
          <a:xfrm>
            <a:off x="38100" y="2654300"/>
            <a:ext cx="3635375" cy="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30" name="Straight Connector 29"/>
          <xdr:cNvCxnSpPr/>
        </xdr:nvCxnSpPr>
        <xdr:spPr>
          <a:xfrm>
            <a:off x="38100" y="4048125"/>
            <a:ext cx="3635375" cy="0"/>
          </a:xfrm>
          <a:prstGeom prst="line">
            <a:avLst/>
          </a:prstGeom>
          <a:ln w="19050"/>
        </xdr:spPr>
        <xdr:style>
          <a:lnRef idx="1">
            <a:schemeClr val="dk1"/>
          </a:lnRef>
          <a:fillRef idx="0">
            <a:schemeClr val="dk1"/>
          </a:fillRef>
          <a:effectRef idx="0">
            <a:schemeClr val="dk1"/>
          </a:effectRef>
          <a:fontRef idx="minor">
            <a:schemeClr val="tx1"/>
          </a:fontRef>
        </xdr:style>
      </xdr:cxnSp>
    </xdr:grpSp>
    <xdr:clientData/>
  </xdr:twoCellAnchor>
  <xdr:twoCellAnchor>
    <xdr:from>
      <xdr:col>8</xdr:col>
      <xdr:colOff>114300</xdr:colOff>
      <xdr:row>0</xdr:row>
      <xdr:rowOff>139699</xdr:rowOff>
    </xdr:from>
    <xdr:to>
      <xdr:col>28</xdr:col>
      <xdr:colOff>596900</xdr:colOff>
      <xdr:row>26</xdr:row>
      <xdr:rowOff>50799</xdr:rowOff>
    </xdr:to>
    <xdr:grpSp>
      <xdr:nvGrpSpPr>
        <xdr:cNvPr id="13" name="Group 12"/>
        <xdr:cNvGrpSpPr/>
      </xdr:nvGrpSpPr>
      <xdr:grpSpPr>
        <a:xfrm>
          <a:off x="3848100" y="139699"/>
          <a:ext cx="12674600" cy="3543300"/>
          <a:chOff x="3848100" y="139699"/>
          <a:chExt cx="12674600" cy="4114800"/>
        </a:xfrm>
      </xdr:grpSpPr>
      <xdr:graphicFrame macro="">
        <xdr:nvGraphicFramePr>
          <xdr:cNvPr id="26" name="Chart 25"/>
          <xdr:cNvGraphicFramePr>
            <a:graphicFrameLocks/>
          </xdr:cNvGraphicFramePr>
        </xdr:nvGraphicFramePr>
        <xdr:xfrm>
          <a:off x="14743723" y="139700"/>
          <a:ext cx="1778977" cy="4102101"/>
        </xdr:xfrm>
        <a:graphic>
          <a:graphicData uri="http://schemas.openxmlformats.org/drawingml/2006/chart">
            <c:chart xmlns:c="http://schemas.openxmlformats.org/drawingml/2006/chart" xmlns:r="http://schemas.openxmlformats.org/officeDocument/2006/relationships" r:id="rId4"/>
          </a:graphicData>
        </a:graphic>
      </xdr:graphicFrame>
      <xdr:grpSp>
        <xdr:nvGrpSpPr>
          <xdr:cNvPr id="10" name="Group 9"/>
          <xdr:cNvGrpSpPr/>
        </xdr:nvGrpSpPr>
        <xdr:grpSpPr>
          <a:xfrm>
            <a:off x="3848100" y="139699"/>
            <a:ext cx="10845800" cy="4114800"/>
            <a:chOff x="9220200" y="10286999"/>
            <a:chExt cx="10845800" cy="4114800"/>
          </a:xfrm>
        </xdr:grpSpPr>
        <xdr:graphicFrame macro="">
          <xdr:nvGraphicFramePr>
            <xdr:cNvPr id="31" name="Chart 30"/>
            <xdr:cNvGraphicFramePr>
              <a:graphicFrameLocks/>
            </xdr:cNvGraphicFramePr>
          </xdr:nvGraphicFramePr>
          <xdr:xfrm>
            <a:off x="12947650" y="10286999"/>
            <a:ext cx="3657600" cy="4114800"/>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32" name="Chart 31"/>
            <xdr:cNvGraphicFramePr>
              <a:graphicFrameLocks/>
            </xdr:cNvGraphicFramePr>
          </xdr:nvGraphicFramePr>
          <xdr:xfrm>
            <a:off x="9220200" y="10286999"/>
            <a:ext cx="3657600" cy="4114800"/>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34" name="Chart 33"/>
            <xdr:cNvGraphicFramePr>
              <a:graphicFrameLocks/>
            </xdr:cNvGraphicFramePr>
          </xdr:nvGraphicFramePr>
          <xdr:xfrm>
            <a:off x="16675100" y="10286999"/>
            <a:ext cx="3390900" cy="4114800"/>
          </xdr:xfrm>
          <a:graphic>
            <a:graphicData uri="http://schemas.openxmlformats.org/drawingml/2006/chart">
              <c:chart xmlns:c="http://schemas.openxmlformats.org/drawingml/2006/chart" xmlns:r="http://schemas.openxmlformats.org/officeDocument/2006/relationships" r:id="rId7"/>
            </a:graphicData>
          </a:graphic>
        </xdr:graphicFrame>
      </xdr:grpSp>
    </xdr:grpSp>
    <xdr:clientData/>
  </xdr:twoCellAnchor>
  <xdr:twoCellAnchor editAs="oneCell">
    <xdr:from>
      <xdr:col>7</xdr:col>
      <xdr:colOff>38100</xdr:colOff>
      <xdr:row>15</xdr:row>
      <xdr:rowOff>0</xdr:rowOff>
    </xdr:from>
    <xdr:to>
      <xdr:col>7</xdr:col>
      <xdr:colOff>431800</xdr:colOff>
      <xdr:row>17</xdr:row>
      <xdr:rowOff>22473</xdr:rowOff>
    </xdr:to>
    <xdr:pic macro="[0]!btUpdate">
      <xdr:nvPicPr>
        <xdr:cNvPr id="12" name="Picture 11"/>
        <xdr:cNvPicPr>
          <a:picLocks noChangeAspect="1"/>
        </xdr:cNvPicPr>
      </xdr:nvPicPr>
      <xdr:blipFill rotWithShape="1">
        <a:blip xmlns:r="http://schemas.openxmlformats.org/officeDocument/2006/relationships" r:embed="rId8" cstate="print">
          <a:extLst>
            <a:ext uri="{28A0092B-C50C-407E-A947-70E740481C1C}">
              <a14:useLocalDpi xmlns:a14="http://schemas.microsoft.com/office/drawing/2010/main" xmlns="" val="0"/>
            </a:ext>
          </a:extLst>
        </a:blip>
        <a:srcRect l="3328" t="3205" r="2822" b="4167"/>
        <a:stretch/>
      </xdr:blipFill>
      <xdr:spPr>
        <a:xfrm>
          <a:off x="3162300" y="2870200"/>
          <a:ext cx="393700" cy="40347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59951</xdr:colOff>
      <xdr:row>4</xdr:row>
      <xdr:rowOff>10645</xdr:rowOff>
    </xdr:from>
    <xdr:to>
      <xdr:col>1</xdr:col>
      <xdr:colOff>28407</xdr:colOff>
      <xdr:row>5</xdr:row>
      <xdr:rowOff>67795</xdr:rowOff>
    </xdr:to>
    <xdr:sp macro="[0]!fDetailsFilter" textlink="">
      <xdr:nvSpPr>
        <xdr:cNvPr id="2" name="Oval 1"/>
        <xdr:cNvSpPr/>
      </xdr:nvSpPr>
      <xdr:spPr>
        <a:xfrm>
          <a:off x="59951" y="772645"/>
          <a:ext cx="883264" cy="247650"/>
        </a:xfrm>
        <a:prstGeom prst="ellipse">
          <a:avLst/>
        </a:prstGeom>
        <a:ln>
          <a:noFill/>
        </a:ln>
        <a:effectLst/>
        <a:scene3d>
          <a:camera prst="orthographicFront">
            <a:rot lat="0" lon="0" rev="0"/>
          </a:camera>
          <a:lightRig rig="contrasting" dir="t">
            <a:rot lat="0" lon="0" rev="7800000"/>
          </a:lightRig>
        </a:scene3d>
        <a:sp3d>
          <a:bevelT w="139700" h="139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rPr>
            <a:t>Search</a:t>
          </a:r>
          <a:endParaRPr lang="en-US" sz="1600">
            <a:solidFill>
              <a:schemeClr val="bg1"/>
            </a:solidFill>
          </a:endParaRPr>
        </a:p>
      </xdr:txBody>
    </xdr:sp>
    <xdr:clientData/>
  </xdr:twoCellAnchor>
  <xdr:twoCellAnchor editAs="oneCell">
    <xdr:from>
      <xdr:col>0</xdr:col>
      <xdr:colOff>60613</xdr:colOff>
      <xdr:row>15</xdr:row>
      <xdr:rowOff>143370</xdr:rowOff>
    </xdr:from>
    <xdr:to>
      <xdr:col>1</xdr:col>
      <xdr:colOff>29069</xdr:colOff>
      <xdr:row>17</xdr:row>
      <xdr:rowOff>10020</xdr:rowOff>
    </xdr:to>
    <xdr:sp macro="[0]!BalSheetFilter" textlink="">
      <xdr:nvSpPr>
        <xdr:cNvPr id="3" name="Oval 2"/>
        <xdr:cNvSpPr/>
      </xdr:nvSpPr>
      <xdr:spPr>
        <a:xfrm>
          <a:off x="60613" y="3000870"/>
          <a:ext cx="880135" cy="247650"/>
        </a:xfrm>
        <a:prstGeom prst="ellipse">
          <a:avLst/>
        </a:prstGeom>
        <a:ln>
          <a:noFill/>
        </a:ln>
        <a:effectLst/>
        <a:scene3d>
          <a:camera prst="orthographicFront">
            <a:rot lat="0" lon="0" rev="0"/>
          </a:camera>
          <a:lightRig rig="contrasting" dir="t">
            <a:rot lat="0" lon="0" rev="7800000"/>
          </a:lightRig>
        </a:scene3d>
        <a:sp3d>
          <a:bevelT w="139700" h="139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rPr>
            <a:t>Search</a:t>
          </a:r>
          <a:endParaRPr lang="en-US" sz="1600">
            <a:solidFill>
              <a:schemeClr val="bg1"/>
            </a:solidFill>
          </a:endParaRPr>
        </a:p>
      </xdr:txBody>
    </xdr:sp>
    <xdr:clientData/>
  </xdr:twoCellAnchor>
  <xdr:twoCellAnchor editAs="oneCell">
    <xdr:from>
      <xdr:col>0</xdr:col>
      <xdr:colOff>57150</xdr:colOff>
      <xdr:row>9</xdr:row>
      <xdr:rowOff>184440</xdr:rowOff>
    </xdr:from>
    <xdr:to>
      <xdr:col>1</xdr:col>
      <xdr:colOff>25606</xdr:colOff>
      <xdr:row>11</xdr:row>
      <xdr:rowOff>51090</xdr:rowOff>
    </xdr:to>
    <xdr:sp macro="[0]!DayBookFilter" textlink="">
      <xdr:nvSpPr>
        <xdr:cNvPr id="4" name="Oval 3"/>
        <xdr:cNvSpPr/>
      </xdr:nvSpPr>
      <xdr:spPr>
        <a:xfrm>
          <a:off x="57150" y="1898940"/>
          <a:ext cx="886320" cy="247650"/>
        </a:xfrm>
        <a:prstGeom prst="ellipse">
          <a:avLst/>
        </a:prstGeom>
        <a:ln>
          <a:noFill/>
        </a:ln>
        <a:effectLst/>
        <a:scene3d>
          <a:camera prst="orthographicFront">
            <a:rot lat="0" lon="0" rev="0"/>
          </a:camera>
          <a:lightRig rig="contrasting" dir="t">
            <a:rot lat="0" lon="0" rev="7800000"/>
          </a:lightRig>
        </a:scene3d>
        <a:sp3d>
          <a:bevelT w="139700" h="139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rPr>
            <a:t>Search</a:t>
          </a:r>
          <a:endParaRPr lang="en-US" sz="1600">
            <a:solidFill>
              <a:schemeClr val="bg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66675</xdr:rowOff>
    </xdr:from>
    <xdr:to>
      <xdr:col>1</xdr:col>
      <xdr:colOff>1146335</xdr:colOff>
      <xdr:row>2</xdr:row>
      <xdr:rowOff>155575</xdr:rowOff>
    </xdr:to>
    <xdr:pic macro="[0]!btHome">
      <xdr:nvPicPr>
        <xdr:cNvPr id="9" name="Picture 8"/>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xmlns="" val="0"/>
            </a:ext>
          </a:extLst>
        </a:blip>
        <a:stretch>
          <a:fillRect/>
        </a:stretch>
      </xdr:blipFill>
      <xdr:spPr>
        <a:xfrm>
          <a:off x="0" y="66675"/>
          <a:ext cx="1555910" cy="4699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569922</xdr:colOff>
      <xdr:row>15</xdr:row>
      <xdr:rowOff>28575</xdr:rowOff>
    </xdr:from>
    <xdr:to>
      <xdr:col>3</xdr:col>
      <xdr:colOff>868924</xdr:colOff>
      <xdr:row>18</xdr:row>
      <xdr:rowOff>171450</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xmlns="" val="0"/>
            </a:ext>
          </a:extLst>
        </a:blip>
        <a:stretch>
          <a:fillRect/>
        </a:stretch>
      </xdr:blipFill>
      <xdr:spPr>
        <a:xfrm>
          <a:off x="1179522" y="3457575"/>
          <a:ext cx="2432602" cy="701675"/>
        </a:xfrm>
        <a:prstGeom prst="rect">
          <a:avLst/>
        </a:prstGeom>
      </xdr:spPr>
    </xdr:pic>
    <xdr:clientData/>
  </xdr:twoCellAnchor>
  <xdr:twoCellAnchor editAs="oneCell">
    <xdr:from>
      <xdr:col>7</xdr:col>
      <xdr:colOff>161925</xdr:colOff>
      <xdr:row>16</xdr:row>
      <xdr:rowOff>28575</xdr:rowOff>
    </xdr:from>
    <xdr:to>
      <xdr:col>8</xdr:col>
      <xdr:colOff>123825</xdr:colOff>
      <xdr:row>17</xdr:row>
      <xdr:rowOff>180312</xdr:rowOff>
    </xdr:to>
    <xdr:pic macro="[0]!PrintArea_ExecList">
      <xdr:nvPicPr>
        <xdr:cNvPr id="17" name="Picture 16"/>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xmlns="" val="0"/>
            </a:ext>
          </a:extLst>
        </a:blip>
        <a:srcRect l="8647" t="12980" r="9025" b="10324"/>
        <a:stretch/>
      </xdr:blipFill>
      <xdr:spPr>
        <a:xfrm>
          <a:off x="7410450" y="3076575"/>
          <a:ext cx="866775" cy="323187"/>
        </a:xfrm>
        <a:prstGeom prst="rect">
          <a:avLst/>
        </a:prstGeom>
      </xdr:spPr>
    </xdr:pic>
    <xdr:clientData fPrintsWithSheet="0"/>
  </xdr:twoCellAnchor>
  <xdr:twoCellAnchor editAs="oneCell">
    <xdr:from>
      <xdr:col>0</xdr:col>
      <xdr:colOff>25400</xdr:colOff>
      <xdr:row>0</xdr:row>
      <xdr:rowOff>63500</xdr:rowOff>
    </xdr:from>
    <xdr:to>
      <xdr:col>2</xdr:col>
      <xdr:colOff>47785</xdr:colOff>
      <xdr:row>2</xdr:row>
      <xdr:rowOff>152400</xdr:rowOff>
    </xdr:to>
    <xdr:pic macro="[0]!btHome">
      <xdr:nvPicPr>
        <xdr:cNvPr id="25" name="Picture 24"/>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xmlns="" val="0"/>
            </a:ext>
          </a:extLst>
        </a:blip>
        <a:stretch>
          <a:fillRect/>
        </a:stretch>
      </xdr:blipFill>
      <xdr:spPr>
        <a:xfrm>
          <a:off x="25400" y="63500"/>
          <a:ext cx="1508285" cy="469900"/>
        </a:xfrm>
        <a:prstGeom prst="rect">
          <a:avLst/>
        </a:prstGeom>
      </xdr:spPr>
    </xdr:pic>
    <xdr:clientData/>
  </xdr:twoCellAnchor>
  <xdr:twoCellAnchor editAs="absolute">
    <xdr:from>
      <xdr:col>2</xdr:col>
      <xdr:colOff>492124</xdr:colOff>
      <xdr:row>0</xdr:row>
      <xdr:rowOff>116112</xdr:rowOff>
    </xdr:from>
    <xdr:to>
      <xdr:col>14</xdr:col>
      <xdr:colOff>22498</xdr:colOff>
      <xdr:row>11</xdr:row>
      <xdr:rowOff>22225</xdr:rowOff>
    </xdr:to>
    <xdr:grpSp>
      <xdr:nvGrpSpPr>
        <xdr:cNvPr id="4" name="Group 3"/>
        <xdr:cNvGrpSpPr/>
      </xdr:nvGrpSpPr>
      <xdr:grpSpPr>
        <a:xfrm>
          <a:off x="1978024" y="116112"/>
          <a:ext cx="11735074" cy="2573113"/>
          <a:chOff x="1978024" y="116112"/>
          <a:chExt cx="11735074" cy="2573113"/>
        </a:xfrm>
      </xdr:grpSpPr>
      <xdr:grpSp>
        <xdr:nvGrpSpPr>
          <xdr:cNvPr id="22" name="Group 21"/>
          <xdr:cNvGrpSpPr/>
        </xdr:nvGrpSpPr>
        <xdr:grpSpPr>
          <a:xfrm>
            <a:off x="1985859" y="123826"/>
            <a:ext cx="8861242" cy="1415410"/>
            <a:chOff x="1979032" y="123826"/>
            <a:chExt cx="8784055" cy="1309273"/>
          </a:xfrm>
        </xdr:grpSpPr>
        <mc:AlternateContent xmlns:mc="http://schemas.openxmlformats.org/markup-compatibility/2006">
          <mc:Choice xmlns:a14="http://schemas.microsoft.com/office/drawing/2010/main" xmlns="" Requires="a14">
            <xdr:graphicFrame macro="">
              <xdr:nvGraphicFramePr>
                <xdr:cNvPr id="14" name="Executive"/>
                <xdr:cNvGraphicFramePr/>
              </xdr:nvGraphicFramePr>
              <xdr:xfrm>
                <a:off x="1979032" y="132230"/>
                <a:ext cx="1588110" cy="1300869"/>
              </xdr:xfrm>
              <a:graphic>
                <a:graphicData uri="http://schemas.microsoft.com/office/drawing/2010/slicer">
                  <sle:slicer xmlns:sle="http://schemas.microsoft.com/office/drawing/2010/slicer" name="Executive"/>
                </a:graphicData>
              </a:graphic>
            </xdr:graphicFrame>
          </mc:Choice>
          <mc:Fallback>
            <xdr:sp macro="" textlink="">
              <xdr:nvSpPr>
                <xdr:cNvPr id="7" name="Rectangle 6"/>
                <xdr:cNvSpPr>
                  <a:spLocks noTextEdit="1"/>
                </xdr:cNvSpPr>
              </xdr:nvSpPr>
              <xdr:spPr>
                <a:xfrm>
                  <a:off x="1985859" y="132911"/>
                  <a:ext cx="1602065" cy="14063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xmlns="" Requires="a14">
            <xdr:graphicFrame macro="">
              <xdr:nvGraphicFramePr>
                <xdr:cNvPr id="15" name="Pay. Status"/>
                <xdr:cNvGraphicFramePr/>
              </xdr:nvGraphicFramePr>
              <xdr:xfrm>
                <a:off x="3600038" y="132231"/>
                <a:ext cx="5666556" cy="1297949"/>
              </xdr:xfrm>
              <a:graphic>
                <a:graphicData uri="http://schemas.microsoft.com/office/drawing/2010/slicer">
                  <sle:slicer xmlns:sle="http://schemas.microsoft.com/office/drawing/2010/slicer" name="Pay. Status"/>
                </a:graphicData>
              </a:graphic>
            </xdr:graphicFrame>
          </mc:Choice>
          <mc:Fallback>
            <xdr:sp macro="" textlink="">
              <xdr:nvSpPr>
                <xdr:cNvPr id="8" name="Rectangle 7"/>
                <xdr:cNvSpPr>
                  <a:spLocks noTextEdit="1"/>
                </xdr:cNvSpPr>
              </xdr:nvSpPr>
              <xdr:spPr>
                <a:xfrm>
                  <a:off x="3621109" y="132912"/>
                  <a:ext cx="5716349" cy="140316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xmlns="" Requires="a14">
            <xdr:graphicFrame macro="">
              <xdr:nvGraphicFramePr>
                <xdr:cNvPr id="16" name="Colours"/>
                <xdr:cNvGraphicFramePr/>
              </xdr:nvGraphicFramePr>
              <xdr:xfrm>
                <a:off x="9336177" y="808506"/>
                <a:ext cx="1426910" cy="624239"/>
              </xdr:xfrm>
              <a:graphic>
                <a:graphicData uri="http://schemas.microsoft.com/office/drawing/2010/slicer">
                  <sle:slicer xmlns:sle="http://schemas.microsoft.com/office/drawing/2010/slicer" name="Colours"/>
                </a:graphicData>
              </a:graphic>
            </xdr:graphicFrame>
          </mc:Choice>
          <mc:Fallback>
            <xdr:sp macro="" textlink="">
              <xdr:nvSpPr>
                <xdr:cNvPr id="9" name="Rectangle 8"/>
                <xdr:cNvSpPr>
                  <a:spLocks noTextEdit="1"/>
                </xdr:cNvSpPr>
              </xdr:nvSpPr>
              <xdr:spPr>
                <a:xfrm>
                  <a:off x="9407652" y="864010"/>
                  <a:ext cx="1439449" cy="67484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xmlns="" Requires="a14">
            <xdr:graphicFrame macro="">
              <xdr:nvGraphicFramePr>
                <xdr:cNvPr id="9" name="Signature"/>
                <xdr:cNvGraphicFramePr/>
              </xdr:nvGraphicFramePr>
              <xdr:xfrm>
                <a:off x="9328746" y="123826"/>
                <a:ext cx="1433051" cy="619088"/>
              </xdr:xfrm>
              <a:graphic>
                <a:graphicData uri="http://schemas.microsoft.com/office/drawing/2010/slicer">
                  <sle:slicer xmlns:sle="http://schemas.microsoft.com/office/drawing/2010/slicer" name="Signature"/>
                </a:graphicData>
              </a:graphic>
            </xdr:graphicFrame>
          </mc:Choice>
          <mc:Fallback>
            <xdr:sp macro="" textlink="">
              <xdr:nvSpPr>
                <xdr:cNvPr id="10" name="Rectangle 9"/>
                <xdr:cNvSpPr>
                  <a:spLocks noTextEdit="1"/>
                </xdr:cNvSpPr>
              </xdr:nvSpPr>
              <xdr:spPr>
                <a:xfrm>
                  <a:off x="9400156" y="123826"/>
                  <a:ext cx="1445643" cy="6692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mc:Choice xmlns:tsle="http://schemas.microsoft.com/office/drawing/2012/timeslicer" xmlns="" Requires="tsle">
          <xdr:graphicFrame macro="">
            <xdr:nvGraphicFramePr>
              <xdr:cNvPr id="3" name="Rec. Date"/>
              <xdr:cNvGraphicFramePr/>
            </xdr:nvGraphicFramePr>
            <xdr:xfrm>
              <a:off x="1978024" y="1574800"/>
              <a:ext cx="11725275" cy="1114425"/>
            </xdr:xfrm>
            <a:graphic>
              <a:graphicData uri="http://schemas.microsoft.com/office/drawing/2012/timeslicer">
                <tsle:timeslicer name="Rec. Date"/>
              </a:graphicData>
            </a:graphic>
          </xdr:graphicFrame>
        </mc:Choice>
        <mc:Fallback>
          <xdr:sp macro="" textlink="">
            <xdr:nvSpPr>
              <xdr:cNvPr id="11" name="Rectangle 10"/>
              <xdr:cNvSpPr>
                <a:spLocks noTextEdit="1"/>
              </xdr:cNvSpPr>
            </xdr:nvSpPr>
            <xdr:spPr>
              <a:xfrm>
                <a:off x="1978024" y="1574800"/>
                <a:ext cx="11725275" cy="1114425"/>
              </a:xfrm>
              <a:prstGeom prst="rect">
                <a:avLst/>
              </a:prstGeom>
              <a:solidFill>
                <a:prstClr val="white"/>
              </a:solidFill>
              <a:ln w="1">
                <a:solidFill>
                  <a:prstClr val="green"/>
                </a:solidFill>
              </a:ln>
            </xdr:spPr>
            <xdr:txBody>
              <a:bodyPr vertOverflow="clip" horzOverflow="clip"/>
              <a:lstStyle/>
              <a:p>
                <a:r>
                  <a:rPr lang="en-US" sz="1100"/>
                  <a:t>Timeline: Works in Excel or higher. Do not move or resize.</a:t>
                </a:r>
              </a:p>
            </xdr:txBody>
          </xdr:sp>
        </mc:Fallback>
      </mc:AlternateContent>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74733</xdr:colOff>
      <xdr:row>1108</xdr:row>
      <xdr:rowOff>101600</xdr:rowOff>
    </xdr:from>
    <xdr:to>
      <xdr:col>100</xdr:col>
      <xdr:colOff>57150</xdr:colOff>
      <xdr:row>1170</xdr:row>
      <xdr:rowOff>152400</xdr:rowOff>
    </xdr:to>
    <xdr:grpSp>
      <xdr:nvGrpSpPr>
        <xdr:cNvPr id="30" name="Group 29"/>
        <xdr:cNvGrpSpPr/>
      </xdr:nvGrpSpPr>
      <xdr:grpSpPr>
        <a:xfrm>
          <a:off x="158077" y="3340100"/>
          <a:ext cx="8245354" cy="11861800"/>
          <a:chOff x="163633" y="3530600"/>
          <a:chExt cx="8796217" cy="11861800"/>
        </a:xfrm>
      </xdr:grpSpPr>
      <xdr:grpSp>
        <xdr:nvGrpSpPr>
          <xdr:cNvPr id="33" name="Group 32"/>
          <xdr:cNvGrpSpPr/>
        </xdr:nvGrpSpPr>
        <xdr:grpSpPr>
          <a:xfrm>
            <a:off x="163633" y="11734800"/>
            <a:ext cx="8796217" cy="3657600"/>
            <a:chOff x="331908" y="11998325"/>
            <a:chExt cx="9351842" cy="4117975"/>
          </a:xfrm>
        </xdr:grpSpPr>
        <xdr:graphicFrame macro="">
          <xdr:nvGraphicFramePr>
            <xdr:cNvPr id="54" name="Chart 53"/>
            <xdr:cNvGraphicFramePr>
              <a:graphicFrameLocks/>
            </xdr:cNvGraphicFramePr>
          </xdr:nvGraphicFramePr>
          <xdr:xfrm>
            <a:off x="7970281" y="11998326"/>
            <a:ext cx="1713469" cy="4102101"/>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58" name="Chart 57"/>
            <xdr:cNvGraphicFramePr>
              <a:graphicFrameLocks/>
            </xdr:cNvGraphicFramePr>
          </xdr:nvGraphicFramePr>
          <xdr:xfrm>
            <a:off x="331908" y="11998325"/>
            <a:ext cx="3266035" cy="4114800"/>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61" name="Chart 60"/>
            <xdr:cNvGraphicFramePr>
              <a:graphicFrameLocks/>
            </xdr:cNvGraphicFramePr>
          </xdr:nvGraphicFramePr>
          <xdr:xfrm>
            <a:off x="3662634" y="12001500"/>
            <a:ext cx="4239943" cy="4114800"/>
          </xdr:xfrm>
          <a:graphic>
            <a:graphicData uri="http://schemas.openxmlformats.org/drawingml/2006/chart">
              <c:chart xmlns:c="http://schemas.openxmlformats.org/drawingml/2006/chart" xmlns:r="http://schemas.openxmlformats.org/officeDocument/2006/relationships" r:id="rId3"/>
            </a:graphicData>
          </a:graphic>
        </xdr:graphicFrame>
      </xdr:grpSp>
      <xdr:graphicFrame macro="">
        <xdr:nvGraphicFramePr>
          <xdr:cNvPr id="60" name="Chart 59"/>
          <xdr:cNvGraphicFramePr>
            <a:graphicFrameLocks/>
          </xdr:cNvGraphicFramePr>
        </xdr:nvGraphicFramePr>
        <xdr:xfrm>
          <a:off x="165100" y="7429500"/>
          <a:ext cx="8766176" cy="4114800"/>
        </xdr:xfrm>
        <a:graphic>
          <a:graphicData uri="http://schemas.openxmlformats.org/drawingml/2006/chart">
            <c:chart xmlns:c="http://schemas.openxmlformats.org/drawingml/2006/chart" xmlns:r="http://schemas.openxmlformats.org/officeDocument/2006/relationships" r:id="rId4"/>
          </a:graphicData>
        </a:graphic>
      </xdr:graphicFrame>
      <xdr:grpSp>
        <xdr:nvGrpSpPr>
          <xdr:cNvPr id="27" name="Group 26"/>
          <xdr:cNvGrpSpPr/>
        </xdr:nvGrpSpPr>
        <xdr:grpSpPr>
          <a:xfrm>
            <a:off x="869950" y="3530600"/>
            <a:ext cx="7376631" cy="3657600"/>
            <a:chOff x="171450" y="3530600"/>
            <a:chExt cx="7113106" cy="4114800"/>
          </a:xfrm>
        </xdr:grpSpPr>
        <xdr:graphicFrame macro="">
          <xdr:nvGraphicFramePr>
            <xdr:cNvPr id="56" name="Chart 55"/>
            <xdr:cNvGraphicFramePr>
              <a:graphicFrameLocks/>
            </xdr:cNvGraphicFramePr>
          </xdr:nvGraphicFramePr>
          <xdr:xfrm>
            <a:off x="3761642" y="3530600"/>
            <a:ext cx="3522914" cy="4114800"/>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57" name="Chart 56"/>
            <xdr:cNvGraphicFramePr>
              <a:graphicFrameLocks/>
            </xdr:cNvGraphicFramePr>
          </xdr:nvGraphicFramePr>
          <xdr:xfrm>
            <a:off x="171450" y="3530600"/>
            <a:ext cx="3522914" cy="4114800"/>
          </xdr:xfrm>
          <a:graphic>
            <a:graphicData uri="http://schemas.openxmlformats.org/drawingml/2006/chart">
              <c:chart xmlns:c="http://schemas.openxmlformats.org/drawingml/2006/chart" xmlns:r="http://schemas.openxmlformats.org/officeDocument/2006/relationships" r:id="rId6"/>
            </a:graphicData>
          </a:graphic>
        </xdr:graphicFrame>
      </xdr:grpSp>
    </xdr:grpSp>
    <xdr:clientData/>
  </xdr:twoCellAnchor>
  <xdr:twoCellAnchor>
    <xdr:from>
      <xdr:col>104</xdr:col>
      <xdr:colOff>76200</xdr:colOff>
      <xdr:row>905</xdr:row>
      <xdr:rowOff>0</xdr:rowOff>
    </xdr:from>
    <xdr:to>
      <xdr:col>130</xdr:col>
      <xdr:colOff>53975</xdr:colOff>
      <xdr:row>983</xdr:row>
      <xdr:rowOff>0</xdr:rowOff>
    </xdr:to>
    <xdr:graphicFrame macro="">
      <xdr:nvGraphicFramePr>
        <xdr:cNvPr id="64" name="Chart 6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104</xdr:col>
      <xdr:colOff>66675</xdr:colOff>
      <xdr:row>755</xdr:row>
      <xdr:rowOff>3175</xdr:rowOff>
    </xdr:from>
    <xdr:to>
      <xdr:col>130</xdr:col>
      <xdr:colOff>44450</xdr:colOff>
      <xdr:row>832</xdr:row>
      <xdr:rowOff>200025</xdr:rowOff>
    </xdr:to>
    <xdr:graphicFrame macro="">
      <xdr:nvGraphicFramePr>
        <xdr:cNvPr id="63" name="Chart 6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104</xdr:col>
      <xdr:colOff>76200</xdr:colOff>
      <xdr:row>604</xdr:row>
      <xdr:rowOff>190499</xdr:rowOff>
    </xdr:from>
    <xdr:to>
      <xdr:col>130</xdr:col>
      <xdr:colOff>35298</xdr:colOff>
      <xdr:row>683</xdr:row>
      <xdr:rowOff>3360</xdr:rowOff>
    </xdr:to>
    <xdr:graphicFrame macro="">
      <xdr:nvGraphicFramePr>
        <xdr:cNvPr id="62" name="Chart 6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104</xdr:col>
      <xdr:colOff>76200</xdr:colOff>
      <xdr:row>454</xdr:row>
      <xdr:rowOff>190499</xdr:rowOff>
    </xdr:from>
    <xdr:to>
      <xdr:col>130</xdr:col>
      <xdr:colOff>35298</xdr:colOff>
      <xdr:row>533</xdr:row>
      <xdr:rowOff>0</xdr:rowOff>
    </xdr:to>
    <xdr:graphicFrame macro="">
      <xdr:nvGraphicFramePr>
        <xdr:cNvPr id="55" name="Chart 5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104</xdr:col>
      <xdr:colOff>76200</xdr:colOff>
      <xdr:row>305</xdr:row>
      <xdr:rowOff>0</xdr:rowOff>
    </xdr:from>
    <xdr:to>
      <xdr:col>130</xdr:col>
      <xdr:colOff>54722</xdr:colOff>
      <xdr:row>383</xdr:row>
      <xdr:rowOff>0</xdr:rowOff>
    </xdr:to>
    <xdr:graphicFrame macro="">
      <xdr:nvGraphicFramePr>
        <xdr:cNvPr id="53" name="Chart 5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105</xdr:col>
      <xdr:colOff>0</xdr:colOff>
      <xdr:row>145</xdr:row>
      <xdr:rowOff>0</xdr:rowOff>
    </xdr:from>
    <xdr:to>
      <xdr:col>130</xdr:col>
      <xdr:colOff>63500</xdr:colOff>
      <xdr:row>223</xdr:row>
      <xdr:rowOff>0</xdr:rowOff>
    </xdr:to>
    <xdr:graphicFrame macro="">
      <xdr:nvGraphicFramePr>
        <xdr:cNvPr id="38" name="Chart 3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36</xdr:col>
      <xdr:colOff>35082</xdr:colOff>
      <xdr:row>9</xdr:row>
      <xdr:rowOff>38943</xdr:rowOff>
    </xdr:from>
    <xdr:to>
      <xdr:col>66</xdr:col>
      <xdr:colOff>39921</xdr:colOff>
      <xdr:row>13</xdr:row>
      <xdr:rowOff>47625</xdr:rowOff>
    </xdr:to>
    <xdr:pic>
      <xdr:nvPicPr>
        <xdr:cNvPr id="2" name="Picture 1"/>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xmlns="" val="0"/>
            </a:ext>
          </a:extLst>
        </a:blip>
        <a:stretch>
          <a:fillRect/>
        </a:stretch>
      </xdr:blipFill>
      <xdr:spPr>
        <a:xfrm>
          <a:off x="3248182" y="1753443"/>
          <a:ext cx="2671839" cy="770682"/>
        </a:xfrm>
        <a:prstGeom prst="rect">
          <a:avLst/>
        </a:prstGeom>
      </xdr:spPr>
    </xdr:pic>
    <xdr:clientData/>
  </xdr:twoCellAnchor>
  <xdr:twoCellAnchor>
    <xdr:from>
      <xdr:col>10</xdr:col>
      <xdr:colOff>83669</xdr:colOff>
      <xdr:row>84</xdr:row>
      <xdr:rowOff>32278</xdr:rowOff>
    </xdr:from>
    <xdr:to>
      <xdr:col>46</xdr:col>
      <xdr:colOff>57528</xdr:colOff>
      <xdr:row>88</xdr:row>
      <xdr:rowOff>173181</xdr:rowOff>
    </xdr:to>
    <xdr:pic>
      <xdr:nvPicPr>
        <xdr:cNvPr id="3" name="Picture 2"/>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xmlns="" val="0"/>
            </a:ext>
          </a:extLst>
        </a:blip>
        <a:stretch>
          <a:fillRect/>
        </a:stretch>
      </xdr:blipFill>
      <xdr:spPr>
        <a:xfrm>
          <a:off x="985369" y="2127778"/>
          <a:ext cx="3174259" cy="915603"/>
        </a:xfrm>
        <a:prstGeom prst="rect">
          <a:avLst/>
        </a:prstGeom>
      </xdr:spPr>
    </xdr:pic>
    <xdr:clientData/>
  </xdr:twoCellAnchor>
  <xdr:twoCellAnchor>
    <xdr:from>
      <xdr:col>125</xdr:col>
      <xdr:colOff>85997</xdr:colOff>
      <xdr:row>86</xdr:row>
      <xdr:rowOff>55515</xdr:rowOff>
    </xdr:from>
    <xdr:to>
      <xdr:col>135</xdr:col>
      <xdr:colOff>101310</xdr:colOff>
      <xdr:row>87</xdr:row>
      <xdr:rowOff>161348</xdr:rowOff>
    </xdr:to>
    <xdr:pic macro="[0]!PrintArea_AllBank_E">
      <xdr:nvPicPr>
        <xdr:cNvPr id="13" name="Picture 12"/>
        <xdr:cNvPicPr>
          <a:picLocks noChangeAspect="1"/>
        </xdr:cNvPicPr>
      </xdr:nvPicPr>
      <xdr:blipFill rotWithShape="1">
        <a:blip xmlns:r="http://schemas.openxmlformats.org/officeDocument/2006/relationships" r:embed="rId15" cstate="print">
          <a:extLst>
            <a:ext uri="{28A0092B-C50C-407E-A947-70E740481C1C}">
              <a14:useLocalDpi xmlns:a14="http://schemas.microsoft.com/office/drawing/2010/main" xmlns="" val="0"/>
            </a:ext>
          </a:extLst>
        </a:blip>
        <a:srcRect l="8647" t="12980" r="9025" b="10324"/>
        <a:stretch/>
      </xdr:blipFill>
      <xdr:spPr>
        <a:xfrm>
          <a:off x="76285997" y="16438515"/>
          <a:ext cx="6111313" cy="296333"/>
        </a:xfrm>
        <a:prstGeom prst="rect">
          <a:avLst/>
        </a:prstGeom>
      </xdr:spPr>
    </xdr:pic>
    <xdr:clientData fPrintsWithSheet="0"/>
  </xdr:twoCellAnchor>
  <xdr:twoCellAnchor>
    <xdr:from>
      <xdr:col>88</xdr:col>
      <xdr:colOff>60886</xdr:colOff>
      <xdr:row>12</xdr:row>
      <xdr:rowOff>171450</xdr:rowOff>
    </xdr:from>
    <xdr:to>
      <xdr:col>98</xdr:col>
      <xdr:colOff>72189</xdr:colOff>
      <xdr:row>14</xdr:row>
      <xdr:rowOff>133351</xdr:rowOff>
    </xdr:to>
    <xdr:pic macro="[0]!PrintArea_BalSheet">
      <xdr:nvPicPr>
        <xdr:cNvPr id="14" name="Picture 13"/>
        <xdr:cNvPicPr>
          <a:picLocks noChangeAspect="1"/>
        </xdr:cNvPicPr>
      </xdr:nvPicPr>
      <xdr:blipFill rotWithShape="1">
        <a:blip xmlns:r="http://schemas.openxmlformats.org/officeDocument/2006/relationships" r:embed="rId16" cstate="print">
          <a:extLst>
            <a:ext uri="{28A0092B-C50C-407E-A947-70E740481C1C}">
              <a14:useLocalDpi xmlns:a14="http://schemas.microsoft.com/office/drawing/2010/main" xmlns="" val="0"/>
            </a:ext>
          </a:extLst>
        </a:blip>
        <a:srcRect l="8647" t="12980" r="9025" b="10324"/>
        <a:stretch/>
      </xdr:blipFill>
      <xdr:spPr>
        <a:xfrm>
          <a:off x="53705686" y="2457450"/>
          <a:ext cx="6107303" cy="342901"/>
        </a:xfrm>
        <a:prstGeom prst="rect">
          <a:avLst/>
        </a:prstGeom>
      </xdr:spPr>
    </xdr:pic>
    <xdr:clientData fPrintsWithSheet="0"/>
  </xdr:twoCellAnchor>
  <xdr:twoCellAnchor>
    <xdr:from>
      <xdr:col>90</xdr:col>
      <xdr:colOff>47625</xdr:colOff>
      <xdr:row>452</xdr:row>
      <xdr:rowOff>123825</xdr:rowOff>
    </xdr:from>
    <xdr:to>
      <xdr:col>100</xdr:col>
      <xdr:colOff>53560</xdr:colOff>
      <xdr:row>454</xdr:row>
      <xdr:rowOff>57150</xdr:rowOff>
    </xdr:to>
    <xdr:pic macro="[0]!PrintArea_Srinivas">
      <xdr:nvPicPr>
        <xdr:cNvPr id="15" name="Picture 14"/>
        <xdr:cNvPicPr>
          <a:picLocks noChangeAspect="1"/>
        </xdr:cNvPicPr>
      </xdr:nvPicPr>
      <xdr:blipFill rotWithShape="1">
        <a:blip xmlns:r="http://schemas.openxmlformats.org/officeDocument/2006/relationships" r:embed="rId17" cstate="print">
          <a:extLst>
            <a:ext uri="{28A0092B-C50C-407E-A947-70E740481C1C}">
              <a14:useLocalDpi xmlns:a14="http://schemas.microsoft.com/office/drawing/2010/main" xmlns="" val="0"/>
            </a:ext>
          </a:extLst>
        </a:blip>
        <a:srcRect l="8647" t="12980" r="9025" b="10324"/>
        <a:stretch/>
      </xdr:blipFill>
      <xdr:spPr>
        <a:xfrm>
          <a:off x="54911625" y="86229825"/>
          <a:ext cx="6101935" cy="314325"/>
        </a:xfrm>
        <a:prstGeom prst="rect">
          <a:avLst/>
        </a:prstGeom>
      </xdr:spPr>
    </xdr:pic>
    <xdr:clientData fPrintsWithSheet="0"/>
  </xdr:twoCellAnchor>
  <xdr:twoCellAnchor>
    <xdr:from>
      <xdr:col>8</xdr:col>
      <xdr:colOff>79150</xdr:colOff>
      <xdr:row>450</xdr:row>
      <xdr:rowOff>21167</xdr:rowOff>
    </xdr:from>
    <xdr:to>
      <xdr:col>38</xdr:col>
      <xdr:colOff>83989</xdr:colOff>
      <xdr:row>454</xdr:row>
      <xdr:rowOff>29849</xdr:rowOff>
    </xdr:to>
    <xdr:pic>
      <xdr:nvPicPr>
        <xdr:cNvPr id="16" name="Picture 15"/>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xmlns="" val="0"/>
            </a:ext>
          </a:extLst>
        </a:blip>
        <a:stretch>
          <a:fillRect/>
        </a:stretch>
      </xdr:blipFill>
      <xdr:spPr>
        <a:xfrm>
          <a:off x="803050" y="1926167"/>
          <a:ext cx="2671839" cy="770682"/>
        </a:xfrm>
        <a:prstGeom prst="rect">
          <a:avLst/>
        </a:prstGeom>
      </xdr:spPr>
    </xdr:pic>
    <xdr:clientData/>
  </xdr:twoCellAnchor>
  <xdr:twoCellAnchor>
    <xdr:from>
      <xdr:col>90</xdr:col>
      <xdr:colOff>47625</xdr:colOff>
      <xdr:row>602</xdr:row>
      <xdr:rowOff>123825</xdr:rowOff>
    </xdr:from>
    <xdr:to>
      <xdr:col>100</xdr:col>
      <xdr:colOff>53560</xdr:colOff>
      <xdr:row>604</xdr:row>
      <xdr:rowOff>57150</xdr:rowOff>
    </xdr:to>
    <xdr:pic macro="[0]!PrintArea_Pradeep">
      <xdr:nvPicPr>
        <xdr:cNvPr id="17" name="Picture 16"/>
        <xdr:cNvPicPr>
          <a:picLocks noChangeAspect="1"/>
        </xdr:cNvPicPr>
      </xdr:nvPicPr>
      <xdr:blipFill rotWithShape="1">
        <a:blip xmlns:r="http://schemas.openxmlformats.org/officeDocument/2006/relationships" r:embed="rId17" cstate="print">
          <a:extLst>
            <a:ext uri="{28A0092B-C50C-407E-A947-70E740481C1C}">
              <a14:useLocalDpi xmlns:a14="http://schemas.microsoft.com/office/drawing/2010/main" xmlns="" val="0"/>
            </a:ext>
          </a:extLst>
        </a:blip>
        <a:srcRect l="8647" t="12980" r="9025" b="10324"/>
        <a:stretch/>
      </xdr:blipFill>
      <xdr:spPr>
        <a:xfrm>
          <a:off x="54911625" y="114804825"/>
          <a:ext cx="6101935" cy="314325"/>
        </a:xfrm>
        <a:prstGeom prst="rect">
          <a:avLst/>
        </a:prstGeom>
      </xdr:spPr>
    </xdr:pic>
    <xdr:clientData fPrintsWithSheet="0"/>
  </xdr:twoCellAnchor>
  <xdr:twoCellAnchor>
    <xdr:from>
      <xdr:col>8</xdr:col>
      <xdr:colOff>79150</xdr:colOff>
      <xdr:row>600</xdr:row>
      <xdr:rowOff>21167</xdr:rowOff>
    </xdr:from>
    <xdr:to>
      <xdr:col>38</xdr:col>
      <xdr:colOff>83989</xdr:colOff>
      <xdr:row>604</xdr:row>
      <xdr:rowOff>29849</xdr:rowOff>
    </xdr:to>
    <xdr:pic>
      <xdr:nvPicPr>
        <xdr:cNvPr id="18" name="Picture 17"/>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xmlns="" val="0"/>
            </a:ext>
          </a:extLst>
        </a:blip>
        <a:stretch>
          <a:fillRect/>
        </a:stretch>
      </xdr:blipFill>
      <xdr:spPr>
        <a:xfrm>
          <a:off x="803050" y="1926167"/>
          <a:ext cx="2671839" cy="770682"/>
        </a:xfrm>
        <a:prstGeom prst="rect">
          <a:avLst/>
        </a:prstGeom>
      </xdr:spPr>
    </xdr:pic>
    <xdr:clientData/>
  </xdr:twoCellAnchor>
  <xdr:twoCellAnchor>
    <xdr:from>
      <xdr:col>90</xdr:col>
      <xdr:colOff>47625</xdr:colOff>
      <xdr:row>752</xdr:row>
      <xdr:rowOff>123825</xdr:rowOff>
    </xdr:from>
    <xdr:to>
      <xdr:col>100</xdr:col>
      <xdr:colOff>53560</xdr:colOff>
      <xdr:row>754</xdr:row>
      <xdr:rowOff>57150</xdr:rowOff>
    </xdr:to>
    <xdr:pic macro="[0]!PrintArea_Ganesh">
      <xdr:nvPicPr>
        <xdr:cNvPr id="19" name="Picture 18"/>
        <xdr:cNvPicPr>
          <a:picLocks noChangeAspect="1"/>
        </xdr:cNvPicPr>
      </xdr:nvPicPr>
      <xdr:blipFill rotWithShape="1">
        <a:blip xmlns:r="http://schemas.openxmlformats.org/officeDocument/2006/relationships" r:embed="rId17" cstate="print">
          <a:extLst>
            <a:ext uri="{28A0092B-C50C-407E-A947-70E740481C1C}">
              <a14:useLocalDpi xmlns:a14="http://schemas.microsoft.com/office/drawing/2010/main" xmlns="" val="0"/>
            </a:ext>
          </a:extLst>
        </a:blip>
        <a:srcRect l="8647" t="12980" r="9025" b="10324"/>
        <a:stretch/>
      </xdr:blipFill>
      <xdr:spPr>
        <a:xfrm>
          <a:off x="54911625" y="143379825"/>
          <a:ext cx="6101935" cy="314325"/>
        </a:xfrm>
        <a:prstGeom prst="rect">
          <a:avLst/>
        </a:prstGeom>
      </xdr:spPr>
    </xdr:pic>
    <xdr:clientData fPrintsWithSheet="0"/>
  </xdr:twoCellAnchor>
  <xdr:twoCellAnchor>
    <xdr:from>
      <xdr:col>8</xdr:col>
      <xdr:colOff>79150</xdr:colOff>
      <xdr:row>750</xdr:row>
      <xdr:rowOff>21167</xdr:rowOff>
    </xdr:from>
    <xdr:to>
      <xdr:col>38</xdr:col>
      <xdr:colOff>83989</xdr:colOff>
      <xdr:row>754</xdr:row>
      <xdr:rowOff>29849</xdr:rowOff>
    </xdr:to>
    <xdr:pic>
      <xdr:nvPicPr>
        <xdr:cNvPr id="20" name="Picture 19"/>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xmlns="" val="0"/>
            </a:ext>
          </a:extLst>
        </a:blip>
        <a:stretch>
          <a:fillRect/>
        </a:stretch>
      </xdr:blipFill>
      <xdr:spPr>
        <a:xfrm>
          <a:off x="803050" y="1926167"/>
          <a:ext cx="2671839" cy="770682"/>
        </a:xfrm>
        <a:prstGeom prst="rect">
          <a:avLst/>
        </a:prstGeom>
      </xdr:spPr>
    </xdr:pic>
    <xdr:clientData/>
  </xdr:twoCellAnchor>
  <xdr:twoCellAnchor>
    <xdr:from>
      <xdr:col>90</xdr:col>
      <xdr:colOff>47625</xdr:colOff>
      <xdr:row>902</xdr:row>
      <xdr:rowOff>123825</xdr:rowOff>
    </xdr:from>
    <xdr:to>
      <xdr:col>100</xdr:col>
      <xdr:colOff>53560</xdr:colOff>
      <xdr:row>904</xdr:row>
      <xdr:rowOff>57150</xdr:rowOff>
    </xdr:to>
    <xdr:pic macro="[0]!PrintArea_Madhu">
      <xdr:nvPicPr>
        <xdr:cNvPr id="21" name="Picture 20"/>
        <xdr:cNvPicPr>
          <a:picLocks noChangeAspect="1"/>
        </xdr:cNvPicPr>
      </xdr:nvPicPr>
      <xdr:blipFill rotWithShape="1">
        <a:blip xmlns:r="http://schemas.openxmlformats.org/officeDocument/2006/relationships" r:embed="rId17" cstate="print">
          <a:extLst>
            <a:ext uri="{28A0092B-C50C-407E-A947-70E740481C1C}">
              <a14:useLocalDpi xmlns:a14="http://schemas.microsoft.com/office/drawing/2010/main" xmlns="" val="0"/>
            </a:ext>
          </a:extLst>
        </a:blip>
        <a:srcRect l="8647" t="12980" r="9025" b="10324"/>
        <a:stretch/>
      </xdr:blipFill>
      <xdr:spPr>
        <a:xfrm>
          <a:off x="54911625" y="171954825"/>
          <a:ext cx="6101935" cy="314325"/>
        </a:xfrm>
        <a:prstGeom prst="rect">
          <a:avLst/>
        </a:prstGeom>
      </xdr:spPr>
    </xdr:pic>
    <xdr:clientData fPrintsWithSheet="0"/>
  </xdr:twoCellAnchor>
  <xdr:twoCellAnchor>
    <xdr:from>
      <xdr:col>8</xdr:col>
      <xdr:colOff>79150</xdr:colOff>
      <xdr:row>900</xdr:row>
      <xdr:rowOff>21167</xdr:rowOff>
    </xdr:from>
    <xdr:to>
      <xdr:col>38</xdr:col>
      <xdr:colOff>83989</xdr:colOff>
      <xdr:row>904</xdr:row>
      <xdr:rowOff>29849</xdr:rowOff>
    </xdr:to>
    <xdr:pic>
      <xdr:nvPicPr>
        <xdr:cNvPr id="22" name="Picture 21"/>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xmlns="" val="0"/>
            </a:ext>
          </a:extLst>
        </a:blip>
        <a:stretch>
          <a:fillRect/>
        </a:stretch>
      </xdr:blipFill>
      <xdr:spPr>
        <a:xfrm>
          <a:off x="803050" y="1926167"/>
          <a:ext cx="2671839" cy="770682"/>
        </a:xfrm>
        <a:prstGeom prst="rect">
          <a:avLst/>
        </a:prstGeom>
      </xdr:spPr>
    </xdr:pic>
    <xdr:clientData/>
  </xdr:twoCellAnchor>
  <xdr:twoCellAnchor>
    <xdr:from>
      <xdr:col>90</xdr:col>
      <xdr:colOff>47625</xdr:colOff>
      <xdr:row>302</xdr:row>
      <xdr:rowOff>123825</xdr:rowOff>
    </xdr:from>
    <xdr:to>
      <xdr:col>100</xdr:col>
      <xdr:colOff>53560</xdr:colOff>
      <xdr:row>304</xdr:row>
      <xdr:rowOff>57150</xdr:rowOff>
    </xdr:to>
    <xdr:pic macro="[0]!PrintArea_Kiran">
      <xdr:nvPicPr>
        <xdr:cNvPr id="23" name="Picture 22"/>
        <xdr:cNvPicPr>
          <a:picLocks noChangeAspect="1"/>
        </xdr:cNvPicPr>
      </xdr:nvPicPr>
      <xdr:blipFill rotWithShape="1">
        <a:blip xmlns:r="http://schemas.openxmlformats.org/officeDocument/2006/relationships" r:embed="rId17" cstate="print">
          <a:extLst>
            <a:ext uri="{28A0092B-C50C-407E-A947-70E740481C1C}">
              <a14:useLocalDpi xmlns:a14="http://schemas.microsoft.com/office/drawing/2010/main" xmlns="" val="0"/>
            </a:ext>
          </a:extLst>
        </a:blip>
        <a:srcRect l="8647" t="12980" r="9025" b="10324"/>
        <a:stretch/>
      </xdr:blipFill>
      <xdr:spPr>
        <a:xfrm>
          <a:off x="54911625" y="57654825"/>
          <a:ext cx="6101935" cy="314325"/>
        </a:xfrm>
        <a:prstGeom prst="rect">
          <a:avLst/>
        </a:prstGeom>
      </xdr:spPr>
    </xdr:pic>
    <xdr:clientData fPrintsWithSheet="0"/>
  </xdr:twoCellAnchor>
  <xdr:twoCellAnchor>
    <xdr:from>
      <xdr:col>8</xdr:col>
      <xdr:colOff>79150</xdr:colOff>
      <xdr:row>300</xdr:row>
      <xdr:rowOff>21167</xdr:rowOff>
    </xdr:from>
    <xdr:to>
      <xdr:col>38</xdr:col>
      <xdr:colOff>83989</xdr:colOff>
      <xdr:row>304</xdr:row>
      <xdr:rowOff>29849</xdr:rowOff>
    </xdr:to>
    <xdr:pic>
      <xdr:nvPicPr>
        <xdr:cNvPr id="24" name="Picture 23"/>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xmlns="" val="0"/>
            </a:ext>
          </a:extLst>
        </a:blip>
        <a:stretch>
          <a:fillRect/>
        </a:stretch>
      </xdr:blipFill>
      <xdr:spPr>
        <a:xfrm>
          <a:off x="803050" y="1926167"/>
          <a:ext cx="2671839" cy="770682"/>
        </a:xfrm>
        <a:prstGeom prst="rect">
          <a:avLst/>
        </a:prstGeom>
      </xdr:spPr>
    </xdr:pic>
    <xdr:clientData/>
  </xdr:twoCellAnchor>
  <xdr:twoCellAnchor>
    <xdr:from>
      <xdr:col>90</xdr:col>
      <xdr:colOff>47625</xdr:colOff>
      <xdr:row>142</xdr:row>
      <xdr:rowOff>123825</xdr:rowOff>
    </xdr:from>
    <xdr:to>
      <xdr:col>100</xdr:col>
      <xdr:colOff>53560</xdr:colOff>
      <xdr:row>144</xdr:row>
      <xdr:rowOff>57150</xdr:rowOff>
    </xdr:to>
    <xdr:pic macro="[0]!PrintArea_Mahesh">
      <xdr:nvPicPr>
        <xdr:cNvPr id="25" name="Picture 24"/>
        <xdr:cNvPicPr>
          <a:picLocks noChangeAspect="1"/>
        </xdr:cNvPicPr>
      </xdr:nvPicPr>
      <xdr:blipFill rotWithShape="1">
        <a:blip xmlns:r="http://schemas.openxmlformats.org/officeDocument/2006/relationships" r:embed="rId17" cstate="print">
          <a:extLst>
            <a:ext uri="{28A0092B-C50C-407E-A947-70E740481C1C}">
              <a14:useLocalDpi xmlns:a14="http://schemas.microsoft.com/office/drawing/2010/main" xmlns="" val="0"/>
            </a:ext>
          </a:extLst>
        </a:blip>
        <a:srcRect l="8647" t="12980" r="9025" b="10324"/>
        <a:stretch/>
      </xdr:blipFill>
      <xdr:spPr>
        <a:xfrm>
          <a:off x="54911625" y="27174825"/>
          <a:ext cx="6101935" cy="314325"/>
        </a:xfrm>
        <a:prstGeom prst="rect">
          <a:avLst/>
        </a:prstGeom>
      </xdr:spPr>
    </xdr:pic>
    <xdr:clientData fPrintsWithSheet="0"/>
  </xdr:twoCellAnchor>
  <xdr:twoCellAnchor>
    <xdr:from>
      <xdr:col>8</xdr:col>
      <xdr:colOff>79150</xdr:colOff>
      <xdr:row>140</xdr:row>
      <xdr:rowOff>21167</xdr:rowOff>
    </xdr:from>
    <xdr:to>
      <xdr:col>38</xdr:col>
      <xdr:colOff>83989</xdr:colOff>
      <xdr:row>144</xdr:row>
      <xdr:rowOff>29849</xdr:rowOff>
    </xdr:to>
    <xdr:pic>
      <xdr:nvPicPr>
        <xdr:cNvPr id="26" name="Picture 25"/>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xmlns="" val="0"/>
            </a:ext>
          </a:extLst>
        </a:blip>
        <a:stretch>
          <a:fillRect/>
        </a:stretch>
      </xdr:blipFill>
      <xdr:spPr>
        <a:xfrm>
          <a:off x="803050" y="1926167"/>
          <a:ext cx="2671839" cy="770682"/>
        </a:xfrm>
        <a:prstGeom prst="rect">
          <a:avLst/>
        </a:prstGeom>
      </xdr:spPr>
    </xdr:pic>
    <xdr:clientData/>
  </xdr:twoCellAnchor>
  <xdr:twoCellAnchor>
    <xdr:from>
      <xdr:col>11</xdr:col>
      <xdr:colOff>64998</xdr:colOff>
      <xdr:row>1050</xdr:row>
      <xdr:rowOff>32278</xdr:rowOff>
    </xdr:from>
    <xdr:to>
      <xdr:col>47</xdr:col>
      <xdr:colOff>38857</xdr:colOff>
      <xdr:row>1054</xdr:row>
      <xdr:rowOff>173181</xdr:rowOff>
    </xdr:to>
    <xdr:pic>
      <xdr:nvPicPr>
        <xdr:cNvPr id="31" name="Picture 30"/>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xmlns="" val="0"/>
            </a:ext>
          </a:extLst>
        </a:blip>
        <a:stretch>
          <a:fillRect/>
        </a:stretch>
      </xdr:blipFill>
      <xdr:spPr>
        <a:xfrm>
          <a:off x="1055598" y="1937278"/>
          <a:ext cx="3174259" cy="915603"/>
        </a:xfrm>
        <a:prstGeom prst="rect">
          <a:avLst/>
        </a:prstGeom>
      </xdr:spPr>
    </xdr:pic>
    <xdr:clientData/>
  </xdr:twoCellAnchor>
  <xdr:twoCellAnchor>
    <xdr:from>
      <xdr:col>126</xdr:col>
      <xdr:colOff>272</xdr:colOff>
      <xdr:row>1052</xdr:row>
      <xdr:rowOff>55515</xdr:rowOff>
    </xdr:from>
    <xdr:to>
      <xdr:col>135</xdr:col>
      <xdr:colOff>82260</xdr:colOff>
      <xdr:row>1053</xdr:row>
      <xdr:rowOff>161348</xdr:rowOff>
    </xdr:to>
    <xdr:pic macro="[0]!PrintArea_AllBank_F">
      <xdr:nvPicPr>
        <xdr:cNvPr id="32" name="Picture 31"/>
        <xdr:cNvPicPr>
          <a:picLocks noChangeAspect="1"/>
        </xdr:cNvPicPr>
      </xdr:nvPicPr>
      <xdr:blipFill rotWithShape="1">
        <a:blip xmlns:r="http://schemas.openxmlformats.org/officeDocument/2006/relationships" r:embed="rId15" cstate="print">
          <a:extLst>
            <a:ext uri="{28A0092B-C50C-407E-A947-70E740481C1C}">
              <a14:useLocalDpi xmlns:a14="http://schemas.microsoft.com/office/drawing/2010/main" xmlns="" val="0"/>
            </a:ext>
          </a:extLst>
        </a:blip>
        <a:srcRect l="8647" t="12980" r="9025" b="10324"/>
        <a:stretch/>
      </xdr:blipFill>
      <xdr:spPr>
        <a:xfrm>
          <a:off x="10811147" y="201375915"/>
          <a:ext cx="853513" cy="296333"/>
        </a:xfrm>
        <a:prstGeom prst="rect">
          <a:avLst/>
        </a:prstGeom>
      </xdr:spPr>
    </xdr:pic>
    <xdr:clientData fPrintsWithSheet="0"/>
  </xdr:twoCellAnchor>
  <xdr:twoCellAnchor>
    <xdr:from>
      <xdr:col>36</xdr:col>
      <xdr:colOff>35082</xdr:colOff>
      <xdr:row>1100</xdr:row>
      <xdr:rowOff>162768</xdr:rowOff>
    </xdr:from>
    <xdr:to>
      <xdr:col>66</xdr:col>
      <xdr:colOff>39921</xdr:colOff>
      <xdr:row>1104</xdr:row>
      <xdr:rowOff>171450</xdr:rowOff>
    </xdr:to>
    <xdr:pic>
      <xdr:nvPicPr>
        <xdr:cNvPr id="39" name="Picture 38"/>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xmlns="" val="0"/>
            </a:ext>
          </a:extLst>
        </a:blip>
        <a:stretch>
          <a:fillRect/>
        </a:stretch>
      </xdr:blipFill>
      <xdr:spPr>
        <a:xfrm>
          <a:off x="3248182" y="1877268"/>
          <a:ext cx="2671839" cy="770682"/>
        </a:xfrm>
        <a:prstGeom prst="rect">
          <a:avLst/>
        </a:prstGeom>
      </xdr:spPr>
    </xdr:pic>
    <xdr:clientData/>
  </xdr:twoCellAnchor>
  <xdr:twoCellAnchor>
    <xdr:from>
      <xdr:col>88</xdr:col>
      <xdr:colOff>60886</xdr:colOff>
      <xdr:row>1105</xdr:row>
      <xdr:rowOff>171450</xdr:rowOff>
    </xdr:from>
    <xdr:to>
      <xdr:col>98</xdr:col>
      <xdr:colOff>72189</xdr:colOff>
      <xdr:row>1107</xdr:row>
      <xdr:rowOff>133351</xdr:rowOff>
    </xdr:to>
    <xdr:pic macro="[0]!PrintArea_MainBalSheet">
      <xdr:nvPicPr>
        <xdr:cNvPr id="40" name="Picture 39"/>
        <xdr:cNvPicPr>
          <a:picLocks noChangeAspect="1"/>
        </xdr:cNvPicPr>
      </xdr:nvPicPr>
      <xdr:blipFill rotWithShape="1">
        <a:blip xmlns:r="http://schemas.openxmlformats.org/officeDocument/2006/relationships" r:embed="rId16" cstate="print">
          <a:extLst>
            <a:ext uri="{28A0092B-C50C-407E-A947-70E740481C1C}">
              <a14:useLocalDpi xmlns:a14="http://schemas.microsoft.com/office/drawing/2010/main" xmlns="" val="0"/>
            </a:ext>
          </a:extLst>
        </a:blip>
        <a:srcRect l="8647" t="12980" r="9025" b="10324"/>
        <a:stretch/>
      </xdr:blipFill>
      <xdr:spPr>
        <a:xfrm>
          <a:off x="7614211" y="2457450"/>
          <a:ext cx="868553" cy="333376"/>
        </a:xfrm>
        <a:prstGeom prst="rect">
          <a:avLst/>
        </a:prstGeom>
      </xdr:spPr>
    </xdr:pic>
    <xdr:clientData fPrintsWithSheet="0"/>
  </xdr:twoCellAnchor>
  <xdr:twoCellAnchor>
    <xdr:from>
      <xdr:col>113</xdr:col>
      <xdr:colOff>0</xdr:colOff>
      <xdr:row>9</xdr:row>
      <xdr:rowOff>0</xdr:rowOff>
    </xdr:from>
    <xdr:to>
      <xdr:col>161</xdr:col>
      <xdr:colOff>12700</xdr:colOff>
      <xdr:row>9</xdr:row>
      <xdr:rowOff>0</xdr:rowOff>
    </xdr:to>
    <xdr:graphicFrame macro="">
      <xdr:nvGraphicFramePr>
        <xdr:cNvPr id="59" name="Chart 5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editAs="oneCell">
    <xdr:from>
      <xdr:col>0</xdr:col>
      <xdr:colOff>1</xdr:colOff>
      <xdr:row>0</xdr:row>
      <xdr:rowOff>88900</xdr:rowOff>
    </xdr:from>
    <xdr:to>
      <xdr:col>17</xdr:col>
      <xdr:colOff>41436</xdr:colOff>
      <xdr:row>2</xdr:row>
      <xdr:rowOff>177800</xdr:rowOff>
    </xdr:to>
    <xdr:pic macro="[0]!btHome">
      <xdr:nvPicPr>
        <xdr:cNvPr id="41" name="Picture 40"/>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xmlns="" val="0"/>
            </a:ext>
          </a:extLst>
        </a:blip>
        <a:stretch>
          <a:fillRect/>
        </a:stretch>
      </xdr:blipFill>
      <xdr:spPr>
        <a:xfrm>
          <a:off x="1" y="88900"/>
          <a:ext cx="1565435" cy="469900"/>
        </a:xfrm>
        <a:prstGeom prst="rect">
          <a:avLst/>
        </a:prstGeom>
      </xdr:spPr>
    </xdr:pic>
    <xdr:clientData/>
  </xdr:twoCellAnchor>
  <xdr:twoCellAnchor>
    <xdr:from>
      <xdr:col>11</xdr:col>
      <xdr:colOff>20969</xdr:colOff>
      <xdr:row>1200</xdr:row>
      <xdr:rowOff>32278</xdr:rowOff>
    </xdr:from>
    <xdr:to>
      <xdr:col>47</xdr:col>
      <xdr:colOff>82886</xdr:colOff>
      <xdr:row>1204</xdr:row>
      <xdr:rowOff>173181</xdr:rowOff>
    </xdr:to>
    <xdr:pic>
      <xdr:nvPicPr>
        <xdr:cNvPr id="65" name="Picture 64"/>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xmlns="" val="0"/>
            </a:ext>
          </a:extLst>
        </a:blip>
        <a:stretch>
          <a:fillRect/>
        </a:stretch>
      </xdr:blipFill>
      <xdr:spPr>
        <a:xfrm>
          <a:off x="1011569" y="1937278"/>
          <a:ext cx="3262317" cy="941003"/>
        </a:xfrm>
        <a:prstGeom prst="rect">
          <a:avLst/>
        </a:prstGeom>
      </xdr:spPr>
    </xdr:pic>
    <xdr:clientData/>
  </xdr:twoCellAnchor>
  <xdr:twoCellAnchor>
    <xdr:from>
      <xdr:col>125</xdr:col>
      <xdr:colOff>85997</xdr:colOff>
      <xdr:row>1202</xdr:row>
      <xdr:rowOff>55515</xdr:rowOff>
    </xdr:from>
    <xdr:to>
      <xdr:col>135</xdr:col>
      <xdr:colOff>101310</xdr:colOff>
      <xdr:row>1203</xdr:row>
      <xdr:rowOff>161348</xdr:rowOff>
    </xdr:to>
    <xdr:pic macro="[0]!PrintArea_AllBank_O">
      <xdr:nvPicPr>
        <xdr:cNvPr id="66" name="Picture 65"/>
        <xdr:cNvPicPr>
          <a:picLocks noChangeAspect="1"/>
        </xdr:cNvPicPr>
      </xdr:nvPicPr>
      <xdr:blipFill rotWithShape="1">
        <a:blip xmlns:r="http://schemas.openxmlformats.org/officeDocument/2006/relationships" r:embed="rId15" cstate="print">
          <a:extLst>
            <a:ext uri="{28A0092B-C50C-407E-A947-70E740481C1C}">
              <a14:useLocalDpi xmlns:a14="http://schemas.microsoft.com/office/drawing/2010/main" xmlns="" val="0"/>
            </a:ext>
          </a:extLst>
        </a:blip>
        <a:srcRect l="8647" t="12980" r="9025" b="10324"/>
        <a:stretch/>
      </xdr:blipFill>
      <xdr:spPr>
        <a:xfrm>
          <a:off x="10811147" y="230017590"/>
          <a:ext cx="853513" cy="296333"/>
        </a:xfrm>
        <a:prstGeom prst="rect">
          <a:avLst/>
        </a:prstGeom>
      </xdr:spPr>
    </xdr:pic>
    <xdr:clientData fPrintsWithSheet="0"/>
  </xdr:twoCellAnchor>
  <xdr:twoCellAnchor>
    <xdr:from>
      <xdr:col>21</xdr:col>
      <xdr:colOff>79375</xdr:colOff>
      <xdr:row>0</xdr:row>
      <xdr:rowOff>85725</xdr:rowOff>
    </xdr:from>
    <xdr:to>
      <xdr:col>125</xdr:col>
      <xdr:colOff>60828</xdr:colOff>
      <xdr:row>5</xdr:row>
      <xdr:rowOff>81279</xdr:rowOff>
    </xdr:to>
    <xdr:grpSp>
      <xdr:nvGrpSpPr>
        <xdr:cNvPr id="28" name="Group 27"/>
        <xdr:cNvGrpSpPr/>
      </xdr:nvGrpSpPr>
      <xdr:grpSpPr>
        <a:xfrm>
          <a:off x="1841500" y="85725"/>
          <a:ext cx="8649203" cy="948054"/>
          <a:chOff x="1889125" y="85725"/>
          <a:chExt cx="8896853" cy="948054"/>
        </a:xfrm>
      </xdr:grpSpPr>
      <xdr:grpSp>
        <xdr:nvGrpSpPr>
          <xdr:cNvPr id="42" name="Group 41"/>
          <xdr:cNvGrpSpPr/>
        </xdr:nvGrpSpPr>
        <xdr:grpSpPr>
          <a:xfrm>
            <a:off x="1889125" y="85725"/>
            <a:ext cx="8896853" cy="948054"/>
            <a:chOff x="6086475" y="250825"/>
            <a:chExt cx="9229017" cy="948054"/>
          </a:xfrm>
        </xdr:grpSpPr>
        <xdr:grpSp>
          <xdr:nvGrpSpPr>
            <xdr:cNvPr id="52" name="Group 51"/>
            <xdr:cNvGrpSpPr/>
          </xdr:nvGrpSpPr>
          <xdr:grpSpPr>
            <a:xfrm>
              <a:off x="6086475" y="250825"/>
              <a:ext cx="9229017" cy="948054"/>
              <a:chOff x="381000" y="403225"/>
              <a:chExt cx="8900349" cy="948054"/>
            </a:xfrm>
          </xdr:grpSpPr>
          <xdr:sp macro="[0]!btBal" textlink="">
            <xdr:nvSpPr>
              <xdr:cNvPr id="4" name="Rounded Rectangle 3"/>
              <xdr:cNvSpPr/>
            </xdr:nvSpPr>
            <xdr:spPr>
              <a:xfrm>
                <a:off x="1485906" y="403225"/>
                <a:ext cx="1457325" cy="411480"/>
              </a:xfrm>
              <a:prstGeom prst="roundRect">
                <a:avLst/>
              </a:prstGeom>
              <a:solidFill>
                <a:schemeClr val="accent6">
                  <a:lumMod val="60000"/>
                  <a:lumOff val="40000"/>
                </a:schemeClr>
              </a:solidFill>
              <a:ln>
                <a:noFill/>
              </a:ln>
              <a:effectLst/>
              <a:scene3d>
                <a:camera prst="orthographicFront">
                  <a:rot lat="0" lon="0" rev="0"/>
                </a:camera>
                <a:lightRig rig="contrasting" dir="t">
                  <a:rot lat="0" lon="0" rev="7800000"/>
                </a:lightRig>
              </a:scene3d>
              <a:sp3d>
                <a:bevelT w="139700" h="139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chemeClr val="tx1"/>
                    </a:solidFill>
                    <a:effectLst>
                      <a:innerShdw blurRad="63500" dist="50800" dir="18900000">
                        <a:prstClr val="black">
                          <a:alpha val="50000"/>
                        </a:prstClr>
                      </a:innerShdw>
                    </a:effectLst>
                    <a:latin typeface="Maiandra GD" panose="020E0502030308020204" pitchFamily="34" charset="0"/>
                  </a:rPr>
                  <a:t>Balance</a:t>
                </a:r>
                <a:r>
                  <a:rPr lang="en-US" sz="1600" b="1" baseline="0">
                    <a:solidFill>
                      <a:schemeClr val="tx1"/>
                    </a:solidFill>
                    <a:effectLst>
                      <a:innerShdw blurRad="63500" dist="50800" dir="18900000">
                        <a:prstClr val="black">
                          <a:alpha val="50000"/>
                        </a:prstClr>
                      </a:innerShdw>
                    </a:effectLst>
                    <a:latin typeface="Maiandra GD" panose="020E0502030308020204" pitchFamily="34" charset="0"/>
                  </a:rPr>
                  <a:t> Sheet</a:t>
                </a:r>
                <a:endParaRPr lang="en-US" sz="1600" b="1">
                  <a:solidFill>
                    <a:schemeClr val="tx1"/>
                  </a:solidFill>
                  <a:effectLst>
                    <a:innerShdw blurRad="63500" dist="50800" dir="18900000">
                      <a:prstClr val="black">
                        <a:alpha val="50000"/>
                      </a:prstClr>
                    </a:innerShdw>
                  </a:effectLst>
                  <a:latin typeface="Maiandra GD" panose="020E0502030308020204" pitchFamily="34" charset="0"/>
                </a:endParaRPr>
              </a:p>
            </xdr:txBody>
          </xdr:sp>
          <xdr:grpSp>
            <xdr:nvGrpSpPr>
              <xdr:cNvPr id="5" name="Group 4"/>
              <xdr:cNvGrpSpPr/>
            </xdr:nvGrpSpPr>
            <xdr:grpSpPr>
              <a:xfrm>
                <a:off x="381000" y="939799"/>
                <a:ext cx="6448440" cy="411480"/>
                <a:chOff x="9486900" y="1482724"/>
                <a:chExt cx="6448440" cy="411480"/>
              </a:xfrm>
            </xdr:grpSpPr>
            <xdr:sp macro="[0]!btMahesh" textlink="">
              <xdr:nvSpPr>
                <xdr:cNvPr id="6" name="Rounded Rectangle 5"/>
                <xdr:cNvSpPr/>
              </xdr:nvSpPr>
              <xdr:spPr>
                <a:xfrm>
                  <a:off x="9486900" y="1482724"/>
                  <a:ext cx="1019175" cy="411480"/>
                </a:xfrm>
                <a:prstGeom prst="roundRect">
                  <a:avLst/>
                </a:prstGeom>
                <a:solidFill>
                  <a:schemeClr val="accent4">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chemeClr val="tx1"/>
                      </a:solidFill>
                      <a:effectLst>
                        <a:innerShdw blurRad="63500" dist="50800" dir="18900000">
                          <a:prstClr val="black">
                            <a:alpha val="50000"/>
                          </a:prstClr>
                        </a:innerShdw>
                      </a:effectLst>
                      <a:latin typeface="Maiandra GD" panose="020E0502030308020204" pitchFamily="34" charset="0"/>
                    </a:rPr>
                    <a:t>Mahesh</a:t>
                  </a:r>
                </a:p>
              </xdr:txBody>
            </xdr:sp>
            <xdr:sp macro="[0]!btKiran" textlink="">
              <xdr:nvSpPr>
                <xdr:cNvPr id="7" name="Rounded Rectangle 6"/>
                <xdr:cNvSpPr/>
              </xdr:nvSpPr>
              <xdr:spPr>
                <a:xfrm>
                  <a:off x="10572765" y="1482724"/>
                  <a:ext cx="1019175" cy="411480"/>
                </a:xfrm>
                <a:prstGeom prst="roundRect">
                  <a:avLst/>
                </a:prstGeom>
                <a:solidFill>
                  <a:schemeClr val="accent4">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chemeClr val="tx1"/>
                      </a:solidFill>
                      <a:effectLst>
                        <a:innerShdw blurRad="63500" dist="50800" dir="18900000">
                          <a:prstClr val="black">
                            <a:alpha val="50000"/>
                          </a:prstClr>
                        </a:innerShdw>
                      </a:effectLst>
                      <a:latin typeface="Maiandra GD" panose="020E0502030308020204" pitchFamily="34" charset="0"/>
                    </a:rPr>
                    <a:t>Kiran</a:t>
                  </a:r>
                </a:p>
              </xdr:txBody>
            </xdr:sp>
            <xdr:sp macro="[0]!btSrinivas" textlink="">
              <xdr:nvSpPr>
                <xdr:cNvPr id="8" name="Rounded Rectangle 7"/>
                <xdr:cNvSpPr/>
              </xdr:nvSpPr>
              <xdr:spPr>
                <a:xfrm>
                  <a:off x="11658595" y="1482724"/>
                  <a:ext cx="1019175" cy="411480"/>
                </a:xfrm>
                <a:prstGeom prst="roundRect">
                  <a:avLst/>
                </a:prstGeom>
                <a:solidFill>
                  <a:schemeClr val="accent4">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chemeClr val="tx1"/>
                      </a:solidFill>
                      <a:effectLst>
                        <a:innerShdw blurRad="63500" dist="50800" dir="18900000">
                          <a:prstClr val="black">
                            <a:alpha val="50000"/>
                          </a:prstClr>
                        </a:innerShdw>
                      </a:effectLst>
                      <a:latin typeface="Maiandra GD" panose="020E0502030308020204" pitchFamily="34" charset="0"/>
                    </a:rPr>
                    <a:t>Srinivas</a:t>
                  </a:r>
                </a:p>
              </xdr:txBody>
            </xdr:sp>
            <xdr:sp macro="[0]!btPradeep" textlink="">
              <xdr:nvSpPr>
                <xdr:cNvPr id="9" name="Rounded Rectangle 8"/>
                <xdr:cNvSpPr/>
              </xdr:nvSpPr>
              <xdr:spPr>
                <a:xfrm>
                  <a:off x="12744455" y="1482724"/>
                  <a:ext cx="1019175" cy="411480"/>
                </a:xfrm>
                <a:prstGeom prst="roundRect">
                  <a:avLst/>
                </a:prstGeom>
                <a:solidFill>
                  <a:schemeClr val="accent4">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chemeClr val="tx1"/>
                      </a:solidFill>
                      <a:effectLst>
                        <a:innerShdw blurRad="63500" dist="50800" dir="18900000">
                          <a:prstClr val="black">
                            <a:alpha val="50000"/>
                          </a:prstClr>
                        </a:innerShdw>
                      </a:effectLst>
                      <a:latin typeface="Maiandra GD" panose="020E0502030308020204" pitchFamily="34" charset="0"/>
                    </a:rPr>
                    <a:t>Pradeep</a:t>
                  </a:r>
                </a:p>
              </xdr:txBody>
            </xdr:sp>
            <xdr:sp macro="[0]!btGanesh" textlink="">
              <xdr:nvSpPr>
                <xdr:cNvPr id="10" name="Rounded Rectangle 9"/>
                <xdr:cNvSpPr/>
              </xdr:nvSpPr>
              <xdr:spPr>
                <a:xfrm>
                  <a:off x="13830295" y="1482724"/>
                  <a:ext cx="1019175" cy="411480"/>
                </a:xfrm>
                <a:prstGeom prst="roundRect">
                  <a:avLst/>
                </a:prstGeom>
                <a:solidFill>
                  <a:schemeClr val="accent4">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chemeClr val="tx1"/>
                      </a:solidFill>
                      <a:effectLst>
                        <a:innerShdw blurRad="63500" dist="50800" dir="18900000">
                          <a:prstClr val="black">
                            <a:alpha val="50000"/>
                          </a:prstClr>
                        </a:innerShdw>
                      </a:effectLst>
                      <a:latin typeface="Maiandra GD" panose="020E0502030308020204" pitchFamily="34" charset="0"/>
                    </a:rPr>
                    <a:t>Ganesh</a:t>
                  </a:r>
                </a:p>
              </xdr:txBody>
            </xdr:sp>
            <xdr:sp macro="[0]!btMadhu" textlink="">
              <xdr:nvSpPr>
                <xdr:cNvPr id="11" name="Rounded Rectangle 10"/>
                <xdr:cNvSpPr/>
              </xdr:nvSpPr>
              <xdr:spPr>
                <a:xfrm>
                  <a:off x="14916165" y="1482724"/>
                  <a:ext cx="1019175" cy="411480"/>
                </a:xfrm>
                <a:prstGeom prst="roundRect">
                  <a:avLst/>
                </a:prstGeom>
                <a:solidFill>
                  <a:schemeClr val="accent4">
                    <a:lumMod val="60000"/>
                    <a:lumOff val="4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chemeClr val="tx1"/>
                      </a:solidFill>
                      <a:effectLst>
                        <a:innerShdw blurRad="63500" dist="50800" dir="18900000">
                          <a:prstClr val="black">
                            <a:alpha val="50000"/>
                          </a:prstClr>
                        </a:innerShdw>
                      </a:effectLst>
                      <a:latin typeface="Maiandra GD" panose="020E0502030308020204" pitchFamily="34" charset="0"/>
                    </a:rPr>
                    <a:t>Madhu</a:t>
                  </a:r>
                </a:p>
              </xdr:txBody>
            </xdr:sp>
          </xdr:grpSp>
          <xdr:sp macro="[0]!btAllB_E" textlink="">
            <xdr:nvSpPr>
              <xdr:cNvPr id="12" name="Rounded Rectangle 11"/>
              <xdr:cNvSpPr/>
            </xdr:nvSpPr>
            <xdr:spPr>
              <a:xfrm>
                <a:off x="3009913" y="403225"/>
                <a:ext cx="2143125" cy="411480"/>
              </a:xfrm>
              <a:prstGeom prst="roundRect">
                <a:avLst/>
              </a:prstGeom>
              <a:solidFill>
                <a:schemeClr val="accent6">
                  <a:lumMod val="60000"/>
                  <a:lumOff val="40000"/>
                </a:schemeClr>
              </a:solidFill>
              <a:ln>
                <a:noFill/>
              </a:ln>
              <a:effectLst/>
              <a:scene3d>
                <a:camera prst="orthographicFront">
                  <a:rot lat="0" lon="0" rev="0"/>
                </a:camera>
                <a:lightRig rig="contrasting" dir="t">
                  <a:rot lat="0" lon="0" rev="7800000"/>
                </a:lightRig>
              </a:scene3d>
              <a:sp3d>
                <a:bevelT w="139700" h="139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chemeClr val="tx1"/>
                    </a:solidFill>
                    <a:effectLst>
                      <a:innerShdw blurRad="63500" dist="50800" dir="18900000">
                        <a:prstClr val="black">
                          <a:alpha val="50000"/>
                        </a:prstClr>
                      </a:innerShdw>
                    </a:effectLst>
                    <a:latin typeface="Maiandra GD" panose="020E0502030308020204" pitchFamily="34" charset="0"/>
                  </a:rPr>
                  <a:t>All Banks &amp; Executive</a:t>
                </a:r>
              </a:p>
            </xdr:txBody>
          </xdr:sp>
          <xdr:sp macro="[0]!btAllB_F" textlink="">
            <xdr:nvSpPr>
              <xdr:cNvPr id="34" name="Rounded Rectangle 33"/>
              <xdr:cNvSpPr/>
            </xdr:nvSpPr>
            <xdr:spPr>
              <a:xfrm>
                <a:off x="7582827" y="403225"/>
                <a:ext cx="1698522" cy="411480"/>
              </a:xfrm>
              <a:prstGeom prst="roundRect">
                <a:avLst/>
              </a:prstGeom>
              <a:solidFill>
                <a:schemeClr val="accent6">
                  <a:lumMod val="60000"/>
                  <a:lumOff val="40000"/>
                </a:schemeClr>
              </a:solidFill>
              <a:ln>
                <a:noFill/>
              </a:ln>
              <a:effectLst/>
              <a:scene3d>
                <a:camera prst="orthographicFront">
                  <a:rot lat="0" lon="0" rev="0"/>
                </a:camera>
                <a:lightRig rig="contrasting" dir="t">
                  <a:rot lat="0" lon="0" rev="7800000"/>
                </a:lightRig>
              </a:scene3d>
              <a:sp3d>
                <a:bevelT w="139700" h="139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chemeClr val="tx1"/>
                    </a:solidFill>
                    <a:effectLst>
                      <a:innerShdw blurRad="63500" dist="50800" dir="18900000">
                        <a:prstClr val="black">
                          <a:alpha val="50000"/>
                        </a:prstClr>
                      </a:innerShdw>
                    </a:effectLst>
                    <a:latin typeface="Maiandra GD" panose="020E0502030308020204" pitchFamily="34" charset="0"/>
                  </a:rPr>
                  <a:t>All Bank's</a:t>
                </a:r>
                <a:r>
                  <a:rPr lang="en-US" sz="1600" b="1" baseline="0">
                    <a:solidFill>
                      <a:schemeClr val="tx1"/>
                    </a:solidFill>
                    <a:effectLst>
                      <a:innerShdw blurRad="63500" dist="50800" dir="18900000">
                        <a:prstClr val="black">
                          <a:alpha val="50000"/>
                        </a:prstClr>
                      </a:innerShdw>
                    </a:effectLst>
                    <a:latin typeface="Maiandra GD" panose="020E0502030308020204" pitchFamily="34" charset="0"/>
                  </a:rPr>
                  <a:t> Forms</a:t>
                </a:r>
              </a:p>
            </xdr:txBody>
          </xdr:sp>
          <xdr:sp macro="[0]!btMainBal" textlink="">
            <xdr:nvSpPr>
              <xdr:cNvPr id="51" name="Rounded Rectangle 50"/>
              <xdr:cNvSpPr/>
            </xdr:nvSpPr>
            <xdr:spPr>
              <a:xfrm>
                <a:off x="381000" y="403225"/>
                <a:ext cx="1038225" cy="411480"/>
              </a:xfrm>
              <a:prstGeom prst="roundRect">
                <a:avLst/>
              </a:prstGeom>
              <a:solidFill>
                <a:schemeClr val="accent6">
                  <a:lumMod val="60000"/>
                  <a:lumOff val="40000"/>
                </a:schemeClr>
              </a:solidFill>
              <a:ln>
                <a:noFill/>
              </a:ln>
              <a:effectLst/>
              <a:scene3d>
                <a:camera prst="orthographicFront">
                  <a:rot lat="0" lon="0" rev="0"/>
                </a:camera>
                <a:lightRig rig="contrasting" dir="t">
                  <a:rot lat="0" lon="0" rev="7800000"/>
                </a:lightRig>
              </a:scene3d>
              <a:sp3d>
                <a:bevelT w="139700" h="139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chemeClr val="tx1"/>
                    </a:solidFill>
                    <a:effectLst>
                      <a:innerShdw blurRad="63500" dist="50800" dir="18900000">
                        <a:prstClr val="black">
                          <a:alpha val="50000"/>
                        </a:prstClr>
                      </a:innerShdw>
                    </a:effectLst>
                    <a:latin typeface="Maiandra GD" panose="020E0502030308020204" pitchFamily="34" charset="0"/>
                  </a:rPr>
                  <a:t>Main</a:t>
                </a:r>
              </a:p>
            </xdr:txBody>
          </xdr:sp>
        </xdr:grpSp>
        <xdr:grpSp>
          <xdr:nvGrpSpPr>
            <xdr:cNvPr id="37" name="Group 36"/>
            <xdr:cNvGrpSpPr/>
          </xdr:nvGrpSpPr>
          <xdr:grpSpPr>
            <a:xfrm>
              <a:off x="13807975" y="784227"/>
              <a:ext cx="1361949" cy="393545"/>
              <a:chOff x="10862708" y="2154818"/>
              <a:chExt cx="1816100" cy="524774"/>
            </a:xfrm>
          </xdr:grpSpPr>
          <xdr:pic macro="[0]!btRefreshBalSheeet">
            <xdr:nvPicPr>
              <xdr:cNvPr id="35" name="Picture 34"/>
              <xdr:cNvPicPr>
                <a:picLocks noChangeAspect="1"/>
              </xdr:cNvPicPr>
            </xdr:nvPicPr>
            <xdr:blipFill rotWithShape="1">
              <a:blip xmlns:r="http://schemas.openxmlformats.org/officeDocument/2006/relationships" r:embed="rId24" cstate="print">
                <a:extLst>
                  <a:ext uri="{28A0092B-C50C-407E-A947-70E740481C1C}">
                    <a14:useLocalDpi xmlns:a14="http://schemas.microsoft.com/office/drawing/2010/main" xmlns="" val="0"/>
                  </a:ext>
                </a:extLst>
              </a:blip>
              <a:srcRect b="72165"/>
              <a:stretch/>
            </xdr:blipFill>
            <xdr:spPr>
              <a:xfrm>
                <a:off x="10862708" y="2184447"/>
                <a:ext cx="1816100" cy="495145"/>
              </a:xfrm>
              <a:prstGeom prst="rect">
                <a:avLst/>
              </a:prstGeom>
            </xdr:spPr>
          </xdr:pic>
          <xdr:sp macro="[0]!btRefreshBalSheeet" textlink="">
            <xdr:nvSpPr>
              <xdr:cNvPr id="36" name="Rounded Rectangle 35"/>
              <xdr:cNvSpPr/>
            </xdr:nvSpPr>
            <xdr:spPr>
              <a:xfrm>
                <a:off x="11277572" y="2154818"/>
                <a:ext cx="1244600" cy="507999"/>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800" b="1">
                    <a:solidFill>
                      <a:schemeClr val="tx1"/>
                    </a:solidFill>
                    <a:latin typeface="Maiandra GD" panose="020E0502030308020204" pitchFamily="34" charset="0"/>
                  </a:rPr>
                  <a:t>R</a:t>
                </a:r>
                <a:r>
                  <a:rPr lang="en-US" sz="1600" b="1">
                    <a:solidFill>
                      <a:schemeClr val="tx1"/>
                    </a:solidFill>
                    <a:latin typeface="Maiandra GD" panose="020E0502030308020204" pitchFamily="34" charset="0"/>
                  </a:rPr>
                  <a:t>efresh</a:t>
                </a:r>
              </a:p>
            </xdr:txBody>
          </xdr:sp>
        </xdr:grpSp>
      </xdr:grpSp>
      <xdr:sp macro="[0]!btAllB_O" textlink="">
        <xdr:nvSpPr>
          <xdr:cNvPr id="67" name="Rounded Rectangle 66"/>
          <xdr:cNvSpPr/>
        </xdr:nvSpPr>
        <xdr:spPr>
          <a:xfrm>
            <a:off x="6725943" y="85725"/>
            <a:ext cx="2295525" cy="411480"/>
          </a:xfrm>
          <a:prstGeom prst="roundRect">
            <a:avLst/>
          </a:prstGeom>
          <a:solidFill>
            <a:schemeClr val="accent6">
              <a:lumMod val="60000"/>
              <a:lumOff val="40000"/>
            </a:schemeClr>
          </a:solidFill>
          <a:ln>
            <a:noFill/>
          </a:ln>
          <a:effectLst/>
          <a:scene3d>
            <a:camera prst="orthographicFront">
              <a:rot lat="0" lon="0" rev="0"/>
            </a:camera>
            <a:lightRig rig="contrasting" dir="t">
              <a:rot lat="0" lon="0" rev="7800000"/>
            </a:lightRig>
          </a:scene3d>
          <a:sp3d>
            <a:bevelT w="139700" h="139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chemeClr val="tx1"/>
                </a:solidFill>
                <a:effectLst>
                  <a:innerShdw blurRad="63500" dist="50800" dir="18900000">
                    <a:prstClr val="black">
                      <a:alpha val="50000"/>
                    </a:prstClr>
                  </a:innerShdw>
                </a:effectLst>
                <a:latin typeface="Maiandra GD" panose="020E0502030308020204" pitchFamily="34" charset="0"/>
              </a:rPr>
              <a:t>All Banks &amp; Operators</a:t>
            </a:r>
          </a:p>
        </xdr:txBody>
      </xdr:sp>
    </xdr:grpSp>
    <xdr:clientData/>
  </xdr:twoCellAnchor>
  <xdr:twoCellAnchor>
    <xdr:from>
      <xdr:col>17</xdr:col>
      <xdr:colOff>9524</xdr:colOff>
      <xdr:row>1232</xdr:row>
      <xdr:rowOff>9524</xdr:rowOff>
    </xdr:from>
    <xdr:to>
      <xdr:col>123</xdr:col>
      <xdr:colOff>0</xdr:colOff>
      <xdr:row>1245</xdr:row>
      <xdr:rowOff>177800</xdr:rowOff>
    </xdr:to>
    <xdr:graphicFrame macro="">
      <xdr:nvGraphicFramePr>
        <xdr:cNvPr id="29" name="Chart 2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Gajendra Santosh" refreshedDate="43042.524692708335" missingItemsLimit="0" createdVersion="6" refreshedVersion="6" minRefreshableVersion="3" recordCount="1574">
  <cacheSource type="worksheet">
    <worksheetSource name="fDetails"/>
  </cacheSource>
  <cacheFields count="28">
    <cacheField name="S. No." numFmtId="0">
      <sharedItems containsSemiMixedTypes="0" containsString="0" containsNumber="1" containsInteger="1" minValue="1" maxValue="1574"/>
    </cacheField>
    <cacheField name="EB S.No." numFmtId="0">
      <sharedItems count="1574">
        <s v="17-Jun-GA-VIJ-1"/>
        <s v="17-Jun-GA-VIJ-2"/>
        <s v="17-Jun-GA-VIJ-3"/>
        <s v="17-Jun-GA-VIJ-4"/>
        <s v="17-Jun-GA-VIJ-5"/>
        <s v="17-Jun-GA-VIJ-6"/>
        <s v="17-Jun-GA-VIJ-7"/>
        <s v="17-Jun-GA-VIJ-8"/>
        <s v="17-Jun-GA-VIJ-9"/>
        <s v="17-Jun-GA-VIJ-10"/>
        <s v="17-Jun-GA-VIJ-11"/>
        <s v="17-Jun-GA-VIJ-12"/>
        <s v="17-Jun-GA-VIJ-13"/>
        <s v="17-Jun-GA-VIJ-14"/>
        <s v="17-Jun-GA-VIJ-15"/>
        <s v="17-Jun-GA-VIJ-16"/>
        <s v="17-Jun-GA-VIJ-17"/>
        <s v="17-Jun-GA-VIJ-18"/>
        <s v="17-Jun-GA-VIJ-19"/>
        <s v="17-Jun-GA-VIJ-20"/>
        <s v="17-Jun-GA-VIJ-21"/>
        <s v="17-Jun-GA-VIJ-22"/>
        <s v="17-Jun-GA-VIJ-23"/>
        <s v="17-Jun-GA-VIJ-24"/>
        <s v="17-Jun-GA-VIJ-25"/>
        <s v="17-Jun-GA-VIJ-26"/>
        <s v="17-Jun-GA-VIJ-27"/>
        <s v="17-Jun-GA-VIJ-28"/>
        <s v="17-Jun-GA-VIJ-29"/>
        <s v="17-Jun-GA-VIJ-30"/>
        <s v="17-Jun-GA-VIJ-31"/>
        <s v="17-Jun-GA-VIJ-32"/>
        <s v="17-Jun-GA-VIJ-33"/>
        <s v="17-Jun-GA-VIJ-34"/>
        <s v="17-Jun-GA-VIJ-35"/>
        <s v="17-Jun-GA-VIJ-36"/>
        <s v="17-Jun-GA-VIJ-37"/>
        <s v="17-Jun-GA-VIJ-38"/>
        <s v="17-Jun-GA-VIJ-39"/>
        <s v="17-Jun-GA-VIJ-40"/>
        <s v="17-Apr-GA-VIJ-1"/>
        <s v="17-Apr-GA-VIJ-3"/>
        <s v="17-Apr-GA-VIJ-4"/>
        <s v="17-Apr-GA-VIJ-6"/>
        <s v="17-Apr-GA-VIJ-7"/>
        <s v="17-Apr-GA-VIJ-15"/>
        <s v="17-Apr-GA-VIJ-19"/>
        <s v="17-Apr-GA-VIJ-20"/>
        <s v="17-Apr-GA-VIJ-23"/>
        <s v="17-Apr-GA-VIJ-27"/>
        <s v="17-Apr-GA-VIJ-28"/>
        <s v="17-Apr-GA-VIJ-29"/>
        <s v="17-Apr-GA-VIJ-30"/>
        <s v="17-Apr-GA-VIJ-31"/>
        <s v="17-Apr-GA-VIJ-33"/>
        <s v="17-Apr-GA-VIJ-35"/>
        <s v="17-Apr-GA-VIJ-39"/>
        <s v="17-Apr-GA-VIJ-46"/>
        <s v="17-Apr-GA-VIJ-47"/>
        <s v="17-May-GA-VIJ-1"/>
        <s v="17-May-GA-VIJ-2"/>
        <s v="17-May-GA-VIJ-3"/>
        <s v="17-May-GA-VIJ-4"/>
        <s v="17-May-GA-VIJ-5"/>
        <s v="17-May-GA-VIJ-6"/>
        <s v="17-May-GA-VIJ-7"/>
        <s v="17-May-GA-VIJ-10"/>
        <s v="17-May-GA-VIJ-11"/>
        <s v="17-May-GA-VIJ-12"/>
        <s v="17-May-GA-VIJ-13"/>
        <s v="17-May-GA-VIJ-14"/>
        <s v="17-May-GA-VIJ-15"/>
        <s v="17-May-GA-VIJ-16"/>
        <s v="17-May-GA-VIJ-17"/>
        <s v="17-May-GA-VIJ-19"/>
        <s v="17-May-GA-VIJ-20"/>
        <s v="17-May-GA-VIJ-23"/>
        <s v="17-May-GA-VIJ-25"/>
        <s v="17-May-GA-VIJ-26"/>
        <s v="17-May-GA-VIJ-27"/>
        <s v="17-May-GA-VIJ-28"/>
        <s v="17-May-GA-VIJ-29"/>
        <s v="17-May-GA-VIJ-30"/>
        <s v="17-May-GA-VIJ-31"/>
        <s v="17-May-GA-VIJ-32"/>
        <s v="17-May-GA-VIJ-33"/>
        <s v="17-May-GA-VIJ-34"/>
        <s v="17-May-GA-VIJ-35"/>
        <s v="17-May-GA-VIJ-36"/>
        <s v="17-May-GA-VIJ-37"/>
        <s v="17-May-GA-VIJ-38"/>
        <s v="17-May-GA-VIJ-39"/>
        <s v="17-May-GA-VIJ-40"/>
        <s v="17-May-GA-VIJ-41"/>
        <s v="17-May-GA-VIJ-42"/>
        <s v="17-May-GA-VIJ-43"/>
        <s v="17-May-GA-VIJ-44A"/>
        <s v="17-May-GA-VIJ-45"/>
        <s v="17-May-GA-VIJ-46"/>
        <s v="17-May-GA-VIJ-47"/>
        <s v="17-May-GA-TGB-2"/>
        <s v="17-Jun-MA-SBI-1"/>
        <s v="17-Jun-MA-SBI-2"/>
        <s v="17-Jun-MA-SBI-3"/>
        <s v="17-Jun-MA-SBI-4"/>
        <s v="17-Jun-MA-SBI-5"/>
        <s v="17-Jun-MA-SBI-6"/>
        <s v="17-Jun-MA-SBI-7"/>
        <s v="17-Jun-MA-SBI-8"/>
        <s v="17-Jun-MA-SBI-9"/>
        <s v="17-Jun-MA-SBI-10"/>
        <s v="17-Jun-MA-SBI-11"/>
        <s v="17-Jun-MA-SBI-12"/>
        <s v="17-Jun-MA-SBI-13"/>
        <s v="17-Jun-MA-SBI-14"/>
        <s v="17-Jun-MA-SBI-15"/>
        <s v="17-Jun-MA-SBI-16"/>
        <s v="17-Jun-MA-SBI-17"/>
        <s v="17-Jun-MA-SBI-18"/>
        <s v="17-Jun-MA-SBI-19"/>
        <s v="17-Jun-MA-SBI-20"/>
        <s v="17-Jun-MA-SBI-21"/>
        <s v="17-Jun-MA-SBI-22"/>
        <s v="17-Jun-MA-SBI-23"/>
        <s v="17-Jun-MA-SBI-24"/>
        <s v="17-Jun-MA-SBI-25"/>
        <s v="17-Jun-MA-SBI-26"/>
        <s v="17-Jun-MA-SBI-27"/>
        <s v="17-Jun-MA-SBI-28"/>
        <s v="17-Jun-MA-SBI-29"/>
        <s v="17-Jun-MA-SBI-30"/>
        <s v="17-Jun-MA-SBI-31"/>
        <s v="17-Jun-MA-SBI-32"/>
        <s v="17-Jun-MA-SBI-33"/>
        <s v="17-Jun-MA-SBI-34"/>
        <s v="17-Jun-MA-SBI-35"/>
        <s v="17-Jun-MA-SBI-36"/>
        <s v="17-Jun-MA-SBI-37"/>
        <s v="17-Jun-MA-SBI-38"/>
        <s v="17-Jun-MA-SBI-39"/>
        <s v="17-Jun-MA-SBI-40"/>
        <s v="17-Jun-MA-SBI-41"/>
        <s v="17-Jun-MA-SBI-42"/>
        <s v="17-Jun-MA-SBI-43"/>
        <s v="17-Jun-MA-SBI-44"/>
        <s v="17-Jun-MA-SBI-45"/>
        <s v="17-Jun-MA-SBI-46"/>
        <s v="17-Jun-MA-SBI-47"/>
        <s v="17-Jun-MA-SBI-48"/>
        <s v="17-Jun-MA-SBI-49"/>
        <s v="17-Jun-MA-SBI-51"/>
        <s v="17-Jun-MA-SBI-52"/>
        <s v="17-Jun-MA-SBI-53"/>
        <s v="17-Jun-MA-SBI-54"/>
        <s v="17-Jun-MA-SBI-55"/>
        <s v="17-Jun-MA-SBI-56"/>
        <s v="17-Jun-MA-SBI-57"/>
        <s v="17-Jun-MA-SBI-58"/>
        <s v="17-Jun-MA-SBI-59"/>
        <s v="17-Jun-MA-SBI-60"/>
        <s v="17-Jun-MA-SBI-61"/>
        <s v="17-Jun-MA-SBI-62"/>
        <s v="17-Jun-MA-SBI-63"/>
        <s v="17-Jun-MA-SBI-64"/>
        <s v="17-Jun-MA-SBI-65"/>
        <s v="17-Jun-MA-SBI-66"/>
        <s v="17-Jun-MA-SBI-67"/>
        <s v="17-Jun-MA-SBI-68"/>
        <s v="17-Jun-MA-SBI-69"/>
        <s v="17-Jun-MA-SBI-70"/>
        <s v="17-Jun-MA-SBI-71"/>
        <s v="17-Jun-MA-SBI-72"/>
        <s v="17-Jun-MA-SBI-73"/>
        <s v="17-Jun-MA-SBI-74"/>
        <s v="17-Jun-MA-SBI-75"/>
        <s v="17-Jun-MA-SBI-76"/>
        <s v="17-Jun-MA-SBI-77"/>
        <s v="17-Jun-MA-SBI-78"/>
        <s v="17-Jun-MA-SBI-79"/>
        <s v="17-Jun-MA-SBI-80"/>
        <s v="17-Jun-MA-SBI-81"/>
        <s v="17-Jun-MA-SBI-82"/>
        <s v="17-Jun-MA-SBI-83"/>
        <s v="17-Jun-MA-SBI-84"/>
        <s v="17-Jun-MA-SBI-85"/>
        <s v="17-Jun-MA-SBI-86"/>
        <s v="17-Jun-MA-SBI-87"/>
        <s v="17-Jun-MA-SBI-88"/>
        <s v="17-Jun-MA-SBI-89"/>
        <s v="17-Jun-MA-SBI-90"/>
        <s v="17-Jun-MA-SBI-91"/>
        <s v="17-Jun-MA-UBI-1"/>
        <s v="17-Jun-MA-UBI-2"/>
        <s v="17-Jun-MA-UBI-3"/>
        <s v="17-Jun-MA-UBI-4"/>
        <s v="17-Jun-MA-UBI-5"/>
        <s v="17-Jun-MA-UBI-6"/>
        <s v="17-Jun-MA-UBI-7"/>
        <s v="17-Jun-MA-UBI-8"/>
        <s v="17-Jun-MA-UBI-9"/>
        <s v="17-Jun-MA-UBI-10"/>
        <s v="17-Jun-MA-UBI-11"/>
        <s v="17-Jun-MA-UBI-12"/>
        <s v="17-Jun-MA-UBI-13"/>
        <s v="17-Jun-MA-UBI-14"/>
        <s v="17-Jun-MA-UBI-15"/>
        <s v="17-Jun-MA-UBI-16"/>
        <s v="17-Jun-MA-UBI-17"/>
        <s v="17-Jun-MA-UBI-18"/>
        <s v="17-Jun-MA-UBI-19"/>
        <s v="17-Jun-MA-UBI-20"/>
        <s v="17-Jun-MA-UBI-21"/>
        <s v="17-Jun-MA-UBI-22"/>
        <s v="17-Jun-MA-UBI-23"/>
        <s v="17-Jun-MA-UBI-24"/>
        <s v="17-Jun-MA-UBI-25"/>
        <s v="17-Jun-MA-UBI-26"/>
        <s v="17-Jun-MA-UBI-27"/>
        <s v="17-Jun-MA-UBI-28"/>
        <s v="17-Jun-MA-UBI-29"/>
        <s v="17-Jun-MA-UBI-30"/>
        <s v="17-Jun-MA-UBI-31"/>
        <s v="17-Jun-MA-UBI-32"/>
        <s v="17-Jun-MA-UBI-33"/>
        <s v="17-Jun-MA-UBI-34"/>
        <s v="17-Jun-MA-UBI-35"/>
        <s v="17-Jun-MA-UBI-36"/>
        <s v="17-Jun-MA-UBI-37"/>
        <s v="17-Jun-MA-UBI-38"/>
        <s v="17-Jun-MA-UBI-39"/>
        <s v="17-Jun-MA-UBI-40"/>
        <s v="17-Jun-MA-UBI-41"/>
        <s v="17-Jun-MA-UBI-42"/>
        <s v="17-Jun-MA-UBI-43"/>
        <s v="17-Jun-MA-UBI-44"/>
        <s v="17-Jun-MA-UBI-45"/>
        <s v="17-Jun-MA-UBI-46"/>
        <s v="17-Jun-MA-UBI-47"/>
        <s v="17-Jun-MA-UBI-48"/>
        <s v="17-Jun-MA-UBI-49"/>
        <s v="17-Jun-MA-UBI-50"/>
        <s v="17-Jun-MA-UBI-51"/>
        <s v="17-Jun-MA-UBI-52"/>
        <s v="17-Jun-MA-UBI-53"/>
        <s v="17-Jun-MA-UBI-54"/>
        <s v="17-Jun-MA-UBI-55"/>
        <s v="17-Jun-MA-UBI-56"/>
        <s v="17-Jun-MA-UBI-57"/>
        <s v="17-Jun-MA-UBI-58"/>
        <s v="17-Jun-MA-UBI-59"/>
        <s v="17-Jun-MA-UBI-60"/>
        <s v="17-Jun-MA-UBI-61"/>
        <s v="17-Jun-MA-UBI-62"/>
        <s v="17-Jun-MA-UBI-63"/>
        <s v="17-Jun-MA-UBI-64"/>
        <s v="17-Jun-MA-UBI-65"/>
        <s v="17-Jun-MA-UBI-66"/>
        <s v="17-Jun-MA-UBI-67"/>
        <s v="17-Jun-MA-UBI-68"/>
        <s v="17-Jun-MA-UBI-69"/>
        <s v="17-Jun-MA-UBI-70"/>
        <s v="17-Jun-MA-UBI-71"/>
        <s v="17-Jun-MA-UBI-72"/>
        <s v="17-Jun-MA-UBI-73"/>
        <s v="17-Jun-MA-UBI-74"/>
        <s v="17-Apr-MA-SBI-1"/>
        <s v="17-Apr-MA-SBI-3"/>
        <s v="17-Apr-MA-SBT-14"/>
        <s v="17-Apr-MA-SBI-22"/>
        <s v="17-Apr-MA-SBI-23"/>
        <s v="17-Apr-MA-SBI-25"/>
        <s v="17-Apr-MA-SBI-26"/>
        <s v="17-Apr-MA-SBI-27"/>
        <s v="17-Apr-MA-SBI-30"/>
        <s v="17-Apr-MA-SBI-39"/>
        <s v="17-Apr-MA-UBI-7"/>
        <s v="17-Apr-MA-UBI-16"/>
        <s v="17-Apr-MA-UBI-17"/>
        <s v="17-Apr-MA-UBI-19"/>
        <s v="17-Apr-MA-UBI-21"/>
        <s v="17-Apr-MA-UBI-22"/>
        <s v="17-Apr-MA-UBI-26"/>
        <s v="17-Apr-MA-UBI-27"/>
        <s v="17-Apr-MA-UBI-40"/>
        <s v="17-Apr-MA-UBI-48"/>
        <s v="17-Apr-MA-UBI-49"/>
        <s v="17-Apr-MA-UBI-52"/>
        <s v="17-Apr-MA-UBI-62"/>
        <s v="17-Apr-MA-UBI-63"/>
        <s v="17-Apr-MA-AXI-501"/>
        <s v="17-Apr-MA-AXI-502"/>
        <s v="17-Apr-MA-AXI-506"/>
        <s v="17-Apr-MA-AXI-507"/>
        <s v="17-Apr-MA-AXI-508"/>
        <s v="17-Apr-MA-AXI-509"/>
        <s v="17-Apr-MA-AXI-510"/>
        <s v="17-Apr-MA-AXI-511"/>
        <s v="17-Apr-MA-AXI-512"/>
        <s v="17-Apr-MA-AXI-513"/>
        <s v="17-Apr-MA-AXI-514"/>
        <s v="17-Apr-MA-AXI-515"/>
        <s v="17-May-MA-SBI-1"/>
        <s v="17-May-MA-SBI-4"/>
        <s v="17-May-MA-SBI-5"/>
        <s v="17-May-MA-SBI-8A"/>
        <s v="17-May-MA-SBI-9"/>
        <s v="17-May-MA-SBI-11A"/>
        <s v="17-May-MA-SBI-13"/>
        <s v="17-May-MA-SBM-16"/>
        <s v="17-May-MA-SBI-23"/>
        <s v="17-May-MA-SBI-24"/>
        <s v="17-May-MA-SBI-25"/>
        <s v="17-May-MA-SBI-26"/>
        <s v="17-May-MA-SBI-27"/>
        <s v="17-May-MA-SBI-28"/>
        <s v="17-May-MA-SBI-29"/>
        <s v="17-May-MA-SBI-30"/>
        <s v="17-May-MA-SBI-39"/>
        <s v="17-May-MA-SBI-40"/>
        <s v="17-May-MA-SBI-41A"/>
        <s v="17-May-MA-SBI-42"/>
        <s v="17-May-MA-SBI-46"/>
        <s v="17-May-MA-SBI-47"/>
        <s v="17-May-MA-SBI-48"/>
        <s v="17-May-MA-SBI-51"/>
        <s v="17-May-MA-SBI-52"/>
        <s v="17-May-MA-SBI-54A"/>
        <s v="17-May-MA-SBI-55A"/>
        <s v="17-May-MA-SBI-59A"/>
        <s v="17-May-MA-SBT-61"/>
        <s v="17-May-MA-SBI-62"/>
        <s v="17-May-MA-SBI-63"/>
        <s v="17-May-MA-SBI-64A"/>
        <s v="17-May-MA-SBM-66"/>
        <s v="17-May-MA-SBI-67"/>
        <s v="17-May-MA-SBI-68"/>
        <s v="17-May-MA-SBI-69"/>
        <s v="17-May-MA-SBI-70"/>
        <s v="17-May-MA-UBI-8A"/>
        <s v="17-May-MA-UBI-15"/>
        <s v="17-May-MA-UBI-19"/>
        <s v="17-May-MA-UBI-22"/>
        <s v="17-May-MA-UBI-23"/>
        <s v="17-May-MA-UBI-27"/>
        <s v="17-May-MA-UBI-34"/>
        <s v="17-May-MA-UBI-35"/>
        <s v="17-May-MA-UBI-36A"/>
        <s v="17-May-MA-UBI-38A"/>
        <s v="17-May-MA-UBI-39"/>
        <s v="17-May-MA-UBI-42A"/>
        <s v="17-May-MA-UBI-43A"/>
        <s v="17-May-MA-UBI-44A"/>
        <s v="17-May-MA-UBI-45A"/>
        <s v="17-May-MA-UBI-46A"/>
        <s v="17-May-MA-UBI-47A"/>
        <s v="17-May-MA-UBI-48"/>
        <s v="17-May-MA-UBI-49"/>
        <s v="17-May-MA-UBI-51A"/>
        <s v="17-May-MA-UBI-52A"/>
        <s v="17-May-MA-UBI-53"/>
        <s v="17-May-MA-UBI-55"/>
        <s v="17-May-MA-UBI-56"/>
        <s v="17-May-MA-UBI-61A"/>
        <s v="17-May-MA-UBI-62"/>
        <s v="17-May-MA-UBI-63A"/>
        <s v="17-May-MA-UBI-64"/>
        <s v="17-May-MA-UBI-65"/>
        <s v="17-May-MA-UBI-66"/>
        <s v="17-May-MA-UBI-67A"/>
        <s v="17-May-MA-AXI-519"/>
        <s v="17-May-MA-AXI-520"/>
        <s v="17-May-MA-AXI-521"/>
        <s v="17-May-MA-AXI-522"/>
        <s v="17-May-MA-AXI-523"/>
        <s v="17-May-MA-AXI-524"/>
        <s v="17-May-MA-AXI-525"/>
        <s v="17-May-MA-AXI-526"/>
        <s v="17-May-MA-AXI-527"/>
        <s v="17-May-MA-AXI-530"/>
        <s v="17-May-MA-AXI-531"/>
        <s v="17-May-MA-AXI-532"/>
        <s v="17-May-MA-AXI-533"/>
        <s v="17-May-MA-AXI-534"/>
        <s v="17-May-MA-AXI-535"/>
        <s v="17-May-MA-AXI-536"/>
        <s v="16-Jul-PR-BOI-12"/>
        <s v="16-Oct-PR-BOI-7"/>
        <s v="16-Nov-PR-BOI-2"/>
        <s v="17-Jan-PR-BOI-1"/>
        <s v="17-Jan-PR-BOI-3"/>
        <s v="17-Feb-PR-BOI-1"/>
        <s v="17-Apr-PR-BOI-2"/>
        <s v="17-Apr-PR-BOI-4"/>
        <s v="17-May-PR-BOI-1"/>
        <s v="17-May-PR-BOI-2"/>
        <s v="17-May-PR-BOI-4"/>
        <s v="17-May-PR-BOI-6"/>
        <s v="17-Jun-PR-BOI-1"/>
        <s v="17-Jun-PR-BOI-2"/>
        <s v="17-Jun-PR-BOI-3"/>
        <s v="17-Jun-PR-BOI-4"/>
        <s v="17-Jun-PR-BOI-5"/>
        <s v="17-Jun-PR-BOI-6"/>
        <s v="17-Jun-PR-BOI-7"/>
        <s v="17-Jun-PR-BOI-8"/>
        <s v="17-Jun-PR-SBI-1A"/>
        <s v="17-Jun-PR-SBI-2"/>
        <s v="17-Jun-PR-SBI-3A"/>
        <s v="17-Jun-PR-SBI-4A"/>
        <s v="17-Jun-PR-SBI-5A"/>
        <s v="17-Jun-PR-SBI-6"/>
        <s v="17-Jun-PR-SBI-7"/>
        <s v="17-Jun-PR-SBI-8"/>
        <s v="17-Jun-PR-SBI-9"/>
        <s v="17-Jun-PR-SBI-10"/>
        <s v="17-Jun-PR-SBI-11"/>
        <s v="17-Jun-PR-SBI-12"/>
        <s v="17-Jun-PR-SBI-13"/>
        <s v="17-Jun-PR-SBI-14"/>
        <s v="17-Jun-PR-SBI-15"/>
        <s v="17-Jun-PR-SBI-16"/>
        <s v="17-Jun-PR-SBI-17"/>
        <s v="17-Jun-PR-SBI-18"/>
        <s v="17-Jun-PR-SBI-19"/>
        <s v="17-Jun-PR-SBI-20"/>
        <s v="17-Jun-PR-SBI-21"/>
        <s v="17-Jun-PR-SBI-22"/>
        <s v="17-Jun-PR-SBI-23"/>
        <s v="17-Jun-PR-SBI-24"/>
        <s v="17-Jun-PR-SBI-25"/>
        <s v="17-Jun-PR-SBI-26"/>
        <s v="17-Jun-PR-SBI-27"/>
        <s v="17-Jun-PR-SBI-28"/>
        <s v="17-Jun-PR-SBI-29"/>
        <s v="17-Jun-PR-SBI-30"/>
        <s v="17-Jun-PR-SBI-31"/>
        <s v="17-Jun-PR-SBI-32"/>
        <s v="17-Jun-PR-SBI-33"/>
        <s v="17-Jun-PR-SBI-34"/>
        <s v="17-Jun-PR-SBI-35"/>
        <s v="17-Jun-PR-SBI-36"/>
        <s v="17-Jun-PR-SBI-37"/>
        <s v="17-Jun-PR-SBI-38"/>
        <s v="17-Jun-PR-SBI-39"/>
        <s v="17-Jun-PR-SBI-40"/>
        <s v="17-Jun-PR-SBI-41"/>
        <s v="17-Jun-PR-SBI-42"/>
        <s v="17-Jun-PR-SBI-43"/>
        <s v="17-Jun-PR-SBI-44"/>
        <s v="17-Jun-PR-SBI-45"/>
        <s v="17-Jun-PR-SBI-46"/>
        <s v="17-Jun-PR-SBI-47"/>
        <s v="17-Jun-PR-SBI-48"/>
        <s v="17-Jun-PR-SBI-49"/>
        <s v="17-Jun-PR-SBI-50"/>
        <s v="17-Jun-PR-SBI-51"/>
        <s v="17-Jun-PR-SBI-52"/>
        <s v="17-Jun-PR-SBI-53"/>
        <s v="17-Jun-PR-SBI-54"/>
        <s v="17-Jun-PR-SBI-55"/>
        <s v="17-Jun-PR-SBI-56"/>
        <s v="17-Jun-PR-SBI-57"/>
        <s v="17-Jun-PR-SBI-58"/>
        <s v="17-Jun-PR-SBI-59"/>
        <s v="17-Jun-PR-SBI-60"/>
        <s v="17-Jun-PR-SBI-61"/>
        <s v="17-Jun-PR-SBI-62"/>
        <s v="17-Jun-PR-SBI-63"/>
        <s v="17-Jun-PR-SBI-64"/>
        <s v="17-Jun-PR-SBI-65"/>
        <s v="17-Jun-PR-SBI-66"/>
        <s v="17-Jun-PR-SBI-67"/>
        <s v="17-Jun-PR-SBI-68"/>
        <s v="17-Jun-PR-SBI-69"/>
        <s v="17-Jun-PR-SBI-70"/>
        <s v="17-Jun-PR-SBI-71"/>
        <s v="17-Jun-PR-SBI-72"/>
        <s v="17-Jun-PR-SBI-73"/>
        <s v="17-Jun-PR-SBI-74"/>
        <s v="17-Jun-PR-SBI-75"/>
        <s v="17-Jun-PR-SBI-76"/>
        <s v="17-Jun-PR-SBI-77"/>
        <s v="17-Jun-PR-SBI-78"/>
        <s v="17-Jun-PR-SBI-79"/>
        <s v="17-Jun-PR-SBI-80"/>
        <s v="17-Jun-PR-SBI-81"/>
        <s v="17-Jun-PR-SBI-82"/>
        <s v="17-Jun-PR-SBI-83"/>
        <s v="17-Jun-PR-SBI-84"/>
        <s v="17-Jun-PR-SBI-85"/>
        <s v="17-Jun-PR-SBI-86"/>
        <s v="17-Jun-PR-SBI-87"/>
        <s v="17-Jun-PR-SBI-88"/>
        <s v="17-Jun-PR-SBI-89"/>
        <s v="17-Jun-PR-SBI-1B"/>
        <s v="17-Jun-PR-SBI-3B"/>
        <s v="17-Jun-PR-SBI-4B"/>
        <s v="17-Jun-PR-SBI-5B"/>
        <s v="16-Nov-PR-SBI-11"/>
        <s v="16-Nov-PR-SBI-13"/>
        <s v="16-Dec-PR-SBI-30"/>
        <s v="17-Jan-PR-SBI-20"/>
        <s v="17-Jan-PR-SBI-32"/>
        <s v="17-Jan-PR-SBI-33"/>
        <s v="17-Jan-PR-SBI-34"/>
        <s v="17-Jan-PR-SBI-35"/>
        <s v="17-Jan-PR-SBI-42"/>
        <s v="17-Jan-PR-SBI-47"/>
        <s v="17-Jan-PR-SBI-48"/>
        <s v="17-Feb-PR-SBI-17"/>
        <s v="17-Feb-PR-SBI-25"/>
        <s v="17-Feb-PR-SBI-26"/>
        <s v="17-Feb-PR-SBI-27"/>
        <s v="17-Feb-PR-SBI-30"/>
        <s v="17-Feb-PR-SBI-32"/>
        <s v="17-Feb-PR-SBI-36"/>
        <s v="17-Feb-PR-SBI-42"/>
        <s v="17-Feb-PR-SBI-52"/>
        <s v="17-Feb-PR-SBI-54"/>
        <s v="17-Feb-PR-SBI-55"/>
        <s v="17-Feb-PR-SBI-56"/>
        <s v="17-Mar-PR-SBI-3"/>
        <s v="17-Mar-PR-SBI-6"/>
        <s v="17-Mar-PR-SBI-8"/>
        <s v="17-Mar-PR-SBI-10"/>
        <s v="17-Mar-PR-SBI-16"/>
        <s v="17-Mar-PR-SBI-18"/>
        <s v="17-Mar-PR-SBI-21"/>
        <s v="17-Mar-PR-SBI-23"/>
        <s v="17-Mar-PR-SBI-24"/>
        <s v="17-Mar-PR-SBI-28"/>
        <s v="17-Mar-PR-SBI-31"/>
        <s v="17-Mar-PR-SBI-36"/>
        <s v="17-Mar-PR-SBI-37"/>
        <s v="17-Mar-PR-SBI-44"/>
        <s v="17-Mar-PR-SBI-50"/>
        <s v="17-Mar-PR-SBI-52"/>
        <s v="17-Mar-PR-SBI-55"/>
        <s v="17-Mar-PR-SBI-56"/>
        <s v="17-Mar-PR-SBI-71"/>
        <s v="17-Mar-PR-SBI-75"/>
        <s v="17-Mar-PR-SBI-76"/>
        <s v="17-Mar-PR-SBI-78"/>
        <s v="17-Mar-PR-SBI-80"/>
        <s v="17-Mar-PR-SBI-82"/>
        <s v="17-Mar-PR-SBI-85"/>
        <s v="17-Mar-PR-SBI-88"/>
        <s v="17-Mar-PR-SBI-90"/>
        <s v="17-Mar-PR-SBI-91"/>
        <s v="17-Mar-PR-SBI-94"/>
        <s v="17-Apr-PR-SBI-3"/>
        <s v="17-Apr-PR-SBI-4"/>
        <s v="17-Apr-PR-SBI-8"/>
        <s v="17-Apr-PR-SBI-12"/>
        <s v="17-Apr-PR-SBI-13"/>
        <s v="17-Apr-PR-SBI-14"/>
        <s v="17-Apr-PR-SBI-18"/>
        <s v="17-Apr-PR-SBI-19"/>
        <s v="17-Apr-PR-SBI-30"/>
        <s v="17-Apr-PR-SBI-34"/>
        <s v="17-Apr-PR-SBI-38"/>
        <s v="17-Apr-PR-SBI-47"/>
        <s v="17-Apr-PR-SBI-48"/>
        <s v="17-Apr-PR-SBI-49"/>
        <s v="17-Apr-PR-SBI-52"/>
        <s v="17-Apr-PR-SBI-56"/>
        <s v="17-Apr-PR-SBI-57"/>
        <s v="17-Apr-PR-SBI-58"/>
        <s v="17-Apr-PR-SBI-59"/>
        <s v="17-Apr-PR-SBI-60"/>
        <s v="17-Apr-PR-SBI-61"/>
        <s v="17-May-PR-SBI-4"/>
        <s v="17-May-PR-SBI-9"/>
        <s v="17-May-PR-SBI-14"/>
        <s v="17-May-PR-SBI-15"/>
        <s v="17-May-PR-SBI-17"/>
        <s v="17-May-PR-SBI-18"/>
        <s v="17-May-PR-SBI-19"/>
        <s v="17-May-PR-SBI-22"/>
        <s v="17-May-PR-SBI-24"/>
        <s v="17-May-PR-SBI-26"/>
        <s v="17-May-PR-SBI-27"/>
        <s v="17-May-PR-SBI-30"/>
        <s v="17-May-PR-SBI-37"/>
        <s v="17-May-PR-SBI-40"/>
        <s v="17-May-PR-SBI-43"/>
        <s v="17-May-PR-SBI-44"/>
        <s v="17-May-PR-SBI-46"/>
        <s v="17-May-PR-SBI-48"/>
        <s v="17-May-PR-SBI-49"/>
        <s v="17-May-PR-SBI-50A"/>
        <s v="17-May-PR-SBI-54"/>
        <s v="17-May-PR-SBI-61"/>
        <s v="17-May-PR-SBI-63"/>
        <s v="17-May-PR-SBI-64"/>
        <s v="17-May-PR-SBI-65"/>
        <s v="17-May-PR-SBI-71"/>
        <s v="17-May-PR-SBI-72"/>
        <s v="17-May-PR-SBI-76"/>
        <s v="17-May-PR-SBI-80"/>
        <s v="17-May-PR-SBI-81A"/>
        <s v="17-May-PR-SBI-82"/>
        <s v="17-May-PR-SBI-83"/>
        <s v="17-May-PR-SBI-84"/>
        <s v="17-May-PR-SBI-85"/>
        <s v="17-May-PR-SBI-87"/>
        <s v="17-May-PR-SBI-89"/>
        <s v="17-May-PR-SBI-90"/>
        <s v="17-May-PR-SBI-91"/>
        <s v="17-Jun-PR-SYN-1"/>
        <s v="17-Jun-PR-SYN-2"/>
        <s v="17-Jun-PR-SYN-3"/>
        <s v="17-Jun-PR-SYN-4"/>
        <s v="17-Jun-PR-SYN-5"/>
        <s v="17-Jun-PR -SYN-6"/>
        <s v="17-Jun-PR -SYN-7"/>
        <s v="17-Jun-PR-SYN-8"/>
        <s v="17-Jun-PR -SYN-9"/>
        <s v="17-Jun-PR-SYN-10"/>
        <s v="17-Jun-PR -SYN-11"/>
        <s v="17-Jun-PR-SYN-12"/>
        <s v="17-Jun-PR-SYN-13"/>
        <s v="17-Jun-PR-SYN-14"/>
        <s v="17-Jun-PR-SYN-15"/>
        <s v="16-Jul-PR-SYN-8"/>
        <s v="17-Jan-PR-SYN-22"/>
        <s v="17-Feb-PR-SYN-7"/>
        <s v="17-Mar-PR-SYN-8A"/>
        <s v="17-Mar-PR-SYN-19"/>
        <s v="17-Mar-PR-SYN-29"/>
        <s v="17-Mar-PR-SYN-41"/>
        <s v="17-Apr-PR-SYN-3"/>
        <s v="17-Apr-PR -SYN-6"/>
        <s v="17-Apr-PR-SYN-8"/>
        <s v="17-Apr-PR -SYN-9"/>
        <s v="17-Apr-PR -SYN-10"/>
        <s v="17-Apr-PR-SYN-11"/>
        <s v="17-Apr-PR-SYN-26"/>
        <s v="17-Apr-PR-SYN-33"/>
        <s v="17-May-PR -SYN-1"/>
        <s v="17-May-PR-SYN-5"/>
        <s v="17-May-PR-SYN-13"/>
        <s v="17-May-PR-SYN-14"/>
        <s v="17-May-PR-SYN-16"/>
        <s v="17-May-PR -SYN-22"/>
        <s v="17-May-PR-SYN-23"/>
        <s v="17-May-PR -SYN-26"/>
        <s v="17-May-PR-SYN-27"/>
        <s v="17-May-PR-SYN-28"/>
        <s v="17-May-PR-SYN-31"/>
        <s v="17-Jun-KI-SBI-49"/>
        <s v="17-Jun-KI-SBI-50"/>
        <s v="17-Jun-KI-SBI-51"/>
        <s v="17-Jun-KI-SBI-48"/>
        <s v="17-Jun-KI-SBI-47"/>
        <s v="17-Jun-KI-SBI-42"/>
        <s v="17-Jun-KI-SBI-43"/>
        <s v="17-Jun-KI-SBI-44"/>
        <s v="17-Jun-KI-SBI-45"/>
        <s v="17-Jun-KI-SBI-46"/>
        <s v="17-Jun-KI-SBI-36"/>
        <s v="17-Jun-KI-SBI-37"/>
        <s v="17-Jun-KI-SBI-38A"/>
        <s v="17-Jun-KI-SBI-39A"/>
        <s v="17-Jun-KI-SBI-38B"/>
        <s v="17-Jun-KI-SBI-39B"/>
        <s v="17-Jun-KI-SBI-40"/>
        <s v="17-Jun-KI-SBI-41"/>
        <s v="17-Jun-KI-SBI-35"/>
        <s v="17-Jun-KI-SBI-33"/>
        <s v="17-Jun-KI-SBI-34"/>
        <s v="17-Jun-KI-SBI-30"/>
        <s v="17-Jun-KI-SBI-31"/>
        <s v="17-Jun-KI-SBI-32"/>
        <s v="17-Jun-KI-SBI-29"/>
        <s v="17-Jun-KI-SBI-27"/>
        <s v="17-Jun-KI-SBI-28"/>
        <s v="17-Jun-KI-SBI-23"/>
        <s v="17-Jun-KI-SBI-24"/>
        <s v="17-Jun-KI-SBI-25"/>
        <s v="17-Jun-KI-SBI-26"/>
        <s v="17-Jun-KI-SBI-20"/>
        <s v="17-Jun-KI-SBI-21"/>
        <s v="17-Jun-KI-SBI-22"/>
        <s v="17-Jun-KI-SBI-18"/>
        <s v="17-Jun-KI-SBI-19"/>
        <s v="17-Jun-KI-SBI-13"/>
        <s v="17-Jun-KI-SBI-14"/>
        <s v="17-Jun-KI-SBI-15"/>
        <s v="17-Jun-KI-SBI-16"/>
        <s v="17-Jun-KI-SBI-17"/>
        <s v="17-Jun-KI-SBI-10"/>
        <s v="17-Jun-KI-SBI-11"/>
        <s v="17-Jun-KI-SBI-12"/>
        <s v="17-Jun-KI-SBI-9"/>
        <s v="17-Jun-KI-SBI-8"/>
        <s v="17-Jun-KI-SBI-4"/>
        <s v="17-Jun-KI-SBI-5"/>
        <s v="17-Jun-KI-SBI-6"/>
        <s v="17-Jun-KI-SBI-7"/>
        <s v="17-Jun-KI-SBI-1"/>
        <s v="17-Jun-KI-SBI-2"/>
        <s v="17-Jun-KI-SBI-3"/>
        <s v="17-May-KI-SBI-55"/>
        <s v="17-May-KI-SBI-56"/>
        <s v="17-May-KI-SBI-57"/>
        <s v="17-May-KI-SBI-58"/>
        <s v="17-May-KI-SBI-59"/>
        <s v="17-May-KI-SBI-60"/>
        <s v="17-May-KI-SBI-61"/>
        <s v="17-May-KI-SBI-62"/>
        <s v="17-May-KI-SBI-53"/>
        <s v="17-May-KI-SBI-54"/>
        <s v="17-May-KI-SBI-49"/>
        <s v="17-May-KI-SBI-50"/>
        <s v="17-May-KI-SBI-46"/>
        <s v="17-May-KI-SBI-47"/>
        <s v="17-May-KI-SBI-44"/>
        <s v="17-May-KI-SBI-43"/>
        <s v="17-May-KI-SBI-40"/>
        <s v="17-May-KI-SBI-41"/>
        <s v="17-May-KI-SBI-42"/>
        <s v="17-May-KI-SBI-36"/>
        <s v="17-May-KI-SBI-39"/>
        <s v="17-May-KI-SBI-33"/>
        <s v="17-May-KI-SBI-34"/>
        <s v="17-May-KI-SBI-25"/>
        <s v="17-May-KI-SBI-26"/>
        <s v="17-May-KI-SBI-27"/>
        <s v="17-May-KI-SBI-28"/>
        <s v="17-May-KI-SBI-29"/>
        <s v="17-May-KI-SBI-30"/>
        <s v="17-May-KI-SBI-24"/>
        <s v="17-May-KI-SBI-22"/>
        <s v="17-May-KI-SBI-20"/>
        <s v="17-May-KI-SBI-21"/>
        <s v="17-May-KI-SBI-18"/>
        <s v="17-May-KI-SBI-13A"/>
        <s v="17-May-KI-SBI-14A"/>
        <s v="17-May-KI-SBI-12"/>
        <s v="17-May-KI-SBI-8A"/>
        <s v="17-May-KI-SBI-9A"/>
        <s v="17-May-KI-SBI-10"/>
        <s v="17-May-KI-SBI-7"/>
        <s v="17-May-KI-SBI-6"/>
        <s v="17-May-KI-SBI-3A"/>
        <s v="17-May-KI-SBI-4"/>
        <s v="17-Apr-KI-SBI-53"/>
        <s v="17-Apr-KI-SBI-51"/>
        <s v="17-Apr-KI-SBI-47"/>
        <s v="17-Apr-KI-SBI-49"/>
        <s v="17-Apr-KI-SBI-46"/>
        <s v="17-Apr-KI-SBI-39"/>
        <s v="17-Apr-KI-SBI-43"/>
        <s v="17-Apr-KI-SBI-35"/>
        <s v="17-Apr-KI-SBI-38"/>
        <s v="17-Apr-KI-SBI-28"/>
        <s v="17-Apr-KI-SBI-22"/>
        <s v="17-Apr-KI-SBI-23"/>
        <s v="17-Apr-KI-SBI-24"/>
        <s v="17-Apr-KI-SBI-26"/>
        <s v="17-Apr-KI-SBI-21"/>
        <s v="17-Apr-KI-SBI-19"/>
        <s v="17-Apr-KI-SBI-17"/>
        <s v="17-Mar-KI-CAN-7"/>
        <s v="17-Apr-KI-SBI-15"/>
        <s v="17-Apr-KI-SBI-16"/>
        <s v="17-Apr-KI-SBI-12"/>
        <s v="17-Apr-KI-SBI-14"/>
        <s v="17-Apr-KI-SBI-10"/>
        <s v="17-Apr-KI-SBI-8"/>
        <s v="17-Apr-KI-SBI-5"/>
        <s v="17-Apr-KI-SBI-60"/>
        <s v="17-Mar-KI-SBI-57"/>
        <s v="17-Mar-KI-SBI-58"/>
        <s v="17-Mar-KI-SBI-56"/>
        <s v="17-Mar-KI-SBI-50"/>
        <s v="17-Mar-KI-SBI-51"/>
        <s v="17-Mar-KI-SBI-48"/>
        <s v="17-Mar-KI-SBI-49"/>
        <s v="17-Mar-KI-SBI-40"/>
        <s v="17-Mar-KI-SBI-41"/>
        <s v="17-Mar-KI-SBI-42"/>
        <s v="17-Mar-KI-CAN-53"/>
        <s v="17-Mar-KI-SBI-43"/>
        <s v="17-Mar-KI-SBI-44"/>
        <s v="17-Mar-KI-SBI-36"/>
        <s v="17-Mar-KI-SBI-37"/>
        <s v="17-Mar-KI-SBI-33"/>
        <s v="17-Mar-KI-SBI-29"/>
        <s v="17-Mar-KI-SBI-30"/>
        <s v="17-Mar-KI-SBI-19"/>
        <s v="17-Mar-KI-SBI-20"/>
        <s v="17-Mar-KI-SBI-23A"/>
        <s v="17-Mar-KI-SBI-14"/>
        <s v="17-Mar-KI-SBI-4"/>
        <s v="17-Mar-KI-SBI-2"/>
        <s v="17-Feb-KI-SBI-19"/>
        <s v="17-Feb-KI-SBI-20"/>
        <s v="17-Feb-KI-SBI-16"/>
        <s v="17-Feb-KI-SBI-17"/>
        <s v="17-Feb-KI-SBI-13"/>
        <s v="17-Feb-KI-SBI-11"/>
        <s v="17-Feb-KI-SBI-12"/>
        <s v="17-Feb-KI-SBI-6"/>
        <s v="17-Jan-KI-SBI-51"/>
        <s v="17-Jan-KI-SBI-50"/>
        <s v="17-Jan-KI-SBI-46"/>
        <s v="17-Jan-KI-SBI-41"/>
        <s v="17-Jan-KI-SBI-42"/>
        <s v="17-Jan-KI-SBI-39"/>
        <s v="17-Jan-KI-SBI-31"/>
        <s v="17-Jan-KI-SBI-32"/>
        <s v="17-Jan-KI-SBI-33"/>
        <s v="17-Jan-KI-SBI-34"/>
        <s v="17-Jan-KI-SBI-16"/>
        <s v="17-Jan-KI-SBI-15"/>
        <s v="17-Jan-KI-SBI-3"/>
        <s v="16-Dec-KI-SBI-33"/>
        <s v="16-Dec-KI-SBI-23"/>
        <s v="16-Dec-KI-SBI-25"/>
        <s v="16-Dec-KI-SBI-17"/>
        <s v="16-Dec-KI-SBI-18"/>
        <s v="16-Dec-KI-SBI-14"/>
        <s v="16-Dec-KI-SBI-1"/>
        <s v="16-Nov-KI-SBI-55"/>
        <s v="16-Nov-KI-SBI-53"/>
        <s v="16-Nov-KI-SBI-50"/>
        <s v="16-Nov-KI-SBI-46"/>
        <s v="16-Nov-KI-SBI-44"/>
        <s v="16-Nov-KI-SBI-33"/>
        <s v="16-Nov-KI-SBI-32"/>
        <s v="16-Nov-KI-SBI-29"/>
        <s v="16-Nov-KI-SBI-26"/>
        <s v="16-Nov-KI-SBI-15"/>
        <s v="16-Nov-KI-SBI-17"/>
        <s v="16-Nov-KI-SBI-6"/>
        <s v="16-Oct-KI-SBI-41"/>
        <s v="16-Oct-KI-SBI-13"/>
        <s v="16-Oct-KI-SBI-11"/>
        <s v="16-Oct-KI-SBI-6"/>
        <s v="16-Sep-KI-SBI-28"/>
        <s v="16-Sep-KI-SBI-25"/>
        <s v="16-Sep-KI-SBI-6"/>
        <s v="16-Aug-KI-SBI-26"/>
        <s v="16-Aug-KI-SBI-17"/>
        <s v="16-Aug-KI-SBI-7"/>
        <s v="16-Jun-KI-SBI-1"/>
        <s v="16-May-KI-SBI-33"/>
        <s v="16-May-KI-SBI-10"/>
        <s v="08-Sep-KI-SBI-26"/>
        <s v="16-Oct-KI-SBI-35"/>
        <s v="16-Oct-KI-SBI-33"/>
        <s v="16-Jul-KI-SBI-16"/>
        <s v="16-Jun-KI-SBI-6"/>
        <s v="16-Jun-KI-SBI-2"/>
        <s v="17-Jun-SR-SME-27"/>
        <s v="17-Jun-SR-SME-28"/>
        <s v="17-Jun-SR-SME-25"/>
        <s v="17-Jun-SR-SME-26"/>
        <s v="17-Jun-SR-SME-24"/>
        <s v="17-Jun-SR-SME-23"/>
        <s v="17-Jun-SR-SME-21"/>
        <s v="17-Jun-SR-SME-22"/>
        <s v="17-Jun-SR-SME-19"/>
        <s v="17-Jun-SR-SME-20"/>
        <s v="17-Jun-SR-SME-17"/>
        <s v="17-Jun-SR-SME-18"/>
        <s v="17-Jun-SR-SME-15"/>
        <s v="17-Jun-SR-SME-16"/>
        <s v="17-Jun-SR-SME-14"/>
        <s v="17-Jun-SR-SME-11"/>
        <s v="17-Jun-SR-SME-12"/>
        <s v="17-Jun-SR-SME-13"/>
        <s v="17-Jun-SR-SME-10"/>
        <s v="17-Jun-SR-SME-9"/>
        <s v="17-Jun-SR-SME-8"/>
        <s v="17-Jun-SR-SME-7"/>
        <s v="17-Jun-SR-SME-2"/>
        <s v="17-Jun-SR-SME-3"/>
        <s v="17-Jun-SR-SME-4"/>
        <s v="17-Jun-SR-SME-5"/>
        <s v="17-Jun-SR-COS-1"/>
        <s v="17-Jun-SR-COS-2"/>
        <s v="17-Jun-SR-COS-3"/>
        <s v="17-Jun-SR-COS-4"/>
        <s v="17-Jun-SR-COS-5"/>
        <s v="17-Jun-SR-COS-6"/>
        <s v="17-Jun-SR-COS-7"/>
        <s v="17-Jun-SR-COS-8"/>
        <s v="17-Jun-SR-COS-9"/>
        <s v="17-Jun-SR-COS-10"/>
        <s v="17-Jun-SR-COS-11"/>
        <s v="17-Jun-SR-COS-12"/>
        <s v="17-Jun-SR-COS-13"/>
        <s v="17-Jun-SR-IND-1"/>
        <s v="17-Jun-SR-IND-2"/>
        <s v="17-Jun-SR-IND-3"/>
        <s v="17-Jun-SR-IND-4"/>
        <s v="17-Jun-SR-IND-5"/>
        <s v="17-Jun-SR-IND-6"/>
        <s v="17-Jun-SR-IND-7"/>
        <s v="17-Jun-SR-IND-8"/>
        <s v="17-Jun-SR-IND-9"/>
        <s v="17-Jun-SR-IND-10"/>
        <s v="17-Jun-SR-IND-11"/>
        <s v="17-Jun-SR-IND-12"/>
        <s v="17-Jun-SR-IND-13"/>
        <s v="17-Jun-SR-IND-14"/>
        <s v="17-Jun-SR-SME-6"/>
        <s v="17-Jun-SR-SME-1"/>
        <s v="17-May-SR-SME-12"/>
        <s v="16-Jan-SR-COS-19"/>
        <s v="17-May-SR-SME-10"/>
        <s v="17-May-SR-SME-11"/>
        <s v="17-May-SR-SME-7"/>
        <s v="17-May-SR-SME-6"/>
        <s v="17-May-SR-SME-5"/>
        <s v="17-May-SR-SME-4"/>
        <s v="17-Apr-SR-SME-5"/>
        <s v="17-Apr-SR-SME-6"/>
        <s v="17-Apr-SR-SME-7"/>
        <s v="17-Apr-SR-SME-8"/>
        <s v="17-Apr-SR-SME-9"/>
        <s v="17-Apr-SR-SME-2"/>
        <s v="16-Mar-SR-IND-13"/>
        <s v="16-Mar-SR-IND-19"/>
        <s v="16-Apr-SR-IND-4"/>
        <s v="16-Apr-SR-IND-5"/>
        <s v="17-Mar-SR-SME-21"/>
        <s v="16-May-SR-IND-5"/>
        <s v="17-Mar-SR-SME-15"/>
        <s v="17-Mar-SR-SME-12"/>
        <s v="17-Mar-SR-SME-13"/>
        <s v="17-Mar-SR-SME-14"/>
        <s v="17-Mar-SR-SME-4"/>
        <s v="17-Mar-SR-SME-1"/>
        <s v="17-Feb-SR-SME-7"/>
        <s v="17-Feb-SR-SME-8"/>
        <s v="17-Feb-SR-SME-6"/>
        <s v="17-Feb-SR-SME-5"/>
        <s v="16-Jul-SR-IND-9"/>
        <s v="17-Feb-SR-SME-3"/>
        <s v="17-Feb-SR-SME-2"/>
        <s v="16-Dec-SR-SME-4"/>
        <s v="16-Nov-SR-SME-7"/>
        <s v="16-Aug-SR-IND-6"/>
        <s v="16-Nov-SR-SME-8"/>
        <s v="16-Nov-SR-SME-9"/>
        <s v="16-Nov-SR-SME-6"/>
        <s v="16-Nov-SR-SME-3"/>
        <s v="16-Sep-SR-IND-35"/>
        <s v="16-Nov-SR-SME-4"/>
        <s v="16-Oct-SR-IND-7"/>
        <s v="16-Oct-SR-COS-4"/>
        <s v="16-Nov-SR-SME-5"/>
        <s v="16-Oct-SR-SME-7"/>
        <s v="16-Sep-SR-SME-8"/>
        <s v="16-Sep-SR-SME-1"/>
        <s v="16-Aug-SR-SME-10"/>
        <s v="16-Aug-SR-SME-3"/>
        <s v="16-Aug-SR-SME-4"/>
        <s v="16-Nov-SR-IND-6"/>
        <s v="16-Nov-SR-IND-7"/>
        <s v="16-Nov-SR-IND-8"/>
        <s v="16-Nov-SR-IND-11"/>
        <s v="16-Nov-SR-IND-14"/>
        <s v="16-Nov-SR-IND-15"/>
        <s v="16-Nov-SR-IND-16"/>
        <s v="16-Aug-SR-SME-1"/>
        <s v="16-Dec-SR-IND-1"/>
        <s v="16-Dec-SR-IND-2"/>
        <s v="16-Dec-SR-IND-3"/>
        <s v="16-Dec-SR-IND-4"/>
        <s v="16-Dec-SR-IND-5"/>
        <s v="16-Dec-SR-IND-6"/>
        <s v="16-Dec-SR-IND-8"/>
        <s v="16-Dec-SR-IND-14"/>
        <s v="17-Jan-SR-IND-2"/>
        <s v="17-Jan-SR-IND-5"/>
        <s v="17-Jan-SR-IND-9"/>
        <s v="16-Jul-SR-SME-18"/>
        <s v="16-Jun-SR-SME-16"/>
        <s v="16-Jun-SR-SME-5"/>
        <s v="16-Jun-SR-SME-17"/>
        <s v="16-Jun-SR-SME-13"/>
        <s v="16-Jun-SR-SME-1"/>
        <s v="16-Jun-SR-SME-2"/>
        <s v="16-May-SR-SME-4"/>
        <s v="16-Mar-SR-SME-8"/>
        <s v="16-Mar-SR-SME-3"/>
        <s v="16-Mar-SR-SME-19"/>
        <s v="16-Mar-SR-SME-52"/>
        <s v="16-Mar-SR-SME-53"/>
        <s v="16-Jul-SR-COS-2"/>
        <s v="16-Jul-SR-COS-5"/>
        <s v="16-Jul-SR-IND-15"/>
        <s v="16-Jul-SR-IND-17"/>
        <s v="16-Jul-SR-IND-27"/>
        <s v="16-Jun-SR-IND-30"/>
        <s v="16-Mar-SR-SME-54"/>
        <s v="16-Mar-SR-SME-55"/>
        <s v="16-Mar-SR-SME-18"/>
        <s v="16-Mar-SR-SME-9"/>
        <s v="16-Feb-SR-SME-3"/>
        <s v="16-Jan-SR-SME-62"/>
        <s v="16-Mar-SR-IND-2"/>
        <s v="17-Apr-SR-IND-9"/>
        <s v="16-Jan-SR-SME-56"/>
        <s v="16-Jan-SR-SME-57"/>
        <s v="16-Jan-SR-SME-58"/>
        <s v="16-Jan-SR-SME-61"/>
        <s v="15-Dec-SR-SME-30"/>
        <s v="15-Nov-SR-SME-81"/>
        <s v="08-Sep-SR-SME-7"/>
        <s v="17-May-SR-COS-3"/>
        <s v="17-May-SR-COS-4"/>
        <s v="17-May-SR-COS-5"/>
        <s v="17-May-SR-COS-6"/>
        <s v="17-May-SR-COS-7"/>
        <s v="17-May-SR-COS-8"/>
        <s v="17-May-SR-IND-1"/>
        <s v="17-May-SR-IND-2"/>
        <s v="17-May-SR-IND-4"/>
        <s v="17-May-SR-IND-7"/>
        <s v="17-May-SR-IND-8"/>
        <s v="17-May-SR-IND-10"/>
        <s v="17-May-SR-IND-11"/>
        <s v="17-May-SR-IND-12"/>
        <s v="17-May-SR-IND-13"/>
        <s v="17-May-SR-IND-17"/>
        <s v="15-Sep-MA-SBH-55"/>
        <s v="15-Sep-MA-SBH-66"/>
        <s v="15-Sep-MA-SBH-84"/>
        <s v="15-Oct-MA-SBH-44"/>
        <s v="15-Oct-MA-SBH-48"/>
        <s v="15-Oct-MA-SBH-51"/>
        <s v="15-Oct-MA-SBH-59"/>
        <s v="15-Oct-MA-UBI-20"/>
        <s v="15-Nov-MA-SBH-15"/>
        <s v="15-Nov-MA-SBH-24"/>
        <s v="15-Nov-MA-SBH-37"/>
        <s v="15-Nov-MA-SBH-48"/>
        <s v="15-Nov-MA-SBH-62"/>
        <s v="15-Nov-MA-SBH-65"/>
        <s v="15-Nov-MA-SBH-67"/>
        <s v="15-Nov-MA-SBH-83"/>
        <s v="15-Nov-MA-SBH-130"/>
        <s v="15-Dec-MA-SBH-10"/>
        <s v="15-Dec-MA-SBH-15"/>
        <s v="15-Dec-MA-SBH-23"/>
        <s v="15-Dec-MA-SBH-39"/>
        <s v="15-Dec-MA-SBH-86"/>
        <s v="15-Dec-MA-SBH-109"/>
        <s v="16-Jan-MA-SBH-5"/>
        <s v="16-Jan-MA-SBH-40"/>
        <s v="16-Jan-MA-SBH-59"/>
        <s v="16-Jan-MA-UBI-24"/>
        <s v="16-Jan-MA-UBI-26"/>
        <s v="16-Jan-MA-UBI-27"/>
        <s v="16-Jan-MA-UBI-44"/>
        <s v="16-Jan-MA-UBI-46"/>
        <s v="16-Feb-MA-SBH-9"/>
        <s v="16-Feb-MA-SBH-31"/>
        <s v="16-Feb-MA-SBH-33"/>
        <s v="16-Feb-MA-SBH-36"/>
        <s v="16-Feb-MA-SBH-37"/>
        <s v="16-Feb-MA-SBH-38"/>
        <s v="16-Feb-MA-SBH-105"/>
        <s v="16-Feb-MA-SBH-107"/>
        <s v="16-Feb-MA-SBH-108"/>
        <s v="16-Feb-MA-SBH-109"/>
        <s v="16-Feb-MA-SBH-110"/>
        <s v="16-Feb-MA-SBH-113"/>
        <s v="16-Feb-MA-UBI-34"/>
        <s v="16-Feb-MA-SBT-2"/>
        <s v="16-Feb-MA-SBT-3"/>
        <s v="16-Feb-MA-SBT-6"/>
        <s v="16-Feb-MA-SBT-8"/>
        <s v="16-Feb-MA-SBT-15"/>
        <s v="16-Mar-MA-SBH-2"/>
        <s v="16-Mar-MA-SBH-13"/>
        <s v="16-Mar-MA-SBH-78"/>
        <s v="16-Mar-MA-SBH-145"/>
        <s v="16-Mar-MA-UBI-14"/>
        <s v="16-Mar-MA-SBT-1"/>
        <s v="16-Mar-MA-SBT-11"/>
        <s v="16-Mar-MA-SBT-18"/>
        <s v="16-Apr-MA-SBT-9"/>
        <s v="16-Apr-MA-SBT-12"/>
        <s v="16-Apr-MA-SBT-14"/>
        <s v="16-Apr-MA-UBI-16"/>
        <s v="16-May-MA-SBH-29"/>
        <s v="16-May-MA-SBH-33"/>
        <s v="16-May-MA-SBH-39"/>
        <s v="16-May-MA-SBH-51"/>
        <s v="16-May-MA-SBH-54"/>
        <s v="16-May-MA-SBH-55"/>
        <s v="16-May-MA-SBH-78"/>
        <s v="16-May-MA-UBI-23"/>
        <s v="16-May-MA-UBI-25"/>
        <s v="16-May-MA-SBT-1"/>
        <s v="16-Jun-MA-SBH-12"/>
        <s v="16-Jun-MA-SBH-13"/>
        <s v="16-Jun-MA-SBH-14"/>
        <s v="16-Jun-MA-SBH-46"/>
        <s v="16-Jun-MA-SBH-52"/>
        <s v="16-Jun-MA-SBH-54"/>
        <s v="16-Jun-MA-SBH-90"/>
        <s v="16-Jun-MA-SBH-91"/>
        <s v="16-Jun-MA-SBT-2"/>
        <s v="16-Jul-MA-SBH-8"/>
        <s v="16-Jul-MA-SBH-30"/>
        <s v="16-Jul-MA-SBH-42"/>
        <s v="16-Jul-MA-SBH-53"/>
        <s v="16-Jul-MA-SBH-59"/>
        <s v="16-Jul-MA-SBH-68"/>
        <s v="16-Aug-MA-SBH-1"/>
        <s v="16-Aug-MA-SBH-2"/>
        <s v="16-Aug-MA-SBH-28"/>
        <s v="16-Aug-MA-SBH-43"/>
        <s v="16-Aug-MA-SBH-46"/>
        <s v="16-Aug-MA-UBI-8"/>
        <s v="16-Aug-MA-UBI-14"/>
        <s v="16-Aug-MA-SBP-3"/>
        <s v="16-Aug-MA-SBP-4"/>
        <s v="16-Sep-MA-SBH-11"/>
        <s v="16-Sep-MA-SBH-43"/>
        <s v="16-Sep-MA-SBT-5"/>
        <s v="16-Oct-MA-SBH-23"/>
        <s v="16-Oct-MA-SBH-25"/>
        <s v="16-Oct-MA-SBH-26"/>
        <s v="16-Oct-MA-SBH-44"/>
        <s v="16-Oct-MA-SBH-47"/>
        <s v="16-Oct-MA-SBH-52"/>
        <s v="16-Oct-MA-UBI-14"/>
        <s v="16-Oct-MA-SBT-3"/>
        <s v="16-Oct-MA-SBT-8"/>
        <s v="16-Nov-MA-SBH-14"/>
        <s v="16-Nov-MA-SBH-16"/>
        <s v="16-Nov-MA-SBH-17"/>
        <s v="16-Nov-MA-SBH-18"/>
        <s v="16-Nov-MA-UBI-7"/>
        <s v="16-Nov-MA-UBI-11"/>
        <s v="16-Nov-MA-UBI-18"/>
        <s v="16-Nov-MA-SBT-1"/>
        <s v="16-Nov-MA-SBT-2"/>
        <s v="16-Nov-MA-SBT-3"/>
        <s v="16-Dec-MA-SBH-2"/>
        <s v="16-Dec-MA-SBH-4"/>
        <s v="16-Dec-MA-SBH-43"/>
        <s v="16-Dec-MA-SBH-51"/>
        <s v="16-Dec-MA-SBH-54"/>
        <s v="16-Dec-MA-UBI-20"/>
        <s v="16-Dec-MA-UBI-23"/>
        <s v="16-Dec-MA-SBT-2"/>
        <s v="16-Dec-MA-SBT-5"/>
        <s v="16-Dec-MA-SBP-1"/>
        <s v="17-Jan-MA-SBH-10"/>
        <s v="17-Jan-MA-SBH-42"/>
        <s v="17-Jan-MA-UBI-17"/>
        <s v="17-Jan-MA-UBI-25"/>
        <s v="17-Feb-MA-SBH-5"/>
        <s v="17-Feb-MA-SBH-12"/>
        <s v="17-Feb-MA-SBH-15"/>
        <s v="17-Feb-MA-SBH-30"/>
        <s v="17-Feb-MA-UBI-9"/>
        <s v="17-Feb-MA-UBI-16"/>
        <s v="16-Feb-MA-SBT-4"/>
        <s v="17-Feb-MA-SBP-1"/>
        <s v="17-Feb-MA-SBP-4"/>
        <s v="17-Feb-MA-AXI-1"/>
        <s v="17-Feb-MA-AXI-2"/>
        <s v="17-Feb-MA-AXI-3"/>
        <s v="17-Feb-MA-AXI-4"/>
        <s v="17-Feb-MA-AXI-5"/>
        <s v="17-Feb-MA-AXI-6"/>
        <s v="17-Feb-MA-AXI-7"/>
        <s v="17-Feb-MA-AXI-8"/>
        <s v="17-Feb-MA-AXI-11"/>
        <s v="17-Feb-MA-AXI-12"/>
        <s v="17-Feb-MA-AXI-13"/>
        <s v="17-Feb-MA-AXI-14"/>
        <s v="17-Feb-MA-AXI-15"/>
        <s v="17-Feb-MA-AXI-17"/>
        <s v="17-Mar-MA-SBH-34"/>
        <s v="17-Mar-MA-SBH-37"/>
        <s v="17-Mar-MA-SBH-49"/>
        <s v="17-Mar-MA-UBI-15"/>
        <s v="17-Mar-MA-UBI-16"/>
        <s v="17-Mar-MA-UBI-17"/>
        <s v="17-Mar-MA-UBI-24"/>
        <s v="17-Mar-MA-UBI-37"/>
        <s v="17-Mar-MA-UBI-43"/>
        <s v="17-Mar-MA-UBI-48"/>
        <s v="17-Mar-MA-UBI-52"/>
        <s v="17-Mar-MA-AXI-1"/>
        <s v="17-Mar-MA-AXI-16"/>
        <s v="17-Mar-MA-AXI-21"/>
        <s v="17-Mar-MA-AXI-22"/>
        <s v="17-Mar-MA-AXI-23"/>
        <s v="17-Mar-MA-AXI-37"/>
        <s v="17-Mar-MA-AXI-38"/>
        <s v="17-May-MA-AXI-528"/>
        <s v="17-May-MA-AXI-529"/>
        <s v="17-Apr-MA-AXI-503"/>
        <s v="17-Apr-MA-AXI-504"/>
        <s v="17-Apr-MA-AXI-505"/>
        <s v="17-May-MA-AXI-516"/>
        <s v="17-Jan-MA-AXI-2"/>
        <s v="17-Jan-MA-AXI-11"/>
        <s v="17-Jan-MA-AXI-12"/>
        <s v="17-Jan-MA-AXI-13"/>
        <s v="17-Jan-MA-AXI-14"/>
        <s v="17-Jan-MA-AXI-18"/>
        <s v="17-Mar-MA-AXI-4"/>
        <s v="17-Mar-MA-AXI-12"/>
        <s v="17-Mar-MA-AXI-13"/>
        <s v="17-Mar-MA-AXI-14"/>
        <s v="17-Mar-MA-AXI-15"/>
        <s v="17-Mar-MA-AXI-17"/>
        <s v="17-Mar-MA-AXI-18"/>
        <s v="17-Mar-MA-AXI-19"/>
        <s v="17-Mar-MA-AXI-20"/>
        <s v="17-Mar-MA-AXI-25"/>
        <s v="17-Mar-MA-AXI-26"/>
        <s v="17-Mar-MA-AXI-28"/>
        <s v="17-Mar-MA-AXI-29"/>
        <s v="17-Mar-MA-AXI-30"/>
        <s v="17-Mar-MA-AXI-33"/>
        <s v="17-Mar-MA-AXI-36"/>
        <s v="17-May-PR-BOI-3"/>
        <s v="17-May-PR-BOI-5"/>
        <s v="17-May-PR-BOI-7"/>
        <s v="17-May-PR-BOI-8"/>
        <s v="17-May-PR-BOI-9"/>
        <s v="17-May-PR-BOI-10"/>
        <s v="17-Apr-PR-BOI-5"/>
        <s v="17-Apr-PR-BOI-6"/>
        <s v="17-May-KI-COS-1"/>
        <s v="17-May-KI-COS-2"/>
        <s v="17-Apr-KI-COS-1"/>
        <s v="17-Apr-KI-COS-2"/>
        <s v="17-Apr-KI-COS-3"/>
        <s v="17-Apr-KI-COS-4"/>
        <s v="17-Apr-KI-COS-5"/>
        <s v="17-Apr-KI-COS-6"/>
        <s v="17-May-KI-IND-5"/>
        <s v="17-May-KI-IND-6"/>
        <s v="17-May-KI-IND-9"/>
        <s v="17-May-KI-IND-14"/>
        <s v="17-May-KI-IND-15"/>
        <s v="17-May-KI-IND-16"/>
        <s v="17-May-KI-IND-18"/>
        <s v="17-May-KI-IND-19"/>
        <s v="17-May-KI-IND-20"/>
        <s v="16-Jul-KI-IND-11"/>
        <s v="17-Jan-KI-IND-6"/>
        <s v="17-Jan-KI-IND-10"/>
        <s v="17-Feb-KI-IND-7"/>
        <s v="17-Mar-KI-IND-9"/>
        <s v="17-Mar-KI-IND-13"/>
        <s v="17-Apr-KI-IND-8"/>
        <s v="16-Sep-MA-SBH-3"/>
        <s v="16-Dec-MA-SBH-26"/>
        <s v="17-Mar-MA-SBH-4"/>
        <s v="17-Mar-MA-SBH-50"/>
        <s v="17-May-KI-SBI-1A"/>
        <s v="17-May-KI-SBI-2A"/>
        <s v="17-May-KI-SBI-11"/>
        <s v="17-May-KI-SBI-15"/>
        <s v="17-May-KI-SBI-16"/>
        <s v="17-May-KI-SBI-17"/>
        <s v="17-May-KI-SBI-23"/>
        <s v="17-May-KI-SBI-31"/>
        <s v="17-May-KI-SBI-32"/>
        <s v="17-May-KI-SBI-35"/>
        <s v="17-May-KI-SBI-37"/>
        <s v="17-May-KI-SBI-38"/>
        <s v="17-May-KI-SBI-45"/>
        <s v="17-May-KI-SBI-48"/>
        <s v="17-May-KI-SBI-51"/>
        <s v="17-May-KI-SBI-52"/>
        <s v="16-Oct-KI-SBI-21"/>
        <s v="16-Oct-KI-SBI-22"/>
        <s v="16-Oct-KI-SBI-23"/>
        <s v="16-Oct-KI-SBI-24"/>
        <s v="16-Nov-KI-SBI-19"/>
        <s v="16-Nov-KI-SBI-20"/>
        <s v="16-Nov-KI-SBI-22"/>
        <s v="16-Nov-KI-SBI-23"/>
        <s v="16-Nov-KI-SBI-24"/>
        <s v="16-Nov-KI-SBI-25"/>
        <s v="16-Nov-KI-SBI-35"/>
        <s v="16-Nov-KI-SBI-36"/>
        <s v="16-Nov-KI-SBI-37"/>
        <s v="17-Jan-KI-SBI-11"/>
        <s v="17-Jan-KI-SBI-25"/>
        <s v="17-Jan-KI-SBI-44"/>
        <s v="17-Feb-KI-SBI-2"/>
        <s v="17-Feb-KI-SBI-15"/>
        <s v="17-Mar-KI-SBI-6"/>
        <s v="17-Mar-KI-SBI-13"/>
        <s v="17-Mar-KI-SBI-21"/>
        <s v="17-Mar-KI-SBI-25A"/>
        <s v="17-Mar-KI-SBI-32"/>
        <s v="17-Mar-KI-SBI-38"/>
        <s v="17-Mar-KI-SBI-39"/>
        <s v="17-Mar-KI-SBI-55"/>
        <s v="17-Apr-KI-SBI-2"/>
        <s v="17-Apr-KI-SBI-11"/>
        <s v="17-Apr-KI-SBI-45"/>
        <s v="17-Apr-KI-SBI-52"/>
        <s v="17-Apr-KI-SBI-54"/>
        <s v="17-Apr-KI-SBI-55"/>
        <s v="17-May-MA-SBI-2"/>
        <s v="17-May-MA-SBI-3"/>
        <s v="17-May-MA-SBI-8B"/>
        <s v="17-May-MA-SBI-10"/>
        <s v="17-May-MA-SBI-11B"/>
        <s v="17-May-MA-SBI-12"/>
        <s v="17-May-MA-SBI-14"/>
        <s v="17-May-MA-SBI-15"/>
        <s v="17-May-MA-SBI-17"/>
        <s v="17-May-MA-SBI-21"/>
        <s v="17-May-MA-SBI-22"/>
        <s v="17-May-MA-SBI-31"/>
        <s v="17-May-MA-SBI-32"/>
        <s v="17-May-MA-SBI-33"/>
        <s v="17-May-MA-SBI-34"/>
        <s v="17-May-MA-SBI-35"/>
        <s v="17-May-MA-SBI-36"/>
        <s v="17-May-MA-SBI-38"/>
        <s v="17-May-MA-SBI-41B"/>
        <s v="17-May-MA-SBI-43"/>
        <s v="17-May-MA-SBI-44"/>
        <s v="17-May-MA-SBI-45"/>
        <s v="17-May-MA-SBI-49"/>
        <s v="17-May-MA-SBI-50"/>
        <s v="17-May-MA-SBI-53"/>
        <s v="17-May-MA-SBI-54B"/>
        <s v="17-May-MA-SBI-55B"/>
        <s v="17-May-MA-SBI-56"/>
        <s v="17-May-MA-SBI-57"/>
        <s v="17-May-MA-SBI-58"/>
        <s v="17-May-MA-SBI-59B"/>
        <s v="17-May-MA-SBI-60"/>
        <s v="17-May-MA-SBI-64B"/>
        <s v="17-Apr-MA-SBI-7"/>
        <s v="17-Apr-MA-SBI-28"/>
        <s v="17-Apr-MA-SBI-29"/>
        <s v="17-Apr-MA-SBI-31"/>
        <s v="17-Apr-MA-SBI-33"/>
        <s v="17-Apr-MA-SBI-34"/>
        <s v="17-Apr-MA-SBI-37"/>
        <s v="17-Apr-MA-SBI-38"/>
        <s v="17-May-PR-SBI-1"/>
        <s v="17-May-PR-SBI-2"/>
        <s v="17-May-PR-SBI-3"/>
        <s v="17-May-PR-SBI-5"/>
        <s v="17-May-PR-SBI-6"/>
        <s v="17-May-PR-SBI-7"/>
        <s v="17-May-PR-SBI-8"/>
        <s v="17-May-PR-SBI-10"/>
        <s v="17-May-PR-SBI-11"/>
        <s v="17-May-PR-SBI-12"/>
        <s v="17-May-PR-SBI-13"/>
        <s v="17-May-PR-SBI-16"/>
        <s v="17-May-PR-SBI-20"/>
        <s v="17-May-PR-SBi-21"/>
        <s v="17-May-PR-SBI-23"/>
        <s v="17-May-PR-SBI-25"/>
        <s v="17-May-PR-SBI-28"/>
        <s v="17-May-PR-SBI-29"/>
        <s v="17-May-PR-SBI-31"/>
        <s v="17-May-PR-SBI-32"/>
        <s v="17-May-PR-SBI-33"/>
        <s v="17-May-PR-SBI-34"/>
        <s v="17-May-PR-SBI-35"/>
        <s v="17-May-PR-SBI-36"/>
        <s v="17-May-PR-SBI-38"/>
        <s v="17-May-PR-SBI-39"/>
        <s v="17-May-PR-SBI-41"/>
        <s v="17-May-PR-SBI-42"/>
        <s v="17-May-PR-SBI-45"/>
        <s v="17-May-PR-SBI-47"/>
        <s v="17-May-PR-SBI-50B"/>
        <s v="17-May-PR-SBI-51"/>
        <s v="17-May-PR-SBI-53"/>
        <s v="17-May-PR-SBI-55"/>
        <s v="17-May-PR-SBI-56"/>
        <s v="17-May-PR-SBI-57"/>
        <s v="17-May-PR-SBI-58"/>
        <s v="17-May-PR-SBI-60"/>
        <s v="17-May-PR-SBI-62"/>
        <s v="17-May-PR-SBI-66"/>
        <s v="17-May-PR-SBI-67"/>
        <s v="17-May-PR-SBI-68"/>
        <s v="17-May-PR-SBI-69"/>
        <s v="17-May-PR-SBI-70"/>
        <s v="17-May-PR-SBI-73"/>
        <s v="17-May-PR-SBI-74"/>
        <s v="17-May-PR-SBI-75"/>
        <s v="17-May-PR-SBI-77"/>
        <s v="17-May-PR-SBI-78"/>
        <s v="17-May-PR-SBI-79"/>
        <s v="17-May-PR-SBI-81B"/>
        <s v="PR-SBI-88"/>
        <s v="16-Nov-PR-SBI-29"/>
        <s v="16-Nov-PR-SBI-31"/>
        <s v="16-Nov-PR-SBI-40"/>
        <s v="16-Dec-PR-SBI-8"/>
        <s v="16-Dec-PR-SBI-13"/>
        <s v="16-Dec-PR-SBI-21"/>
        <s v="16-Dec-PR-SBI-34"/>
        <s v="16-Dec-PR-SBI-35"/>
        <s v="16-Dec-PR-SBI-38"/>
        <s v="16-Dec-PR-SBI-45"/>
        <s v="16-Dec-PR-SBI-46"/>
        <s v="17-Jan-PR-SBI-1"/>
        <s v="17-Jan-PR-SBI-10"/>
        <s v="17-Jan-PR-SBI-11"/>
        <s v="17-Jan-PR-SBI-22"/>
        <s v="17-Mar-PR-SBI-2"/>
        <s v="17-Apr-PR-SBI-20"/>
        <s v="17-Apr-PR-SBI-26"/>
        <s v="17-Apr-PR-SBI-39"/>
        <s v="17-Apr-PR-SBI-41"/>
        <s v="17-Apr-PR-SBI-50"/>
        <s v="17-Apr-PR-SBI-51"/>
        <s v="17-Apr-PR-SBI-54"/>
        <s v="17-Apr-PR-SBI-55"/>
        <s v="17-Apr-PR-SBI-62"/>
        <s v="17-May-KI-SME-1B"/>
        <s v="17-May-KI-SME-2B"/>
        <s v="17-May-KI-SME-3B"/>
        <s v="17-May-KI-SME-8B"/>
        <s v="17-May-KI-SME-9B"/>
        <s v="17-May-KI-SME-13B"/>
        <s v="17-May-KI-SME-14B"/>
        <s v="17-Mar-KI-SME-11"/>
        <s v="17-Mar-KI-SME-16"/>
        <s v="17-Mar-KI-SME-17"/>
        <s v="17-Mar-KI-SME-22"/>
        <s v="17-Mar-KI-SME-23B"/>
        <s v="17-Mar-KI-SME-24"/>
        <s v="17-Mar-KI-SME-25B"/>
        <s v="17-Apr-KI-SME-4"/>
        <s v="17-May-MA-SBM-6"/>
        <s v="17-May-MA-SBM-7"/>
        <s v="17-May-MA-SBM-18"/>
        <s v="17-May-MA-SBM-20"/>
        <s v="17-Apr-MA-SBP-2"/>
        <s v="17-May-MA-SBT-37"/>
        <s v="17-Mar-MA-SBT-5"/>
        <s v="17-May-PR-SYN-2"/>
        <s v="17-May-PR-SYN-3"/>
        <s v="17-May-PR-SYN-4"/>
        <s v="17-May-PR-SYN-6"/>
        <s v="17-May-PR-SYN-7"/>
        <s v="17-May-PR-SYN-8"/>
        <s v="17-May-PR-SYN-9"/>
        <s v="17-May-PR-SYN-10"/>
        <s v="17-May-PR-SYN-11"/>
        <s v="17-May-PR-SYN-12"/>
        <s v="17-May-PR-SYN-15"/>
        <s v="17-May-PR-SYN-17"/>
        <s v="17-May-PR-SYN-18"/>
        <s v="17-May-PR-SYN-19"/>
        <s v="17-May-PR-SYN-20"/>
        <s v="17-May-PR-SYN-21"/>
        <s v="17-May-PR-SYN-24"/>
        <s v="17-May-PR-SYN-25"/>
        <s v="17-May-PR-SYN-29"/>
        <s v="17-May-PR-SYN-30"/>
        <s v="16-Nov-PR-SYN-14"/>
        <s v="17-Mar-PR-SYN-8B"/>
        <s v="17-Apr-PR-SYN-22"/>
        <s v="17-Apr-PR-SYN-23"/>
        <s v="17-Apr-PR-SYN-36"/>
        <s v="17-Apr-PR-SYN-37"/>
        <s v="17-Apr-PR-SYN-38"/>
        <s v="17-Apr-PR-SYN-41"/>
        <s v="17-Apr-PR-SYN-42"/>
        <s v="17-Apr-PR-SYN-43"/>
        <s v="17-Apr-PR-SYN-44"/>
        <s v="17-Apr-PR-SYN-45"/>
        <s v="17-Apr-PR-SYN-46"/>
        <s v="17-May-GA-TGB-1"/>
        <s v="17-May-MA-UBI-1"/>
        <s v="17-May-MA-UBI-2"/>
        <s v="17-May-MA-UBI-3"/>
        <s v="17-May-MA-UBI-4"/>
        <s v="17-May-MA-UBI-5"/>
        <s v="17-May-MA-UBI-6"/>
        <s v="17-May-MA-UBI-7"/>
        <s v="17-May-MA-UBI-8B"/>
        <s v="17-May-MA-UBI-9"/>
        <s v="17-May-MA-UBI-10"/>
        <s v="17-May-MA-UBI-11"/>
        <s v="17-May-MA-UBI-13"/>
        <s v="17-May-MA-UBI-14"/>
        <s v="17-May-MA-UBI-16"/>
        <s v="17-May-MA-UBI-17"/>
        <s v="17-May-MA-UBI-18"/>
        <s v="17-May-MA-UBI-21"/>
        <s v="17-May-MA-UBI-24"/>
        <s v="17-May-MA-UBI-25"/>
        <s v="17-May-MA-UBI-26"/>
        <s v="17-May-MA-UBI-28"/>
        <s v="17-May-MA-UBI-29"/>
        <s v="17-May-MA-UBI-30"/>
        <s v="17-May-MA-UBI-31"/>
        <s v="17-May-MA-UBI-32"/>
        <s v="17-May-MA-UBI-33"/>
        <s v="17-May-MA-UBI-36B"/>
        <s v="17-May-MA-UBI-37"/>
        <s v="17-May-MA-UBI-38B"/>
        <s v="17-May-MA-UBI-40"/>
        <s v="17-May-MA-UBI-41"/>
        <s v="17-May-MA-UBI-42B"/>
        <s v="17-May-MA-UBI-43B"/>
        <s v="17-May-MA-UBI-44B"/>
        <s v="17-May-MA-UBI-45B"/>
        <s v="17-May-MA-UBI-46B"/>
        <s v="17-May-MA-UBI-47B"/>
        <s v="17-May-MA-UBI-51B"/>
        <s v="17-May-MA-UBI-52B"/>
        <s v="17-May-MA-UBI-54"/>
        <s v="17-May-MA-UBI-57"/>
        <s v="17-May-MA-UBI-58"/>
        <s v="17-May-MA-UBI-59"/>
        <s v="17-May-MA-UBI-61B"/>
        <s v="17-May-MA-UBI-63B"/>
        <s v="17-May-MA-UBI-67B"/>
        <s v="17-Apr-MA-UBI-18"/>
        <s v="17-Apr-MA-UBI-34"/>
        <s v="17-Apr-MA-UBI-35"/>
        <s v="17-Apr-MA-UBI-36"/>
        <s v="17-Apr-MA-UBI-37"/>
        <s v="17-Apr-MA-UBI-39"/>
        <s v="17-Apr-MA-UBI-42"/>
        <s v="17-Apr-MA-UBI-51"/>
        <s v="17-Apr-MA-UBI-53"/>
        <s v="17-Apr-MA-UBI-60"/>
        <s v="17-Apr-MA-UBI-61"/>
        <s v="17-Apr-MA-UBI-64"/>
        <s v="17-Apr-MA-UBI-65"/>
        <s v="17-Apr-MA-UBI-66"/>
        <s v="16-Apr-MA-UBI-9"/>
        <s v="17-Jan-MA-UBI-22"/>
        <s v="17-Feb-MA-UBI-29"/>
        <s v="17-Mar-MA-UBI-41"/>
        <s v="17-Mar-MA-UBI-42"/>
        <s v="17-Mar-MA-UBI-49"/>
        <s v="17-Mar-MA-UBI-53"/>
        <s v="17-Mar-MA-UBI-68"/>
        <s v="17-Mar-MA-UBI-73"/>
        <s v="17-May-GA-VIJ-8"/>
        <s v="17-May-GA-VIJ-9"/>
        <s v="17-May-GA-VIJ-18"/>
        <s v="17-May-GA-VIJ-21"/>
        <s v="17-May-GA-VIJ-22"/>
        <s v="17-May-GA-VIJ-24"/>
        <s v="17-Apr-GA-VIJ-18"/>
        <s v="17-Apr-GA-VIJ-24"/>
        <s v="17-Apr-GA-VIJ-34"/>
        <s v="17-Apr-GA-VIJ-38"/>
        <s v="17-Apr-GA-VIJ-40"/>
        <s v="17-Apr-GA-VIJ-41"/>
        <s v="17-Apr-GA-VIJ-42"/>
        <s v="17-Apr-GA-VIJ-43"/>
        <s v="17-May-GA-VIJ-44B"/>
        <s v="17-Apr-GA-VIJ-45"/>
      </sharedItems>
    </cacheField>
    <cacheField name="Ref. No." numFmtId="0">
      <sharedItems/>
    </cacheField>
    <cacheField name="Rec. Date" numFmtId="169">
      <sharedItems containsSemiMixedTypes="0" containsNonDate="0" containsDate="1" containsString="0" minDate="2008-09-20T00:00:00" maxDate="2017-07-01T00:00:00" count="316">
        <d v="2017-06-05T00:00:00"/>
        <d v="2017-06-06T00:00:00"/>
        <d v="2017-06-08T00:00:00"/>
        <d v="2017-06-13T00:00:00"/>
        <d v="2017-06-14T00:00:00"/>
        <d v="2017-06-16T00:00:00"/>
        <d v="2017-06-17T00:00:00"/>
        <d v="2017-06-20T00:00:00"/>
        <d v="2017-06-21T00:00:00"/>
        <d v="2017-06-22T00:00:00"/>
        <d v="2017-06-27T00:00:00"/>
        <d v="2017-06-28T00:00:00"/>
        <d v="2017-04-01T00:00:00"/>
        <d v="2017-04-03T00:00:00"/>
        <d v="2017-04-04T00:00:00"/>
        <d v="2017-04-06T00:00:00"/>
        <d v="2017-04-10T00:00:00"/>
        <d v="2017-04-12T00:00:00"/>
        <d v="2017-04-18T00:00:00"/>
        <d v="2017-04-21T00:00:00"/>
        <d v="2017-04-22T00:00:00"/>
        <d v="2017-04-26T00:00:00"/>
        <d v="2017-04-27T00:00:00"/>
        <d v="2017-04-28T00:00:00"/>
        <d v="2017-05-02T00:00:00"/>
        <d v="2017-05-03T00:00:00"/>
        <d v="2017-05-04T00:00:00"/>
        <d v="2017-05-05T00:00:00"/>
        <d v="2017-05-09T00:00:00"/>
        <d v="2017-05-10T00:00:00"/>
        <d v="2017-05-11T00:00:00"/>
        <d v="2017-05-12T00:00:00"/>
        <d v="2017-05-13T00:00:00"/>
        <d v="2017-05-16T00:00:00"/>
        <d v="2017-05-18T00:00:00"/>
        <d v="2017-05-20T00:00:00"/>
        <d v="2017-05-23T00:00:00"/>
        <d v="2017-05-24T00:00:00"/>
        <d v="2017-05-25T00:00:00"/>
        <d v="2017-05-26T00:00:00"/>
        <d v="2017-05-27T00:00:00"/>
        <d v="2017-05-29T00:00:00"/>
        <d v="2017-06-01T00:00:00"/>
        <d v="2017-06-02T00:00:00"/>
        <d v="2017-06-03T00:00:00"/>
        <d v="2017-06-07T00:00:00"/>
        <d v="2017-06-12T00:00:00"/>
        <d v="2017-06-15T00:00:00"/>
        <d v="2017-06-19T00:00:00"/>
        <d v="2017-06-23T00:00:00"/>
        <d v="2017-06-26T00:00:00"/>
        <d v="2017-06-29T00:00:00"/>
        <d v="2017-06-30T00:00:00"/>
        <d v="2017-06-10T00:00:00"/>
        <d v="2017-06-24T00:00:00"/>
        <d v="2017-04-08T00:00:00"/>
        <d v="2017-04-13T00:00:00"/>
        <d v="2017-04-23T00:00:00"/>
        <d v="2017-04-24T00:00:00"/>
        <d v="2017-04-29T00:00:00"/>
        <d v="2017-04-05T00:00:00"/>
        <d v="2017-04-11T00:00:00"/>
        <d v="2017-04-17T00:00:00"/>
        <d v="2017-04-20T00:00:00"/>
        <d v="2017-04-14T00:00:00"/>
        <d v="2017-05-06T00:00:00"/>
        <d v="2017-05-08T00:00:00"/>
        <d v="2017-05-22T00:00:00"/>
        <d v="2017-05-30T00:00:00"/>
        <d v="2017-05-31T00:00:00"/>
        <d v="2017-05-15T00:00:00"/>
        <d v="2017-05-17T00:00:00"/>
        <d v="2016-07-16T00:00:00"/>
        <d v="2016-10-25T00:00:00"/>
        <d v="2016-11-07T00:00:00"/>
        <d v="2017-01-09T00:00:00"/>
        <d v="2017-01-19T00:00:00"/>
        <d v="2017-02-07T00:00:00"/>
        <d v="2017-05-01T00:00:00"/>
        <d v="2017-06-09T00:00:00"/>
        <d v="2017-06-18T00:00:00"/>
        <d v="2016-11-08T00:00:00"/>
        <d v="2016-12-20T00:00:00"/>
        <d v="2017-01-11T00:00:00"/>
        <d v="2017-01-23T00:00:00"/>
        <d v="2017-01-25T00:00:00"/>
        <d v="2017-01-28T00:00:00"/>
        <d v="2017-02-08T00:00:00"/>
        <d v="2017-02-14T00:00:00"/>
        <d v="2017-02-15T00:00:00"/>
        <d v="2017-02-16T00:00:00"/>
        <d v="2017-02-18T00:00:00"/>
        <d v="2017-02-22T00:00:00"/>
        <d v="2017-02-24T00:00:00"/>
        <d v="2017-02-27T00:00:00"/>
        <d v="2017-03-06T00:00:00"/>
        <d v="2017-03-07T00:00:00"/>
        <d v="2017-03-09T00:00:00"/>
        <d v="2017-03-10T00:00:00"/>
        <d v="2017-03-11T00:00:00"/>
        <d v="2017-03-15T00:00:00"/>
        <d v="2017-03-17T00:00:00"/>
        <d v="2017-03-18T00:00:00"/>
        <d v="2017-03-20T00:00:00"/>
        <d v="2017-03-21T00:00:00"/>
        <d v="2017-03-23T00:00:00"/>
        <d v="2017-03-24T00:00:00"/>
        <d v="2017-03-25T00:00:00"/>
        <d v="2017-03-27T00:00:00"/>
        <d v="2017-03-28T00:00:00"/>
        <d v="2017-03-29T00:00:00"/>
        <d v="2017-03-30T00:00:00"/>
        <d v="2017-03-31T00:00:00"/>
        <d v="2017-04-07T00:00:00"/>
        <d v="2017-04-15T00:00:00"/>
        <d v="2017-05-19T00:00:00"/>
        <d v="2016-07-13T00:00:00"/>
        <d v="2017-01-31T00:00:00"/>
        <d v="2017-03-08T00:00:00"/>
        <d v="2017-04-25T00:00:00"/>
        <d v="2017-04-19T00:00:00"/>
        <d v="2017-03-22T00:00:00"/>
        <d v="2017-03-16T00:00:00"/>
        <d v="2017-03-03T00:00:00"/>
        <d v="2017-03-02T00:00:00"/>
        <d v="2017-02-17T00:00:00"/>
        <d v="2017-02-13T00:00:00"/>
        <d v="2017-02-11T00:00:00"/>
        <d v="2017-01-30T00:00:00"/>
        <d v="2017-01-27T00:00:00"/>
        <d v="2017-01-24T00:00:00"/>
        <d v="2017-01-16T00:00:00"/>
        <d v="2017-01-12T00:00:00"/>
        <d v="2017-01-04T00:00:00"/>
        <d v="2016-12-26T00:00:00"/>
        <d v="2016-12-16T00:00:00"/>
        <d v="2016-12-14T00:00:00"/>
        <d v="2016-12-13T00:00:00"/>
        <d v="2016-12-01T00:00:00"/>
        <d v="2016-11-30T00:00:00"/>
        <d v="2016-11-29T00:00:00"/>
        <d v="2016-11-28T00:00:00"/>
        <d v="2016-11-25T00:00:00"/>
        <d v="2016-11-23T00:00:00"/>
        <d v="2016-11-18T00:00:00"/>
        <d v="2016-11-16T00:00:00"/>
        <d v="2016-11-15T00:00:00"/>
        <d v="2016-11-12T00:00:00"/>
        <d v="2016-11-09T00:00:00"/>
        <d v="2016-10-31T00:00:00"/>
        <d v="2016-10-14T00:00:00"/>
        <d v="2016-10-13T00:00:00"/>
        <d v="2016-10-07T00:00:00"/>
        <d v="2016-09-22T00:00:00"/>
        <d v="2016-09-20T00:00:00"/>
        <d v="2016-09-08T00:00:00"/>
        <d v="2016-08-16T00:00:00"/>
        <d v="2016-08-10T00:00:00"/>
        <d v="2016-08-03T00:00:00"/>
        <d v="2016-06-01T00:00:00"/>
        <d v="2016-05-31T00:00:00"/>
        <d v="2016-05-13T00:00:00"/>
        <d v="2008-09-21T00:00:00"/>
        <d v="2016-10-27T00:00:00"/>
        <d v="2016-10-26T00:00:00"/>
        <d v="2016-07-21T00:00:00"/>
        <d v="2016-06-06T00:00:00"/>
        <d v="2016-06-02T00:00:00"/>
        <d v="2016-01-04T00:00:00"/>
        <d v="2016-03-21T00:00:00"/>
        <d v="2016-03-26T00:00:00"/>
        <d v="2016-04-18T00:00:00"/>
        <d v="2016-04-19T00:00:00"/>
        <d v="2016-05-06T00:00:00"/>
        <d v="2017-02-20T00:00:00"/>
        <d v="2016-07-20T00:00:00"/>
        <d v="2017-02-10T00:00:00"/>
        <d v="2016-12-29T00:00:00"/>
        <d v="2016-09-16T00:00:00"/>
        <d v="2016-10-18T00:00:00"/>
        <d v="2016-10-10T00:00:00"/>
        <d v="2016-10-20T00:00:00"/>
        <d v="2016-09-27T00:00:00"/>
        <d v="2016-09-01T00:00:00"/>
        <d v="2016-08-22T00:00:00"/>
        <d v="2016-08-11T00:00:00"/>
        <d v="2016-08-01T00:00:00"/>
        <d v="2016-12-03T00:00:00"/>
        <d v="2016-12-05T00:00:00"/>
        <d v="2016-12-07T00:00:00"/>
        <d v="2016-12-17T00:00:00"/>
        <d v="2017-01-06T00:00:00"/>
        <d v="2017-01-10T00:00:00"/>
        <d v="2016-07-25T00:00:00"/>
        <d v="2016-06-14T00:00:00"/>
        <d v="2016-06-09T00:00:00"/>
        <d v="2016-05-14T00:00:00"/>
        <d v="2016-03-29T00:00:00"/>
        <d v="2016-07-08T00:00:00"/>
        <d v="2016-07-05T00:00:00"/>
        <d v="2016-07-04T00:00:00"/>
        <d v="2016-06-24T00:00:00"/>
        <d v="2016-03-11T00:00:00"/>
        <d v="2016-03-07T00:00:00"/>
        <d v="2016-02-04T00:00:00"/>
        <d v="2016-01-28T00:00:00"/>
        <d v="2016-01-27T00:00:00"/>
        <d v="2015-12-07T00:00:00"/>
        <d v="2015-11-27T00:00:00"/>
        <d v="2008-09-20T00:00:00"/>
        <d v="2015-09-15T00:00:00"/>
        <d v="2015-09-19T00:00:00"/>
        <d v="2015-09-25T00:00:00"/>
        <d v="2015-10-15T00:00:00"/>
        <d v="2015-10-16T00:00:00"/>
        <d v="2015-10-19T00:00:00"/>
        <d v="2015-10-24T00:00:00"/>
        <d v="2015-11-03T00:00:00"/>
        <d v="2015-11-06T00:00:00"/>
        <d v="2015-11-09T00:00:00"/>
        <d v="2015-11-12T00:00:00"/>
        <d v="2015-11-16T00:00:00"/>
        <d v="2015-11-18T00:00:00"/>
        <d v="2015-12-03T00:00:00"/>
        <d v="2015-12-04T00:00:00"/>
        <d v="2015-12-11T00:00:00"/>
        <d v="2015-12-23T00:00:00"/>
        <d v="2015-12-31T00:00:00"/>
        <d v="2016-01-02T00:00:00"/>
        <d v="2016-01-20T00:00:00"/>
        <d v="2016-01-21T00:00:00"/>
        <d v="2016-01-12T00:00:00"/>
        <d v="2016-01-22T00:00:00"/>
        <d v="2016-02-01T00:00:00"/>
        <d v="2016-02-06T00:00:00"/>
        <d v="2016-02-08T00:00:00"/>
        <d v="2016-02-24T00:00:00"/>
        <d v="2016-02-25T00:00:00"/>
        <d v="2016-02-26T00:00:00"/>
        <d v="2016-02-27T00:00:00"/>
        <d v="2016-02-20T00:00:00"/>
        <d v="2016-02-14T00:00:00"/>
        <d v="2016-02-16T00:00:00"/>
        <d v="2016-02-23T00:00:00"/>
        <d v="2016-03-01T00:00:00"/>
        <d v="2016-03-12T00:00:00"/>
        <d v="2016-03-04T00:00:00"/>
        <d v="2016-03-16T00:00:00"/>
        <d v="2016-04-23T00:00:00"/>
        <d v="2016-04-27T00:00:00"/>
        <d v="2016-04-12T00:00:00"/>
        <d v="2016-05-10T00:00:00"/>
        <d v="2016-05-11T00:00:00"/>
        <d v="2016-05-12T00:00:00"/>
        <d v="2016-05-18T00:00:00"/>
        <d v="2016-05-17T00:00:00"/>
        <d v="2016-05-19T00:00:00"/>
        <d v="2016-05-27T00:00:00"/>
        <d v="2016-05-24T00:00:00"/>
        <d v="2016-05-26T00:00:00"/>
        <d v="2016-05-04T00:00:00"/>
        <d v="2016-06-03T00:00:00"/>
        <d v="2016-06-16T00:00:00"/>
        <d v="2016-06-18T00:00:00"/>
        <d v="2016-06-30T00:00:00"/>
        <d v="2016-07-03T00:00:00"/>
        <d v="2016-07-11T00:00:00"/>
        <d v="2016-07-14T00:00:00"/>
        <d v="2016-07-22T00:00:00"/>
        <d v="2016-07-28T00:00:00"/>
        <d v="2016-08-14T00:00:00"/>
        <d v="2016-08-24T00:00:00"/>
        <d v="2016-08-04T00:00:00"/>
        <d v="2016-08-08T00:00:00"/>
        <d v="2016-08-09T00:00:00"/>
        <d v="2016-09-04T00:00:00"/>
        <d v="2016-09-21T00:00:00"/>
        <d v="2016-09-12T00:00:00"/>
        <d v="2016-10-22T00:00:00"/>
        <d v="2016-10-16T00:00:00"/>
        <d v="2016-10-04T00:00:00"/>
        <d v="2016-10-29T00:00:00"/>
        <d v="2016-11-02T00:00:00"/>
        <d v="2016-11-04T00:00:00"/>
        <d v="2016-11-05T00:00:00"/>
        <d v="2016-12-02T00:00:00"/>
        <d v="2016-12-21T00:00:00"/>
        <d v="2016-12-27T00:00:00"/>
        <d v="2016-12-28T00:00:00"/>
        <d v="2016-12-12T00:00:00"/>
        <d v="2016-12-22T00:00:00"/>
        <d v="2017-01-17T00:00:00"/>
        <d v="2017-02-02T00:00:00"/>
        <d v="2017-02-04T00:00:00"/>
        <d v="2017-02-01T00:00:00"/>
        <d v="2017-02-06T00:00:00"/>
        <d v="2017-02-21T00:00:00"/>
        <d v="2017-03-12T00:00:00"/>
        <d v="2017-03-14T00:00:00"/>
        <d v="2017-03-01T00:00:00"/>
        <d v="2017-01-03T00:00:00"/>
        <d v="2017-03-13T00:00:00"/>
        <d v="2017-03-19T00:00:00"/>
        <d v="2016-11-11T00:00:00"/>
        <d v="2016-11-19T00:00:00"/>
        <d v="2017-01-20T00:00:00"/>
        <d v="2017-02-03T00:00:00"/>
        <d v="2016-11-22T00:00:00"/>
        <d v="2016-12-09T00:00:00"/>
        <d v="2016-12-30T00:00:00"/>
        <d v="2017-01-02T00:00:00"/>
        <d v="2017-01-07T00:00:00"/>
        <d v="2017-03-04T00:00:00"/>
        <d v="2016-04-04T00:00:00"/>
        <d v="2017-01-21T00:00:00"/>
        <d v="2017-02-23T00:00:00"/>
      </sharedItems>
    </cacheField>
    <cacheField name="Sign. Date" numFmtId="169">
      <sharedItems/>
    </cacheField>
    <cacheField name="Loanee / Unit Name" numFmtId="0">
      <sharedItems count="1425">
        <s v="Rini Stalin"/>
        <s v="A.Venkatesh"/>
        <s v="MD.Masuddin"/>
        <s v="J.Sharadha"/>
        <s v="M.Madhulatha"/>
        <s v="V.Srinu"/>
        <s v="Brij Kishore"/>
        <s v="J.Muralidhar"/>
        <s v="M.Padmavathi"/>
        <s v="P.Hanmanth Reddy"/>
        <s v="Union Roadway Ltd"/>
        <s v="K.D Darpan"/>
        <s v="K.Raja Mohan Reddy"/>
        <s v="G.Kiran Kumar"/>
        <s v="Ch.Ravi Kumar"/>
        <s v="B.Anand"/>
        <s v="B.Neeraja"/>
        <s v="B.Sachin"/>
        <s v="K.Mahender"/>
        <s v="D.Anil Kumar"/>
        <s v="Shaik Kareem Basha"/>
        <s v="A.Kumara Swamy"/>
        <s v="K.Ravinder Reddy"/>
        <s v="P.Shankar"/>
        <s v="Ravindra K.Shetty"/>
        <s v="P.Aruna"/>
        <s v="K.Jhansi"/>
        <s v="M.Santosh"/>
        <s v="S.Praveen Kumar"/>
        <s v="Choudary Narendra"/>
        <s v="Jeevan Choudary"/>
        <s v="C.Saranga Pani"/>
        <s v="K.Venu Gopal"/>
        <s v="S.Gopal Reddy"/>
        <s v="Ashwin Kumar"/>
        <s v="K.Gopala Krishna"/>
        <s v="Susheela"/>
        <s v="Nitudevi Bajaj"/>
        <s v="C.Sunil"/>
        <s v="S.Susheela"/>
        <s v="Vishal"/>
        <s v="K.Chandra Shekar"/>
        <s v="Babu"/>
        <s v="G.Raja Raghavendra Babu"/>
        <s v="DSR Murthy"/>
        <s v="M.Kanakaraju"/>
        <s v="R.Nagaraju"/>
        <s v="T.Bhagya Laxmi"/>
        <s v="Y.Krishna Mohan"/>
        <s v="Subhasini Reddy"/>
        <s v="M.Sudha"/>
        <s v="S.J Chander"/>
        <s v="M.Goutham"/>
        <s v="Mh.Shah"/>
        <s v="Y.Raju"/>
        <s v="A.Chandra Shekar"/>
        <s v="-"/>
        <s v="S.Bhanu Teja"/>
        <s v="B.Rameshwar Reddy"/>
        <s v="G.Kiran"/>
        <s v="J.Maheshwari"/>
        <s v="R.Raghunandan"/>
        <s v="M.Mahesh"/>
        <s v="O.Sudheer"/>
        <s v="Nisha Benrjee"/>
        <s v="Sudha Mishra"/>
        <s v="P.Vani Madhuri"/>
        <s v="K.Swaroopa"/>
        <s v="M.Rajpal Reddy"/>
        <s v="D.Raju"/>
        <s v="Shubhraa Maheshwari"/>
        <s v="K.Veeramani"/>
        <s v="Sai Shakthi Polymers"/>
        <s v="T.Srikanth Reddy"/>
        <s v="S.Sujatha"/>
        <s v="Ch.Shashi Kala"/>
        <s v="R.Venkateshwarlu"/>
        <s v="John Israel"/>
        <s v="Bhagath Raj"/>
        <s v="P.Rahul"/>
        <s v="N.Laxmamma"/>
        <s v="G.Parasuram Reddy"/>
        <s v="M.Rama lingam"/>
        <s v="S.sravanthi"/>
        <s v="B.Manasa &amp; K.N.S.Gopal"/>
        <s v="Ch.Pavan &amp; Ch.Tarun"/>
        <s v="S.Ram mohan"/>
        <s v="K.Raghava Chary"/>
        <s v="C.S.Shilpa"/>
        <s v="A.Srinivas rao"/>
        <s v="B.Kaladhar"/>
        <s v="M.Ambika &amp; M.Pandu"/>
        <s v="G.Satyapal Reddy"/>
        <s v="S.Vivex &amp; S.Saibaba"/>
        <s v="V.Vanaja &amp; V.Jayaram Reddy"/>
        <s v="R.minocha"/>
        <s v="J.Maruthi Raghavaram"/>
        <s v="Richa"/>
        <s v="G.Krishna"/>
        <s v="N.Venkata Ramana"/>
        <s v="K.Karthik Rao"/>
        <s v="M.Pushpanjali"/>
        <s v="G.Swathi"/>
        <s v="Prabhakar"/>
        <s v="P.Srinivas"/>
        <s v="Aravind Reddy"/>
        <s v="Venkateshwarlu"/>
        <s v="Bhagya"/>
        <s v="Srikanth Reddy"/>
        <s v="Ambika(Venkateshwar Rao)"/>
        <s v="Swetha"/>
        <s v="Linga Swamy"/>
        <s v="Ram Chander"/>
        <s v="Pranaya Teja"/>
        <s v="Mallesham"/>
        <s v="Manikyam"/>
        <s v="Raghava"/>
        <s v="Shiva Kumar"/>
        <s v="Suresh"/>
        <s v="B.Raju"/>
        <s v="Govind Kumar"/>
        <s v="A.Raghavendra"/>
        <s v="Anjaneyulu"/>
        <s v="Srinivas"/>
        <s v="Srinivas Reddy"/>
        <s v="K.Smitha"/>
        <s v="K.Chary"/>
        <s v="Aadhi Laxmi"/>
        <s v="Murali"/>
        <s v="Ram Prasad"/>
        <s v="Rasamallu Ruth"/>
        <s v="Aruna Prabha(Murari)"/>
        <s v="Narendra Yadav"/>
        <s v="Shilpa Patel"/>
        <s v="Chandra Mohan"/>
        <s v="G.Swaroopa Rani"/>
        <s v="K.Jamuna"/>
        <s v="Venkata Ramana"/>
        <s v="Rama Krishna"/>
        <s v="Punyavathi"/>
        <s v="Jolly Mukarjee"/>
        <s v="R.Anand Krishna"/>
        <s v="Rama Shanker"/>
        <s v="Nagaiah"/>
        <s v="G.Vara Laxmi"/>
        <s v="N.Niupama"/>
        <s v="Rajeshwar Goud"/>
        <s v="Sai Krishna Karthik"/>
        <s v="Navarathu Bimal"/>
        <s v="Jagan Mohan Reddy"/>
        <s v="Radhika"/>
        <s v="Ramki Villas"/>
        <s v="A.Vinesh Raj"/>
        <s v="K.U Konda Reddy"/>
        <s v="Syed Yousuf"/>
        <s v="Laxmi"/>
        <s v="P.Padhma"/>
        <s v="Sunitha Rathod"/>
        <s v="D.Rama Krishna"/>
        <s v="She's Reddy"/>
        <s v="Ramesh Chary"/>
        <s v="Venkatesh"/>
        <s v="Kalyan Nath"/>
        <s v="C.Vijaya Mohan"/>
        <s v="Narendranath Reddy"/>
        <s v="Rama Devi"/>
        <s v="Bala Raju Goud"/>
        <s v="K.Purushotham Goud"/>
        <s v="M.Sri Vijay"/>
        <s v="Md.Abdul Sayyed"/>
        <s v="B.Spandana"/>
        <s v="Ravi"/>
        <s v="Indan Singh"/>
        <s v="R.Krishna Reddy"/>
        <s v="V.Swarnalatha"/>
        <s v="U.Pushpa Latha"/>
        <s v="Sharath"/>
        <s v="Hemla Naik"/>
        <s v="Seetha Rama Raju"/>
        <s v="Lavanya"/>
        <s v="Malla Reddy"/>
        <s v="C.Sai Ishwarya"/>
        <s v="Kaleel"/>
        <s v="Venkataiha"/>
        <s v="Krishna"/>
        <s v="Ramana Murthy"/>
        <s v="Pabba Raju"/>
        <s v="Surya Kumar"/>
        <s v="C.Bal Raj"/>
        <s v="Jawar Kishore"/>
        <s v="B.Vishwanathan"/>
        <s v="B.Rama Swamy"/>
        <s v="T.Padmavathi"/>
        <s v="G.Mallikarjun"/>
        <s v="C.Sunil Babu"/>
        <s v="V.Shardha Sai"/>
        <s v="Syed Qayyum Hussain"/>
        <s v="Swaroopa"/>
        <s v="Karthik Reddy"/>
        <s v="P.K.R"/>
        <s v="Anand"/>
        <s v="B.Mallesham"/>
        <s v="M.K Yoga Raj"/>
        <s v="Veerabadra Rao"/>
        <s v="Mani V.Kumar"/>
        <s v="R.Swetha"/>
        <s v="G.Sulochana"/>
        <s v="K.Subba Rao"/>
        <s v="V.Chandra Shekar Reddy"/>
        <s v="Hari Hara Prasad"/>
        <s v="Shilpa Reddy"/>
        <s v="Vijaya Krishna Reddy"/>
        <s v="Niveditha Reddy"/>
        <s v="Rama Lingeshwar"/>
        <s v="Abidullah"/>
        <s v="K.Ramani Jyothi"/>
        <s v="Sunil"/>
        <s v="Govardhan"/>
        <s v="C.Laxmi"/>
        <s v="L.Hanumantha Reddy"/>
        <s v="L.Sahithi"/>
        <s v="Mothilal"/>
        <s v="Naresh"/>
        <s v="K.Raghu Ram"/>
        <s v="Praveen Surya"/>
        <s v="Jayanth Kumar"/>
        <s v="Srilekha"/>
        <s v="Raja Lingam"/>
        <s v="Saraswathi "/>
        <s v="S.Satish Kumar Goud"/>
        <s v="H.Devi Goud"/>
        <s v="Subramanya Suresh"/>
        <s v="Panduranga"/>
        <s v="N.Kiran Kumar"/>
        <s v="B.Santosh"/>
        <s v="M.Vishwaroopan"/>
        <s v="S.Ram Babu"/>
        <s v="N.Chamundeshwari"/>
        <s v="Sruthi Priya"/>
        <s v="Seetha Ram"/>
        <s v="Ch.Vidya Sagar"/>
        <s v="k.R Chandra Shekar"/>
        <s v="Bharatha Padma"/>
        <s v="K.Anil Kumar"/>
        <s v="Gopi Srikanth"/>
        <s v="Sampath Kumar"/>
        <s v="Anitha"/>
        <s v="Sagar"/>
        <s v="Sanjeevi Reddy"/>
        <s v="K.Rajender Kumar"/>
        <s v="Radghevendra Rao"/>
        <s v="Jaya Latha"/>
        <s v="T.Manikyamma"/>
        <s v="K.Arun Teja"/>
        <s v="Sri Satya Developers"/>
        <s v="D.Damoder"/>
        <s v="Gupta"/>
        <s v="Adilakshmi"/>
        <s v="G.Vinod Reddy"/>
        <s v="Shirish Kumar"/>
        <s v="Jagadeesh"/>
        <s v="Mohan Krishna"/>
        <s v="Narender"/>
        <s v="K.Nagarathna"/>
        <s v="Jyothirmai"/>
        <s v="Venu Gopal"/>
        <s v="M.Narsimha Rao"/>
        <s v="Prasad"/>
        <s v="A.R Constructions"/>
        <s v="C.Mamatha"/>
        <s v="Dr Kumara Swamy"/>
        <s v="Indra Jeet Singh"/>
        <s v="Amrik Furniture Ltd"/>
        <s v="Kalpesh Bandari"/>
        <s v="Ch.Veera Raghavulu"/>
        <s v="V.Padmaja"/>
        <s v="Rakesh Jain"/>
        <s v="D.Madhava Ramesh"/>
        <s v="Sri Rama Metal Industries"/>
        <s v="Lakshmi Chowdari"/>
        <s v="K.S.R.K Prasad"/>
        <s v="E.Malini"/>
        <s v="K.Krishna Prasad"/>
        <s v="Anand Rao"/>
        <s v="Meena Niranjan"/>
        <s v="Nirajan"/>
        <s v="Rakesh Tiwari"/>
        <s v="Kumar Dash"/>
        <s v="Bhaskaran"/>
        <s v="G.Lal Reddy"/>
        <s v="Christo Phen Mart"/>
        <s v="B.Ravi Chandra"/>
        <s v="Linns Construction Pvt Ltd"/>
        <s v="T.Venkata Laxmi"/>
        <s v="G.Shankar Goud"/>
        <s v="Buma Lingam"/>
        <s v="Suguna Bai"/>
        <s v="Raghupathi Reddy"/>
        <s v="P.Venkata Narayana"/>
        <s v="Ch.Gopaiah"/>
        <s v="Raj Kumar"/>
        <s v="N.Srinivas"/>
        <s v="Bala Murugan"/>
        <s v="T.K.S Venkateshwarlu"/>
        <s v="Manipal Reddy"/>
        <s v="Bharathi"/>
        <s v="D.Rajitha"/>
        <s v="S.Nagalaxmi"/>
        <s v="Raju"/>
        <s v="Gajendra"/>
        <s v="Subhadra"/>
        <s v="Dhanraj"/>
        <s v="V.Satyanvesh"/>
        <s v="A.Amarnath Rao"/>
        <s v="Sree nadham"/>
        <s v="Dayanand Rao"/>
        <s v="Jyot shana kumari"/>
        <s v="Chakilam.Srinivas"/>
        <s v="Arehana"/>
        <s v="K.Jayaram reddy"/>
        <s v="Urmila"/>
        <s v="K.Ramani"/>
        <s v="G.Vijaya Kumar"/>
        <s v="Ravindra"/>
        <s v="T.Raghu"/>
        <s v="Krishna Kumari"/>
        <s v="K.Shravan Kumar"/>
        <s v="Sai Baba"/>
        <s v="Suguna Chary"/>
        <s v="Naaz Praveen"/>
        <s v="K.Mallikarjuna Rao"/>
        <s v="K.Yashoda"/>
        <s v="Vijaya Lakshmi"/>
        <s v="N.K.K Prasad"/>
        <s v="Madhava Rao"/>
        <s v="Madhu"/>
        <s v="G.Nikitha"/>
        <s v="Laxmi Gandra"/>
        <s v="Bujji"/>
        <s v="B.Sri Sailam"/>
        <s v="Madhusudan"/>
        <s v="Sanjeeva Reddy"/>
        <s v="S.Shilpa"/>
        <s v="Maher Rakesh"/>
        <s v="Rajendra Prasad"/>
        <s v="Rameh"/>
        <s v="Manoj Kumar Jaswal"/>
        <s v="Sudhakar"/>
        <s v="Satyanaraya Rao"/>
        <s v="Tirupathi Reddy"/>
        <s v="V.V Rajendra Prasad"/>
        <s v="Creative Organics"/>
        <s v="K.Rami Reddy"/>
        <s v="K.Mamatha"/>
        <s v="Archean Marbles"/>
        <s v="Vinay Bandari"/>
        <s v="Padmaja"/>
        <s v="Sanjay Agarwal"/>
        <s v="Bhaskar Agro Chemicals"/>
        <s v="Anand Jambholkar"/>
        <s v="Madhavi"/>
        <s v="Anuradha Vanamali"/>
        <s v="Ashish"/>
        <s v="One City(Incore Constructions)"/>
        <s v="Vishwateja Enterprises"/>
        <s v="Prestaige High Field"/>
        <s v="Abdul Samad"/>
        <s v="Thirupathaiah"/>
        <s v="B.Satyam"/>
        <s v="Raghavulu"/>
        <s v="Rudra Sree Housing Pvt Ltd"/>
        <s v="Soma Shekar"/>
        <s v="Ch.Venkateshwarlu"/>
        <s v="K.Rehamma"/>
        <s v="K.Kavitha"/>
        <s v="Krishna Veni"/>
        <s v="B.Gopal Reddy"/>
        <s v="Dheeravath Naga"/>
        <s v="V.Bala Nageshwar Rao"/>
        <s v="K.Mahender Reddy"/>
        <s v="S.Venkat Reddy"/>
        <s v="Srinivas Rao"/>
        <s v="G.Lalitha"/>
        <s v="D.Ganesh"/>
        <s v="K.Vijaya Lakshmi"/>
        <s v="J.Kanakaiah"/>
        <s v="T.Geetha"/>
        <s v="Narender "/>
        <s v="C.Venkateshwarlu"/>
        <s v="Mohan Rao"/>
        <s v="Krishna Kumar"/>
        <s v="C.Rama Chandraiah"/>
        <s v="K.Hari Kumar"/>
        <s v="M.Srinivasa Rao"/>
        <s v="Yuvaraj Singh"/>
        <s v="S.Srikanth"/>
        <s v="Nitya Rama Chandran"/>
        <s v="S.Ruthu"/>
        <s v="Sathish Reddy"/>
        <s v="A.Uma Rani"/>
        <s v="K.Dhamodar"/>
        <s v="Jagannadh"/>
        <s v="K.Manikappa"/>
        <s v="Pushpa Latha"/>
        <s v="K.Krishna Varma"/>
        <s v="Sridhar"/>
        <s v="Sri Rm Ramakrishna"/>
        <s v="Shiva Sai Karthik"/>
        <s v="P.Raja Shree"/>
        <s v="Rajesh"/>
        <s v="Isaac &amp; Monica"/>
        <s v="Kavitha Goel"/>
        <s v="Azmeera Silma Naik"/>
        <s v="Janaki Rama Raju"/>
        <s v="B.Laxmi Narsimha Rao"/>
        <s v="Devi Swayam Jyothi"/>
        <s v="S.Leelavathi"/>
        <s v="B.Laxmi Narayana"/>
        <s v="Janaiah"/>
        <s v="V.Ativalamma"/>
        <s v="LVRS Pavan Kumar"/>
        <s v="M.Durga Adi Lakshmi"/>
        <s v="P.Naveen Kumar"/>
        <s v="S.Venu Gopal"/>
        <s v="R.Srinath"/>
        <s v="Anuragam-A"/>
        <s v="ANuragam-B"/>
        <s v="G.J Venkata Sathya Chandra Kumar"/>
        <s v="S.Niranjan"/>
        <s v="Ganga Devi"/>
        <s v="Praveen "/>
        <s v="Medha"/>
        <s v="Y.Bala Subramanyam"/>
        <s v="Monica"/>
        <s v="T.Ram Gopal"/>
        <s v="Prabha Mehta"/>
        <s v="J.Nagendra Raj"/>
        <s v="Venkateshwar Reddy"/>
        <s v="P.Subba Rao"/>
        <s v="Mayur Bannia"/>
        <s v="Y.Govind Rao"/>
        <s v="Sarojini Ramavath"/>
        <s v="A.Padmavathi"/>
        <s v="V.Kamakshi"/>
        <s v="S.Vinay Chandra Dev Kumar"/>
        <s v="Y.Laitha Poorna"/>
        <s v="Badri Rama Rao"/>
        <s v="K.Nagender Reddy"/>
        <s v="G.Krishna Reddy"/>
        <s v="E.Rama Krishna"/>
        <s v="Varala Balaji Vijaya"/>
        <s v="K.Saraswathi Bai"/>
        <s v="L.U Karthikeya"/>
        <s v="Manjula"/>
        <s v="G.Shalini Rao"/>
        <s v="Girish Shetty"/>
        <s v="T.Komaraiah"/>
        <s v="Completion"/>
        <s v="Neerati Philip(31-Jan)"/>
        <s v="Bella Savla(VISA)"/>
        <s v="J.A Avanthi"/>
        <s v="C.Abhinaya"/>
        <s v="V.Krishna Kumari"/>
        <s v="Sandhya Rani"/>
        <s v="S.Kalamma(Mahesh)"/>
        <s v="Madhava Reddy"/>
        <s v="Pallavi Venkataiah"/>
        <s v="Mahender(Anil)"/>
        <s v="M.V Raja Shekar"/>
        <s v="Vankati babu"/>
        <s v="Kondal  Reddy"/>
        <s v="C.Sridevi"/>
        <s v="Vasantha Rama Krishna"/>
        <s v="Naveen"/>
        <s v="Sham Sunder Reddy"/>
        <s v="A.Padma Latha"/>
        <s v="G.K Ratnam"/>
        <s v="T.Venkaiah"/>
        <s v="A.Venkateshwarlu"/>
        <s v="P.Jaipal Reddy"/>
        <s v="J.Raju"/>
        <s v="Thakur Dinesh Singh"/>
        <s v="Venkatesh "/>
        <s v="Kondal Reddy"/>
        <s v="Bhaskar (Surender)"/>
        <s v="P.Gopi Krishna"/>
        <s v="Y.Venkat Reddy"/>
        <s v="Vanam Mamatha"/>
        <s v="K.Lakshmi &amp; Satish"/>
        <s v="J.Sri Lakshmi"/>
        <s v="Padma Latha Lavanya"/>
        <s v="K.Bennaiah"/>
        <s v="Rathlavath Sunitha"/>
        <s v="Randheer Reddy"/>
        <s v="E.Nagamani"/>
        <s v="T.Bhaskar Rao"/>
        <s v="Naveen Kumar"/>
        <s v="Sapavath"/>
        <s v="K.Bal Singh"/>
        <s v="Srikanth"/>
        <s v="T.Laxman Goud"/>
        <s v="Vamshidhar Reddy"/>
        <s v="Swathi reddy"/>
        <s v="Srinivasa Steels"/>
        <s v="B.Paravathi"/>
        <s v="Vijayapal Pathloth"/>
        <s v="Ch.Laxmi Pathi"/>
        <s v="K.Harish Charan"/>
        <s v="Chinna Kasi Reddy"/>
        <s v="V.Venkata Nagendra Laxman Kumar"/>
        <s v="S.Shanthi Kumari"/>
        <s v="R.Shanthi"/>
        <s v="R.Mamatha"/>
        <s v="C.Narsimhulu"/>
        <s v="Vivera Hotel"/>
        <s v="Sujatha Srinivas"/>
        <s v="Priyadarshini"/>
        <s v="K.Mahesh"/>
        <s v="Narender Savla"/>
        <s v="Narsimha Reddy"/>
        <s v="Krishna Goud"/>
        <s v="R.Abhilash"/>
        <s v="S.Harika"/>
        <s v="G.Srinivas"/>
        <s v="Rameshwar Reddy"/>
        <s v="D.Vinay Kumar"/>
        <s v="C.Yamini"/>
        <s v="Dheeraj Kumar"/>
        <s v="Srinivas Murthy"/>
        <s v="V.Maha Lakshmi"/>
        <s v="M.Sudhakar Chary"/>
        <s v="A.Yadagiri"/>
        <s v="J.Krishna Veni"/>
        <s v="A.Saritha"/>
        <s v="Pavan"/>
        <s v="Venkat Reddy"/>
        <s v="Sparshitha"/>
        <s v="Nagaraj"/>
        <s v="Satya Sree"/>
        <s v="Md.Fareed"/>
        <s v="A.V Bharathi"/>
        <s v="K.Vasanth Kumari"/>
        <s v="Ramuloo"/>
        <s v="G.Venu Gopal"/>
        <s v="B.Mahamtesh"/>
        <s v="N.Srinivasulu"/>
        <s v="L.Manjula"/>
        <s v="G.Lakshmi Narayana"/>
        <s v="M.Rama Swamy"/>
        <s v="S.Monica"/>
        <s v="B.Santosh Kumar"/>
        <s v="C.Srinivas Rao"/>
        <s v="Samyuktha"/>
        <s v="Sai Vaishnavi"/>
        <s v="Gyaneshwar"/>
        <s v="P.vijender reddy"/>
        <s v="K.Venugopal"/>
        <s v="K.venkateshwarlu"/>
        <s v="G.Shylaja"/>
        <s v="Korra Loka"/>
        <s v="Arun Kumar Reddy"/>
        <s v="K.Ashwin Kumar Varma"/>
        <s v="E.Nirmala"/>
        <s v="Khursheed Begum"/>
        <s v="Chalapathi Rao(6 Files)"/>
        <s v="P.Sanjappa"/>
        <s v="Y.Shailendra Babu"/>
        <s v="J.Anitha"/>
        <s v="S.Susheela Kumari"/>
        <s v="Unity Constructions Pvt Ltd"/>
        <s v="M.Mallaiah"/>
        <s v="Y.Padmavathi"/>
        <s v="Nageshwar Rao"/>
        <s v="Hathiyani Dhayji patel"/>
        <s v="G.Madhavi"/>
        <s v="Sunitha"/>
        <s v="Sampath"/>
        <s v="Kushal"/>
        <s v="Induri Janrdhan"/>
        <s v="N.Poonam Raju"/>
        <s v="K.Renuka"/>
        <s v="C.Subodh Kumar"/>
        <s v="M.Mahesh Kumar"/>
        <s v="P.Narsimha"/>
        <s v="VLN Subramanyam"/>
        <s v="R.Shanker"/>
        <s v="D.Vijaypal Reddy"/>
        <s v="Prem Kumar"/>
        <s v="K.Krishna"/>
        <s v="B.Venkanna (Satya Madhavi)"/>
        <s v="B.Swapna"/>
        <s v="Ch.Hanumanth Rao"/>
        <s v="M.Srinivas"/>
        <s v="E.Raja Mani"/>
        <s v="V.Madhavi"/>
        <s v="K.Swetha"/>
        <s v="Bhagyamma"/>
        <s v="D.Narmada"/>
        <s v="Y.Ram Kumar"/>
        <s v="Hari Krishna Reddy"/>
        <s v="P.V.V Aditya"/>
        <s v="J.Samba Shiva Rao"/>
        <s v="Maithili Bala"/>
        <s v="P.Deepthi"/>
        <s v="K.Mohan Krishna"/>
        <s v="K.Suresh"/>
        <s v="A.Abhilash"/>
        <s v="K.Srinivasa Vamshi Krishna"/>
        <s v="M.S.V Krishna Rao"/>
        <s v="K.Naveen Babu"/>
        <s v="Jaya Sree"/>
        <s v="MLN Vijaya Kumari"/>
        <s v="Swathi Nirmala"/>
        <s v="A.Jalender Reddy"/>
        <s v="Vasathi Housing Ltd"/>
        <s v="Md.Imtiyazuddin"/>
        <s v="Jaya Dev"/>
        <s v="K.Ramesh"/>
        <s v="G.Venkata Krishna Reddy"/>
        <s v="V.Malla Reddy"/>
        <s v="Balakrishna Motiram Yadav"/>
        <s v="Cyber Employees Welfare Society"/>
        <s v="Vidhan Rao"/>
        <s v="P.Veerababu"/>
        <s v="Md.Ghouse Basha"/>
        <s v="Jains Carton Creek"/>
        <s v="Krishna Reddy"/>
        <s v="J.Srinivas"/>
        <s v="L.Venkatappaiah"/>
        <s v="P.N.V.R.K Murthy"/>
        <s v="Aruna &amp; Vishnu Vardhan"/>
        <s v="G.Sudha"/>
        <s v="D.Rajender"/>
        <s v="K.Ravi"/>
        <s v="T.Srinivas"/>
        <s v="R.Roja Kumari"/>
        <s v="Anil Kumar Chandu"/>
        <s v="G.Pavani (Srikanth Raju)"/>
        <s v="P.Parvatheesham"/>
        <s v="M.Mahender Reddy"/>
        <s v="V.Venu Kumar"/>
        <s v="N.Shyam Prasad"/>
        <s v="P.Spoorthi"/>
        <s v="M.R Mohammed Irfan"/>
        <s v="Hallmark Builders&quot;Hallmark Tranquil&quot;"/>
        <s v="S.Lakshmi(Venkateshwara  Sharma)"/>
        <s v="K.Seena Naik"/>
        <s v="K.Ramana Murthy"/>
        <s v="Sanagavarapu.V.R.Satish"/>
        <s v="P.Sriharsha"/>
        <s v="Ramky One Cosmos"/>
        <s v="Sahith Reddy"/>
        <s v="Kanaram choudary"/>
        <s v="Shaik Shahul"/>
        <s v="Udari Amrutha"/>
        <s v="N.Mohan Reddy"/>
        <s v="S.V.Nageshara Rao"/>
        <s v="Ch.Mukta"/>
        <s v="Ch.Arun"/>
        <s v="G.Prabhu Kishore"/>
        <s v="G.Vijaya Lakshmi"/>
        <s v="M.Madhusudhana Prabhu"/>
        <s v="G.Arjun Reddy"/>
        <s v="Lakshmi Infra Tech"/>
        <s v="Sri Dipak Kumar"/>
        <s v="Siva Sankar "/>
        <s v="K.Kamal Prasad"/>
        <s v="Y.Babu Rao"/>
        <s v="G.Sudheer Reddy"/>
        <s v="N.Prem Kumar"/>
        <s v="G.Jagadeeshwari Devi"/>
        <s v="K.Ram Mohan"/>
        <s v="M.Anand Reddy"/>
        <s v="M.Madhu Babu"/>
        <s v="P.Srujan"/>
        <s v="G.Padma"/>
        <s v="N.Kishore"/>
        <s v="Krishna Priya Rayudu"/>
        <s v="Amberley Heights(Manipal Reddy)"/>
        <s v="S.Malini Bai"/>
        <s v="T.Rohit Kumar"/>
        <s v="Hrushikesh Muralidharan"/>
        <s v="K.Danamma"/>
        <s v="V.C Prakash Reddy"/>
        <s v="Ishwar Chandra Das"/>
        <s v="P.Kodhanda Rama Sharma"/>
        <s v="P.Devendar"/>
        <s v="M.Kasuma Kumari"/>
        <s v="Pacifica Hyderabad Projects&quot;Hill Crest Phase-I&quot;"/>
        <s v="Parifica Hyd Projects&quot;Hill Crest Phase-I&quot;"/>
        <s v="Satyendra Kumar Roy"/>
        <s v="N.Santosh Kumar"/>
        <s v="B.S.V.N Satyanarayana Murthy"/>
        <s v="P.Ravi Teja"/>
        <s v="SVS Infracon Pvt Ltd"/>
        <s v="Sikhara Projects (Sikhara Bliss)"/>
        <s v="G.Ravindranath"/>
        <s v="J.Jangama"/>
        <s v="D.Suresh"/>
        <s v="M.V.K.N Murthy"/>
        <s v="P.Satish "/>
        <s v="Prekon Constuctions"/>
        <s v="Raghu Raju"/>
        <s v="C.Vijaya Dev"/>
        <s v="Y.K Prudhviraj"/>
        <s v="D.Chaitanya"/>
        <s v="SRK Ventures &quot;VISTAS&quot;"/>
        <s v="R.Narsimha Chary"/>
        <s v="A.P Raja(Indire Rajan)"/>
        <s v="Kavitha &amp; Ashok Reddy"/>
        <s v="D.Shouri Reddy"/>
        <s v="Ramaraju Anupama"/>
        <s v="M.Venkata LakshmimNarayana"/>
        <s v="Rohiteshwara Manohar Mujamdar"/>
        <s v="Anitha Boyapati"/>
        <s v="Trishala Infrastructure (The Life)"/>
        <s v="Venkata Satyanarayana Murthy"/>
        <s v="Poorna Build Tech Pvt Ltd&quot;Magnus&quot;"/>
        <s v="Anuj Kumar Sharma"/>
        <s v="Dasari John"/>
        <s v="Usha Krishna"/>
        <s v="V.B Shankar Nag Nemmuri"/>
        <s v="Luxor Aportments"/>
        <s v="Shravanthi Beram"/>
        <s v="Apurva Kumar"/>
        <s v="Arogyam Kolipaka"/>
        <s v="N.Srinivasa Rao"/>
        <s v="Radhika Kalyani"/>
        <s v="Krishna Chaitanya"/>
        <s v="Arunima Ganguly"/>
        <s v="Swamy Naidu"/>
        <s v="M.Lakshmi Prasanna"/>
        <s v="Mehar Sri Ram"/>
        <s v="Alugubelli Manjula"/>
        <s v="Eshwar Madoori"/>
        <s v="Aparna Hill Park (Lake Breeeze)"/>
        <s v="K.Madhav Sai Ram Reddy"/>
        <s v="Siva Kumar&amp; Others"/>
        <s v="D.Satish Kumar"/>
        <s v="D.Sandhya Rani"/>
        <s v="S.Lavanya"/>
        <s v="S.Rama Krishna Reddy"/>
        <s v="L.Jeevan Prakash"/>
        <s v="A.Satish"/>
        <s v="D.N.V Ramana Rao"/>
        <s v="M.Pallavi"/>
        <s v="K.Padmavathi"/>
        <s v="Nikhil Sai Krishna Convention(NSK Exotika)"/>
        <s v="S.Kameshwara subramanyam"/>
        <s v="P.Hanu"/>
        <s v="S.Ananth Kumar"/>
        <s v="Y.Uday Kiran"/>
        <s v="P.Venkata Rajashekar"/>
        <s v="M.Aruna (K.Srinivas)"/>
        <s v="Neha Prakash"/>
        <s v="Lakshmi Manasa(Praveen Kumar)"/>
        <s v="Jupudi Gayatri "/>
        <s v="H.Santosh Kumar"/>
        <s v="S.Lakshmi Sanjana"/>
        <s v="G.Bhargav &amp; Mounika"/>
        <s v="Vazhraa Nirman (Pushpak)"/>
        <s v="P.Laxmana"/>
        <s v="Sri Sai Krupa (Sai Heights II)"/>
        <s v="Universal Realtons Pvt Ltd(The Botanika)"/>
        <s v="Maruthi Shyam Sunder"/>
        <s v="S.M Developers (Movva Residancy)"/>
        <s v="Mahesh Kolli"/>
        <s v="Lohitha Bandaru"/>
        <s v="Somesh Byragonda"/>
        <s v="Green Blossoms"/>
        <s v="R.Lakshmi"/>
        <s v="T.V Muralidhar"/>
        <s v="K.Karthik (Rama Lakshmi)"/>
        <s v="Syed Taher"/>
        <s v="Pratod Purushottam Rao Pande"/>
        <s v="Shajanan Begum"/>
        <s v="Arzu Chimni"/>
        <s v="Chandra Shekar  Bejugam"/>
        <s v="B.Shankaraiah"/>
        <s v="Jagannath Das"/>
        <s v="M.Swamynadh"/>
        <s v="GEM Vivendas Pvt Ltd(GEM Raja Residency)"/>
        <s v="V.Archana/ Krishna"/>
        <s v="Rajesh Varma"/>
        <s v="Seoni Bodu&amp; Nilendra Mukharjee"/>
        <s v="M.Suryanarayana"/>
        <s v="Zaheer Hussain Shaik"/>
        <s v="Aishwarya &amp; Vishwanath"/>
        <s v="N.Sumitra Devi"/>
        <s v="R.Ram Reddy"/>
        <s v="LVR Infra Structure Pvt Ltd(Balaji)"/>
        <s v="SRK Ventures LLP(Vista)"/>
        <s v="Riddhis Builders (Tulip Phase-II)"/>
        <s v="Anand Singh Bondili"/>
        <s v="Prathyusha Bharathi"/>
        <s v="K.Nagabhushan Reddy"/>
        <s v="R.Pushparaj"/>
        <s v="P.Thathi Reddy"/>
        <s v="Ratna Solutions(Emerald)"/>
        <s v="A.Lakshmi"/>
        <s v="K.Rama Tulasi Reddy"/>
        <s v="P.Yella Reddy"/>
        <s v="LME(M.Ravi Kumar)"/>
        <s v="P.Koti Reddy"/>
        <s v="V.Sreenivasulu"/>
        <s v="Shaik Sabeer"/>
        <s v="Shaik Tauseef Ahmed"/>
        <s v="K.Hymavathi"/>
        <s v="E.Ashok"/>
        <s v="V.Bhavani"/>
        <s v="Ch.Venkata Ramana"/>
        <s v="Carbotine Toolings India Pvt Ltd"/>
        <s v="Mamata Dugar Singh"/>
        <s v="T.Bharathi"/>
        <s v="K.Bhagyalakshmi"/>
        <s v="Aggarwal Anuj"/>
        <s v="N.Sravan Kumar"/>
        <s v="N.Sai Ram Reddy"/>
        <s v="M.Usha"/>
        <s v="Sapala Organics"/>
        <s v="Alluri Ranga Prasad Raju"/>
        <s v="G.Ikshwak"/>
        <s v="Gowni Praneeth Reddy"/>
        <s v="Sairam Ranga"/>
        <s v="Jonnada Mohan Rao"/>
        <s v="Santosh Granites"/>
        <s v="PRG Buildcon India"/>
        <s v="Andhra Prabha Publications Ltd"/>
        <s v="B.Usha Rani"/>
        <s v="K.Swarnalatha Devi"/>
        <s v="Chitimi Reddy Lova Raju"/>
        <s v="Meenkshi B Desai"/>
        <s v="Chetan Desai"/>
        <s v="Venigala Suma Bala"/>
        <s v="G.Jagannatham"/>
        <s v="K.Roshan Jaiswal"/>
        <s v="J.Sri Devi"/>
        <s v="Emorphosys Software Solution"/>
        <s v="Rama Sharma"/>
        <s v="K.V.S Prakash Rao"/>
        <s v="T.Raghava Reddy"/>
        <s v="Uday Kumar"/>
        <s v="Nagaraj Dhupati"/>
        <s v="M.Damodhar Reddy"/>
        <s v="Elegans Infra"/>
        <s v="M.Amruthanath"/>
        <s v="K.Venkata Sai Phani Krishna"/>
        <s v="N.Chandra Deepti"/>
        <s v="K.Srinivas"/>
        <s v="Pulse Pharmacuticals "/>
        <s v="Shakti Cables"/>
        <s v="K.Prashanti"/>
        <s v="M.Manjula"/>
        <s v="Narayana Reddy"/>
        <s v="V.Durga Sudha"/>
        <s v="Shwetha Agarwal"/>
        <s v="E.N Ashok Kumar"/>
        <s v="D.Satish"/>
        <s v="Gurupreet Galvanaizing Pvt Ltd"/>
        <s v="P.Snigdha"/>
        <s v="Surendra Narala"/>
        <s v="M.Siva Prasad"/>
        <s v="A.Nagi Reddy"/>
        <s v="V.Srinivas Rao"/>
        <s v="Sampath Industries"/>
        <s v="Ramaraju Hanumatha rao"/>
        <s v="Urmila Sarda"/>
        <s v="Radhika (Madhusudan)"/>
        <s v="Putta Madhusudan"/>
        <s v="Sunkohu Sridevi"/>
        <s v="Bharathi Enterprises"/>
        <s v="Vamshi Krishna"/>
        <s v="Balaji Refrigeration &amp; Chandra Shekar"/>
        <s v="C.K Linga Reddy &amp; Others"/>
        <s v="Sanjay Technical Services Pvt Ltd"/>
        <s v="Raja Sree &amp; Vidhyanandana"/>
        <s v="Hi-Tech Engineering"/>
        <s v="Sai Balaji Industries"/>
        <s v="Prashant Saboo"/>
        <s v="Nallapaneni Anji"/>
        <s v="K.Bhava Narayana"/>
        <s v="Karan's Project Pvt Ltd"/>
        <s v="SVLN Developers"/>
        <s v="B.V.S Reddy"/>
        <s v="Pinnamaneni Siva Teja"/>
        <s v="Bhavini Ved"/>
        <s v="K.Venkatesh &amp;Neelima"/>
        <s v="Pradeep kumar Gupta"/>
        <s v="B.Laxmi  Narayana"/>
        <s v="Golden Mesh Industries"/>
        <s v="K.venkateshwara Rao"/>
        <s v="Deepchand Bondalapati"/>
        <s v="Uppala Papi Reddy"/>
        <s v="Elite Meadows"/>
        <s v="Nagaraju Dhupati"/>
        <s v="KSR Indrani Heights"/>
        <s v="Maddamshetty Jagadeeshwari"/>
        <s v="V.Srinivasa Rao"/>
        <s v="O-Venkata Subba Reddy"/>
        <s v="Pedireddy Govinda Rao"/>
        <s v="Danavalli Vijaya Sree"/>
        <s v="Kyatham Venkata Ramana Reddy"/>
        <s v="Katpally Ganga Bhagwan Reddy"/>
        <s v="Menneni Bala Kishan Rai"/>
        <s v="Adavalli Srinivas Reddy"/>
        <s v="Kommana Boina Venkateshwara Rao"/>
        <s v="G.Mani Kumar(Mamatha)"/>
        <s v="P.Narsimha Raju"/>
        <s v="Kaparapa Sahadev"/>
        <s v="Menneni Rajitha"/>
        <s v="Ch.Harinath Singh"/>
        <s v="Teegala Laxma Reddy"/>
        <s v="S.Prathap Reddy"/>
        <s v="I.Deepika &amp; Madhu Sudhan"/>
        <s v="K.Nageshwara Rao"/>
        <s v="Varad Extrusions"/>
        <s v="Md.Growell Formulation P.Ltd"/>
        <s v="Aditya Enterprises"/>
        <s v="Rajeshwari Industries"/>
        <s v="G.Sharada"/>
        <s v="Sri Lakshmi Steels"/>
        <s v="Imax Developers Pvt Ltd"/>
        <s v="Brahma Gurbani(Kishanchand)"/>
        <s v="Nutakki Chandra Deepthi"/>
        <s v="Naga Durga Usha"/>
        <s v="Vijitha Yerramsetty"/>
        <s v="Mendu Preetish"/>
        <s v="Swathi Industries"/>
        <s v="Deepak Galvanising"/>
        <s v="Jaithri Fuel Station"/>
        <s v="Pushpakala &amp; Praveen &amp; Prasad"/>
        <s v="S.Charan Tej Reddy"/>
        <s v="Sai Ram Constructions"/>
        <s v="Sharadha Eco Power Ltd"/>
        <s v="S.Vijay laxmi"/>
        <s v="V.Durga Devi"/>
        <s v="Bharat Tubes"/>
        <s v="Saraswathi Devi"/>
        <s v="Ritesh Suresh"/>
        <s v="Saboo Motors"/>
        <s v="Anupam Fuels Pvt Ltd"/>
        <s v="Ritesh Sureka"/>
        <s v="K.Uday Kumar"/>
        <s v="V.Srinivas"/>
        <s v="N.Chandra Deepthi"/>
        <s v="S.Srinivasa Reddy"/>
        <s v="P.V Narsimha Raju"/>
        <s v="M.Srinivas Reddy"/>
        <s v="S.V.L.N Developers"/>
        <s v="Vishnu Reddy"/>
        <s v="R.Symala Kumari"/>
        <s v="G.Ashok Arya"/>
        <s v="Baleeshwaraiah"/>
        <s v="U.Bhaskarn"/>
        <s v="M.Santaiah"/>
        <s v="Pooja Nekth"/>
        <s v="K.Kowmidi"/>
        <s v="M.Vikram kumar"/>
        <s v="D.Vimala"/>
        <s v="S.Pandari"/>
        <s v="S.Ponnaiah"/>
        <s v="Pramila &amp; Sharma"/>
        <s v="Krishna Murthy"/>
        <s v="Lalitha"/>
        <s v="Msv,Kamasai &amp;Deshapaka.Pradeep"/>
        <s v="Ranga chary"/>
        <s v="R.Raghavaiah"/>
        <s v="G.Anil Kumar Reddy"/>
        <s v="M.Ramesh"/>
        <s v="Uma rani"/>
        <s v="M.Vamshi krishna reddy"/>
        <s v="B.Mahendr Yadav"/>
        <s v="K.V.S.Prabhakar"/>
        <s v="A.Prashanth"/>
        <s v="U.Savithri"/>
        <s v="Krishna Menan"/>
        <s v="K.Raghu nath"/>
        <s v="Nikhil Surabhi"/>
        <s v="Ramesh.Aruva"/>
        <s v="V.Praveen kumar"/>
        <s v="Preem.Sai kumar"/>
        <s v="A.Yellareddy"/>
        <s v="Karnakar"/>
        <s v="Achyuth"/>
        <s v="C.Purandhar"/>
        <s v="K.Gopal reddy"/>
        <s v="K.Vanaja"/>
        <s v="Sheetal  devi"/>
        <s v="Bhavani Bar&amp;Restaurent"/>
        <s v="Lakshmi Jyotsna"/>
        <s v="B.N Lakshmi prasanna"/>
        <s v="N.praveen kumar"/>
        <s v="Y.pentaiah"/>
        <s v=" K.Raghu pathi reddy"/>
        <s v="B.V.K.Nrsimha"/>
        <s v="Veeramani"/>
        <s v="Johan  &amp; Gorge"/>
        <s v="Jaya kumar"/>
        <s v="D.Yadagiri"/>
        <s v="Pusuloju Sudarshan"/>
        <s v="Venkata Bala Prasad"/>
        <s v="J.Chirstopher Raj"/>
        <s v="Khaza Kusuma Kumari"/>
        <s v="T.Subash"/>
        <s v="N.Mallikarjuna Raja Shekar"/>
        <s v="M.Sri Devi"/>
        <s v="Durga Bai"/>
        <s v="G.Mallikarjuna Reddy"/>
        <s v="N.Srinivas Reddy"/>
        <s v="Sravana Varalaxmi"/>
        <s v="Chandra shekar"/>
        <s v="Venkatasai prashanth"/>
        <s v="Syd.Najeebuddin"/>
        <s v="Beerendra Kumar  Singh"/>
        <s v="K.Madhavi"/>
        <s v="R.S.Sreekanth"/>
        <s v="M.Vijaya"/>
        <s v="L.Srinivas Rao"/>
        <s v="S.Pavan"/>
        <s v="K.M.Electrices"/>
        <s v="G.Anjali (Venkateshwar)"/>
        <s v="R.Venkataiah"/>
        <s v="P.Divya"/>
        <s v="S.Prashanth"/>
        <s v="K.Sunanda Varma"/>
        <s v="G.Laxma Reddy"/>
        <s v="G.Naresh"/>
        <s v="Ramky"/>
        <s v="Sathish Kumar"/>
        <s v="K.Ramulu"/>
        <s v="Srujana &amp; Srinivas"/>
        <s v="Parameshwar"/>
        <s v="Dwarakanath"/>
        <s v="B.Sridevi"/>
        <s v="N.Nirmala"/>
        <s v="Anuradha"/>
        <s v="Kumarkar Rajesh"/>
        <s v="Ravindera"/>
        <s v="P.Satya Venkatesh"/>
        <s v="T.Madhu Babu"/>
        <s v="Nanda Kishore"/>
        <s v="N.Maruthi Prasad"/>
        <s v="B.Rajashekar"/>
        <s v="Zaheda Sultana"/>
        <s v="T.Manoja Prasad"/>
        <s v="Jaya Raj Reddy"/>
        <s v="D.Ajay Kumar"/>
        <s v="Srikanth Goud"/>
        <s v="Vijaya Ratnam"/>
        <s v="C.Vinay Kumar"/>
        <s v="B.Siddi Reddy"/>
        <s v="Mahender Yadaiah"/>
        <s v="Narayan Rao"/>
        <s v="J.Nageshwar Rao"/>
        <s v="A.Vijay"/>
        <s v="G.Srinivasa Raju(Raja Babu)"/>
        <s v="T.Papi Reddy"/>
        <s v="Bandaiah"/>
        <s v="Amaravathi"/>
        <s v="P.Anitha"/>
        <s v="Tirumalesh"/>
        <s v="P.Chenna Keshava Rao"/>
        <s v="Anas Mohiuddin"/>
        <s v="Y.S Anjaneyulu"/>
        <s v="Sujatha"/>
        <s v="Galanda Power &amp;Tele Communication"/>
        <s v="Sunandini Goud"/>
        <s v="Sri Subham Srinivas"/>
        <s v="Srinath"/>
        <s v="Suvidha Inspection Methods"/>
        <s v="M.V.S Venu Gopal"/>
        <s v="Sanajay "/>
        <s v="K.R Vyas Rao"/>
        <s v="Ashok"/>
        <s v="Sambaiah"/>
        <s v="Mallesh"/>
        <s v="T.Srikanth"/>
        <s v="B.O Chenna Reddy"/>
        <s v="Rajendra"/>
        <s v="Razwana Begum"/>
        <s v="Soumya Mathew"/>
        <s v="S.Satish Kumar"/>
        <s v="Vijaya Kumar"/>
        <s v="Rajeet Reddy"/>
        <s v="Ashok Agarwal"/>
        <s v="Greentek India Pvt  Ltd"/>
        <s v="Vara Laxmi"/>
        <s v="Krishna Mohan"/>
        <s v="Bhawant Anand"/>
        <s v="G.Narsing Rao"/>
        <s v="Bhushanam Goud"/>
        <s v="Ashvan Datta"/>
        <s v="NCL Wintech India Ltd"/>
        <s v="Santoshi Kumari Devi"/>
        <s v="Sekhar Padhy"/>
        <s v="E.Mahimala"/>
        <s v="K.Murthy"/>
        <s v="Naga Raju"/>
        <s v="Phani Kumar Reddy"/>
        <s v="Goose Global Agri Pvt Ltd"/>
        <s v="Sai Archana"/>
        <s v="Kunam Raghava Reddy"/>
        <s v="Narayana"/>
        <s v="G.Vijaya Bhaskar"/>
        <s v="Chakravarthy"/>
        <s v="Sanjay Kumar Agarwal"/>
        <s v="Anamole Jewellers"/>
        <s v="H.R Chambers"/>
        <s v="A.Yogesh"/>
        <s v="K.L Technical Services"/>
        <s v="S.K Safty Wings Pvt Ltd"/>
        <s v="Rukmini"/>
        <s v="Sri Vaishnavi Constructions"/>
        <s v="Bhanu Prasada Rao"/>
        <s v="Anuj Agarwal"/>
        <s v="Deepika&amp;manisha"/>
        <s v="M.Venkateshwara Reddy"/>
        <s v="Satyanarayana Reddy"/>
        <s v="Muddireddy Kesava Reddy"/>
        <s v="Archimedis Laboratories"/>
        <s v="S.Aparna Reddy"/>
        <s v="Lakshmi Kantha Rao"/>
        <s v="Vantech Chemical Ltd"/>
        <s v="J.A Rama Rao"/>
        <s v="J.Vijaya Lakshmi"/>
        <s v="Rasol Agro Proteens Ltd"/>
        <s v="Kiran Devi"/>
        <s v="Prateek Industries"/>
        <s v="Komaraiah"/>
        <s v="U.V Ramana"/>
        <s v="Vensar Projects Ltd"/>
        <s v="N.Srikanth"/>
        <s v="Kalyan &amp; Basanth"/>
        <s v="DPS School Building"/>
        <s v="Y.Brinda"/>
        <s v="K.Manik Reddy"/>
        <s v="K.Mohan Kumar"/>
        <s v="Darshan"/>
        <s v="Ramulu"/>
        <s v="Shireesha"/>
        <s v="Gunda Rao Badasheshi"/>
        <s v="Shree Shyam Granites"/>
        <s v="Toshniwal Granites Pvt Ltd"/>
        <s v="Saboo Motors(Veerendhar Reddy)"/>
        <s v="Nisha "/>
        <s v="Shailesh Kumar Kagot"/>
        <s v="T.Jhansi Roja"/>
        <s v="Hind Granites Pvt Ltd"/>
        <s v="Maheshwari Mega Ventures"/>
        <s v="G.Akhilesh Hari Chand(G.Venkata Durga)"/>
        <s v="S.Nagaraju"/>
        <s v="G.S.N Suman Babu"/>
        <s v="J.Ravi"/>
        <s v="K.V.S Prasad"/>
        <s v="M.Narsimha Reddy"/>
        <s v="Dupati Lakshmi Tirumala Devi"/>
        <s v="M.Raja Rajeshwari"/>
        <s v="D.R Srinivas"/>
        <s v="P.Ram Mohan rao"/>
        <s v="K.Vedalatha (Pravasthi)"/>
        <s v="Harshavardhan"/>
        <s v="M.Bhagyalatha"/>
        <s v="P.Sundaraiah"/>
        <s v="K.Laxmi Priya"/>
        <s v="D.Srinadh Reddy"/>
        <s v="K.Krishna Murthy"/>
        <s v="Y.Venkataiah"/>
        <s v="Venkanna"/>
        <s v="N.V Ravinder"/>
        <s v="N.Sreenath"/>
        <s v="P.Chandrahamsa"/>
        <s v="P.Rishi Kumar(Aruna)"/>
        <s v="Rakesh Naidu &amp; Kavitha"/>
        <s v="Sujoy Sen"/>
        <s v="K.Venkata Narayana"/>
        <s v="H.Jaya Sri"/>
        <s v="K.Sreenee"/>
        <s v="Sridevi"/>
        <s v="Y.Saritha"/>
        <s v="Rajesh Babu"/>
        <s v="Y.Ratnakar"/>
        <s v="K.Srinivasulu"/>
        <s v="L.Anitha"/>
        <s v="Hari Shankar"/>
        <s v="M.Sunitha"/>
        <s v="N.Sujana &amp; K.Navath"/>
        <s v="K.Lok Sudhir"/>
        <s v="T.V.V Satyanarayana"/>
        <s v="R.Ranganath"/>
        <s v="Nistasa Venkata Satya"/>
        <s v="Medida Vijaya Gouri"/>
        <s v="N.Sree Rama Krishna"/>
        <s v="Navin Deshpande"/>
        <s v="K.Ratna Kumari"/>
        <s v="E.Lalitha"/>
        <s v="B.Lakshmi Sai Kumari"/>
        <s v="P.Koteshwar Rao"/>
        <s v="D.Prasad Rao"/>
        <s v="Harish Reddy"/>
        <s v="G.Ponnari &amp; Anil Kumar"/>
        <s v="B.Srinivas"/>
        <s v="Reshma Vennela (Sriram)"/>
        <s v="Neo Poly Industries"/>
        <s v="Lakshmi Infra Tech India(Lakshmi Sterling)"/>
        <s v="Nayan Constructions (Nayan's Natures Serene)"/>
        <s v="Prime Estates Developers(UBER Heights)"/>
        <s v="Ragamayee &amp; Sudhakar"/>
        <s v="K.Krishna Chaitanya"/>
        <s v="Shivaji Saragadam"/>
        <s v="Kishore Kumar "/>
        <s v="Sahithi Infratech Ventures Pvt Ltd"/>
        <s v="Ameer Ali Baig"/>
        <s v="Giridhari Homes Pvt Ltd"/>
        <s v="Sandeep Gamini"/>
        <s v="G.Venu Gopala Swamy"/>
        <s v="S.Shiva Kumar"/>
        <s v="S.Vijaya Lakshmi"/>
        <s v="Ramesh Reddy"/>
        <s v="S.V Mona Chary"/>
        <s v="Surekha Ravi Kiran"/>
        <s v="Karunakaran"/>
        <s v="Karvy Comtrade Ltd"/>
        <s v="Chakrapani"/>
        <s v="Hari Babu"/>
        <s v="Jaya Sheela"/>
        <s v="M.Sreekanth"/>
        <s v="Gangaiah"/>
        <s v="Induri Srinivas"/>
        <s v="Amarnath"/>
        <s v="Surender Kumar"/>
        <s v="N.Ravinder"/>
        <s v="Ch.Raju"/>
        <s v="S.P Pallavi"/>
        <s v="S.Srinivas Rao"/>
        <s v="Sourab sukla"/>
        <s v="Ravinder Reddy"/>
        <s v="Anantha Lakshmi"/>
        <s v="T.Vijayanand Reddy"/>
        <s v="Deepak Raj"/>
        <s v="Venu"/>
        <s v="Krishnaveni"/>
        <s v="Naseem Ullah Baig"/>
        <s v="Bhaskara Chary"/>
        <s v="G.Umesh Reddy"/>
        <s v="Dinesh Reddy"/>
        <s v="S.Divya Rekha"/>
        <s v="C.Vani "/>
        <s v="Y.Narayana"/>
        <s v="Manish"/>
        <s v="S.Venkateshwarlu"/>
        <s v="P.Yasaswini"/>
        <s v="G.Chandra Shekar Reddy"/>
        <s v="D.Narsimha Rao"/>
        <s v="E.S Pradeep Kumar"/>
        <s v="V.Mahesh"/>
        <s v="G.Neelakanta Swamy"/>
        <s v="K.Nagaiah"/>
        <s v="G.Madhusudhan Reddy"/>
        <s v="M.Ramya Priya"/>
        <s v="Bhavanam Saidu"/>
        <s v="Chandu Saidulu"/>
        <s v="J.Vamshi Vishwanath"/>
        <s v="P.Sunitha"/>
        <s v="G.A Narender"/>
        <s v="K.Jaya"/>
        <s v="Venkat Ramana"/>
        <s v="S.Srinivas"/>
        <s v="K.Srivalli"/>
        <s v="Joseph"/>
        <s v="K.Shyam Prasad"/>
        <s v="Harish Goud"/>
        <s v="Yamini"/>
        <s v="N.Vijay Kumar"/>
        <s v="R.Laxmi"/>
        <s v="C.Raja Srikar Karthik"/>
        <s v="Sanil Francis"/>
        <s v="A.Sivaram"/>
        <s v="Suresh Srinivasa"/>
        <s v="Harini Reddy"/>
        <s v="Shyam Prasad"/>
        <s v="K.Uma Devi"/>
        <s v="K.Srikanth"/>
        <s v="K.Nageshwar Rao"/>
        <s v="T.Vamshi"/>
        <s v="Sri Lekha"/>
        <s v="Padma"/>
        <s v="A.Karthik Reddy"/>
        <s v="Dr.Vinod"/>
        <s v="Prashanth"/>
        <s v="B.Naga Vankata Satya Lakshmi"/>
        <s v="Naresh Krishna"/>
        <s v="Santosh (Nagaraju)"/>
        <s v="B.Vinayak Rao"/>
        <s v="Jan Reddy"/>
        <s v="Gayathri"/>
        <s v="B.Pushpalatha"/>
        <s v="Dinesh Singh"/>
        <s v="Suvarnamma"/>
        <s v="Panduranga Vittal Kumar"/>
        <s v="Swamy Sumana"/>
        <s v="Anantha Chary"/>
        <s v="Srinivas Raju"/>
        <s v="T.Lakshana"/>
        <s v="M.Harish Reddy"/>
        <s v="M.Venkateshwarlu"/>
        <s v="Kranthi Pothuri"/>
        <s v="Srinivas Reddy &amp; Vijay"/>
        <s v="G.Sunil Chander"/>
        <s v="D.Sridevi(Tejaswini)"/>
        <s v="Balachandra"/>
        <s v="M.Devaraju"/>
        <s v="Siddartha"/>
        <s v="Gulam Maqbool Ahmed"/>
        <s v="M.Sandeep"/>
        <s v="A.Santhosh Padma"/>
        <s v="M.Narsingh Rao"/>
        <s v="Kasulabada Krishna"/>
        <s v="M.Chandra Shekar"/>
        <s v="K.Lalitha Moudgalya"/>
        <s v="Someshwara Rao"/>
        <s v="Varahi Pharma"/>
        <s v="Pappu Ram"/>
        <s v="Y.Srigovind"/>
        <s v="E.Kishore Kumar"/>
        <s v="E.Narsimha"/>
        <s v="Kalavathi Devi"/>
        <s v="Premier Agencies"/>
        <s v="Mohd Tajuddin"/>
        <s v="Gouri Shankar"/>
        <s v="Manish Prabhu"/>
        <s v="Narsimha"/>
        <s v="R.Vidya Sagar"/>
        <s v="K.G Varghase"/>
        <s v="R.Komaraiah"/>
        <s v="Zareena Begum"/>
        <s v="Baddu Singh"/>
        <s v="G.Usha Rani"/>
        <s v="Rashmi Reddy"/>
        <s v="N.Alfred Sinatra Moses"/>
        <s v="O.Bharath"/>
        <s v="G.Jalender Reddy"/>
        <s v="Ali Thaher"/>
        <s v="P.Prasad Reddy"/>
        <s v="M.Jakeera Sultana"/>
        <s v="Kamalavathi"/>
        <s v="Narsimha Raju"/>
        <s v="Mohan Srinivas"/>
        <s v="B.Rama Laxmamma"/>
        <s v="Silica Ceramica"/>
        <s v="Veera Krishna"/>
        <s v="G.Siddappa"/>
        <s v="Om Sai Bairewes"/>
        <s v="S.Pavan Kishore"/>
        <s v="M.Ramaiah"/>
        <s v="Narasimha Sastry"/>
        <s v="Haseena"/>
        <s v="A.Rama Krishna"/>
        <s v="S &amp;S Green Projects"/>
        <s v="Pulla Reddy"/>
        <s v="K.Jagadeeshwar Rao"/>
        <s v="Pulya Nair"/>
        <s v="R.V Padmavathi"/>
        <s v="A.Sita Ramulu"/>
        <s v="Ravi &amp; Prathiba"/>
        <s v="P.Shankara Chary"/>
        <s v="Kamakshi"/>
        <s v="Akbar Khan"/>
        <s v="H.Ajendra"/>
        <s v="P.Shantamma"/>
        <s v="Satyanarayana"/>
        <s v="M.Swaroopa"/>
        <s v="I.Lakshmi Narsavva"/>
        <s v="Th.Shoba Rani"/>
        <s v="D.Mallesh"/>
        <s v="Ravi Kumar"/>
        <s v="Anand Kumar"/>
        <s v="Shoba Yadav"/>
        <s v="Munish Rao"/>
        <s v="P.Madhavi"/>
        <s v="Manvitha"/>
        <s v="Sushmitha"/>
        <s v="Raja Shekar"/>
        <s v="Goda Swathi"/>
        <s v="Ajay Kumar"/>
        <s v="P.Laxmi Ganapathi"/>
        <s v="Sheshank"/>
        <s v="S.Ramesh"/>
        <s v="D.Ashritha"/>
        <s v="Rajeshwarappa"/>
        <s v="Shashikala"/>
        <s v="Nagender "/>
        <s v="M.Ahmed"/>
        <s v="K.Usha Sri"/>
        <s v="Prameela"/>
        <s v="Savera Wines(Prameela)"/>
        <s v="Srinivas Goud"/>
        <s v="M.Praveen"/>
        <s v="B.N.R Construction"/>
        <s v="Ajendra "/>
        <s v="T.Priyanka"/>
        <s v="T.Rahul"/>
        <s v="D.Rama Murthy"/>
        <s v="Mahendra Babu"/>
        <s v="SARK Heights"/>
        <s v="Shubam Sharma"/>
        <s v="Ravindra Kumar Sharma"/>
        <s v="Karthik"/>
        <s v="Balaji Jewellers"/>
        <s v="Chennai Shopping Mall"/>
        <s v="MA.Rafeeq"/>
        <s v="Y.Sathi Reddy"/>
        <s v="Prakash Vithoba Shenvi"/>
        <s v="G.Durga Prasad"/>
        <s v="N.Swarupa Rani"/>
        <s v="J.Suguna"/>
        <s v="Madhusudan Madani"/>
        <s v="V.Savithri"/>
        <s v="S.Maheshwari"/>
        <s v="G.Sushma"/>
        <s v="Naga Lakshmi"/>
        <s v="V.Sridhar Reddy"/>
        <s v="P.Venkateshwara"/>
        <s v="B.Bala Krishna"/>
        <s v="P.Chandra Malleshwar Reddy"/>
        <s v="M.Raghavender Rao"/>
      </sharedItems>
    </cacheField>
    <cacheField name="Valuation Amt." numFmtId="3">
      <sharedItems containsSemiMixedTypes="0" containsString="0" containsNumber="1" containsInteger="1" minValue="0" maxValue="4884483000"/>
    </cacheField>
    <cacheField name="Property At" numFmtId="0">
      <sharedItems count="1">
        <s v="-"/>
      </sharedItems>
    </cacheField>
    <cacheField name="Loan Type" numFmtId="0">
      <sharedItems count="28">
        <s v="Education"/>
        <s v="Over Due"/>
        <s v="Revaluation"/>
        <s v="-"/>
        <s v="Mortgage"/>
        <s v="Housing"/>
        <s v="Estimation"/>
        <s v="Take Over"/>
        <s v="Stage of Const."/>
        <s v="HL(Top-Up)"/>
        <s v="Completion"/>
        <s v="Visa"/>
        <s v="Private Valuation"/>
        <s v="Home Cash"/>
        <s v="Top Up"/>
        <s v="Cash Credit"/>
        <s v="Project"/>
        <s v="CL"/>
        <s v="Home Equity"/>
        <s v="RM"/>
        <s v="Security"/>
        <s v="Reality"/>
        <s v="Solvancy Report"/>
        <s v="RL"/>
        <s v="CS"/>
        <s v="Bank Purpose"/>
        <s v="Private"/>
        <s v="Construction"/>
      </sharedItems>
    </cacheField>
    <cacheField name="Bank" numFmtId="0">
      <sharedItems count="15">
        <s v="Vijaya"/>
        <s v="TGB"/>
        <s v="SBI"/>
        <s v="UBI"/>
        <s v="SBT"/>
        <s v="Axis"/>
        <s v="SBM"/>
        <s v="BOI"/>
        <s v="Syndicate"/>
        <s v="Canara"/>
        <s v="SME-SBI"/>
        <s v="Cosmos"/>
        <s v="Indian"/>
        <s v="SBH"/>
        <s v="SBP"/>
      </sharedItems>
    </cacheField>
    <cacheField name="Branch" numFmtId="0">
      <sharedItems count="343">
        <s v="Banjara Hills"/>
        <s v="Medchal"/>
        <s v="Sangareddy"/>
        <s v="Nallakunta"/>
        <s v="Tandur"/>
        <s v="MJ Road"/>
        <s v="Motinagar"/>
        <s v="Habsiguda"/>
        <s v="Jubilee Hills"/>
        <s v="Madhapur"/>
        <s v="Gandhi Nagar"/>
        <s v="ARM(Basheerbagh)"/>
        <s v="Narayan Guda"/>
        <s v="Nacharam"/>
        <s v="Charminar"/>
        <s v="Karmanghat"/>
        <s v="Gachibowli"/>
        <s v="Thumkunta"/>
        <s v="Basheerbagh"/>
        <s v="Bank Street"/>
        <s v="Ameerpet"/>
        <s v="Kukatpally"/>
        <s v="ECIL"/>
        <s v="Dilshuknagar"/>
        <s v="Hubsiguda"/>
        <s v="Narayanguda"/>
        <s v="-"/>
        <s v="Mangalaparthi"/>
        <s v="M.J Raod"/>
        <s v="V.N Colony"/>
        <s v="Gurramguda"/>
        <s v="Vijayanagar Colony"/>
        <s v="Malakpet"/>
        <s v="Srinagar colony"/>
        <s v="Bhaseerbagh"/>
        <s v="SD ROAD"/>
        <s v="Ongole"/>
        <s v="SR Nagar"/>
        <s v="R.P Road"/>
        <s v="Adarshanagar"/>
        <s v="Macha Bollaram"/>
        <s v="RACPC-III"/>
        <s v="Parsigutta"/>
        <s v="G.K Colony"/>
        <s v="Hasthinapuram"/>
        <s v="Badangpet"/>
        <s v="Toli Chouki"/>
        <s v="RTC Kalyanamandapam"/>
        <s v="Prashanth Nagar"/>
        <s v="Isnapoor"/>
        <s v="Pragathi Nagar"/>
        <s v="Lothukunta"/>
        <s v="Panjagutta"/>
        <s v="C Zech Colony"/>
        <s v="Bandlaguda"/>
        <s v="RACPC-Moulali"/>
        <s v="RACPC-Abids"/>
        <s v="Defence Colony"/>
        <s v="Yapral"/>
        <s v="Alkapuri Colony"/>
        <s v="Himayatnagar"/>
        <s v="SLST"/>
        <s v="Lunger House"/>
        <s v="Vinayak Nagar"/>
        <s v="General Bazar"/>
        <s v="Gayatri Nagar(Jillelguda)"/>
        <s v="Ghatkesar"/>
        <s v="Jillelguda"/>
        <s v="Ismailkhanpet"/>
        <s v="Nakkalagutta(Hanamkonda)"/>
        <s v="shbad"/>
        <s v="Old Bowenpally"/>
        <s v="West Maredpally"/>
        <s v="Patny"/>
        <s v="Shamshergunj"/>
        <s v="Gudimalkapur"/>
        <s v="Kama Reddy"/>
        <s v="Venkatapuram"/>
        <s v="Gaddiannaram"/>
        <s v="Kavadiguda"/>
        <s v="Shabad"/>
        <s v="Ramanthapur"/>
        <s v="Loan Point(Saifabad)"/>
        <s v="Saifabad"/>
        <s v="Loan Point"/>
        <s v="Loan Point(Jubilee Hills)"/>
        <s v="PKR"/>
        <s v="S.D Road"/>
        <s v="Gouliguda"/>
        <s v="(Loan Point)Jubilee Hills"/>
        <s v="Loan Point(Lakdi Kapool)"/>
        <s v="Loan Point(Madhapur)"/>
        <s v="Station Road"/>
        <s v="St Road"/>
        <s v="Lakdi Kapool"/>
        <s v="Loan Pont"/>
        <s v="St.Road"/>
        <s v="RTC X Road"/>
        <s v="Belvesta Branch"/>
        <s v="Koti"/>
        <s v="Zonal Office"/>
        <s v="Aleru"/>
        <s v="Raj Bhavan Road"/>
        <s v="Ramanthapur(Loan Point)"/>
        <s v="Siddipet"/>
        <s v="SME-Secunderabad"/>
        <s v="SME-Vizag"/>
        <s v="SME"/>
        <s v="CBB"/>
        <s v="SME-II"/>
        <s v="New Vidyanagar"/>
        <s v="Shalivahana Nagar"/>
        <s v="RACPC-Secunderabad"/>
        <s v="Gayatri Nagar"/>
        <s v="OSF-Shi**"/>
        <s v="Lothkunta"/>
        <s v="Ram Koti"/>
        <s v="Kakatiya Nagar"/>
        <s v="Rallaguda"/>
        <s v="ARK"/>
        <s v="Main Branch"/>
        <s v="Chikkadapally"/>
        <s v="Sheri Lingampally"/>
        <s v="SME-Secunderbad"/>
        <s v="KPHB Colony"/>
        <s v="KPHB"/>
        <s v="Khairatabad"/>
        <s v="L.B.Nagar"/>
        <s v="Injapur"/>
        <s v="Kachiguda"/>
        <s v="L.B Nagar"/>
        <s v="Kamala Nagar"/>
        <s v="S.P Road"/>
        <s v="Rajendra Nagar"/>
        <s v="Income Tax Colony"/>
        <s v="Balapur"/>
        <s v="NFC"/>
        <s v="Old MLA Quarters"/>
        <s v="Secretarait"/>
        <s v="LB Nagar"/>
        <s v="RACPC"/>
        <s v="Aliabad "/>
        <s v="Ashok Nagar"/>
        <s v="Miyapur"/>
        <s v="Moosarambagh"/>
        <s v="Amberpet"/>
        <s v="Barkathpura"/>
        <s v="Bakaram"/>
        <s v="Baghlingampalli"/>
        <s v="Kaveri Hills"/>
        <s v="Survaypet"/>
        <s v="Temple Street"/>
        <s v="Adibatla"/>
        <s v="Siripuram"/>
        <s v="Gowliguda "/>
        <s v="King Koti"/>
        <s v="Amberpet(RACPC--3)"/>
        <s v="Domalguda"/>
        <s v="D.D Colony"/>
        <s v="RACPC-I"/>
        <s v="R.K Puram"/>
        <s v="Cheryal"/>
        <s v="Osmangunj"/>
        <s v="Koti Main"/>
        <s v="Chowtuppal"/>
        <s v="Old Malakpet"/>
        <s v="Chandrayangutta"/>
        <s v="Kharmanghat"/>
        <s v="Ramnagar"/>
        <s v="Begumpet"/>
        <s v="Sripuram"/>
        <s v="RACPC-II"/>
        <s v="Miryalguda"/>
        <s v="Koti Main Branch"/>
        <s v="Saroornagar"/>
        <s v="Anand Nagar"/>
        <s v="Singapur Township"/>
        <s v="Hayathnagar"/>
        <s v="Siripuram Colony"/>
        <s v="Vijayapuri Colony"/>
        <s v="Chiragali Lane"/>
        <s v="RCI-Branch"/>
        <s v="Jeedimetla"/>
        <s v="S.D.Road"/>
        <s v="Meerpet"/>
        <s v="Alwal"/>
        <s v="Bahadurpura"/>
        <s v="Sitarambagh"/>
        <s v="Bora Banda"/>
        <s v="Khairtabad"/>
        <s v="R.K Mutt"/>
        <s v="Bandla Guda"/>
        <s v="Chaitanyapuri"/>
        <s v="Neredmet"/>
        <s v="Maleshian Town Ship"/>
        <s v="Nagaram"/>
        <s v="Abids"/>
        <s v="PBB-Masabtank"/>
        <s v="Mallapally"/>
        <s v="RACPC-IV"/>
        <s v="HLST-II"/>
        <s v="Nallagandla"/>
        <s v="Barkas"/>
        <s v="PBB-Dilshuknagar"/>
        <s v="Red Hills"/>
        <s v="Secunderabad"/>
        <s v="Eluru"/>
        <s v="Paradise Branch"/>
        <s v="Parishram Bhavan"/>
        <s v="Lower Tankbund"/>
        <s v="Golden Jubilee"/>
        <s v="HLST-III"/>
        <s v="Corporate Salary"/>
        <s v="Serilingampally"/>
        <s v="Hyd Main Branch"/>
        <s v="Masabtank"/>
        <s v="RACPC-I(PBB Red Hills)"/>
        <s v="M.G Road"/>
        <s v="Kavuri Hills"/>
        <s v="Yellareddyguda"/>
        <s v="PBB-Banjarahills"/>
        <s v="Yousafguda"/>
        <s v="Golden Bowenpally"/>
        <s v="PBB-Film Nagar"/>
        <s v="Langer House"/>
        <s v="PBB FILMNAGAR"/>
        <s v="Padmarao Nagar"/>
        <s v="HLST-I"/>
        <s v="Parisram Branch"/>
        <s v="RACPC-II,Kondapur"/>
        <s v="PBB-Golden Jubilee"/>
        <s v="Budvel"/>
        <s v="PBB-Masab Tank"/>
        <s v="SME-Nacharam"/>
        <s v="SME-Balanagar"/>
        <s v="SME-Dilshuknagar"/>
        <s v="Jeedimetla Ind."/>
        <s v="Jallaram"/>
        <s v="SME-Kattedan"/>
        <s v="PBB-Kukatpally"/>
        <s v="Vijayawada"/>
        <s v="MG Road"/>
        <s v="SME-Dilkshuknagar"/>
        <s v="SARC"/>
        <s v="Chennai"/>
        <s v="SME-Hyderabad"/>
        <s v="SME-Nizamabad"/>
        <s v="Balkmpet"/>
        <s v="Kompally"/>
        <s v="Kakateeya Nagar"/>
        <s v="Bhagyanagar Colony"/>
        <s v="Gajjanagudla(Guntur)"/>
        <s v="SMECC Patny"/>
        <s v="SME-KOLKATTA"/>
        <s v="Medak"/>
        <s v="RACPC-Secbad"/>
        <s v="Uppal"/>
        <s v="Mohan nagar"/>
        <s v="Shameerpet"/>
        <s v="RACPC-CYBARABAD"/>
        <s v="East Maredpally"/>
        <s v="Kottaguda"/>
        <s v="IICT"/>
        <s v="Kushaiguda"/>
        <s v="Moulali"/>
        <s v="Medipally"/>
        <s v="Ramanthapur ( racpc-cyberabad)"/>
        <s v="Suchitra"/>
        <s v="Gruhakalpa"/>
        <s v="Gunfoundary"/>
        <s v="SMECCC"/>
        <s v="Saraswathi nagar"/>
        <s v="Padhma Rao Nagar"/>
        <s v="Completion"/>
        <s v="IIT-GACHIBOWLI"/>
        <s v="Vikrampuri"/>
        <s v="Somajiguda"/>
        <s v="NCC-Sangareddy"/>
        <s v="Manikonda"/>
        <s v="Madinaguda"/>
        <s v="II T Branch"/>
        <s v="Open university"/>
        <s v="Sadashiv Pet"/>
        <s v="Kavidi guda"/>
        <s v="East Anandbag"/>
        <s v="Padma Rao Nagar"/>
        <s v="Budhera"/>
        <s v="Banglore"/>
        <s v="A.S Rao Nagar"/>
        <s v="Patancheru"/>
        <s v="Lakdikapul"/>
        <s v="Shamshabad"/>
        <s v="Manchiryela"/>
        <s v="Punjagutta(RACPC-Cyberabad"/>
        <s v="Punjagutta"/>
        <s v="S.R Nagar"/>
        <s v="SME-CBB"/>
        <s v="Khairathabad"/>
        <s v="Kakatiyanagar"/>
        <s v="Bimavaram"/>
        <s v="Banjarahills"/>
        <s v="Ismail Khanpet"/>
        <s v="Mominpet"/>
        <s v="Kurnool "/>
        <s v="SBI-MAIN -BR"/>
        <s v="Region-III"/>
        <s v="RAPC-II"/>
        <s v="Mansoorabad"/>
        <s v="Gun Foundary"/>
        <s v="Tulasinagar"/>
        <s v="Himayathnagar"/>
        <s v="Venkgalrao Nagar"/>
        <s v="Hastinapuram"/>
        <s v="Secunderabad Main Branch"/>
        <s v="P.D Colony"/>
        <s v="Warangal"/>
        <s v="Gandhinagar"/>
        <s v="Vidyanagar"/>
        <s v="Humayun Nagar"/>
        <s v="A C Guard"/>
        <s v="Shivalingapuram"/>
        <s v="Mahendra-Hills"/>
        <s v="Hasthinapur"/>
        <s v="Suryapet"/>
        <s v="Saroor Nagar"/>
        <s v="NRI"/>
        <s v="Tirumalgiri"/>
        <s v="Jeedimetla IND"/>
        <s v="Attapur"/>
        <s v="Pathergatti"/>
        <s v="Chanda Nagar"/>
        <s v="Kondapur"/>
        <s v="Lingampally"/>
        <s v="J-HILLS"/>
        <s v="Dairy Form Road"/>
        <s v="Mallapur"/>
        <s v="Jubilee Hills(Loan Point)"/>
        <s v="Loan Point(Lakdikapool)"/>
        <s v="Nellore"/>
        <s v="Jubileehills"/>
        <s v="Survey of India"/>
        <s v="Shivannaguda"/>
        <s v="Mangalparthi"/>
      </sharedItems>
    </cacheField>
    <cacheField name="RACPC S.No." numFmtId="0">
      <sharedItems/>
    </cacheField>
    <cacheField name="Mediator" numFmtId="0">
      <sharedItems count="56">
        <s v="-"/>
        <s v="Bhaskar Reddy"/>
        <s v="SR"/>
        <s v="RM"/>
        <s v="Timurthy"/>
        <s v="Tirumurthy"/>
        <s v="Suspense"/>
        <s v="Kiran Cabs"/>
        <s v="Sagar"/>
        <s v="Chiranjeev"/>
        <s v="Janardhan"/>
        <s v="Tirupathi"/>
        <s v="R.K"/>
        <s v="Sammaiah"/>
        <s v="Ibrahim"/>
        <s v="Farooq"/>
        <s v="K.Ramesh"/>
        <s v="Ramulu"/>
        <s v="Perimalu"/>
        <s v="HSR"/>
        <s v="Hari Prasad"/>
        <s v="Mahesh Bala"/>
        <s v="Nagesh"/>
        <s v="Madhu"/>
        <s v="Bhaskar"/>
        <s v="Nagaraju"/>
        <s v="Devender"/>
        <s v="Prasad"/>
        <s v="Eshwar Reddy"/>
        <s v="Anupam"/>
        <s v="Sridevi"/>
        <s v="Komal"/>
        <s v="MSR"/>
        <s v="Nagaiah"/>
        <s v="Rajesh"/>
        <s v="Srinivas"/>
        <s v="Rasheed"/>
        <s v="Vijay"/>
        <s v="Mahender Babu"/>
        <s v="BM"/>
        <s v="Buchaiah"/>
        <s v="AGM"/>
        <s v="Nanda Gopal"/>
        <s v="Sheshagiri"/>
        <s v="Vidya Sagar"/>
        <s v="Shiva"/>
        <s v="Kamal"/>
        <s v="Varma"/>
        <s v="Rakesh"/>
        <s v="Rajesh Kumar"/>
        <s v="Anand"/>
        <s v="Hara Hari"/>
        <s v="Karan"/>
        <s v="Manohar"/>
        <s v="Vasathi"/>
        <s v="Ramana"/>
      </sharedItems>
    </cacheField>
    <cacheField name="Executive" numFmtId="0">
      <sharedItems count="5">
        <s v="Ganesh"/>
        <s v="Mahesh"/>
        <s v="Pradeep"/>
        <s v="Kiran"/>
        <s v="Srinivas"/>
      </sharedItems>
    </cacheField>
    <cacheField name="Inspected" numFmtId="0">
      <sharedItems count="26">
        <s v="-"/>
        <s v="Ramesh"/>
        <s v="Ganesh"/>
        <s v="Ravi"/>
        <s v="Vijay"/>
        <s v="Mahesh"/>
        <s v="Naveen"/>
        <s v="Naveen&amp; Mahesh"/>
        <s v="Satya Prakash"/>
        <s v="Manish"/>
        <s v="Srinivas"/>
        <s v="Nagarjuna"/>
        <s v="Shailaja"/>
        <s v="Venkatesh"/>
        <s v="Laxman"/>
        <s v="Pradeep"/>
        <s v="Kiran"/>
        <s v="Lalith Mohan"/>
        <s v="Madhu"/>
        <s v="Srikanth"/>
        <s v="Mahender"/>
        <s v="Manohar"/>
        <s v="Krishna"/>
        <s v="Sai baba"/>
        <s v="Sridhar"/>
        <s v="***"/>
      </sharedItems>
    </cacheField>
    <cacheField name="Operator" numFmtId="0">
      <sharedItems containsBlank="1"/>
    </cacheField>
    <cacheField name="Form Status" numFmtId="0">
      <sharedItems/>
    </cacheField>
    <cacheField name="Remarks" numFmtId="0">
      <sharedItems/>
    </cacheField>
    <cacheField name="Pay. Date" numFmtId="169">
      <sharedItems containsDate="1" containsMixedTypes="1" minDate="2017-05-01T00:00:00" maxDate="2017-07-01T00:00:00"/>
    </cacheField>
    <cacheField name="Pay. Type" numFmtId="0">
      <sharedItems/>
    </cacheField>
    <cacheField name="Pay. Cheque No. " numFmtId="0">
      <sharedItems/>
    </cacheField>
    <cacheField name="Pay. Amt." numFmtId="3">
      <sharedItems containsSemiMixedTypes="0" containsString="0" containsNumber="1" containsInteger="1" minValue="0" maxValue="77000"/>
    </cacheField>
    <cacheField name="Pay. Status" numFmtId="0">
      <sharedItems count="14">
        <s v="Paid"/>
        <s v="-"/>
        <s v="Due"/>
        <s v="Pending"/>
        <s v="File In Office"/>
        <s v="Double Entry"/>
        <s v="No Status"/>
        <s v="Reject"/>
        <s v="Adv/Paid"/>
        <s v="Adv/Paid/Reject"/>
        <s v="Wrong Entry"/>
        <s v="Adv/Paid/Pending"/>
        <s v="Adv/Paid/NoStatus"/>
        <s v="Paid/Reject"/>
      </sharedItems>
    </cacheField>
    <cacheField name="BB Inward No." numFmtId="0">
      <sharedItems containsMixedTypes="1" containsNumber="1" containsInteger="1" minValue="1000" maxValue="10000"/>
    </cacheField>
    <cacheField name="Fee Amt." numFmtId="3">
      <sharedItems containsSemiMixedTypes="0" containsString="0" containsNumber="1" containsInteger="1" minValue="0" maxValue="40000"/>
    </cacheField>
    <cacheField name="Pay. Remarks" numFmtId="0">
      <sharedItems/>
    </cacheField>
    <cacheField name="Signature" numFmtId="164">
      <sharedItems count="3">
        <s v="Yes"/>
        <s v="-"/>
        <s v="No"/>
      </sharedItems>
    </cacheField>
    <cacheField name="Colours" numFmtId="0">
      <sharedItems count="1">
        <s v="R"/>
      </sharedItems>
    </cacheField>
  </cacheFields>
  <extLst>
    <ext xmlns:x14="http://schemas.microsoft.com/office/spreadsheetml/2009/9/main" uri="{725AE2AE-9491-48be-B2B4-4EB974FC3084}">
      <x14:pivotCacheDefinition pivotCacheId="3"/>
    </ext>
  </extLst>
</pivotCacheDefinition>
</file>

<file path=xl/pivotCache/pivotCacheRecords1.xml><?xml version="1.0" encoding="utf-8"?>
<pivotCacheRecords xmlns="http://schemas.openxmlformats.org/spreadsheetml/2006/main" xmlns:r="http://schemas.openxmlformats.org/officeDocument/2006/relationships" count="1574">
  <r>
    <n v="1"/>
    <x v="0"/>
    <s v="-"/>
    <x v="0"/>
    <s v="-"/>
    <x v="0"/>
    <n v="0"/>
    <x v="0"/>
    <x v="0"/>
    <x v="0"/>
    <x v="0"/>
    <s v="-"/>
    <x v="0"/>
    <x v="0"/>
    <x v="0"/>
    <s v="Neelima"/>
    <s v="-"/>
    <s v="-"/>
    <d v="2017-06-07T00:00:00"/>
    <s v="Bank"/>
    <s v="-"/>
    <n v="3000"/>
    <x v="0"/>
    <s v="-"/>
    <n v="0"/>
    <s v="-"/>
    <x v="0"/>
    <x v="0"/>
  </r>
  <r>
    <n v="2"/>
    <x v="1"/>
    <s v="-"/>
    <x v="0"/>
    <s v="-"/>
    <x v="1"/>
    <n v="0"/>
    <x v="0"/>
    <x v="1"/>
    <x v="0"/>
    <x v="1"/>
    <s v="-"/>
    <x v="0"/>
    <x v="0"/>
    <x v="0"/>
    <s v="Sowjanya"/>
    <s v="-"/>
    <s v="-"/>
    <s v="-"/>
    <s v="-"/>
    <s v="-"/>
    <n v="0"/>
    <x v="1"/>
    <s v="-"/>
    <n v="0"/>
    <s v="-"/>
    <x v="1"/>
    <x v="0"/>
  </r>
  <r>
    <n v="3"/>
    <x v="2"/>
    <s v="-"/>
    <x v="1"/>
    <s v="-"/>
    <x v="2"/>
    <n v="0"/>
    <x v="0"/>
    <x v="2"/>
    <x v="0"/>
    <x v="2"/>
    <s v="-"/>
    <x v="0"/>
    <x v="0"/>
    <x v="0"/>
    <s v="Usha Latha"/>
    <s v="-"/>
    <s v="-"/>
    <d v="2017-06-20T00:00:00"/>
    <s v="Bank"/>
    <s v="-"/>
    <n v="2000"/>
    <x v="0"/>
    <s v="-"/>
    <n v="0"/>
    <s v="-"/>
    <x v="0"/>
    <x v="0"/>
  </r>
  <r>
    <n v="4"/>
    <x v="3"/>
    <s v="-"/>
    <x v="1"/>
    <s v="-"/>
    <x v="3"/>
    <n v="0"/>
    <x v="0"/>
    <x v="2"/>
    <x v="0"/>
    <x v="2"/>
    <s v="-"/>
    <x v="0"/>
    <x v="0"/>
    <x v="0"/>
    <s v="Rajeshwari"/>
    <s v="-"/>
    <s v="-"/>
    <d v="2017-06-20T00:00:00"/>
    <s v="Bank"/>
    <s v="-"/>
    <n v="2000"/>
    <x v="0"/>
    <s v="-"/>
    <n v="0"/>
    <s v="-"/>
    <x v="0"/>
    <x v="0"/>
  </r>
  <r>
    <n v="5"/>
    <x v="4"/>
    <s v="-"/>
    <x v="1"/>
    <s v="-"/>
    <x v="4"/>
    <n v="0"/>
    <x v="0"/>
    <x v="2"/>
    <x v="0"/>
    <x v="2"/>
    <s v="-"/>
    <x v="0"/>
    <x v="0"/>
    <x v="0"/>
    <s v="Yamini"/>
    <s v="-"/>
    <s v="-"/>
    <d v="2017-06-20T00:00:00"/>
    <s v="Bank"/>
    <s v="-"/>
    <n v="2000"/>
    <x v="0"/>
    <s v="-"/>
    <n v="0"/>
    <s v="-"/>
    <x v="0"/>
    <x v="0"/>
  </r>
  <r>
    <n v="6"/>
    <x v="5"/>
    <s v="-"/>
    <x v="1"/>
    <s v="-"/>
    <x v="5"/>
    <n v="0"/>
    <x v="0"/>
    <x v="3"/>
    <x v="0"/>
    <x v="3"/>
    <s v="-"/>
    <x v="0"/>
    <x v="0"/>
    <x v="1"/>
    <s v="B.Shailaja"/>
    <s v="-"/>
    <s v="-"/>
    <s v="-"/>
    <s v="-"/>
    <s v="-"/>
    <n v="0"/>
    <x v="1"/>
    <s v="-"/>
    <n v="0"/>
    <s v="-"/>
    <x v="1"/>
    <x v="0"/>
  </r>
  <r>
    <n v="7"/>
    <x v="6"/>
    <s v="-"/>
    <x v="1"/>
    <s v="-"/>
    <x v="6"/>
    <n v="0"/>
    <x v="0"/>
    <x v="3"/>
    <x v="0"/>
    <x v="3"/>
    <s v="-"/>
    <x v="0"/>
    <x v="0"/>
    <x v="1"/>
    <s v="N.Shailaja"/>
    <s v="-"/>
    <s v="-"/>
    <s v="-"/>
    <s v="-"/>
    <s v="-"/>
    <n v="0"/>
    <x v="1"/>
    <s v="-"/>
    <n v="0"/>
    <s v="-"/>
    <x v="1"/>
    <x v="0"/>
  </r>
  <r>
    <n v="8"/>
    <x v="7"/>
    <s v="-"/>
    <x v="0"/>
    <s v="-"/>
    <x v="7"/>
    <n v="0"/>
    <x v="0"/>
    <x v="4"/>
    <x v="0"/>
    <x v="4"/>
    <s v="-"/>
    <x v="0"/>
    <x v="0"/>
    <x v="2"/>
    <s v="Sai"/>
    <s v="-"/>
    <s v="-"/>
    <d v="2017-06-30T00:00:00"/>
    <s v="Bank"/>
    <s v="-"/>
    <n v="3000"/>
    <x v="0"/>
    <s v="-"/>
    <n v="0"/>
    <s v="-"/>
    <x v="0"/>
    <x v="0"/>
  </r>
  <r>
    <n v="9"/>
    <x v="8"/>
    <s v="-"/>
    <x v="0"/>
    <s v="-"/>
    <x v="8"/>
    <n v="0"/>
    <x v="0"/>
    <x v="5"/>
    <x v="0"/>
    <x v="4"/>
    <s v="-"/>
    <x v="0"/>
    <x v="0"/>
    <x v="2"/>
    <s v="Rajini"/>
    <s v="-"/>
    <s v="-"/>
    <s v="-"/>
    <s v="-"/>
    <s v="-"/>
    <n v="0"/>
    <x v="1"/>
    <s v="-"/>
    <n v="0"/>
    <s v="-"/>
    <x v="1"/>
    <x v="0"/>
  </r>
  <r>
    <n v="10"/>
    <x v="9"/>
    <s v="-"/>
    <x v="0"/>
    <s v="-"/>
    <x v="9"/>
    <n v="0"/>
    <x v="0"/>
    <x v="5"/>
    <x v="0"/>
    <x v="4"/>
    <s v="-"/>
    <x v="0"/>
    <x v="0"/>
    <x v="2"/>
    <s v="Leena"/>
    <s v="-"/>
    <s v="-"/>
    <d v="2017-06-30T00:00:00"/>
    <s v="Bank"/>
    <s v="-"/>
    <n v="6000"/>
    <x v="0"/>
    <s v="-"/>
    <n v="0"/>
    <s v="-"/>
    <x v="0"/>
    <x v="0"/>
  </r>
  <r>
    <n v="11"/>
    <x v="10"/>
    <s v="-"/>
    <x v="2"/>
    <s v="-"/>
    <x v="10"/>
    <n v="0"/>
    <x v="0"/>
    <x v="2"/>
    <x v="0"/>
    <x v="5"/>
    <s v="-"/>
    <x v="0"/>
    <x v="0"/>
    <x v="2"/>
    <s v="Priyanka"/>
    <s v="-"/>
    <s v="-"/>
    <d v="2017-06-23T00:00:00"/>
    <s v="Bank"/>
    <s v="-"/>
    <n v="5000"/>
    <x v="0"/>
    <s v="-"/>
    <n v="0"/>
    <s v="-"/>
    <x v="0"/>
    <x v="0"/>
  </r>
  <r>
    <n v="12"/>
    <x v="11"/>
    <s v="-"/>
    <x v="2"/>
    <s v="-"/>
    <x v="11"/>
    <n v="0"/>
    <x v="0"/>
    <x v="0"/>
    <x v="0"/>
    <x v="3"/>
    <s v="-"/>
    <x v="0"/>
    <x v="0"/>
    <x v="2"/>
    <s v="Madhu"/>
    <s v="-"/>
    <s v="-"/>
    <d v="2017-06-20T00:00:00"/>
    <s v="Bank"/>
    <s v="-"/>
    <n v="4000"/>
    <x v="0"/>
    <s v="-"/>
    <n v="0"/>
    <s v="-"/>
    <x v="0"/>
    <x v="0"/>
  </r>
  <r>
    <n v="13"/>
    <x v="12"/>
    <s v="-"/>
    <x v="2"/>
    <s v="-"/>
    <x v="12"/>
    <n v="0"/>
    <x v="0"/>
    <x v="6"/>
    <x v="0"/>
    <x v="6"/>
    <s v="-"/>
    <x v="0"/>
    <x v="0"/>
    <x v="0"/>
    <s v="Neelima"/>
    <s v="-"/>
    <s v="-"/>
    <s v="-"/>
    <s v="-"/>
    <s v="-"/>
    <n v="0"/>
    <x v="1"/>
    <s v="-"/>
    <n v="0"/>
    <s v="-"/>
    <x v="1"/>
    <x v="0"/>
  </r>
  <r>
    <n v="14"/>
    <x v="13"/>
    <s v="-"/>
    <x v="2"/>
    <s v="-"/>
    <x v="13"/>
    <n v="0"/>
    <x v="0"/>
    <x v="5"/>
    <x v="0"/>
    <x v="7"/>
    <s v="-"/>
    <x v="0"/>
    <x v="0"/>
    <x v="2"/>
    <s v="Sowjanya"/>
    <s v="-"/>
    <s v="-"/>
    <d v="2017-06-12T00:00:00"/>
    <s v="Cash"/>
    <s v="-"/>
    <n v="3500"/>
    <x v="0"/>
    <s v="-"/>
    <n v="0"/>
    <s v="-"/>
    <x v="0"/>
    <x v="0"/>
  </r>
  <r>
    <n v="15"/>
    <x v="14"/>
    <s v="-"/>
    <x v="3"/>
    <s v="-"/>
    <x v="14"/>
    <n v="0"/>
    <x v="0"/>
    <x v="5"/>
    <x v="0"/>
    <x v="8"/>
    <s v="-"/>
    <x v="0"/>
    <x v="0"/>
    <x v="2"/>
    <s v="Usha Latha"/>
    <s v="-"/>
    <s v="-"/>
    <s v="-"/>
    <s v="-"/>
    <s v="-"/>
    <n v="0"/>
    <x v="1"/>
    <s v="-"/>
    <n v="0"/>
    <s v="-"/>
    <x v="1"/>
    <x v="0"/>
  </r>
  <r>
    <n v="16"/>
    <x v="15"/>
    <s v="-"/>
    <x v="3"/>
    <s v="-"/>
    <x v="12"/>
    <n v="0"/>
    <x v="0"/>
    <x v="5"/>
    <x v="0"/>
    <x v="6"/>
    <s v="-"/>
    <x v="0"/>
    <x v="0"/>
    <x v="2"/>
    <s v="Rajeshwari"/>
    <s v="-"/>
    <s v="-"/>
    <s v="-"/>
    <s v="-"/>
    <s v="-"/>
    <n v="0"/>
    <x v="1"/>
    <s v="-"/>
    <n v="0"/>
    <s v="-"/>
    <x v="1"/>
    <x v="0"/>
  </r>
  <r>
    <n v="17"/>
    <x v="16"/>
    <s v="-"/>
    <x v="4"/>
    <s v="-"/>
    <x v="15"/>
    <n v="0"/>
    <x v="0"/>
    <x v="7"/>
    <x v="0"/>
    <x v="9"/>
    <s v="-"/>
    <x v="0"/>
    <x v="0"/>
    <x v="2"/>
    <s v="Yamini"/>
    <s v="-"/>
    <s v="-"/>
    <s v="-"/>
    <s v="-"/>
    <s v="-"/>
    <n v="0"/>
    <x v="1"/>
    <s v="-"/>
    <n v="0"/>
    <s v="-"/>
    <x v="1"/>
    <x v="0"/>
  </r>
  <r>
    <n v="18"/>
    <x v="17"/>
    <s v="-"/>
    <x v="4"/>
    <s v="-"/>
    <x v="16"/>
    <n v="0"/>
    <x v="0"/>
    <x v="2"/>
    <x v="0"/>
    <x v="9"/>
    <s v="-"/>
    <x v="0"/>
    <x v="0"/>
    <x v="2"/>
    <s v="B.Shailaja"/>
    <s v="-"/>
    <s v="-"/>
    <s v="-"/>
    <s v="-"/>
    <s v="-"/>
    <n v="0"/>
    <x v="1"/>
    <s v="-"/>
    <n v="0"/>
    <s v="-"/>
    <x v="1"/>
    <x v="0"/>
  </r>
  <r>
    <n v="19"/>
    <x v="18"/>
    <s v="-"/>
    <x v="5"/>
    <s v="-"/>
    <x v="17"/>
    <n v="0"/>
    <x v="0"/>
    <x v="0"/>
    <x v="0"/>
    <x v="10"/>
    <s v="-"/>
    <x v="0"/>
    <x v="0"/>
    <x v="2"/>
    <s v="N.Shailaja"/>
    <s v="-"/>
    <s v="-"/>
    <s v="-"/>
    <s v="-"/>
    <s v="-"/>
    <n v="0"/>
    <x v="1"/>
    <s v="-"/>
    <n v="0"/>
    <s v="-"/>
    <x v="1"/>
    <x v="0"/>
  </r>
  <r>
    <n v="20"/>
    <x v="19"/>
    <s v="-"/>
    <x v="5"/>
    <s v="-"/>
    <x v="18"/>
    <n v="0"/>
    <x v="0"/>
    <x v="3"/>
    <x v="0"/>
    <x v="11"/>
    <s v="-"/>
    <x v="0"/>
    <x v="0"/>
    <x v="2"/>
    <s v="Sai"/>
    <s v="-"/>
    <s v="-"/>
    <d v="2017-06-27T00:00:00"/>
    <s v="Bank"/>
    <s v="-"/>
    <n v="1350"/>
    <x v="0"/>
    <s v="-"/>
    <n v="0"/>
    <s v="-"/>
    <x v="0"/>
    <x v="0"/>
  </r>
  <r>
    <n v="21"/>
    <x v="20"/>
    <s v="-"/>
    <x v="5"/>
    <s v="-"/>
    <x v="19"/>
    <n v="0"/>
    <x v="0"/>
    <x v="3"/>
    <x v="0"/>
    <x v="11"/>
    <s v="-"/>
    <x v="0"/>
    <x v="0"/>
    <x v="2"/>
    <s v="Rajini"/>
    <s v="-"/>
    <s v="-"/>
    <d v="2017-06-27T00:00:00"/>
    <s v="Bank"/>
    <s v="-"/>
    <n v="1350"/>
    <x v="0"/>
    <s v="-"/>
    <n v="0"/>
    <s v="-"/>
    <x v="0"/>
    <x v="0"/>
  </r>
  <r>
    <n v="22"/>
    <x v="21"/>
    <s v="-"/>
    <x v="5"/>
    <s v="-"/>
    <x v="20"/>
    <n v="0"/>
    <x v="0"/>
    <x v="8"/>
    <x v="0"/>
    <x v="12"/>
    <s v="-"/>
    <x v="0"/>
    <x v="0"/>
    <x v="2"/>
    <s v="Leena"/>
    <s v="-"/>
    <s v="-"/>
    <d v="2017-06-17T00:00:00"/>
    <s v="Bank"/>
    <s v="-"/>
    <n v="1500"/>
    <x v="0"/>
    <s v="-"/>
    <n v="0"/>
    <s v="-"/>
    <x v="0"/>
    <x v="0"/>
  </r>
  <r>
    <n v="23"/>
    <x v="22"/>
    <s v="-"/>
    <x v="6"/>
    <s v="-"/>
    <x v="21"/>
    <n v="0"/>
    <x v="0"/>
    <x v="3"/>
    <x v="0"/>
    <x v="0"/>
    <s v="-"/>
    <x v="0"/>
    <x v="0"/>
    <x v="2"/>
    <s v="Priyanka"/>
    <s v="-"/>
    <s v="-"/>
    <s v="-"/>
    <s v="-"/>
    <s v="-"/>
    <n v="0"/>
    <x v="1"/>
    <s v="-"/>
    <n v="0"/>
    <s v="-"/>
    <x v="1"/>
    <x v="0"/>
  </r>
  <r>
    <n v="24"/>
    <x v="23"/>
    <s v="-"/>
    <x v="6"/>
    <s v="-"/>
    <x v="22"/>
    <n v="0"/>
    <x v="0"/>
    <x v="7"/>
    <x v="0"/>
    <x v="10"/>
    <s v="-"/>
    <x v="0"/>
    <x v="0"/>
    <x v="1"/>
    <s v="Madhu"/>
    <s v="-"/>
    <s v="-"/>
    <s v="-"/>
    <s v="-"/>
    <s v="-"/>
    <n v="0"/>
    <x v="1"/>
    <s v="-"/>
    <n v="0"/>
    <s v="-"/>
    <x v="1"/>
    <x v="0"/>
  </r>
  <r>
    <n v="25"/>
    <x v="24"/>
    <s v="-"/>
    <x v="7"/>
    <s v="-"/>
    <x v="23"/>
    <n v="0"/>
    <x v="0"/>
    <x v="5"/>
    <x v="0"/>
    <x v="13"/>
    <s v="-"/>
    <x v="0"/>
    <x v="0"/>
    <x v="2"/>
    <s v="Neelima"/>
    <s v="-"/>
    <s v="-"/>
    <d v="2017-06-27T00:00:00"/>
    <s v="Bank"/>
    <s v="-"/>
    <n v="4500"/>
    <x v="0"/>
    <s v="-"/>
    <n v="0"/>
    <s v="-"/>
    <x v="0"/>
    <x v="0"/>
  </r>
  <r>
    <n v="26"/>
    <x v="25"/>
    <s v="-"/>
    <x v="7"/>
    <s v="-"/>
    <x v="24"/>
    <n v="0"/>
    <x v="0"/>
    <x v="5"/>
    <x v="0"/>
    <x v="14"/>
    <s v="-"/>
    <x v="0"/>
    <x v="0"/>
    <x v="2"/>
    <s v="Sowjanya"/>
    <s v="-"/>
    <s v="-"/>
    <s v="-"/>
    <s v="-"/>
    <s v="-"/>
    <n v="0"/>
    <x v="1"/>
    <s v="-"/>
    <n v="0"/>
    <s v="-"/>
    <x v="1"/>
    <x v="0"/>
  </r>
  <r>
    <n v="27"/>
    <x v="26"/>
    <s v="-"/>
    <x v="7"/>
    <s v="-"/>
    <x v="25"/>
    <n v="0"/>
    <x v="0"/>
    <x v="5"/>
    <x v="0"/>
    <x v="15"/>
    <s v="-"/>
    <x v="0"/>
    <x v="0"/>
    <x v="2"/>
    <s v="Usha Latha"/>
    <s v="-"/>
    <s v="-"/>
    <s v="-"/>
    <s v="-"/>
    <s v="-"/>
    <n v="0"/>
    <x v="1"/>
    <s v="-"/>
    <n v="0"/>
    <s v="-"/>
    <x v="1"/>
    <x v="0"/>
  </r>
  <r>
    <n v="28"/>
    <x v="27"/>
    <s v="-"/>
    <x v="7"/>
    <s v="-"/>
    <x v="26"/>
    <n v="0"/>
    <x v="0"/>
    <x v="2"/>
    <x v="0"/>
    <x v="6"/>
    <s v="-"/>
    <x v="0"/>
    <x v="0"/>
    <x v="3"/>
    <s v="Rajeshwari"/>
    <s v="-"/>
    <s v="-"/>
    <s v="-"/>
    <s v="-"/>
    <s v="-"/>
    <n v="0"/>
    <x v="1"/>
    <s v="-"/>
    <n v="0"/>
    <s v="-"/>
    <x v="1"/>
    <x v="0"/>
  </r>
  <r>
    <n v="29"/>
    <x v="28"/>
    <s v="-"/>
    <x v="8"/>
    <s v="-"/>
    <x v="27"/>
    <n v="0"/>
    <x v="0"/>
    <x v="9"/>
    <x v="0"/>
    <x v="16"/>
    <s v="-"/>
    <x v="0"/>
    <x v="0"/>
    <x v="2"/>
    <s v="Yamini"/>
    <s v="-"/>
    <s v="-"/>
    <s v="-"/>
    <s v="-"/>
    <s v="-"/>
    <n v="0"/>
    <x v="1"/>
    <s v="-"/>
    <n v="0"/>
    <s v="-"/>
    <x v="1"/>
    <x v="0"/>
  </r>
  <r>
    <n v="30"/>
    <x v="29"/>
    <s v="-"/>
    <x v="8"/>
    <s v="-"/>
    <x v="28"/>
    <n v="0"/>
    <x v="0"/>
    <x v="5"/>
    <x v="0"/>
    <x v="12"/>
    <s v="-"/>
    <x v="0"/>
    <x v="0"/>
    <x v="2"/>
    <s v="B.Shailaja"/>
    <s v="-"/>
    <s v="-"/>
    <s v="-"/>
    <s v="-"/>
    <s v="-"/>
    <n v="0"/>
    <x v="1"/>
    <s v="-"/>
    <n v="0"/>
    <s v="-"/>
    <x v="1"/>
    <x v="0"/>
  </r>
  <r>
    <n v="31"/>
    <x v="30"/>
    <s v="-"/>
    <x v="8"/>
    <s v="-"/>
    <x v="29"/>
    <n v="0"/>
    <x v="0"/>
    <x v="2"/>
    <x v="0"/>
    <x v="6"/>
    <s v="-"/>
    <x v="0"/>
    <x v="0"/>
    <x v="4"/>
    <s v="N.Shailaja"/>
    <s v="-"/>
    <s v="-"/>
    <s v="-"/>
    <s v="-"/>
    <s v="-"/>
    <n v="0"/>
    <x v="1"/>
    <s v="-"/>
    <n v="0"/>
    <s v="-"/>
    <x v="1"/>
    <x v="0"/>
  </r>
  <r>
    <n v="32"/>
    <x v="31"/>
    <s v="-"/>
    <x v="8"/>
    <s v="-"/>
    <x v="30"/>
    <n v="0"/>
    <x v="0"/>
    <x v="1"/>
    <x v="0"/>
    <x v="6"/>
    <s v="-"/>
    <x v="0"/>
    <x v="0"/>
    <x v="4"/>
    <s v="Sai"/>
    <s v="-"/>
    <s v="-"/>
    <s v="-"/>
    <s v="-"/>
    <s v="-"/>
    <n v="0"/>
    <x v="1"/>
    <s v="-"/>
    <n v="0"/>
    <s v="-"/>
    <x v="1"/>
    <x v="0"/>
  </r>
  <r>
    <n v="33"/>
    <x v="32"/>
    <s v="-"/>
    <x v="9"/>
    <s v="-"/>
    <x v="31"/>
    <n v="0"/>
    <x v="0"/>
    <x v="2"/>
    <x v="0"/>
    <x v="10"/>
    <s v="-"/>
    <x v="0"/>
    <x v="0"/>
    <x v="4"/>
    <s v="Rajini"/>
    <s v="-"/>
    <s v="-"/>
    <d v="2017-06-29T00:00:00"/>
    <s v="Bank"/>
    <s v="-"/>
    <n v="2000"/>
    <x v="0"/>
    <s v="-"/>
    <n v="0"/>
    <s v="-"/>
    <x v="0"/>
    <x v="0"/>
  </r>
  <r>
    <n v="34"/>
    <x v="33"/>
    <s v="-"/>
    <x v="9"/>
    <s v="-"/>
    <x v="32"/>
    <n v="0"/>
    <x v="0"/>
    <x v="5"/>
    <x v="0"/>
    <x v="17"/>
    <s v="-"/>
    <x v="0"/>
    <x v="0"/>
    <x v="2"/>
    <s v="Leena"/>
    <s v="-"/>
    <s v="-"/>
    <s v="-"/>
    <s v="-"/>
    <s v="-"/>
    <n v="0"/>
    <x v="1"/>
    <s v="-"/>
    <n v="0"/>
    <s v="-"/>
    <x v="1"/>
    <x v="0"/>
  </r>
  <r>
    <n v="35"/>
    <x v="34"/>
    <s v="-"/>
    <x v="9"/>
    <s v="-"/>
    <x v="33"/>
    <n v="0"/>
    <x v="0"/>
    <x v="5"/>
    <x v="0"/>
    <x v="17"/>
    <s v="-"/>
    <x v="0"/>
    <x v="0"/>
    <x v="2"/>
    <s v="Priyanka"/>
    <s v="-"/>
    <s v="-"/>
    <s v="-"/>
    <s v="-"/>
    <s v="-"/>
    <n v="0"/>
    <x v="1"/>
    <s v="-"/>
    <n v="0"/>
    <s v="-"/>
    <x v="1"/>
    <x v="0"/>
  </r>
  <r>
    <n v="36"/>
    <x v="35"/>
    <s v="-"/>
    <x v="10"/>
    <s v="-"/>
    <x v="34"/>
    <n v="0"/>
    <x v="0"/>
    <x v="1"/>
    <x v="0"/>
    <x v="18"/>
    <s v="-"/>
    <x v="0"/>
    <x v="0"/>
    <x v="2"/>
    <s v="Madhu"/>
    <s v="-"/>
    <s v="-"/>
    <d v="2017-06-30T00:00:00"/>
    <s v="Bank"/>
    <s v="-"/>
    <n v="7000"/>
    <x v="0"/>
    <s v="-"/>
    <n v="0"/>
    <s v="-"/>
    <x v="0"/>
    <x v="0"/>
  </r>
  <r>
    <n v="37"/>
    <x v="36"/>
    <s v="-"/>
    <x v="10"/>
    <s v="-"/>
    <x v="35"/>
    <n v="0"/>
    <x v="0"/>
    <x v="5"/>
    <x v="0"/>
    <x v="18"/>
    <s v="-"/>
    <x v="0"/>
    <x v="0"/>
    <x v="4"/>
    <s v="Neelima"/>
    <s v="-"/>
    <s v="-"/>
    <s v="-"/>
    <s v="-"/>
    <s v="-"/>
    <n v="0"/>
    <x v="1"/>
    <s v="-"/>
    <n v="0"/>
    <s v="-"/>
    <x v="1"/>
    <x v="0"/>
  </r>
  <r>
    <n v="38"/>
    <x v="37"/>
    <s v="-"/>
    <x v="11"/>
    <s v="-"/>
    <x v="36"/>
    <n v="0"/>
    <x v="0"/>
    <x v="2"/>
    <x v="0"/>
    <x v="6"/>
    <s v="-"/>
    <x v="0"/>
    <x v="0"/>
    <x v="4"/>
    <s v="Sowjanya"/>
    <s v="-"/>
    <s v="-"/>
    <s v="-"/>
    <s v="-"/>
    <s v="-"/>
    <n v="0"/>
    <x v="1"/>
    <s v="-"/>
    <n v="0"/>
    <s v="-"/>
    <x v="1"/>
    <x v="0"/>
  </r>
  <r>
    <n v="39"/>
    <x v="38"/>
    <s v="-"/>
    <x v="11"/>
    <s v="-"/>
    <x v="37"/>
    <n v="0"/>
    <x v="0"/>
    <x v="3"/>
    <x v="0"/>
    <x v="3"/>
    <s v="-"/>
    <x v="0"/>
    <x v="0"/>
    <x v="2"/>
    <s v="Usha Latha"/>
    <s v="-"/>
    <s v="-"/>
    <s v="-"/>
    <s v="-"/>
    <s v="-"/>
    <n v="0"/>
    <x v="1"/>
    <s v="-"/>
    <n v="0"/>
    <s v="-"/>
    <x v="1"/>
    <x v="0"/>
  </r>
  <r>
    <n v="40"/>
    <x v="39"/>
    <s v="-"/>
    <x v="11"/>
    <s v="-"/>
    <x v="38"/>
    <n v="0"/>
    <x v="0"/>
    <x v="10"/>
    <x v="0"/>
    <x v="12"/>
    <s v="-"/>
    <x v="0"/>
    <x v="0"/>
    <x v="0"/>
    <s v="Rajeshwari"/>
    <s v="-"/>
    <s v="-"/>
    <s v="-"/>
    <s v="-"/>
    <s v="-"/>
    <n v="0"/>
    <x v="1"/>
    <s v="-"/>
    <n v="0"/>
    <s v="-"/>
    <x v="1"/>
    <x v="0"/>
  </r>
  <r>
    <n v="41"/>
    <x v="40"/>
    <s v="-"/>
    <x v="12"/>
    <s v="-"/>
    <x v="39"/>
    <n v="0"/>
    <x v="0"/>
    <x v="2"/>
    <x v="0"/>
    <x v="19"/>
    <s v="-"/>
    <x v="0"/>
    <x v="0"/>
    <x v="2"/>
    <s v="Yamini"/>
    <s v="-"/>
    <s v="-"/>
    <s v="-"/>
    <s v="-"/>
    <s v="-"/>
    <n v="0"/>
    <x v="2"/>
    <s v="-"/>
    <n v="0"/>
    <s v="-"/>
    <x v="0"/>
    <x v="0"/>
  </r>
  <r>
    <n v="42"/>
    <x v="41"/>
    <s v="-"/>
    <x v="12"/>
    <s v="-"/>
    <x v="40"/>
    <n v="0"/>
    <x v="0"/>
    <x v="5"/>
    <x v="0"/>
    <x v="20"/>
    <s v="-"/>
    <x v="0"/>
    <x v="0"/>
    <x v="2"/>
    <s v="B.Shailaja"/>
    <s v="-"/>
    <s v="-"/>
    <s v="-"/>
    <s v="-"/>
    <s v="-"/>
    <n v="0"/>
    <x v="2"/>
    <s v="-"/>
    <n v="0"/>
    <s v="-"/>
    <x v="0"/>
    <x v="0"/>
  </r>
  <r>
    <n v="43"/>
    <x v="42"/>
    <s v="-"/>
    <x v="12"/>
    <s v="-"/>
    <x v="41"/>
    <n v="0"/>
    <x v="0"/>
    <x v="10"/>
    <x v="0"/>
    <x v="2"/>
    <s v="-"/>
    <x v="0"/>
    <x v="0"/>
    <x v="2"/>
    <s v="N.Shailaja"/>
    <s v="-"/>
    <s v="-"/>
    <s v="-"/>
    <s v="-"/>
    <s v="-"/>
    <n v="0"/>
    <x v="2"/>
    <s v="-"/>
    <n v="0"/>
    <s v="-"/>
    <x v="0"/>
    <x v="0"/>
  </r>
  <r>
    <n v="44"/>
    <x v="43"/>
    <s v="-"/>
    <x v="13"/>
    <s v="-"/>
    <x v="42"/>
    <n v="0"/>
    <x v="0"/>
    <x v="3"/>
    <x v="0"/>
    <x v="21"/>
    <s v="-"/>
    <x v="0"/>
    <x v="0"/>
    <x v="2"/>
    <s v="Sai"/>
    <s v="-"/>
    <s v="-"/>
    <s v="-"/>
    <s v="-"/>
    <s v="-"/>
    <n v="0"/>
    <x v="2"/>
    <s v="-"/>
    <n v="0"/>
    <s v="-"/>
    <x v="0"/>
    <x v="0"/>
  </r>
  <r>
    <n v="45"/>
    <x v="44"/>
    <s v="-"/>
    <x v="14"/>
    <s v="-"/>
    <x v="43"/>
    <n v="0"/>
    <x v="0"/>
    <x v="2"/>
    <x v="0"/>
    <x v="19"/>
    <s v="-"/>
    <x v="0"/>
    <x v="0"/>
    <x v="2"/>
    <s v="Rajini"/>
    <s v="-"/>
    <s v="-"/>
    <s v="-"/>
    <s v="-"/>
    <s v="-"/>
    <n v="0"/>
    <x v="2"/>
    <s v="-"/>
    <n v="0"/>
    <s v="-"/>
    <x v="0"/>
    <x v="0"/>
  </r>
  <r>
    <n v="46"/>
    <x v="45"/>
    <s v="-"/>
    <x v="15"/>
    <s v="-"/>
    <x v="44"/>
    <n v="0"/>
    <x v="0"/>
    <x v="5"/>
    <x v="0"/>
    <x v="3"/>
    <s v="-"/>
    <x v="0"/>
    <x v="0"/>
    <x v="2"/>
    <s v="Leena"/>
    <s v="-"/>
    <s v="-"/>
    <s v="-"/>
    <s v="-"/>
    <s v="-"/>
    <n v="0"/>
    <x v="2"/>
    <s v="-"/>
    <n v="0"/>
    <s v="-"/>
    <x v="0"/>
    <x v="0"/>
  </r>
  <r>
    <n v="47"/>
    <x v="46"/>
    <s v="-"/>
    <x v="16"/>
    <s v="-"/>
    <x v="45"/>
    <n v="0"/>
    <x v="0"/>
    <x v="5"/>
    <x v="0"/>
    <x v="22"/>
    <s v="-"/>
    <x v="0"/>
    <x v="0"/>
    <x v="2"/>
    <s v="Priyanka"/>
    <s v="-"/>
    <s v="-"/>
    <s v="-"/>
    <s v="-"/>
    <s v="-"/>
    <n v="0"/>
    <x v="2"/>
    <s v="-"/>
    <n v="0"/>
    <s v="-"/>
    <x v="0"/>
    <x v="0"/>
  </r>
  <r>
    <n v="48"/>
    <x v="47"/>
    <s v="-"/>
    <x v="16"/>
    <s v="-"/>
    <x v="46"/>
    <n v="0"/>
    <x v="0"/>
    <x v="1"/>
    <x v="0"/>
    <x v="21"/>
    <s v="-"/>
    <x v="0"/>
    <x v="0"/>
    <x v="2"/>
    <s v="Madhu"/>
    <s v="-"/>
    <s v="-"/>
    <s v="-"/>
    <s v="-"/>
    <s v="-"/>
    <n v="0"/>
    <x v="2"/>
    <s v="-"/>
    <n v="0"/>
    <s v="-"/>
    <x v="0"/>
    <x v="0"/>
  </r>
  <r>
    <n v="49"/>
    <x v="48"/>
    <s v="-"/>
    <x v="17"/>
    <s v="-"/>
    <x v="47"/>
    <n v="0"/>
    <x v="0"/>
    <x v="5"/>
    <x v="0"/>
    <x v="19"/>
    <s v="-"/>
    <x v="0"/>
    <x v="0"/>
    <x v="2"/>
    <s v="Neelima"/>
    <s v="-"/>
    <s v="-"/>
    <s v="-"/>
    <s v="-"/>
    <s v="-"/>
    <n v="0"/>
    <x v="2"/>
    <s v="-"/>
    <n v="0"/>
    <s v="-"/>
    <x v="0"/>
    <x v="0"/>
  </r>
  <r>
    <n v="50"/>
    <x v="49"/>
    <s v="-"/>
    <x v="18"/>
    <s v="-"/>
    <x v="48"/>
    <n v="0"/>
    <x v="0"/>
    <x v="5"/>
    <x v="0"/>
    <x v="20"/>
    <s v="-"/>
    <x v="0"/>
    <x v="0"/>
    <x v="2"/>
    <s v="Sowjanya"/>
    <s v="-"/>
    <s v="-"/>
    <s v="-"/>
    <s v="-"/>
    <s v="-"/>
    <n v="0"/>
    <x v="2"/>
    <s v="-"/>
    <n v="0"/>
    <s v="-"/>
    <x v="0"/>
    <x v="0"/>
  </r>
  <r>
    <n v="51"/>
    <x v="50"/>
    <s v="-"/>
    <x v="18"/>
    <s v="-"/>
    <x v="49"/>
    <n v="0"/>
    <x v="0"/>
    <x v="5"/>
    <x v="0"/>
    <x v="20"/>
    <s v="-"/>
    <x v="0"/>
    <x v="0"/>
    <x v="2"/>
    <s v="Usha Latha"/>
    <s v="-"/>
    <s v="-"/>
    <s v="-"/>
    <s v="-"/>
    <s v="-"/>
    <n v="0"/>
    <x v="2"/>
    <s v="-"/>
    <n v="0"/>
    <s v="-"/>
    <x v="0"/>
    <x v="0"/>
  </r>
  <r>
    <n v="52"/>
    <x v="51"/>
    <s v="-"/>
    <x v="18"/>
    <s v="-"/>
    <x v="50"/>
    <n v="0"/>
    <x v="0"/>
    <x v="5"/>
    <x v="0"/>
    <x v="20"/>
    <s v="-"/>
    <x v="0"/>
    <x v="0"/>
    <x v="2"/>
    <s v="Rajeshwari"/>
    <s v="-"/>
    <s v="-"/>
    <s v="-"/>
    <s v="-"/>
    <s v="-"/>
    <n v="0"/>
    <x v="2"/>
    <s v="-"/>
    <n v="0"/>
    <s v="-"/>
    <x v="0"/>
    <x v="0"/>
  </r>
  <r>
    <n v="53"/>
    <x v="52"/>
    <s v="-"/>
    <x v="19"/>
    <s v="-"/>
    <x v="51"/>
    <n v="0"/>
    <x v="0"/>
    <x v="2"/>
    <x v="0"/>
    <x v="10"/>
    <s v="-"/>
    <x v="0"/>
    <x v="0"/>
    <x v="3"/>
    <s v="Yamini"/>
    <s v="-"/>
    <s v="-"/>
    <s v="-"/>
    <s v="-"/>
    <s v="-"/>
    <n v="0"/>
    <x v="2"/>
    <s v="-"/>
    <n v="0"/>
    <s v="-"/>
    <x v="0"/>
    <x v="0"/>
  </r>
  <r>
    <n v="54"/>
    <x v="53"/>
    <s v="-"/>
    <x v="19"/>
    <s v="-"/>
    <x v="52"/>
    <n v="0"/>
    <x v="0"/>
    <x v="2"/>
    <x v="0"/>
    <x v="17"/>
    <s v="-"/>
    <x v="0"/>
    <x v="0"/>
    <x v="2"/>
    <s v="B.Shailaja"/>
    <s v="-"/>
    <s v="-"/>
    <s v="-"/>
    <s v="-"/>
    <s v="-"/>
    <n v="0"/>
    <x v="2"/>
    <s v="-"/>
    <n v="0"/>
    <s v="-"/>
    <x v="0"/>
    <x v="0"/>
  </r>
  <r>
    <n v="55"/>
    <x v="54"/>
    <s v="-"/>
    <x v="19"/>
    <s v="-"/>
    <x v="53"/>
    <n v="0"/>
    <x v="0"/>
    <x v="5"/>
    <x v="0"/>
    <x v="3"/>
    <s v="-"/>
    <x v="0"/>
    <x v="0"/>
    <x v="2"/>
    <s v="N.Shailaja"/>
    <s v="-"/>
    <s v="-"/>
    <s v="-"/>
    <s v="-"/>
    <s v="-"/>
    <n v="0"/>
    <x v="2"/>
    <s v="-"/>
    <n v="0"/>
    <s v="-"/>
    <x v="0"/>
    <x v="0"/>
  </r>
  <r>
    <n v="56"/>
    <x v="55"/>
    <s v="-"/>
    <x v="20"/>
    <s v="-"/>
    <x v="54"/>
    <n v="0"/>
    <x v="0"/>
    <x v="5"/>
    <x v="0"/>
    <x v="9"/>
    <s v="-"/>
    <x v="0"/>
    <x v="0"/>
    <x v="2"/>
    <s v="Sai"/>
    <s v="-"/>
    <s v="-"/>
    <s v="-"/>
    <s v="-"/>
    <s v="-"/>
    <n v="0"/>
    <x v="2"/>
    <s v="-"/>
    <n v="0"/>
    <s v="-"/>
    <x v="0"/>
    <x v="0"/>
  </r>
  <r>
    <n v="57"/>
    <x v="56"/>
    <s v="-"/>
    <x v="21"/>
    <s v="-"/>
    <x v="55"/>
    <n v="0"/>
    <x v="0"/>
    <x v="5"/>
    <x v="0"/>
    <x v="20"/>
    <s v="-"/>
    <x v="0"/>
    <x v="0"/>
    <x v="2"/>
    <s v="Rajini"/>
    <s v="-"/>
    <s v="-"/>
    <s v="-"/>
    <s v="-"/>
    <s v="-"/>
    <n v="0"/>
    <x v="2"/>
    <s v="-"/>
    <n v="0"/>
    <s v="-"/>
    <x v="0"/>
    <x v="0"/>
  </r>
  <r>
    <n v="58"/>
    <x v="57"/>
    <s v="-"/>
    <x v="22"/>
    <s v="-"/>
    <x v="56"/>
    <n v="0"/>
    <x v="0"/>
    <x v="5"/>
    <x v="0"/>
    <x v="1"/>
    <s v="-"/>
    <x v="0"/>
    <x v="0"/>
    <x v="2"/>
    <s v="Leena"/>
    <s v="-"/>
    <s v="-"/>
    <s v="-"/>
    <s v="-"/>
    <s v="-"/>
    <n v="0"/>
    <x v="1"/>
    <s v="-"/>
    <n v="0"/>
    <s v="-"/>
    <x v="1"/>
    <x v="0"/>
  </r>
  <r>
    <n v="59"/>
    <x v="58"/>
    <s v="-"/>
    <x v="23"/>
    <s v="-"/>
    <x v="57"/>
    <n v="0"/>
    <x v="0"/>
    <x v="0"/>
    <x v="0"/>
    <x v="23"/>
    <s v="-"/>
    <x v="0"/>
    <x v="0"/>
    <x v="1"/>
    <s v="Priyanka"/>
    <s v="-"/>
    <s v="-"/>
    <s v="-"/>
    <s v="-"/>
    <s v="-"/>
    <n v="0"/>
    <x v="2"/>
    <s v="-"/>
    <n v="0"/>
    <s v="-"/>
    <x v="0"/>
    <x v="0"/>
  </r>
  <r>
    <n v="60"/>
    <x v="59"/>
    <s v="-"/>
    <x v="24"/>
    <s v="-"/>
    <x v="58"/>
    <n v="0"/>
    <x v="0"/>
    <x v="5"/>
    <x v="0"/>
    <x v="17"/>
    <s v="-"/>
    <x v="0"/>
    <x v="0"/>
    <x v="2"/>
    <s v="Madhu"/>
    <s v="-"/>
    <s v="-"/>
    <d v="2017-06-06T00:00:00"/>
    <s v="Bank"/>
    <s v="-"/>
    <n v="6000"/>
    <x v="0"/>
    <s v="-"/>
    <n v="0"/>
    <s v="-"/>
    <x v="0"/>
    <x v="0"/>
  </r>
  <r>
    <n v="61"/>
    <x v="60"/>
    <s v="-"/>
    <x v="24"/>
    <s v="-"/>
    <x v="59"/>
    <n v="0"/>
    <x v="0"/>
    <x v="5"/>
    <x v="0"/>
    <x v="24"/>
    <s v="-"/>
    <x v="0"/>
    <x v="0"/>
    <x v="2"/>
    <s v="Neelima"/>
    <s v="-"/>
    <s v="-"/>
    <s v="-"/>
    <s v="-"/>
    <s v="-"/>
    <n v="0"/>
    <x v="2"/>
    <s v="-"/>
    <n v="0"/>
    <s v="-"/>
    <x v="0"/>
    <x v="0"/>
  </r>
  <r>
    <n v="62"/>
    <x v="61"/>
    <s v="-"/>
    <x v="25"/>
    <s v="-"/>
    <x v="60"/>
    <n v="0"/>
    <x v="0"/>
    <x v="0"/>
    <x v="0"/>
    <x v="2"/>
    <s v="-"/>
    <x v="0"/>
    <x v="0"/>
    <x v="2"/>
    <s v="Neelima"/>
    <s v="-"/>
    <s v="-"/>
    <s v="-"/>
    <s v="-"/>
    <s v="-"/>
    <n v="0"/>
    <x v="2"/>
    <s v="-"/>
    <n v="0"/>
    <s v="-"/>
    <x v="0"/>
    <x v="0"/>
  </r>
  <r>
    <n v="63"/>
    <x v="62"/>
    <s v="-"/>
    <x v="25"/>
    <s v="-"/>
    <x v="61"/>
    <n v="0"/>
    <x v="0"/>
    <x v="5"/>
    <x v="0"/>
    <x v="2"/>
    <s v="-"/>
    <x v="0"/>
    <x v="0"/>
    <x v="2"/>
    <s v="Sowjanya"/>
    <s v="-"/>
    <s v="-"/>
    <s v="-"/>
    <s v="-"/>
    <s v="-"/>
    <n v="0"/>
    <x v="2"/>
    <s v="-"/>
    <n v="0"/>
    <s v="-"/>
    <x v="0"/>
    <x v="0"/>
  </r>
  <r>
    <n v="64"/>
    <x v="63"/>
    <s v="-"/>
    <x v="26"/>
    <s v="-"/>
    <x v="62"/>
    <n v="0"/>
    <x v="0"/>
    <x v="5"/>
    <x v="0"/>
    <x v="1"/>
    <s v="-"/>
    <x v="0"/>
    <x v="0"/>
    <x v="2"/>
    <s v="Usha Latha"/>
    <s v="-"/>
    <s v="-"/>
    <s v="-"/>
    <s v="-"/>
    <s v="-"/>
    <n v="0"/>
    <x v="2"/>
    <s v="-"/>
    <n v="0"/>
    <s v="-"/>
    <x v="0"/>
    <x v="0"/>
  </r>
  <r>
    <n v="65"/>
    <x v="64"/>
    <s v="-"/>
    <x v="27"/>
    <s v="-"/>
    <x v="63"/>
    <n v="0"/>
    <x v="0"/>
    <x v="2"/>
    <x v="0"/>
    <x v="6"/>
    <s v="-"/>
    <x v="0"/>
    <x v="0"/>
    <x v="2"/>
    <s v="Rajeshwari"/>
    <s v="-"/>
    <s v="-"/>
    <d v="2017-06-16T00:00:00"/>
    <s v="Bank"/>
    <s v="-"/>
    <n v="5000"/>
    <x v="0"/>
    <s v="-"/>
    <n v="0"/>
    <s v="-"/>
    <x v="0"/>
    <x v="0"/>
  </r>
  <r>
    <n v="66"/>
    <x v="65"/>
    <s v="-"/>
    <x v="27"/>
    <s v="-"/>
    <x v="64"/>
    <n v="0"/>
    <x v="0"/>
    <x v="2"/>
    <x v="0"/>
    <x v="6"/>
    <s v="-"/>
    <x v="0"/>
    <x v="0"/>
    <x v="2"/>
    <s v="Yamini"/>
    <s v="-"/>
    <s v="-"/>
    <s v="-"/>
    <s v="-"/>
    <s v="-"/>
    <n v="0"/>
    <x v="2"/>
    <s v="-"/>
    <n v="0"/>
    <s v="-"/>
    <x v="0"/>
    <x v="0"/>
  </r>
  <r>
    <n v="67"/>
    <x v="66"/>
    <s v="-"/>
    <x v="28"/>
    <s v="-"/>
    <x v="65"/>
    <n v="0"/>
    <x v="0"/>
    <x v="5"/>
    <x v="0"/>
    <x v="19"/>
    <s v="-"/>
    <x v="0"/>
    <x v="0"/>
    <x v="2"/>
    <s v="B.Shailaja"/>
    <s v="-"/>
    <s v="-"/>
    <s v="-"/>
    <s v="-"/>
    <s v="-"/>
    <n v="0"/>
    <x v="2"/>
    <s v="-"/>
    <n v="0"/>
    <s v="-"/>
    <x v="0"/>
    <x v="0"/>
  </r>
  <r>
    <n v="68"/>
    <x v="67"/>
    <s v="-"/>
    <x v="28"/>
    <s v="-"/>
    <x v="66"/>
    <n v="0"/>
    <x v="0"/>
    <x v="0"/>
    <x v="0"/>
    <x v="19"/>
    <s v="-"/>
    <x v="0"/>
    <x v="0"/>
    <x v="2"/>
    <s v="N.Shailaja"/>
    <s v="-"/>
    <s v="-"/>
    <d v="2017-06-06T00:00:00"/>
    <s v="Bank"/>
    <s v="-"/>
    <n v="4000"/>
    <x v="0"/>
    <s v="-"/>
    <n v="0"/>
    <s v="-"/>
    <x v="0"/>
    <x v="0"/>
  </r>
  <r>
    <n v="69"/>
    <x v="68"/>
    <s v="-"/>
    <x v="28"/>
    <s v="-"/>
    <x v="67"/>
    <n v="0"/>
    <x v="0"/>
    <x v="1"/>
    <x v="0"/>
    <x v="19"/>
    <s v="-"/>
    <x v="0"/>
    <x v="0"/>
    <x v="2"/>
    <s v="Sai"/>
    <s v="-"/>
    <s v="-"/>
    <d v="2017-06-07T00:00:00"/>
    <s v="Bank"/>
    <s v="-"/>
    <n v="10000"/>
    <x v="0"/>
    <s v="-"/>
    <n v="0"/>
    <s v="-"/>
    <x v="0"/>
    <x v="0"/>
  </r>
  <r>
    <n v="70"/>
    <x v="69"/>
    <s v="-"/>
    <x v="29"/>
    <s v="-"/>
    <x v="68"/>
    <n v="0"/>
    <x v="0"/>
    <x v="4"/>
    <x v="0"/>
    <x v="25"/>
    <s v="-"/>
    <x v="0"/>
    <x v="0"/>
    <x v="2"/>
    <s v="Rajini"/>
    <s v="-"/>
    <s v="-"/>
    <s v="-"/>
    <s v="-"/>
    <s v="-"/>
    <n v="0"/>
    <x v="2"/>
    <s v="-"/>
    <n v="0"/>
    <s v="-"/>
    <x v="0"/>
    <x v="0"/>
  </r>
  <r>
    <n v="71"/>
    <x v="70"/>
    <s v="-"/>
    <x v="29"/>
    <s v="-"/>
    <x v="69"/>
    <n v="0"/>
    <x v="0"/>
    <x v="5"/>
    <x v="0"/>
    <x v="26"/>
    <s v="-"/>
    <x v="0"/>
    <x v="0"/>
    <x v="2"/>
    <s v="Leena"/>
    <s v="-"/>
    <s v="-"/>
    <s v="-"/>
    <s v="-"/>
    <s v="-"/>
    <n v="0"/>
    <x v="2"/>
    <s v="-"/>
    <n v="0"/>
    <s v="-"/>
    <x v="0"/>
    <x v="0"/>
  </r>
  <r>
    <n v="72"/>
    <x v="71"/>
    <s v="-"/>
    <x v="30"/>
    <s v="-"/>
    <x v="70"/>
    <n v="0"/>
    <x v="0"/>
    <x v="6"/>
    <x v="0"/>
    <x v="10"/>
    <s v="-"/>
    <x v="0"/>
    <x v="0"/>
    <x v="2"/>
    <s v="Priyanka"/>
    <s v="-"/>
    <s v="-"/>
    <s v="-"/>
    <s v="-"/>
    <s v="-"/>
    <n v="0"/>
    <x v="2"/>
    <s v="-"/>
    <n v="0"/>
    <s v="-"/>
    <x v="0"/>
    <x v="0"/>
  </r>
  <r>
    <n v="73"/>
    <x v="72"/>
    <s v="-"/>
    <x v="31"/>
    <s v="-"/>
    <x v="71"/>
    <n v="0"/>
    <x v="0"/>
    <x v="5"/>
    <x v="0"/>
    <x v="27"/>
    <s v="-"/>
    <x v="0"/>
    <x v="0"/>
    <x v="2"/>
    <s v="Madhu"/>
    <s v="-"/>
    <s v="-"/>
    <s v="-"/>
    <s v="-"/>
    <s v="-"/>
    <n v="0"/>
    <x v="2"/>
    <s v="-"/>
    <n v="0"/>
    <s v="-"/>
    <x v="0"/>
    <x v="0"/>
  </r>
  <r>
    <n v="74"/>
    <x v="73"/>
    <s v="-"/>
    <x v="31"/>
    <s v="-"/>
    <x v="72"/>
    <n v="0"/>
    <x v="0"/>
    <x v="1"/>
    <x v="0"/>
    <x v="28"/>
    <s v="-"/>
    <x v="0"/>
    <x v="0"/>
    <x v="2"/>
    <s v="Neelima"/>
    <s v="-"/>
    <s v="-"/>
    <s v="-"/>
    <s v="-"/>
    <s v="-"/>
    <n v="0"/>
    <x v="2"/>
    <s v="-"/>
    <n v="0"/>
    <s v="-"/>
    <x v="0"/>
    <x v="0"/>
  </r>
  <r>
    <n v="75"/>
    <x v="74"/>
    <s v="-"/>
    <x v="31"/>
    <s v="-"/>
    <x v="73"/>
    <n v="0"/>
    <x v="0"/>
    <x v="5"/>
    <x v="0"/>
    <x v="15"/>
    <s v="-"/>
    <x v="0"/>
    <x v="0"/>
    <x v="2"/>
    <s v="Sowjanya"/>
    <s v="-"/>
    <s v="-"/>
    <d v="2017-06-07T00:00:00"/>
    <s v="Bank"/>
    <s v="-"/>
    <n v="4000"/>
    <x v="0"/>
    <s v="-"/>
    <n v="0"/>
    <s v="-"/>
    <x v="0"/>
    <x v="0"/>
  </r>
  <r>
    <n v="76"/>
    <x v="75"/>
    <s v="-"/>
    <x v="32"/>
    <s v="-"/>
    <x v="74"/>
    <n v="0"/>
    <x v="0"/>
    <x v="2"/>
    <x v="0"/>
    <x v="29"/>
    <s v="-"/>
    <x v="0"/>
    <x v="0"/>
    <x v="2"/>
    <s v="Usha Latha"/>
    <s v="-"/>
    <s v="-"/>
    <s v="-"/>
    <s v="-"/>
    <s v="-"/>
    <n v="0"/>
    <x v="2"/>
    <s v="-"/>
    <n v="0"/>
    <s v="-"/>
    <x v="0"/>
    <x v="0"/>
  </r>
  <r>
    <n v="77"/>
    <x v="76"/>
    <s v="-"/>
    <x v="33"/>
    <s v="-"/>
    <x v="75"/>
    <n v="0"/>
    <x v="0"/>
    <x v="5"/>
    <x v="0"/>
    <x v="2"/>
    <s v="-"/>
    <x v="0"/>
    <x v="0"/>
    <x v="2"/>
    <s v="Rajeshwari"/>
    <s v="-"/>
    <s v="-"/>
    <d v="2017-06-09T00:00:00"/>
    <s v="Bank"/>
    <s v="-"/>
    <n v="5000"/>
    <x v="0"/>
    <s v="-"/>
    <n v="0"/>
    <s v="-"/>
    <x v="0"/>
    <x v="0"/>
  </r>
  <r>
    <n v="78"/>
    <x v="77"/>
    <s v="-"/>
    <x v="34"/>
    <s v="-"/>
    <x v="76"/>
    <n v="0"/>
    <x v="0"/>
    <x v="5"/>
    <x v="0"/>
    <x v="1"/>
    <s v="-"/>
    <x v="0"/>
    <x v="0"/>
    <x v="2"/>
    <s v="Yamini"/>
    <s v="-"/>
    <s v="-"/>
    <s v="-"/>
    <s v="-"/>
    <s v="-"/>
    <n v="0"/>
    <x v="2"/>
    <s v="-"/>
    <n v="0"/>
    <s v="-"/>
    <x v="0"/>
    <x v="0"/>
  </r>
  <r>
    <n v="79"/>
    <x v="78"/>
    <s v="-"/>
    <x v="34"/>
    <s v="-"/>
    <x v="77"/>
    <n v="0"/>
    <x v="0"/>
    <x v="3"/>
    <x v="0"/>
    <x v="1"/>
    <s v="-"/>
    <x v="0"/>
    <x v="0"/>
    <x v="2"/>
    <s v="B.Shailaja"/>
    <s v="-"/>
    <s v="-"/>
    <s v="-"/>
    <s v="-"/>
    <s v="-"/>
    <n v="0"/>
    <x v="2"/>
    <s v="-"/>
    <n v="0"/>
    <s v="-"/>
    <x v="0"/>
    <x v="0"/>
  </r>
  <r>
    <n v="80"/>
    <x v="79"/>
    <s v="-"/>
    <x v="34"/>
    <s v="-"/>
    <x v="78"/>
    <n v="0"/>
    <x v="0"/>
    <x v="5"/>
    <x v="0"/>
    <x v="30"/>
    <s v="-"/>
    <x v="0"/>
    <x v="0"/>
    <x v="2"/>
    <s v="N.Shailaja"/>
    <s v="-"/>
    <s v="-"/>
    <d v="2017-06-01T00:00:00"/>
    <s v="Bank"/>
    <s v="-"/>
    <n v="4000"/>
    <x v="0"/>
    <s v="-"/>
    <n v="0"/>
    <s v="-"/>
    <x v="0"/>
    <x v="0"/>
  </r>
  <r>
    <n v="81"/>
    <x v="80"/>
    <s v="-"/>
    <x v="35"/>
    <s v="-"/>
    <x v="79"/>
    <n v="0"/>
    <x v="0"/>
    <x v="0"/>
    <x v="0"/>
    <x v="31"/>
    <s v="-"/>
    <x v="0"/>
    <x v="0"/>
    <x v="2"/>
    <s v="Sai"/>
    <s v="-"/>
    <s v="-"/>
    <s v="-"/>
    <s v="-"/>
    <s v="-"/>
    <n v="0"/>
    <x v="2"/>
    <s v="-"/>
    <n v="0"/>
    <s v="-"/>
    <x v="0"/>
    <x v="0"/>
  </r>
  <r>
    <n v="82"/>
    <x v="81"/>
    <s v="-"/>
    <x v="35"/>
    <s v="-"/>
    <x v="80"/>
    <n v="0"/>
    <x v="0"/>
    <x v="5"/>
    <x v="0"/>
    <x v="15"/>
    <s v="-"/>
    <x v="0"/>
    <x v="0"/>
    <x v="2"/>
    <s v="Rajini"/>
    <s v="-"/>
    <s v="-"/>
    <d v="2017-06-16T00:00:00"/>
    <s v="Bank"/>
    <s v="-"/>
    <n v="4000"/>
    <x v="0"/>
    <s v="-"/>
    <n v="0"/>
    <s v="-"/>
    <x v="0"/>
    <x v="0"/>
  </r>
  <r>
    <n v="83"/>
    <x v="82"/>
    <s v="-"/>
    <x v="36"/>
    <s v="-"/>
    <x v="81"/>
    <n v="0"/>
    <x v="0"/>
    <x v="5"/>
    <x v="0"/>
    <x v="32"/>
    <s v="-"/>
    <x v="0"/>
    <x v="0"/>
    <x v="2"/>
    <s v="Leena"/>
    <s v="-"/>
    <s v="-"/>
    <s v="-"/>
    <s v="-"/>
    <s v="-"/>
    <n v="0"/>
    <x v="2"/>
    <s v="-"/>
    <n v="0"/>
    <s v="-"/>
    <x v="0"/>
    <x v="0"/>
  </r>
  <r>
    <n v="84"/>
    <x v="83"/>
    <s v="-"/>
    <x v="36"/>
    <s v="-"/>
    <x v="82"/>
    <n v="0"/>
    <x v="0"/>
    <x v="5"/>
    <x v="0"/>
    <x v="33"/>
    <s v="-"/>
    <x v="0"/>
    <x v="0"/>
    <x v="2"/>
    <s v="Priyanka"/>
    <s v="-"/>
    <s v="-"/>
    <s v="-"/>
    <s v="-"/>
    <s v="-"/>
    <n v="0"/>
    <x v="2"/>
    <s v="-"/>
    <n v="0"/>
    <s v="-"/>
    <x v="0"/>
    <x v="0"/>
  </r>
  <r>
    <n v="85"/>
    <x v="84"/>
    <s v="-"/>
    <x v="36"/>
    <s v="-"/>
    <x v="6"/>
    <n v="0"/>
    <x v="0"/>
    <x v="6"/>
    <x v="0"/>
    <x v="3"/>
    <s v="-"/>
    <x v="0"/>
    <x v="0"/>
    <x v="2"/>
    <s v="Madhu"/>
    <s v="-"/>
    <s v="-"/>
    <s v="-"/>
    <s v="-"/>
    <s v="-"/>
    <n v="0"/>
    <x v="2"/>
    <s v="-"/>
    <n v="0"/>
    <s v="-"/>
    <x v="0"/>
    <x v="0"/>
  </r>
  <r>
    <n v="86"/>
    <x v="85"/>
    <s v="-"/>
    <x v="37"/>
    <s v="-"/>
    <x v="83"/>
    <n v="0"/>
    <x v="0"/>
    <x v="5"/>
    <x v="0"/>
    <x v="34"/>
    <s v="-"/>
    <x v="0"/>
    <x v="0"/>
    <x v="2"/>
    <s v="Neelima"/>
    <s v="-"/>
    <s v="-"/>
    <d v="2017-06-16T00:00:00"/>
    <s v="Bank"/>
    <s v="-"/>
    <n v="3500"/>
    <x v="0"/>
    <s v="-"/>
    <n v="0"/>
    <s v="-"/>
    <x v="0"/>
    <x v="0"/>
  </r>
  <r>
    <n v="87"/>
    <x v="86"/>
    <s v="-"/>
    <x v="38"/>
    <s v="-"/>
    <x v="84"/>
    <n v="0"/>
    <x v="0"/>
    <x v="0"/>
    <x v="0"/>
    <x v="32"/>
    <s v="-"/>
    <x v="0"/>
    <x v="0"/>
    <x v="2"/>
    <s v="Sowjanya"/>
    <s v="-"/>
    <s v="-"/>
    <s v="-"/>
    <s v="-"/>
    <s v="-"/>
    <n v="0"/>
    <x v="2"/>
    <s v="-"/>
    <n v="0"/>
    <s v="-"/>
    <x v="0"/>
    <x v="0"/>
  </r>
  <r>
    <n v="88"/>
    <x v="87"/>
    <s v="-"/>
    <x v="38"/>
    <s v="-"/>
    <x v="85"/>
    <n v="0"/>
    <x v="0"/>
    <x v="2"/>
    <x v="0"/>
    <x v="35"/>
    <s v="-"/>
    <x v="0"/>
    <x v="0"/>
    <x v="2"/>
    <s v="Usha Latha"/>
    <s v="-"/>
    <s v="-"/>
    <d v="2017-06-01T00:00:00"/>
    <s v="Bank"/>
    <s v="-"/>
    <n v="2000"/>
    <x v="0"/>
    <s v="-"/>
    <n v="0"/>
    <s v="-"/>
    <x v="0"/>
    <x v="0"/>
  </r>
  <r>
    <n v="89"/>
    <x v="88"/>
    <s v="-"/>
    <x v="38"/>
    <s v="-"/>
    <x v="86"/>
    <n v="0"/>
    <x v="0"/>
    <x v="2"/>
    <x v="0"/>
    <x v="35"/>
    <s v="-"/>
    <x v="0"/>
    <x v="0"/>
    <x v="2"/>
    <s v="Rajeshwari"/>
    <s v="-"/>
    <s v="-"/>
    <d v="2017-06-01T00:00:00"/>
    <s v="Bank"/>
    <s v="-"/>
    <n v="2000"/>
    <x v="0"/>
    <s v="-"/>
    <n v="0"/>
    <s v="-"/>
    <x v="0"/>
    <x v="0"/>
  </r>
  <r>
    <n v="90"/>
    <x v="89"/>
    <s v="-"/>
    <x v="38"/>
    <s v="-"/>
    <x v="87"/>
    <n v="0"/>
    <x v="0"/>
    <x v="5"/>
    <x v="0"/>
    <x v="34"/>
    <s v="-"/>
    <x v="0"/>
    <x v="0"/>
    <x v="2"/>
    <s v="Yamini"/>
    <s v="-"/>
    <s v="-"/>
    <s v="-"/>
    <s v="-"/>
    <s v="-"/>
    <n v="0"/>
    <x v="2"/>
    <s v="-"/>
    <n v="0"/>
    <s v="-"/>
    <x v="0"/>
    <x v="0"/>
  </r>
  <r>
    <n v="91"/>
    <x v="90"/>
    <s v="-"/>
    <x v="39"/>
    <s v="-"/>
    <x v="88"/>
    <n v="0"/>
    <x v="0"/>
    <x v="2"/>
    <x v="0"/>
    <x v="35"/>
    <s v="-"/>
    <x v="0"/>
    <x v="0"/>
    <x v="2"/>
    <s v="B.Shailaja"/>
    <s v="-"/>
    <s v="-"/>
    <d v="2017-06-05T00:00:00"/>
    <s v="Bank"/>
    <s v="-"/>
    <n v="2000"/>
    <x v="0"/>
    <s v="-"/>
    <n v="0"/>
    <s v="-"/>
    <x v="0"/>
    <x v="0"/>
  </r>
  <r>
    <n v="92"/>
    <x v="91"/>
    <s v="-"/>
    <x v="39"/>
    <s v="-"/>
    <x v="89"/>
    <n v="0"/>
    <x v="0"/>
    <x v="7"/>
    <x v="0"/>
    <x v="36"/>
    <s v="-"/>
    <x v="0"/>
    <x v="0"/>
    <x v="2"/>
    <s v="N.Shailaja"/>
    <s v="-"/>
    <s v="-"/>
    <s v="-"/>
    <s v="-"/>
    <s v="-"/>
    <n v="0"/>
    <x v="2"/>
    <s v="-"/>
    <n v="0"/>
    <s v="-"/>
    <x v="0"/>
    <x v="0"/>
  </r>
  <r>
    <n v="93"/>
    <x v="92"/>
    <s v="-"/>
    <x v="39"/>
    <s v="-"/>
    <x v="90"/>
    <n v="0"/>
    <x v="0"/>
    <x v="5"/>
    <x v="0"/>
    <x v="1"/>
    <s v="-"/>
    <x v="0"/>
    <x v="0"/>
    <x v="2"/>
    <s v="Sai"/>
    <s v="-"/>
    <s v="-"/>
    <s v="-"/>
    <s v="-"/>
    <s v="-"/>
    <n v="0"/>
    <x v="2"/>
    <s v="-"/>
    <n v="0"/>
    <s v="-"/>
    <x v="0"/>
    <x v="0"/>
  </r>
  <r>
    <n v="94"/>
    <x v="93"/>
    <s v="-"/>
    <x v="39"/>
    <s v="-"/>
    <x v="91"/>
    <n v="0"/>
    <x v="0"/>
    <x v="5"/>
    <x v="0"/>
    <x v="1"/>
    <s v="-"/>
    <x v="0"/>
    <x v="0"/>
    <x v="2"/>
    <s v="Rajini"/>
    <s v="-"/>
    <s v="-"/>
    <s v="-"/>
    <s v="-"/>
    <s v="-"/>
    <n v="0"/>
    <x v="2"/>
    <s v="-"/>
    <n v="0"/>
    <s v="-"/>
    <x v="0"/>
    <x v="0"/>
  </r>
  <r>
    <n v="95"/>
    <x v="94"/>
    <s v="-"/>
    <x v="39"/>
    <s v="-"/>
    <x v="92"/>
    <n v="0"/>
    <x v="0"/>
    <x v="2"/>
    <x v="0"/>
    <x v="10"/>
    <s v="-"/>
    <x v="0"/>
    <x v="0"/>
    <x v="2"/>
    <s v="Leena"/>
    <s v="-"/>
    <s v="-"/>
    <d v="2017-06-01T00:00:00"/>
    <s v="Bank"/>
    <s v="-"/>
    <n v="2000"/>
    <x v="0"/>
    <s v="-"/>
    <n v="0"/>
    <s v="-"/>
    <x v="0"/>
    <x v="0"/>
  </r>
  <r>
    <n v="96"/>
    <x v="95"/>
    <s v="-"/>
    <x v="39"/>
    <s v="-"/>
    <x v="93"/>
    <n v="0"/>
    <x v="0"/>
    <x v="0"/>
    <x v="0"/>
    <x v="10"/>
    <s v="-"/>
    <x v="0"/>
    <x v="0"/>
    <x v="2"/>
    <s v="Priyanka"/>
    <s v="-"/>
    <s v="-"/>
    <s v="-"/>
    <s v="-"/>
    <s v="-"/>
    <n v="0"/>
    <x v="2"/>
    <s v="-"/>
    <n v="0"/>
    <s v="-"/>
    <x v="0"/>
    <x v="0"/>
  </r>
  <r>
    <n v="97"/>
    <x v="96"/>
    <s v="-"/>
    <x v="40"/>
    <s v="-"/>
    <x v="94"/>
    <n v="0"/>
    <x v="0"/>
    <x v="2"/>
    <x v="0"/>
    <x v="32"/>
    <s v="-"/>
    <x v="0"/>
    <x v="0"/>
    <x v="2"/>
    <s v="Madhu"/>
    <s v="-"/>
    <s v="Duplicate"/>
    <d v="2017-06-02T00:00:00"/>
    <s v="Bank"/>
    <s v="-"/>
    <n v="1500"/>
    <x v="0"/>
    <s v="-"/>
    <n v="0"/>
    <s v="-"/>
    <x v="0"/>
    <x v="0"/>
  </r>
  <r>
    <n v="98"/>
    <x v="97"/>
    <s v="-"/>
    <x v="40"/>
    <s v="-"/>
    <x v="95"/>
    <n v="0"/>
    <x v="0"/>
    <x v="2"/>
    <x v="0"/>
    <x v="23"/>
    <s v="-"/>
    <x v="0"/>
    <x v="0"/>
    <x v="2"/>
    <s v="Neelima"/>
    <s v="-"/>
    <s v="-"/>
    <s v="-"/>
    <s v="-"/>
    <s v="-"/>
    <n v="0"/>
    <x v="2"/>
    <s v="-"/>
    <n v="0"/>
    <s v="-"/>
    <x v="0"/>
    <x v="0"/>
  </r>
  <r>
    <n v="99"/>
    <x v="98"/>
    <s v="-"/>
    <x v="40"/>
    <s v="-"/>
    <x v="96"/>
    <n v="0"/>
    <x v="0"/>
    <x v="2"/>
    <x v="0"/>
    <x v="35"/>
    <s v="-"/>
    <x v="0"/>
    <x v="0"/>
    <x v="2"/>
    <s v="Sowjanya"/>
    <s v="-"/>
    <s v="-"/>
    <d v="2017-06-05T00:00:00"/>
    <s v="Bank"/>
    <s v="-"/>
    <n v="2000"/>
    <x v="0"/>
    <s v="-"/>
    <n v="0"/>
    <s v="-"/>
    <x v="0"/>
    <x v="0"/>
  </r>
  <r>
    <n v="100"/>
    <x v="99"/>
    <s v="-"/>
    <x v="41"/>
    <s v="-"/>
    <x v="97"/>
    <n v="0"/>
    <x v="0"/>
    <x v="3"/>
    <x v="0"/>
    <x v="9"/>
    <s v="-"/>
    <x v="0"/>
    <x v="0"/>
    <x v="2"/>
    <s v="Usha Latha"/>
    <s v="-"/>
    <s v="-"/>
    <s v="-"/>
    <s v="-"/>
    <s v="-"/>
    <n v="0"/>
    <x v="2"/>
    <s v="-"/>
    <n v="0"/>
    <s v="-"/>
    <x v="0"/>
    <x v="0"/>
  </r>
  <r>
    <n v="101"/>
    <x v="100"/>
    <s v="-"/>
    <x v="28"/>
    <s v="-"/>
    <x v="98"/>
    <n v="0"/>
    <x v="0"/>
    <x v="5"/>
    <x v="1"/>
    <x v="37"/>
    <s v="-"/>
    <x v="0"/>
    <x v="0"/>
    <x v="2"/>
    <s v="Rajeshwari"/>
    <s v="-"/>
    <s v="-"/>
    <s v="-"/>
    <s v="-"/>
    <s v="-"/>
    <n v="0"/>
    <x v="2"/>
    <s v="-"/>
    <n v="0"/>
    <s v="-"/>
    <x v="0"/>
    <x v="0"/>
  </r>
  <r>
    <n v="102"/>
    <x v="101"/>
    <s v="-"/>
    <x v="42"/>
    <s v="-"/>
    <x v="99"/>
    <n v="0"/>
    <x v="0"/>
    <x v="3"/>
    <x v="2"/>
    <x v="38"/>
    <s v="-"/>
    <x v="0"/>
    <x v="1"/>
    <x v="5"/>
    <s v="Yamini"/>
    <s v="-"/>
    <s v="-"/>
    <d v="2017-06-02T00:00:00"/>
    <s v="Bank"/>
    <s v="-"/>
    <n v="5000"/>
    <x v="0"/>
    <s v="-"/>
    <n v="0"/>
    <s v="-"/>
    <x v="0"/>
    <x v="0"/>
  </r>
  <r>
    <n v="103"/>
    <x v="102"/>
    <s v="-"/>
    <x v="42"/>
    <s v="-"/>
    <x v="100"/>
    <n v="0"/>
    <x v="0"/>
    <x v="3"/>
    <x v="2"/>
    <x v="39"/>
    <s v="-"/>
    <x v="0"/>
    <x v="1"/>
    <x v="5"/>
    <s v="B.Shailaja"/>
    <s v="-"/>
    <s v="-"/>
    <s v="-"/>
    <s v="-"/>
    <s v="-"/>
    <n v="0"/>
    <x v="2"/>
    <s v="-"/>
    <n v="0"/>
    <s v="-"/>
    <x v="0"/>
    <x v="0"/>
  </r>
  <r>
    <n v="104"/>
    <x v="103"/>
    <s v="-"/>
    <x v="42"/>
    <s v="-"/>
    <x v="101"/>
    <n v="0"/>
    <x v="0"/>
    <x v="3"/>
    <x v="2"/>
    <x v="40"/>
    <s v="-"/>
    <x v="0"/>
    <x v="1"/>
    <x v="5"/>
    <s v="N.Shailaja"/>
    <s v="-"/>
    <s v="-"/>
    <s v="-"/>
    <s v="-"/>
    <s v="-"/>
    <n v="0"/>
    <x v="2"/>
    <s v="-"/>
    <n v="0"/>
    <s v="-"/>
    <x v="0"/>
    <x v="0"/>
  </r>
  <r>
    <n v="105"/>
    <x v="104"/>
    <s v="-"/>
    <x v="42"/>
    <s v="-"/>
    <x v="102"/>
    <n v="0"/>
    <x v="0"/>
    <x v="3"/>
    <x v="2"/>
    <x v="41"/>
    <s v="-"/>
    <x v="0"/>
    <x v="1"/>
    <x v="5"/>
    <s v="Sai"/>
    <s v="-"/>
    <s v="-"/>
    <s v="-"/>
    <s v="-"/>
    <s v="-"/>
    <n v="0"/>
    <x v="3"/>
    <s v="-"/>
    <n v="0"/>
    <s v="Already done in UBI"/>
    <x v="2"/>
    <x v="0"/>
  </r>
  <r>
    <n v="106"/>
    <x v="105"/>
    <s v="-"/>
    <x v="42"/>
    <s v="-"/>
    <x v="103"/>
    <n v="0"/>
    <x v="0"/>
    <x v="3"/>
    <x v="2"/>
    <x v="26"/>
    <s v="-"/>
    <x v="0"/>
    <x v="1"/>
    <x v="5"/>
    <s v="Rajini"/>
    <s v="-"/>
    <s v="-"/>
    <d v="2017-06-27T00:00:00"/>
    <s v="Cash"/>
    <s v="-"/>
    <n v="4000"/>
    <x v="0"/>
    <s v="-"/>
    <n v="0"/>
    <s v="-"/>
    <x v="0"/>
    <x v="0"/>
  </r>
  <r>
    <n v="107"/>
    <x v="106"/>
    <s v="-"/>
    <x v="42"/>
    <s v="-"/>
    <x v="104"/>
    <n v="0"/>
    <x v="0"/>
    <x v="3"/>
    <x v="2"/>
    <x v="42"/>
    <s v="-"/>
    <x v="0"/>
    <x v="1"/>
    <x v="5"/>
    <s v="Leena"/>
    <s v="-"/>
    <s v="-"/>
    <s v="-"/>
    <s v="-"/>
    <s v="-"/>
    <n v="0"/>
    <x v="4"/>
    <s v="-"/>
    <n v="0"/>
    <s v="-"/>
    <x v="0"/>
    <x v="0"/>
  </r>
  <r>
    <n v="108"/>
    <x v="107"/>
    <s v="-"/>
    <x v="42"/>
    <s v="-"/>
    <x v="105"/>
    <n v="0"/>
    <x v="0"/>
    <x v="3"/>
    <x v="2"/>
    <x v="26"/>
    <s v="-"/>
    <x v="0"/>
    <x v="1"/>
    <x v="0"/>
    <s v="Priyanka"/>
    <s v="-"/>
    <s v="-"/>
    <s v="-"/>
    <s v="-"/>
    <s v="-"/>
    <n v="0"/>
    <x v="5"/>
    <s v="-"/>
    <n v="0"/>
    <s v="-"/>
    <x v="2"/>
    <x v="0"/>
  </r>
  <r>
    <n v="109"/>
    <x v="108"/>
    <s v="-"/>
    <x v="42"/>
    <s v="-"/>
    <x v="105"/>
    <n v="0"/>
    <x v="0"/>
    <x v="3"/>
    <x v="2"/>
    <x v="38"/>
    <s v="-"/>
    <x v="0"/>
    <x v="1"/>
    <x v="5"/>
    <s v="Madhu"/>
    <s v="-"/>
    <s v="-"/>
    <s v="-"/>
    <s v="-"/>
    <s v="-"/>
    <n v="0"/>
    <x v="6"/>
    <s v="-"/>
    <n v="0"/>
    <s v="-"/>
    <x v="2"/>
    <x v="0"/>
  </r>
  <r>
    <n v="110"/>
    <x v="109"/>
    <s v="-"/>
    <x v="42"/>
    <s v="-"/>
    <x v="106"/>
    <n v="0"/>
    <x v="0"/>
    <x v="3"/>
    <x v="2"/>
    <x v="43"/>
    <s v="-"/>
    <x v="0"/>
    <x v="1"/>
    <x v="5"/>
    <s v="Neelima"/>
    <s v="-"/>
    <s v="-"/>
    <s v="-"/>
    <s v="-"/>
    <s v="-"/>
    <n v="0"/>
    <x v="7"/>
    <s v="-"/>
    <n v="0"/>
    <s v="-"/>
    <x v="2"/>
    <x v="0"/>
  </r>
  <r>
    <n v="111"/>
    <x v="110"/>
    <s v="-"/>
    <x v="43"/>
    <s v="-"/>
    <x v="107"/>
    <n v="0"/>
    <x v="0"/>
    <x v="3"/>
    <x v="2"/>
    <x v="38"/>
    <s v="-"/>
    <x v="0"/>
    <x v="1"/>
    <x v="5"/>
    <s v="Sowjanya"/>
    <s v="-"/>
    <s v="-"/>
    <s v="-"/>
    <s v="-"/>
    <s v="-"/>
    <n v="0"/>
    <x v="7"/>
    <s v="-"/>
    <n v="0"/>
    <s v="-"/>
    <x v="2"/>
    <x v="0"/>
  </r>
  <r>
    <n v="112"/>
    <x v="111"/>
    <s v="-"/>
    <x v="44"/>
    <s v="-"/>
    <x v="108"/>
    <n v="0"/>
    <x v="0"/>
    <x v="5"/>
    <x v="2"/>
    <x v="44"/>
    <s v="-"/>
    <x v="0"/>
    <x v="1"/>
    <x v="6"/>
    <s v="Usha Latha"/>
    <s v="-"/>
    <s v="-"/>
    <s v="-"/>
    <s v="-"/>
    <s v="-"/>
    <n v="0"/>
    <x v="6"/>
    <s v="-"/>
    <n v="0"/>
    <s v="-"/>
    <x v="2"/>
    <x v="0"/>
  </r>
  <r>
    <n v="113"/>
    <x v="112"/>
    <s v="-"/>
    <x v="0"/>
    <s v="-"/>
    <x v="109"/>
    <n v="0"/>
    <x v="0"/>
    <x v="0"/>
    <x v="2"/>
    <x v="45"/>
    <s v="-"/>
    <x v="0"/>
    <x v="1"/>
    <x v="6"/>
    <s v="Rajeshwari"/>
    <s v="-"/>
    <s v="-"/>
    <d v="2017-06-06T00:00:00"/>
    <s v="Cash"/>
    <s v="-"/>
    <n v="3000"/>
    <x v="0"/>
    <s v="-"/>
    <n v="0"/>
    <s v="-"/>
    <x v="0"/>
    <x v="0"/>
  </r>
  <r>
    <n v="114"/>
    <x v="113"/>
    <s v="-"/>
    <x v="0"/>
    <s v="-"/>
    <x v="110"/>
    <n v="0"/>
    <x v="0"/>
    <x v="5"/>
    <x v="2"/>
    <x v="44"/>
    <s v="-"/>
    <x v="0"/>
    <x v="1"/>
    <x v="5"/>
    <s v="Yamini"/>
    <s v="-"/>
    <s v="-"/>
    <d v="2017-06-09T00:00:00"/>
    <s v="Cash"/>
    <s v="-"/>
    <n v="3500"/>
    <x v="0"/>
    <s v="-"/>
    <n v="0"/>
    <s v="-"/>
    <x v="0"/>
    <x v="0"/>
  </r>
  <r>
    <n v="115"/>
    <x v="114"/>
    <s v="-"/>
    <x v="0"/>
    <s v="-"/>
    <x v="111"/>
    <n v="0"/>
    <x v="0"/>
    <x v="3"/>
    <x v="2"/>
    <x v="44"/>
    <s v="-"/>
    <x v="0"/>
    <x v="1"/>
    <x v="5"/>
    <s v="B.Shailaja"/>
    <s v="-"/>
    <s v="-"/>
    <s v="-"/>
    <s v="-"/>
    <s v="-"/>
    <n v="0"/>
    <x v="6"/>
    <s v="-"/>
    <n v="0"/>
    <s v="-"/>
    <x v="2"/>
    <x v="0"/>
  </r>
  <r>
    <n v="116"/>
    <x v="115"/>
    <s v="-"/>
    <x v="0"/>
    <s v="-"/>
    <x v="56"/>
    <n v="0"/>
    <x v="0"/>
    <x v="3"/>
    <x v="2"/>
    <x v="46"/>
    <s v="-"/>
    <x v="0"/>
    <x v="1"/>
    <x v="5"/>
    <s v="N.Shailaja"/>
    <s v="-"/>
    <s v="-"/>
    <s v="-"/>
    <s v="-"/>
    <s v="-"/>
    <n v="0"/>
    <x v="2"/>
    <s v="-"/>
    <n v="0"/>
    <s v="-"/>
    <x v="0"/>
    <x v="0"/>
  </r>
  <r>
    <n v="117"/>
    <x v="116"/>
    <s v="-"/>
    <x v="1"/>
    <s v="-"/>
    <x v="112"/>
    <n v="0"/>
    <x v="0"/>
    <x v="3"/>
    <x v="2"/>
    <x v="47"/>
    <s v="-"/>
    <x v="0"/>
    <x v="1"/>
    <x v="6"/>
    <s v="Sai"/>
    <s v="-"/>
    <s v="-"/>
    <d v="2017-06-06T00:00:00"/>
    <s v="Cash"/>
    <s v="-"/>
    <n v="1000"/>
    <x v="8"/>
    <s v="-"/>
    <n v="0"/>
    <s v="Paid"/>
    <x v="2"/>
    <x v="0"/>
  </r>
  <r>
    <n v="118"/>
    <x v="117"/>
    <s v="-"/>
    <x v="1"/>
    <s v="-"/>
    <x v="113"/>
    <n v="0"/>
    <x v="0"/>
    <x v="5"/>
    <x v="2"/>
    <x v="48"/>
    <s v="-"/>
    <x v="0"/>
    <x v="1"/>
    <x v="0"/>
    <s v="Rajini"/>
    <s v="-"/>
    <s v="-"/>
    <s v="-"/>
    <s v="-"/>
    <s v="-"/>
    <n v="0"/>
    <x v="6"/>
    <s v="-"/>
    <n v="0"/>
    <s v="-"/>
    <x v="2"/>
    <x v="0"/>
  </r>
  <r>
    <n v="119"/>
    <x v="118"/>
    <s v="-"/>
    <x v="45"/>
    <s v="-"/>
    <x v="114"/>
    <n v="0"/>
    <x v="0"/>
    <x v="3"/>
    <x v="2"/>
    <x v="49"/>
    <s v="-"/>
    <x v="0"/>
    <x v="1"/>
    <x v="5"/>
    <s v="Leena"/>
    <s v="-"/>
    <s v="-"/>
    <d v="2017-06-21T00:00:00"/>
    <s v="Cash"/>
    <s v="-"/>
    <n v="6500"/>
    <x v="0"/>
    <s v="-"/>
    <n v="0"/>
    <s v="-"/>
    <x v="0"/>
    <x v="0"/>
  </r>
  <r>
    <n v="120"/>
    <x v="119"/>
    <s v="-"/>
    <x v="45"/>
    <s v="-"/>
    <x v="115"/>
    <n v="0"/>
    <x v="0"/>
    <x v="3"/>
    <x v="2"/>
    <x v="49"/>
    <s v="-"/>
    <x v="0"/>
    <x v="1"/>
    <x v="5"/>
    <s v="Priyanka"/>
    <s v="-"/>
    <s v="-"/>
    <d v="2017-06-16T00:00:00"/>
    <s v="Bank"/>
    <s v="-"/>
    <n v="3000"/>
    <x v="0"/>
    <s v="-"/>
    <n v="0"/>
    <s v="-"/>
    <x v="0"/>
    <x v="0"/>
  </r>
  <r>
    <n v="121"/>
    <x v="120"/>
    <s v="-"/>
    <x v="2"/>
    <s v="-"/>
    <x v="116"/>
    <n v="0"/>
    <x v="0"/>
    <x v="3"/>
    <x v="2"/>
    <x v="50"/>
    <s v="-"/>
    <x v="0"/>
    <x v="1"/>
    <x v="6"/>
    <s v="Madhu"/>
    <s v="-"/>
    <s v="-"/>
    <s v="-"/>
    <s v="-"/>
    <s v="-"/>
    <n v="0"/>
    <x v="2"/>
    <s v="-"/>
    <n v="0"/>
    <s v="-"/>
    <x v="0"/>
    <x v="0"/>
  </r>
  <r>
    <n v="122"/>
    <x v="121"/>
    <s v="-"/>
    <x v="2"/>
    <s v="-"/>
    <x v="117"/>
    <n v="0"/>
    <x v="0"/>
    <x v="3"/>
    <x v="2"/>
    <x v="51"/>
    <s v="-"/>
    <x v="0"/>
    <x v="1"/>
    <x v="5"/>
    <s v="Neelima"/>
    <s v="-"/>
    <s v="-"/>
    <d v="2017-06-21T00:00:00"/>
    <s v="Cash"/>
    <s v="-"/>
    <n v="4000"/>
    <x v="0"/>
    <s v="-"/>
    <n v="0"/>
    <s v="-"/>
    <x v="0"/>
    <x v="0"/>
  </r>
  <r>
    <n v="123"/>
    <x v="122"/>
    <s v="-"/>
    <x v="2"/>
    <s v="-"/>
    <x v="118"/>
    <n v="0"/>
    <x v="0"/>
    <x v="3"/>
    <x v="2"/>
    <x v="52"/>
    <s v="-"/>
    <x v="0"/>
    <x v="1"/>
    <x v="5"/>
    <s v="Neelima"/>
    <s v="-"/>
    <s v="-"/>
    <s v="-"/>
    <s v="-"/>
    <s v="-"/>
    <n v="0"/>
    <x v="2"/>
    <s v="-"/>
    <n v="0"/>
    <s v="-"/>
    <x v="0"/>
    <x v="0"/>
  </r>
  <r>
    <n v="124"/>
    <x v="123"/>
    <s v="-"/>
    <x v="2"/>
    <s v="-"/>
    <x v="119"/>
    <n v="0"/>
    <x v="0"/>
    <x v="3"/>
    <x v="2"/>
    <x v="26"/>
    <s v="-"/>
    <x v="0"/>
    <x v="1"/>
    <x v="0"/>
    <s v="Sowjanya"/>
    <s v="-"/>
    <s v="-"/>
    <s v="-"/>
    <s v="-"/>
    <s v="-"/>
    <n v="0"/>
    <x v="2"/>
    <s v="-"/>
    <n v="0"/>
    <s v="-"/>
    <x v="0"/>
    <x v="0"/>
  </r>
  <r>
    <n v="125"/>
    <x v="124"/>
    <s v="-"/>
    <x v="2"/>
    <s v="-"/>
    <x v="120"/>
    <n v="0"/>
    <x v="0"/>
    <x v="3"/>
    <x v="2"/>
    <x v="53"/>
    <s v="-"/>
    <x v="0"/>
    <x v="1"/>
    <x v="6"/>
    <s v="Usha Latha"/>
    <s v="-"/>
    <s v="-"/>
    <d v="2017-06-15T00:00:00"/>
    <s v="Cash"/>
    <s v="-"/>
    <n v="1500"/>
    <x v="0"/>
    <s v="-"/>
    <n v="0"/>
    <s v="-"/>
    <x v="0"/>
    <x v="0"/>
  </r>
  <r>
    <n v="126"/>
    <x v="125"/>
    <s v="-"/>
    <x v="46"/>
    <s v="-"/>
    <x v="121"/>
    <n v="0"/>
    <x v="0"/>
    <x v="11"/>
    <x v="2"/>
    <x v="26"/>
    <s v="-"/>
    <x v="0"/>
    <x v="1"/>
    <x v="0"/>
    <s v="Rajeshwari"/>
    <s v="-"/>
    <s v="-"/>
    <d v="2017-06-12T00:00:00"/>
    <s v="Cash"/>
    <s v="-"/>
    <n v="2000"/>
    <x v="0"/>
    <s v="-"/>
    <n v="0"/>
    <s v="-"/>
    <x v="0"/>
    <x v="0"/>
  </r>
  <r>
    <n v="127"/>
    <x v="126"/>
    <s v="-"/>
    <x v="46"/>
    <s v="-"/>
    <x v="122"/>
    <n v="0"/>
    <x v="0"/>
    <x v="5"/>
    <x v="2"/>
    <x v="54"/>
    <s v="-"/>
    <x v="0"/>
    <x v="1"/>
    <x v="0"/>
    <s v="Yamini"/>
    <s v="-"/>
    <s v="-"/>
    <d v="2017-06-14T00:00:00"/>
    <s v="Cash"/>
    <s v="-"/>
    <n v="1000"/>
    <x v="8"/>
    <s v="-"/>
    <n v="0"/>
    <s v="Paid"/>
    <x v="2"/>
    <x v="0"/>
  </r>
  <r>
    <n v="128"/>
    <x v="127"/>
    <s v="-"/>
    <x v="46"/>
    <s v="-"/>
    <x v="103"/>
    <n v="0"/>
    <x v="0"/>
    <x v="3"/>
    <x v="2"/>
    <x v="49"/>
    <s v="-"/>
    <x v="0"/>
    <x v="1"/>
    <x v="0"/>
    <s v="B.Shailaja"/>
    <s v="-"/>
    <s v="-"/>
    <s v="-"/>
    <s v="-"/>
    <s v="-"/>
    <n v="0"/>
    <x v="2"/>
    <s v="-"/>
    <n v="0"/>
    <s v="-"/>
    <x v="0"/>
    <x v="0"/>
  </r>
  <r>
    <n v="129"/>
    <x v="128"/>
    <s v="-"/>
    <x v="46"/>
    <s v="-"/>
    <x v="103"/>
    <n v="0"/>
    <x v="0"/>
    <x v="3"/>
    <x v="2"/>
    <x v="38"/>
    <s v="-"/>
    <x v="0"/>
    <x v="1"/>
    <x v="0"/>
    <s v="N.Shailaja"/>
    <s v="-"/>
    <s v="-"/>
    <s v="-"/>
    <s v="-"/>
    <s v="-"/>
    <n v="0"/>
    <x v="7"/>
    <s v="-"/>
    <n v="0"/>
    <s v="-"/>
    <x v="2"/>
    <x v="0"/>
  </r>
  <r>
    <n v="130"/>
    <x v="129"/>
    <s v="-"/>
    <x v="46"/>
    <s v="-"/>
    <x v="123"/>
    <n v="0"/>
    <x v="0"/>
    <x v="5"/>
    <x v="2"/>
    <x v="14"/>
    <s v="-"/>
    <x v="0"/>
    <x v="1"/>
    <x v="0"/>
    <s v="Sai"/>
    <s v="-"/>
    <s v="-"/>
    <d v="2017-06-20T00:00:00"/>
    <s v="Cash"/>
    <s v="-"/>
    <n v="5500"/>
    <x v="0"/>
    <s v="-"/>
    <n v="0"/>
    <s v="-"/>
    <x v="0"/>
    <x v="0"/>
  </r>
  <r>
    <n v="131"/>
    <x v="130"/>
    <s v="-"/>
    <x v="3"/>
    <s v="-"/>
    <x v="124"/>
    <n v="0"/>
    <x v="0"/>
    <x v="3"/>
    <x v="2"/>
    <x v="26"/>
    <s v="-"/>
    <x v="0"/>
    <x v="1"/>
    <x v="5"/>
    <s v="Rajini"/>
    <s v="-"/>
    <s v="-"/>
    <s v="-"/>
    <s v="-"/>
    <s v="-"/>
    <n v="0"/>
    <x v="2"/>
    <s v="-"/>
    <n v="0"/>
    <s v="-"/>
    <x v="0"/>
    <x v="0"/>
  </r>
  <r>
    <n v="132"/>
    <x v="131"/>
    <s v="-"/>
    <x v="3"/>
    <s v="-"/>
    <x v="125"/>
    <n v="0"/>
    <x v="0"/>
    <x v="3"/>
    <x v="2"/>
    <x v="55"/>
    <s v="-"/>
    <x v="0"/>
    <x v="1"/>
    <x v="6"/>
    <s v="Leena"/>
    <s v="-"/>
    <s v="-"/>
    <s v="-"/>
    <s v="-"/>
    <s v="-"/>
    <n v="0"/>
    <x v="6"/>
    <s v="-"/>
    <n v="0"/>
    <s v="-"/>
    <x v="2"/>
    <x v="0"/>
  </r>
  <r>
    <n v="133"/>
    <x v="132"/>
    <s v="-"/>
    <x v="3"/>
    <s v="-"/>
    <x v="126"/>
    <n v="0"/>
    <x v="0"/>
    <x v="3"/>
    <x v="2"/>
    <x v="56"/>
    <s v="-"/>
    <x v="0"/>
    <x v="1"/>
    <x v="6"/>
    <s v="Priyanka"/>
    <s v="-"/>
    <s v="-"/>
    <d v="2017-06-14T00:00:00"/>
    <s v="Cash"/>
    <s v="-"/>
    <n v="3000"/>
    <x v="0"/>
    <s v="-"/>
    <n v="0"/>
    <s v="-"/>
    <x v="0"/>
    <x v="0"/>
  </r>
  <r>
    <n v="134"/>
    <x v="133"/>
    <s v="-"/>
    <x v="3"/>
    <s v="-"/>
    <x v="127"/>
    <n v="0"/>
    <x v="0"/>
    <x v="3"/>
    <x v="2"/>
    <x v="55"/>
    <s v="-"/>
    <x v="0"/>
    <x v="1"/>
    <x v="5"/>
    <s v="Madhu"/>
    <s v="-"/>
    <s v="-"/>
    <s v="-"/>
    <s v="-"/>
    <s v="-"/>
    <n v="0"/>
    <x v="6"/>
    <s v="-"/>
    <n v="0"/>
    <s v="-"/>
    <x v="2"/>
    <x v="0"/>
  </r>
  <r>
    <n v="135"/>
    <x v="134"/>
    <s v="-"/>
    <x v="4"/>
    <s v="-"/>
    <x v="128"/>
    <n v="0"/>
    <x v="0"/>
    <x v="3"/>
    <x v="2"/>
    <x v="40"/>
    <s v="-"/>
    <x v="0"/>
    <x v="1"/>
    <x v="5"/>
    <s v="Neelima"/>
    <s v="-"/>
    <s v="-"/>
    <s v="-"/>
    <s v="-"/>
    <s v="-"/>
    <n v="0"/>
    <x v="5"/>
    <s v="-"/>
    <n v="0"/>
    <s v="-"/>
    <x v="2"/>
    <x v="0"/>
  </r>
  <r>
    <n v="136"/>
    <x v="135"/>
    <s v="-"/>
    <x v="4"/>
    <s v="-"/>
    <x v="129"/>
    <n v="0"/>
    <x v="0"/>
    <x v="3"/>
    <x v="2"/>
    <x v="57"/>
    <s v="-"/>
    <x v="0"/>
    <x v="1"/>
    <x v="5"/>
    <s v="Sowjanya"/>
    <s v="-"/>
    <s v="-"/>
    <s v="-"/>
    <s v="-"/>
    <s v="-"/>
    <n v="0"/>
    <x v="5"/>
    <s v="-"/>
    <n v="0"/>
    <s v="-"/>
    <x v="2"/>
    <x v="0"/>
  </r>
  <r>
    <n v="137"/>
    <x v="136"/>
    <s v="-"/>
    <x v="47"/>
    <s v="-"/>
    <x v="130"/>
    <n v="0"/>
    <x v="0"/>
    <x v="5"/>
    <x v="2"/>
    <x v="57"/>
    <s v="-"/>
    <x v="0"/>
    <x v="1"/>
    <x v="5"/>
    <s v="Usha Latha"/>
    <s v="-"/>
    <s v="-"/>
    <s v="-"/>
    <s v="-"/>
    <s v="-"/>
    <n v="0"/>
    <x v="2"/>
    <s v="-"/>
    <n v="0"/>
    <s v="-"/>
    <x v="0"/>
    <x v="0"/>
  </r>
  <r>
    <n v="138"/>
    <x v="137"/>
    <s v="-"/>
    <x v="47"/>
    <s v="-"/>
    <x v="131"/>
    <n v="0"/>
    <x v="0"/>
    <x v="4"/>
    <x v="2"/>
    <x v="26"/>
    <s v="-"/>
    <x v="0"/>
    <x v="1"/>
    <x v="5"/>
    <s v="Rajeshwari"/>
    <s v="-"/>
    <s v="-"/>
    <s v="-"/>
    <s v="-"/>
    <s v="-"/>
    <n v="0"/>
    <x v="4"/>
    <s v="-"/>
    <n v="0"/>
    <s v="-"/>
    <x v="0"/>
    <x v="0"/>
  </r>
  <r>
    <n v="139"/>
    <x v="138"/>
    <s v="-"/>
    <x v="47"/>
    <s v="-"/>
    <x v="129"/>
    <n v="0"/>
    <x v="0"/>
    <x v="5"/>
    <x v="2"/>
    <x v="57"/>
    <s v="-"/>
    <x v="0"/>
    <x v="1"/>
    <x v="5"/>
    <s v="Yamini"/>
    <s v="-"/>
    <s v="-"/>
    <s v="-"/>
    <s v="-"/>
    <s v="-"/>
    <n v="0"/>
    <x v="2"/>
    <s v="-"/>
    <n v="0"/>
    <s v="-"/>
    <x v="0"/>
    <x v="0"/>
  </r>
  <r>
    <n v="140"/>
    <x v="139"/>
    <s v="-"/>
    <x v="47"/>
    <s v="-"/>
    <x v="132"/>
    <n v="0"/>
    <x v="0"/>
    <x v="5"/>
    <x v="2"/>
    <x v="58"/>
    <s v="-"/>
    <x v="0"/>
    <x v="1"/>
    <x v="5"/>
    <s v="B.Shailaja"/>
    <s v="-"/>
    <s v="-"/>
    <d v="2017-06-20T00:00:00"/>
    <s v="Bank"/>
    <s v="-"/>
    <n v="3000"/>
    <x v="0"/>
    <s v="-"/>
    <n v="0"/>
    <s v="-"/>
    <x v="0"/>
    <x v="0"/>
  </r>
  <r>
    <n v="141"/>
    <x v="140"/>
    <s v="-"/>
    <x v="47"/>
    <s v="-"/>
    <x v="133"/>
    <n v="0"/>
    <x v="0"/>
    <x v="3"/>
    <x v="2"/>
    <x v="58"/>
    <s v="-"/>
    <x v="0"/>
    <x v="1"/>
    <x v="5"/>
    <s v="N.Shailaja"/>
    <s v="-"/>
    <s v="-"/>
    <d v="2017-06-22T00:00:00"/>
    <s v="Bank"/>
    <s v="-"/>
    <n v="6000"/>
    <x v="0"/>
    <s v="-"/>
    <n v="0"/>
    <s v="-"/>
    <x v="0"/>
    <x v="0"/>
  </r>
  <r>
    <n v="142"/>
    <x v="141"/>
    <s v="-"/>
    <x v="47"/>
    <s v="-"/>
    <x v="134"/>
    <n v="0"/>
    <x v="0"/>
    <x v="3"/>
    <x v="2"/>
    <x v="59"/>
    <s v="-"/>
    <x v="0"/>
    <x v="1"/>
    <x v="6"/>
    <s v="Sai"/>
    <s v="-"/>
    <s v="-"/>
    <d v="2017-06-19T00:00:00"/>
    <s v="Cash"/>
    <s v="-"/>
    <n v="1000"/>
    <x v="8"/>
    <s v="-"/>
    <n v="0"/>
    <s v="Paid"/>
    <x v="2"/>
    <x v="0"/>
  </r>
  <r>
    <n v="143"/>
    <x v="142"/>
    <s v="-"/>
    <x v="47"/>
    <s v="-"/>
    <x v="135"/>
    <n v="0"/>
    <x v="0"/>
    <x v="5"/>
    <x v="2"/>
    <x v="60"/>
    <s v="-"/>
    <x v="0"/>
    <x v="1"/>
    <x v="6"/>
    <s v="Rajini"/>
    <s v="-"/>
    <s v="-"/>
    <s v="-"/>
    <s v="-"/>
    <s v="-"/>
    <n v="0"/>
    <x v="2"/>
    <s v="-"/>
    <n v="0"/>
    <s v="-"/>
    <x v="0"/>
    <x v="0"/>
  </r>
  <r>
    <n v="144"/>
    <x v="143"/>
    <s v="-"/>
    <x v="47"/>
    <s v="-"/>
    <x v="136"/>
    <n v="0"/>
    <x v="0"/>
    <x v="5"/>
    <x v="2"/>
    <x v="60"/>
    <s v="-"/>
    <x v="0"/>
    <x v="1"/>
    <x v="6"/>
    <s v="Leena"/>
    <s v="-"/>
    <s v="-"/>
    <s v="-"/>
    <s v="-"/>
    <s v="-"/>
    <n v="0"/>
    <x v="2"/>
    <s v="-"/>
    <n v="0"/>
    <s v="-"/>
    <x v="0"/>
    <x v="0"/>
  </r>
  <r>
    <n v="145"/>
    <x v="144"/>
    <s v="-"/>
    <x v="5"/>
    <s v="-"/>
    <x v="137"/>
    <n v="0"/>
    <x v="0"/>
    <x v="12"/>
    <x v="2"/>
    <x v="26"/>
    <s v="-"/>
    <x v="0"/>
    <x v="1"/>
    <x v="0"/>
    <s v="Priyanka"/>
    <s v="-"/>
    <s v="-"/>
    <s v="-"/>
    <s v="-"/>
    <s v="-"/>
    <n v="0"/>
    <x v="3"/>
    <s v="-"/>
    <n v="0"/>
    <s v="-"/>
    <x v="2"/>
    <x v="0"/>
  </r>
  <r>
    <n v="146"/>
    <x v="145"/>
    <s v="-"/>
    <x v="5"/>
    <s v="-"/>
    <x v="138"/>
    <n v="0"/>
    <x v="0"/>
    <x v="3"/>
    <x v="2"/>
    <x v="61"/>
    <s v="-"/>
    <x v="0"/>
    <x v="1"/>
    <x v="0"/>
    <s v="Madhu"/>
    <s v="-"/>
    <s v="-"/>
    <s v="-"/>
    <s v="-"/>
    <s v="-"/>
    <n v="0"/>
    <x v="7"/>
    <s v="-"/>
    <n v="0"/>
    <s v="-"/>
    <x v="2"/>
    <x v="0"/>
  </r>
  <r>
    <n v="147"/>
    <x v="146"/>
    <s v="-"/>
    <x v="6"/>
    <s v="-"/>
    <x v="139"/>
    <n v="0"/>
    <x v="0"/>
    <x v="3"/>
    <x v="2"/>
    <x v="62"/>
    <s v="-"/>
    <x v="0"/>
    <x v="1"/>
    <x v="6"/>
    <s v="Neelima"/>
    <s v="-"/>
    <s v="-"/>
    <d v="2017-06-19T00:00:00"/>
    <s v="Cash"/>
    <s v="-"/>
    <n v="1000"/>
    <x v="8"/>
    <s v="-"/>
    <n v="0"/>
    <s v="Paid"/>
    <x v="2"/>
    <x v="0"/>
  </r>
  <r>
    <n v="148"/>
    <x v="147"/>
    <s v="-"/>
    <x v="6"/>
    <s v="-"/>
    <x v="140"/>
    <n v="0"/>
    <x v="0"/>
    <x v="3"/>
    <x v="2"/>
    <x v="63"/>
    <s v="-"/>
    <x v="0"/>
    <x v="1"/>
    <x v="6"/>
    <s v="Sowjanya"/>
    <s v="-"/>
    <s v="-"/>
    <s v="-"/>
    <s v="-"/>
    <s v="-"/>
    <n v="0"/>
    <x v="2"/>
    <s v="-"/>
    <n v="0"/>
    <s v="-"/>
    <x v="0"/>
    <x v="0"/>
  </r>
  <r>
    <n v="149"/>
    <x v="148"/>
    <s v="-"/>
    <x v="6"/>
    <s v="-"/>
    <x v="141"/>
    <n v="0"/>
    <x v="0"/>
    <x v="3"/>
    <x v="2"/>
    <x v="64"/>
    <s v="-"/>
    <x v="0"/>
    <x v="1"/>
    <x v="0"/>
    <s v="Usha Latha"/>
    <s v="-"/>
    <s v="-"/>
    <s v="-"/>
    <s v="-"/>
    <s v="-"/>
    <n v="0"/>
    <x v="5"/>
    <s v="-"/>
    <n v="0"/>
    <s v="-"/>
    <x v="2"/>
    <x v="0"/>
  </r>
  <r>
    <n v="150"/>
    <x v="149"/>
    <s v="-"/>
    <x v="6"/>
    <s v="-"/>
    <x v="142"/>
    <n v="0"/>
    <x v="0"/>
    <x v="3"/>
    <x v="2"/>
    <x v="65"/>
    <s v="-"/>
    <x v="0"/>
    <x v="1"/>
    <x v="6"/>
    <s v="Rajeshwari"/>
    <s v="-"/>
    <s v="-"/>
    <d v="2017-06-19T00:00:00"/>
    <s v="Cash"/>
    <s v="-"/>
    <n v="3000"/>
    <x v="0"/>
    <s v="-"/>
    <n v="0"/>
    <s v="-"/>
    <x v="0"/>
    <x v="0"/>
  </r>
  <r>
    <n v="151"/>
    <x v="150"/>
    <s v="-"/>
    <x v="48"/>
    <s v="-"/>
    <x v="143"/>
    <n v="0"/>
    <x v="0"/>
    <x v="13"/>
    <x v="2"/>
    <x v="38"/>
    <s v="-"/>
    <x v="0"/>
    <x v="1"/>
    <x v="6"/>
    <s v="B.Shailaja"/>
    <s v="-"/>
    <s v="-"/>
    <s v="-"/>
    <s v="-"/>
    <s v="-"/>
    <n v="0"/>
    <x v="2"/>
    <s v="-"/>
    <n v="0"/>
    <s v="-"/>
    <x v="0"/>
    <x v="0"/>
  </r>
  <r>
    <n v="152"/>
    <x v="151"/>
    <s v="-"/>
    <x v="48"/>
    <s v="-"/>
    <x v="144"/>
    <n v="0"/>
    <x v="0"/>
    <x v="3"/>
    <x v="2"/>
    <x v="48"/>
    <s v="-"/>
    <x v="0"/>
    <x v="1"/>
    <x v="6"/>
    <s v="N.Shailaja"/>
    <s v="-"/>
    <s v="-"/>
    <s v="-"/>
    <s v="-"/>
    <s v="-"/>
    <n v="0"/>
    <x v="2"/>
    <s v="-"/>
    <n v="0"/>
    <s v="-"/>
    <x v="0"/>
    <x v="0"/>
  </r>
  <r>
    <n v="153"/>
    <x v="152"/>
    <s v="-"/>
    <x v="48"/>
    <s v="-"/>
    <x v="145"/>
    <n v="0"/>
    <x v="0"/>
    <x v="3"/>
    <x v="2"/>
    <x v="48"/>
    <s v="-"/>
    <x v="0"/>
    <x v="1"/>
    <x v="6"/>
    <s v="Sai"/>
    <s v="-"/>
    <s v="-"/>
    <s v="-"/>
    <s v="-"/>
    <s v="-"/>
    <n v="0"/>
    <x v="2"/>
    <s v="-"/>
    <n v="0"/>
    <s v="-"/>
    <x v="0"/>
    <x v="0"/>
  </r>
  <r>
    <n v="154"/>
    <x v="153"/>
    <s v="-"/>
    <x v="48"/>
    <s v="-"/>
    <x v="146"/>
    <n v="0"/>
    <x v="0"/>
    <x v="3"/>
    <x v="2"/>
    <x v="66"/>
    <s v="-"/>
    <x v="0"/>
    <x v="1"/>
    <x v="5"/>
    <s v="Rajini"/>
    <s v="-"/>
    <s v="-"/>
    <d v="2017-06-20T00:00:00"/>
    <s v="Cash"/>
    <s v="-"/>
    <n v="3500"/>
    <x v="0"/>
    <s v="-"/>
    <n v="0"/>
    <s v="-"/>
    <x v="0"/>
    <x v="0"/>
  </r>
  <r>
    <n v="155"/>
    <x v="154"/>
    <s v="-"/>
    <x v="48"/>
    <s v="-"/>
    <x v="147"/>
    <n v="0"/>
    <x v="0"/>
    <x v="0"/>
    <x v="2"/>
    <x v="38"/>
    <s v="-"/>
    <x v="0"/>
    <x v="1"/>
    <x v="5"/>
    <s v="Leena"/>
    <s v="-"/>
    <s v="-"/>
    <s v="-"/>
    <s v="-"/>
    <s v="-"/>
    <n v="0"/>
    <x v="7"/>
    <s v="-"/>
    <n v="0"/>
    <s v="-"/>
    <x v="2"/>
    <x v="0"/>
  </r>
  <r>
    <n v="156"/>
    <x v="155"/>
    <s v="-"/>
    <x v="48"/>
    <s v="-"/>
    <x v="148"/>
    <n v="0"/>
    <x v="0"/>
    <x v="7"/>
    <x v="2"/>
    <x v="48"/>
    <s v="-"/>
    <x v="0"/>
    <x v="1"/>
    <x v="5"/>
    <s v="Priyanka"/>
    <s v="-"/>
    <s v="-"/>
    <s v="-"/>
    <s v="-"/>
    <s v="-"/>
    <n v="0"/>
    <x v="6"/>
    <s v="-"/>
    <n v="0"/>
    <s v="-"/>
    <x v="2"/>
    <x v="0"/>
  </r>
  <r>
    <n v="157"/>
    <x v="156"/>
    <s v="-"/>
    <x v="7"/>
    <s v="-"/>
    <x v="149"/>
    <n v="0"/>
    <x v="0"/>
    <x v="3"/>
    <x v="2"/>
    <x v="67"/>
    <s v="-"/>
    <x v="0"/>
    <x v="1"/>
    <x v="0"/>
    <s v="Madhu"/>
    <s v="-"/>
    <s v="-"/>
    <d v="2017-06-21T00:00:00"/>
    <s v="Cash"/>
    <s v="-"/>
    <n v="1000"/>
    <x v="8"/>
    <s v="-"/>
    <n v="0"/>
    <s v="Paid"/>
    <x v="2"/>
    <x v="0"/>
  </r>
  <r>
    <n v="158"/>
    <x v="157"/>
    <s v="-"/>
    <x v="7"/>
    <s v="-"/>
    <x v="150"/>
    <n v="0"/>
    <x v="0"/>
    <x v="3"/>
    <x v="2"/>
    <x v="26"/>
    <s v="-"/>
    <x v="0"/>
    <x v="1"/>
    <x v="6"/>
    <s v="Neelima"/>
    <s v="-"/>
    <s v="-"/>
    <d v="2017-06-23T00:00:00"/>
    <s v="Bank"/>
    <s v="-"/>
    <n v="2000"/>
    <x v="0"/>
    <s v="-"/>
    <n v="0"/>
    <s v="-"/>
    <x v="0"/>
    <x v="0"/>
  </r>
  <r>
    <n v="159"/>
    <x v="158"/>
    <s v="-"/>
    <x v="7"/>
    <s v="-"/>
    <x v="151"/>
    <n v="0"/>
    <x v="0"/>
    <x v="3"/>
    <x v="2"/>
    <x v="0"/>
    <s v="-"/>
    <x v="0"/>
    <x v="1"/>
    <x v="5"/>
    <s v="Sowjanya"/>
    <s v="-"/>
    <s v="-"/>
    <s v="-"/>
    <s v="-"/>
    <s v="-"/>
    <n v="0"/>
    <x v="2"/>
    <s v="-"/>
    <n v="0"/>
    <s v="-"/>
    <x v="0"/>
    <x v="0"/>
  </r>
  <r>
    <n v="160"/>
    <x v="159"/>
    <s v="-"/>
    <x v="8"/>
    <s v="-"/>
    <x v="152"/>
    <n v="0"/>
    <x v="0"/>
    <x v="12"/>
    <x v="2"/>
    <x v="26"/>
    <s v="-"/>
    <x v="0"/>
    <x v="1"/>
    <x v="0"/>
    <s v="Usha Latha"/>
    <s v="-"/>
    <s v="-"/>
    <d v="2017-06-21T00:00:00"/>
    <s v="Cash"/>
    <s v="-"/>
    <n v="2500"/>
    <x v="0"/>
    <s v="-"/>
    <n v="0"/>
    <s v="-"/>
    <x v="0"/>
    <x v="0"/>
  </r>
  <r>
    <n v="161"/>
    <x v="160"/>
    <s v="-"/>
    <x v="8"/>
    <s v="-"/>
    <x v="153"/>
    <n v="0"/>
    <x v="0"/>
    <x v="3"/>
    <x v="2"/>
    <x v="26"/>
    <s v="-"/>
    <x v="0"/>
    <x v="1"/>
    <x v="5"/>
    <s v="Rajeshwari"/>
    <s v="-"/>
    <s v="-"/>
    <s v="-"/>
    <s v="-"/>
    <s v="-"/>
    <n v="0"/>
    <x v="6"/>
    <s v="-"/>
    <n v="0"/>
    <s v="-"/>
    <x v="2"/>
    <x v="0"/>
  </r>
  <r>
    <n v="162"/>
    <x v="161"/>
    <s v="-"/>
    <x v="8"/>
    <s v="-"/>
    <x v="123"/>
    <n v="0"/>
    <x v="0"/>
    <x v="14"/>
    <x v="2"/>
    <x v="60"/>
    <s v="-"/>
    <x v="0"/>
    <x v="1"/>
    <x v="0"/>
    <s v="Yamini"/>
    <s v="-"/>
    <s v="-"/>
    <s v="-"/>
    <s v="-"/>
    <s v="-"/>
    <n v="0"/>
    <x v="6"/>
    <s v="-"/>
    <n v="0"/>
    <s v="-"/>
    <x v="2"/>
    <x v="0"/>
  </r>
  <r>
    <n v="163"/>
    <x v="162"/>
    <s v="-"/>
    <x v="8"/>
    <s v="-"/>
    <x v="154"/>
    <n v="0"/>
    <x v="0"/>
    <x v="5"/>
    <x v="2"/>
    <x v="68"/>
    <s v="-"/>
    <x v="0"/>
    <x v="1"/>
    <x v="6"/>
    <s v="B.Shailaja"/>
    <s v="-"/>
    <s v="-"/>
    <s v="-"/>
    <s v="-"/>
    <s v="-"/>
    <n v="0"/>
    <x v="6"/>
    <s v="-"/>
    <n v="0"/>
    <s v="-"/>
    <x v="2"/>
    <x v="0"/>
  </r>
  <r>
    <n v="164"/>
    <x v="163"/>
    <s v="-"/>
    <x v="8"/>
    <s v="-"/>
    <x v="155"/>
    <n v="0"/>
    <x v="0"/>
    <x v="5"/>
    <x v="2"/>
    <x v="68"/>
    <s v="-"/>
    <x v="0"/>
    <x v="1"/>
    <x v="6"/>
    <s v="N.Shailaja"/>
    <s v="-"/>
    <s v="-"/>
    <s v="-"/>
    <s v="-"/>
    <s v="-"/>
    <n v="0"/>
    <x v="2"/>
    <s v="-"/>
    <n v="0"/>
    <s v="-"/>
    <x v="0"/>
    <x v="0"/>
  </r>
  <r>
    <n v="165"/>
    <x v="164"/>
    <s v="-"/>
    <x v="8"/>
    <s v="-"/>
    <x v="156"/>
    <n v="0"/>
    <x v="0"/>
    <x v="7"/>
    <x v="2"/>
    <x v="69"/>
    <s v="-"/>
    <x v="0"/>
    <x v="1"/>
    <x v="6"/>
    <s v="Sai"/>
    <s v="-"/>
    <s v="-"/>
    <d v="2017-06-21T00:00:00"/>
    <s v="Cash"/>
    <s v="-"/>
    <n v="1000"/>
    <x v="8"/>
    <s v="-"/>
    <n v="0"/>
    <s v="Paid"/>
    <x v="2"/>
    <x v="0"/>
  </r>
  <r>
    <n v="166"/>
    <x v="165"/>
    <s v="-"/>
    <x v="8"/>
    <s v="-"/>
    <x v="157"/>
    <n v="0"/>
    <x v="0"/>
    <x v="5"/>
    <x v="2"/>
    <x v="70"/>
    <s v="-"/>
    <x v="0"/>
    <x v="1"/>
    <x v="6"/>
    <s v="Rajini"/>
    <s v="-"/>
    <s v="-"/>
    <d v="2017-06-21T00:00:00"/>
    <s v="Cash"/>
    <s v="-"/>
    <n v="4500"/>
    <x v="0"/>
    <s v="-"/>
    <n v="0"/>
    <s v="-"/>
    <x v="0"/>
    <x v="0"/>
  </r>
  <r>
    <n v="167"/>
    <x v="166"/>
    <s v="-"/>
    <x v="9"/>
    <s v="-"/>
    <x v="158"/>
    <n v="0"/>
    <x v="0"/>
    <x v="0"/>
    <x v="2"/>
    <x v="40"/>
    <s v="-"/>
    <x v="0"/>
    <x v="1"/>
    <x v="5"/>
    <s v="Leena"/>
    <s v="-"/>
    <s v="-"/>
    <d v="2017-06-22T00:00:00"/>
    <s v="Cash"/>
    <s v="-"/>
    <n v="3000"/>
    <x v="0"/>
    <s v="-"/>
    <n v="0"/>
    <s v="-"/>
    <x v="0"/>
    <x v="0"/>
  </r>
  <r>
    <n v="168"/>
    <x v="167"/>
    <s v="-"/>
    <x v="9"/>
    <s v="-"/>
    <x v="159"/>
    <n v="0"/>
    <x v="0"/>
    <x v="5"/>
    <x v="2"/>
    <x v="67"/>
    <s v="-"/>
    <x v="0"/>
    <x v="1"/>
    <x v="6"/>
    <s v="Priyanka"/>
    <s v="-"/>
    <s v="-"/>
    <d v="2017-06-29T00:00:00"/>
    <s v="Cash"/>
    <s v="-"/>
    <n v="3000"/>
    <x v="0"/>
    <s v="-"/>
    <n v="0"/>
    <s v="-"/>
    <x v="0"/>
    <x v="0"/>
  </r>
  <r>
    <n v="169"/>
    <x v="168"/>
    <s v="-"/>
    <x v="9"/>
    <s v="-"/>
    <x v="160"/>
    <n v="0"/>
    <x v="0"/>
    <x v="3"/>
    <x v="2"/>
    <x v="44"/>
    <s v="-"/>
    <x v="0"/>
    <x v="1"/>
    <x v="6"/>
    <s v="Madhu"/>
    <s v="-"/>
    <s v="-"/>
    <d v="2017-06-24T00:00:00"/>
    <s v="Cash"/>
    <s v="-"/>
    <n v="1000"/>
    <x v="8"/>
    <s v="-"/>
    <n v="0"/>
    <s v="Paid"/>
    <x v="2"/>
    <x v="0"/>
  </r>
  <r>
    <n v="170"/>
    <x v="169"/>
    <s v="-"/>
    <x v="9"/>
    <s v="-"/>
    <x v="161"/>
    <n v="0"/>
    <x v="0"/>
    <x v="3"/>
    <x v="2"/>
    <x v="71"/>
    <s v="-"/>
    <x v="0"/>
    <x v="1"/>
    <x v="6"/>
    <s v="Neelima"/>
    <s v="-"/>
    <s v="-"/>
    <s v="-"/>
    <s v="-"/>
    <s v="-"/>
    <n v="0"/>
    <x v="6"/>
    <s v="-"/>
    <n v="0"/>
    <s v="-"/>
    <x v="2"/>
    <x v="0"/>
  </r>
  <r>
    <n v="171"/>
    <x v="170"/>
    <s v="-"/>
    <x v="9"/>
    <s v="-"/>
    <x v="162"/>
    <n v="0"/>
    <x v="0"/>
    <x v="0"/>
    <x v="2"/>
    <x v="72"/>
    <s v="-"/>
    <x v="0"/>
    <x v="1"/>
    <x v="5"/>
    <s v="Sowjanya"/>
    <s v="-"/>
    <s v="-"/>
    <d v="2017-06-24T00:00:00"/>
    <s v="Cash"/>
    <s v="-"/>
    <n v="3000"/>
    <x v="0"/>
    <s v="-"/>
    <n v="0"/>
    <s v="-"/>
    <x v="0"/>
    <x v="0"/>
  </r>
  <r>
    <n v="172"/>
    <x v="171"/>
    <s v="-"/>
    <x v="49"/>
    <s v="-"/>
    <x v="163"/>
    <n v="0"/>
    <x v="0"/>
    <x v="3"/>
    <x v="2"/>
    <x v="73"/>
    <s v="-"/>
    <x v="0"/>
    <x v="1"/>
    <x v="6"/>
    <s v="Usha Latha"/>
    <s v="-"/>
    <s v="-"/>
    <s v="-"/>
    <s v="-"/>
    <s v="-"/>
    <n v="0"/>
    <x v="2"/>
    <s v="-"/>
    <n v="0"/>
    <s v="-"/>
    <x v="0"/>
    <x v="0"/>
  </r>
  <r>
    <n v="173"/>
    <x v="172"/>
    <s v="-"/>
    <x v="49"/>
    <s v="-"/>
    <x v="164"/>
    <n v="0"/>
    <x v="0"/>
    <x v="7"/>
    <x v="2"/>
    <x v="54"/>
    <s v="-"/>
    <x v="0"/>
    <x v="1"/>
    <x v="6"/>
    <s v="Rajeshwari"/>
    <s v="-"/>
    <s v="-"/>
    <s v="-"/>
    <s v="-"/>
    <s v="-"/>
    <n v="0"/>
    <x v="6"/>
    <s v="-"/>
    <n v="0"/>
    <s v="-"/>
    <x v="2"/>
    <x v="0"/>
  </r>
  <r>
    <n v="174"/>
    <x v="173"/>
    <s v="-"/>
    <x v="49"/>
    <s v="-"/>
    <x v="165"/>
    <n v="0"/>
    <x v="0"/>
    <x v="3"/>
    <x v="2"/>
    <x v="64"/>
    <s v="-"/>
    <x v="0"/>
    <x v="1"/>
    <x v="5"/>
    <s v="Yamini"/>
    <s v="-"/>
    <s v="-"/>
    <s v="-"/>
    <s v="-"/>
    <s v="-"/>
    <n v="0"/>
    <x v="6"/>
    <s v="-"/>
    <n v="0"/>
    <s v="-"/>
    <x v="2"/>
    <x v="0"/>
  </r>
  <r>
    <n v="175"/>
    <x v="174"/>
    <s v="-"/>
    <x v="49"/>
    <s v="-"/>
    <x v="123"/>
    <n v="0"/>
    <x v="0"/>
    <x v="5"/>
    <x v="2"/>
    <x v="74"/>
    <s v="-"/>
    <x v="0"/>
    <x v="1"/>
    <x v="6"/>
    <s v="B.Shailaja"/>
    <s v="-"/>
    <s v="-"/>
    <d v="2017-06-24T00:00:00"/>
    <s v="Cash"/>
    <s v="-"/>
    <n v="3000"/>
    <x v="0"/>
    <s v="-"/>
    <n v="0"/>
    <s v="-"/>
    <x v="0"/>
    <x v="0"/>
  </r>
  <r>
    <n v="176"/>
    <x v="175"/>
    <s v="-"/>
    <x v="50"/>
    <s v="-"/>
    <x v="166"/>
    <n v="0"/>
    <x v="0"/>
    <x v="5"/>
    <x v="2"/>
    <x v="40"/>
    <s v="-"/>
    <x v="0"/>
    <x v="1"/>
    <x v="5"/>
    <s v="N.Shailaja"/>
    <s v="-"/>
    <s v="-"/>
    <s v="-"/>
    <s v="-"/>
    <s v="-"/>
    <n v="0"/>
    <x v="2"/>
    <s v="-"/>
    <n v="0"/>
    <s v="-"/>
    <x v="0"/>
    <x v="0"/>
  </r>
  <r>
    <n v="177"/>
    <x v="176"/>
    <s v="-"/>
    <x v="10"/>
    <s v="-"/>
    <x v="167"/>
    <n v="0"/>
    <x v="0"/>
    <x v="5"/>
    <x v="2"/>
    <x v="75"/>
    <s v="-"/>
    <x v="0"/>
    <x v="1"/>
    <x v="5"/>
    <s v="Sai"/>
    <s v="-"/>
    <s v="-"/>
    <s v="-"/>
    <s v="-"/>
    <s v="-"/>
    <n v="0"/>
    <x v="4"/>
    <s v="-"/>
    <n v="0"/>
    <s v="-"/>
    <x v="0"/>
    <x v="0"/>
  </r>
  <r>
    <n v="178"/>
    <x v="177"/>
    <s v="-"/>
    <x v="50"/>
    <s v="-"/>
    <x v="168"/>
    <n v="0"/>
    <x v="0"/>
    <x v="5"/>
    <x v="2"/>
    <x v="26"/>
    <s v="-"/>
    <x v="0"/>
    <x v="1"/>
    <x v="5"/>
    <s v="Rajini"/>
    <s v="-"/>
    <s v="-"/>
    <s v="-"/>
    <s v="-"/>
    <s v="-"/>
    <n v="0"/>
    <x v="6"/>
    <s v="-"/>
    <n v="0"/>
    <s v="-"/>
    <x v="2"/>
    <x v="0"/>
  </r>
  <r>
    <n v="179"/>
    <x v="178"/>
    <s v="-"/>
    <x v="50"/>
    <s v="-"/>
    <x v="169"/>
    <n v="0"/>
    <x v="0"/>
    <x v="5"/>
    <x v="2"/>
    <x v="76"/>
    <s v="-"/>
    <x v="0"/>
    <x v="1"/>
    <x v="6"/>
    <s v="Leena"/>
    <s v="-"/>
    <s v="-"/>
    <s v="-"/>
    <s v="-"/>
    <s v="-"/>
    <n v="0"/>
    <x v="2"/>
    <s v="-"/>
    <n v="0"/>
    <s v="-"/>
    <x v="0"/>
    <x v="0"/>
  </r>
  <r>
    <n v="180"/>
    <x v="179"/>
    <s v="-"/>
    <x v="50"/>
    <s v="-"/>
    <x v="170"/>
    <n v="0"/>
    <x v="0"/>
    <x v="3"/>
    <x v="2"/>
    <x v="44"/>
    <s v="-"/>
    <x v="0"/>
    <x v="1"/>
    <x v="6"/>
    <s v="Priyanka"/>
    <s v="-"/>
    <s v="-"/>
    <d v="2017-06-30T00:00:00"/>
    <s v="Bank"/>
    <s v="-"/>
    <n v="4000"/>
    <x v="0"/>
    <s v="-"/>
    <n v="0"/>
    <s v="-"/>
    <x v="0"/>
    <x v="0"/>
  </r>
  <r>
    <n v="181"/>
    <x v="180"/>
    <s v="-"/>
    <x v="10"/>
    <s v="-"/>
    <x v="171"/>
    <n v="0"/>
    <x v="0"/>
    <x v="3"/>
    <x v="2"/>
    <x v="77"/>
    <s v="-"/>
    <x v="0"/>
    <x v="1"/>
    <x v="0"/>
    <s v="Madhu"/>
    <s v="-"/>
    <s v="-"/>
    <s v="-"/>
    <s v="-"/>
    <s v="-"/>
    <n v="0"/>
    <x v="6"/>
    <s v="-"/>
    <n v="0"/>
    <s v="-"/>
    <x v="2"/>
    <x v="0"/>
  </r>
  <r>
    <n v="182"/>
    <x v="181"/>
    <s v="-"/>
    <x v="10"/>
    <s v="-"/>
    <x v="172"/>
    <n v="0"/>
    <x v="0"/>
    <x v="3"/>
    <x v="2"/>
    <x v="77"/>
    <s v="-"/>
    <x v="0"/>
    <x v="1"/>
    <x v="0"/>
    <s v="Neelima"/>
    <s v="-"/>
    <s v="-"/>
    <s v="-"/>
    <s v="-"/>
    <s v="-"/>
    <n v="0"/>
    <x v="2"/>
    <s v="-"/>
    <n v="0"/>
    <s v="-"/>
    <x v="0"/>
    <x v="0"/>
  </r>
  <r>
    <n v="183"/>
    <x v="182"/>
    <s v="-"/>
    <x v="11"/>
    <s v="-"/>
    <x v="173"/>
    <n v="0"/>
    <x v="0"/>
    <x v="3"/>
    <x v="2"/>
    <x v="58"/>
    <s v="-"/>
    <x v="0"/>
    <x v="1"/>
    <x v="0"/>
    <s v="Neelima"/>
    <s v="-"/>
    <s v="-"/>
    <s v="-"/>
    <s v="-"/>
    <s v="-"/>
    <n v="0"/>
    <x v="6"/>
    <s v="-"/>
    <n v="0"/>
    <s v="-"/>
    <x v="2"/>
    <x v="0"/>
  </r>
  <r>
    <n v="184"/>
    <x v="183"/>
    <s v="-"/>
    <x v="11"/>
    <s v="-"/>
    <x v="174"/>
    <n v="0"/>
    <x v="0"/>
    <x v="5"/>
    <x v="2"/>
    <x v="78"/>
    <s v="-"/>
    <x v="0"/>
    <x v="1"/>
    <x v="0"/>
    <s v="Sowjanya"/>
    <s v="-"/>
    <s v="-"/>
    <d v="2017-06-29T00:00:00"/>
    <s v="Cash"/>
    <s v="-"/>
    <n v="3000"/>
    <x v="0"/>
    <s v="-"/>
    <n v="0"/>
    <s v="-"/>
    <x v="0"/>
    <x v="0"/>
  </r>
  <r>
    <n v="185"/>
    <x v="184"/>
    <s v="-"/>
    <x v="11"/>
    <s v="-"/>
    <x v="175"/>
    <n v="0"/>
    <x v="0"/>
    <x v="3"/>
    <x v="2"/>
    <x v="40"/>
    <s v="-"/>
    <x v="0"/>
    <x v="1"/>
    <x v="0"/>
    <s v="Usha Latha"/>
    <s v="-"/>
    <s v="-"/>
    <s v="-"/>
    <s v="-"/>
    <s v="-"/>
    <n v="0"/>
    <x v="6"/>
    <s v="-"/>
    <n v="0"/>
    <s v="-"/>
    <x v="2"/>
    <x v="0"/>
  </r>
  <r>
    <n v="186"/>
    <x v="185"/>
    <s v="-"/>
    <x v="11"/>
    <s v="-"/>
    <x v="176"/>
    <n v="0"/>
    <x v="0"/>
    <x v="5"/>
    <x v="2"/>
    <x v="66"/>
    <s v="-"/>
    <x v="0"/>
    <x v="1"/>
    <x v="0"/>
    <s v="Rajeshwari"/>
    <s v="-"/>
    <s v="-"/>
    <s v="-"/>
    <s v="-"/>
    <s v="-"/>
    <n v="0"/>
    <x v="6"/>
    <s v="-"/>
    <n v="0"/>
    <s v="-"/>
    <x v="2"/>
    <x v="0"/>
  </r>
  <r>
    <n v="187"/>
    <x v="186"/>
    <s v="-"/>
    <x v="51"/>
    <s v="-"/>
    <x v="177"/>
    <n v="0"/>
    <x v="0"/>
    <x v="3"/>
    <x v="2"/>
    <x v="45"/>
    <s v="-"/>
    <x v="0"/>
    <x v="1"/>
    <x v="0"/>
    <s v="Yamini"/>
    <s v="-"/>
    <s v="-"/>
    <d v="2017-06-30T00:00:00"/>
    <s v="Cash"/>
    <s v="-"/>
    <n v="3000"/>
    <x v="0"/>
    <s v="-"/>
    <n v="0"/>
    <s v="-"/>
    <x v="0"/>
    <x v="0"/>
  </r>
  <r>
    <n v="188"/>
    <x v="187"/>
    <s v="-"/>
    <x v="51"/>
    <s v="-"/>
    <x v="178"/>
    <n v="0"/>
    <x v="0"/>
    <x v="3"/>
    <x v="2"/>
    <x v="0"/>
    <s v="-"/>
    <x v="0"/>
    <x v="1"/>
    <x v="6"/>
    <s v="B.Shailaja"/>
    <s v="-"/>
    <s v="-"/>
    <s v="-"/>
    <s v="-"/>
    <s v="-"/>
    <n v="0"/>
    <x v="6"/>
    <s v="-"/>
    <n v="0"/>
    <s v="-"/>
    <x v="2"/>
    <x v="0"/>
  </r>
  <r>
    <n v="189"/>
    <x v="188"/>
    <s v="-"/>
    <x v="52"/>
    <s v="-"/>
    <x v="179"/>
    <n v="0"/>
    <x v="0"/>
    <x v="0"/>
    <x v="2"/>
    <x v="79"/>
    <s v="-"/>
    <x v="0"/>
    <x v="1"/>
    <x v="0"/>
    <s v="N.Shailaja"/>
    <s v="-"/>
    <s v="-"/>
    <s v="-"/>
    <s v="-"/>
    <s v="-"/>
    <n v="0"/>
    <x v="1"/>
    <s v="-"/>
    <n v="0"/>
    <s v="-"/>
    <x v="1"/>
    <x v="0"/>
  </r>
  <r>
    <n v="190"/>
    <x v="189"/>
    <s v="-"/>
    <x v="52"/>
    <s v="-"/>
    <x v="149"/>
    <n v="0"/>
    <x v="0"/>
    <x v="5"/>
    <x v="2"/>
    <x v="80"/>
    <s v="-"/>
    <x v="0"/>
    <x v="1"/>
    <x v="5"/>
    <s v="Sai"/>
    <s v="-"/>
    <s v="-"/>
    <d v="2017-06-30T00:00:00"/>
    <s v="Cash"/>
    <s v="-"/>
    <n v="1000"/>
    <x v="8"/>
    <s v="-"/>
    <n v="0"/>
    <s v="-"/>
    <x v="2"/>
    <x v="0"/>
  </r>
  <r>
    <n v="191"/>
    <x v="190"/>
    <s v="-"/>
    <x v="52"/>
    <s v="-"/>
    <x v="180"/>
    <n v="0"/>
    <x v="0"/>
    <x v="5"/>
    <x v="2"/>
    <x v="80"/>
    <s v="-"/>
    <x v="0"/>
    <x v="1"/>
    <x v="0"/>
    <s v="Rajini"/>
    <s v="-"/>
    <s v="-"/>
    <d v="2017-06-30T00:00:00"/>
    <s v="Cash"/>
    <s v="-"/>
    <n v="4000"/>
    <x v="0"/>
    <s v="-"/>
    <n v="0"/>
    <s v="-"/>
    <x v="0"/>
    <x v="0"/>
  </r>
  <r>
    <n v="192"/>
    <x v="191"/>
    <s v="-"/>
    <x v="42"/>
    <s v="-"/>
    <x v="181"/>
    <n v="0"/>
    <x v="0"/>
    <x v="0"/>
    <x v="3"/>
    <x v="8"/>
    <s v="-"/>
    <x v="0"/>
    <x v="1"/>
    <x v="5"/>
    <s v="Leena"/>
    <s v="-"/>
    <s v="-"/>
    <d v="2017-06-03T00:00:00"/>
    <s v="Bank"/>
    <s v="-"/>
    <n v="3000"/>
    <x v="0"/>
    <s v="-"/>
    <n v="0"/>
    <s v="-"/>
    <x v="0"/>
    <x v="0"/>
  </r>
  <r>
    <n v="193"/>
    <x v="192"/>
    <s v="-"/>
    <x v="42"/>
    <s v="-"/>
    <x v="182"/>
    <n v="0"/>
    <x v="0"/>
    <x v="10"/>
    <x v="3"/>
    <x v="26"/>
    <s v="-"/>
    <x v="0"/>
    <x v="1"/>
    <x v="6"/>
    <s v="Priyanka"/>
    <s v="-"/>
    <s v="-"/>
    <d v="2017-06-01T00:00:00"/>
    <s v="Cash"/>
    <s v="-"/>
    <n v="1500"/>
    <x v="0"/>
    <s v="-"/>
    <n v="0"/>
    <s v="-"/>
    <x v="0"/>
    <x v="0"/>
  </r>
  <r>
    <n v="194"/>
    <x v="193"/>
    <s v="-"/>
    <x v="42"/>
    <s v="-"/>
    <x v="183"/>
    <n v="0"/>
    <x v="0"/>
    <x v="10"/>
    <x v="3"/>
    <x v="81"/>
    <s v="-"/>
    <x v="0"/>
    <x v="1"/>
    <x v="6"/>
    <s v="Madhu"/>
    <s v="-"/>
    <s v="-"/>
    <d v="2017-06-01T00:00:00"/>
    <s v="Cash"/>
    <s v="-"/>
    <n v="1000"/>
    <x v="0"/>
    <s v="-"/>
    <n v="0"/>
    <s v="-"/>
    <x v="0"/>
    <x v="0"/>
  </r>
  <r>
    <n v="195"/>
    <x v="194"/>
    <s v="-"/>
    <x v="42"/>
    <s v="-"/>
    <x v="184"/>
    <n v="0"/>
    <x v="0"/>
    <x v="4"/>
    <x v="3"/>
    <x v="82"/>
    <s v="-"/>
    <x v="0"/>
    <x v="1"/>
    <x v="6"/>
    <s v="Neelima"/>
    <s v="-"/>
    <s v="-"/>
    <d v="2017-06-03T00:00:00"/>
    <s v="Cash"/>
    <s v="-"/>
    <n v="4000"/>
    <x v="0"/>
    <s v="-"/>
    <n v="0"/>
    <s v="-"/>
    <x v="0"/>
    <x v="0"/>
  </r>
  <r>
    <n v="196"/>
    <x v="195"/>
    <s v="-"/>
    <x v="42"/>
    <s v="-"/>
    <x v="185"/>
    <n v="0"/>
    <x v="0"/>
    <x v="3"/>
    <x v="3"/>
    <x v="83"/>
    <s v="-"/>
    <x v="0"/>
    <x v="1"/>
    <x v="5"/>
    <s v="Sowjanya"/>
    <s v="-"/>
    <s v="-"/>
    <s v="-"/>
    <s v="-"/>
    <s v="-"/>
    <n v="0"/>
    <x v="2"/>
    <s v="-"/>
    <n v="0"/>
    <s v="-"/>
    <x v="0"/>
    <x v="0"/>
  </r>
  <r>
    <n v="197"/>
    <x v="196"/>
    <s v="-"/>
    <x v="44"/>
    <s v="-"/>
    <x v="186"/>
    <n v="0"/>
    <x v="0"/>
    <x v="3"/>
    <x v="3"/>
    <x v="9"/>
    <s v="-"/>
    <x v="0"/>
    <x v="1"/>
    <x v="6"/>
    <s v="Usha Latha"/>
    <s v="-"/>
    <s v="-"/>
    <s v="-"/>
    <s v="-"/>
    <s v="-"/>
    <n v="0"/>
    <x v="3"/>
    <s v="-"/>
    <n v="0"/>
    <s v="-"/>
    <x v="2"/>
    <x v="0"/>
  </r>
  <r>
    <n v="198"/>
    <x v="197"/>
    <s v="-"/>
    <x v="44"/>
    <s v="-"/>
    <x v="187"/>
    <n v="0"/>
    <x v="0"/>
    <x v="3"/>
    <x v="3"/>
    <x v="66"/>
    <s v="-"/>
    <x v="0"/>
    <x v="1"/>
    <x v="6"/>
    <s v="Rajeshwari"/>
    <s v="-"/>
    <s v="-"/>
    <d v="2017-06-09T00:00:00"/>
    <s v="Bank"/>
    <s v="-"/>
    <n v="2500"/>
    <x v="0"/>
    <s v="-"/>
    <n v="0"/>
    <s v="-"/>
    <x v="0"/>
    <x v="0"/>
  </r>
  <r>
    <n v="199"/>
    <x v="198"/>
    <s v="-"/>
    <x v="44"/>
    <s v="-"/>
    <x v="188"/>
    <n v="0"/>
    <x v="0"/>
    <x v="3"/>
    <x v="3"/>
    <x v="66"/>
    <s v="-"/>
    <x v="0"/>
    <x v="1"/>
    <x v="6"/>
    <s v="Yamini"/>
    <s v="-"/>
    <s v="-"/>
    <d v="2017-06-09T00:00:00"/>
    <s v="Bank"/>
    <s v="-"/>
    <n v="2500"/>
    <x v="0"/>
    <s v="-"/>
    <n v="0"/>
    <s v="-"/>
    <x v="0"/>
    <x v="0"/>
  </r>
  <r>
    <n v="200"/>
    <x v="199"/>
    <s v="-"/>
    <x v="44"/>
    <s v="-"/>
    <x v="189"/>
    <n v="0"/>
    <x v="0"/>
    <x v="3"/>
    <x v="3"/>
    <x v="66"/>
    <s v="-"/>
    <x v="0"/>
    <x v="1"/>
    <x v="6"/>
    <s v="B.Shailaja"/>
    <s v="-"/>
    <s v="-"/>
    <d v="2017-06-09T00:00:00"/>
    <s v="Bank"/>
    <s v="-"/>
    <n v="2500"/>
    <x v="0"/>
    <s v="-"/>
    <n v="0"/>
    <s v="-"/>
    <x v="0"/>
    <x v="0"/>
  </r>
  <r>
    <n v="201"/>
    <x v="200"/>
    <s v="-"/>
    <x v="44"/>
    <s v="-"/>
    <x v="190"/>
    <n v="0"/>
    <x v="0"/>
    <x v="3"/>
    <x v="3"/>
    <x v="66"/>
    <s v="-"/>
    <x v="0"/>
    <x v="1"/>
    <x v="6"/>
    <s v="N.Shailaja"/>
    <s v="-"/>
    <s v="-"/>
    <d v="2017-06-09T00:00:00"/>
    <s v="Bank"/>
    <s v="-"/>
    <n v="2500"/>
    <x v="0"/>
    <s v="-"/>
    <n v="0"/>
    <s v="-"/>
    <x v="0"/>
    <x v="0"/>
  </r>
  <r>
    <n v="202"/>
    <x v="201"/>
    <s v="-"/>
    <x v="44"/>
    <s v="-"/>
    <x v="191"/>
    <n v="0"/>
    <x v="0"/>
    <x v="3"/>
    <x v="3"/>
    <x v="66"/>
    <s v="-"/>
    <x v="0"/>
    <x v="1"/>
    <x v="6"/>
    <s v="Sai"/>
    <s v="-"/>
    <s v="-"/>
    <d v="2017-06-09T00:00:00"/>
    <s v="Bank"/>
    <s v="-"/>
    <n v="2500"/>
    <x v="0"/>
    <s v="-"/>
    <n v="0"/>
    <s v="-"/>
    <x v="0"/>
    <x v="0"/>
  </r>
  <r>
    <n v="203"/>
    <x v="202"/>
    <s v="-"/>
    <x v="44"/>
    <s v="-"/>
    <x v="192"/>
    <n v="0"/>
    <x v="0"/>
    <x v="3"/>
    <x v="3"/>
    <x v="84"/>
    <s v="-"/>
    <x v="0"/>
    <x v="1"/>
    <x v="5"/>
    <s v="Rajini"/>
    <s v="-"/>
    <s v="-"/>
    <d v="2017-06-06T00:00:00"/>
    <s v="Cash"/>
    <s v="-"/>
    <n v="3000"/>
    <x v="0"/>
    <s v="-"/>
    <n v="0"/>
    <s v="-"/>
    <x v="0"/>
    <x v="0"/>
  </r>
  <r>
    <n v="204"/>
    <x v="203"/>
    <s v="-"/>
    <x v="44"/>
    <s v="-"/>
    <x v="193"/>
    <n v="0"/>
    <x v="0"/>
    <x v="3"/>
    <x v="3"/>
    <x v="84"/>
    <s v="-"/>
    <x v="0"/>
    <x v="1"/>
    <x v="6"/>
    <s v="Leena"/>
    <s v="-"/>
    <s v="-"/>
    <s v="-"/>
    <s v="-"/>
    <s v="-"/>
    <n v="0"/>
    <x v="2"/>
    <s v="-"/>
    <n v="0"/>
    <s v="-"/>
    <x v="0"/>
    <x v="0"/>
  </r>
  <r>
    <n v="205"/>
    <x v="204"/>
    <s v="-"/>
    <x v="44"/>
    <s v="-"/>
    <x v="194"/>
    <n v="0"/>
    <x v="0"/>
    <x v="3"/>
    <x v="3"/>
    <x v="85"/>
    <s v="-"/>
    <x v="0"/>
    <x v="1"/>
    <x v="5"/>
    <s v="Priyanka"/>
    <s v="-"/>
    <s v="-"/>
    <d v="2017-06-05T00:00:00"/>
    <s v="Bank"/>
    <s v="-"/>
    <n v="4000"/>
    <x v="0"/>
    <s v="-"/>
    <n v="0"/>
    <s v="-"/>
    <x v="0"/>
    <x v="0"/>
  </r>
  <r>
    <n v="206"/>
    <x v="205"/>
    <s v="-"/>
    <x v="0"/>
    <s v="-"/>
    <x v="195"/>
    <n v="0"/>
    <x v="0"/>
    <x v="3"/>
    <x v="3"/>
    <x v="85"/>
    <s v="-"/>
    <x v="0"/>
    <x v="1"/>
    <x v="5"/>
    <s v="Madhu"/>
    <s v="-"/>
    <s v="-"/>
    <d v="2017-06-06T00:00:00"/>
    <s v="Cash"/>
    <s v="-"/>
    <n v="1000"/>
    <x v="9"/>
    <s v="-"/>
    <n v="0"/>
    <s v="Rejected"/>
    <x v="2"/>
    <x v="0"/>
  </r>
  <r>
    <n v="207"/>
    <x v="206"/>
    <s v="-"/>
    <x v="1"/>
    <s v="-"/>
    <x v="196"/>
    <n v="0"/>
    <x v="0"/>
    <x v="3"/>
    <x v="3"/>
    <x v="84"/>
    <s v="-"/>
    <x v="0"/>
    <x v="1"/>
    <x v="6"/>
    <s v="Neelima"/>
    <s v="-"/>
    <s v="-"/>
    <d v="2017-06-07T00:00:00"/>
    <s v="Cash"/>
    <s v="-"/>
    <n v="1000"/>
    <x v="0"/>
    <s v="-"/>
    <n v="0"/>
    <s v="-"/>
    <x v="0"/>
    <x v="0"/>
  </r>
  <r>
    <n v="208"/>
    <x v="207"/>
    <s v="-"/>
    <x v="45"/>
    <s v="-"/>
    <x v="197"/>
    <n v="0"/>
    <x v="0"/>
    <x v="5"/>
    <x v="3"/>
    <x v="86"/>
    <s v="-"/>
    <x v="0"/>
    <x v="1"/>
    <x v="6"/>
    <s v="Sowjanya"/>
    <s v="-"/>
    <s v="-"/>
    <d v="2017-06-07T00:00:00"/>
    <s v="Cash"/>
    <s v="-"/>
    <n v="1000"/>
    <x v="0"/>
    <s v="-"/>
    <n v="0"/>
    <s v="-"/>
    <x v="0"/>
    <x v="0"/>
  </r>
  <r>
    <n v="209"/>
    <x v="208"/>
    <s v="-"/>
    <x v="45"/>
    <s v="-"/>
    <x v="198"/>
    <n v="0"/>
    <x v="0"/>
    <x v="5"/>
    <x v="3"/>
    <x v="86"/>
    <s v="-"/>
    <x v="0"/>
    <x v="1"/>
    <x v="6"/>
    <s v="Usha Latha"/>
    <s v="-"/>
    <s v="-"/>
    <d v="2017-06-09T00:00:00"/>
    <s v="Cash"/>
    <s v="-"/>
    <n v="5000"/>
    <x v="0"/>
    <s v="-"/>
    <n v="0"/>
    <s v="-"/>
    <x v="0"/>
    <x v="0"/>
  </r>
  <r>
    <n v="210"/>
    <x v="209"/>
    <s v="-"/>
    <x v="45"/>
    <s v="-"/>
    <x v="199"/>
    <n v="0"/>
    <x v="0"/>
    <x v="3"/>
    <x v="3"/>
    <x v="86"/>
    <s v="-"/>
    <x v="0"/>
    <x v="1"/>
    <x v="0"/>
    <s v="Rajeshwari"/>
    <s v="-"/>
    <s v="-"/>
    <d v="2017-06-07T00:00:00"/>
    <s v="Cash"/>
    <s v="-"/>
    <n v="1000"/>
    <x v="0"/>
    <s v="-"/>
    <n v="0"/>
    <s v="-"/>
    <x v="0"/>
    <x v="0"/>
  </r>
  <r>
    <n v="211"/>
    <x v="210"/>
    <s v="-"/>
    <x v="2"/>
    <s v="-"/>
    <x v="200"/>
    <n v="0"/>
    <x v="0"/>
    <x v="3"/>
    <x v="3"/>
    <x v="87"/>
    <s v="-"/>
    <x v="0"/>
    <x v="1"/>
    <x v="5"/>
    <s v="Yamini"/>
    <s v="-"/>
    <s v="-"/>
    <d v="2017-06-21T00:00:00"/>
    <s v="Bank"/>
    <s v="-"/>
    <n v="7500"/>
    <x v="0"/>
    <s v="-"/>
    <n v="0"/>
    <s v="-"/>
    <x v="0"/>
    <x v="0"/>
  </r>
  <r>
    <n v="212"/>
    <x v="211"/>
    <s v="-"/>
    <x v="2"/>
    <s v="-"/>
    <x v="201"/>
    <n v="0"/>
    <x v="0"/>
    <x v="3"/>
    <x v="3"/>
    <x v="84"/>
    <s v="-"/>
    <x v="0"/>
    <x v="1"/>
    <x v="5"/>
    <s v="B.Shailaja"/>
    <s v="-"/>
    <s v="-"/>
    <d v="2017-06-17T00:00:00"/>
    <s v="Cash"/>
    <s v="-"/>
    <n v="6000"/>
    <x v="0"/>
    <s v="-"/>
    <n v="0"/>
    <s v="-"/>
    <x v="0"/>
    <x v="0"/>
  </r>
  <r>
    <n v="213"/>
    <x v="212"/>
    <s v="-"/>
    <x v="2"/>
    <s v="-"/>
    <x v="202"/>
    <n v="0"/>
    <x v="0"/>
    <x v="3"/>
    <x v="3"/>
    <x v="87"/>
    <s v="-"/>
    <x v="0"/>
    <x v="1"/>
    <x v="5"/>
    <s v="N.Shailaja"/>
    <s v="-"/>
    <s v="-"/>
    <d v="2017-06-17T00:00:00"/>
    <s v="Bank"/>
    <s v="-"/>
    <n v="5000"/>
    <x v="0"/>
    <s v="-"/>
    <n v="0"/>
    <s v="-"/>
    <x v="0"/>
    <x v="0"/>
  </r>
  <r>
    <n v="214"/>
    <x v="213"/>
    <s v="-"/>
    <x v="2"/>
    <s v="-"/>
    <x v="202"/>
    <n v="0"/>
    <x v="0"/>
    <x v="3"/>
    <x v="3"/>
    <x v="87"/>
    <s v="-"/>
    <x v="0"/>
    <x v="1"/>
    <x v="5"/>
    <s v="Sai"/>
    <s v="-"/>
    <s v="-"/>
    <d v="2017-06-17T00:00:00"/>
    <s v="Bank"/>
    <s v="-"/>
    <n v="4000"/>
    <x v="0"/>
    <s v="-"/>
    <n v="0"/>
    <s v="-"/>
    <x v="0"/>
    <x v="0"/>
  </r>
  <r>
    <n v="215"/>
    <x v="214"/>
    <s v="-"/>
    <x v="2"/>
    <s v="-"/>
    <x v="203"/>
    <n v="0"/>
    <x v="0"/>
    <x v="3"/>
    <x v="3"/>
    <x v="87"/>
    <s v="-"/>
    <x v="0"/>
    <x v="1"/>
    <x v="5"/>
    <s v="Rajini"/>
    <s v="-"/>
    <s v="-"/>
    <d v="2017-06-13T00:00:00"/>
    <s v="Cash"/>
    <s v="-"/>
    <n v="5000"/>
    <x v="0"/>
    <s v="-"/>
    <n v="0"/>
    <s v="-"/>
    <x v="0"/>
    <x v="0"/>
  </r>
  <r>
    <n v="216"/>
    <x v="215"/>
    <s v="-"/>
    <x v="53"/>
    <s v="-"/>
    <x v="204"/>
    <n v="0"/>
    <x v="0"/>
    <x v="3"/>
    <x v="3"/>
    <x v="87"/>
    <s v="-"/>
    <x v="0"/>
    <x v="1"/>
    <x v="5"/>
    <s v="Leena"/>
    <s v="-"/>
    <s v="-"/>
    <s v="-"/>
    <s v="-"/>
    <s v="-"/>
    <n v="0"/>
    <x v="2"/>
    <s v="-"/>
    <n v="0"/>
    <s v="-"/>
    <x v="0"/>
    <x v="0"/>
  </r>
  <r>
    <n v="217"/>
    <x v="216"/>
    <s v="-"/>
    <x v="3"/>
    <s v="-"/>
    <x v="205"/>
    <n v="0"/>
    <x v="0"/>
    <x v="5"/>
    <x v="3"/>
    <x v="83"/>
    <s v="-"/>
    <x v="0"/>
    <x v="1"/>
    <x v="6"/>
    <s v="Priyanka"/>
    <s v="-"/>
    <s v="-"/>
    <d v="2017-06-13T00:00:00"/>
    <s v="Cash"/>
    <s v="-"/>
    <n v="1000"/>
    <x v="0"/>
    <s v="-"/>
    <n v="0"/>
    <s v="-"/>
    <x v="0"/>
    <x v="0"/>
  </r>
  <r>
    <n v="218"/>
    <x v="217"/>
    <s v="-"/>
    <x v="3"/>
    <s v="-"/>
    <x v="206"/>
    <n v="0"/>
    <x v="0"/>
    <x v="3"/>
    <x v="3"/>
    <x v="8"/>
    <s v="-"/>
    <x v="0"/>
    <x v="1"/>
    <x v="6"/>
    <s v="Madhu"/>
    <s v="-"/>
    <s v="-"/>
    <d v="2017-06-16T00:00:00"/>
    <s v="Cash"/>
    <s v="-"/>
    <n v="3500"/>
    <x v="0"/>
    <s v="-"/>
    <n v="0"/>
    <s v="-"/>
    <x v="0"/>
    <x v="0"/>
  </r>
  <r>
    <n v="219"/>
    <x v="218"/>
    <s v="-"/>
    <x v="3"/>
    <s v="-"/>
    <x v="207"/>
    <n v="0"/>
    <x v="0"/>
    <x v="3"/>
    <x v="3"/>
    <x v="8"/>
    <s v="-"/>
    <x v="0"/>
    <x v="1"/>
    <x v="6"/>
    <s v="Neelima"/>
    <s v="-"/>
    <s v="-"/>
    <d v="2017-06-20T00:00:00"/>
    <s v="Cash"/>
    <s v="-"/>
    <n v="3000"/>
    <x v="0"/>
    <s v="-"/>
    <n v="0"/>
    <s v="-"/>
    <x v="0"/>
    <x v="0"/>
  </r>
  <r>
    <n v="220"/>
    <x v="219"/>
    <s v="-"/>
    <x v="3"/>
    <s v="-"/>
    <x v="208"/>
    <n v="0"/>
    <x v="0"/>
    <x v="3"/>
    <x v="3"/>
    <x v="88"/>
    <s v="-"/>
    <x v="0"/>
    <x v="1"/>
    <x v="5"/>
    <s v="Sowjanya"/>
    <s v="-"/>
    <s v="-"/>
    <s v="-"/>
    <s v="-"/>
    <s v="-"/>
    <n v="0"/>
    <x v="6"/>
    <s v="-"/>
    <n v="0"/>
    <s v="-"/>
    <x v="2"/>
    <x v="0"/>
  </r>
  <r>
    <n v="221"/>
    <x v="220"/>
    <s v="-"/>
    <x v="3"/>
    <s v="-"/>
    <x v="209"/>
    <n v="0"/>
    <x v="0"/>
    <x v="3"/>
    <x v="3"/>
    <x v="89"/>
    <s v="-"/>
    <x v="0"/>
    <x v="1"/>
    <x v="5"/>
    <s v="Usha Latha"/>
    <s v="-"/>
    <s v="-"/>
    <d v="2017-06-19T00:00:00"/>
    <s v="Cash"/>
    <s v="-"/>
    <n v="3500"/>
    <x v="0"/>
    <s v="-"/>
    <n v="0"/>
    <s v="-"/>
    <x v="0"/>
    <x v="0"/>
  </r>
  <r>
    <n v="222"/>
    <x v="221"/>
    <s v="-"/>
    <x v="4"/>
    <s v="-"/>
    <x v="210"/>
    <n v="0"/>
    <x v="0"/>
    <x v="3"/>
    <x v="3"/>
    <x v="90"/>
    <s v="-"/>
    <x v="0"/>
    <x v="1"/>
    <x v="5"/>
    <s v="Rajeshwari"/>
    <s v="-"/>
    <s v="-"/>
    <d v="2017-06-14T00:00:00"/>
    <s v="Cash"/>
    <s v="-"/>
    <n v="1000"/>
    <x v="8"/>
    <s v="-"/>
    <n v="0"/>
    <s v="Paid"/>
    <x v="2"/>
    <x v="0"/>
  </r>
  <r>
    <n v="223"/>
    <x v="222"/>
    <s v="-"/>
    <x v="4"/>
    <s v="-"/>
    <x v="211"/>
    <n v="0"/>
    <x v="0"/>
    <x v="3"/>
    <x v="3"/>
    <x v="90"/>
    <s v="-"/>
    <x v="0"/>
    <x v="1"/>
    <x v="5"/>
    <s v="Yamini"/>
    <s v="-"/>
    <s v="-"/>
    <d v="2017-06-14T00:00:00"/>
    <s v="Cash"/>
    <s v="-"/>
    <n v="1000"/>
    <x v="8"/>
    <s v="-"/>
    <n v="0"/>
    <s v="Paid"/>
    <x v="2"/>
    <x v="0"/>
  </r>
  <r>
    <n v="224"/>
    <x v="223"/>
    <s v="-"/>
    <x v="47"/>
    <s v="-"/>
    <x v="197"/>
    <n v="0"/>
    <x v="0"/>
    <x v="3"/>
    <x v="3"/>
    <x v="85"/>
    <s v="-"/>
    <x v="0"/>
    <x v="1"/>
    <x v="6"/>
    <s v="B.Shailaja"/>
    <s v="-"/>
    <s v="-"/>
    <d v="2017-06-15T00:00:00"/>
    <s v="Cash"/>
    <s v="-"/>
    <n v="1000"/>
    <x v="8"/>
    <s v="-"/>
    <n v="0"/>
    <s v="Paid"/>
    <x v="2"/>
    <x v="0"/>
  </r>
  <r>
    <n v="225"/>
    <x v="224"/>
    <s v="-"/>
    <x v="47"/>
    <s v="-"/>
    <x v="212"/>
    <n v="0"/>
    <x v="0"/>
    <x v="0"/>
    <x v="3"/>
    <x v="84"/>
    <s v="-"/>
    <x v="0"/>
    <x v="1"/>
    <x v="5"/>
    <s v="N.Shailaja"/>
    <s v="-"/>
    <s v="-"/>
    <s v="-"/>
    <s v="-"/>
    <s v="-"/>
    <n v="0"/>
    <x v="7"/>
    <s v="-"/>
    <n v="0"/>
    <s v="-"/>
    <x v="2"/>
    <x v="0"/>
  </r>
  <r>
    <n v="226"/>
    <x v="225"/>
    <s v="-"/>
    <x v="5"/>
    <s v="-"/>
    <x v="213"/>
    <n v="0"/>
    <x v="0"/>
    <x v="3"/>
    <x v="3"/>
    <x v="84"/>
    <s v="-"/>
    <x v="0"/>
    <x v="1"/>
    <x v="5"/>
    <s v="Sai"/>
    <s v="-"/>
    <s v="-"/>
    <s v="-"/>
    <s v="-"/>
    <s v="-"/>
    <n v="0"/>
    <x v="2"/>
    <s v="-"/>
    <n v="0"/>
    <s v="-"/>
    <x v="0"/>
    <x v="0"/>
  </r>
  <r>
    <n v="227"/>
    <x v="226"/>
    <s v="-"/>
    <x v="5"/>
    <s v="-"/>
    <x v="214"/>
    <n v="0"/>
    <x v="0"/>
    <x v="3"/>
    <x v="3"/>
    <x v="91"/>
    <s v="-"/>
    <x v="0"/>
    <x v="1"/>
    <x v="5"/>
    <s v="Rajini"/>
    <s v="-"/>
    <s v="-"/>
    <s v="-"/>
    <s v="-"/>
    <s v="-"/>
    <n v="0"/>
    <x v="7"/>
    <s v="-"/>
    <n v="0"/>
    <s v="-"/>
    <x v="2"/>
    <x v="0"/>
  </r>
  <r>
    <n v="228"/>
    <x v="227"/>
    <s v="-"/>
    <x v="5"/>
    <s v="-"/>
    <x v="215"/>
    <n v="0"/>
    <x v="0"/>
    <x v="3"/>
    <x v="3"/>
    <x v="84"/>
    <s v="-"/>
    <x v="0"/>
    <x v="1"/>
    <x v="5"/>
    <s v="Leena"/>
    <s v="-"/>
    <s v="-"/>
    <s v="-"/>
    <s v="-"/>
    <s v="-"/>
    <n v="0"/>
    <x v="2"/>
    <s v="-"/>
    <n v="0"/>
    <s v="-"/>
    <x v="0"/>
    <x v="0"/>
  </r>
  <r>
    <n v="229"/>
    <x v="228"/>
    <s v="-"/>
    <x v="48"/>
    <s v="-"/>
    <x v="216"/>
    <n v="0"/>
    <x v="0"/>
    <x v="15"/>
    <x v="3"/>
    <x v="87"/>
    <s v="-"/>
    <x v="0"/>
    <x v="1"/>
    <x v="5"/>
    <s v="Priyanka"/>
    <s v="-"/>
    <s v="-"/>
    <s v="-"/>
    <s v="-"/>
    <s v="-"/>
    <n v="0"/>
    <x v="2"/>
    <s v="-"/>
    <n v="0"/>
    <s v="-"/>
    <x v="0"/>
    <x v="0"/>
  </r>
  <r>
    <n v="230"/>
    <x v="229"/>
    <s v="-"/>
    <x v="48"/>
    <s v="-"/>
    <x v="217"/>
    <n v="0"/>
    <x v="0"/>
    <x v="3"/>
    <x v="3"/>
    <x v="84"/>
    <s v="-"/>
    <x v="0"/>
    <x v="1"/>
    <x v="5"/>
    <s v="Madhu"/>
    <s v="-"/>
    <s v="-"/>
    <d v="2017-06-20T00:00:00"/>
    <s v="Cash"/>
    <s v="-"/>
    <n v="4000"/>
    <x v="0"/>
    <s v="-"/>
    <n v="0"/>
    <s v="-"/>
    <x v="0"/>
    <x v="0"/>
  </r>
  <r>
    <n v="231"/>
    <x v="230"/>
    <s v="-"/>
    <x v="48"/>
    <s v="-"/>
    <x v="218"/>
    <n v="0"/>
    <x v="0"/>
    <x v="3"/>
    <x v="3"/>
    <x v="81"/>
    <s v="-"/>
    <x v="0"/>
    <x v="1"/>
    <x v="0"/>
    <s v="Neelima"/>
    <s v="-"/>
    <s v="-"/>
    <s v="-"/>
    <s v="-"/>
    <s v="-"/>
    <n v="0"/>
    <x v="6"/>
    <s v="-"/>
    <n v="0"/>
    <s v="-"/>
    <x v="2"/>
    <x v="0"/>
  </r>
  <r>
    <n v="232"/>
    <x v="231"/>
    <s v="-"/>
    <x v="48"/>
    <s v="-"/>
    <x v="219"/>
    <n v="0"/>
    <x v="0"/>
    <x v="3"/>
    <x v="3"/>
    <x v="81"/>
    <s v="-"/>
    <x v="0"/>
    <x v="1"/>
    <x v="0"/>
    <s v="Sowjanya"/>
    <s v="-"/>
    <s v="-"/>
    <s v="-"/>
    <s v="-"/>
    <s v="-"/>
    <n v="0"/>
    <x v="6"/>
    <s v="-"/>
    <n v="0"/>
    <s v="-"/>
    <x v="2"/>
    <x v="0"/>
  </r>
  <r>
    <n v="233"/>
    <x v="232"/>
    <s v="-"/>
    <x v="48"/>
    <s v="-"/>
    <x v="220"/>
    <n v="0"/>
    <x v="0"/>
    <x v="3"/>
    <x v="3"/>
    <x v="81"/>
    <s v="-"/>
    <x v="0"/>
    <x v="1"/>
    <x v="0"/>
    <s v="Usha Latha"/>
    <s v="-"/>
    <s v="-"/>
    <s v="-"/>
    <s v="-"/>
    <s v="-"/>
    <n v="0"/>
    <x v="6"/>
    <s v="-"/>
    <n v="0"/>
    <s v="-"/>
    <x v="2"/>
    <x v="0"/>
  </r>
  <r>
    <n v="234"/>
    <x v="233"/>
    <s v="-"/>
    <x v="48"/>
    <s v="-"/>
    <x v="221"/>
    <n v="0"/>
    <x v="0"/>
    <x v="3"/>
    <x v="3"/>
    <x v="26"/>
    <s v="-"/>
    <x v="0"/>
    <x v="1"/>
    <x v="6"/>
    <s v="Rajeshwari"/>
    <s v="-"/>
    <s v="-"/>
    <d v="2017-06-20T00:00:00"/>
    <s v="Cash"/>
    <s v="-"/>
    <n v="2000"/>
    <x v="0"/>
    <s v="-"/>
    <n v="0"/>
    <s v="-"/>
    <x v="0"/>
    <x v="0"/>
  </r>
  <r>
    <n v="235"/>
    <x v="234"/>
    <s v="-"/>
    <x v="48"/>
    <s v="-"/>
    <x v="222"/>
    <n v="0"/>
    <x v="0"/>
    <x v="3"/>
    <x v="3"/>
    <x v="9"/>
    <s v="-"/>
    <x v="0"/>
    <x v="1"/>
    <x v="0"/>
    <s v="Yamini"/>
    <s v="-"/>
    <s v="-"/>
    <s v="-"/>
    <s v="-"/>
    <s v="-"/>
    <n v="0"/>
    <x v="10"/>
    <s v="-"/>
    <n v="0"/>
    <s v="-"/>
    <x v="2"/>
    <x v="0"/>
  </r>
  <r>
    <n v="236"/>
    <x v="235"/>
    <s v="-"/>
    <x v="7"/>
    <s v="-"/>
    <x v="223"/>
    <n v="0"/>
    <x v="0"/>
    <x v="3"/>
    <x v="3"/>
    <x v="85"/>
    <s v="-"/>
    <x v="0"/>
    <x v="1"/>
    <x v="0"/>
    <s v="B.Shailaja"/>
    <s v="-"/>
    <s v="-"/>
    <d v="2017-06-27T00:00:00"/>
    <s v="Cash"/>
    <s v="-"/>
    <n v="6000"/>
    <x v="0"/>
    <s v="-"/>
    <n v="0"/>
    <s v="-"/>
    <x v="0"/>
    <x v="0"/>
  </r>
  <r>
    <n v="237"/>
    <x v="236"/>
    <s v="-"/>
    <x v="7"/>
    <s v="-"/>
    <x v="224"/>
    <n v="0"/>
    <x v="0"/>
    <x v="3"/>
    <x v="3"/>
    <x v="91"/>
    <s v="-"/>
    <x v="0"/>
    <x v="1"/>
    <x v="0"/>
    <s v="N.Shailaja"/>
    <s v="-"/>
    <s v="-"/>
    <s v="-"/>
    <s v="-"/>
    <s v="-"/>
    <n v="0"/>
    <x v="6"/>
    <s v="-"/>
    <n v="0"/>
    <s v="-"/>
    <x v="2"/>
    <x v="0"/>
  </r>
  <r>
    <n v="238"/>
    <x v="237"/>
    <s v="-"/>
    <x v="7"/>
    <s v="-"/>
    <x v="225"/>
    <n v="0"/>
    <x v="0"/>
    <x v="3"/>
    <x v="3"/>
    <x v="90"/>
    <s v="-"/>
    <x v="0"/>
    <x v="1"/>
    <x v="0"/>
    <s v="Sai"/>
    <s v="-"/>
    <s v="-"/>
    <d v="2017-06-29T00:00:00"/>
    <s v="Cash"/>
    <s v="-"/>
    <n v="1000"/>
    <x v="8"/>
    <s v="-"/>
    <n v="0"/>
    <s v="Paid"/>
    <x v="2"/>
    <x v="0"/>
  </r>
  <r>
    <n v="239"/>
    <x v="238"/>
    <s v="-"/>
    <x v="7"/>
    <s v="-"/>
    <x v="226"/>
    <n v="0"/>
    <x v="0"/>
    <x v="0"/>
    <x v="3"/>
    <x v="91"/>
    <s v="-"/>
    <x v="0"/>
    <x v="1"/>
    <x v="0"/>
    <s v="Rajini"/>
    <s v="-"/>
    <s v="-"/>
    <d v="2017-06-21T00:00:00"/>
    <s v="Cash"/>
    <s v="-"/>
    <n v="1000"/>
    <x v="9"/>
    <s v="-"/>
    <n v="0"/>
    <s v="-"/>
    <x v="2"/>
    <x v="0"/>
  </r>
  <r>
    <n v="240"/>
    <x v="239"/>
    <s v="-"/>
    <x v="9"/>
    <s v="-"/>
    <x v="227"/>
    <n v="0"/>
    <x v="0"/>
    <x v="3"/>
    <x v="3"/>
    <x v="85"/>
    <s v="-"/>
    <x v="0"/>
    <x v="1"/>
    <x v="0"/>
    <s v="Leena"/>
    <s v="-"/>
    <s v="-"/>
    <s v="-"/>
    <s v="-"/>
    <s v="-"/>
    <n v="0"/>
    <x v="5"/>
    <s v="-"/>
    <n v="0"/>
    <s v="-"/>
    <x v="2"/>
    <x v="0"/>
  </r>
  <r>
    <n v="241"/>
    <x v="240"/>
    <s v="-"/>
    <x v="9"/>
    <s v="-"/>
    <x v="228"/>
    <n v="0"/>
    <x v="0"/>
    <x v="0"/>
    <x v="3"/>
    <x v="85"/>
    <s v="-"/>
    <x v="0"/>
    <x v="1"/>
    <x v="6"/>
    <s v="Priyanka"/>
    <s v="-"/>
    <s v="-"/>
    <d v="2017-06-24T00:00:00"/>
    <s v="Cash"/>
    <s v="-"/>
    <n v="1000"/>
    <x v="8"/>
    <s v="-"/>
    <n v="0"/>
    <s v="Paid"/>
    <x v="2"/>
    <x v="0"/>
  </r>
  <r>
    <n v="242"/>
    <x v="241"/>
    <s v="-"/>
    <x v="9"/>
    <s v="-"/>
    <x v="229"/>
    <n v="0"/>
    <x v="0"/>
    <x v="3"/>
    <x v="3"/>
    <x v="8"/>
    <s v="-"/>
    <x v="0"/>
    <x v="1"/>
    <x v="0"/>
    <s v="Madhu"/>
    <s v="-"/>
    <s v="-"/>
    <s v="-"/>
    <s v="-"/>
    <s v="-"/>
    <n v="0"/>
    <x v="6"/>
    <s v="-"/>
    <n v="0"/>
    <s v="-"/>
    <x v="2"/>
    <x v="0"/>
  </r>
  <r>
    <n v="243"/>
    <x v="242"/>
    <s v="-"/>
    <x v="9"/>
    <s v="-"/>
    <x v="230"/>
    <n v="0"/>
    <x v="0"/>
    <x v="3"/>
    <x v="3"/>
    <x v="8"/>
    <s v="-"/>
    <x v="0"/>
    <x v="1"/>
    <x v="6"/>
    <s v="Neelima"/>
    <s v="-"/>
    <s v="-"/>
    <s v="-"/>
    <s v="-"/>
    <s v="-"/>
    <n v="0"/>
    <x v="6"/>
    <s v="-"/>
    <n v="0"/>
    <s v="-"/>
    <x v="2"/>
    <x v="0"/>
  </r>
  <r>
    <n v="244"/>
    <x v="243"/>
    <s v="-"/>
    <x v="9"/>
    <s v="-"/>
    <x v="231"/>
    <n v="0"/>
    <x v="0"/>
    <x v="3"/>
    <x v="3"/>
    <x v="92"/>
    <s v="-"/>
    <x v="0"/>
    <x v="1"/>
    <x v="5"/>
    <s v="Neelima"/>
    <s v="-"/>
    <s v="-"/>
    <s v="-"/>
    <s v="-"/>
    <s v="-"/>
    <n v="0"/>
    <x v="6"/>
    <s v="-"/>
    <n v="0"/>
    <s v="-"/>
    <x v="2"/>
    <x v="0"/>
  </r>
  <r>
    <n v="245"/>
    <x v="244"/>
    <s v="-"/>
    <x v="9"/>
    <s v="-"/>
    <x v="231"/>
    <n v="0"/>
    <x v="0"/>
    <x v="3"/>
    <x v="3"/>
    <x v="92"/>
    <s v="-"/>
    <x v="0"/>
    <x v="1"/>
    <x v="5"/>
    <s v="Sowjanya"/>
    <s v="-"/>
    <s v="-"/>
    <s v="-"/>
    <s v="-"/>
    <s v="-"/>
    <n v="0"/>
    <x v="6"/>
    <s v="-"/>
    <n v="0"/>
    <s v="-"/>
    <x v="2"/>
    <x v="0"/>
  </r>
  <r>
    <n v="246"/>
    <x v="245"/>
    <s v="-"/>
    <x v="49"/>
    <s v="-"/>
    <x v="232"/>
    <n v="0"/>
    <x v="0"/>
    <x v="3"/>
    <x v="3"/>
    <x v="84"/>
    <s v="-"/>
    <x v="0"/>
    <x v="1"/>
    <x v="0"/>
    <s v="Usha Latha"/>
    <s v="-"/>
    <s v="-"/>
    <s v="-"/>
    <s v="-"/>
    <s v="-"/>
    <n v="0"/>
    <x v="1"/>
    <s v="-"/>
    <n v="0"/>
    <s v="-"/>
    <x v="1"/>
    <x v="0"/>
  </r>
  <r>
    <n v="247"/>
    <x v="246"/>
    <s v="-"/>
    <x v="54"/>
    <s v="-"/>
    <x v="233"/>
    <n v="0"/>
    <x v="0"/>
    <x v="3"/>
    <x v="3"/>
    <x v="26"/>
    <s v="-"/>
    <x v="0"/>
    <x v="1"/>
    <x v="5"/>
    <s v="Rajeshwari"/>
    <s v="-"/>
    <s v="-"/>
    <s v="-"/>
    <s v="-"/>
    <s v="-"/>
    <n v="0"/>
    <x v="6"/>
    <s v="-"/>
    <n v="0"/>
    <s v="-"/>
    <x v="2"/>
    <x v="0"/>
  </r>
  <r>
    <n v="248"/>
    <x v="247"/>
    <s v="-"/>
    <x v="54"/>
    <s v="-"/>
    <x v="234"/>
    <n v="0"/>
    <x v="0"/>
    <x v="3"/>
    <x v="3"/>
    <x v="26"/>
    <s v="-"/>
    <x v="0"/>
    <x v="1"/>
    <x v="5"/>
    <s v="Yamini"/>
    <s v="-"/>
    <s v="-"/>
    <s v="-"/>
    <s v="-"/>
    <s v="-"/>
    <n v="0"/>
    <x v="6"/>
    <s v="-"/>
    <n v="0"/>
    <s v="-"/>
    <x v="2"/>
    <x v="0"/>
  </r>
  <r>
    <n v="249"/>
    <x v="248"/>
    <s v="-"/>
    <x v="54"/>
    <s v="-"/>
    <x v="235"/>
    <n v="0"/>
    <x v="0"/>
    <x v="3"/>
    <x v="3"/>
    <x v="26"/>
    <s v="-"/>
    <x v="0"/>
    <x v="1"/>
    <x v="5"/>
    <s v="B.Shailaja"/>
    <s v="-"/>
    <s v="-"/>
    <s v="-"/>
    <s v="-"/>
    <s v="-"/>
    <n v="0"/>
    <x v="6"/>
    <s v="-"/>
    <n v="0"/>
    <s v="-"/>
    <x v="2"/>
    <x v="0"/>
  </r>
  <r>
    <n v="250"/>
    <x v="249"/>
    <s v="-"/>
    <x v="54"/>
    <s v="-"/>
    <x v="236"/>
    <n v="0"/>
    <x v="0"/>
    <x v="3"/>
    <x v="3"/>
    <x v="26"/>
    <s v="-"/>
    <x v="0"/>
    <x v="1"/>
    <x v="5"/>
    <s v="N.Shailaja"/>
    <s v="-"/>
    <s v="-"/>
    <s v="-"/>
    <s v="-"/>
    <s v="-"/>
    <n v="0"/>
    <x v="6"/>
    <s v="-"/>
    <n v="0"/>
    <s v="-"/>
    <x v="2"/>
    <x v="0"/>
  </r>
  <r>
    <n v="251"/>
    <x v="250"/>
    <s v="-"/>
    <x v="10"/>
    <s v="-"/>
    <x v="237"/>
    <n v="0"/>
    <x v="0"/>
    <x v="3"/>
    <x v="3"/>
    <x v="93"/>
    <s v="-"/>
    <x v="0"/>
    <x v="1"/>
    <x v="5"/>
    <s v="Sai"/>
    <s v="-"/>
    <s v="-"/>
    <d v="2017-06-28T00:00:00"/>
    <s v="Cash"/>
    <s v="-"/>
    <n v="5000"/>
    <x v="0"/>
    <s v="-"/>
    <n v="0"/>
    <s v="-"/>
    <x v="0"/>
    <x v="0"/>
  </r>
  <r>
    <n v="252"/>
    <x v="251"/>
    <s v="-"/>
    <x v="10"/>
    <s v="-"/>
    <x v="238"/>
    <n v="0"/>
    <x v="0"/>
    <x v="3"/>
    <x v="3"/>
    <x v="94"/>
    <s v="-"/>
    <x v="0"/>
    <x v="1"/>
    <x v="0"/>
    <s v="Rajini"/>
    <s v="-"/>
    <s v="-"/>
    <s v="-"/>
    <s v="-"/>
    <s v="-"/>
    <n v="0"/>
    <x v="6"/>
    <s v="-"/>
    <n v="0"/>
    <s v="-"/>
    <x v="2"/>
    <x v="0"/>
  </r>
  <r>
    <n v="253"/>
    <x v="252"/>
    <s v="-"/>
    <x v="10"/>
    <s v="-"/>
    <x v="239"/>
    <n v="0"/>
    <x v="0"/>
    <x v="3"/>
    <x v="3"/>
    <x v="90"/>
    <s v="-"/>
    <x v="0"/>
    <x v="1"/>
    <x v="0"/>
    <s v="Leena"/>
    <s v="-"/>
    <s v="-"/>
    <s v="-"/>
    <s v="-"/>
    <s v="-"/>
    <n v="0"/>
    <x v="7"/>
    <s v="-"/>
    <n v="0"/>
    <s v="-"/>
    <x v="2"/>
    <x v="0"/>
  </r>
  <r>
    <n v="254"/>
    <x v="253"/>
    <s v="-"/>
    <x v="10"/>
    <s v="-"/>
    <x v="240"/>
    <n v="0"/>
    <x v="0"/>
    <x v="3"/>
    <x v="3"/>
    <x v="81"/>
    <s v="-"/>
    <x v="0"/>
    <x v="1"/>
    <x v="6"/>
    <s v="Priyanka"/>
    <s v="-"/>
    <s v="-"/>
    <d v="2017-06-28T00:00:00"/>
    <s v="Cash"/>
    <s v="-"/>
    <n v="1000"/>
    <x v="8"/>
    <s v="-"/>
    <n v="0"/>
    <s v="Paid"/>
    <x v="2"/>
    <x v="0"/>
  </r>
  <r>
    <n v="255"/>
    <x v="254"/>
    <s v="-"/>
    <x v="10"/>
    <s v="-"/>
    <x v="241"/>
    <n v="0"/>
    <x v="0"/>
    <x v="3"/>
    <x v="3"/>
    <x v="84"/>
    <s v="-"/>
    <x v="0"/>
    <x v="1"/>
    <x v="5"/>
    <s v="Madhu"/>
    <s v="-"/>
    <s v="-"/>
    <d v="2017-06-28T00:00:00"/>
    <s v="Cash"/>
    <s v="-"/>
    <n v="1000"/>
    <x v="8"/>
    <s v="-"/>
    <n v="0"/>
    <s v="Paid"/>
    <x v="2"/>
    <x v="0"/>
  </r>
  <r>
    <n v="256"/>
    <x v="255"/>
    <s v="-"/>
    <x v="11"/>
    <s v="-"/>
    <x v="56"/>
    <n v="0"/>
    <x v="0"/>
    <x v="0"/>
    <x v="3"/>
    <x v="84"/>
    <s v="-"/>
    <x v="0"/>
    <x v="1"/>
    <x v="0"/>
    <s v="Neelima"/>
    <s v="-"/>
    <s v="-"/>
    <d v="2017-06-29T00:00:00"/>
    <s v="Cash"/>
    <s v="-"/>
    <n v="5000"/>
    <x v="0"/>
    <s v="-"/>
    <n v="0"/>
    <s v="-"/>
    <x v="0"/>
    <x v="0"/>
  </r>
  <r>
    <n v="257"/>
    <x v="256"/>
    <s v="-"/>
    <x v="11"/>
    <s v="-"/>
    <x v="242"/>
    <n v="0"/>
    <x v="0"/>
    <x v="5"/>
    <x v="3"/>
    <x v="84"/>
    <s v="-"/>
    <x v="0"/>
    <x v="1"/>
    <x v="6"/>
    <s v="Sowjanya"/>
    <s v="-"/>
    <s v="-"/>
    <d v="2017-06-28T00:00:00"/>
    <s v="Cash"/>
    <s v="-"/>
    <n v="1000"/>
    <x v="8"/>
    <s v="-"/>
    <n v="0"/>
    <s v="Paid"/>
    <x v="2"/>
    <x v="0"/>
  </r>
  <r>
    <n v="258"/>
    <x v="257"/>
    <s v="-"/>
    <x v="11"/>
    <s v="-"/>
    <x v="243"/>
    <n v="0"/>
    <x v="0"/>
    <x v="5"/>
    <x v="3"/>
    <x v="84"/>
    <s v="-"/>
    <x v="0"/>
    <x v="1"/>
    <x v="6"/>
    <s v="Usha Latha"/>
    <s v="-"/>
    <s v="-"/>
    <d v="2017-06-28T00:00:00"/>
    <s v="Cash"/>
    <s v="-"/>
    <n v="2000"/>
    <x v="0"/>
    <s v="-"/>
    <n v="0"/>
    <s v="-"/>
    <x v="0"/>
    <x v="0"/>
  </r>
  <r>
    <n v="259"/>
    <x v="258"/>
    <s v="-"/>
    <x v="11"/>
    <s v="-"/>
    <x v="244"/>
    <n v="0"/>
    <x v="0"/>
    <x v="3"/>
    <x v="3"/>
    <x v="95"/>
    <s v="-"/>
    <x v="0"/>
    <x v="1"/>
    <x v="5"/>
    <s v="Rajeshwari"/>
    <s v="-"/>
    <s v="-"/>
    <d v="2017-06-28T00:00:00"/>
    <s v="Cash"/>
    <s v="-"/>
    <n v="2000"/>
    <x v="8"/>
    <s v="-"/>
    <n v="0"/>
    <s v="Paid"/>
    <x v="2"/>
    <x v="0"/>
  </r>
  <r>
    <n v="260"/>
    <x v="259"/>
    <s v="-"/>
    <x v="51"/>
    <s v="-"/>
    <x v="245"/>
    <n v="0"/>
    <x v="0"/>
    <x v="3"/>
    <x v="3"/>
    <x v="96"/>
    <s v="-"/>
    <x v="0"/>
    <x v="1"/>
    <x v="0"/>
    <s v="Yamini"/>
    <s v="-"/>
    <s v="-"/>
    <d v="2017-06-30T00:00:00"/>
    <s v="Cash"/>
    <s v="-"/>
    <n v="1000"/>
    <x v="8"/>
    <s v="-"/>
    <n v="0"/>
    <s v="Paid"/>
    <x v="2"/>
    <x v="0"/>
  </r>
  <r>
    <n v="261"/>
    <x v="260"/>
    <s v="-"/>
    <x v="51"/>
    <s v="-"/>
    <x v="246"/>
    <n v="0"/>
    <x v="0"/>
    <x v="3"/>
    <x v="3"/>
    <x v="94"/>
    <s v="-"/>
    <x v="0"/>
    <x v="1"/>
    <x v="0"/>
    <s v="B.Shailaja"/>
    <s v="-"/>
    <s v="-"/>
    <s v="-"/>
    <s v="-"/>
    <s v="-"/>
    <n v="0"/>
    <x v="2"/>
    <s v="-"/>
    <n v="0"/>
    <s v="-"/>
    <x v="0"/>
    <x v="0"/>
  </r>
  <r>
    <n v="262"/>
    <x v="261"/>
    <s v="-"/>
    <x v="52"/>
    <s v="-"/>
    <x v="247"/>
    <n v="0"/>
    <x v="0"/>
    <x v="3"/>
    <x v="3"/>
    <x v="94"/>
    <s v="-"/>
    <x v="0"/>
    <x v="1"/>
    <x v="0"/>
    <s v="N.Shailaja"/>
    <s v="-"/>
    <s v="-"/>
    <s v="-"/>
    <s v="-"/>
    <s v="-"/>
    <n v="0"/>
    <x v="6"/>
    <s v="-"/>
    <n v="0"/>
    <s v="-"/>
    <x v="2"/>
    <x v="0"/>
  </r>
  <r>
    <n v="263"/>
    <x v="262"/>
    <s v="-"/>
    <x v="52"/>
    <s v="-"/>
    <x v="248"/>
    <n v="0"/>
    <x v="0"/>
    <x v="3"/>
    <x v="3"/>
    <x v="94"/>
    <s v="-"/>
    <x v="0"/>
    <x v="1"/>
    <x v="0"/>
    <s v="Sai"/>
    <s v="-"/>
    <s v="-"/>
    <s v="-"/>
    <s v="-"/>
    <s v="-"/>
    <n v="0"/>
    <x v="6"/>
    <s v="-"/>
    <n v="0"/>
    <s v="-"/>
    <x v="2"/>
    <x v="0"/>
  </r>
  <r>
    <n v="264"/>
    <x v="263"/>
    <s v="-"/>
    <x v="52"/>
    <s v="-"/>
    <x v="249"/>
    <n v="0"/>
    <x v="0"/>
    <x v="3"/>
    <x v="3"/>
    <x v="26"/>
    <s v="-"/>
    <x v="0"/>
    <x v="1"/>
    <x v="0"/>
    <s v="Rajini"/>
    <s v="-"/>
    <s v="-"/>
    <d v="2017-06-30T00:00:00"/>
    <s v="Cash"/>
    <s v="-"/>
    <n v="2000"/>
    <x v="8"/>
    <s v="-"/>
    <n v="0"/>
    <s v="Paid"/>
    <x v="2"/>
    <x v="0"/>
  </r>
  <r>
    <n v="265"/>
    <x v="264"/>
    <s v="-"/>
    <x v="52"/>
    <s v="-"/>
    <x v="250"/>
    <n v="0"/>
    <x v="0"/>
    <x v="0"/>
    <x v="3"/>
    <x v="94"/>
    <s v="-"/>
    <x v="0"/>
    <x v="1"/>
    <x v="0"/>
    <s v="Leena"/>
    <s v="-"/>
    <s v="-"/>
    <s v="-"/>
    <s v="-"/>
    <s v="-"/>
    <n v="0"/>
    <x v="1"/>
    <s v="-"/>
    <n v="0"/>
    <s v="-"/>
    <x v="1"/>
    <x v="0"/>
  </r>
  <r>
    <n v="266"/>
    <x v="265"/>
    <s v="-"/>
    <x v="14"/>
    <s v="-"/>
    <x v="251"/>
    <n v="0"/>
    <x v="0"/>
    <x v="3"/>
    <x v="2"/>
    <x v="97"/>
    <s v="-"/>
    <x v="0"/>
    <x v="1"/>
    <x v="7"/>
    <s v="Priyanka"/>
    <s v="-"/>
    <s v="-"/>
    <s v="-"/>
    <s v="-"/>
    <s v="-"/>
    <n v="0"/>
    <x v="2"/>
    <n v="4028"/>
    <n v="10000"/>
    <s v="-"/>
    <x v="0"/>
    <x v="0"/>
  </r>
  <r>
    <n v="267"/>
    <x v="266"/>
    <s v="-"/>
    <x v="55"/>
    <s v="-"/>
    <x v="123"/>
    <n v="0"/>
    <x v="0"/>
    <x v="3"/>
    <x v="2"/>
    <x v="98"/>
    <s v="-"/>
    <x v="0"/>
    <x v="1"/>
    <x v="6"/>
    <s v="Madhu"/>
    <s v="-"/>
    <s v="-"/>
    <s v="-"/>
    <s v="-"/>
    <s v="-"/>
    <n v="0"/>
    <x v="2"/>
    <n v="3877"/>
    <n v="3000"/>
    <s v="Staff"/>
    <x v="0"/>
    <x v="0"/>
  </r>
  <r>
    <n v="268"/>
    <x v="267"/>
    <s v="-"/>
    <x v="56"/>
    <s v="-"/>
    <x v="252"/>
    <n v="0"/>
    <x v="0"/>
    <x v="3"/>
    <x v="4"/>
    <x v="99"/>
    <s v="-"/>
    <x v="0"/>
    <x v="1"/>
    <x v="0"/>
    <s v="Neelima"/>
    <s v="-"/>
    <s v="-"/>
    <s v="-"/>
    <s v="-"/>
    <s v="-"/>
    <n v="0"/>
    <x v="2"/>
    <n v="3882"/>
    <n v="10000"/>
    <s v="-"/>
    <x v="0"/>
    <x v="0"/>
  </r>
  <r>
    <n v="269"/>
    <x v="268"/>
    <s v="-"/>
    <x v="18"/>
    <s v="-"/>
    <x v="253"/>
    <n v="0"/>
    <x v="0"/>
    <x v="5"/>
    <x v="2"/>
    <x v="44"/>
    <s v="-"/>
    <x v="0"/>
    <x v="1"/>
    <x v="6"/>
    <s v="Sowjanya"/>
    <s v="-"/>
    <s v="-"/>
    <s v="-"/>
    <s v="-"/>
    <s v="-"/>
    <n v="0"/>
    <x v="2"/>
    <n v="3892"/>
    <n v="3000"/>
    <s v="-"/>
    <x v="0"/>
    <x v="0"/>
  </r>
  <r>
    <n v="270"/>
    <x v="269"/>
    <s v="-"/>
    <x v="18"/>
    <s v="-"/>
    <x v="254"/>
    <n v="0"/>
    <x v="0"/>
    <x v="3"/>
    <x v="2"/>
    <x v="100"/>
    <s v="-"/>
    <x v="0"/>
    <x v="1"/>
    <x v="5"/>
    <s v="Usha Latha"/>
    <s v="-"/>
    <s v="-"/>
    <s v="-"/>
    <s v="-"/>
    <s v="-"/>
    <n v="0"/>
    <x v="2"/>
    <n v="4001"/>
    <n v="15000"/>
    <s v="-"/>
    <x v="0"/>
    <x v="0"/>
  </r>
  <r>
    <n v="271"/>
    <x v="270"/>
    <s v="-"/>
    <x v="20"/>
    <s v="-"/>
    <x v="255"/>
    <n v="0"/>
    <x v="0"/>
    <x v="3"/>
    <x v="2"/>
    <x v="101"/>
    <s v="-"/>
    <x v="0"/>
    <x v="1"/>
    <x v="6"/>
    <s v="Rajeshwari"/>
    <s v="-"/>
    <s v="-"/>
    <s v="-"/>
    <s v="-"/>
    <s v="-"/>
    <n v="0"/>
    <x v="2"/>
    <s v="-"/>
    <n v="0"/>
    <s v="-"/>
    <x v="0"/>
    <x v="0"/>
  </r>
  <r>
    <n v="272"/>
    <x v="271"/>
    <s v="-"/>
    <x v="57"/>
    <s v="-"/>
    <x v="256"/>
    <n v="0"/>
    <x v="0"/>
    <x v="3"/>
    <x v="2"/>
    <x v="64"/>
    <s v="-"/>
    <x v="0"/>
    <x v="1"/>
    <x v="0"/>
    <s v="Yamini"/>
    <s v="-"/>
    <s v="-"/>
    <s v="-"/>
    <s v="-"/>
    <s v="-"/>
    <n v="0"/>
    <x v="3"/>
    <s v="-"/>
    <n v="0"/>
    <s v="-"/>
    <x v="2"/>
    <x v="0"/>
  </r>
  <r>
    <n v="273"/>
    <x v="272"/>
    <s v="-"/>
    <x v="57"/>
    <s v="-"/>
    <x v="257"/>
    <n v="0"/>
    <x v="0"/>
    <x v="3"/>
    <x v="2"/>
    <x v="40"/>
    <s v="-"/>
    <x v="0"/>
    <x v="1"/>
    <x v="0"/>
    <s v="B.Shailaja"/>
    <s v="-"/>
    <s v="-"/>
    <s v="-"/>
    <s v="-"/>
    <s v="-"/>
    <n v="0"/>
    <x v="3"/>
    <s v="-"/>
    <n v="0"/>
    <s v="-"/>
    <x v="2"/>
    <x v="0"/>
  </r>
  <r>
    <n v="274"/>
    <x v="273"/>
    <s v="-"/>
    <x v="58"/>
    <s v="-"/>
    <x v="258"/>
    <n v="0"/>
    <x v="0"/>
    <x v="3"/>
    <x v="2"/>
    <x v="102"/>
    <s v="-"/>
    <x v="0"/>
    <x v="1"/>
    <x v="5"/>
    <s v="N.Shailaja"/>
    <s v="-"/>
    <s v="-"/>
    <s v="-"/>
    <s v="-"/>
    <s v="-"/>
    <n v="0"/>
    <x v="2"/>
    <n v="3899"/>
    <n v="5000"/>
    <s v="-"/>
    <x v="0"/>
    <x v="0"/>
  </r>
  <r>
    <n v="275"/>
    <x v="274"/>
    <s v="-"/>
    <x v="59"/>
    <s v="-"/>
    <x v="259"/>
    <n v="0"/>
    <x v="0"/>
    <x v="3"/>
    <x v="2"/>
    <x v="26"/>
    <s v="-"/>
    <x v="0"/>
    <x v="1"/>
    <x v="5"/>
    <s v="Sai"/>
    <s v="-"/>
    <s v="-"/>
    <s v="-"/>
    <s v="-"/>
    <s v="-"/>
    <n v="0"/>
    <x v="11"/>
    <s v="-"/>
    <n v="0"/>
    <s v="Pending"/>
    <x v="2"/>
    <x v="0"/>
  </r>
  <r>
    <n v="276"/>
    <x v="275"/>
    <s v="-"/>
    <x v="14"/>
    <s v="-"/>
    <x v="260"/>
    <n v="0"/>
    <x v="0"/>
    <x v="3"/>
    <x v="3"/>
    <x v="84"/>
    <s v="-"/>
    <x v="0"/>
    <x v="1"/>
    <x v="6"/>
    <s v="Rajini"/>
    <s v="-"/>
    <s v="-"/>
    <s v="-"/>
    <s v="-"/>
    <s v="-"/>
    <n v="0"/>
    <x v="2"/>
    <n v="2809"/>
    <n v="4000"/>
    <s v="-"/>
    <x v="0"/>
    <x v="0"/>
  </r>
  <r>
    <n v="277"/>
    <x v="276"/>
    <s v="-"/>
    <x v="60"/>
    <s v="-"/>
    <x v="261"/>
    <n v="0"/>
    <x v="0"/>
    <x v="3"/>
    <x v="3"/>
    <x v="21"/>
    <s v="-"/>
    <x v="0"/>
    <x v="1"/>
    <x v="5"/>
    <s v="Leena"/>
    <s v="-"/>
    <s v="-"/>
    <s v="-"/>
    <s v="-"/>
    <s v="-"/>
    <n v="0"/>
    <x v="2"/>
    <n v="3876"/>
    <n v="5000"/>
    <s v="-"/>
    <x v="0"/>
    <x v="0"/>
  </r>
  <r>
    <n v="278"/>
    <x v="277"/>
    <s v="-"/>
    <x v="55"/>
    <s v="-"/>
    <x v="262"/>
    <n v="0"/>
    <x v="0"/>
    <x v="3"/>
    <x v="3"/>
    <x v="84"/>
    <s v="-"/>
    <x v="0"/>
    <x v="1"/>
    <x v="6"/>
    <s v="Priyanka"/>
    <s v="-"/>
    <s v="-"/>
    <s v="-"/>
    <s v="-"/>
    <s v="-"/>
    <n v="0"/>
    <x v="11"/>
    <s v="-"/>
    <n v="0"/>
    <s v="Pending"/>
    <x v="2"/>
    <x v="0"/>
  </r>
  <r>
    <n v="279"/>
    <x v="278"/>
    <s v="-"/>
    <x v="55"/>
    <s v="-"/>
    <x v="56"/>
    <n v="0"/>
    <x v="0"/>
    <x v="3"/>
    <x v="3"/>
    <x v="84"/>
    <s v="-"/>
    <x v="0"/>
    <x v="1"/>
    <x v="0"/>
    <s v="Madhu"/>
    <s v="-"/>
    <s v="-"/>
    <s v="-"/>
    <s v="-"/>
    <s v="-"/>
    <n v="0"/>
    <x v="6"/>
    <s v="-"/>
    <n v="0"/>
    <s v="-"/>
    <x v="2"/>
    <x v="0"/>
  </r>
  <r>
    <n v="280"/>
    <x v="279"/>
    <s v="-"/>
    <x v="61"/>
    <s v="-"/>
    <x v="263"/>
    <n v="0"/>
    <x v="0"/>
    <x v="5"/>
    <x v="3"/>
    <x v="103"/>
    <s v="-"/>
    <x v="0"/>
    <x v="1"/>
    <x v="5"/>
    <s v="Neelima"/>
    <s v="-"/>
    <s v="-"/>
    <s v="-"/>
    <s v="-"/>
    <s v="-"/>
    <n v="0"/>
    <x v="6"/>
    <s v="-"/>
    <n v="0"/>
    <s v="-"/>
    <x v="2"/>
    <x v="0"/>
  </r>
  <r>
    <n v="281"/>
    <x v="280"/>
    <s v="-"/>
    <x v="61"/>
    <s v="-"/>
    <x v="264"/>
    <n v="0"/>
    <x v="0"/>
    <x v="5"/>
    <x v="3"/>
    <x v="103"/>
    <s v="-"/>
    <x v="0"/>
    <x v="1"/>
    <x v="5"/>
    <s v="Sowjanya"/>
    <s v="-"/>
    <s v="-"/>
    <s v="-"/>
    <s v="-"/>
    <s v="-"/>
    <n v="0"/>
    <x v="6"/>
    <s v="-"/>
    <n v="0"/>
    <s v="-"/>
    <x v="2"/>
    <x v="0"/>
  </r>
  <r>
    <n v="282"/>
    <x v="281"/>
    <s v="-"/>
    <x v="61"/>
    <s v="-"/>
    <x v="265"/>
    <n v="0"/>
    <x v="0"/>
    <x v="0"/>
    <x v="3"/>
    <x v="84"/>
    <s v="-"/>
    <x v="0"/>
    <x v="1"/>
    <x v="0"/>
    <s v="Usha Latha"/>
    <s v="-"/>
    <s v="-"/>
    <s v="-"/>
    <s v="-"/>
    <s v="-"/>
    <n v="0"/>
    <x v="2"/>
    <n v="3887"/>
    <n v="4000"/>
    <s v="-"/>
    <x v="0"/>
    <x v="0"/>
  </r>
  <r>
    <n v="283"/>
    <x v="282"/>
    <s v="-"/>
    <x v="61"/>
    <s v="-"/>
    <x v="266"/>
    <n v="0"/>
    <x v="0"/>
    <x v="3"/>
    <x v="3"/>
    <x v="84"/>
    <s v="-"/>
    <x v="0"/>
    <x v="1"/>
    <x v="0"/>
    <s v="Rajeshwari"/>
    <s v="-"/>
    <s v="-"/>
    <s v="-"/>
    <s v="-"/>
    <s v="-"/>
    <n v="0"/>
    <x v="2"/>
    <n v="3886"/>
    <n v="7500"/>
    <s v="-"/>
    <x v="0"/>
    <x v="0"/>
  </r>
  <r>
    <n v="284"/>
    <x v="283"/>
    <s v="-"/>
    <x v="62"/>
    <s v="-"/>
    <x v="267"/>
    <n v="0"/>
    <x v="0"/>
    <x v="5"/>
    <x v="3"/>
    <x v="84"/>
    <s v="-"/>
    <x v="0"/>
    <x v="1"/>
    <x v="5"/>
    <s v="Yamini"/>
    <s v="-"/>
    <s v="-"/>
    <s v="-"/>
    <s v="-"/>
    <s v="-"/>
    <n v="0"/>
    <x v="6"/>
    <s v="-"/>
    <n v="0"/>
    <s v="-"/>
    <x v="2"/>
    <x v="0"/>
  </r>
  <r>
    <n v="285"/>
    <x v="284"/>
    <s v="-"/>
    <x v="63"/>
    <s v="-"/>
    <x v="268"/>
    <n v="0"/>
    <x v="0"/>
    <x v="3"/>
    <x v="3"/>
    <x v="8"/>
    <s v="-"/>
    <x v="0"/>
    <x v="1"/>
    <x v="5"/>
    <s v="B.Shailaja"/>
    <s v="-"/>
    <s v="-"/>
    <s v="-"/>
    <s v="-"/>
    <s v="-"/>
    <n v="0"/>
    <x v="6"/>
    <s v="-"/>
    <n v="0"/>
    <s v="-"/>
    <x v="2"/>
    <x v="0"/>
  </r>
  <r>
    <n v="286"/>
    <x v="285"/>
    <s v="-"/>
    <x v="20"/>
    <s v="-"/>
    <x v="269"/>
    <n v="0"/>
    <x v="0"/>
    <x v="3"/>
    <x v="3"/>
    <x v="84"/>
    <s v="-"/>
    <x v="0"/>
    <x v="1"/>
    <x v="6"/>
    <s v="N.Shailaja"/>
    <s v="-"/>
    <s v="-"/>
    <s v="-"/>
    <s v="-"/>
    <s v="-"/>
    <n v="0"/>
    <x v="2"/>
    <s v="-"/>
    <n v="0"/>
    <s v="-"/>
    <x v="0"/>
    <x v="0"/>
  </r>
  <r>
    <n v="287"/>
    <x v="286"/>
    <s v="-"/>
    <x v="58"/>
    <s v="-"/>
    <x v="270"/>
    <n v="0"/>
    <x v="0"/>
    <x v="3"/>
    <x v="3"/>
    <x v="104"/>
    <s v="-"/>
    <x v="0"/>
    <x v="1"/>
    <x v="6"/>
    <s v="Sai"/>
    <s v="-"/>
    <s v="-"/>
    <s v="-"/>
    <s v="-"/>
    <s v="-"/>
    <n v="0"/>
    <x v="2"/>
    <n v="4002"/>
    <n v="4000"/>
    <s v="-"/>
    <x v="0"/>
    <x v="0"/>
  </r>
  <r>
    <n v="288"/>
    <x v="287"/>
    <s v="-"/>
    <x v="22"/>
    <s v="-"/>
    <x v="271"/>
    <n v="0"/>
    <x v="0"/>
    <x v="3"/>
    <x v="3"/>
    <x v="83"/>
    <s v="-"/>
    <x v="0"/>
    <x v="1"/>
    <x v="6"/>
    <s v="Rajini"/>
    <s v="-"/>
    <s v="-"/>
    <s v="-"/>
    <s v="-"/>
    <s v="-"/>
    <n v="0"/>
    <x v="6"/>
    <s v="-"/>
    <n v="0"/>
    <s v="-"/>
    <x v="2"/>
    <x v="0"/>
  </r>
  <r>
    <n v="289"/>
    <x v="288"/>
    <s v="-"/>
    <x v="22"/>
    <s v="-"/>
    <x v="272"/>
    <n v="0"/>
    <x v="0"/>
    <x v="3"/>
    <x v="3"/>
    <x v="83"/>
    <s v="-"/>
    <x v="0"/>
    <x v="1"/>
    <x v="6"/>
    <s v="Leena"/>
    <s v="-"/>
    <s v="-"/>
    <s v="-"/>
    <s v="-"/>
    <s v="-"/>
    <n v="0"/>
    <x v="6"/>
    <s v="-"/>
    <n v="0"/>
    <s v="-"/>
    <x v="2"/>
    <x v="0"/>
  </r>
  <r>
    <n v="290"/>
    <x v="289"/>
    <s v="-"/>
    <x v="60"/>
    <s v="-"/>
    <x v="273"/>
    <n v="0"/>
    <x v="0"/>
    <x v="3"/>
    <x v="5"/>
    <x v="105"/>
    <s v="-"/>
    <x v="0"/>
    <x v="1"/>
    <x v="0"/>
    <s v="Priyanka"/>
    <s v="-"/>
    <s v="-"/>
    <s v="-"/>
    <s v="-"/>
    <s v="-"/>
    <n v="0"/>
    <x v="6"/>
    <s v="-"/>
    <n v="0"/>
    <s v="-"/>
    <x v="2"/>
    <x v="0"/>
  </r>
  <r>
    <n v="291"/>
    <x v="290"/>
    <s v="-"/>
    <x v="60"/>
    <s v="-"/>
    <x v="274"/>
    <n v="0"/>
    <x v="0"/>
    <x v="3"/>
    <x v="5"/>
    <x v="106"/>
    <s v="-"/>
    <x v="0"/>
    <x v="1"/>
    <x v="6"/>
    <s v="Madhu"/>
    <s v="-"/>
    <s v="-"/>
    <s v="-"/>
    <s v="-"/>
    <s v="-"/>
    <n v="0"/>
    <x v="6"/>
    <s v="-"/>
    <n v="0"/>
    <s v="-"/>
    <x v="2"/>
    <x v="0"/>
  </r>
  <r>
    <n v="292"/>
    <x v="291"/>
    <s v="-"/>
    <x v="64"/>
    <s v="-"/>
    <x v="275"/>
    <n v="0"/>
    <x v="0"/>
    <x v="3"/>
    <x v="5"/>
    <x v="107"/>
    <s v="-"/>
    <x v="0"/>
    <x v="1"/>
    <x v="6"/>
    <s v="Neelima"/>
    <s v="-"/>
    <s v="-"/>
    <s v="-"/>
    <s v="-"/>
    <s v="-"/>
    <n v="0"/>
    <x v="6"/>
    <s v="-"/>
    <n v="0"/>
    <s v="-"/>
    <x v="2"/>
    <x v="0"/>
  </r>
  <r>
    <n v="293"/>
    <x v="292"/>
    <s v="-"/>
    <x v="64"/>
    <s v="-"/>
    <x v="276"/>
    <n v="0"/>
    <x v="0"/>
    <x v="3"/>
    <x v="5"/>
    <x v="107"/>
    <s v="-"/>
    <x v="0"/>
    <x v="1"/>
    <x v="6"/>
    <s v="Sowjanya"/>
    <s v="-"/>
    <s v="-"/>
    <s v="-"/>
    <s v="-"/>
    <s v="-"/>
    <n v="0"/>
    <x v="2"/>
    <s v="-"/>
    <n v="0"/>
    <s v="-"/>
    <x v="0"/>
    <x v="0"/>
  </r>
  <r>
    <n v="294"/>
    <x v="293"/>
    <s v="-"/>
    <x v="20"/>
    <s v="-"/>
    <x v="277"/>
    <n v="0"/>
    <x v="0"/>
    <x v="3"/>
    <x v="5"/>
    <x v="108"/>
    <s v="-"/>
    <x v="0"/>
    <x v="1"/>
    <x v="6"/>
    <s v="Usha Latha"/>
    <s v="-"/>
    <s v="-"/>
    <s v="-"/>
    <s v="-"/>
    <s v="-"/>
    <n v="0"/>
    <x v="6"/>
    <s v="-"/>
    <n v="0"/>
    <s v="-"/>
    <x v="2"/>
    <x v="0"/>
  </r>
  <r>
    <n v="295"/>
    <x v="294"/>
    <s v="-"/>
    <x v="20"/>
    <s v="-"/>
    <x v="277"/>
    <n v="0"/>
    <x v="0"/>
    <x v="3"/>
    <x v="5"/>
    <x v="108"/>
    <s v="-"/>
    <x v="0"/>
    <x v="1"/>
    <x v="6"/>
    <s v="Rajeshwari"/>
    <s v="-"/>
    <s v="-"/>
    <s v="-"/>
    <s v="-"/>
    <s v="-"/>
    <n v="0"/>
    <x v="6"/>
    <s v="-"/>
    <n v="0"/>
    <s v="-"/>
    <x v="2"/>
    <x v="0"/>
  </r>
  <r>
    <n v="296"/>
    <x v="295"/>
    <s v="-"/>
    <x v="20"/>
    <s v="-"/>
    <x v="278"/>
    <n v="0"/>
    <x v="0"/>
    <x v="3"/>
    <x v="5"/>
    <x v="108"/>
    <s v="-"/>
    <x v="0"/>
    <x v="1"/>
    <x v="6"/>
    <s v="Yamini"/>
    <s v="-"/>
    <s v="-"/>
    <s v="-"/>
    <s v="-"/>
    <s v="-"/>
    <n v="0"/>
    <x v="6"/>
    <s v="-"/>
    <n v="0"/>
    <s v="-"/>
    <x v="2"/>
    <x v="0"/>
  </r>
  <r>
    <n v="297"/>
    <x v="296"/>
    <s v="-"/>
    <x v="20"/>
    <s v="-"/>
    <x v="279"/>
    <n v="0"/>
    <x v="0"/>
    <x v="3"/>
    <x v="5"/>
    <x v="108"/>
    <s v="-"/>
    <x v="0"/>
    <x v="1"/>
    <x v="6"/>
    <s v="B.Shailaja"/>
    <s v="-"/>
    <s v="-"/>
    <s v="-"/>
    <s v="-"/>
    <s v="-"/>
    <n v="0"/>
    <x v="6"/>
    <s v="-"/>
    <n v="0"/>
    <s v="-"/>
    <x v="2"/>
    <x v="0"/>
  </r>
  <r>
    <n v="298"/>
    <x v="297"/>
    <s v="-"/>
    <x v="20"/>
    <s v="-"/>
    <x v="277"/>
    <n v="0"/>
    <x v="0"/>
    <x v="3"/>
    <x v="5"/>
    <x v="108"/>
    <s v="-"/>
    <x v="0"/>
    <x v="1"/>
    <x v="6"/>
    <s v="N.Shailaja"/>
    <s v="-"/>
    <s v="-"/>
    <s v="-"/>
    <s v="-"/>
    <s v="-"/>
    <n v="0"/>
    <x v="6"/>
    <s v="-"/>
    <n v="0"/>
    <s v="-"/>
    <x v="2"/>
    <x v="0"/>
  </r>
  <r>
    <n v="299"/>
    <x v="298"/>
    <s v="-"/>
    <x v="23"/>
    <s v="-"/>
    <x v="280"/>
    <n v="0"/>
    <x v="0"/>
    <x v="3"/>
    <x v="5"/>
    <x v="109"/>
    <s v="-"/>
    <x v="0"/>
    <x v="1"/>
    <x v="0"/>
    <s v="Sai"/>
    <s v="-"/>
    <s v="-"/>
    <s v="-"/>
    <s v="-"/>
    <s v="-"/>
    <n v="0"/>
    <x v="6"/>
    <s v="-"/>
    <n v="0"/>
    <s v="-"/>
    <x v="2"/>
    <x v="0"/>
  </r>
  <r>
    <n v="300"/>
    <x v="299"/>
    <s v="-"/>
    <x v="59"/>
    <s v="-"/>
    <x v="281"/>
    <n v="0"/>
    <x v="0"/>
    <x v="3"/>
    <x v="5"/>
    <x v="109"/>
    <s v="-"/>
    <x v="0"/>
    <x v="1"/>
    <x v="0"/>
    <s v="Rajini"/>
    <s v="-"/>
    <s v="-"/>
    <s v="-"/>
    <s v="-"/>
    <s v="-"/>
    <n v="0"/>
    <x v="6"/>
    <s v="-"/>
    <n v="0"/>
    <s v="-"/>
    <x v="2"/>
    <x v="0"/>
  </r>
  <r>
    <n v="301"/>
    <x v="300"/>
    <s v="-"/>
    <x v="59"/>
    <s v="-"/>
    <x v="282"/>
    <n v="0"/>
    <x v="0"/>
    <x v="3"/>
    <x v="5"/>
    <x v="109"/>
    <s v="-"/>
    <x v="0"/>
    <x v="1"/>
    <x v="0"/>
    <s v="Leena"/>
    <s v="-"/>
    <s v="-"/>
    <s v="-"/>
    <s v="-"/>
    <s v="-"/>
    <n v="0"/>
    <x v="6"/>
    <s v="-"/>
    <n v="0"/>
    <s v="-"/>
    <x v="2"/>
    <x v="0"/>
  </r>
  <r>
    <n v="302"/>
    <x v="301"/>
    <s v="-"/>
    <x v="24"/>
    <s v="-"/>
    <x v="283"/>
    <n v="0"/>
    <x v="0"/>
    <x v="3"/>
    <x v="2"/>
    <x v="26"/>
    <s v="-"/>
    <x v="0"/>
    <x v="1"/>
    <x v="5"/>
    <s v="Priyanka"/>
    <s v="-"/>
    <s v="-"/>
    <s v="-"/>
    <s v="-"/>
    <s v="-"/>
    <n v="0"/>
    <x v="6"/>
    <s v="-"/>
    <n v="0"/>
    <s v="-"/>
    <x v="2"/>
    <x v="0"/>
  </r>
  <r>
    <n v="303"/>
    <x v="302"/>
    <s v="-"/>
    <x v="27"/>
    <s v="-"/>
    <x v="284"/>
    <n v="37670000"/>
    <x v="0"/>
    <x v="3"/>
    <x v="2"/>
    <x v="64"/>
    <s v="-"/>
    <x v="0"/>
    <x v="1"/>
    <x v="5"/>
    <s v="Madhu"/>
    <s v="-"/>
    <s v="-"/>
    <d v="2017-06-09T00:00:00"/>
    <s v="Bank"/>
    <s v="-"/>
    <n v="10000"/>
    <x v="0"/>
    <n v="4023"/>
    <n v="10000"/>
    <s v="-"/>
    <x v="0"/>
    <x v="0"/>
  </r>
  <r>
    <n v="304"/>
    <x v="303"/>
    <s v="-"/>
    <x v="27"/>
    <s v="-"/>
    <x v="285"/>
    <n v="4866000"/>
    <x v="0"/>
    <x v="3"/>
    <x v="2"/>
    <x v="64"/>
    <s v="-"/>
    <x v="0"/>
    <x v="1"/>
    <x v="5"/>
    <s v="Neelima"/>
    <s v="-"/>
    <s v="-"/>
    <d v="2017-06-09T00:00:00"/>
    <s v="Bank"/>
    <s v="-"/>
    <n v="3000"/>
    <x v="0"/>
    <n v="4022"/>
    <n v="3000"/>
    <s v="-"/>
    <x v="0"/>
    <x v="0"/>
  </r>
  <r>
    <n v="305"/>
    <x v="304"/>
    <s v="-"/>
    <x v="27"/>
    <s v="-"/>
    <x v="286"/>
    <n v="19316000"/>
    <x v="0"/>
    <x v="3"/>
    <x v="2"/>
    <x v="47"/>
    <s v="-"/>
    <x v="0"/>
    <x v="1"/>
    <x v="6"/>
    <s v="Neelima"/>
    <s v="-"/>
    <s v="Duplicate"/>
    <d v="2017-06-09T00:00:00"/>
    <s v="Bank"/>
    <s v="-"/>
    <n v="10000"/>
    <x v="0"/>
    <n v="4020"/>
    <n v="10000"/>
    <s v="-"/>
    <x v="0"/>
    <x v="0"/>
  </r>
  <r>
    <n v="306"/>
    <x v="305"/>
    <s v="-"/>
    <x v="27"/>
    <s v="-"/>
    <x v="287"/>
    <n v="2170000"/>
    <x v="0"/>
    <x v="0"/>
    <x v="2"/>
    <x v="110"/>
    <s v="-"/>
    <x v="0"/>
    <x v="1"/>
    <x v="5"/>
    <s v="Sowjanya"/>
    <s v="-"/>
    <s v="-"/>
    <s v="-"/>
    <s v="-"/>
    <s v="-"/>
    <n v="0"/>
    <x v="2"/>
    <s v="-"/>
    <n v="2000"/>
    <s v="Staff"/>
    <x v="0"/>
    <x v="0"/>
  </r>
  <r>
    <n v="307"/>
    <x v="306"/>
    <s v="-"/>
    <x v="65"/>
    <s v="-"/>
    <x v="288"/>
    <n v="0"/>
    <x v="0"/>
    <x v="3"/>
    <x v="2"/>
    <x v="64"/>
    <s v="-"/>
    <x v="0"/>
    <x v="1"/>
    <x v="6"/>
    <s v="Usha Latha"/>
    <s v="-"/>
    <s v="Duplicate"/>
    <s v="-"/>
    <s v="-"/>
    <s v="-"/>
    <n v="0"/>
    <x v="3"/>
    <s v="-"/>
    <n v="0"/>
    <s v="-"/>
    <x v="2"/>
    <x v="0"/>
  </r>
  <r>
    <n v="308"/>
    <x v="307"/>
    <s v="-"/>
    <x v="66"/>
    <s v="-"/>
    <x v="289"/>
    <n v="10133000"/>
    <x v="0"/>
    <x v="5"/>
    <x v="2"/>
    <x v="111"/>
    <s v="-"/>
    <x v="0"/>
    <x v="1"/>
    <x v="0"/>
    <s v="Rajeshwari"/>
    <s v="-"/>
    <s v="-"/>
    <d v="2017-06-13T00:00:00"/>
    <s v="Cash"/>
    <s v="-"/>
    <n v="5000"/>
    <x v="0"/>
    <s v="-"/>
    <n v="0"/>
    <s v="-"/>
    <x v="0"/>
    <x v="0"/>
  </r>
  <r>
    <n v="309"/>
    <x v="308"/>
    <s v="-"/>
    <x v="28"/>
    <s v="-"/>
    <x v="290"/>
    <n v="0"/>
    <x v="0"/>
    <x v="3"/>
    <x v="6"/>
    <x v="0"/>
    <s v="-"/>
    <x v="0"/>
    <x v="1"/>
    <x v="0"/>
    <s v="Yamini"/>
    <s v="-"/>
    <s v="-"/>
    <s v="-"/>
    <s v="-"/>
    <s v="-"/>
    <n v="0"/>
    <x v="6"/>
    <s v="-"/>
    <n v="0"/>
    <s v="-"/>
    <x v="2"/>
    <x v="0"/>
  </r>
  <r>
    <n v="310"/>
    <x v="309"/>
    <s v="-"/>
    <x v="30"/>
    <s v="-"/>
    <x v="291"/>
    <n v="7176000"/>
    <x v="0"/>
    <x v="5"/>
    <x v="2"/>
    <x v="71"/>
    <s v="-"/>
    <x v="0"/>
    <x v="1"/>
    <x v="5"/>
    <s v="B.Shailaja"/>
    <s v="-"/>
    <s v="-"/>
    <s v="-"/>
    <s v="-"/>
    <s v="-"/>
    <n v="0"/>
    <x v="2"/>
    <n v="4021"/>
    <n v="6000"/>
    <s v="-"/>
    <x v="0"/>
    <x v="0"/>
  </r>
  <r>
    <n v="311"/>
    <x v="310"/>
    <s v="-"/>
    <x v="30"/>
    <s v="-"/>
    <x v="292"/>
    <n v="0"/>
    <x v="0"/>
    <x v="3"/>
    <x v="2"/>
    <x v="0"/>
    <s v="-"/>
    <x v="0"/>
    <x v="1"/>
    <x v="0"/>
    <s v="N.Shailaja"/>
    <s v="-"/>
    <s v="-"/>
    <s v="-"/>
    <s v="-"/>
    <s v="-"/>
    <n v="0"/>
    <x v="6"/>
    <s v="-"/>
    <n v="0"/>
    <s v="-"/>
    <x v="2"/>
    <x v="0"/>
  </r>
  <r>
    <n v="312"/>
    <x v="311"/>
    <s v="-"/>
    <x v="30"/>
    <s v="-"/>
    <x v="293"/>
    <n v="1368000"/>
    <x v="0"/>
    <x v="3"/>
    <x v="2"/>
    <x v="79"/>
    <s v="-"/>
    <x v="0"/>
    <x v="1"/>
    <x v="6"/>
    <s v="Sai"/>
    <s v="-"/>
    <s v="-"/>
    <s v="-"/>
    <s v="-"/>
    <s v="-"/>
    <n v="0"/>
    <x v="2"/>
    <s v="-"/>
    <n v="0"/>
    <s v="-"/>
    <x v="0"/>
    <x v="0"/>
  </r>
  <r>
    <n v="313"/>
    <x v="312"/>
    <s v="-"/>
    <x v="30"/>
    <s v="-"/>
    <x v="294"/>
    <n v="1311000"/>
    <x v="0"/>
    <x v="3"/>
    <x v="2"/>
    <x v="79"/>
    <s v="-"/>
    <x v="0"/>
    <x v="1"/>
    <x v="0"/>
    <s v="Rajini"/>
    <s v="-"/>
    <s v="-"/>
    <s v="-"/>
    <s v="-"/>
    <s v="-"/>
    <n v="0"/>
    <x v="2"/>
    <n v="4031"/>
    <n v="3000"/>
    <s v="-"/>
    <x v="0"/>
    <x v="0"/>
  </r>
  <r>
    <n v="314"/>
    <x v="313"/>
    <s v="-"/>
    <x v="31"/>
    <s v="-"/>
    <x v="295"/>
    <n v="6305000"/>
    <x v="0"/>
    <x v="3"/>
    <x v="2"/>
    <x v="79"/>
    <s v="-"/>
    <x v="0"/>
    <x v="1"/>
    <x v="0"/>
    <s v="Leena"/>
    <s v="-"/>
    <s v="-"/>
    <s v="-"/>
    <s v="-"/>
    <s v="-"/>
    <n v="0"/>
    <x v="2"/>
    <n v="4030"/>
    <n v="4000"/>
    <s v="-"/>
    <x v="0"/>
    <x v="0"/>
  </r>
  <r>
    <n v="315"/>
    <x v="314"/>
    <s v="-"/>
    <x v="31"/>
    <s v="-"/>
    <x v="296"/>
    <n v="0"/>
    <x v="0"/>
    <x v="7"/>
    <x v="2"/>
    <x v="40"/>
    <s v="-"/>
    <x v="0"/>
    <x v="1"/>
    <x v="6"/>
    <s v="Priyanka"/>
    <s v="-"/>
    <s v="-"/>
    <s v="-"/>
    <s v="-"/>
    <s v="-"/>
    <n v="0"/>
    <x v="6"/>
    <s v="-"/>
    <n v="0"/>
    <s v="-"/>
    <x v="2"/>
    <x v="0"/>
  </r>
  <r>
    <n v="316"/>
    <x v="315"/>
    <s v="-"/>
    <x v="31"/>
    <s v="-"/>
    <x v="297"/>
    <n v="0"/>
    <x v="0"/>
    <x v="5"/>
    <x v="2"/>
    <x v="40"/>
    <s v="-"/>
    <x v="0"/>
    <x v="1"/>
    <x v="6"/>
    <s v="Madhu"/>
    <s v="-"/>
    <s v="-"/>
    <d v="2017-06-07T00:00:00"/>
    <s v="Bank"/>
    <s v="-"/>
    <n v="4000"/>
    <x v="0"/>
    <n v="4034"/>
    <n v="3000"/>
    <s v="-"/>
    <x v="0"/>
    <x v="0"/>
  </r>
  <r>
    <n v="317"/>
    <x v="316"/>
    <s v="-"/>
    <x v="32"/>
    <s v="-"/>
    <x v="298"/>
    <n v="0"/>
    <x v="0"/>
    <x v="11"/>
    <x v="2"/>
    <x v="26"/>
    <s v="-"/>
    <x v="0"/>
    <x v="1"/>
    <x v="0"/>
    <s v="Neelima"/>
    <s v="-"/>
    <s v="-"/>
    <s v="-"/>
    <s v="-"/>
    <s v="-"/>
    <n v="0"/>
    <x v="3"/>
    <s v="-"/>
    <n v="0"/>
    <s v="-"/>
    <x v="2"/>
    <x v="0"/>
  </r>
  <r>
    <n v="318"/>
    <x v="317"/>
    <s v="-"/>
    <x v="35"/>
    <s v="-"/>
    <x v="299"/>
    <n v="0"/>
    <x v="0"/>
    <x v="4"/>
    <x v="2"/>
    <x v="44"/>
    <s v="-"/>
    <x v="0"/>
    <x v="1"/>
    <x v="0"/>
    <s v="Sowjanya"/>
    <s v="-"/>
    <s v="-"/>
    <d v="2017-06-17T00:00:00"/>
    <s v="Bank"/>
    <s v="-"/>
    <n v="3500"/>
    <x v="0"/>
    <s v="-"/>
    <n v="0"/>
    <s v="-"/>
    <x v="0"/>
    <x v="0"/>
  </r>
  <r>
    <n v="319"/>
    <x v="318"/>
    <s v="-"/>
    <x v="67"/>
    <s v="-"/>
    <x v="300"/>
    <n v="7115000"/>
    <x v="0"/>
    <x v="3"/>
    <x v="2"/>
    <x v="40"/>
    <s v="-"/>
    <x v="0"/>
    <x v="1"/>
    <x v="5"/>
    <s v="Usha Latha"/>
    <s v="-"/>
    <s v="-"/>
    <d v="2017-06-05T00:00:00"/>
    <s v="Bank"/>
    <s v="-"/>
    <n v="3500"/>
    <x v="0"/>
    <n v="4037"/>
    <n v="4000"/>
    <s v="-"/>
    <x v="0"/>
    <x v="0"/>
  </r>
  <r>
    <n v="320"/>
    <x v="319"/>
    <s v="-"/>
    <x v="67"/>
    <s v="-"/>
    <x v="301"/>
    <n v="0"/>
    <x v="0"/>
    <x v="3"/>
    <x v="2"/>
    <x v="40"/>
    <s v="-"/>
    <x v="0"/>
    <x v="1"/>
    <x v="5"/>
    <s v="Rajeshwari"/>
    <s v="-"/>
    <s v="Duplicate"/>
    <d v="2017-06-27T00:00:00"/>
    <s v="Bank"/>
    <s v="-"/>
    <n v="4000"/>
    <x v="0"/>
    <s v="-"/>
    <n v="0"/>
    <s v="-"/>
    <x v="0"/>
    <x v="0"/>
  </r>
  <r>
    <n v="321"/>
    <x v="320"/>
    <s v="-"/>
    <x v="67"/>
    <s v="-"/>
    <x v="302"/>
    <n v="7214000"/>
    <x v="0"/>
    <x v="3"/>
    <x v="2"/>
    <x v="71"/>
    <s v="-"/>
    <x v="0"/>
    <x v="1"/>
    <x v="0"/>
    <s v="Yamini"/>
    <s v="-"/>
    <s v="-"/>
    <s v="-"/>
    <s v="-"/>
    <s v="-"/>
    <n v="0"/>
    <x v="2"/>
    <n v="4039"/>
    <n v="6000"/>
    <s v="-"/>
    <x v="0"/>
    <x v="0"/>
  </r>
  <r>
    <n v="322"/>
    <x v="321"/>
    <s v="-"/>
    <x v="36"/>
    <s v="-"/>
    <x v="303"/>
    <n v="6795000"/>
    <x v="0"/>
    <x v="3"/>
    <x v="2"/>
    <x v="112"/>
    <s v="-"/>
    <x v="0"/>
    <x v="1"/>
    <x v="0"/>
    <s v="B.Shailaja"/>
    <s v="-"/>
    <s v="-"/>
    <s v="-"/>
    <s v="-"/>
    <s v="-"/>
    <n v="0"/>
    <x v="2"/>
    <s v="-"/>
    <n v="0"/>
    <s v="STAFF(NO-BILL)"/>
    <x v="0"/>
    <x v="0"/>
  </r>
  <r>
    <n v="323"/>
    <x v="322"/>
    <s v="-"/>
    <x v="37"/>
    <s v="-"/>
    <x v="304"/>
    <n v="5219000"/>
    <x v="0"/>
    <x v="5"/>
    <x v="2"/>
    <x v="113"/>
    <s v="-"/>
    <x v="0"/>
    <x v="1"/>
    <x v="5"/>
    <s v="N.Shailaja"/>
    <s v="-"/>
    <s v="-"/>
    <s v="-"/>
    <s v="-"/>
    <s v="-"/>
    <n v="0"/>
    <x v="2"/>
    <n v="4041"/>
    <n v="5000"/>
    <s v="-"/>
    <x v="0"/>
    <x v="0"/>
  </r>
  <r>
    <n v="324"/>
    <x v="323"/>
    <s v="-"/>
    <x v="37"/>
    <s v="-"/>
    <x v="305"/>
    <n v="1998000"/>
    <x v="0"/>
    <x v="3"/>
    <x v="2"/>
    <x v="113"/>
    <s v="-"/>
    <x v="0"/>
    <x v="1"/>
    <x v="5"/>
    <s v="Sai"/>
    <s v="-"/>
    <s v="-"/>
    <s v="-"/>
    <s v="-"/>
    <s v="-"/>
    <n v="0"/>
    <x v="2"/>
    <n v="4038"/>
    <n v="3000"/>
    <s v="-"/>
    <x v="0"/>
    <x v="0"/>
  </r>
  <r>
    <n v="325"/>
    <x v="324"/>
    <s v="-"/>
    <x v="38"/>
    <s v="-"/>
    <x v="306"/>
    <n v="0"/>
    <x v="0"/>
    <x v="0"/>
    <x v="2"/>
    <x v="44"/>
    <s v="-"/>
    <x v="0"/>
    <x v="1"/>
    <x v="5"/>
    <s v="Rajini"/>
    <s v="-"/>
    <s v="-"/>
    <d v="2017-06-06T00:00:00"/>
    <s v="Bank"/>
    <s v="-"/>
    <n v="5000"/>
    <x v="0"/>
    <n v="4042"/>
    <n v="5000"/>
    <s v="-"/>
    <x v="0"/>
    <x v="0"/>
  </r>
  <r>
    <n v="326"/>
    <x v="325"/>
    <s v="-"/>
    <x v="38"/>
    <s v="-"/>
    <x v="307"/>
    <n v="0"/>
    <x v="0"/>
    <x v="7"/>
    <x v="2"/>
    <x v="44"/>
    <s v="-"/>
    <x v="0"/>
    <x v="1"/>
    <x v="5"/>
    <s v="Leena"/>
    <s v="-"/>
    <s v="-"/>
    <d v="2017-06-09T00:00:00"/>
    <s v="Bank"/>
    <s v="-"/>
    <n v="3000"/>
    <x v="0"/>
    <n v="4043"/>
    <n v="3000"/>
    <s v="-"/>
    <x v="0"/>
    <x v="0"/>
  </r>
  <r>
    <n v="327"/>
    <x v="326"/>
    <s v="-"/>
    <x v="39"/>
    <s v="-"/>
    <x v="308"/>
    <n v="0"/>
    <x v="0"/>
    <x v="3"/>
    <x v="2"/>
    <x v="114"/>
    <s v="-"/>
    <x v="0"/>
    <x v="1"/>
    <x v="5"/>
    <s v="Priyanka"/>
    <s v="-"/>
    <s v="Duplicate"/>
    <d v="2017-06-08T00:00:00"/>
    <s v="Cash"/>
    <s v="-"/>
    <n v="2000"/>
    <x v="0"/>
    <s v="-"/>
    <n v="0"/>
    <s v="-"/>
    <x v="0"/>
    <x v="0"/>
  </r>
  <r>
    <n v="328"/>
    <x v="327"/>
    <s v="-"/>
    <x v="39"/>
    <s v="-"/>
    <x v="309"/>
    <n v="0"/>
    <x v="0"/>
    <x v="5"/>
    <x v="2"/>
    <x v="115"/>
    <s v="-"/>
    <x v="0"/>
    <x v="1"/>
    <x v="0"/>
    <s v="Madhu"/>
    <s v="-"/>
    <s v="Duplicate"/>
    <d v="2017-06-05T00:00:00"/>
    <s v="Bank"/>
    <s v="-"/>
    <n v="3000"/>
    <x v="0"/>
    <s v="-"/>
    <n v="0"/>
    <s v="-"/>
    <x v="0"/>
    <x v="0"/>
  </r>
  <r>
    <n v="329"/>
    <x v="328"/>
    <s v="-"/>
    <x v="41"/>
    <s v="-"/>
    <x v="310"/>
    <n v="0"/>
    <x v="0"/>
    <x v="3"/>
    <x v="2"/>
    <x v="75"/>
    <s v="-"/>
    <x v="0"/>
    <x v="1"/>
    <x v="0"/>
    <s v="Neelima"/>
    <s v="-"/>
    <s v="Duplicate"/>
    <s v="-"/>
    <s v="-"/>
    <s v="-"/>
    <n v="0"/>
    <x v="6"/>
    <s v="-"/>
    <n v="0"/>
    <s v="-"/>
    <x v="2"/>
    <x v="0"/>
  </r>
  <r>
    <n v="330"/>
    <x v="329"/>
    <s v="-"/>
    <x v="41"/>
    <s v="-"/>
    <x v="311"/>
    <n v="0"/>
    <x v="0"/>
    <x v="3"/>
    <x v="4"/>
    <x v="116"/>
    <s v="-"/>
    <x v="0"/>
    <x v="1"/>
    <x v="0"/>
    <s v="Sowjanya"/>
    <s v="-"/>
    <s v="-"/>
    <d v="2017-06-27T00:00:00"/>
    <s v="Cash"/>
    <s v="-"/>
    <n v="12000"/>
    <x v="0"/>
    <n v="4050"/>
    <n v="12000"/>
    <s v="-"/>
    <x v="0"/>
    <x v="0"/>
  </r>
  <r>
    <n v="331"/>
    <x v="330"/>
    <s v="-"/>
    <x v="39"/>
    <s v="-"/>
    <x v="312"/>
    <n v="0"/>
    <x v="0"/>
    <x v="3"/>
    <x v="2"/>
    <x v="114"/>
    <s v="-"/>
    <x v="0"/>
    <x v="1"/>
    <x v="6"/>
    <s v="Usha Latha"/>
    <s v="-"/>
    <s v="-"/>
    <d v="2017-06-02T00:00:00"/>
    <s v="Bank"/>
    <s v="-"/>
    <n v="3000"/>
    <x v="0"/>
    <s v="-"/>
    <n v="0"/>
    <s v="-"/>
    <x v="0"/>
    <x v="0"/>
  </r>
  <r>
    <n v="332"/>
    <x v="331"/>
    <s v="-"/>
    <x v="68"/>
    <s v="-"/>
    <x v="313"/>
    <n v="0"/>
    <x v="0"/>
    <x v="3"/>
    <x v="2"/>
    <x v="40"/>
    <s v="-"/>
    <x v="0"/>
    <x v="1"/>
    <x v="5"/>
    <s v="Rajeshwari"/>
    <s v="-"/>
    <s v="-"/>
    <s v="-"/>
    <s v="-"/>
    <s v="-"/>
    <n v="0"/>
    <x v="3"/>
    <s v="-"/>
    <n v="0"/>
    <s v="-"/>
    <x v="2"/>
    <x v="0"/>
  </r>
  <r>
    <n v="333"/>
    <x v="332"/>
    <s v="-"/>
    <x v="68"/>
    <s v="-"/>
    <x v="314"/>
    <n v="0"/>
    <x v="0"/>
    <x v="3"/>
    <x v="2"/>
    <x v="117"/>
    <s v="-"/>
    <x v="0"/>
    <x v="1"/>
    <x v="6"/>
    <s v="Yamini"/>
    <s v="-"/>
    <s v="Duplicate"/>
    <d v="2017-06-06T00:00:00"/>
    <s v="Cash"/>
    <s v="-"/>
    <n v="3500"/>
    <x v="0"/>
    <s v="-"/>
    <n v="0"/>
    <s v="-"/>
    <x v="0"/>
    <x v="0"/>
  </r>
  <r>
    <n v="334"/>
    <x v="333"/>
    <s v="-"/>
    <x v="68"/>
    <s v="-"/>
    <x v="315"/>
    <n v="0"/>
    <x v="0"/>
    <x v="3"/>
    <x v="6"/>
    <x v="118"/>
    <s v="-"/>
    <x v="0"/>
    <x v="1"/>
    <x v="6"/>
    <s v="B.Shailaja"/>
    <s v="-"/>
    <s v="-"/>
    <d v="2017-06-07T00:00:00"/>
    <s v="Bank"/>
    <s v="-"/>
    <n v="3500"/>
    <x v="0"/>
    <s v="-"/>
    <n v="0"/>
    <s v="-"/>
    <x v="0"/>
    <x v="0"/>
  </r>
  <r>
    <n v="335"/>
    <x v="334"/>
    <s v="-"/>
    <x v="68"/>
    <s v="-"/>
    <x v="316"/>
    <n v="0"/>
    <x v="0"/>
    <x v="3"/>
    <x v="2"/>
    <x v="38"/>
    <s v="-"/>
    <x v="0"/>
    <x v="1"/>
    <x v="6"/>
    <s v="N.Shailaja"/>
    <s v="-"/>
    <s v="-"/>
    <s v="-"/>
    <s v="-"/>
    <s v="-"/>
    <n v="0"/>
    <x v="2"/>
    <n v="4046"/>
    <n v="5000"/>
    <s v="-"/>
    <x v="0"/>
    <x v="0"/>
  </r>
  <r>
    <n v="336"/>
    <x v="335"/>
    <s v="-"/>
    <x v="68"/>
    <s v="-"/>
    <x v="317"/>
    <n v="0"/>
    <x v="0"/>
    <x v="3"/>
    <x v="2"/>
    <x v="26"/>
    <s v="-"/>
    <x v="0"/>
    <x v="1"/>
    <x v="5"/>
    <s v="Sai"/>
    <s v="-"/>
    <s v="-"/>
    <s v="-"/>
    <s v="-"/>
    <s v="-"/>
    <n v="0"/>
    <x v="6"/>
    <s v="-"/>
    <n v="0"/>
    <s v="-"/>
    <x v="2"/>
    <x v="0"/>
  </r>
  <r>
    <n v="337"/>
    <x v="336"/>
    <s v="-"/>
    <x v="68"/>
    <s v="-"/>
    <x v="318"/>
    <n v="0"/>
    <x v="0"/>
    <x v="3"/>
    <x v="2"/>
    <x v="26"/>
    <s v="-"/>
    <x v="0"/>
    <x v="1"/>
    <x v="0"/>
    <s v="Rajini"/>
    <s v="-"/>
    <s v="-"/>
    <s v="-"/>
    <s v="-"/>
    <s v="-"/>
    <n v="0"/>
    <x v="6"/>
    <s v="-"/>
    <n v="0"/>
    <s v="-"/>
    <x v="2"/>
    <x v="0"/>
  </r>
  <r>
    <n v="338"/>
    <x v="337"/>
    <s v="-"/>
    <x v="69"/>
    <s v="-"/>
    <x v="319"/>
    <n v="0"/>
    <x v="0"/>
    <x v="3"/>
    <x v="2"/>
    <x v="26"/>
    <s v="-"/>
    <x v="0"/>
    <x v="1"/>
    <x v="0"/>
    <s v="Leena"/>
    <s v="-"/>
    <s v="-"/>
    <d v="2017-06-09T00:00:00"/>
    <s v="Bank"/>
    <s v="-"/>
    <n v="3000"/>
    <x v="0"/>
    <n v="4049"/>
    <n v="4000"/>
    <s v="-"/>
    <x v="0"/>
    <x v="0"/>
  </r>
  <r>
    <n v="339"/>
    <x v="338"/>
    <s v="-"/>
    <x v="24"/>
    <s v="-"/>
    <x v="320"/>
    <n v="9828000"/>
    <x v="0"/>
    <x v="5"/>
    <x v="3"/>
    <x v="26"/>
    <s v="-"/>
    <x v="0"/>
    <x v="1"/>
    <x v="6"/>
    <s v="Priyanka"/>
    <s v="-"/>
    <s v="Duplicate"/>
    <s v="-"/>
    <s v="-"/>
    <s v="-"/>
    <n v="0"/>
    <x v="2"/>
    <n v="2806"/>
    <n v="7500"/>
    <s v="-"/>
    <x v="0"/>
    <x v="0"/>
  </r>
  <r>
    <n v="340"/>
    <x v="339"/>
    <s v="-"/>
    <x v="65"/>
    <s v="-"/>
    <x v="321"/>
    <n v="0"/>
    <x v="0"/>
    <x v="3"/>
    <x v="3"/>
    <x v="81"/>
    <s v="-"/>
    <x v="0"/>
    <x v="1"/>
    <x v="5"/>
    <s v="Madhu"/>
    <s v="-"/>
    <s v="-"/>
    <s v="-"/>
    <s v="-"/>
    <s v="-"/>
    <n v="0"/>
    <x v="7"/>
    <s v="-"/>
    <n v="0"/>
    <s v="-"/>
    <x v="2"/>
    <x v="0"/>
  </r>
  <r>
    <n v="341"/>
    <x v="340"/>
    <s v="-"/>
    <x v="66"/>
    <s v="-"/>
    <x v="322"/>
    <n v="3600000"/>
    <x v="0"/>
    <x v="3"/>
    <x v="3"/>
    <x v="119"/>
    <s v="-"/>
    <x v="0"/>
    <x v="1"/>
    <x v="6"/>
    <s v="Neelima"/>
    <s v="-"/>
    <s v="-"/>
    <s v="-"/>
    <s v="-"/>
    <s v="-"/>
    <n v="0"/>
    <x v="2"/>
    <n v="4024"/>
    <n v="3000"/>
    <s v="-"/>
    <x v="0"/>
    <x v="0"/>
  </r>
  <r>
    <n v="342"/>
    <x v="341"/>
    <s v="-"/>
    <x v="66"/>
    <s v="-"/>
    <x v="323"/>
    <n v="0"/>
    <x v="0"/>
    <x v="5"/>
    <x v="3"/>
    <x v="84"/>
    <s v="-"/>
    <x v="0"/>
    <x v="1"/>
    <x v="6"/>
    <s v="Sowjanya"/>
    <s v="-"/>
    <s v="-"/>
    <s v="-"/>
    <s v="-"/>
    <s v="-"/>
    <n v="0"/>
    <x v="6"/>
    <s v="-"/>
    <n v="0"/>
    <s v="-"/>
    <x v="2"/>
    <x v="0"/>
  </r>
  <r>
    <n v="343"/>
    <x v="342"/>
    <s v="-"/>
    <x v="66"/>
    <s v="-"/>
    <x v="324"/>
    <n v="0"/>
    <x v="0"/>
    <x v="3"/>
    <x v="3"/>
    <x v="84"/>
    <s v="-"/>
    <x v="0"/>
    <x v="1"/>
    <x v="6"/>
    <s v="Usha Latha"/>
    <s v="-"/>
    <s v="-"/>
    <s v="-"/>
    <s v="-"/>
    <s v="-"/>
    <n v="0"/>
    <x v="6"/>
    <s v="-"/>
    <n v="0"/>
    <s v="-"/>
    <x v="2"/>
    <x v="0"/>
  </r>
  <r>
    <n v="344"/>
    <x v="343"/>
    <s v="-"/>
    <x v="28"/>
    <s v="-"/>
    <x v="325"/>
    <n v="5610000"/>
    <x v="0"/>
    <x v="3"/>
    <x v="3"/>
    <x v="83"/>
    <s v="-"/>
    <x v="0"/>
    <x v="1"/>
    <x v="6"/>
    <s v="Rajeshwari"/>
    <s v="-"/>
    <s v="-"/>
    <s v="-"/>
    <s v="-"/>
    <s v="-"/>
    <n v="0"/>
    <x v="2"/>
    <n v="2808"/>
    <n v="1000"/>
    <s v="Staff"/>
    <x v="0"/>
    <x v="0"/>
  </r>
  <r>
    <n v="345"/>
    <x v="344"/>
    <s v="-"/>
    <x v="32"/>
    <s v="-"/>
    <x v="247"/>
    <n v="4480000"/>
    <x v="0"/>
    <x v="3"/>
    <x v="3"/>
    <x v="8"/>
    <s v="-"/>
    <x v="0"/>
    <x v="1"/>
    <x v="0"/>
    <s v="Yamini"/>
    <s v="-"/>
    <s v="-"/>
    <s v="-"/>
    <s v="-"/>
    <s v="-"/>
    <n v="0"/>
    <x v="2"/>
    <n v="2026"/>
    <n v="4000"/>
    <s v="-"/>
    <x v="0"/>
    <x v="0"/>
  </r>
  <r>
    <n v="346"/>
    <x v="345"/>
    <s v="-"/>
    <x v="32"/>
    <s v="-"/>
    <x v="326"/>
    <n v="0"/>
    <x v="0"/>
    <x v="3"/>
    <x v="3"/>
    <x v="26"/>
    <s v="-"/>
    <x v="0"/>
    <x v="1"/>
    <x v="6"/>
    <s v="B.Shailaja"/>
    <s v="-"/>
    <s v="-"/>
    <d v="2017-06-01T00:00:00"/>
    <s v="Bank"/>
    <s v="-"/>
    <n v="1500"/>
    <x v="0"/>
    <s v="-"/>
    <n v="0"/>
    <s v="-"/>
    <x v="0"/>
    <x v="0"/>
  </r>
  <r>
    <n v="347"/>
    <x v="346"/>
    <s v="-"/>
    <x v="70"/>
    <s v="-"/>
    <x v="327"/>
    <n v="0"/>
    <x v="0"/>
    <x v="3"/>
    <x v="3"/>
    <x v="84"/>
    <s v="-"/>
    <x v="0"/>
    <x v="1"/>
    <x v="6"/>
    <s v="N.Shailaja"/>
    <s v="-"/>
    <s v="Duplicate"/>
    <s v="-"/>
    <s v="-"/>
    <s v="-"/>
    <n v="0"/>
    <x v="6"/>
    <s v="-"/>
    <n v="0"/>
    <s v="-"/>
    <x v="2"/>
    <x v="0"/>
  </r>
  <r>
    <n v="348"/>
    <x v="347"/>
    <s v="-"/>
    <x v="33"/>
    <s v="-"/>
    <x v="328"/>
    <n v="0"/>
    <x v="0"/>
    <x v="3"/>
    <x v="3"/>
    <x v="84"/>
    <s v="-"/>
    <x v="0"/>
    <x v="1"/>
    <x v="0"/>
    <s v="Sai"/>
    <s v="-"/>
    <s v="Duplicate"/>
    <d v="2017-06-09T00:00:00"/>
    <s v="Bank"/>
    <s v="-"/>
    <n v="5000"/>
    <x v="0"/>
    <n v="2823"/>
    <n v="6000"/>
    <s v="-"/>
    <x v="0"/>
    <x v="0"/>
  </r>
  <r>
    <n v="349"/>
    <x v="348"/>
    <s v="-"/>
    <x v="71"/>
    <s v="-"/>
    <x v="329"/>
    <n v="34965000"/>
    <x v="0"/>
    <x v="3"/>
    <x v="3"/>
    <x v="120"/>
    <s v="-"/>
    <x v="0"/>
    <x v="1"/>
    <x v="6"/>
    <s v="Rajini"/>
    <s v="-"/>
    <s v="-"/>
    <s v="-"/>
    <s v="-"/>
    <s v="-"/>
    <n v="0"/>
    <x v="2"/>
    <n v="2817"/>
    <n v="10000"/>
    <s v="-"/>
    <x v="0"/>
    <x v="0"/>
  </r>
  <r>
    <n v="350"/>
    <x v="349"/>
    <s v="-"/>
    <x v="35"/>
    <s v="-"/>
    <x v="330"/>
    <n v="0"/>
    <x v="0"/>
    <x v="3"/>
    <x v="3"/>
    <x v="84"/>
    <s v="-"/>
    <x v="0"/>
    <x v="1"/>
    <x v="6"/>
    <s v="Leena"/>
    <s v="-"/>
    <s v="Duplicate"/>
    <d v="2017-06-07T00:00:00"/>
    <s v="Cash"/>
    <s v="-"/>
    <n v="4000"/>
    <x v="0"/>
    <s v="-"/>
    <n v="0"/>
    <s v="-"/>
    <x v="0"/>
    <x v="0"/>
  </r>
  <r>
    <n v="351"/>
    <x v="350"/>
    <s v="-"/>
    <x v="35"/>
    <s v="-"/>
    <x v="331"/>
    <n v="0"/>
    <x v="0"/>
    <x v="3"/>
    <x v="3"/>
    <x v="84"/>
    <s v="-"/>
    <x v="0"/>
    <x v="1"/>
    <x v="6"/>
    <s v="Priyanka"/>
    <s v="-"/>
    <s v="Duplicate"/>
    <d v="2017-06-07T00:00:00"/>
    <s v="Cash"/>
    <s v="-"/>
    <n v="4000"/>
    <x v="0"/>
    <s v="-"/>
    <n v="0"/>
    <s v="-"/>
    <x v="0"/>
    <x v="0"/>
  </r>
  <r>
    <n v="352"/>
    <x v="351"/>
    <s v="-"/>
    <x v="35"/>
    <s v="-"/>
    <x v="332"/>
    <n v="0"/>
    <x v="0"/>
    <x v="5"/>
    <x v="3"/>
    <x v="84"/>
    <s v="-"/>
    <x v="0"/>
    <x v="1"/>
    <x v="5"/>
    <s v="Madhu"/>
    <s v="-"/>
    <s v="Duplicate"/>
    <d v="2017-06-07T00:00:00"/>
    <s v="Cash"/>
    <s v="-"/>
    <n v="4000"/>
    <x v="0"/>
    <s v="-"/>
    <n v="0"/>
    <s v="-"/>
    <x v="0"/>
    <x v="0"/>
  </r>
  <r>
    <n v="353"/>
    <x v="352"/>
    <s v="-"/>
    <x v="35"/>
    <s v="-"/>
    <x v="333"/>
    <n v="0"/>
    <x v="0"/>
    <x v="5"/>
    <x v="3"/>
    <x v="84"/>
    <s v="-"/>
    <x v="0"/>
    <x v="1"/>
    <x v="5"/>
    <s v="Neelima"/>
    <s v="-"/>
    <s v="Duplicate"/>
    <d v="2017-06-07T00:00:00"/>
    <s v="Cash"/>
    <s v="-"/>
    <n v="4000"/>
    <x v="0"/>
    <s v="-"/>
    <n v="0"/>
    <s v="-"/>
    <x v="0"/>
    <x v="0"/>
  </r>
  <r>
    <n v="354"/>
    <x v="353"/>
    <s v="-"/>
    <x v="35"/>
    <s v="-"/>
    <x v="334"/>
    <n v="0"/>
    <x v="0"/>
    <x v="5"/>
    <x v="3"/>
    <x v="84"/>
    <s v="-"/>
    <x v="0"/>
    <x v="1"/>
    <x v="5"/>
    <s v="Sowjanya"/>
    <s v="-"/>
    <s v="Duplicate"/>
    <d v="2017-06-07T00:00:00"/>
    <s v="Cash"/>
    <s v="-"/>
    <n v="4000"/>
    <x v="0"/>
    <s v="-"/>
    <n v="0"/>
    <s v="-"/>
    <x v="0"/>
    <x v="0"/>
  </r>
  <r>
    <n v="355"/>
    <x v="354"/>
    <s v="-"/>
    <x v="35"/>
    <s v="-"/>
    <x v="335"/>
    <n v="0"/>
    <x v="0"/>
    <x v="5"/>
    <x v="3"/>
    <x v="84"/>
    <s v="-"/>
    <x v="0"/>
    <x v="1"/>
    <x v="5"/>
    <s v="Usha Latha"/>
    <s v="-"/>
    <s v="Duplicate"/>
    <d v="2017-06-07T00:00:00"/>
    <s v="Cash"/>
    <s v="-"/>
    <n v="4000"/>
    <x v="0"/>
    <s v="-"/>
    <n v="0"/>
    <s v="-"/>
    <x v="0"/>
    <x v="0"/>
  </r>
  <r>
    <n v="356"/>
    <x v="355"/>
    <s v="-"/>
    <x v="35"/>
    <s v="-"/>
    <x v="336"/>
    <n v="6880000"/>
    <x v="0"/>
    <x v="0"/>
    <x v="3"/>
    <x v="84"/>
    <s v="-"/>
    <x v="0"/>
    <x v="1"/>
    <x v="5"/>
    <s v="Rajeshwari"/>
    <s v="-"/>
    <s v="-"/>
    <s v="-"/>
    <s v="-"/>
    <s v="-"/>
    <n v="0"/>
    <x v="2"/>
    <n v="2822"/>
    <n v="4000"/>
    <s v="-"/>
    <x v="0"/>
    <x v="0"/>
  </r>
  <r>
    <n v="357"/>
    <x v="356"/>
    <s v="-"/>
    <x v="35"/>
    <s v="-"/>
    <x v="337"/>
    <n v="0"/>
    <x v="0"/>
    <x v="3"/>
    <x v="3"/>
    <x v="84"/>
    <s v="-"/>
    <x v="0"/>
    <x v="1"/>
    <x v="6"/>
    <s v="Yamini"/>
    <s v="-"/>
    <s v="-"/>
    <s v="-"/>
    <s v="-"/>
    <s v="-"/>
    <n v="0"/>
    <x v="2"/>
    <n v="2836"/>
    <n v="5000"/>
    <s v="-"/>
    <x v="0"/>
    <x v="0"/>
  </r>
  <r>
    <n v="358"/>
    <x v="357"/>
    <s v="-"/>
    <x v="67"/>
    <s v="-"/>
    <x v="338"/>
    <n v="0"/>
    <x v="0"/>
    <x v="3"/>
    <x v="3"/>
    <x v="84"/>
    <s v="-"/>
    <x v="0"/>
    <x v="1"/>
    <x v="6"/>
    <s v="B.Shailaja"/>
    <s v="-"/>
    <s v="Duplicate"/>
    <s v="-"/>
    <s v="-"/>
    <s v="-"/>
    <n v="0"/>
    <x v="6"/>
    <s v="-"/>
    <n v="0"/>
    <s v="-"/>
    <x v="2"/>
    <x v="0"/>
  </r>
  <r>
    <n v="359"/>
    <x v="358"/>
    <s v="-"/>
    <x v="36"/>
    <s v="-"/>
    <x v="339"/>
    <n v="5904000"/>
    <x v="0"/>
    <x v="3"/>
    <x v="3"/>
    <x v="84"/>
    <s v="-"/>
    <x v="0"/>
    <x v="1"/>
    <x v="5"/>
    <s v="N.Shailaja"/>
    <s v="-"/>
    <s v="Duplicate"/>
    <s v="-"/>
    <s v="-"/>
    <s v="-"/>
    <n v="0"/>
    <x v="2"/>
    <n v="2824"/>
    <n v="4000"/>
    <s v="-"/>
    <x v="0"/>
    <x v="0"/>
  </r>
  <r>
    <n v="360"/>
    <x v="359"/>
    <s v="-"/>
    <x v="36"/>
    <s v="-"/>
    <x v="340"/>
    <n v="0"/>
    <x v="0"/>
    <x v="3"/>
    <x v="3"/>
    <x v="121"/>
    <s v="-"/>
    <x v="0"/>
    <x v="1"/>
    <x v="5"/>
    <s v="Sai"/>
    <s v="-"/>
    <s v="-"/>
    <d v="2017-06-22T00:00:00"/>
    <s v="Bank"/>
    <s v="-"/>
    <n v="4000"/>
    <x v="0"/>
    <n v="2829"/>
    <n v="4000"/>
    <s v="-"/>
    <x v="0"/>
    <x v="0"/>
  </r>
  <r>
    <n v="361"/>
    <x v="360"/>
    <s v="-"/>
    <x v="36"/>
    <s v="-"/>
    <x v="341"/>
    <n v="4670000"/>
    <x v="0"/>
    <x v="3"/>
    <x v="3"/>
    <x v="121"/>
    <s v="-"/>
    <x v="0"/>
    <x v="1"/>
    <x v="0"/>
    <s v="Rajini"/>
    <s v="-"/>
    <s v="-"/>
    <s v="-"/>
    <s v="-"/>
    <s v="-"/>
    <n v="0"/>
    <x v="2"/>
    <n v="2825"/>
    <n v="4500"/>
    <s v="-"/>
    <x v="0"/>
    <x v="0"/>
  </r>
  <r>
    <n v="362"/>
    <x v="361"/>
    <s v="-"/>
    <x v="36"/>
    <s v="-"/>
    <x v="342"/>
    <n v="3159000"/>
    <x v="0"/>
    <x v="3"/>
    <x v="3"/>
    <x v="84"/>
    <s v="-"/>
    <x v="0"/>
    <x v="1"/>
    <x v="5"/>
    <s v="Leena"/>
    <s v="-"/>
    <s v="-"/>
    <d v="2017-06-05T00:00:00"/>
    <s v="Cash"/>
    <s v="-"/>
    <n v="3500"/>
    <x v="0"/>
    <s v="-"/>
    <n v="0"/>
    <s v="-"/>
    <x v="0"/>
    <x v="0"/>
  </r>
  <r>
    <n v="363"/>
    <x v="362"/>
    <s v="-"/>
    <x v="40"/>
    <s v="-"/>
    <x v="343"/>
    <n v="0"/>
    <x v="0"/>
    <x v="3"/>
    <x v="3"/>
    <x v="122"/>
    <s v="-"/>
    <x v="0"/>
    <x v="1"/>
    <x v="5"/>
    <s v="Priyanka"/>
    <s v="-"/>
    <s v="Duplicate"/>
    <s v="-"/>
    <s v="-"/>
    <s v="-"/>
    <n v="0"/>
    <x v="6"/>
    <s v="-"/>
    <n v="0"/>
    <s v="-"/>
    <x v="2"/>
    <x v="0"/>
  </r>
  <r>
    <n v="364"/>
    <x v="363"/>
    <s v="-"/>
    <x v="40"/>
    <s v="-"/>
    <x v="344"/>
    <n v="0"/>
    <x v="0"/>
    <x v="3"/>
    <x v="3"/>
    <x v="116"/>
    <s v="-"/>
    <x v="0"/>
    <x v="1"/>
    <x v="5"/>
    <s v="Madhu"/>
    <s v="-"/>
    <s v="-"/>
    <d v="2017-06-21T00:00:00"/>
    <s v="Bank"/>
    <s v="-"/>
    <n v="2500"/>
    <x v="0"/>
    <n v="2828"/>
    <n v="2500"/>
    <s v="-"/>
    <x v="0"/>
    <x v="0"/>
  </r>
  <r>
    <n v="365"/>
    <x v="364"/>
    <s v="-"/>
    <x v="68"/>
    <s v="-"/>
    <x v="345"/>
    <n v="0"/>
    <x v="0"/>
    <x v="3"/>
    <x v="3"/>
    <x v="9"/>
    <s v="-"/>
    <x v="0"/>
    <x v="1"/>
    <x v="0"/>
    <s v="Neelima"/>
    <s v="-"/>
    <s v="Duplicate"/>
    <s v="-"/>
    <s v="-"/>
    <s v="-"/>
    <n v="0"/>
    <x v="6"/>
    <s v="-"/>
    <n v="0"/>
    <s v="-"/>
    <x v="2"/>
    <x v="0"/>
  </r>
  <r>
    <n v="366"/>
    <x v="365"/>
    <s v="-"/>
    <x v="68"/>
    <s v="-"/>
    <x v="346"/>
    <n v="0"/>
    <x v="0"/>
    <x v="3"/>
    <x v="3"/>
    <x v="26"/>
    <s v="-"/>
    <x v="0"/>
    <x v="1"/>
    <x v="5"/>
    <s v="Neelima"/>
    <s v="-"/>
    <s v="-"/>
    <d v="2017-06-02T00:00:00"/>
    <s v="Cash"/>
    <s v="-"/>
    <n v="1000"/>
    <x v="12"/>
    <s v="-"/>
    <n v="0"/>
    <s v="-"/>
    <x v="2"/>
    <x v="0"/>
  </r>
  <r>
    <n v="367"/>
    <x v="366"/>
    <s v="-"/>
    <x v="68"/>
    <s v="-"/>
    <x v="347"/>
    <n v="0"/>
    <x v="0"/>
    <x v="3"/>
    <x v="3"/>
    <x v="26"/>
    <s v="-"/>
    <x v="0"/>
    <x v="1"/>
    <x v="5"/>
    <s v="Sowjanya"/>
    <s v="-"/>
    <s v="-"/>
    <d v="2017-06-03T00:00:00"/>
    <s v="Cash"/>
    <s v="-"/>
    <n v="3500"/>
    <x v="0"/>
    <s v="-"/>
    <n v="0"/>
    <s v="-"/>
    <x v="0"/>
    <x v="0"/>
  </r>
  <r>
    <n v="368"/>
    <x v="367"/>
    <s v="-"/>
    <x v="68"/>
    <s v="-"/>
    <x v="348"/>
    <n v="0"/>
    <x v="0"/>
    <x v="3"/>
    <x v="3"/>
    <x v="121"/>
    <s v="-"/>
    <x v="0"/>
    <x v="1"/>
    <x v="5"/>
    <s v="Usha Latha"/>
    <s v="-"/>
    <s v="-"/>
    <s v="-"/>
    <s v="-"/>
    <s v="-"/>
    <n v="0"/>
    <x v="2"/>
    <n v="2832"/>
    <n v="4000"/>
    <s v="-"/>
    <x v="0"/>
    <x v="0"/>
  </r>
  <r>
    <n v="369"/>
    <x v="368"/>
    <s v="-"/>
    <x v="69"/>
    <s v="-"/>
    <x v="118"/>
    <n v="0"/>
    <x v="0"/>
    <x v="3"/>
    <x v="3"/>
    <x v="26"/>
    <s v="-"/>
    <x v="0"/>
    <x v="1"/>
    <x v="6"/>
    <s v="Rajeshwari"/>
    <s v="-"/>
    <s v="Duplicate"/>
    <s v="-"/>
    <s v="-"/>
    <s v="-"/>
    <n v="0"/>
    <x v="6"/>
    <s v="-"/>
    <n v="0"/>
    <s v="No Status"/>
    <x v="2"/>
    <x v="0"/>
  </r>
  <r>
    <n v="370"/>
    <x v="369"/>
    <s v="-"/>
    <x v="65"/>
    <s v="-"/>
    <x v="349"/>
    <n v="0"/>
    <x v="0"/>
    <x v="3"/>
    <x v="5"/>
    <x v="123"/>
    <s v="-"/>
    <x v="0"/>
    <x v="1"/>
    <x v="6"/>
    <s v="Yamini"/>
    <s v="-"/>
    <s v="-"/>
    <s v="-"/>
    <s v="-"/>
    <s v="-"/>
    <n v="0"/>
    <x v="2"/>
    <s v="-"/>
    <n v="0"/>
    <s v="-"/>
    <x v="0"/>
    <x v="0"/>
  </r>
  <r>
    <n v="371"/>
    <x v="370"/>
    <s v="-"/>
    <x v="66"/>
    <s v="-"/>
    <x v="350"/>
    <n v="0"/>
    <x v="0"/>
    <x v="3"/>
    <x v="5"/>
    <x v="26"/>
    <s v="-"/>
    <x v="0"/>
    <x v="1"/>
    <x v="8"/>
    <s v="B.Shailaja"/>
    <s v="-"/>
    <s v="-"/>
    <s v="-"/>
    <s v="-"/>
    <s v="-"/>
    <n v="0"/>
    <x v="2"/>
    <s v="-"/>
    <n v="0"/>
    <s v="-"/>
    <x v="0"/>
    <x v="0"/>
  </r>
  <r>
    <n v="372"/>
    <x v="371"/>
    <s v="-"/>
    <x v="66"/>
    <s v="-"/>
    <x v="351"/>
    <n v="0"/>
    <x v="0"/>
    <x v="3"/>
    <x v="5"/>
    <x v="108"/>
    <s v="-"/>
    <x v="0"/>
    <x v="1"/>
    <x v="9"/>
    <s v="N.Shailaja"/>
    <s v="-"/>
    <s v="-"/>
    <s v="-"/>
    <s v="-"/>
    <s v="-"/>
    <n v="0"/>
    <x v="2"/>
    <s v="-"/>
    <n v="0"/>
    <s v="-"/>
    <x v="0"/>
    <x v="0"/>
  </r>
  <r>
    <n v="373"/>
    <x v="372"/>
    <s v="-"/>
    <x v="66"/>
    <s v="-"/>
    <x v="352"/>
    <n v="0"/>
    <x v="0"/>
    <x v="3"/>
    <x v="5"/>
    <x v="108"/>
    <s v="-"/>
    <x v="0"/>
    <x v="1"/>
    <x v="6"/>
    <s v="Sai"/>
    <s v="-"/>
    <s v="-"/>
    <s v="-"/>
    <s v="-"/>
    <s v="-"/>
    <n v="0"/>
    <x v="2"/>
    <s v="-"/>
    <n v="0"/>
    <s v="-"/>
    <x v="0"/>
    <x v="0"/>
  </r>
  <r>
    <n v="374"/>
    <x v="373"/>
    <s v="-"/>
    <x v="66"/>
    <s v="-"/>
    <x v="353"/>
    <n v="0"/>
    <x v="0"/>
    <x v="3"/>
    <x v="5"/>
    <x v="108"/>
    <s v="-"/>
    <x v="0"/>
    <x v="1"/>
    <x v="6"/>
    <s v="Rajini"/>
    <s v="-"/>
    <s v="-"/>
    <s v="-"/>
    <s v="-"/>
    <s v="-"/>
    <n v="0"/>
    <x v="2"/>
    <s v="-"/>
    <n v="0"/>
    <s v="-"/>
    <x v="0"/>
    <x v="0"/>
  </r>
  <r>
    <n v="375"/>
    <x v="374"/>
    <s v="-"/>
    <x v="66"/>
    <s v="-"/>
    <x v="353"/>
    <n v="0"/>
    <x v="0"/>
    <x v="3"/>
    <x v="5"/>
    <x v="108"/>
    <s v="-"/>
    <x v="0"/>
    <x v="1"/>
    <x v="6"/>
    <s v="Leena"/>
    <s v="-"/>
    <s v="-"/>
    <s v="-"/>
    <s v="-"/>
    <s v="-"/>
    <n v="0"/>
    <x v="2"/>
    <s v="-"/>
    <n v="0"/>
    <s v="-"/>
    <x v="0"/>
    <x v="0"/>
  </r>
  <r>
    <n v="376"/>
    <x v="375"/>
    <s v="-"/>
    <x v="29"/>
    <s v="-"/>
    <x v="354"/>
    <n v="0"/>
    <x v="0"/>
    <x v="3"/>
    <x v="5"/>
    <x v="108"/>
    <s v="-"/>
    <x v="0"/>
    <x v="1"/>
    <x v="9"/>
    <s v="Priyanka"/>
    <s v="-"/>
    <s v="-"/>
    <s v="-"/>
    <s v="-"/>
    <s v="-"/>
    <n v="0"/>
    <x v="2"/>
    <s v="-"/>
    <n v="0"/>
    <s v="-"/>
    <x v="0"/>
    <x v="0"/>
  </r>
  <r>
    <n v="377"/>
    <x v="376"/>
    <s v="-"/>
    <x v="29"/>
    <s v="-"/>
    <x v="355"/>
    <n v="0"/>
    <x v="0"/>
    <x v="3"/>
    <x v="5"/>
    <x v="108"/>
    <s v="-"/>
    <x v="0"/>
    <x v="1"/>
    <x v="10"/>
    <s v="Madhu"/>
    <s v="-"/>
    <s v="-"/>
    <s v="-"/>
    <s v="-"/>
    <s v="-"/>
    <n v="0"/>
    <x v="2"/>
    <s v="-"/>
    <n v="0"/>
    <s v="-"/>
    <x v="0"/>
    <x v="0"/>
  </r>
  <r>
    <n v="378"/>
    <x v="377"/>
    <s v="-"/>
    <x v="29"/>
    <s v="-"/>
    <x v="356"/>
    <n v="0"/>
    <x v="0"/>
    <x v="3"/>
    <x v="5"/>
    <x v="108"/>
    <s v="-"/>
    <x v="0"/>
    <x v="1"/>
    <x v="10"/>
    <s v="Neelima"/>
    <s v="-"/>
    <s v="-"/>
    <s v="-"/>
    <s v="-"/>
    <s v="-"/>
    <n v="0"/>
    <x v="2"/>
    <s v="-"/>
    <n v="0"/>
    <s v="-"/>
    <x v="0"/>
    <x v="0"/>
  </r>
  <r>
    <n v="379"/>
    <x v="378"/>
    <s v="-"/>
    <x v="37"/>
    <s v="-"/>
    <x v="357"/>
    <n v="0"/>
    <x v="0"/>
    <x v="3"/>
    <x v="5"/>
    <x v="108"/>
    <s v="-"/>
    <x v="0"/>
    <x v="1"/>
    <x v="11"/>
    <s v="Sowjanya"/>
    <s v="-"/>
    <s v="-"/>
    <s v="-"/>
    <s v="-"/>
    <s v="-"/>
    <n v="0"/>
    <x v="2"/>
    <s v="-"/>
    <n v="0"/>
    <s v="-"/>
    <x v="0"/>
    <x v="0"/>
  </r>
  <r>
    <n v="380"/>
    <x v="379"/>
    <s v="-"/>
    <x v="37"/>
    <s v="-"/>
    <x v="358"/>
    <n v="0"/>
    <x v="0"/>
    <x v="3"/>
    <x v="5"/>
    <x v="108"/>
    <s v="-"/>
    <x v="0"/>
    <x v="1"/>
    <x v="12"/>
    <s v="Usha Latha"/>
    <s v="-"/>
    <s v="-"/>
    <s v="-"/>
    <s v="-"/>
    <s v="-"/>
    <n v="0"/>
    <x v="2"/>
    <s v="-"/>
    <n v="0"/>
    <s v="-"/>
    <x v="0"/>
    <x v="0"/>
  </r>
  <r>
    <n v="381"/>
    <x v="380"/>
    <s v="-"/>
    <x v="37"/>
    <s v="-"/>
    <x v="359"/>
    <n v="0"/>
    <x v="0"/>
    <x v="3"/>
    <x v="5"/>
    <x v="108"/>
    <s v="-"/>
    <x v="0"/>
    <x v="1"/>
    <x v="11"/>
    <s v="Rajeshwari"/>
    <s v="-"/>
    <s v="-"/>
    <s v="-"/>
    <s v="-"/>
    <s v="-"/>
    <n v="0"/>
    <x v="2"/>
    <s v="-"/>
    <n v="0"/>
    <s v="-"/>
    <x v="0"/>
    <x v="0"/>
  </r>
  <r>
    <n v="382"/>
    <x v="381"/>
    <s v="-"/>
    <x v="37"/>
    <s v="-"/>
    <x v="352"/>
    <n v="0"/>
    <x v="0"/>
    <x v="3"/>
    <x v="5"/>
    <x v="108"/>
    <s v="-"/>
    <x v="0"/>
    <x v="1"/>
    <x v="6"/>
    <s v="Yamini"/>
    <s v="-"/>
    <s v="-"/>
    <s v="-"/>
    <s v="-"/>
    <s v="-"/>
    <n v="0"/>
    <x v="2"/>
    <s v="-"/>
    <n v="0"/>
    <s v="-"/>
    <x v="0"/>
    <x v="0"/>
  </r>
  <r>
    <n v="383"/>
    <x v="382"/>
    <s v="-"/>
    <x v="37"/>
    <s v="-"/>
    <x v="353"/>
    <n v="0"/>
    <x v="0"/>
    <x v="3"/>
    <x v="5"/>
    <x v="108"/>
    <s v="-"/>
    <x v="0"/>
    <x v="1"/>
    <x v="0"/>
    <s v="B.Shailaja"/>
    <s v="-"/>
    <s v="-"/>
    <s v="-"/>
    <s v="-"/>
    <s v="-"/>
    <n v="0"/>
    <x v="2"/>
    <s v="-"/>
    <n v="0"/>
    <s v="-"/>
    <x v="0"/>
    <x v="0"/>
  </r>
  <r>
    <n v="384"/>
    <x v="383"/>
    <s v="-"/>
    <x v="37"/>
    <s v="-"/>
    <x v="353"/>
    <n v="0"/>
    <x v="0"/>
    <x v="3"/>
    <x v="5"/>
    <x v="26"/>
    <s v="-"/>
    <x v="0"/>
    <x v="1"/>
    <x v="0"/>
    <s v="N.Shailaja"/>
    <s v="-"/>
    <s v="-"/>
    <s v="-"/>
    <s v="-"/>
    <s v="-"/>
    <n v="0"/>
    <x v="2"/>
    <s v="-"/>
    <n v="0"/>
    <s v="-"/>
    <x v="0"/>
    <x v="0"/>
  </r>
  <r>
    <n v="385"/>
    <x v="384"/>
    <s v="-"/>
    <x v="68"/>
    <s v="-"/>
    <x v="360"/>
    <n v="0"/>
    <x v="0"/>
    <x v="3"/>
    <x v="5"/>
    <x v="108"/>
    <s v="-"/>
    <x v="0"/>
    <x v="1"/>
    <x v="6"/>
    <s v="Sai"/>
    <s v="-"/>
    <s v="-"/>
    <s v="-"/>
    <s v="-"/>
    <s v="-"/>
    <n v="0"/>
    <x v="2"/>
    <s v="-"/>
    <n v="0"/>
    <s v="-"/>
    <x v="0"/>
    <x v="0"/>
  </r>
  <r>
    <n v="386"/>
    <x v="385"/>
    <s v="-"/>
    <x v="72"/>
    <s v="-"/>
    <x v="361"/>
    <n v="0"/>
    <x v="0"/>
    <x v="5"/>
    <x v="7"/>
    <x v="124"/>
    <s v="-"/>
    <x v="0"/>
    <x v="2"/>
    <x v="13"/>
    <s v="Rajini"/>
    <s v="-"/>
    <s v="-"/>
    <d v="2017-06-23T00:00:00"/>
    <s v="Bank"/>
    <s v="-"/>
    <n v="5000"/>
    <x v="0"/>
    <s v="-"/>
    <n v="0"/>
    <s v="-"/>
    <x v="0"/>
    <x v="0"/>
  </r>
  <r>
    <n v="387"/>
    <x v="386"/>
    <s v="-"/>
    <x v="73"/>
    <s v="-"/>
    <x v="362"/>
    <n v="0"/>
    <x v="0"/>
    <x v="5"/>
    <x v="7"/>
    <x v="125"/>
    <s v="-"/>
    <x v="0"/>
    <x v="2"/>
    <x v="13"/>
    <s v="Leena"/>
    <s v="-"/>
    <s v="-"/>
    <d v="2017-06-23T00:00:00"/>
    <s v="Bank"/>
    <s v="-"/>
    <n v="5000"/>
    <x v="0"/>
    <s v="-"/>
    <n v="0"/>
    <s v="-"/>
    <x v="0"/>
    <x v="0"/>
  </r>
  <r>
    <n v="388"/>
    <x v="387"/>
    <s v="-"/>
    <x v="74"/>
    <s v="-"/>
    <x v="363"/>
    <n v="0"/>
    <x v="0"/>
    <x v="16"/>
    <x v="7"/>
    <x v="26"/>
    <s v="-"/>
    <x v="0"/>
    <x v="2"/>
    <x v="10"/>
    <s v="Priyanka"/>
    <s v="-"/>
    <s v="-"/>
    <d v="2017-06-02T00:00:00"/>
    <s v="Bank"/>
    <s v="-"/>
    <n v="8000"/>
    <x v="0"/>
    <s v="-"/>
    <n v="0"/>
    <s v="-"/>
    <x v="0"/>
    <x v="0"/>
  </r>
  <r>
    <n v="389"/>
    <x v="388"/>
    <s v="-"/>
    <x v="75"/>
    <s v="-"/>
    <x v="364"/>
    <n v="0"/>
    <x v="0"/>
    <x v="5"/>
    <x v="7"/>
    <x v="126"/>
    <s v="-"/>
    <x v="0"/>
    <x v="2"/>
    <x v="13"/>
    <s v="Madhu"/>
    <s v="-"/>
    <s v="-"/>
    <s v="-"/>
    <s v="-"/>
    <s v="-"/>
    <n v="0"/>
    <x v="2"/>
    <s v="-"/>
    <n v="0"/>
    <s v="-"/>
    <x v="0"/>
    <x v="0"/>
  </r>
  <r>
    <n v="390"/>
    <x v="389"/>
    <s v="-"/>
    <x v="76"/>
    <s v="-"/>
    <x v="365"/>
    <n v="0"/>
    <x v="0"/>
    <x v="16"/>
    <x v="7"/>
    <x v="26"/>
    <s v="-"/>
    <x v="0"/>
    <x v="2"/>
    <x v="13"/>
    <s v="Neelima"/>
    <s v="-"/>
    <s v="-"/>
    <d v="2017-06-02T00:00:00"/>
    <s v="Bank"/>
    <s v="-"/>
    <n v="8000"/>
    <x v="0"/>
    <s v="-"/>
    <n v="0"/>
    <s v="-"/>
    <x v="0"/>
    <x v="0"/>
  </r>
  <r>
    <n v="391"/>
    <x v="390"/>
    <s v="-"/>
    <x v="77"/>
    <s v="-"/>
    <x v="8"/>
    <n v="0"/>
    <x v="0"/>
    <x v="5"/>
    <x v="7"/>
    <x v="124"/>
    <s v="-"/>
    <x v="0"/>
    <x v="2"/>
    <x v="14"/>
    <s v="Sowjanya"/>
    <s v="-"/>
    <s v="-"/>
    <s v="-"/>
    <s v="-"/>
    <s v="-"/>
    <n v="0"/>
    <x v="2"/>
    <s v="-"/>
    <n v="0"/>
    <s v="-"/>
    <x v="0"/>
    <x v="0"/>
  </r>
  <r>
    <n v="392"/>
    <x v="391"/>
    <s v="-"/>
    <x v="62"/>
    <s v="-"/>
    <x v="366"/>
    <n v="0"/>
    <x v="0"/>
    <x v="5"/>
    <x v="7"/>
    <x v="127"/>
    <s v="-"/>
    <x v="1"/>
    <x v="2"/>
    <x v="13"/>
    <s v="Usha Latha"/>
    <s v="-"/>
    <s v="-"/>
    <s v="-"/>
    <s v="-"/>
    <s v="-"/>
    <n v="0"/>
    <x v="6"/>
    <s v="-"/>
    <n v="0"/>
    <s v="-"/>
    <x v="2"/>
    <x v="0"/>
  </r>
  <r>
    <n v="393"/>
    <x v="392"/>
    <s v="-"/>
    <x v="63"/>
    <s v="-"/>
    <x v="367"/>
    <n v="0"/>
    <x v="0"/>
    <x v="3"/>
    <x v="7"/>
    <x v="128"/>
    <s v="-"/>
    <x v="0"/>
    <x v="2"/>
    <x v="15"/>
    <s v="Rajeshwari"/>
    <s v="-"/>
    <s v="-"/>
    <d v="2017-06-15T00:00:00"/>
    <s v="Bank"/>
    <s v="-"/>
    <n v="4000"/>
    <x v="0"/>
    <s v="-"/>
    <n v="0"/>
    <s v="-"/>
    <x v="0"/>
    <x v="0"/>
  </r>
  <r>
    <n v="394"/>
    <x v="393"/>
    <s v="-"/>
    <x v="78"/>
    <s v="-"/>
    <x v="184"/>
    <n v="4038000"/>
    <x v="0"/>
    <x v="5"/>
    <x v="7"/>
    <x v="128"/>
    <s v="-"/>
    <x v="0"/>
    <x v="2"/>
    <x v="15"/>
    <s v="Yamini"/>
    <s v="-"/>
    <s v="-"/>
    <d v="2017-06-15T00:00:00"/>
    <s v="Bank"/>
    <s v="-"/>
    <n v="4000"/>
    <x v="0"/>
    <s v="-"/>
    <n v="0"/>
    <s v="-"/>
    <x v="0"/>
    <x v="0"/>
  </r>
  <r>
    <n v="395"/>
    <x v="394"/>
    <s v="-"/>
    <x v="78"/>
    <s v="-"/>
    <x v="368"/>
    <n v="1974000"/>
    <x v="0"/>
    <x v="5"/>
    <x v="7"/>
    <x v="128"/>
    <s v="-"/>
    <x v="0"/>
    <x v="2"/>
    <x v="15"/>
    <s v="B.Shailaja"/>
    <s v="-"/>
    <s v="-"/>
    <d v="2017-06-15T00:00:00"/>
    <s v="Bank"/>
    <s v="-"/>
    <n v="2500"/>
    <x v="0"/>
    <s v="-"/>
    <n v="0"/>
    <s v="-"/>
    <x v="0"/>
    <x v="0"/>
  </r>
  <r>
    <n v="396"/>
    <x v="395"/>
    <s v="-"/>
    <x v="32"/>
    <s v="-"/>
    <x v="369"/>
    <n v="2663000"/>
    <x v="0"/>
    <x v="3"/>
    <x v="7"/>
    <x v="128"/>
    <s v="-"/>
    <x v="0"/>
    <x v="2"/>
    <x v="15"/>
    <s v="N.Shailaja"/>
    <s v="-"/>
    <s v="-"/>
    <d v="2017-06-15T00:00:00"/>
    <s v="Bank"/>
    <s v="-"/>
    <n v="2500"/>
    <x v="0"/>
    <s v="-"/>
    <n v="0"/>
    <s v="-"/>
    <x v="0"/>
    <x v="0"/>
  </r>
  <r>
    <n v="397"/>
    <x v="396"/>
    <s v="-"/>
    <x v="71"/>
    <s v="-"/>
    <x v="370"/>
    <n v="0"/>
    <x v="0"/>
    <x v="5"/>
    <x v="7"/>
    <x v="129"/>
    <s v="-"/>
    <x v="0"/>
    <x v="2"/>
    <x v="13"/>
    <s v="Sai"/>
    <s v="-"/>
    <s v="-"/>
    <d v="2017-06-08T00:00:00"/>
    <s v="Bank"/>
    <s v="-"/>
    <n v="5000"/>
    <x v="0"/>
    <s v="-"/>
    <n v="0"/>
    <s v="-"/>
    <x v="0"/>
    <x v="0"/>
  </r>
  <r>
    <n v="398"/>
    <x v="397"/>
    <s v="-"/>
    <x v="43"/>
    <s v="-"/>
    <x v="371"/>
    <n v="0"/>
    <x v="0"/>
    <x v="7"/>
    <x v="7"/>
    <x v="20"/>
    <s v="-"/>
    <x v="0"/>
    <x v="2"/>
    <x v="15"/>
    <s v="Rajini"/>
    <s v="-"/>
    <s v="-"/>
    <d v="2017-06-07T00:00:00"/>
    <s v="Bank"/>
    <s v="-"/>
    <n v="10000"/>
    <x v="0"/>
    <s v="-"/>
    <n v="0"/>
    <s v="-"/>
    <x v="0"/>
    <x v="0"/>
  </r>
  <r>
    <n v="399"/>
    <x v="398"/>
    <s v="-"/>
    <x v="43"/>
    <s v="-"/>
    <x v="371"/>
    <n v="0"/>
    <x v="0"/>
    <x v="7"/>
    <x v="7"/>
    <x v="20"/>
    <s v="-"/>
    <x v="0"/>
    <x v="2"/>
    <x v="15"/>
    <s v="Leena"/>
    <s v="-"/>
    <s v="-"/>
    <d v="2017-06-07T00:00:00"/>
    <s v="Bank"/>
    <s v="-"/>
    <n v="10000"/>
    <x v="0"/>
    <s v="-"/>
    <n v="0"/>
    <s v="-"/>
    <x v="0"/>
    <x v="0"/>
  </r>
  <r>
    <n v="400"/>
    <x v="399"/>
    <s v="-"/>
    <x v="43"/>
    <s v="-"/>
    <x v="371"/>
    <n v="0"/>
    <x v="0"/>
    <x v="7"/>
    <x v="7"/>
    <x v="20"/>
    <s v="-"/>
    <x v="0"/>
    <x v="2"/>
    <x v="15"/>
    <s v="Priyanka"/>
    <s v="-"/>
    <s v="-"/>
    <s v="-"/>
    <s v="-"/>
    <s v="-"/>
    <n v="0"/>
    <x v="6"/>
    <s v="-"/>
    <n v="0"/>
    <s v="-"/>
    <x v="2"/>
    <x v="0"/>
  </r>
  <r>
    <n v="401"/>
    <x v="400"/>
    <s v="-"/>
    <x v="43"/>
    <s v="-"/>
    <x v="371"/>
    <n v="0"/>
    <x v="0"/>
    <x v="7"/>
    <x v="7"/>
    <x v="20"/>
    <s v="-"/>
    <x v="0"/>
    <x v="2"/>
    <x v="15"/>
    <s v="Madhu"/>
    <s v="-"/>
    <s v="-"/>
    <d v="2017-06-07T00:00:00"/>
    <s v="Bank"/>
    <s v="-"/>
    <n v="10000"/>
    <x v="0"/>
    <s v="-"/>
    <n v="0"/>
    <s v="-"/>
    <x v="0"/>
    <x v="0"/>
  </r>
  <r>
    <n v="402"/>
    <x v="401"/>
    <s v="-"/>
    <x v="53"/>
    <s v="-"/>
    <x v="372"/>
    <n v="0"/>
    <x v="0"/>
    <x v="5"/>
    <x v="7"/>
    <x v="128"/>
    <s v="-"/>
    <x v="0"/>
    <x v="2"/>
    <x v="15"/>
    <s v="Neelima"/>
    <s v="-"/>
    <s v="-"/>
    <d v="2017-06-28T00:00:00"/>
    <s v="Bank"/>
    <s v="-"/>
    <n v="3000"/>
    <x v="0"/>
    <s v="-"/>
    <n v="0"/>
    <s v="-"/>
    <x v="0"/>
    <x v="0"/>
  </r>
  <r>
    <n v="403"/>
    <x v="402"/>
    <s v="-"/>
    <x v="46"/>
    <s v="-"/>
    <x v="373"/>
    <n v="0"/>
    <x v="0"/>
    <x v="5"/>
    <x v="7"/>
    <x v="128"/>
    <s v="-"/>
    <x v="0"/>
    <x v="2"/>
    <x v="13"/>
    <s v="Sowjanya"/>
    <s v="-"/>
    <s v="-"/>
    <d v="2017-06-28T00:00:00"/>
    <s v="Bank"/>
    <s v="-"/>
    <n v="3000"/>
    <x v="0"/>
    <s v="-"/>
    <n v="0"/>
    <s v="-"/>
    <x v="0"/>
    <x v="0"/>
  </r>
  <r>
    <n v="404"/>
    <x v="403"/>
    <s v="-"/>
    <x v="4"/>
    <s v="-"/>
    <x v="374"/>
    <n v="0"/>
    <x v="0"/>
    <x v="5"/>
    <x v="7"/>
    <x v="130"/>
    <s v="-"/>
    <x v="1"/>
    <x v="2"/>
    <x v="13"/>
    <s v="Usha Latha"/>
    <s v="-"/>
    <s v="-"/>
    <s v="-"/>
    <s v="-"/>
    <s v="-"/>
    <n v="0"/>
    <x v="2"/>
    <s v="-"/>
    <n v="0"/>
    <s v="-"/>
    <x v="0"/>
    <x v="0"/>
  </r>
  <r>
    <n v="405"/>
    <x v="404"/>
    <s v="-"/>
    <x v="9"/>
    <s v="-"/>
    <x v="375"/>
    <n v="0"/>
    <x v="0"/>
    <x v="3"/>
    <x v="7"/>
    <x v="23"/>
    <s v="-"/>
    <x v="0"/>
    <x v="2"/>
    <x v="15"/>
    <s v="Rajeshwari"/>
    <s v="-"/>
    <s v="-"/>
    <d v="2017-06-23T00:00:00"/>
    <s v="Cash"/>
    <s v="-"/>
    <n v="2000"/>
    <x v="0"/>
    <s v="-"/>
    <n v="0"/>
    <s v="-"/>
    <x v="0"/>
    <x v="0"/>
  </r>
  <r>
    <n v="406"/>
    <x v="405"/>
    <s v="-"/>
    <x v="42"/>
    <s v="-"/>
    <x v="376"/>
    <n v="0"/>
    <x v="0"/>
    <x v="0"/>
    <x v="2"/>
    <x v="15"/>
    <s v="-"/>
    <x v="2"/>
    <x v="2"/>
    <x v="13"/>
    <s v="Yamini"/>
    <s v="-"/>
    <s v="Duplicate"/>
    <s v="-"/>
    <s v="-"/>
    <s v="-"/>
    <n v="0"/>
    <x v="2"/>
    <s v="-"/>
    <n v="0"/>
    <s v="-"/>
    <x v="0"/>
    <x v="0"/>
  </r>
  <r>
    <n v="407"/>
    <x v="406"/>
    <s v="-"/>
    <x v="42"/>
    <s v="-"/>
    <x v="377"/>
    <n v="0"/>
    <x v="0"/>
    <x v="5"/>
    <x v="2"/>
    <x v="131"/>
    <s v="-"/>
    <x v="3"/>
    <x v="2"/>
    <x v="15"/>
    <s v="B.Shailaja"/>
    <s v="-"/>
    <s v="-"/>
    <d v="2017-06-22T00:00:00"/>
    <s v="Bank"/>
    <s v="-"/>
    <n v="4000"/>
    <x v="0"/>
    <s v="-"/>
    <n v="0"/>
    <s v="-"/>
    <x v="0"/>
    <x v="0"/>
  </r>
  <r>
    <n v="408"/>
    <x v="407"/>
    <s v="-"/>
    <x v="44"/>
    <s v="-"/>
    <x v="378"/>
    <n v="0"/>
    <x v="0"/>
    <x v="0"/>
    <x v="2"/>
    <x v="132"/>
    <s v="-"/>
    <x v="0"/>
    <x v="2"/>
    <x v="13"/>
    <s v="N.Shailaja"/>
    <s v="-"/>
    <s v="Duplicate"/>
    <d v="2017-06-06T00:00:00"/>
    <s v="Cash"/>
    <s v="-"/>
    <n v="5000"/>
    <x v="0"/>
    <s v="-"/>
    <n v="0"/>
    <s v="-"/>
    <x v="0"/>
    <x v="0"/>
  </r>
  <r>
    <n v="409"/>
    <x v="408"/>
    <s v="-"/>
    <x v="44"/>
    <s v="-"/>
    <x v="379"/>
    <n v="0"/>
    <x v="0"/>
    <x v="5"/>
    <x v="2"/>
    <x v="133"/>
    <s v="-"/>
    <x v="0"/>
    <x v="2"/>
    <x v="13"/>
    <s v="Sai"/>
    <s v="-"/>
    <s v="Duplicate"/>
    <d v="2017-06-07T00:00:00"/>
    <s v="Cash"/>
    <s v="-"/>
    <n v="5000"/>
    <x v="0"/>
    <s v="-"/>
    <n v="0"/>
    <s v="-"/>
    <x v="0"/>
    <x v="0"/>
  </r>
  <r>
    <n v="410"/>
    <x v="409"/>
    <s v="-"/>
    <x v="0"/>
    <s v="-"/>
    <x v="380"/>
    <n v="0"/>
    <x v="0"/>
    <x v="5"/>
    <x v="2"/>
    <x v="15"/>
    <s v="-"/>
    <x v="2"/>
    <x v="2"/>
    <x v="15"/>
    <s v="Rajini"/>
    <s v="-"/>
    <s v="Duplicate"/>
    <s v="-"/>
    <s v="-"/>
    <s v="-"/>
    <n v="0"/>
    <x v="2"/>
    <s v="-"/>
    <n v="0"/>
    <s v="-"/>
    <x v="0"/>
    <x v="0"/>
  </r>
  <r>
    <n v="411"/>
    <x v="410"/>
    <s v="-"/>
    <x v="0"/>
    <s v="-"/>
    <x v="381"/>
    <n v="0"/>
    <x v="0"/>
    <x v="17"/>
    <x v="2"/>
    <x v="134"/>
    <s v="-"/>
    <x v="0"/>
    <x v="2"/>
    <x v="15"/>
    <s v="Leena"/>
    <s v="-"/>
    <s v="-"/>
    <d v="2017-06-19T00:00:00"/>
    <s v="Cash"/>
    <s v="-"/>
    <n v="5000"/>
    <x v="0"/>
    <s v="-"/>
    <n v="0"/>
    <s v="-"/>
    <x v="0"/>
    <x v="0"/>
  </r>
  <r>
    <n v="412"/>
    <x v="411"/>
    <s v="-"/>
    <x v="0"/>
    <s v="-"/>
    <x v="382"/>
    <n v="0"/>
    <x v="0"/>
    <x v="5"/>
    <x v="2"/>
    <x v="134"/>
    <s v="-"/>
    <x v="0"/>
    <x v="2"/>
    <x v="15"/>
    <s v="Priyanka"/>
    <s v="-"/>
    <s v="-"/>
    <d v="2017-06-10T00:00:00"/>
    <s v="Cash"/>
    <s v="-"/>
    <n v="5000"/>
    <x v="0"/>
    <s v="-"/>
    <n v="0"/>
    <s v="-"/>
    <x v="0"/>
    <x v="0"/>
  </r>
  <r>
    <n v="413"/>
    <x v="412"/>
    <s v="-"/>
    <x v="0"/>
    <s v="-"/>
    <x v="383"/>
    <n v="0"/>
    <x v="0"/>
    <x v="5"/>
    <x v="2"/>
    <x v="135"/>
    <s v="-"/>
    <x v="0"/>
    <x v="2"/>
    <x v="13"/>
    <s v="Madhu"/>
    <s v="-"/>
    <s v="-"/>
    <d v="2017-06-10T00:00:00"/>
    <s v="Cash"/>
    <s v="-"/>
    <n v="4000"/>
    <x v="0"/>
    <s v="-"/>
    <n v="0"/>
    <s v="-"/>
    <x v="0"/>
    <x v="0"/>
  </r>
  <r>
    <n v="414"/>
    <x v="413"/>
    <s v="-"/>
    <x v="1"/>
    <s v="-"/>
    <x v="384"/>
    <n v="0"/>
    <x v="0"/>
    <x v="5"/>
    <x v="2"/>
    <x v="136"/>
    <s v="-"/>
    <x v="0"/>
    <x v="2"/>
    <x v="13"/>
    <s v="Neelima"/>
    <s v="-"/>
    <s v="-"/>
    <s v="-"/>
    <s v="-"/>
    <s v="-"/>
    <n v="0"/>
    <x v="2"/>
    <s v="-"/>
    <n v="0"/>
    <s v="-"/>
    <x v="0"/>
    <x v="0"/>
  </r>
  <r>
    <n v="415"/>
    <x v="414"/>
    <s v="-"/>
    <x v="1"/>
    <s v="-"/>
    <x v="385"/>
    <n v="0"/>
    <x v="0"/>
    <x v="5"/>
    <x v="2"/>
    <x v="26"/>
    <s v="-"/>
    <x v="0"/>
    <x v="2"/>
    <x v="13"/>
    <s v="Sowjanya"/>
    <s v="-"/>
    <s v="-"/>
    <s v="-"/>
    <s v="-"/>
    <s v="-"/>
    <n v="0"/>
    <x v="6"/>
    <s v="-"/>
    <n v="0"/>
    <s v="-"/>
    <x v="2"/>
    <x v="0"/>
  </r>
  <r>
    <n v="416"/>
    <x v="415"/>
    <s v="-"/>
    <x v="1"/>
    <s v="-"/>
    <x v="386"/>
    <n v="0"/>
    <x v="0"/>
    <x v="5"/>
    <x v="2"/>
    <x v="26"/>
    <s v="-"/>
    <x v="2"/>
    <x v="2"/>
    <x v="15"/>
    <s v="Usha Latha"/>
    <s v="-"/>
    <s v="-"/>
    <s v="-"/>
    <s v="-"/>
    <s v="-"/>
    <n v="0"/>
    <x v="2"/>
    <s v="-"/>
    <n v="0"/>
    <s v="-"/>
    <x v="0"/>
    <x v="0"/>
  </r>
  <r>
    <n v="417"/>
    <x v="416"/>
    <s v="-"/>
    <x v="1"/>
    <s v="-"/>
    <x v="56"/>
    <n v="0"/>
    <x v="0"/>
    <x v="0"/>
    <x v="2"/>
    <x v="137"/>
    <s v="-"/>
    <x v="0"/>
    <x v="2"/>
    <x v="14"/>
    <s v="Rajeshwari"/>
    <s v="-"/>
    <s v="-"/>
    <d v="2017-06-06T00:00:00"/>
    <s v="Cash"/>
    <s v="-"/>
    <n v="750"/>
    <x v="13"/>
    <s v="-"/>
    <n v="0"/>
    <s v="-"/>
    <x v="2"/>
    <x v="0"/>
  </r>
  <r>
    <n v="418"/>
    <x v="417"/>
    <s v="-"/>
    <x v="1"/>
    <s v="-"/>
    <x v="387"/>
    <n v="0"/>
    <x v="0"/>
    <x v="10"/>
    <x v="2"/>
    <x v="26"/>
    <s v="-"/>
    <x v="0"/>
    <x v="2"/>
    <x v="0"/>
    <s v="Yamini"/>
    <s v="-"/>
    <s v="-"/>
    <d v="2017-06-06T00:00:00"/>
    <s v="Cash"/>
    <s v="-"/>
    <n v="1000"/>
    <x v="0"/>
    <s v="-"/>
    <n v="0"/>
    <s v="-"/>
    <x v="0"/>
    <x v="0"/>
  </r>
  <r>
    <n v="419"/>
    <x v="418"/>
    <s v="-"/>
    <x v="45"/>
    <s v="-"/>
    <x v="388"/>
    <n v="0"/>
    <x v="0"/>
    <x v="14"/>
    <x v="2"/>
    <x v="120"/>
    <s v="-"/>
    <x v="0"/>
    <x v="2"/>
    <x v="15"/>
    <s v="B.Shailaja"/>
    <s v="-"/>
    <s v="-"/>
    <d v="2017-06-29T00:00:00"/>
    <s v="Cash"/>
    <s v="-"/>
    <n v="1500"/>
    <x v="0"/>
    <s v="-"/>
    <n v="0"/>
    <s v="-"/>
    <x v="0"/>
    <x v="0"/>
  </r>
  <r>
    <n v="420"/>
    <x v="419"/>
    <s v="-"/>
    <x v="45"/>
    <s v="-"/>
    <x v="389"/>
    <n v="0"/>
    <x v="0"/>
    <x v="10"/>
    <x v="2"/>
    <x v="26"/>
    <s v="-"/>
    <x v="0"/>
    <x v="2"/>
    <x v="0"/>
    <s v="N.Shailaja"/>
    <s v="-"/>
    <s v="-"/>
    <s v="-"/>
    <s v="-"/>
    <s v="-"/>
    <n v="0"/>
    <x v="6"/>
    <s v="-"/>
    <n v="0"/>
    <s v="-"/>
    <x v="2"/>
    <x v="0"/>
  </r>
  <r>
    <n v="421"/>
    <x v="420"/>
    <s v="-"/>
    <x v="45"/>
    <s v="-"/>
    <x v="390"/>
    <n v="0"/>
    <x v="0"/>
    <x v="3"/>
    <x v="2"/>
    <x v="134"/>
    <s v="-"/>
    <x v="0"/>
    <x v="2"/>
    <x v="15"/>
    <s v="Sai"/>
    <s v="-"/>
    <s v="-"/>
    <d v="2017-06-14T00:00:00"/>
    <s v="Cash"/>
    <s v="-"/>
    <n v="3000"/>
    <x v="0"/>
    <s v="-"/>
    <n v="0"/>
    <s v="-"/>
    <x v="0"/>
    <x v="0"/>
  </r>
  <r>
    <n v="422"/>
    <x v="421"/>
    <s v="-"/>
    <x v="2"/>
    <s v="-"/>
    <x v="8"/>
    <n v="0"/>
    <x v="0"/>
    <x v="4"/>
    <x v="2"/>
    <x v="138"/>
    <s v="-"/>
    <x v="0"/>
    <x v="2"/>
    <x v="13"/>
    <s v="Rajini"/>
    <s v="-"/>
    <s v="-"/>
    <d v="2017-06-08T00:00:00"/>
    <s v="Cash"/>
    <s v="-"/>
    <n v="4500"/>
    <x v="0"/>
    <s v="-"/>
    <n v="0"/>
    <s v="-"/>
    <x v="0"/>
    <x v="0"/>
  </r>
  <r>
    <n v="423"/>
    <x v="422"/>
    <s v="-"/>
    <x v="2"/>
    <s v="-"/>
    <x v="391"/>
    <n v="0"/>
    <x v="0"/>
    <x v="5"/>
    <x v="2"/>
    <x v="139"/>
    <s v="-"/>
    <x v="0"/>
    <x v="2"/>
    <x v="15"/>
    <s v="Leena"/>
    <s v="-"/>
    <s v="-"/>
    <s v="-"/>
    <s v="-"/>
    <s v="-"/>
    <n v="0"/>
    <x v="7"/>
    <s v="-"/>
    <n v="0"/>
    <s v="-"/>
    <x v="2"/>
    <x v="0"/>
  </r>
  <r>
    <n v="424"/>
    <x v="423"/>
    <s v="-"/>
    <x v="2"/>
    <s v="-"/>
    <x v="392"/>
    <n v="0"/>
    <x v="0"/>
    <x v="10"/>
    <x v="2"/>
    <x v="26"/>
    <s v="-"/>
    <x v="0"/>
    <x v="2"/>
    <x v="0"/>
    <s v="Priyanka"/>
    <s v="-"/>
    <s v="-"/>
    <d v="2017-06-10T00:00:00"/>
    <s v="Cash"/>
    <s v="-"/>
    <n v="1000"/>
    <x v="0"/>
    <s v="-"/>
    <n v="0"/>
    <s v="-"/>
    <x v="0"/>
    <x v="0"/>
  </r>
  <r>
    <n v="425"/>
    <x v="424"/>
    <s v="-"/>
    <x v="79"/>
    <s v="-"/>
    <x v="393"/>
    <n v="0"/>
    <x v="0"/>
    <x v="5"/>
    <x v="2"/>
    <x v="140"/>
    <s v="-"/>
    <x v="2"/>
    <x v="2"/>
    <x v="13"/>
    <s v="Madhu"/>
    <s v="-"/>
    <s v="-"/>
    <s v="-"/>
    <s v="-"/>
    <s v="-"/>
    <n v="0"/>
    <x v="2"/>
    <s v="-"/>
    <n v="0"/>
    <s v="-"/>
    <x v="0"/>
    <x v="0"/>
  </r>
  <r>
    <n v="426"/>
    <x v="425"/>
    <s v="-"/>
    <x v="79"/>
    <s v="-"/>
    <x v="394"/>
    <n v="0"/>
    <x v="0"/>
    <x v="11"/>
    <x v="2"/>
    <x v="26"/>
    <s v="-"/>
    <x v="0"/>
    <x v="2"/>
    <x v="0"/>
    <s v="Neelima"/>
    <s v="-"/>
    <s v="-"/>
    <d v="2017-06-12T00:00:00"/>
    <s v="Cash"/>
    <s v="-"/>
    <n v="3000"/>
    <x v="0"/>
    <s v="-"/>
    <n v="0"/>
    <s v="-"/>
    <x v="0"/>
    <x v="0"/>
  </r>
  <r>
    <n v="427"/>
    <x v="426"/>
    <s v="-"/>
    <x v="79"/>
    <s v="-"/>
    <x v="56"/>
    <n v="0"/>
    <x v="0"/>
    <x v="10"/>
    <x v="2"/>
    <x v="26"/>
    <s v="-"/>
    <x v="0"/>
    <x v="2"/>
    <x v="0"/>
    <s v="Neelima"/>
    <s v="-"/>
    <s v="-"/>
    <d v="2017-06-10T00:00:00"/>
    <s v="Cash"/>
    <s v="-"/>
    <n v="1000"/>
    <x v="0"/>
    <s v="-"/>
    <n v="0"/>
    <s v="-"/>
    <x v="0"/>
    <x v="0"/>
  </r>
  <r>
    <n v="428"/>
    <x v="427"/>
    <s v="-"/>
    <x v="53"/>
    <s v="-"/>
    <x v="395"/>
    <n v="0"/>
    <x v="0"/>
    <x v="5"/>
    <x v="2"/>
    <x v="141"/>
    <s v="-"/>
    <x v="0"/>
    <x v="2"/>
    <x v="15"/>
    <s v="Sowjanya"/>
    <s v="-"/>
    <s v="-"/>
    <d v="2017-06-22T00:00:00"/>
    <s v="Cash"/>
    <s v="-"/>
    <n v="3500"/>
    <x v="0"/>
    <s v="-"/>
    <n v="0"/>
    <s v="-"/>
    <x v="0"/>
    <x v="0"/>
  </r>
  <r>
    <n v="429"/>
    <x v="428"/>
    <s v="-"/>
    <x v="53"/>
    <s v="-"/>
    <x v="396"/>
    <n v="0"/>
    <x v="0"/>
    <x v="5"/>
    <x v="2"/>
    <x v="142"/>
    <s v="-"/>
    <x v="0"/>
    <x v="2"/>
    <x v="13"/>
    <s v="Usha Latha"/>
    <s v="-"/>
    <s v="-"/>
    <s v="-"/>
    <s v="-"/>
    <s v="-"/>
    <n v="0"/>
    <x v="2"/>
    <s v="-"/>
    <n v="0"/>
    <s v="-"/>
    <x v="0"/>
    <x v="0"/>
  </r>
  <r>
    <n v="430"/>
    <x v="429"/>
    <s v="-"/>
    <x v="53"/>
    <s v="-"/>
    <x v="56"/>
    <n v="0"/>
    <x v="0"/>
    <x v="5"/>
    <x v="2"/>
    <x v="143"/>
    <s v="-"/>
    <x v="0"/>
    <x v="2"/>
    <x v="13"/>
    <s v="Rajeshwari"/>
    <s v="-"/>
    <s v="-"/>
    <s v="-"/>
    <s v="-"/>
    <s v="-"/>
    <n v="0"/>
    <x v="2"/>
    <s v="-"/>
    <n v="0"/>
    <s v="-"/>
    <x v="0"/>
    <x v="0"/>
  </r>
  <r>
    <n v="431"/>
    <x v="430"/>
    <s v="-"/>
    <x v="46"/>
    <s v="-"/>
    <x v="397"/>
    <n v="0"/>
    <x v="0"/>
    <x v="5"/>
    <x v="2"/>
    <x v="23"/>
    <s v="-"/>
    <x v="2"/>
    <x v="2"/>
    <x v="13"/>
    <s v="Yamini"/>
    <s v="-"/>
    <s v="-"/>
    <s v="-"/>
    <s v="-"/>
    <s v="-"/>
    <n v="0"/>
    <x v="2"/>
    <s v="-"/>
    <n v="0"/>
    <s v="-"/>
    <x v="0"/>
    <x v="0"/>
  </r>
  <r>
    <n v="432"/>
    <x v="431"/>
    <s v="-"/>
    <x v="46"/>
    <s v="-"/>
    <x v="398"/>
    <n v="0"/>
    <x v="0"/>
    <x v="3"/>
    <x v="2"/>
    <x v="144"/>
    <s v="-"/>
    <x v="2"/>
    <x v="2"/>
    <x v="15"/>
    <s v="B.Shailaja"/>
    <s v="-"/>
    <s v="-"/>
    <s v="-"/>
    <s v="-"/>
    <s v="-"/>
    <n v="0"/>
    <x v="2"/>
    <s v="-"/>
    <n v="0"/>
    <s v="-"/>
    <x v="0"/>
    <x v="0"/>
  </r>
  <r>
    <n v="433"/>
    <x v="432"/>
    <s v="-"/>
    <x v="46"/>
    <s v="-"/>
    <x v="399"/>
    <n v="0"/>
    <x v="0"/>
    <x v="5"/>
    <x v="2"/>
    <x v="145"/>
    <s v="-"/>
    <x v="3"/>
    <x v="2"/>
    <x v="14"/>
    <s v="N.Shailaja"/>
    <s v="-"/>
    <s v="-"/>
    <d v="2017-06-22T00:00:00"/>
    <s v="Bank"/>
    <s v="-"/>
    <n v="3000"/>
    <x v="0"/>
    <s v="-"/>
    <n v="0"/>
    <s v="-"/>
    <x v="0"/>
    <x v="0"/>
  </r>
  <r>
    <n v="434"/>
    <x v="433"/>
    <s v="-"/>
    <x v="46"/>
    <s v="-"/>
    <x v="400"/>
    <n v="0"/>
    <x v="0"/>
    <x v="3"/>
    <x v="2"/>
    <x v="145"/>
    <s v="-"/>
    <x v="3"/>
    <x v="2"/>
    <x v="15"/>
    <s v="Sai"/>
    <s v="-"/>
    <s v="-"/>
    <d v="2017-06-22T00:00:00"/>
    <s v="Bank"/>
    <s v="-"/>
    <n v="3000"/>
    <x v="0"/>
    <s v="-"/>
    <n v="0"/>
    <s v="-"/>
    <x v="0"/>
    <x v="0"/>
  </r>
  <r>
    <n v="435"/>
    <x v="434"/>
    <s v="-"/>
    <x v="46"/>
    <s v="-"/>
    <x v="401"/>
    <n v="0"/>
    <x v="0"/>
    <x v="5"/>
    <x v="2"/>
    <x v="146"/>
    <s v="-"/>
    <x v="3"/>
    <x v="2"/>
    <x v="15"/>
    <s v="Rajini"/>
    <s v="-"/>
    <s v="-"/>
    <s v="-"/>
    <s v="-"/>
    <s v="-"/>
    <n v="0"/>
    <x v="7"/>
    <s v="-"/>
    <n v="0"/>
    <s v="-"/>
    <x v="2"/>
    <x v="0"/>
  </r>
  <r>
    <n v="436"/>
    <x v="435"/>
    <s v="-"/>
    <x v="3"/>
    <s v="-"/>
    <x v="402"/>
    <n v="0"/>
    <x v="0"/>
    <x v="14"/>
    <x v="2"/>
    <x v="56"/>
    <s v="-"/>
    <x v="0"/>
    <x v="2"/>
    <x v="13"/>
    <s v="Leena"/>
    <s v="-"/>
    <s v="-"/>
    <s v="-"/>
    <s v="-"/>
    <s v="-"/>
    <n v="0"/>
    <x v="2"/>
    <s v="-"/>
    <n v="0"/>
    <s v="-"/>
    <x v="0"/>
    <x v="0"/>
  </r>
  <r>
    <n v="437"/>
    <x v="436"/>
    <s v="-"/>
    <x v="3"/>
    <s v="-"/>
    <x v="403"/>
    <n v="0"/>
    <x v="0"/>
    <x v="10"/>
    <x v="2"/>
    <x v="26"/>
    <s v="-"/>
    <x v="0"/>
    <x v="2"/>
    <x v="0"/>
    <s v="Priyanka"/>
    <s v="-"/>
    <s v="-"/>
    <d v="2017-06-13T00:00:00"/>
    <s v="Cash"/>
    <s v="-"/>
    <n v="1000"/>
    <x v="0"/>
    <s v="-"/>
    <n v="0"/>
    <s v="-"/>
    <x v="0"/>
    <x v="0"/>
  </r>
  <r>
    <n v="438"/>
    <x v="437"/>
    <s v="-"/>
    <x v="4"/>
    <s v="-"/>
    <x v="404"/>
    <n v="0"/>
    <x v="0"/>
    <x v="0"/>
    <x v="2"/>
    <x v="134"/>
    <s v="-"/>
    <x v="0"/>
    <x v="2"/>
    <x v="15"/>
    <s v="Madhu"/>
    <s v="-"/>
    <s v="-"/>
    <d v="2017-06-16T00:00:00"/>
    <s v="Cash"/>
    <s v="-"/>
    <n v="5000"/>
    <x v="0"/>
    <s v="-"/>
    <n v="0"/>
    <s v="-"/>
    <x v="0"/>
    <x v="0"/>
  </r>
  <r>
    <n v="439"/>
    <x v="438"/>
    <s v="-"/>
    <x v="4"/>
    <s v="-"/>
    <x v="405"/>
    <n v="0"/>
    <x v="0"/>
    <x v="7"/>
    <x v="2"/>
    <x v="144"/>
    <s v="-"/>
    <x v="2"/>
    <x v="2"/>
    <x v="15"/>
    <s v="Neelima"/>
    <s v="-"/>
    <s v="-"/>
    <s v="-"/>
    <s v="-"/>
    <s v="-"/>
    <n v="0"/>
    <x v="2"/>
    <s v="-"/>
    <n v="0"/>
    <s v="-"/>
    <x v="0"/>
    <x v="0"/>
  </r>
  <r>
    <n v="440"/>
    <x v="439"/>
    <s v="-"/>
    <x v="47"/>
    <s v="-"/>
    <x v="406"/>
    <n v="0"/>
    <x v="0"/>
    <x v="5"/>
    <x v="2"/>
    <x v="147"/>
    <s v="-"/>
    <x v="0"/>
    <x v="2"/>
    <x v="13"/>
    <s v="Sowjanya"/>
    <s v="-"/>
    <s v="-"/>
    <s v="-"/>
    <s v="-"/>
    <s v="-"/>
    <n v="0"/>
    <x v="2"/>
    <s v="-"/>
    <n v="0"/>
    <s v="-"/>
    <x v="0"/>
    <x v="0"/>
  </r>
  <r>
    <n v="441"/>
    <x v="440"/>
    <s v="-"/>
    <x v="47"/>
    <s v="-"/>
    <x v="403"/>
    <n v="0"/>
    <x v="0"/>
    <x v="10"/>
    <x v="2"/>
    <x v="26"/>
    <s v="-"/>
    <x v="2"/>
    <x v="2"/>
    <x v="0"/>
    <s v="Usha Latha"/>
    <s v="-"/>
    <s v="-"/>
    <s v="-"/>
    <s v="-"/>
    <s v="-"/>
    <n v="0"/>
    <x v="5"/>
    <s v="-"/>
    <n v="0"/>
    <s v="-"/>
    <x v="2"/>
    <x v="0"/>
  </r>
  <r>
    <n v="442"/>
    <x v="441"/>
    <s v="-"/>
    <x v="47"/>
    <s v="-"/>
    <x v="407"/>
    <n v="0"/>
    <x v="0"/>
    <x v="0"/>
    <x v="2"/>
    <x v="137"/>
    <s v="-"/>
    <x v="0"/>
    <x v="2"/>
    <x v="15"/>
    <s v="Rajeshwari"/>
    <s v="-"/>
    <s v="-"/>
    <d v="2017-06-16T00:00:00"/>
    <s v="Cash"/>
    <s v="-"/>
    <n v="8000"/>
    <x v="0"/>
    <s v="-"/>
    <n v="0"/>
    <s v="-"/>
    <x v="0"/>
    <x v="0"/>
  </r>
  <r>
    <n v="443"/>
    <x v="442"/>
    <s v="-"/>
    <x v="47"/>
    <s v="-"/>
    <x v="408"/>
    <n v="0"/>
    <x v="0"/>
    <x v="5"/>
    <x v="2"/>
    <x v="23"/>
    <s v="-"/>
    <x v="3"/>
    <x v="2"/>
    <x v="15"/>
    <s v="Yamini"/>
    <s v="-"/>
    <s v="-"/>
    <s v="-"/>
    <s v="-"/>
    <s v="-"/>
    <n v="0"/>
    <x v="5"/>
    <s v="-"/>
    <n v="0"/>
    <s v="-"/>
    <x v="2"/>
    <x v="0"/>
  </r>
  <r>
    <n v="444"/>
    <x v="443"/>
    <s v="-"/>
    <x v="5"/>
    <s v="-"/>
    <x v="409"/>
    <n v="0"/>
    <x v="0"/>
    <x v="5"/>
    <x v="2"/>
    <x v="146"/>
    <s v="-"/>
    <x v="0"/>
    <x v="2"/>
    <x v="13"/>
    <s v="B.Shailaja"/>
    <s v="-"/>
    <s v="-"/>
    <s v="-"/>
    <s v="-"/>
    <s v="-"/>
    <n v="0"/>
    <x v="2"/>
    <s v="-"/>
    <n v="0"/>
    <s v="-"/>
    <x v="0"/>
    <x v="0"/>
  </r>
  <r>
    <n v="445"/>
    <x v="444"/>
    <s v="-"/>
    <x v="5"/>
    <s v="-"/>
    <x v="408"/>
    <n v="0"/>
    <x v="0"/>
    <x v="5"/>
    <x v="2"/>
    <x v="23"/>
    <s v="-"/>
    <x v="0"/>
    <x v="2"/>
    <x v="15"/>
    <s v="N.Shailaja"/>
    <s v="-"/>
    <s v="-"/>
    <d v="2017-06-22T00:00:00"/>
    <s v="Bank"/>
    <s v="-"/>
    <n v="3000"/>
    <x v="0"/>
    <s v="-"/>
    <n v="0"/>
    <s v="-"/>
    <x v="0"/>
    <x v="0"/>
  </r>
  <r>
    <n v="446"/>
    <x v="445"/>
    <s v="-"/>
    <x v="6"/>
    <s v="-"/>
    <x v="410"/>
    <n v="0"/>
    <x v="0"/>
    <x v="11"/>
    <x v="2"/>
    <x v="26"/>
    <s v="-"/>
    <x v="0"/>
    <x v="2"/>
    <x v="0"/>
    <s v="Sai"/>
    <s v="-"/>
    <s v="-"/>
    <d v="2017-06-17T00:00:00"/>
    <s v="Bank"/>
    <s v="-"/>
    <n v="1000"/>
    <x v="0"/>
    <s v="-"/>
    <n v="0"/>
    <s v="-"/>
    <x v="0"/>
    <x v="0"/>
  </r>
  <r>
    <n v="447"/>
    <x v="446"/>
    <s v="-"/>
    <x v="5"/>
    <s v="-"/>
    <x v="411"/>
    <n v="0"/>
    <x v="0"/>
    <x v="3"/>
    <x v="2"/>
    <x v="148"/>
    <s v="-"/>
    <x v="0"/>
    <x v="2"/>
    <x v="13"/>
    <s v="Rajini"/>
    <s v="-"/>
    <s v="-"/>
    <d v="2017-06-22T00:00:00"/>
    <s v="Bank"/>
    <s v="-"/>
    <n v="10000"/>
    <x v="0"/>
    <s v="-"/>
    <n v="0"/>
    <s v="-"/>
    <x v="0"/>
    <x v="0"/>
  </r>
  <r>
    <n v="448"/>
    <x v="447"/>
    <s v="-"/>
    <x v="47"/>
    <s v="-"/>
    <x v="412"/>
    <n v="0"/>
    <x v="0"/>
    <x v="18"/>
    <x v="2"/>
    <x v="116"/>
    <s v="-"/>
    <x v="0"/>
    <x v="2"/>
    <x v="13"/>
    <s v="Leena"/>
    <s v="-"/>
    <s v="-"/>
    <d v="2017-06-21T00:00:00"/>
    <s v="Cash"/>
    <s v="-"/>
    <n v="3000"/>
    <x v="0"/>
    <s v="-"/>
    <n v="0"/>
    <s v="-"/>
    <x v="0"/>
    <x v="0"/>
  </r>
  <r>
    <n v="449"/>
    <x v="448"/>
    <s v="-"/>
    <x v="6"/>
    <s v="-"/>
    <x v="413"/>
    <n v="0"/>
    <x v="0"/>
    <x v="5"/>
    <x v="2"/>
    <x v="149"/>
    <s v="-"/>
    <x v="0"/>
    <x v="2"/>
    <x v="13"/>
    <s v="Priyanka"/>
    <s v="-"/>
    <s v="-"/>
    <s v="-"/>
    <s v="-"/>
    <s v="-"/>
    <n v="0"/>
    <x v="2"/>
    <s v="-"/>
    <n v="0"/>
    <s v="-"/>
    <x v="0"/>
    <x v="0"/>
  </r>
  <r>
    <n v="450"/>
    <x v="449"/>
    <s v="-"/>
    <x v="80"/>
    <s v="-"/>
    <x v="414"/>
    <n v="0"/>
    <x v="0"/>
    <x v="5"/>
    <x v="2"/>
    <x v="23"/>
    <s v="-"/>
    <x v="3"/>
    <x v="2"/>
    <x v="15"/>
    <s v="Madhu"/>
    <s v="-"/>
    <s v="-"/>
    <d v="2017-06-22T00:00:00"/>
    <s v="Bank"/>
    <s v="-"/>
    <n v="8000"/>
    <x v="0"/>
    <s v="-"/>
    <n v="0"/>
    <s v="-"/>
    <x v="0"/>
    <x v="0"/>
  </r>
  <r>
    <n v="451"/>
    <x v="450"/>
    <s v="-"/>
    <x v="80"/>
    <s v="-"/>
    <x v="415"/>
    <n v="0"/>
    <x v="0"/>
    <x v="5"/>
    <x v="2"/>
    <x v="23"/>
    <s v="-"/>
    <x v="0"/>
    <x v="2"/>
    <x v="15"/>
    <s v="Neelima"/>
    <s v="-"/>
    <s v="-"/>
    <s v="-"/>
    <s v="-"/>
    <s v="-"/>
    <n v="0"/>
    <x v="2"/>
    <s v="-"/>
    <n v="0"/>
    <s v="-"/>
    <x v="0"/>
    <x v="0"/>
  </r>
  <r>
    <n v="452"/>
    <x v="451"/>
    <s v="-"/>
    <x v="48"/>
    <s v="-"/>
    <x v="416"/>
    <n v="0"/>
    <x v="0"/>
    <x v="0"/>
    <x v="2"/>
    <x v="137"/>
    <s v="-"/>
    <x v="0"/>
    <x v="2"/>
    <x v="14"/>
    <s v="Sowjanya"/>
    <s v="-"/>
    <s v="-"/>
    <d v="2017-06-21T00:00:00"/>
    <s v="Cash"/>
    <s v="-"/>
    <n v="3000"/>
    <x v="0"/>
    <s v="-"/>
    <n v="0"/>
    <s v="-"/>
    <x v="0"/>
    <x v="0"/>
  </r>
  <r>
    <n v="453"/>
    <x v="452"/>
    <s v="-"/>
    <x v="7"/>
    <s v="-"/>
    <x v="417"/>
    <n v="0"/>
    <x v="0"/>
    <x v="5"/>
    <x v="2"/>
    <x v="41"/>
    <s v="-"/>
    <x v="0"/>
    <x v="2"/>
    <x v="15"/>
    <s v="Usha Latha"/>
    <s v="-"/>
    <s v="-"/>
    <d v="2017-06-23T00:00:00"/>
    <s v="Bank"/>
    <s v="-"/>
    <n v="5000"/>
    <x v="0"/>
    <s v="-"/>
    <n v="0"/>
    <s v="-"/>
    <x v="0"/>
    <x v="0"/>
  </r>
  <r>
    <n v="454"/>
    <x v="453"/>
    <s v="-"/>
    <x v="7"/>
    <s v="-"/>
    <x v="418"/>
    <n v="0"/>
    <x v="0"/>
    <x v="5"/>
    <x v="2"/>
    <x v="150"/>
    <s v="-"/>
    <x v="0"/>
    <x v="2"/>
    <x v="0"/>
    <s v="Rajeshwari"/>
    <s v="-"/>
    <s v="-"/>
    <s v="-"/>
    <s v="-"/>
    <s v="-"/>
    <n v="0"/>
    <x v="5"/>
    <s v="-"/>
    <n v="0"/>
    <s v="-"/>
    <x v="2"/>
    <x v="0"/>
  </r>
  <r>
    <n v="455"/>
    <x v="454"/>
    <s v="-"/>
    <x v="7"/>
    <s v="-"/>
    <x v="419"/>
    <n v="0"/>
    <x v="0"/>
    <x v="5"/>
    <x v="2"/>
    <x v="23"/>
    <s v="-"/>
    <x v="2"/>
    <x v="2"/>
    <x v="13"/>
    <s v="Yamini"/>
    <s v="-"/>
    <s v="-"/>
    <s v="-"/>
    <s v="-"/>
    <s v="-"/>
    <n v="0"/>
    <x v="2"/>
    <s v="-"/>
    <n v="0"/>
    <s v="-"/>
    <x v="0"/>
    <x v="0"/>
  </r>
  <r>
    <n v="456"/>
    <x v="455"/>
    <s v="-"/>
    <x v="7"/>
    <s v="-"/>
    <x v="420"/>
    <n v="0"/>
    <x v="0"/>
    <x v="7"/>
    <x v="2"/>
    <x v="151"/>
    <s v="-"/>
    <x v="0"/>
    <x v="2"/>
    <x v="13"/>
    <s v="B.Shailaja"/>
    <s v="-"/>
    <s v="-"/>
    <d v="2017-06-30T00:00:00"/>
    <s v="Bank"/>
    <s v="-"/>
    <n v="3000"/>
    <x v="0"/>
    <s v="-"/>
    <n v="0"/>
    <s v="-"/>
    <x v="0"/>
    <x v="0"/>
  </r>
  <r>
    <n v="457"/>
    <x v="456"/>
    <s v="-"/>
    <x v="7"/>
    <s v="-"/>
    <x v="104"/>
    <n v="0"/>
    <x v="0"/>
    <x v="18"/>
    <x v="2"/>
    <x v="26"/>
    <s v="-"/>
    <x v="2"/>
    <x v="2"/>
    <x v="15"/>
    <s v="N.Shailaja"/>
    <s v="-"/>
    <s v="-"/>
    <s v="-"/>
    <s v="-"/>
    <s v="-"/>
    <n v="0"/>
    <x v="6"/>
    <s v="-"/>
    <n v="0"/>
    <s v="-"/>
    <x v="2"/>
    <x v="0"/>
  </r>
  <r>
    <n v="458"/>
    <x v="457"/>
    <s v="-"/>
    <x v="8"/>
    <s v="-"/>
    <x v="421"/>
    <n v="0"/>
    <x v="0"/>
    <x v="5"/>
    <x v="2"/>
    <x v="146"/>
    <s v="-"/>
    <x v="0"/>
    <x v="2"/>
    <x v="0"/>
    <s v="Sai"/>
    <s v="-"/>
    <s v="-"/>
    <s v="-"/>
    <s v="-"/>
    <s v="-"/>
    <n v="0"/>
    <x v="6"/>
    <s v="-"/>
    <n v="0"/>
    <s v="-"/>
    <x v="2"/>
    <x v="0"/>
  </r>
  <r>
    <n v="459"/>
    <x v="458"/>
    <s v="-"/>
    <x v="8"/>
    <s v="-"/>
    <x v="422"/>
    <n v="0"/>
    <x v="0"/>
    <x v="5"/>
    <x v="2"/>
    <x v="152"/>
    <s v="-"/>
    <x v="0"/>
    <x v="2"/>
    <x v="13"/>
    <s v="Rajini"/>
    <s v="-"/>
    <s v="-"/>
    <d v="2017-06-26T00:00:00"/>
    <s v="Cash"/>
    <s v="-"/>
    <n v="5000"/>
    <x v="0"/>
    <s v="-"/>
    <n v="0"/>
    <s v="-"/>
    <x v="0"/>
    <x v="0"/>
  </r>
  <r>
    <n v="460"/>
    <x v="459"/>
    <s v="-"/>
    <x v="8"/>
    <s v="-"/>
    <x v="423"/>
    <n v="0"/>
    <x v="0"/>
    <x v="5"/>
    <x v="2"/>
    <x v="153"/>
    <s v="-"/>
    <x v="4"/>
    <x v="2"/>
    <x v="13"/>
    <s v="Leena"/>
    <s v="-"/>
    <s v="-"/>
    <d v="2017-06-28T00:00:00"/>
    <s v="Cash"/>
    <s v="-"/>
    <n v="4500"/>
    <x v="0"/>
    <s v="-"/>
    <n v="0"/>
    <s v="-"/>
    <x v="0"/>
    <x v="0"/>
  </r>
  <r>
    <n v="461"/>
    <x v="460"/>
    <s v="-"/>
    <x v="8"/>
    <s v="-"/>
    <x v="424"/>
    <n v="0"/>
    <x v="0"/>
    <x v="3"/>
    <x v="2"/>
    <x v="26"/>
    <s v="-"/>
    <x v="0"/>
    <x v="2"/>
    <x v="0"/>
    <s v="Priyanka"/>
    <s v="-"/>
    <s v="-"/>
    <s v="-"/>
    <s v="-"/>
    <s v="-"/>
    <n v="0"/>
    <x v="2"/>
    <s v="-"/>
    <n v="0"/>
    <s v="-"/>
    <x v="0"/>
    <x v="0"/>
  </r>
  <r>
    <n v="462"/>
    <x v="461"/>
    <s v="-"/>
    <x v="8"/>
    <s v="-"/>
    <x v="425"/>
    <n v="0"/>
    <x v="0"/>
    <x v="16"/>
    <x v="2"/>
    <x v="26"/>
    <s v="-"/>
    <x v="0"/>
    <x v="2"/>
    <x v="13"/>
    <s v="Madhu"/>
    <s v="-"/>
    <s v="-"/>
    <s v="-"/>
    <s v="-"/>
    <s v="-"/>
    <n v="0"/>
    <x v="2"/>
    <s v="-"/>
    <n v="0"/>
    <s v="-"/>
    <x v="0"/>
    <x v="0"/>
  </r>
  <r>
    <n v="463"/>
    <x v="462"/>
    <s v="-"/>
    <x v="8"/>
    <s v="-"/>
    <x v="426"/>
    <n v="0"/>
    <x v="0"/>
    <x v="16"/>
    <x v="2"/>
    <x v="26"/>
    <s v="-"/>
    <x v="0"/>
    <x v="2"/>
    <x v="13"/>
    <s v="Neelima"/>
    <s v="-"/>
    <s v="-"/>
    <s v="-"/>
    <s v="-"/>
    <s v="-"/>
    <n v="0"/>
    <x v="2"/>
    <s v="-"/>
    <n v="0"/>
    <s v="-"/>
    <x v="0"/>
    <x v="0"/>
  </r>
  <r>
    <n v="464"/>
    <x v="463"/>
    <s v="-"/>
    <x v="8"/>
    <s v="-"/>
    <x v="427"/>
    <n v="0"/>
    <x v="0"/>
    <x v="3"/>
    <x v="2"/>
    <x v="153"/>
    <s v="-"/>
    <x v="5"/>
    <x v="2"/>
    <x v="14"/>
    <s v="Sowjanya"/>
    <s v="-"/>
    <s v="-"/>
    <s v="-"/>
    <s v="-"/>
    <s v="-"/>
    <n v="0"/>
    <x v="2"/>
    <s v="-"/>
    <n v="0"/>
    <s v="-"/>
    <x v="0"/>
    <x v="0"/>
  </r>
  <r>
    <n v="465"/>
    <x v="464"/>
    <s v="-"/>
    <x v="9"/>
    <s v="-"/>
    <x v="428"/>
    <n v="0"/>
    <x v="0"/>
    <x v="5"/>
    <x v="2"/>
    <x v="26"/>
    <s v="-"/>
    <x v="0"/>
    <x v="2"/>
    <x v="13"/>
    <s v="Usha Latha"/>
    <s v="-"/>
    <s v="-"/>
    <d v="2017-06-22T00:00:00"/>
    <s v="Cash"/>
    <s v="-"/>
    <n v="500"/>
    <x v="8"/>
    <s v="-"/>
    <n v="0"/>
    <s v="Paid"/>
    <x v="2"/>
    <x v="0"/>
  </r>
  <r>
    <n v="466"/>
    <x v="465"/>
    <s v="-"/>
    <x v="9"/>
    <s v="-"/>
    <x v="429"/>
    <n v="0"/>
    <x v="0"/>
    <x v="5"/>
    <x v="2"/>
    <x v="154"/>
    <s v="-"/>
    <x v="0"/>
    <x v="2"/>
    <x v="15"/>
    <s v="Rajeshwari"/>
    <s v="-"/>
    <s v="-"/>
    <d v="2017-06-24T00:00:00"/>
    <s v="Bank"/>
    <s v="-"/>
    <n v="3000"/>
    <x v="0"/>
    <s v="-"/>
    <n v="0"/>
    <s v="-"/>
    <x v="0"/>
    <x v="0"/>
  </r>
  <r>
    <n v="467"/>
    <x v="466"/>
    <s v="-"/>
    <x v="9"/>
    <s v="-"/>
    <x v="430"/>
    <n v="0"/>
    <x v="0"/>
    <x v="16"/>
    <x v="2"/>
    <x v="26"/>
    <s v="-"/>
    <x v="0"/>
    <x v="2"/>
    <x v="15"/>
    <s v="Yamini"/>
    <s v="-"/>
    <s v="-"/>
    <s v="-"/>
    <s v="-"/>
    <s v="-"/>
    <n v="0"/>
    <x v="6"/>
    <s v="-"/>
    <n v="0"/>
    <s v="-"/>
    <x v="2"/>
    <x v="0"/>
  </r>
  <r>
    <n v="468"/>
    <x v="467"/>
    <s v="-"/>
    <x v="9"/>
    <s v="-"/>
    <x v="431"/>
    <n v="0"/>
    <x v="0"/>
    <x v="11"/>
    <x v="2"/>
    <x v="26"/>
    <s v="-"/>
    <x v="0"/>
    <x v="2"/>
    <x v="0"/>
    <s v="B.Shailaja"/>
    <s v="-"/>
    <s v="-"/>
    <d v="2017-06-23T00:00:00"/>
    <s v="Cash"/>
    <s v="-"/>
    <n v="2500"/>
    <x v="0"/>
    <s v="-"/>
    <n v="0"/>
    <s v="-"/>
    <x v="0"/>
    <x v="0"/>
  </r>
  <r>
    <n v="469"/>
    <x v="468"/>
    <s v="-"/>
    <x v="54"/>
    <s v="-"/>
    <x v="432"/>
    <n v="0"/>
    <x v="0"/>
    <x v="5"/>
    <x v="2"/>
    <x v="147"/>
    <s v="-"/>
    <x v="0"/>
    <x v="2"/>
    <x v="13"/>
    <s v="N.Shailaja"/>
    <s v="-"/>
    <s v="-"/>
    <s v="-"/>
    <s v="-"/>
    <s v="-"/>
    <n v="0"/>
    <x v="2"/>
    <s v="-"/>
    <n v="0"/>
    <s v="-"/>
    <x v="0"/>
    <x v="0"/>
  </r>
  <r>
    <n v="470"/>
    <x v="469"/>
    <s v="-"/>
    <x v="54"/>
    <s v="-"/>
    <x v="433"/>
    <n v="0"/>
    <x v="0"/>
    <x v="5"/>
    <x v="2"/>
    <x v="134"/>
    <s v="-"/>
    <x v="0"/>
    <x v="2"/>
    <x v="15"/>
    <s v="Sai"/>
    <s v="-"/>
    <s v="-"/>
    <d v="2017-06-29T00:00:00"/>
    <s v="Bank"/>
    <s v="-"/>
    <n v="3000"/>
    <x v="0"/>
    <s v="-"/>
    <n v="0"/>
    <s v="-"/>
    <x v="0"/>
    <x v="0"/>
  </r>
  <r>
    <n v="471"/>
    <x v="470"/>
    <s v="-"/>
    <x v="54"/>
    <s v="-"/>
    <x v="434"/>
    <n v="0"/>
    <x v="0"/>
    <x v="0"/>
    <x v="2"/>
    <x v="134"/>
    <s v="-"/>
    <x v="0"/>
    <x v="2"/>
    <x v="13"/>
    <s v="Rajini"/>
    <s v="-"/>
    <s v="-"/>
    <d v="2017-06-24T00:00:00"/>
    <s v="Cash"/>
    <s v="-"/>
    <n v="5000"/>
    <x v="0"/>
    <s v="-"/>
    <n v="0"/>
    <s v="-"/>
    <x v="0"/>
    <x v="0"/>
  </r>
  <r>
    <n v="472"/>
    <x v="471"/>
    <s v="-"/>
    <x v="54"/>
    <s v="-"/>
    <x v="435"/>
    <n v="0"/>
    <x v="0"/>
    <x v="19"/>
    <x v="2"/>
    <x v="143"/>
    <s v="-"/>
    <x v="0"/>
    <x v="2"/>
    <x v="13"/>
    <s v="Leena"/>
    <s v="-"/>
    <s v="-"/>
    <d v="2017-06-24T00:00:00"/>
    <s v="Cash"/>
    <s v="-"/>
    <n v="5000"/>
    <x v="0"/>
    <s v="-"/>
    <n v="0"/>
    <s v="-"/>
    <x v="0"/>
    <x v="0"/>
  </r>
  <r>
    <n v="473"/>
    <x v="472"/>
    <s v="-"/>
    <x v="54"/>
    <s v="-"/>
    <x v="436"/>
    <n v="0"/>
    <x v="0"/>
    <x v="5"/>
    <x v="2"/>
    <x v="26"/>
    <s v="-"/>
    <x v="2"/>
    <x v="2"/>
    <x v="0"/>
    <s v="Priyanka"/>
    <s v="-"/>
    <s v="-"/>
    <s v="-"/>
    <s v="-"/>
    <s v="-"/>
    <n v="0"/>
    <x v="2"/>
    <s v="-"/>
    <n v="0"/>
    <s v="-"/>
    <x v="0"/>
    <x v="0"/>
  </r>
  <r>
    <n v="474"/>
    <x v="473"/>
    <s v="-"/>
    <x v="54"/>
    <s v="-"/>
    <x v="437"/>
    <n v="0"/>
    <x v="0"/>
    <x v="5"/>
    <x v="2"/>
    <x v="155"/>
    <s v="-"/>
    <x v="0"/>
    <x v="2"/>
    <x v="15"/>
    <s v="Madhu"/>
    <s v="-"/>
    <s v="-"/>
    <d v="2017-06-26T00:00:00"/>
    <s v="Cash"/>
    <s v="-"/>
    <n v="5000"/>
    <x v="0"/>
    <s v="-"/>
    <n v="0"/>
    <s v="-"/>
    <x v="0"/>
    <x v="0"/>
  </r>
  <r>
    <n v="475"/>
    <x v="474"/>
    <s v="-"/>
    <x v="54"/>
    <s v="-"/>
    <x v="438"/>
    <n v="0"/>
    <x v="0"/>
    <x v="0"/>
    <x v="2"/>
    <x v="60"/>
    <s v="-"/>
    <x v="0"/>
    <x v="2"/>
    <x v="13"/>
    <s v="Neelima"/>
    <s v="-"/>
    <s v="-"/>
    <s v="-"/>
    <s v="-"/>
    <s v="-"/>
    <n v="0"/>
    <x v="6"/>
    <s v="-"/>
    <n v="0"/>
    <s v="-"/>
    <x v="2"/>
    <x v="0"/>
  </r>
  <r>
    <n v="476"/>
    <x v="475"/>
    <s v="-"/>
    <x v="50"/>
    <s v="-"/>
    <x v="435"/>
    <n v="0"/>
    <x v="0"/>
    <x v="19"/>
    <x v="2"/>
    <x v="143"/>
    <s v="-"/>
    <x v="0"/>
    <x v="2"/>
    <x v="13"/>
    <s v="Sowjanya"/>
    <s v="-"/>
    <s v="-"/>
    <s v="-"/>
    <s v="-"/>
    <s v="-"/>
    <n v="0"/>
    <x v="5"/>
    <s v="-"/>
    <n v="0"/>
    <s v="-"/>
    <x v="2"/>
    <x v="0"/>
  </r>
  <r>
    <n v="477"/>
    <x v="476"/>
    <s v="-"/>
    <x v="50"/>
    <s v="-"/>
    <x v="439"/>
    <n v="0"/>
    <x v="0"/>
    <x v="0"/>
    <x v="2"/>
    <x v="153"/>
    <s v="-"/>
    <x v="0"/>
    <x v="2"/>
    <x v="15"/>
    <s v="Usha Latha"/>
    <s v="-"/>
    <s v="-"/>
    <d v="2017-06-27T00:00:00"/>
    <s v="Cash"/>
    <s v="-"/>
    <n v="2500"/>
    <x v="0"/>
    <s v="-"/>
    <n v="0"/>
    <s v="-"/>
    <x v="0"/>
    <x v="0"/>
  </r>
  <r>
    <n v="478"/>
    <x v="477"/>
    <s v="-"/>
    <x v="50"/>
    <s v="-"/>
    <x v="440"/>
    <n v="0"/>
    <x v="0"/>
    <x v="5"/>
    <x v="2"/>
    <x v="13"/>
    <s v="-"/>
    <x v="3"/>
    <x v="2"/>
    <x v="15"/>
    <s v="Rajeshwari"/>
    <s v="-"/>
    <s v="-"/>
    <s v="-"/>
    <s v="-"/>
    <s v="-"/>
    <n v="0"/>
    <x v="6"/>
    <s v="-"/>
    <n v="0"/>
    <s v="-"/>
    <x v="2"/>
    <x v="0"/>
  </r>
  <r>
    <n v="479"/>
    <x v="478"/>
    <s v="-"/>
    <x v="50"/>
    <s v="-"/>
    <x v="441"/>
    <n v="0"/>
    <x v="0"/>
    <x v="3"/>
    <x v="2"/>
    <x v="26"/>
    <s v="-"/>
    <x v="0"/>
    <x v="2"/>
    <x v="0"/>
    <s v="Yamini"/>
    <s v="-"/>
    <s v="-"/>
    <d v="2017-06-27T00:00:00"/>
    <s v="Cash"/>
    <s v="-"/>
    <n v="2500"/>
    <x v="0"/>
    <s v="-"/>
    <n v="0"/>
    <s v="-"/>
    <x v="0"/>
    <x v="0"/>
  </r>
  <r>
    <n v="480"/>
    <x v="479"/>
    <s v="-"/>
    <x v="50"/>
    <s v="-"/>
    <x v="442"/>
    <n v="0"/>
    <x v="0"/>
    <x v="5"/>
    <x v="2"/>
    <x v="156"/>
    <s v="-"/>
    <x v="3"/>
    <x v="2"/>
    <x v="13"/>
    <s v="B.Shailaja"/>
    <s v="-"/>
    <s v="-"/>
    <d v="2017-06-30T00:00:00"/>
    <s v="Bank"/>
    <s v="-"/>
    <n v="3000"/>
    <x v="0"/>
    <s v="-"/>
    <n v="0"/>
    <s v="-"/>
    <x v="0"/>
    <x v="0"/>
  </r>
  <r>
    <n v="481"/>
    <x v="480"/>
    <s v="-"/>
    <x v="50"/>
    <s v="-"/>
    <x v="443"/>
    <n v="0"/>
    <x v="0"/>
    <x v="7"/>
    <x v="2"/>
    <x v="134"/>
    <s v="-"/>
    <x v="0"/>
    <x v="2"/>
    <x v="13"/>
    <s v="N.Shailaja"/>
    <s v="-"/>
    <s v="-"/>
    <d v="2017-06-29T00:00:00"/>
    <s v="Bank"/>
    <s v="-"/>
    <n v="3000"/>
    <x v="0"/>
    <s v="-"/>
    <n v="0"/>
    <s v="-"/>
    <x v="0"/>
    <x v="0"/>
  </r>
  <r>
    <n v="482"/>
    <x v="481"/>
    <s v="-"/>
    <x v="50"/>
    <s v="-"/>
    <x v="444"/>
    <n v="0"/>
    <x v="0"/>
    <x v="18"/>
    <x v="2"/>
    <x v="146"/>
    <s v="-"/>
    <x v="2"/>
    <x v="2"/>
    <x v="13"/>
    <s v="Sai"/>
    <s v="-"/>
    <s v="-"/>
    <s v="-"/>
    <s v="-"/>
    <s v="-"/>
    <n v="0"/>
    <x v="2"/>
    <s v="-"/>
    <n v="0"/>
    <s v="-"/>
    <x v="0"/>
    <x v="0"/>
  </r>
  <r>
    <n v="483"/>
    <x v="482"/>
    <s v="-"/>
    <x v="10"/>
    <s v="-"/>
    <x v="445"/>
    <n v="0"/>
    <x v="0"/>
    <x v="4"/>
    <x v="2"/>
    <x v="146"/>
    <s v="-"/>
    <x v="0"/>
    <x v="2"/>
    <x v="13"/>
    <s v="Rajini"/>
    <s v="-"/>
    <s v="-"/>
    <s v="-"/>
    <s v="-"/>
    <s v="-"/>
    <n v="0"/>
    <x v="2"/>
    <s v="-"/>
    <n v="0"/>
    <s v="-"/>
    <x v="0"/>
    <x v="0"/>
  </r>
  <r>
    <n v="484"/>
    <x v="483"/>
    <s v="-"/>
    <x v="10"/>
    <s v="-"/>
    <x v="446"/>
    <n v="0"/>
    <x v="0"/>
    <x v="2"/>
    <x v="2"/>
    <x v="26"/>
    <s v="-"/>
    <x v="0"/>
    <x v="2"/>
    <x v="15"/>
    <s v="Leena"/>
    <s v="-"/>
    <s v="-"/>
    <s v="-"/>
    <s v="-"/>
    <s v="-"/>
    <n v="0"/>
    <x v="2"/>
    <s v="-"/>
    <n v="0"/>
    <s v="-"/>
    <x v="0"/>
    <x v="0"/>
  </r>
  <r>
    <n v="485"/>
    <x v="484"/>
    <s v="-"/>
    <x v="10"/>
    <s v="-"/>
    <x v="447"/>
    <n v="0"/>
    <x v="0"/>
    <x v="5"/>
    <x v="2"/>
    <x v="131"/>
    <s v="-"/>
    <x v="3"/>
    <x v="2"/>
    <x v="15"/>
    <s v="Priyanka"/>
    <s v="-"/>
    <s v="-"/>
    <d v="2017-06-30T00:00:00"/>
    <s v="Bank"/>
    <s v="-"/>
    <n v="4000"/>
    <x v="0"/>
    <s v="-"/>
    <n v="0"/>
    <s v="-"/>
    <x v="0"/>
    <x v="0"/>
  </r>
  <r>
    <n v="486"/>
    <x v="485"/>
    <s v="-"/>
    <x v="10"/>
    <s v="-"/>
    <x v="448"/>
    <n v="0"/>
    <x v="0"/>
    <x v="1"/>
    <x v="2"/>
    <x v="145"/>
    <s v="-"/>
    <x v="3"/>
    <x v="2"/>
    <x v="15"/>
    <s v="Madhu"/>
    <s v="-"/>
    <s v="-"/>
    <d v="2017-06-30T00:00:00"/>
    <s v="Bank"/>
    <s v="-"/>
    <n v="3000"/>
    <x v="0"/>
    <s v="-"/>
    <n v="0"/>
    <s v="-"/>
    <x v="0"/>
    <x v="0"/>
  </r>
  <r>
    <n v="487"/>
    <x v="486"/>
    <s v="-"/>
    <x v="10"/>
    <s v="-"/>
    <x v="449"/>
    <n v="0"/>
    <x v="0"/>
    <x v="5"/>
    <x v="2"/>
    <x v="157"/>
    <s v="-"/>
    <x v="0"/>
    <x v="2"/>
    <x v="13"/>
    <s v="Neelima"/>
    <s v="-"/>
    <s v="-"/>
    <s v="-"/>
    <s v="-"/>
    <s v="-"/>
    <n v="0"/>
    <x v="2"/>
    <s v="-"/>
    <n v="0"/>
    <s v="-"/>
    <x v="0"/>
    <x v="0"/>
  </r>
  <r>
    <n v="488"/>
    <x v="487"/>
    <s v="-"/>
    <x v="11"/>
    <s v="-"/>
    <x v="450"/>
    <n v="0"/>
    <x v="0"/>
    <x v="2"/>
    <x v="2"/>
    <x v="158"/>
    <s v="-"/>
    <x v="0"/>
    <x v="2"/>
    <x v="13"/>
    <s v="Neelima"/>
    <s v="-"/>
    <s v="-"/>
    <s v="-"/>
    <s v="-"/>
    <s v="-"/>
    <n v="0"/>
    <x v="6"/>
    <s v="-"/>
    <n v="0"/>
    <s v="-"/>
    <x v="2"/>
    <x v="0"/>
  </r>
  <r>
    <n v="489"/>
    <x v="488"/>
    <s v="-"/>
    <x v="11"/>
    <s v="-"/>
    <x v="451"/>
    <n v="0"/>
    <x v="0"/>
    <x v="5"/>
    <x v="2"/>
    <x v="146"/>
    <s v="-"/>
    <x v="0"/>
    <x v="2"/>
    <x v="13"/>
    <s v="Sowjanya"/>
    <s v="-"/>
    <s v="-"/>
    <s v="-"/>
    <s v="-"/>
    <s v="-"/>
    <n v="0"/>
    <x v="7"/>
    <s v="-"/>
    <n v="0"/>
    <s v="-"/>
    <x v="2"/>
    <x v="0"/>
  </r>
  <r>
    <n v="490"/>
    <x v="489"/>
    <s v="-"/>
    <x v="51"/>
    <s v="-"/>
    <x v="452"/>
    <n v="0"/>
    <x v="0"/>
    <x v="0"/>
    <x v="2"/>
    <x v="26"/>
    <s v="-"/>
    <x v="0"/>
    <x v="2"/>
    <x v="15"/>
    <s v="Usha Latha"/>
    <s v="-"/>
    <s v="-"/>
    <s v="-"/>
    <s v="-"/>
    <s v="-"/>
    <n v="0"/>
    <x v="6"/>
    <s v="-"/>
    <n v="0"/>
    <s v="-"/>
    <x v="2"/>
    <x v="0"/>
  </r>
  <r>
    <n v="491"/>
    <x v="490"/>
    <s v="-"/>
    <x v="51"/>
    <s v="-"/>
    <x v="453"/>
    <n v="0"/>
    <x v="0"/>
    <x v="11"/>
    <x v="2"/>
    <x v="26"/>
    <s v="-"/>
    <x v="0"/>
    <x v="2"/>
    <x v="0"/>
    <s v="Rajeshwari"/>
    <s v="-"/>
    <s v="-"/>
    <d v="2017-06-29T00:00:00"/>
    <s v="Cash"/>
    <s v="-"/>
    <n v="1000"/>
    <x v="0"/>
    <s v="-"/>
    <n v="0"/>
    <s v="-"/>
    <x v="0"/>
    <x v="0"/>
  </r>
  <r>
    <n v="492"/>
    <x v="491"/>
    <s v="-"/>
    <x v="51"/>
    <s v="-"/>
    <x v="454"/>
    <n v="0"/>
    <x v="0"/>
    <x v="4"/>
    <x v="2"/>
    <x v="26"/>
    <s v="-"/>
    <x v="0"/>
    <x v="2"/>
    <x v="13"/>
    <s v="Yamini"/>
    <s v="-"/>
    <s v="-"/>
    <s v="-"/>
    <s v="-"/>
    <s v="-"/>
    <n v="0"/>
    <x v="6"/>
    <s v="-"/>
    <n v="0"/>
    <s v="-"/>
    <x v="2"/>
    <x v="0"/>
  </r>
  <r>
    <n v="493"/>
    <x v="492"/>
    <s v="-"/>
    <x v="52"/>
    <s v="-"/>
    <x v="455"/>
    <n v="0"/>
    <x v="0"/>
    <x v="5"/>
    <x v="2"/>
    <x v="145"/>
    <s v="-"/>
    <x v="0"/>
    <x v="2"/>
    <x v="15"/>
    <s v="B.Shailaja"/>
    <s v="-"/>
    <s v="-"/>
    <s v="-"/>
    <s v="-"/>
    <s v="-"/>
    <n v="0"/>
    <x v="6"/>
    <s v="-"/>
    <n v="0"/>
    <s v="-"/>
    <x v="2"/>
    <x v="0"/>
  </r>
  <r>
    <n v="494"/>
    <x v="493"/>
    <s v="-"/>
    <x v="52"/>
    <s v="-"/>
    <x v="456"/>
    <n v="0"/>
    <x v="0"/>
    <x v="5"/>
    <x v="2"/>
    <x v="78"/>
    <s v="-"/>
    <x v="0"/>
    <x v="2"/>
    <x v="15"/>
    <s v="N.Shailaja"/>
    <s v="-"/>
    <s v="-"/>
    <s v="-"/>
    <s v="-"/>
    <s v="-"/>
    <n v="0"/>
    <x v="6"/>
    <s v="-"/>
    <n v="0"/>
    <s v="-"/>
    <x v="2"/>
    <x v="0"/>
  </r>
  <r>
    <n v="495"/>
    <x v="494"/>
    <s v="-"/>
    <x v="79"/>
    <s v="-"/>
    <x v="457"/>
    <n v="0"/>
    <x v="0"/>
    <x v="3"/>
    <x v="2"/>
    <x v="26"/>
    <s v="-"/>
    <x v="6"/>
    <x v="2"/>
    <x v="0"/>
    <s v="Sai"/>
    <s v="-"/>
    <s v="Duplicate"/>
    <d v="2017-06-09T00:00:00"/>
    <s v="Cash"/>
    <s v="-"/>
    <n v="1000"/>
    <x v="0"/>
    <s v="-"/>
    <n v="0"/>
    <s v="-"/>
    <x v="0"/>
    <x v="0"/>
  </r>
  <r>
    <n v="496"/>
    <x v="495"/>
    <s v="-"/>
    <x v="4"/>
    <s v="-"/>
    <x v="56"/>
    <n v="0"/>
    <x v="0"/>
    <x v="3"/>
    <x v="2"/>
    <x v="26"/>
    <s v="-"/>
    <x v="6"/>
    <x v="2"/>
    <x v="0"/>
    <s v="Rajini"/>
    <s v="-"/>
    <s v="Duplicate"/>
    <d v="2017-06-14T00:00:00"/>
    <s v="Cash"/>
    <s v="-"/>
    <n v="3000"/>
    <x v="0"/>
    <s v="-"/>
    <n v="0"/>
    <s v="-"/>
    <x v="0"/>
    <x v="0"/>
  </r>
  <r>
    <n v="497"/>
    <x v="496"/>
    <s v="-"/>
    <x v="5"/>
    <s v="-"/>
    <x v="458"/>
    <n v="0"/>
    <x v="0"/>
    <x v="3"/>
    <x v="2"/>
    <x v="26"/>
    <s v="-"/>
    <x v="6"/>
    <x v="2"/>
    <x v="0"/>
    <s v="Leena"/>
    <s v="-"/>
    <s v="Duplicate"/>
    <d v="2017-06-16T00:00:00"/>
    <s v="Bank"/>
    <s v="-"/>
    <n v="3000"/>
    <x v="0"/>
    <s v="-"/>
    <n v="0"/>
    <s v="-"/>
    <x v="0"/>
    <x v="0"/>
  </r>
  <r>
    <n v="498"/>
    <x v="497"/>
    <s v="-"/>
    <x v="5"/>
    <s v="-"/>
    <x v="459"/>
    <n v="0"/>
    <x v="0"/>
    <x v="3"/>
    <x v="2"/>
    <x v="26"/>
    <s v="-"/>
    <x v="6"/>
    <x v="2"/>
    <x v="0"/>
    <s v="Priyanka"/>
    <s v="-"/>
    <s v="Duplicate"/>
    <d v="2017-06-16T00:00:00"/>
    <s v="Cash"/>
    <s v="-"/>
    <n v="1500"/>
    <x v="0"/>
    <s v="-"/>
    <n v="0"/>
    <s v="-"/>
    <x v="0"/>
    <x v="0"/>
  </r>
  <r>
    <n v="499"/>
    <x v="498"/>
    <s v="-"/>
    <x v="74"/>
    <s v="-"/>
    <x v="460"/>
    <n v="0"/>
    <x v="0"/>
    <x v="5"/>
    <x v="2"/>
    <x v="159"/>
    <s v="-"/>
    <x v="0"/>
    <x v="2"/>
    <x v="15"/>
    <s v="Madhu"/>
    <s v="-"/>
    <s v="-"/>
    <s v="-"/>
    <s v="-"/>
    <s v="-"/>
    <n v="0"/>
    <x v="2"/>
    <s v="-"/>
    <n v="0"/>
    <s v="-"/>
    <x v="0"/>
    <x v="0"/>
  </r>
  <r>
    <n v="500"/>
    <x v="499"/>
    <s v="-"/>
    <x v="81"/>
    <s v="-"/>
    <x v="461"/>
    <n v="0"/>
    <x v="0"/>
    <x v="5"/>
    <x v="2"/>
    <x v="10"/>
    <s v="-"/>
    <x v="0"/>
    <x v="2"/>
    <x v="13"/>
    <s v="Neelima"/>
    <s v="-"/>
    <s v="-"/>
    <s v="-"/>
    <s v="-"/>
    <s v="-"/>
    <n v="0"/>
    <x v="2"/>
    <s v="-"/>
    <n v="0"/>
    <s v="-"/>
    <x v="0"/>
    <x v="0"/>
  </r>
  <r>
    <n v="501"/>
    <x v="500"/>
    <s v="-"/>
    <x v="82"/>
    <s v="-"/>
    <x v="462"/>
    <n v="0"/>
    <x v="0"/>
    <x v="2"/>
    <x v="2"/>
    <x v="41"/>
    <s v="-"/>
    <x v="0"/>
    <x v="2"/>
    <x v="15"/>
    <s v="Sowjanya"/>
    <s v="-"/>
    <s v="-"/>
    <s v="-"/>
    <s v="-"/>
    <s v="-"/>
    <n v="0"/>
    <x v="2"/>
    <s v="-"/>
    <n v="0"/>
    <s v="-"/>
    <x v="0"/>
    <x v="0"/>
  </r>
  <r>
    <n v="502"/>
    <x v="501"/>
    <s v="-"/>
    <x v="83"/>
    <s v="-"/>
    <x v="463"/>
    <n v="0"/>
    <x v="0"/>
    <x v="5"/>
    <x v="2"/>
    <x v="26"/>
    <s v="-"/>
    <x v="7"/>
    <x v="2"/>
    <x v="13"/>
    <s v="Usha Latha"/>
    <s v="-"/>
    <s v="-"/>
    <s v="-"/>
    <s v="-"/>
    <s v="-"/>
    <n v="0"/>
    <x v="2"/>
    <s v="-"/>
    <n v="0"/>
    <s v="-"/>
    <x v="0"/>
    <x v="0"/>
  </r>
  <r>
    <n v="503"/>
    <x v="502"/>
    <s v="-"/>
    <x v="84"/>
    <s v="-"/>
    <x v="464"/>
    <n v="8184000"/>
    <x v="0"/>
    <x v="5"/>
    <x v="2"/>
    <x v="44"/>
    <s v="-"/>
    <x v="2"/>
    <x v="2"/>
    <x v="15"/>
    <s v="Rajeshwari"/>
    <s v="-"/>
    <s v="-"/>
    <d v="2017-06-29T00:00:00"/>
    <s v="Cash"/>
    <s v="-"/>
    <n v="4000"/>
    <x v="0"/>
    <s v="-"/>
    <n v="0"/>
    <s v="-"/>
    <x v="0"/>
    <x v="0"/>
  </r>
  <r>
    <n v="504"/>
    <x v="503"/>
    <s v="-"/>
    <x v="84"/>
    <s v="-"/>
    <x v="465"/>
    <n v="7474000"/>
    <x v="0"/>
    <x v="3"/>
    <x v="2"/>
    <x v="44"/>
    <s v="-"/>
    <x v="2"/>
    <x v="2"/>
    <x v="15"/>
    <s v="Yamini"/>
    <s v="-"/>
    <s v="-"/>
    <d v="2017-06-29T00:00:00"/>
    <s v="Cash"/>
    <s v="-"/>
    <n v="4000"/>
    <x v="0"/>
    <s v="-"/>
    <n v="0"/>
    <s v="-"/>
    <x v="0"/>
    <x v="0"/>
  </r>
  <r>
    <n v="505"/>
    <x v="504"/>
    <s v="-"/>
    <x v="84"/>
    <s v="-"/>
    <x v="466"/>
    <n v="7298000"/>
    <x v="0"/>
    <x v="3"/>
    <x v="2"/>
    <x v="23"/>
    <s v="-"/>
    <x v="2"/>
    <x v="2"/>
    <x v="15"/>
    <s v="B.Shailaja"/>
    <s v="-"/>
    <s v="-"/>
    <d v="2017-06-29T00:00:00"/>
    <s v="Cash"/>
    <s v="-"/>
    <n v="4000"/>
    <x v="0"/>
    <s v="-"/>
    <n v="0"/>
    <s v="-"/>
    <x v="0"/>
    <x v="0"/>
  </r>
  <r>
    <n v="506"/>
    <x v="505"/>
    <s v="-"/>
    <x v="84"/>
    <s v="-"/>
    <x v="467"/>
    <n v="4168000"/>
    <x v="0"/>
    <x v="3"/>
    <x v="2"/>
    <x v="44"/>
    <s v="-"/>
    <x v="2"/>
    <x v="2"/>
    <x v="15"/>
    <s v="N.Shailaja"/>
    <s v="-"/>
    <s v="-"/>
    <d v="2017-06-29T00:00:00"/>
    <s v="Cash"/>
    <s v="-"/>
    <n v="3000"/>
    <x v="0"/>
    <s v="-"/>
    <n v="0"/>
    <s v="-"/>
    <x v="0"/>
    <x v="0"/>
  </r>
  <r>
    <n v="507"/>
    <x v="506"/>
    <s v="-"/>
    <x v="85"/>
    <s v="-"/>
    <x v="468"/>
    <n v="4922000"/>
    <x v="0"/>
    <x v="5"/>
    <x v="2"/>
    <x v="145"/>
    <s v="-"/>
    <x v="2"/>
    <x v="2"/>
    <x v="15"/>
    <s v="Sai"/>
    <s v="-"/>
    <s v="-"/>
    <d v="2017-06-29T00:00:00"/>
    <s v="Cash"/>
    <s v="-"/>
    <n v="3000"/>
    <x v="0"/>
    <s v="-"/>
    <n v="0"/>
    <s v="-"/>
    <x v="0"/>
    <x v="0"/>
  </r>
  <r>
    <n v="508"/>
    <x v="507"/>
    <s v="-"/>
    <x v="86"/>
    <s v="-"/>
    <x v="469"/>
    <n v="2750000"/>
    <x v="0"/>
    <x v="5"/>
    <x v="2"/>
    <x v="160"/>
    <s v="-"/>
    <x v="2"/>
    <x v="2"/>
    <x v="13"/>
    <s v="Rajini"/>
    <s v="-"/>
    <s v="-"/>
    <d v="2017-06-29T00:00:00"/>
    <s v="Cash"/>
    <s v="-"/>
    <n v="3000"/>
    <x v="0"/>
    <s v="-"/>
    <n v="0"/>
    <s v="-"/>
    <x v="0"/>
    <x v="0"/>
  </r>
  <r>
    <n v="509"/>
    <x v="508"/>
    <s v="-"/>
    <x v="86"/>
    <s v="-"/>
    <x v="470"/>
    <n v="2750000"/>
    <x v="0"/>
    <x v="3"/>
    <x v="2"/>
    <x v="26"/>
    <s v="-"/>
    <x v="2"/>
    <x v="2"/>
    <x v="15"/>
    <s v="Leena"/>
    <s v="-"/>
    <s v="-"/>
    <d v="2017-06-29T00:00:00"/>
    <s v="Cash"/>
    <s v="-"/>
    <n v="3000"/>
    <x v="0"/>
    <s v="-"/>
    <n v="0"/>
    <s v="-"/>
    <x v="0"/>
    <x v="0"/>
  </r>
  <r>
    <n v="510"/>
    <x v="509"/>
    <s v="-"/>
    <x v="87"/>
    <s v="-"/>
    <x v="471"/>
    <n v="3525000"/>
    <x v="0"/>
    <x v="5"/>
    <x v="2"/>
    <x v="44"/>
    <s v="-"/>
    <x v="2"/>
    <x v="2"/>
    <x v="13"/>
    <s v="Priyanka"/>
    <s v="-"/>
    <s v="-"/>
    <d v="2017-06-29T00:00:00"/>
    <s v="Cash"/>
    <s v="-"/>
    <n v="3000"/>
    <x v="0"/>
    <s v="-"/>
    <n v="0"/>
    <s v="-"/>
    <x v="0"/>
    <x v="0"/>
  </r>
  <r>
    <n v="511"/>
    <x v="510"/>
    <s v="-"/>
    <x v="88"/>
    <s v="-"/>
    <x v="472"/>
    <n v="3338000"/>
    <x v="0"/>
    <x v="3"/>
    <x v="2"/>
    <x v="44"/>
    <s v="-"/>
    <x v="2"/>
    <x v="2"/>
    <x v="15"/>
    <s v="Madhu"/>
    <s v="-"/>
    <s v="-"/>
    <d v="2017-06-29T00:00:00"/>
    <s v="Cash"/>
    <s v="-"/>
    <n v="3000"/>
    <x v="0"/>
    <s v="-"/>
    <n v="0"/>
    <s v="-"/>
    <x v="0"/>
    <x v="0"/>
  </r>
  <r>
    <n v="512"/>
    <x v="511"/>
    <s v="-"/>
    <x v="89"/>
    <s v="-"/>
    <x v="473"/>
    <n v="5257000"/>
    <x v="0"/>
    <x v="5"/>
    <x v="2"/>
    <x v="23"/>
    <s v="-"/>
    <x v="2"/>
    <x v="2"/>
    <x v="15"/>
    <s v="Neelima"/>
    <s v="-"/>
    <s v="-"/>
    <d v="2017-06-29T00:00:00"/>
    <s v="Cash"/>
    <s v="-"/>
    <n v="3000"/>
    <x v="0"/>
    <s v="-"/>
    <n v="0"/>
    <s v="-"/>
    <x v="0"/>
    <x v="0"/>
  </r>
  <r>
    <n v="513"/>
    <x v="512"/>
    <s v="-"/>
    <x v="89"/>
    <s v="-"/>
    <x v="474"/>
    <n v="11491000"/>
    <x v="0"/>
    <x v="3"/>
    <x v="2"/>
    <x v="23"/>
    <s v="-"/>
    <x v="2"/>
    <x v="2"/>
    <x v="15"/>
    <s v="Sowjanya"/>
    <s v="-"/>
    <s v="-"/>
    <d v="2017-06-29T00:00:00"/>
    <s v="Cash"/>
    <s v="-"/>
    <n v="8000"/>
    <x v="0"/>
    <s v="-"/>
    <n v="0"/>
    <s v="-"/>
    <x v="0"/>
    <x v="0"/>
  </r>
  <r>
    <n v="514"/>
    <x v="513"/>
    <s v="-"/>
    <x v="90"/>
    <s v="-"/>
    <x v="475"/>
    <n v="4893000"/>
    <x v="0"/>
    <x v="5"/>
    <x v="2"/>
    <x v="161"/>
    <s v="-"/>
    <x v="2"/>
    <x v="2"/>
    <x v="15"/>
    <s v="Usha Latha"/>
    <s v="-"/>
    <s v="-"/>
    <d v="2017-06-29T00:00:00"/>
    <s v="Cash"/>
    <s v="-"/>
    <n v="3000"/>
    <x v="0"/>
    <s v="-"/>
    <n v="0"/>
    <s v="-"/>
    <x v="0"/>
    <x v="0"/>
  </r>
  <r>
    <n v="515"/>
    <x v="514"/>
    <s v="-"/>
    <x v="90"/>
    <s v="-"/>
    <x v="476"/>
    <n v="2690000"/>
    <x v="0"/>
    <x v="5"/>
    <x v="2"/>
    <x v="162"/>
    <s v="-"/>
    <x v="2"/>
    <x v="2"/>
    <x v="15"/>
    <s v="Rajeshwari"/>
    <s v="-"/>
    <s v="-"/>
    <d v="2017-06-29T00:00:00"/>
    <s v="Cash"/>
    <s v="-"/>
    <n v="3000"/>
    <x v="0"/>
    <s v="-"/>
    <n v="0"/>
    <s v="-"/>
    <x v="0"/>
    <x v="0"/>
  </r>
  <r>
    <n v="516"/>
    <x v="515"/>
    <s v="-"/>
    <x v="91"/>
    <s v="-"/>
    <x v="300"/>
    <n v="0"/>
    <x v="0"/>
    <x v="3"/>
    <x v="2"/>
    <x v="163"/>
    <s v="-"/>
    <x v="0"/>
    <x v="2"/>
    <x v="13"/>
    <s v="Yamini"/>
    <s v="-"/>
    <s v="-"/>
    <s v="-"/>
    <s v="-"/>
    <s v="-"/>
    <n v="0"/>
    <x v="2"/>
    <s v="-"/>
    <n v="0"/>
    <s v="Staff"/>
    <x v="0"/>
    <x v="0"/>
  </r>
  <r>
    <n v="517"/>
    <x v="516"/>
    <s v="-"/>
    <x v="92"/>
    <s v="-"/>
    <x v="477"/>
    <n v="7666000"/>
    <x v="0"/>
    <x v="5"/>
    <x v="2"/>
    <x v="23"/>
    <s v="-"/>
    <x v="2"/>
    <x v="2"/>
    <x v="15"/>
    <s v="B.Shailaja"/>
    <s v="-"/>
    <s v="-"/>
    <s v="-"/>
    <s v="-"/>
    <s v="-"/>
    <n v="0"/>
    <x v="2"/>
    <s v="-"/>
    <n v="0"/>
    <s v="-"/>
    <x v="0"/>
    <x v="0"/>
  </r>
  <r>
    <n v="518"/>
    <x v="517"/>
    <s v="-"/>
    <x v="93"/>
    <s v="-"/>
    <x v="478"/>
    <n v="4624000"/>
    <x v="0"/>
    <x v="5"/>
    <x v="2"/>
    <x v="144"/>
    <s v="-"/>
    <x v="2"/>
    <x v="2"/>
    <x v="13"/>
    <s v="N.Shailaja"/>
    <s v="-"/>
    <s v="-"/>
    <d v="2017-06-29T00:00:00"/>
    <s v="Cash"/>
    <s v="-"/>
    <n v="3000"/>
    <x v="0"/>
    <s v="-"/>
    <n v="0"/>
    <s v="-"/>
    <x v="0"/>
    <x v="0"/>
  </r>
  <r>
    <n v="519"/>
    <x v="518"/>
    <s v="-"/>
    <x v="94"/>
    <s v="-"/>
    <x v="479"/>
    <n v="7104000"/>
    <x v="0"/>
    <x v="5"/>
    <x v="2"/>
    <x v="15"/>
    <s v="-"/>
    <x v="2"/>
    <x v="2"/>
    <x v="13"/>
    <s v="Sai"/>
    <s v="-"/>
    <s v="-"/>
    <s v="-"/>
    <s v="-"/>
    <s v="-"/>
    <n v="0"/>
    <x v="2"/>
    <s v="-"/>
    <n v="0"/>
    <s v="-"/>
    <x v="0"/>
    <x v="0"/>
  </r>
  <r>
    <n v="520"/>
    <x v="519"/>
    <s v="-"/>
    <x v="94"/>
    <s v="-"/>
    <x v="480"/>
    <n v="3110000"/>
    <x v="0"/>
    <x v="5"/>
    <x v="2"/>
    <x v="26"/>
    <s v="-"/>
    <x v="2"/>
    <x v="2"/>
    <x v="13"/>
    <s v="Rajini"/>
    <s v="-"/>
    <s v="-"/>
    <s v="-"/>
    <s v="-"/>
    <s v="-"/>
    <n v="0"/>
    <x v="2"/>
    <s v="-"/>
    <n v="0"/>
    <s v="-"/>
    <x v="0"/>
    <x v="0"/>
  </r>
  <r>
    <n v="521"/>
    <x v="520"/>
    <s v="-"/>
    <x v="94"/>
    <s v="-"/>
    <x v="481"/>
    <n v="0"/>
    <x v="0"/>
    <x v="10"/>
    <x v="2"/>
    <x v="26"/>
    <s v="-"/>
    <x v="2"/>
    <x v="2"/>
    <x v="0"/>
    <s v="Leena"/>
    <s v="-"/>
    <s v="-"/>
    <s v="-"/>
    <s v="-"/>
    <s v="-"/>
    <n v="0"/>
    <x v="2"/>
    <s v="-"/>
    <n v="0"/>
    <s v="-"/>
    <x v="0"/>
    <x v="0"/>
  </r>
  <r>
    <n v="522"/>
    <x v="521"/>
    <s v="-"/>
    <x v="95"/>
    <s v="-"/>
    <x v="482"/>
    <n v="5011000"/>
    <x v="0"/>
    <x v="3"/>
    <x v="2"/>
    <x v="23"/>
    <s v="-"/>
    <x v="2"/>
    <x v="2"/>
    <x v="15"/>
    <s v="Priyanka"/>
    <s v="-"/>
    <s v="-"/>
    <s v="-"/>
    <s v="-"/>
    <s v="-"/>
    <n v="0"/>
    <x v="2"/>
    <s v="-"/>
    <n v="0"/>
    <s v="-"/>
    <x v="0"/>
    <x v="0"/>
  </r>
  <r>
    <n v="523"/>
    <x v="522"/>
    <s v="-"/>
    <x v="95"/>
    <s v="-"/>
    <x v="483"/>
    <n v="5279000"/>
    <x v="0"/>
    <x v="15"/>
    <x v="2"/>
    <x v="164"/>
    <s v="-"/>
    <x v="2"/>
    <x v="2"/>
    <x v="13"/>
    <s v="Madhu"/>
    <s v="-"/>
    <s v="-"/>
    <s v="-"/>
    <s v="-"/>
    <s v="-"/>
    <n v="0"/>
    <x v="2"/>
    <s v="-"/>
    <n v="0"/>
    <s v="-"/>
    <x v="0"/>
    <x v="0"/>
  </r>
  <r>
    <n v="524"/>
    <x v="523"/>
    <s v="-"/>
    <x v="95"/>
    <s v="-"/>
    <x v="484"/>
    <n v="0"/>
    <x v="0"/>
    <x v="5"/>
    <x v="2"/>
    <x v="143"/>
    <s v="-"/>
    <x v="7"/>
    <x v="2"/>
    <x v="13"/>
    <s v="Neelima"/>
    <s v="-"/>
    <s v="-"/>
    <s v="-"/>
    <s v="-"/>
    <s v="-"/>
    <n v="0"/>
    <x v="2"/>
    <s v="-"/>
    <n v="0"/>
    <s v="-"/>
    <x v="0"/>
    <x v="0"/>
  </r>
  <r>
    <n v="525"/>
    <x v="524"/>
    <s v="-"/>
    <x v="96"/>
    <s v="-"/>
    <x v="485"/>
    <n v="0"/>
    <x v="0"/>
    <x v="7"/>
    <x v="2"/>
    <x v="144"/>
    <s v="-"/>
    <x v="7"/>
    <x v="2"/>
    <x v="13"/>
    <s v="Sowjanya"/>
    <s v="-"/>
    <s v="-"/>
    <s v="-"/>
    <s v="-"/>
    <s v="-"/>
    <n v="0"/>
    <x v="2"/>
    <s v="-"/>
    <n v="0"/>
    <s v="-"/>
    <x v="0"/>
    <x v="0"/>
  </r>
  <r>
    <n v="526"/>
    <x v="525"/>
    <s v="-"/>
    <x v="97"/>
    <s v="-"/>
    <x v="486"/>
    <n v="4223000"/>
    <x v="0"/>
    <x v="5"/>
    <x v="2"/>
    <x v="44"/>
    <s v="-"/>
    <x v="2"/>
    <x v="2"/>
    <x v="15"/>
    <s v="Usha Latha"/>
    <s v="-"/>
    <s v="-"/>
    <s v="-"/>
    <s v="-"/>
    <s v="-"/>
    <n v="0"/>
    <x v="2"/>
    <s v="-"/>
    <n v="0"/>
    <s v="-"/>
    <x v="0"/>
    <x v="0"/>
  </r>
  <r>
    <n v="527"/>
    <x v="526"/>
    <s v="-"/>
    <x v="98"/>
    <s v="-"/>
    <x v="487"/>
    <n v="2820000"/>
    <x v="0"/>
    <x v="5"/>
    <x v="2"/>
    <x v="78"/>
    <s v="-"/>
    <x v="2"/>
    <x v="2"/>
    <x v="13"/>
    <s v="Rajeshwari"/>
    <s v="-"/>
    <s v="-"/>
    <s v="-"/>
    <s v="-"/>
    <s v="-"/>
    <n v="0"/>
    <x v="2"/>
    <s v="-"/>
    <n v="0"/>
    <s v="-"/>
    <x v="0"/>
    <x v="0"/>
  </r>
  <r>
    <n v="528"/>
    <x v="527"/>
    <s v="-"/>
    <x v="99"/>
    <s v="-"/>
    <x v="347"/>
    <n v="0"/>
    <x v="0"/>
    <x v="5"/>
    <x v="2"/>
    <x v="165"/>
    <s v="-"/>
    <x v="7"/>
    <x v="2"/>
    <x v="13"/>
    <s v="Yamini"/>
    <s v="-"/>
    <s v="-"/>
    <s v="-"/>
    <s v="-"/>
    <s v="-"/>
    <n v="0"/>
    <x v="2"/>
    <s v="-"/>
    <n v="0"/>
    <s v="-"/>
    <x v="0"/>
    <x v="0"/>
  </r>
  <r>
    <n v="529"/>
    <x v="528"/>
    <s v="-"/>
    <x v="99"/>
    <s v="-"/>
    <x v="488"/>
    <n v="0"/>
    <x v="0"/>
    <x v="5"/>
    <x v="2"/>
    <x v="134"/>
    <s v="-"/>
    <x v="0"/>
    <x v="2"/>
    <x v="15"/>
    <s v="B.Shailaja"/>
    <s v="-"/>
    <s v="-"/>
    <d v="2017-06-30T00:00:00"/>
    <s v="Bank"/>
    <s v="-"/>
    <n v="10000"/>
    <x v="0"/>
    <s v="-"/>
    <n v="0"/>
    <s v="-"/>
    <x v="0"/>
    <x v="0"/>
  </r>
  <r>
    <n v="530"/>
    <x v="529"/>
    <s v="-"/>
    <x v="99"/>
    <s v="-"/>
    <x v="489"/>
    <n v="0"/>
    <x v="0"/>
    <x v="4"/>
    <x v="2"/>
    <x v="41"/>
    <s v="-"/>
    <x v="0"/>
    <x v="2"/>
    <x v="14"/>
    <s v="N.Shailaja"/>
    <s v="-"/>
    <s v="-"/>
    <s v="-"/>
    <s v="-"/>
    <s v="-"/>
    <n v="0"/>
    <x v="2"/>
    <s v="-"/>
    <n v="0"/>
    <s v="-"/>
    <x v="0"/>
    <x v="0"/>
  </r>
  <r>
    <n v="531"/>
    <x v="530"/>
    <s v="-"/>
    <x v="100"/>
    <s v="-"/>
    <x v="490"/>
    <n v="0"/>
    <x v="0"/>
    <x v="5"/>
    <x v="2"/>
    <x v="26"/>
    <s v="-"/>
    <x v="7"/>
    <x v="2"/>
    <x v="14"/>
    <s v="Sai"/>
    <s v="-"/>
    <s v="-"/>
    <s v="-"/>
    <s v="-"/>
    <s v="-"/>
    <n v="0"/>
    <x v="2"/>
    <s v="-"/>
    <n v="0"/>
    <s v="-"/>
    <x v="0"/>
    <x v="0"/>
  </r>
  <r>
    <n v="532"/>
    <x v="531"/>
    <s v="-"/>
    <x v="100"/>
    <s v="-"/>
    <x v="491"/>
    <n v="0"/>
    <x v="0"/>
    <x v="3"/>
    <x v="2"/>
    <x v="166"/>
    <s v="-"/>
    <x v="8"/>
    <x v="2"/>
    <x v="0"/>
    <s v="Rajini"/>
    <s v="-"/>
    <s v="-"/>
    <s v="-"/>
    <s v="-"/>
    <s v="-"/>
    <n v="0"/>
    <x v="6"/>
    <s v="-"/>
    <n v="0"/>
    <s v="-"/>
    <x v="2"/>
    <x v="0"/>
  </r>
  <r>
    <n v="533"/>
    <x v="532"/>
    <s v="-"/>
    <x v="101"/>
    <s v="-"/>
    <x v="492"/>
    <n v="7733000"/>
    <x v="0"/>
    <x v="3"/>
    <x v="2"/>
    <x v="167"/>
    <s v="-"/>
    <x v="2"/>
    <x v="2"/>
    <x v="0"/>
    <s v="Leena"/>
    <s v="-"/>
    <s v="-"/>
    <s v="-"/>
    <s v="-"/>
    <s v="-"/>
    <n v="0"/>
    <x v="2"/>
    <s v="-"/>
    <n v="0"/>
    <s v="-"/>
    <x v="0"/>
    <x v="0"/>
  </r>
  <r>
    <n v="534"/>
    <x v="533"/>
    <s v="-"/>
    <x v="101"/>
    <s v="-"/>
    <x v="493"/>
    <n v="19979000"/>
    <x v="0"/>
    <x v="3"/>
    <x v="2"/>
    <x v="23"/>
    <s v="-"/>
    <x v="2"/>
    <x v="2"/>
    <x v="0"/>
    <s v="Priyanka"/>
    <s v="-"/>
    <s v="-"/>
    <s v="-"/>
    <s v="-"/>
    <s v="-"/>
    <n v="0"/>
    <x v="2"/>
    <s v="-"/>
    <n v="0"/>
    <s v="-"/>
    <x v="0"/>
    <x v="0"/>
  </r>
  <r>
    <n v="535"/>
    <x v="534"/>
    <s v="-"/>
    <x v="102"/>
    <s v="-"/>
    <x v="494"/>
    <n v="5410000"/>
    <x v="0"/>
    <x v="5"/>
    <x v="2"/>
    <x v="15"/>
    <s v="-"/>
    <x v="2"/>
    <x v="2"/>
    <x v="15"/>
    <s v="Madhu"/>
    <s v="-"/>
    <s v="-"/>
    <s v="-"/>
    <s v="-"/>
    <s v="-"/>
    <n v="0"/>
    <x v="2"/>
    <s v="-"/>
    <n v="0"/>
    <s v="-"/>
    <x v="0"/>
    <x v="0"/>
  </r>
  <r>
    <n v="536"/>
    <x v="535"/>
    <s v="-"/>
    <x v="103"/>
    <s v="-"/>
    <x v="495"/>
    <n v="2621000"/>
    <x v="0"/>
    <x v="3"/>
    <x v="2"/>
    <x v="23"/>
    <s v="-"/>
    <x v="2"/>
    <x v="2"/>
    <x v="15"/>
    <s v="Neelima"/>
    <s v="-"/>
    <s v="-"/>
    <s v="-"/>
    <s v="-"/>
    <s v="-"/>
    <n v="0"/>
    <x v="2"/>
    <s v="-"/>
    <n v="0"/>
    <s v="-"/>
    <x v="0"/>
    <x v="0"/>
  </r>
  <r>
    <n v="537"/>
    <x v="536"/>
    <s v="-"/>
    <x v="103"/>
    <s v="-"/>
    <x v="496"/>
    <n v="0"/>
    <x v="0"/>
    <x v="7"/>
    <x v="2"/>
    <x v="166"/>
    <s v="-"/>
    <x v="8"/>
    <x v="2"/>
    <x v="13"/>
    <s v="Sowjanya"/>
    <s v="-"/>
    <s v="-"/>
    <s v="-"/>
    <s v="-"/>
    <s v="-"/>
    <n v="0"/>
    <x v="2"/>
    <s v="-"/>
    <n v="0"/>
    <s v="-"/>
    <x v="0"/>
    <x v="0"/>
  </r>
  <r>
    <n v="538"/>
    <x v="537"/>
    <s v="-"/>
    <x v="104"/>
    <s v="-"/>
    <x v="122"/>
    <n v="0"/>
    <x v="0"/>
    <x v="3"/>
    <x v="2"/>
    <x v="166"/>
    <s v="-"/>
    <x v="8"/>
    <x v="2"/>
    <x v="13"/>
    <s v="Usha Latha"/>
    <s v="-"/>
    <s v="-"/>
    <s v="-"/>
    <s v="-"/>
    <s v="-"/>
    <n v="0"/>
    <x v="6"/>
    <s v="-"/>
    <n v="0"/>
    <s v="-"/>
    <x v="2"/>
    <x v="0"/>
  </r>
  <r>
    <n v="539"/>
    <x v="538"/>
    <s v="-"/>
    <x v="104"/>
    <s v="-"/>
    <x v="497"/>
    <n v="8062000"/>
    <x v="0"/>
    <x v="3"/>
    <x v="2"/>
    <x v="44"/>
    <s v="-"/>
    <x v="2"/>
    <x v="2"/>
    <x v="0"/>
    <s v="Rajeshwari"/>
    <s v="-"/>
    <s v="-"/>
    <s v="-"/>
    <s v="-"/>
    <s v="-"/>
    <n v="0"/>
    <x v="2"/>
    <s v="-"/>
    <n v="0"/>
    <s v="-"/>
    <x v="0"/>
    <x v="0"/>
  </r>
  <r>
    <n v="540"/>
    <x v="539"/>
    <s v="-"/>
    <x v="105"/>
    <s v="-"/>
    <x v="104"/>
    <n v="0"/>
    <x v="0"/>
    <x v="5"/>
    <x v="2"/>
    <x v="168"/>
    <s v="-"/>
    <x v="0"/>
    <x v="2"/>
    <x v="15"/>
    <s v="Yamini"/>
    <s v="-"/>
    <s v="-"/>
    <s v="-"/>
    <s v="-"/>
    <s v="-"/>
    <n v="0"/>
    <x v="2"/>
    <s v="-"/>
    <n v="0"/>
    <s v="-"/>
    <x v="0"/>
    <x v="0"/>
  </r>
  <r>
    <n v="541"/>
    <x v="540"/>
    <s v="-"/>
    <x v="106"/>
    <s v="-"/>
    <x v="498"/>
    <n v="0"/>
    <x v="0"/>
    <x v="5"/>
    <x v="2"/>
    <x v="169"/>
    <s v="-"/>
    <x v="0"/>
    <x v="2"/>
    <x v="13"/>
    <s v="B.Shailaja"/>
    <s v="-"/>
    <s v="-"/>
    <d v="2017-06-17T00:00:00"/>
    <s v="Cash"/>
    <s v="-"/>
    <n v="2500"/>
    <x v="0"/>
    <s v="-"/>
    <n v="0"/>
    <s v="-"/>
    <x v="0"/>
    <x v="0"/>
  </r>
  <r>
    <n v="542"/>
    <x v="541"/>
    <s v="-"/>
    <x v="106"/>
    <s v="-"/>
    <x v="499"/>
    <n v="0"/>
    <x v="0"/>
    <x v="5"/>
    <x v="2"/>
    <x v="170"/>
    <s v="-"/>
    <x v="0"/>
    <x v="2"/>
    <x v="15"/>
    <s v="N.Shailaja"/>
    <s v="-"/>
    <s v="-"/>
    <s v="-"/>
    <s v="-"/>
    <s v="-"/>
    <n v="0"/>
    <x v="4"/>
    <s v="-"/>
    <n v="0"/>
    <s v="-"/>
    <x v="0"/>
    <x v="0"/>
  </r>
  <r>
    <n v="543"/>
    <x v="542"/>
    <s v="-"/>
    <x v="107"/>
    <s v="-"/>
    <x v="500"/>
    <n v="8165000"/>
    <x v="0"/>
    <x v="5"/>
    <x v="2"/>
    <x v="44"/>
    <s v="-"/>
    <x v="2"/>
    <x v="2"/>
    <x v="15"/>
    <s v="Sai"/>
    <s v="-"/>
    <s v="-"/>
    <s v="-"/>
    <s v="-"/>
    <s v="-"/>
    <n v="0"/>
    <x v="2"/>
    <s v="-"/>
    <n v="0"/>
    <s v="-"/>
    <x v="0"/>
    <x v="0"/>
  </r>
  <r>
    <n v="544"/>
    <x v="543"/>
    <s v="-"/>
    <x v="108"/>
    <s v="-"/>
    <x v="501"/>
    <n v="3355000"/>
    <x v="0"/>
    <x v="5"/>
    <x v="2"/>
    <x v="44"/>
    <s v="-"/>
    <x v="2"/>
    <x v="2"/>
    <x v="15"/>
    <s v="Rajini"/>
    <s v="-"/>
    <s v="-"/>
    <s v="-"/>
    <s v="-"/>
    <s v="-"/>
    <n v="0"/>
    <x v="2"/>
    <s v="-"/>
    <n v="0"/>
    <s v="-"/>
    <x v="0"/>
    <x v="0"/>
  </r>
  <r>
    <n v="545"/>
    <x v="544"/>
    <s v="-"/>
    <x v="108"/>
    <s v="-"/>
    <x v="502"/>
    <n v="2835000"/>
    <x v="0"/>
    <x v="18"/>
    <x v="2"/>
    <x v="44"/>
    <s v="-"/>
    <x v="2"/>
    <x v="2"/>
    <x v="15"/>
    <s v="Leena"/>
    <s v="-"/>
    <s v="-"/>
    <s v="-"/>
    <s v="-"/>
    <s v="-"/>
    <n v="0"/>
    <x v="2"/>
    <s v="-"/>
    <n v="0"/>
    <s v="-"/>
    <x v="0"/>
    <x v="0"/>
  </r>
  <r>
    <n v="546"/>
    <x v="545"/>
    <s v="-"/>
    <x v="109"/>
    <s v="-"/>
    <x v="503"/>
    <n v="21424000"/>
    <x v="0"/>
    <x v="3"/>
    <x v="2"/>
    <x v="164"/>
    <s v="-"/>
    <x v="2"/>
    <x v="2"/>
    <x v="15"/>
    <s v="Priyanka"/>
    <s v="-"/>
    <s v="-"/>
    <s v="-"/>
    <s v="-"/>
    <s v="-"/>
    <n v="0"/>
    <x v="2"/>
    <s v="-"/>
    <n v="0"/>
    <s v="-"/>
    <x v="0"/>
    <x v="0"/>
  </r>
  <r>
    <n v="547"/>
    <x v="546"/>
    <s v="-"/>
    <x v="110"/>
    <s v="-"/>
    <x v="504"/>
    <n v="0"/>
    <x v="0"/>
    <x v="14"/>
    <x v="2"/>
    <x v="171"/>
    <s v="-"/>
    <x v="0"/>
    <x v="2"/>
    <x v="13"/>
    <s v="Madhu"/>
    <s v="-"/>
    <s v="-"/>
    <s v="-"/>
    <s v="-"/>
    <s v="-"/>
    <n v="0"/>
    <x v="2"/>
    <s v="-"/>
    <n v="0"/>
    <s v="-"/>
    <x v="0"/>
    <x v="0"/>
  </r>
  <r>
    <n v="548"/>
    <x v="547"/>
    <s v="-"/>
    <x v="111"/>
    <s v="-"/>
    <x v="505"/>
    <n v="2910000"/>
    <x v="0"/>
    <x v="5"/>
    <x v="2"/>
    <x v="15"/>
    <s v="-"/>
    <x v="2"/>
    <x v="2"/>
    <x v="13"/>
    <s v="Neelima"/>
    <s v="-"/>
    <s v="-"/>
    <s v="-"/>
    <s v="-"/>
    <s v="-"/>
    <n v="0"/>
    <x v="2"/>
    <s v="-"/>
    <n v="0"/>
    <s v="-"/>
    <x v="0"/>
    <x v="0"/>
  </r>
  <r>
    <n v="549"/>
    <x v="548"/>
    <s v="-"/>
    <x v="111"/>
    <s v="-"/>
    <x v="506"/>
    <n v="5668000"/>
    <x v="0"/>
    <x v="5"/>
    <x v="2"/>
    <x v="44"/>
    <s v="-"/>
    <x v="2"/>
    <x v="2"/>
    <x v="13"/>
    <s v="Neelima"/>
    <s v="-"/>
    <s v="-"/>
    <s v="-"/>
    <s v="-"/>
    <s v="-"/>
    <n v="0"/>
    <x v="2"/>
    <s v="-"/>
    <n v="0"/>
    <s v="-"/>
    <x v="0"/>
    <x v="0"/>
  </r>
  <r>
    <n v="550"/>
    <x v="549"/>
    <s v="-"/>
    <x v="112"/>
    <s v="-"/>
    <x v="507"/>
    <n v="1239000"/>
    <x v="0"/>
    <x v="5"/>
    <x v="2"/>
    <x v="144"/>
    <s v="-"/>
    <x v="2"/>
    <x v="2"/>
    <x v="13"/>
    <s v="Sowjanya"/>
    <s v="-"/>
    <s v="-"/>
    <s v="-"/>
    <s v="-"/>
    <s v="-"/>
    <n v="0"/>
    <x v="2"/>
    <s v="-"/>
    <n v="0"/>
    <s v="-"/>
    <x v="0"/>
    <x v="0"/>
  </r>
  <r>
    <n v="551"/>
    <x v="550"/>
    <s v="-"/>
    <x v="12"/>
    <s v="-"/>
    <x v="508"/>
    <n v="0"/>
    <x v="0"/>
    <x v="5"/>
    <x v="2"/>
    <x v="131"/>
    <s v="-"/>
    <x v="0"/>
    <x v="2"/>
    <x v="15"/>
    <s v="Usha Latha"/>
    <s v="-"/>
    <s v="-"/>
    <s v="-"/>
    <s v="-"/>
    <s v="-"/>
    <n v="0"/>
    <x v="2"/>
    <s v="-"/>
    <n v="0"/>
    <s v="-"/>
    <x v="0"/>
    <x v="0"/>
  </r>
  <r>
    <n v="552"/>
    <x v="551"/>
    <s v="-"/>
    <x v="14"/>
    <s v="-"/>
    <x v="509"/>
    <n v="0"/>
    <x v="0"/>
    <x v="5"/>
    <x v="2"/>
    <x v="26"/>
    <s v="-"/>
    <x v="0"/>
    <x v="2"/>
    <x v="15"/>
    <s v="Rajeshwari"/>
    <s v="-"/>
    <s v="-"/>
    <s v="-"/>
    <s v="-"/>
    <s v="-"/>
    <n v="0"/>
    <x v="2"/>
    <s v="-"/>
    <n v="0"/>
    <s v="-"/>
    <x v="0"/>
    <x v="0"/>
  </r>
  <r>
    <n v="553"/>
    <x v="552"/>
    <s v="-"/>
    <x v="113"/>
    <s v="-"/>
    <x v="510"/>
    <n v="0"/>
    <x v="0"/>
    <x v="5"/>
    <x v="2"/>
    <x v="23"/>
    <s v="-"/>
    <x v="2"/>
    <x v="2"/>
    <x v="0"/>
    <s v="Yamini"/>
    <s v="-"/>
    <s v="-"/>
    <s v="-"/>
    <s v="-"/>
    <s v="-"/>
    <n v="0"/>
    <x v="2"/>
    <s v="-"/>
    <n v="0"/>
    <s v="-"/>
    <x v="0"/>
    <x v="0"/>
  </r>
  <r>
    <n v="554"/>
    <x v="553"/>
    <s v="-"/>
    <x v="55"/>
    <s v="-"/>
    <x v="511"/>
    <n v="0"/>
    <x v="0"/>
    <x v="5"/>
    <x v="2"/>
    <x v="44"/>
    <s v="-"/>
    <x v="2"/>
    <x v="2"/>
    <x v="13"/>
    <s v="B.Shailaja"/>
    <s v="-"/>
    <s v="-"/>
    <s v="-"/>
    <s v="-"/>
    <s v="-"/>
    <n v="0"/>
    <x v="2"/>
    <s v="-"/>
    <n v="0"/>
    <s v="-"/>
    <x v="0"/>
    <x v="0"/>
  </r>
  <r>
    <n v="555"/>
    <x v="554"/>
    <s v="-"/>
    <x v="55"/>
    <s v="-"/>
    <x v="512"/>
    <n v="0"/>
    <x v="0"/>
    <x v="7"/>
    <x v="2"/>
    <x v="44"/>
    <s v="-"/>
    <x v="2"/>
    <x v="2"/>
    <x v="13"/>
    <s v="N.Shailaja"/>
    <s v="-"/>
    <s v="-"/>
    <s v="-"/>
    <s v="-"/>
    <s v="-"/>
    <n v="0"/>
    <x v="2"/>
    <s v="-"/>
    <n v="0"/>
    <s v="-"/>
    <x v="0"/>
    <x v="0"/>
  </r>
  <r>
    <n v="556"/>
    <x v="555"/>
    <s v="-"/>
    <x v="55"/>
    <s v="-"/>
    <x v="513"/>
    <n v="0"/>
    <x v="0"/>
    <x v="5"/>
    <x v="2"/>
    <x v="15"/>
    <s v="-"/>
    <x v="2"/>
    <x v="2"/>
    <x v="13"/>
    <s v="Sai"/>
    <s v="-"/>
    <s v="-"/>
    <s v="-"/>
    <s v="-"/>
    <s v="-"/>
    <n v="0"/>
    <x v="2"/>
    <s v="-"/>
    <n v="0"/>
    <s v="-"/>
    <x v="0"/>
    <x v="0"/>
  </r>
  <r>
    <n v="557"/>
    <x v="556"/>
    <s v="-"/>
    <x v="17"/>
    <s v="-"/>
    <x v="514"/>
    <n v="0"/>
    <x v="0"/>
    <x v="3"/>
    <x v="2"/>
    <x v="172"/>
    <s v="-"/>
    <x v="2"/>
    <x v="2"/>
    <x v="15"/>
    <s v="Rajini"/>
    <s v="-"/>
    <s v="-"/>
    <d v="2017-06-05T00:00:00"/>
    <s v="Cash"/>
    <s v="-"/>
    <n v="7500"/>
    <x v="0"/>
    <s v="-"/>
    <n v="0"/>
    <s v="-"/>
    <x v="0"/>
    <x v="0"/>
  </r>
  <r>
    <n v="558"/>
    <x v="557"/>
    <s v="-"/>
    <x v="17"/>
    <s v="-"/>
    <x v="514"/>
    <n v="0"/>
    <x v="0"/>
    <x v="3"/>
    <x v="2"/>
    <x v="172"/>
    <s v="-"/>
    <x v="2"/>
    <x v="2"/>
    <x v="15"/>
    <s v="Leena"/>
    <s v="-"/>
    <s v="-"/>
    <d v="2017-06-05T00:00:00"/>
    <s v="Cash"/>
    <s v="-"/>
    <n v="7500"/>
    <x v="0"/>
    <s v="-"/>
    <n v="0"/>
    <s v="-"/>
    <x v="0"/>
    <x v="0"/>
  </r>
  <r>
    <n v="559"/>
    <x v="558"/>
    <s v="-"/>
    <x v="114"/>
    <s v="-"/>
    <x v="515"/>
    <n v="0"/>
    <x v="0"/>
    <x v="5"/>
    <x v="2"/>
    <x v="23"/>
    <s v="-"/>
    <x v="2"/>
    <x v="2"/>
    <x v="14"/>
    <s v="Priyanka"/>
    <s v="-"/>
    <s v="-"/>
    <s v="-"/>
    <s v="-"/>
    <s v="-"/>
    <n v="0"/>
    <x v="2"/>
    <s v="-"/>
    <n v="0"/>
    <s v="-"/>
    <x v="0"/>
    <x v="0"/>
  </r>
  <r>
    <n v="560"/>
    <x v="559"/>
    <s v="-"/>
    <x v="62"/>
    <s v="-"/>
    <x v="516"/>
    <n v="0"/>
    <x v="0"/>
    <x v="7"/>
    <x v="2"/>
    <x v="44"/>
    <s v="-"/>
    <x v="2"/>
    <x v="2"/>
    <x v="15"/>
    <s v="Madhu"/>
    <s v="-"/>
    <s v="-"/>
    <s v="-"/>
    <s v="-"/>
    <s v="-"/>
    <n v="0"/>
    <x v="2"/>
    <s v="-"/>
    <n v="0"/>
    <s v="-"/>
    <x v="0"/>
    <x v="0"/>
  </r>
  <r>
    <n v="561"/>
    <x v="560"/>
    <s v="-"/>
    <x v="18"/>
    <s v="-"/>
    <x v="517"/>
    <n v="0"/>
    <x v="0"/>
    <x v="5"/>
    <x v="2"/>
    <x v="26"/>
    <s v="-"/>
    <x v="2"/>
    <x v="2"/>
    <x v="15"/>
    <s v="Neelima"/>
    <s v="-"/>
    <s v="-"/>
    <s v="-"/>
    <s v="-"/>
    <s v="-"/>
    <n v="0"/>
    <x v="2"/>
    <s v="-"/>
    <n v="0"/>
    <s v="-"/>
    <x v="0"/>
    <x v="0"/>
  </r>
  <r>
    <n v="562"/>
    <x v="561"/>
    <s v="-"/>
    <x v="19"/>
    <s v="-"/>
    <x v="518"/>
    <n v="0"/>
    <x v="0"/>
    <x v="0"/>
    <x v="2"/>
    <x v="173"/>
    <s v="-"/>
    <x v="0"/>
    <x v="2"/>
    <x v="13"/>
    <s v="Sowjanya"/>
    <s v="-"/>
    <s v="-"/>
    <d v="2017-06-08T00:00:00"/>
    <s v="Cash"/>
    <s v="-"/>
    <n v="3000"/>
    <x v="0"/>
    <s v="-"/>
    <n v="0"/>
    <s v="-"/>
    <x v="0"/>
    <x v="0"/>
  </r>
  <r>
    <n v="563"/>
    <x v="562"/>
    <s v="-"/>
    <x v="20"/>
    <s v="-"/>
    <x v="422"/>
    <n v="0"/>
    <x v="0"/>
    <x v="5"/>
    <x v="2"/>
    <x v="134"/>
    <s v="-"/>
    <x v="0"/>
    <x v="2"/>
    <x v="15"/>
    <s v="Usha Latha"/>
    <s v="-"/>
    <s v="-"/>
    <d v="2017-06-28T00:00:00"/>
    <s v="Bank"/>
    <s v="-"/>
    <n v="2000"/>
    <x v="0"/>
    <s v="-"/>
    <n v="0"/>
    <s v="-"/>
    <x v="0"/>
    <x v="0"/>
  </r>
  <r>
    <n v="564"/>
    <x v="563"/>
    <s v="-"/>
    <x v="20"/>
    <s v="-"/>
    <x v="519"/>
    <n v="0"/>
    <x v="0"/>
    <x v="3"/>
    <x v="2"/>
    <x v="44"/>
    <s v="-"/>
    <x v="2"/>
    <x v="2"/>
    <x v="15"/>
    <s v="Rajeshwari"/>
    <s v="-"/>
    <s v="-"/>
    <s v="-"/>
    <s v="-"/>
    <s v="-"/>
    <n v="0"/>
    <x v="2"/>
    <s v="-"/>
    <n v="0"/>
    <s v="-"/>
    <x v="0"/>
    <x v="0"/>
  </r>
  <r>
    <n v="565"/>
    <x v="564"/>
    <s v="-"/>
    <x v="58"/>
    <s v="-"/>
    <x v="520"/>
    <n v="0"/>
    <x v="0"/>
    <x v="18"/>
    <x v="2"/>
    <x v="44"/>
    <s v="-"/>
    <x v="0"/>
    <x v="2"/>
    <x v="15"/>
    <s v="Yamini"/>
    <s v="-"/>
    <s v="-"/>
    <s v="-"/>
    <s v="-"/>
    <s v="-"/>
    <n v="0"/>
    <x v="8"/>
    <s v="-"/>
    <n v="0"/>
    <s v="Paid"/>
    <x v="2"/>
    <x v="0"/>
  </r>
  <r>
    <n v="566"/>
    <x v="565"/>
    <s v="-"/>
    <x v="21"/>
    <s v="-"/>
    <x v="521"/>
    <n v="0"/>
    <x v="0"/>
    <x v="5"/>
    <x v="2"/>
    <x v="78"/>
    <s v="-"/>
    <x v="2"/>
    <x v="2"/>
    <x v="13"/>
    <s v="B.Shailaja"/>
    <s v="-"/>
    <s v="-"/>
    <s v="-"/>
    <s v="-"/>
    <s v="-"/>
    <n v="0"/>
    <x v="2"/>
    <s v="-"/>
    <n v="0"/>
    <s v="-"/>
    <x v="0"/>
    <x v="0"/>
  </r>
  <r>
    <n v="567"/>
    <x v="566"/>
    <s v="-"/>
    <x v="21"/>
    <s v="-"/>
    <x v="522"/>
    <n v="0"/>
    <x v="0"/>
    <x v="0"/>
    <x v="2"/>
    <x v="15"/>
    <s v="-"/>
    <x v="2"/>
    <x v="2"/>
    <x v="15"/>
    <s v="N.Shailaja"/>
    <s v="-"/>
    <s v="-"/>
    <s v="-"/>
    <s v="-"/>
    <s v="-"/>
    <n v="0"/>
    <x v="2"/>
    <s v="-"/>
    <n v="0"/>
    <s v="-"/>
    <x v="0"/>
    <x v="0"/>
  </r>
  <r>
    <n v="568"/>
    <x v="567"/>
    <s v="-"/>
    <x v="21"/>
    <s v="-"/>
    <x v="523"/>
    <n v="0"/>
    <x v="0"/>
    <x v="5"/>
    <x v="2"/>
    <x v="44"/>
    <s v="-"/>
    <x v="2"/>
    <x v="2"/>
    <x v="15"/>
    <s v="Sai"/>
    <s v="-"/>
    <s v="-"/>
    <s v="-"/>
    <s v="-"/>
    <s v="-"/>
    <n v="0"/>
    <x v="2"/>
    <s v="-"/>
    <n v="0"/>
    <s v="-"/>
    <x v="0"/>
    <x v="0"/>
  </r>
  <r>
    <n v="569"/>
    <x v="568"/>
    <s v="-"/>
    <x v="22"/>
    <s v="-"/>
    <x v="524"/>
    <n v="0"/>
    <x v="0"/>
    <x v="3"/>
    <x v="2"/>
    <x v="26"/>
    <s v="-"/>
    <x v="0"/>
    <x v="2"/>
    <x v="15"/>
    <s v="Rajini"/>
    <s v="-"/>
    <s v="-"/>
    <s v="-"/>
    <s v="-"/>
    <s v="-"/>
    <n v="0"/>
    <x v="2"/>
    <s v="-"/>
    <n v="0"/>
    <s v="-"/>
    <x v="0"/>
    <x v="0"/>
  </r>
  <r>
    <n v="570"/>
    <x v="569"/>
    <s v="-"/>
    <x v="22"/>
    <s v="-"/>
    <x v="525"/>
    <n v="0"/>
    <x v="0"/>
    <x v="0"/>
    <x v="2"/>
    <x v="174"/>
    <s v="-"/>
    <x v="2"/>
    <x v="2"/>
    <x v="15"/>
    <s v="Leena"/>
    <s v="-"/>
    <s v="-"/>
    <s v="-"/>
    <s v="-"/>
    <s v="-"/>
    <n v="0"/>
    <x v="2"/>
    <s v="-"/>
    <n v="0"/>
    <s v="-"/>
    <x v="0"/>
    <x v="0"/>
  </r>
  <r>
    <n v="571"/>
    <x v="570"/>
    <s v="-"/>
    <x v="22"/>
    <s v="-"/>
    <x v="526"/>
    <n v="0"/>
    <x v="0"/>
    <x v="5"/>
    <x v="2"/>
    <x v="144"/>
    <s v="-"/>
    <x v="2"/>
    <x v="2"/>
    <x v="15"/>
    <s v="Priyanka"/>
    <s v="-"/>
    <s v="-"/>
    <s v="-"/>
    <s v="-"/>
    <s v="-"/>
    <n v="0"/>
    <x v="2"/>
    <s v="-"/>
    <n v="0"/>
    <s v="-"/>
    <x v="0"/>
    <x v="0"/>
  </r>
  <r>
    <n v="572"/>
    <x v="571"/>
    <s v="-"/>
    <x v="78"/>
    <s v="-"/>
    <x v="527"/>
    <n v="5300000"/>
    <x v="0"/>
    <x v="0"/>
    <x v="2"/>
    <x v="175"/>
    <s v="-"/>
    <x v="2"/>
    <x v="2"/>
    <x v="15"/>
    <s v="Madhu"/>
    <s v="-"/>
    <s v="-"/>
    <s v="-"/>
    <s v="-"/>
    <s v="-"/>
    <n v="0"/>
    <x v="2"/>
    <s v="-"/>
    <n v="0"/>
    <s v="-"/>
    <x v="0"/>
    <x v="0"/>
  </r>
  <r>
    <n v="573"/>
    <x v="572"/>
    <s v="-"/>
    <x v="25"/>
    <s v="-"/>
    <x v="528"/>
    <n v="7169000"/>
    <x v="0"/>
    <x v="0"/>
    <x v="2"/>
    <x v="126"/>
    <s v="-"/>
    <x v="2"/>
    <x v="2"/>
    <x v="15"/>
    <s v="Neelima"/>
    <s v="-"/>
    <s v="-"/>
    <s v="-"/>
    <s v="-"/>
    <s v="-"/>
    <n v="0"/>
    <x v="2"/>
    <s v="-"/>
    <n v="0"/>
    <s v="-"/>
    <x v="0"/>
    <x v="0"/>
  </r>
  <r>
    <n v="574"/>
    <x v="573"/>
    <s v="-"/>
    <x v="26"/>
    <s v="-"/>
    <x v="529"/>
    <n v="7120000"/>
    <x v="0"/>
    <x v="5"/>
    <x v="2"/>
    <x v="26"/>
    <s v="-"/>
    <x v="2"/>
    <x v="2"/>
    <x v="15"/>
    <s v="Sowjanya"/>
    <s v="-"/>
    <s v="-"/>
    <s v="-"/>
    <s v="-"/>
    <s v="-"/>
    <n v="0"/>
    <x v="2"/>
    <s v="-"/>
    <n v="0"/>
    <s v="-"/>
    <x v="0"/>
    <x v="0"/>
  </r>
  <r>
    <n v="575"/>
    <x v="574"/>
    <s v="-"/>
    <x v="26"/>
    <s v="-"/>
    <x v="530"/>
    <n v="4031000"/>
    <x v="0"/>
    <x v="18"/>
    <x v="2"/>
    <x v="140"/>
    <s v="-"/>
    <x v="0"/>
    <x v="2"/>
    <x v="13"/>
    <s v="Usha Latha"/>
    <s v="-"/>
    <s v="-"/>
    <d v="2017-06-08T00:00:00"/>
    <s v="Cash"/>
    <s v="-"/>
    <n v="3000"/>
    <x v="0"/>
    <s v="-"/>
    <n v="0"/>
    <s v="-"/>
    <x v="0"/>
    <x v="0"/>
  </r>
  <r>
    <n v="576"/>
    <x v="575"/>
    <s v="-"/>
    <x v="27"/>
    <s v="-"/>
    <x v="531"/>
    <n v="2800000"/>
    <x v="0"/>
    <x v="5"/>
    <x v="2"/>
    <x v="41"/>
    <s v="-"/>
    <x v="0"/>
    <x v="2"/>
    <x v="15"/>
    <s v="Rajeshwari"/>
    <s v="-"/>
    <s v="-"/>
    <s v="-"/>
    <s v="-"/>
    <s v="-"/>
    <n v="0"/>
    <x v="2"/>
    <s v="-"/>
    <n v="0"/>
    <s v="-"/>
    <x v="0"/>
    <x v="0"/>
  </r>
  <r>
    <n v="577"/>
    <x v="576"/>
    <s v="-"/>
    <x v="28"/>
    <s v="-"/>
    <x v="532"/>
    <n v="3062000"/>
    <x v="0"/>
    <x v="5"/>
    <x v="2"/>
    <x v="15"/>
    <s v="-"/>
    <x v="2"/>
    <x v="2"/>
    <x v="13"/>
    <s v="Yamini"/>
    <s v="-"/>
    <s v="-"/>
    <s v="-"/>
    <s v="-"/>
    <s v="-"/>
    <n v="0"/>
    <x v="2"/>
    <s v="-"/>
    <n v="0"/>
    <s v="-"/>
    <x v="0"/>
    <x v="0"/>
  </r>
  <r>
    <n v="578"/>
    <x v="577"/>
    <s v="-"/>
    <x v="28"/>
    <s v="-"/>
    <x v="533"/>
    <n v="2000000"/>
    <x v="0"/>
    <x v="0"/>
    <x v="2"/>
    <x v="15"/>
    <s v="-"/>
    <x v="2"/>
    <x v="2"/>
    <x v="13"/>
    <s v="B.Shailaja"/>
    <s v="-"/>
    <s v="-"/>
    <s v="-"/>
    <s v="-"/>
    <s v="-"/>
    <n v="0"/>
    <x v="2"/>
    <s v="-"/>
    <n v="0"/>
    <s v="-"/>
    <x v="0"/>
    <x v="0"/>
  </r>
  <r>
    <n v="579"/>
    <x v="578"/>
    <s v="-"/>
    <x v="28"/>
    <s v="-"/>
    <x v="534"/>
    <n v="10052000"/>
    <x v="0"/>
    <x v="3"/>
    <x v="2"/>
    <x v="176"/>
    <s v="-"/>
    <x v="7"/>
    <x v="2"/>
    <x v="15"/>
    <s v="N.Shailaja"/>
    <s v="-"/>
    <s v="-"/>
    <s v="-"/>
    <s v="-"/>
    <s v="-"/>
    <n v="0"/>
    <x v="2"/>
    <s v="-"/>
    <n v="0"/>
    <s v="-"/>
    <x v="0"/>
    <x v="0"/>
  </r>
  <r>
    <n v="580"/>
    <x v="579"/>
    <s v="-"/>
    <x v="29"/>
    <s v="-"/>
    <x v="535"/>
    <n v="4262000"/>
    <x v="0"/>
    <x v="20"/>
    <x v="2"/>
    <x v="172"/>
    <s v="-"/>
    <x v="0"/>
    <x v="2"/>
    <x v="15"/>
    <s v="Sai"/>
    <s v="-"/>
    <s v="-"/>
    <d v="2017-06-05T00:00:00"/>
    <s v="Cash"/>
    <s v="-"/>
    <n v="10000"/>
    <x v="0"/>
    <s v="-"/>
    <n v="0"/>
    <s v="-"/>
    <x v="0"/>
    <x v="0"/>
  </r>
  <r>
    <n v="581"/>
    <x v="580"/>
    <s v="-"/>
    <x v="29"/>
    <s v="-"/>
    <x v="536"/>
    <n v="4262000"/>
    <x v="0"/>
    <x v="0"/>
    <x v="2"/>
    <x v="144"/>
    <s v="-"/>
    <x v="2"/>
    <x v="2"/>
    <x v="15"/>
    <s v="Rajini"/>
    <s v="-"/>
    <s v="-"/>
    <s v="-"/>
    <s v="-"/>
    <s v="-"/>
    <n v="0"/>
    <x v="2"/>
    <s v="-"/>
    <n v="0"/>
    <s v="-"/>
    <x v="0"/>
    <x v="0"/>
  </r>
  <r>
    <n v="582"/>
    <x v="581"/>
    <s v="-"/>
    <x v="29"/>
    <s v="-"/>
    <x v="537"/>
    <n v="4287000"/>
    <x v="0"/>
    <x v="5"/>
    <x v="2"/>
    <x v="177"/>
    <s v="-"/>
    <x v="2"/>
    <x v="2"/>
    <x v="15"/>
    <s v="Leena"/>
    <s v="-"/>
    <s v="-"/>
    <s v="-"/>
    <s v="-"/>
    <s v="-"/>
    <n v="0"/>
    <x v="2"/>
    <s v="-"/>
    <n v="0"/>
    <s v="-"/>
    <x v="0"/>
    <x v="0"/>
  </r>
  <r>
    <n v="583"/>
    <x v="582"/>
    <s v="-"/>
    <x v="30"/>
    <s v="-"/>
    <x v="538"/>
    <n v="0"/>
    <x v="0"/>
    <x v="5"/>
    <x v="2"/>
    <x v="178"/>
    <s v="-"/>
    <x v="0"/>
    <x v="2"/>
    <x v="13"/>
    <s v="Priyanka"/>
    <s v="-"/>
    <s v="-"/>
    <s v="-"/>
    <s v="-"/>
    <s v="-"/>
    <n v="0"/>
    <x v="6"/>
    <s v="-"/>
    <n v="0"/>
    <s v="-"/>
    <x v="2"/>
    <x v="0"/>
  </r>
  <r>
    <n v="584"/>
    <x v="583"/>
    <s v="-"/>
    <x v="70"/>
    <s v="-"/>
    <x v="539"/>
    <n v="0"/>
    <x v="0"/>
    <x v="18"/>
    <x v="2"/>
    <x v="179"/>
    <s v="-"/>
    <x v="0"/>
    <x v="2"/>
    <x v="13"/>
    <s v="Madhu"/>
    <s v="-"/>
    <s v="-"/>
    <s v="-"/>
    <s v="-"/>
    <s v="-"/>
    <n v="0"/>
    <x v="6"/>
    <s v="-"/>
    <n v="0"/>
    <s v="-"/>
    <x v="2"/>
    <x v="0"/>
  </r>
  <r>
    <n v="585"/>
    <x v="584"/>
    <s v="-"/>
    <x v="71"/>
    <s v="-"/>
    <x v="540"/>
    <n v="3267000"/>
    <x v="0"/>
    <x v="5"/>
    <x v="2"/>
    <x v="140"/>
    <s v="-"/>
    <x v="7"/>
    <x v="2"/>
    <x v="13"/>
    <s v="Neelima"/>
    <s v="-"/>
    <s v="-"/>
    <s v="-"/>
    <s v="-"/>
    <s v="-"/>
    <n v="0"/>
    <x v="2"/>
    <s v="-"/>
    <n v="0"/>
    <s v="-"/>
    <x v="0"/>
    <x v="0"/>
  </r>
  <r>
    <n v="586"/>
    <x v="585"/>
    <s v="-"/>
    <x v="71"/>
    <s v="-"/>
    <x v="56"/>
    <n v="0"/>
    <x v="0"/>
    <x v="5"/>
    <x v="2"/>
    <x v="26"/>
    <s v="-"/>
    <x v="2"/>
    <x v="2"/>
    <x v="13"/>
    <s v="Sowjanya"/>
    <s v="-"/>
    <s v="-"/>
    <s v="-"/>
    <s v="-"/>
    <s v="-"/>
    <n v="0"/>
    <x v="2"/>
    <s v="-"/>
    <n v="0"/>
    <s v="-"/>
    <x v="0"/>
    <x v="0"/>
  </r>
  <r>
    <n v="587"/>
    <x v="586"/>
    <s v="-"/>
    <x v="71"/>
    <s v="-"/>
    <x v="541"/>
    <n v="4905000"/>
    <x v="0"/>
    <x v="5"/>
    <x v="2"/>
    <x v="168"/>
    <s v="-"/>
    <x v="0"/>
    <x v="2"/>
    <x v="15"/>
    <s v="Usha Latha"/>
    <s v="-"/>
    <s v="-"/>
    <s v="-"/>
    <s v="-"/>
    <s v="-"/>
    <n v="0"/>
    <x v="2"/>
    <s v="-"/>
    <n v="0"/>
    <s v="-"/>
    <x v="0"/>
    <x v="0"/>
  </r>
  <r>
    <n v="588"/>
    <x v="587"/>
    <s v="-"/>
    <x v="71"/>
    <s v="-"/>
    <x v="380"/>
    <n v="23642000"/>
    <x v="0"/>
    <x v="3"/>
    <x v="2"/>
    <x v="172"/>
    <s v="-"/>
    <x v="0"/>
    <x v="2"/>
    <x v="15"/>
    <s v="Rajeshwari"/>
    <s v="-"/>
    <s v="-"/>
    <d v="2017-06-05T00:00:00"/>
    <s v="Cash"/>
    <s v="-"/>
    <n v="10000"/>
    <x v="0"/>
    <s v="-"/>
    <n v="0"/>
    <s v="-"/>
    <x v="0"/>
    <x v="0"/>
  </r>
  <r>
    <n v="589"/>
    <x v="588"/>
    <s v="-"/>
    <x v="34"/>
    <s v="-"/>
    <x v="542"/>
    <n v="5205000"/>
    <x v="0"/>
    <x v="3"/>
    <x v="2"/>
    <x v="26"/>
    <s v="-"/>
    <x v="0"/>
    <x v="2"/>
    <x v="0"/>
    <s v="Yamini"/>
    <s v="-"/>
    <s v="-"/>
    <s v="-"/>
    <s v="-"/>
    <s v="-"/>
    <n v="0"/>
    <x v="2"/>
    <s v="-"/>
    <n v="0"/>
    <s v="-"/>
    <x v="0"/>
    <x v="0"/>
  </r>
  <r>
    <n v="590"/>
    <x v="589"/>
    <s v="-"/>
    <x v="115"/>
    <s v="-"/>
    <x v="543"/>
    <n v="2002000"/>
    <x v="0"/>
    <x v="14"/>
    <x v="2"/>
    <x v="180"/>
    <s v="-"/>
    <x v="0"/>
    <x v="2"/>
    <x v="13"/>
    <s v="B.Shailaja"/>
    <s v="-"/>
    <s v="-"/>
    <d v="2017-06-12T00:00:00"/>
    <s v="Bank"/>
    <s v="-"/>
    <n v="3000"/>
    <x v="0"/>
    <s v="-"/>
    <n v="0"/>
    <s v="-"/>
    <x v="0"/>
    <x v="0"/>
  </r>
  <r>
    <n v="591"/>
    <x v="590"/>
    <s v="-"/>
    <x v="115"/>
    <s v="-"/>
    <x v="267"/>
    <n v="3013000"/>
    <x v="0"/>
    <x v="18"/>
    <x v="2"/>
    <x v="45"/>
    <s v="-"/>
    <x v="0"/>
    <x v="2"/>
    <x v="15"/>
    <s v="N.Shailaja"/>
    <s v="-"/>
    <s v="Duplicate"/>
    <s v="-"/>
    <s v="-"/>
    <s v="-"/>
    <n v="0"/>
    <x v="8"/>
    <s v="-"/>
    <n v="0"/>
    <s v="Paid"/>
    <x v="2"/>
    <x v="0"/>
  </r>
  <r>
    <n v="592"/>
    <x v="591"/>
    <s v="-"/>
    <x v="67"/>
    <s v="-"/>
    <x v="56"/>
    <n v="0"/>
    <x v="0"/>
    <x v="5"/>
    <x v="2"/>
    <x v="26"/>
    <s v="-"/>
    <x v="3"/>
    <x v="2"/>
    <x v="13"/>
    <s v="Sai"/>
    <s v="-"/>
    <s v="-"/>
    <d v="2017-06-02T00:00:00"/>
    <s v="Bank"/>
    <s v="-"/>
    <n v="3000"/>
    <x v="0"/>
    <s v="-"/>
    <n v="0"/>
    <s v="-"/>
    <x v="0"/>
    <x v="0"/>
  </r>
  <r>
    <n v="593"/>
    <x v="592"/>
    <s v="-"/>
    <x v="36"/>
    <s v="-"/>
    <x v="544"/>
    <n v="4695000"/>
    <x v="0"/>
    <x v="5"/>
    <x v="2"/>
    <x v="174"/>
    <s v="-"/>
    <x v="2"/>
    <x v="2"/>
    <x v="15"/>
    <s v="Rajini"/>
    <s v="-"/>
    <s v="-"/>
    <s v="-"/>
    <s v="-"/>
    <s v="-"/>
    <n v="0"/>
    <x v="2"/>
    <s v="-"/>
    <n v="0"/>
    <s v="-"/>
    <x v="0"/>
    <x v="0"/>
  </r>
  <r>
    <n v="594"/>
    <x v="593"/>
    <s v="-"/>
    <x v="36"/>
    <s v="-"/>
    <x v="545"/>
    <n v="2843000"/>
    <x v="0"/>
    <x v="0"/>
    <x v="2"/>
    <x v="44"/>
    <s v="-"/>
    <x v="2"/>
    <x v="2"/>
    <x v="13"/>
    <s v="Leena"/>
    <s v="-"/>
    <s v="-"/>
    <s v="-"/>
    <s v="-"/>
    <s v="-"/>
    <n v="0"/>
    <x v="2"/>
    <s v="-"/>
    <n v="0"/>
    <s v="-"/>
    <x v="0"/>
    <x v="0"/>
  </r>
  <r>
    <n v="595"/>
    <x v="594"/>
    <s v="-"/>
    <x v="36"/>
    <s v="-"/>
    <x v="546"/>
    <n v="6133000"/>
    <x v="0"/>
    <x v="0"/>
    <x v="2"/>
    <x v="44"/>
    <s v="-"/>
    <x v="2"/>
    <x v="2"/>
    <x v="13"/>
    <s v="Priyanka"/>
    <s v="-"/>
    <s v="-"/>
    <s v="-"/>
    <s v="-"/>
    <s v="-"/>
    <n v="0"/>
    <x v="2"/>
    <s v="-"/>
    <n v="0"/>
    <s v="-"/>
    <x v="0"/>
    <x v="0"/>
  </r>
  <r>
    <n v="596"/>
    <x v="595"/>
    <s v="-"/>
    <x v="36"/>
    <s v="-"/>
    <x v="149"/>
    <n v="5340000"/>
    <x v="0"/>
    <x v="21"/>
    <x v="2"/>
    <x v="15"/>
    <s v="-"/>
    <x v="2"/>
    <x v="2"/>
    <x v="15"/>
    <s v="Madhu"/>
    <s v="-"/>
    <s v="-"/>
    <s v="-"/>
    <s v="-"/>
    <s v="-"/>
    <n v="0"/>
    <x v="2"/>
    <s v="-"/>
    <n v="0"/>
    <s v="-"/>
    <x v="0"/>
    <x v="0"/>
  </r>
  <r>
    <n v="597"/>
    <x v="596"/>
    <s v="-"/>
    <x v="37"/>
    <s v="-"/>
    <x v="547"/>
    <n v="0"/>
    <x v="0"/>
    <x v="7"/>
    <x v="2"/>
    <x v="181"/>
    <s v="-"/>
    <x v="0"/>
    <x v="2"/>
    <x v="13"/>
    <s v="Neelima"/>
    <s v="-"/>
    <s v="-"/>
    <s v="-"/>
    <s v="-"/>
    <s v="-"/>
    <n v="0"/>
    <x v="6"/>
    <s v="-"/>
    <n v="0"/>
    <s v="-"/>
    <x v="2"/>
    <x v="0"/>
  </r>
  <r>
    <n v="598"/>
    <x v="597"/>
    <s v="-"/>
    <x v="37"/>
    <s v="-"/>
    <x v="548"/>
    <n v="0"/>
    <x v="0"/>
    <x v="3"/>
    <x v="2"/>
    <x v="181"/>
    <s v="-"/>
    <x v="0"/>
    <x v="2"/>
    <x v="0"/>
    <s v="Sowjanya"/>
    <s v="-"/>
    <s v="-"/>
    <s v="-"/>
    <s v="-"/>
    <s v="-"/>
    <n v="0"/>
    <x v="6"/>
    <s v="-"/>
    <n v="0"/>
    <s v="-"/>
    <x v="2"/>
    <x v="0"/>
  </r>
  <r>
    <n v="599"/>
    <x v="598"/>
    <s v="-"/>
    <x v="38"/>
    <s v="-"/>
    <x v="89"/>
    <n v="6780000"/>
    <x v="0"/>
    <x v="0"/>
    <x v="2"/>
    <x v="132"/>
    <s v="-"/>
    <x v="0"/>
    <x v="2"/>
    <x v="13"/>
    <s v="Usha Latha"/>
    <s v="-"/>
    <s v="-"/>
    <d v="2017-06-01T00:00:00"/>
    <s v="Bank"/>
    <s v="-"/>
    <n v="5000"/>
    <x v="0"/>
    <s v="-"/>
    <n v="0"/>
    <s v="-"/>
    <x v="0"/>
    <x v="0"/>
  </r>
  <r>
    <n v="600"/>
    <x v="599"/>
    <s v="-"/>
    <x v="39"/>
    <s v="-"/>
    <x v="549"/>
    <n v="5064000"/>
    <x v="0"/>
    <x v="0"/>
    <x v="2"/>
    <x v="132"/>
    <s v="-"/>
    <x v="0"/>
    <x v="2"/>
    <x v="15"/>
    <s v="Rajeshwari"/>
    <s v="-"/>
    <s v="-"/>
    <d v="2017-06-02T00:00:00"/>
    <s v="Bank"/>
    <s v="-"/>
    <n v="5000"/>
    <x v="0"/>
    <s v="-"/>
    <n v="0"/>
    <s v="-"/>
    <x v="0"/>
    <x v="0"/>
  </r>
  <r>
    <n v="601"/>
    <x v="600"/>
    <s v="-"/>
    <x v="39"/>
    <s v="-"/>
    <x v="550"/>
    <n v="0"/>
    <x v="0"/>
    <x v="7"/>
    <x v="2"/>
    <x v="182"/>
    <s v="-"/>
    <x v="0"/>
    <x v="2"/>
    <x v="13"/>
    <s v="Yamini"/>
    <s v="-"/>
    <s v="Duplicate"/>
    <s v="-"/>
    <s v="-"/>
    <s v="-"/>
    <n v="0"/>
    <x v="8"/>
    <s v="-"/>
    <n v="0"/>
    <s v="Paid"/>
    <x v="2"/>
    <x v="0"/>
  </r>
  <r>
    <n v="602"/>
    <x v="601"/>
    <s v="-"/>
    <x v="40"/>
    <s v="-"/>
    <x v="551"/>
    <n v="0"/>
    <x v="0"/>
    <x v="5"/>
    <x v="2"/>
    <x v="15"/>
    <s v="-"/>
    <x v="2"/>
    <x v="2"/>
    <x v="13"/>
    <s v="B.Shailaja"/>
    <s v="-"/>
    <s v="-"/>
    <s v="-"/>
    <s v="-"/>
    <s v="-"/>
    <n v="0"/>
    <x v="2"/>
    <s v="-"/>
    <n v="0"/>
    <s v="-"/>
    <x v="0"/>
    <x v="0"/>
  </r>
  <r>
    <n v="603"/>
    <x v="602"/>
    <s v="-"/>
    <x v="40"/>
    <s v="-"/>
    <x v="552"/>
    <n v="0"/>
    <x v="0"/>
    <x v="5"/>
    <x v="2"/>
    <x v="78"/>
    <s v="-"/>
    <x v="2"/>
    <x v="2"/>
    <x v="13"/>
    <s v="N.Shailaja"/>
    <s v="-"/>
    <s v="-"/>
    <s v="-"/>
    <s v="-"/>
    <s v="-"/>
    <n v="0"/>
    <x v="2"/>
    <s v="-"/>
    <n v="0"/>
    <s v="-"/>
    <x v="0"/>
    <x v="0"/>
  </r>
  <r>
    <n v="604"/>
    <x v="603"/>
    <s v="-"/>
    <x v="40"/>
    <s v="-"/>
    <x v="553"/>
    <n v="4890000"/>
    <x v="0"/>
    <x v="0"/>
    <x v="2"/>
    <x v="132"/>
    <s v="-"/>
    <x v="0"/>
    <x v="2"/>
    <x v="15"/>
    <s v="Sai"/>
    <s v="-"/>
    <s v="-"/>
    <d v="2017-06-21T00:00:00"/>
    <s v="Bank"/>
    <s v="-"/>
    <n v="3000"/>
    <x v="0"/>
    <s v="-"/>
    <n v="0"/>
    <s v="-"/>
    <x v="0"/>
    <x v="0"/>
  </r>
  <r>
    <n v="605"/>
    <x v="604"/>
    <s v="-"/>
    <x v="41"/>
    <s v="-"/>
    <x v="554"/>
    <n v="0"/>
    <x v="0"/>
    <x v="0"/>
    <x v="2"/>
    <x v="23"/>
    <s v="-"/>
    <x v="2"/>
    <x v="2"/>
    <x v="15"/>
    <s v="Rajini"/>
    <s v="-"/>
    <s v="-"/>
    <s v="-"/>
    <s v="-"/>
    <s v="-"/>
    <n v="0"/>
    <x v="6"/>
    <s v="-"/>
    <n v="0"/>
    <s v="-"/>
    <x v="2"/>
    <x v="0"/>
  </r>
  <r>
    <n v="606"/>
    <x v="605"/>
    <s v="-"/>
    <x v="68"/>
    <s v="-"/>
    <x v="555"/>
    <n v="0"/>
    <x v="0"/>
    <x v="0"/>
    <x v="2"/>
    <x v="41"/>
    <s v="-"/>
    <x v="2"/>
    <x v="2"/>
    <x v="13"/>
    <s v="Leena"/>
    <s v="-"/>
    <s v="-"/>
    <s v="-"/>
    <s v="-"/>
    <s v="-"/>
    <n v="0"/>
    <x v="2"/>
    <s v="-"/>
    <n v="0"/>
    <s v="-"/>
    <x v="0"/>
    <x v="0"/>
  </r>
  <r>
    <n v="607"/>
    <x v="606"/>
    <s v="-"/>
    <x v="69"/>
    <s v="-"/>
    <x v="556"/>
    <n v="0"/>
    <x v="0"/>
    <x v="0"/>
    <x v="2"/>
    <x v="10"/>
    <s v="-"/>
    <x v="0"/>
    <x v="2"/>
    <x v="13"/>
    <s v="Priyanka"/>
    <s v="-"/>
    <s v="-"/>
    <d v="2017-06-03T00:00:00"/>
    <s v="Cash"/>
    <s v="-"/>
    <n v="4500"/>
    <x v="0"/>
    <s v="-"/>
    <n v="0"/>
    <s v="-"/>
    <x v="0"/>
    <x v="0"/>
  </r>
  <r>
    <n v="608"/>
    <x v="607"/>
    <s v="-"/>
    <x v="69"/>
    <s v="-"/>
    <x v="557"/>
    <n v="0"/>
    <x v="0"/>
    <x v="14"/>
    <x v="2"/>
    <x v="183"/>
    <s v="-"/>
    <x v="0"/>
    <x v="2"/>
    <x v="15"/>
    <s v="Madhu"/>
    <s v="-"/>
    <s v="-"/>
    <d v="2017-06-23T00:00:00"/>
    <s v="Bank"/>
    <s v="-"/>
    <n v="3000"/>
    <x v="0"/>
    <s v="-"/>
    <n v="0"/>
    <s v="-"/>
    <x v="0"/>
    <x v="0"/>
  </r>
  <r>
    <n v="609"/>
    <x v="608"/>
    <s v="-"/>
    <x v="69"/>
    <s v="-"/>
    <x v="558"/>
    <n v="0"/>
    <x v="0"/>
    <x v="5"/>
    <x v="2"/>
    <x v="23"/>
    <s v="-"/>
    <x v="2"/>
    <x v="2"/>
    <x v="13"/>
    <s v="Neelima"/>
    <s v="-"/>
    <s v="-"/>
    <s v="-"/>
    <s v="-"/>
    <s v="-"/>
    <n v="0"/>
    <x v="2"/>
    <s v="-"/>
    <n v="0"/>
    <s v="-"/>
    <x v="0"/>
    <x v="0"/>
  </r>
  <r>
    <n v="610"/>
    <x v="609"/>
    <s v="-"/>
    <x v="42"/>
    <s v="-"/>
    <x v="559"/>
    <n v="0"/>
    <x v="0"/>
    <x v="5"/>
    <x v="8"/>
    <x v="184"/>
    <s v="-"/>
    <x v="0"/>
    <x v="2"/>
    <x v="13"/>
    <s v="Neelima"/>
    <s v="-"/>
    <s v="-"/>
    <d v="2017-06-01T00:00:00"/>
    <s v="Cash"/>
    <s v="-"/>
    <n v="2500"/>
    <x v="0"/>
    <s v="-"/>
    <n v="0"/>
    <s v="-"/>
    <x v="0"/>
    <x v="0"/>
  </r>
  <r>
    <n v="611"/>
    <x v="610"/>
    <s v="-"/>
    <x v="43"/>
    <s v="-"/>
    <x v="560"/>
    <n v="0"/>
    <x v="0"/>
    <x v="5"/>
    <x v="8"/>
    <x v="126"/>
    <s v="-"/>
    <x v="0"/>
    <x v="2"/>
    <x v="13"/>
    <s v="Sowjanya"/>
    <s v="-"/>
    <s v="-"/>
    <s v="-"/>
    <s v="-"/>
    <s v="-"/>
    <n v="0"/>
    <x v="7"/>
    <s v="-"/>
    <n v="0"/>
    <s v="-"/>
    <x v="2"/>
    <x v="0"/>
  </r>
  <r>
    <n v="612"/>
    <x v="611"/>
    <s v="-"/>
    <x v="0"/>
    <s v="-"/>
    <x v="561"/>
    <n v="0"/>
    <x v="0"/>
    <x v="3"/>
    <x v="8"/>
    <x v="185"/>
    <s v="-"/>
    <x v="0"/>
    <x v="2"/>
    <x v="13"/>
    <s v="Usha Latha"/>
    <s v="-"/>
    <s v="-"/>
    <d v="2017-06-16T00:00:00"/>
    <s v="Cash"/>
    <s v="-"/>
    <n v="2500"/>
    <x v="0"/>
    <s v="-"/>
    <n v="0"/>
    <s v="-"/>
    <x v="0"/>
    <x v="0"/>
  </r>
  <r>
    <n v="613"/>
    <x v="612"/>
    <s v="-"/>
    <x v="0"/>
    <s v="-"/>
    <x v="562"/>
    <n v="0"/>
    <x v="0"/>
    <x v="2"/>
    <x v="8"/>
    <x v="32"/>
    <s v="-"/>
    <x v="0"/>
    <x v="2"/>
    <x v="15"/>
    <s v="Rajeshwari"/>
    <s v="-"/>
    <s v="-"/>
    <d v="2017-06-06T00:00:00"/>
    <s v="Cash"/>
    <s v="-"/>
    <n v="2000"/>
    <x v="0"/>
    <s v="-"/>
    <n v="0"/>
    <s v="-"/>
    <x v="0"/>
    <x v="0"/>
  </r>
  <r>
    <n v="614"/>
    <x v="613"/>
    <s v="-"/>
    <x v="45"/>
    <s v="-"/>
    <x v="563"/>
    <n v="0"/>
    <x v="0"/>
    <x v="1"/>
    <x v="8"/>
    <x v="186"/>
    <s v="-"/>
    <x v="0"/>
    <x v="2"/>
    <x v="13"/>
    <s v="Yamini"/>
    <s v="-"/>
    <s v="-"/>
    <d v="2017-06-15T00:00:00"/>
    <s v="Cash"/>
    <s v="-"/>
    <n v="8000"/>
    <x v="0"/>
    <s v="-"/>
    <n v="0"/>
    <s v="-"/>
    <x v="0"/>
    <x v="0"/>
  </r>
  <r>
    <n v="615"/>
    <x v="614"/>
    <s v="-"/>
    <x v="4"/>
    <s v="-"/>
    <x v="41"/>
    <n v="0"/>
    <x v="0"/>
    <x v="3"/>
    <x v="8"/>
    <x v="184"/>
    <s v="-"/>
    <x v="0"/>
    <x v="2"/>
    <x v="13"/>
    <s v="B.Shailaja"/>
    <s v="-"/>
    <s v="-"/>
    <d v="2017-06-22T00:00:00"/>
    <s v="Cash"/>
    <s v="-"/>
    <n v="1500"/>
    <x v="0"/>
    <s v="-"/>
    <n v="0"/>
    <s v="-"/>
    <x v="0"/>
    <x v="0"/>
  </r>
  <r>
    <n v="616"/>
    <x v="615"/>
    <s v="-"/>
    <x v="47"/>
    <s v="-"/>
    <x v="564"/>
    <n v="0"/>
    <x v="0"/>
    <x v="22"/>
    <x v="8"/>
    <x v="129"/>
    <s v="-"/>
    <x v="0"/>
    <x v="2"/>
    <x v="15"/>
    <s v="N.Shailaja"/>
    <s v="-"/>
    <s v="-"/>
    <d v="2017-06-17T00:00:00"/>
    <s v="Cash"/>
    <s v="-"/>
    <n v="25000"/>
    <x v="0"/>
    <s v="-"/>
    <n v="0"/>
    <s v="-"/>
    <x v="0"/>
    <x v="0"/>
  </r>
  <r>
    <n v="617"/>
    <x v="616"/>
    <s v="-"/>
    <x v="6"/>
    <s v="-"/>
    <x v="565"/>
    <n v="0"/>
    <x v="0"/>
    <x v="4"/>
    <x v="8"/>
    <x v="54"/>
    <s v="-"/>
    <x v="0"/>
    <x v="2"/>
    <x v="13"/>
    <s v="Sai"/>
    <s v="-"/>
    <s v="-"/>
    <s v="-"/>
    <s v="-"/>
    <s v="-"/>
    <n v="0"/>
    <x v="6"/>
    <s v="-"/>
    <n v="0"/>
    <s v="-"/>
    <x v="2"/>
    <x v="0"/>
  </r>
  <r>
    <n v="618"/>
    <x v="617"/>
    <s v="-"/>
    <x v="7"/>
    <s v="-"/>
    <x v="566"/>
    <n v="0"/>
    <x v="0"/>
    <x v="0"/>
    <x v="8"/>
    <x v="184"/>
    <s v="-"/>
    <x v="0"/>
    <x v="2"/>
    <x v="15"/>
    <s v="Rajini"/>
    <s v="-"/>
    <s v="-"/>
    <d v="2017-06-20T00:00:00"/>
    <s v="Cash"/>
    <s v="-"/>
    <n v="4000"/>
    <x v="0"/>
    <s v="-"/>
    <n v="0"/>
    <s v="-"/>
    <x v="0"/>
    <x v="0"/>
  </r>
  <r>
    <n v="619"/>
    <x v="618"/>
    <s v="-"/>
    <x v="48"/>
    <s v="-"/>
    <x v="567"/>
    <n v="0"/>
    <x v="0"/>
    <x v="4"/>
    <x v="8"/>
    <x v="184"/>
    <s v="-"/>
    <x v="0"/>
    <x v="2"/>
    <x v="13"/>
    <s v="Leena"/>
    <s v="-"/>
    <s v="-"/>
    <s v="-"/>
    <s v="-"/>
    <s v="-"/>
    <n v="0"/>
    <x v="6"/>
    <s v="-"/>
    <n v="0"/>
    <s v="-"/>
    <x v="2"/>
    <x v="0"/>
  </r>
  <r>
    <n v="620"/>
    <x v="619"/>
    <s v="-"/>
    <x v="7"/>
    <s v="-"/>
    <x v="568"/>
    <n v="0"/>
    <x v="0"/>
    <x v="0"/>
    <x v="8"/>
    <x v="18"/>
    <s v="-"/>
    <x v="0"/>
    <x v="2"/>
    <x v="13"/>
    <s v="Priyanka"/>
    <s v="-"/>
    <s v="-"/>
    <s v="-"/>
    <s v="-"/>
    <s v="-"/>
    <n v="0"/>
    <x v="6"/>
    <s v="-"/>
    <n v="0"/>
    <s v="-"/>
    <x v="2"/>
    <x v="0"/>
  </r>
  <r>
    <n v="621"/>
    <x v="620"/>
    <s v="-"/>
    <x v="49"/>
    <s v="-"/>
    <x v="569"/>
    <n v="0"/>
    <x v="0"/>
    <x v="2"/>
    <x v="8"/>
    <x v="187"/>
    <s v="-"/>
    <x v="0"/>
    <x v="2"/>
    <x v="13"/>
    <s v="Madhu"/>
    <s v="-"/>
    <s v="-"/>
    <s v="-"/>
    <s v="-"/>
    <s v="-"/>
    <n v="0"/>
    <x v="2"/>
    <s v="-"/>
    <n v="0"/>
    <s v="-"/>
    <x v="0"/>
    <x v="0"/>
  </r>
  <r>
    <n v="622"/>
    <x v="621"/>
    <s v="-"/>
    <x v="50"/>
    <s v="-"/>
    <x v="570"/>
    <n v="0"/>
    <x v="0"/>
    <x v="2"/>
    <x v="8"/>
    <x v="45"/>
    <s v="-"/>
    <x v="0"/>
    <x v="2"/>
    <x v="15"/>
    <s v="Neelima"/>
    <s v="-"/>
    <s v="-"/>
    <s v="-"/>
    <s v="-"/>
    <s v="-"/>
    <n v="0"/>
    <x v="2"/>
    <s v="-"/>
    <n v="0"/>
    <s v="-"/>
    <x v="0"/>
    <x v="0"/>
  </r>
  <r>
    <n v="623"/>
    <x v="622"/>
    <s v="-"/>
    <x v="10"/>
    <s v="-"/>
    <x v="571"/>
    <n v="0"/>
    <x v="0"/>
    <x v="3"/>
    <x v="8"/>
    <x v="184"/>
    <s v="-"/>
    <x v="0"/>
    <x v="2"/>
    <x v="0"/>
    <s v="Sowjanya"/>
    <s v="-"/>
    <s v="-"/>
    <s v="-"/>
    <s v="-"/>
    <s v="-"/>
    <n v="0"/>
    <x v="5"/>
    <s v="-"/>
    <n v="0"/>
    <s v="-"/>
    <x v="2"/>
    <x v="0"/>
  </r>
  <r>
    <n v="624"/>
    <x v="623"/>
    <s v="-"/>
    <x v="51"/>
    <s v="-"/>
    <x v="571"/>
    <n v="0"/>
    <x v="0"/>
    <x v="4"/>
    <x v="8"/>
    <x v="184"/>
    <s v="-"/>
    <x v="0"/>
    <x v="2"/>
    <x v="15"/>
    <s v="Usha Latha"/>
    <s v="-"/>
    <s v="-"/>
    <s v="-"/>
    <s v="-"/>
    <s v="-"/>
    <n v="0"/>
    <x v="2"/>
    <s v="-"/>
    <n v="0"/>
    <s v="-"/>
    <x v="0"/>
    <x v="0"/>
  </r>
  <r>
    <n v="625"/>
    <x v="624"/>
    <s v="-"/>
    <x v="116"/>
    <s v="-"/>
    <x v="572"/>
    <n v="0"/>
    <x v="0"/>
    <x v="1"/>
    <x v="8"/>
    <x v="18"/>
    <s v="-"/>
    <x v="0"/>
    <x v="2"/>
    <x v="15"/>
    <s v="Rajeshwari"/>
    <s v="-"/>
    <s v="-"/>
    <s v="-"/>
    <s v="-"/>
    <s v="-"/>
    <n v="0"/>
    <x v="2"/>
    <s v="-"/>
    <n v="0"/>
    <s v="-"/>
    <x v="0"/>
    <x v="0"/>
  </r>
  <r>
    <n v="626"/>
    <x v="625"/>
    <s v="-"/>
    <x v="117"/>
    <s v="-"/>
    <x v="573"/>
    <n v="0"/>
    <x v="0"/>
    <x v="3"/>
    <x v="8"/>
    <x v="188"/>
    <s v="-"/>
    <x v="0"/>
    <x v="2"/>
    <x v="0"/>
    <s v="Yamini"/>
    <s v="-"/>
    <s v="-"/>
    <s v="-"/>
    <s v="-"/>
    <s v="-"/>
    <n v="0"/>
    <x v="2"/>
    <s v="-"/>
    <n v="0"/>
    <s v="-"/>
    <x v="0"/>
    <x v="0"/>
  </r>
  <r>
    <n v="627"/>
    <x v="626"/>
    <s v="-"/>
    <x v="77"/>
    <s v="-"/>
    <x v="574"/>
    <n v="0"/>
    <x v="0"/>
    <x v="2"/>
    <x v="8"/>
    <x v="189"/>
    <s v="-"/>
    <x v="0"/>
    <x v="2"/>
    <x v="13"/>
    <s v="B.Shailaja"/>
    <s v="-"/>
    <s v="-"/>
    <d v="2017-06-23T00:00:00"/>
    <s v="Bank"/>
    <s v="-"/>
    <n v="6000"/>
    <x v="0"/>
    <s v="-"/>
    <n v="0"/>
    <s v="-"/>
    <x v="0"/>
    <x v="0"/>
  </r>
  <r>
    <n v="628"/>
    <x v="627"/>
    <s v="-"/>
    <x v="118"/>
    <s v="-"/>
    <x v="575"/>
    <n v="0"/>
    <x v="0"/>
    <x v="4"/>
    <x v="8"/>
    <x v="142"/>
    <s v="-"/>
    <x v="0"/>
    <x v="2"/>
    <x v="13"/>
    <s v="N.Shailaja"/>
    <s v="-"/>
    <s v="Duplicate"/>
    <s v="-"/>
    <s v="-"/>
    <s v="-"/>
    <n v="0"/>
    <x v="2"/>
    <s v="-"/>
    <n v="0"/>
    <s v="-"/>
    <x v="0"/>
    <x v="0"/>
  </r>
  <r>
    <n v="629"/>
    <x v="628"/>
    <s v="-"/>
    <x v="103"/>
    <s v="-"/>
    <x v="576"/>
    <n v="0"/>
    <x v="0"/>
    <x v="5"/>
    <x v="8"/>
    <x v="190"/>
    <s v="-"/>
    <x v="0"/>
    <x v="2"/>
    <x v="13"/>
    <s v="Sai"/>
    <s v="-"/>
    <s v="-"/>
    <d v="2017-06-02T00:00:00"/>
    <s v="Cash"/>
    <s v="-"/>
    <n v="1500"/>
    <x v="0"/>
    <s v="-"/>
    <n v="0"/>
    <s v="-"/>
    <x v="0"/>
    <x v="0"/>
  </r>
  <r>
    <n v="630"/>
    <x v="629"/>
    <s v="-"/>
    <x v="106"/>
    <s v="-"/>
    <x v="123"/>
    <n v="0"/>
    <x v="0"/>
    <x v="5"/>
    <x v="8"/>
    <x v="26"/>
    <s v="-"/>
    <x v="0"/>
    <x v="2"/>
    <x v="13"/>
    <s v="Rajini"/>
    <s v="-"/>
    <s v="-"/>
    <s v="-"/>
    <s v="-"/>
    <s v="-"/>
    <n v="0"/>
    <x v="2"/>
    <s v="-"/>
    <n v="0"/>
    <s v="-"/>
    <x v="0"/>
    <x v="0"/>
  </r>
  <r>
    <n v="631"/>
    <x v="630"/>
    <s v="-"/>
    <x v="111"/>
    <s v="-"/>
    <x v="577"/>
    <n v="0"/>
    <x v="0"/>
    <x v="1"/>
    <x v="8"/>
    <x v="187"/>
    <s v="-"/>
    <x v="0"/>
    <x v="2"/>
    <x v="0"/>
    <s v="Leena"/>
    <s v="-"/>
    <s v="-"/>
    <d v="2017-06-17T00:00:00"/>
    <s v="Bank"/>
    <s v="-"/>
    <n v="2000"/>
    <x v="0"/>
    <s v="-"/>
    <n v="0"/>
    <s v="-"/>
    <x v="0"/>
    <x v="0"/>
  </r>
  <r>
    <n v="632"/>
    <x v="631"/>
    <s v="-"/>
    <x v="14"/>
    <s v="-"/>
    <x v="578"/>
    <n v="0"/>
    <x v="0"/>
    <x v="2"/>
    <x v="8"/>
    <x v="18"/>
    <s v="-"/>
    <x v="0"/>
    <x v="2"/>
    <x v="14"/>
    <s v="Priyanka"/>
    <s v="-"/>
    <s v="-"/>
    <s v="-"/>
    <s v="-"/>
    <s v="-"/>
    <n v="0"/>
    <x v="2"/>
    <s v="-"/>
    <n v="0"/>
    <s v="-"/>
    <x v="0"/>
    <x v="0"/>
  </r>
  <r>
    <n v="633"/>
    <x v="632"/>
    <s v="-"/>
    <x v="14"/>
    <s v="-"/>
    <x v="579"/>
    <n v="0"/>
    <x v="0"/>
    <x v="4"/>
    <x v="8"/>
    <x v="187"/>
    <s v="-"/>
    <x v="0"/>
    <x v="2"/>
    <x v="13"/>
    <s v="Madhu"/>
    <s v="-"/>
    <s v="-"/>
    <s v="-"/>
    <s v="-"/>
    <s v="-"/>
    <n v="0"/>
    <x v="2"/>
    <s v="-"/>
    <n v="0"/>
    <s v="-"/>
    <x v="0"/>
    <x v="0"/>
  </r>
  <r>
    <n v="634"/>
    <x v="633"/>
    <s v="-"/>
    <x v="15"/>
    <s v="-"/>
    <x v="580"/>
    <n v="0"/>
    <x v="0"/>
    <x v="4"/>
    <x v="8"/>
    <x v="45"/>
    <s v="-"/>
    <x v="0"/>
    <x v="2"/>
    <x v="13"/>
    <s v="Neelima"/>
    <s v="-"/>
    <s v="-"/>
    <d v="2017-06-01T00:00:00"/>
    <s v="Bank"/>
    <s v="-"/>
    <n v="1500"/>
    <x v="0"/>
    <s v="-"/>
    <n v="0"/>
    <s v="-"/>
    <x v="0"/>
    <x v="0"/>
  </r>
  <r>
    <n v="635"/>
    <x v="634"/>
    <s v="-"/>
    <x v="15"/>
    <s v="-"/>
    <x v="581"/>
    <n v="0"/>
    <x v="0"/>
    <x v="2"/>
    <x v="8"/>
    <x v="45"/>
    <s v="-"/>
    <x v="0"/>
    <x v="2"/>
    <x v="13"/>
    <s v="Sowjanya"/>
    <s v="-"/>
    <s v="-"/>
    <s v="-"/>
    <s v="-"/>
    <s v="-"/>
    <n v="0"/>
    <x v="2"/>
    <s v="-"/>
    <n v="0"/>
    <s v="-"/>
    <x v="0"/>
    <x v="0"/>
  </r>
  <r>
    <n v="636"/>
    <x v="635"/>
    <s v="-"/>
    <x v="15"/>
    <s v="-"/>
    <x v="582"/>
    <n v="0"/>
    <x v="0"/>
    <x v="2"/>
    <x v="8"/>
    <x v="45"/>
    <s v="-"/>
    <x v="0"/>
    <x v="2"/>
    <x v="13"/>
    <s v="Usha Latha"/>
    <s v="-"/>
    <s v="-"/>
    <s v="-"/>
    <s v="-"/>
    <s v="-"/>
    <n v="0"/>
    <x v="2"/>
    <s v="-"/>
    <n v="0"/>
    <s v="-"/>
    <x v="0"/>
    <x v="0"/>
  </r>
  <r>
    <n v="637"/>
    <x v="636"/>
    <s v="-"/>
    <x v="15"/>
    <s v="-"/>
    <x v="583"/>
    <n v="0"/>
    <x v="0"/>
    <x v="2"/>
    <x v="8"/>
    <x v="45"/>
    <s v="-"/>
    <x v="0"/>
    <x v="2"/>
    <x v="13"/>
    <s v="Rajeshwari"/>
    <s v="-"/>
    <s v="-"/>
    <s v="-"/>
    <s v="-"/>
    <s v="-"/>
    <n v="0"/>
    <x v="2"/>
    <s v="-"/>
    <n v="0"/>
    <s v="-"/>
    <x v="0"/>
    <x v="0"/>
  </r>
  <r>
    <n v="638"/>
    <x v="637"/>
    <s v="-"/>
    <x v="18"/>
    <s v="-"/>
    <x v="584"/>
    <n v="0"/>
    <x v="0"/>
    <x v="2"/>
    <x v="8"/>
    <x v="26"/>
    <s v="-"/>
    <x v="0"/>
    <x v="2"/>
    <x v="15"/>
    <s v="Yamini"/>
    <s v="-"/>
    <s v="-"/>
    <d v="2017-06-07T00:00:00"/>
    <s v="Bank"/>
    <s v="-"/>
    <n v="5000"/>
    <x v="0"/>
    <s v="-"/>
    <n v="0"/>
    <s v="-"/>
    <x v="0"/>
    <x v="0"/>
  </r>
  <r>
    <n v="639"/>
    <x v="638"/>
    <s v="-"/>
    <x v="20"/>
    <s v="-"/>
    <x v="585"/>
    <n v="0"/>
    <x v="0"/>
    <x v="5"/>
    <x v="8"/>
    <x v="191"/>
    <s v="-"/>
    <x v="0"/>
    <x v="2"/>
    <x v="13"/>
    <s v="B.Shailaja"/>
    <s v="-"/>
    <s v="-"/>
    <s v="-"/>
    <s v="-"/>
    <s v="-"/>
    <n v="0"/>
    <x v="6"/>
    <s v="-"/>
    <n v="0"/>
    <s v="-"/>
    <x v="2"/>
    <x v="0"/>
  </r>
  <r>
    <n v="640"/>
    <x v="639"/>
    <s v="-"/>
    <x v="78"/>
    <s v="-"/>
    <x v="586"/>
    <n v="2429000"/>
    <x v="0"/>
    <x v="7"/>
    <x v="8"/>
    <x v="192"/>
    <s v="-"/>
    <x v="0"/>
    <x v="2"/>
    <x v="13"/>
    <s v="N.Shailaja"/>
    <s v="-"/>
    <s v="-"/>
    <s v="-"/>
    <s v="-"/>
    <s v="-"/>
    <n v="0"/>
    <x v="2"/>
    <s v="-"/>
    <n v="0"/>
    <s v="-"/>
    <x v="0"/>
    <x v="0"/>
  </r>
  <r>
    <n v="641"/>
    <x v="640"/>
    <s v="-"/>
    <x v="25"/>
    <s v="-"/>
    <x v="587"/>
    <n v="0"/>
    <x v="0"/>
    <x v="0"/>
    <x v="8"/>
    <x v="190"/>
    <s v="-"/>
    <x v="0"/>
    <x v="2"/>
    <x v="13"/>
    <s v="Sai"/>
    <s v="-"/>
    <s v="-"/>
    <s v="-"/>
    <s v="-"/>
    <s v="-"/>
    <n v="0"/>
    <x v="6"/>
    <s v="-"/>
    <n v="0"/>
    <s v="-"/>
    <x v="2"/>
    <x v="0"/>
  </r>
  <r>
    <n v="642"/>
    <x v="641"/>
    <s v="-"/>
    <x v="31"/>
    <s v="-"/>
    <x v="588"/>
    <n v="0"/>
    <x v="0"/>
    <x v="3"/>
    <x v="8"/>
    <x v="193"/>
    <s v="-"/>
    <x v="0"/>
    <x v="2"/>
    <x v="13"/>
    <s v="Rajini"/>
    <s v="-"/>
    <s v="-"/>
    <s v="-"/>
    <s v="-"/>
    <s v="-"/>
    <n v="0"/>
    <x v="6"/>
    <s v="-"/>
    <n v="0"/>
    <s v="-"/>
    <x v="2"/>
    <x v="0"/>
  </r>
  <r>
    <n v="643"/>
    <x v="642"/>
    <s v="-"/>
    <x v="31"/>
    <s v="-"/>
    <x v="589"/>
    <n v="4135000"/>
    <x v="0"/>
    <x v="5"/>
    <x v="8"/>
    <x v="194"/>
    <s v="-"/>
    <x v="0"/>
    <x v="2"/>
    <x v="13"/>
    <s v="Leena"/>
    <s v="-"/>
    <s v="-"/>
    <d v="2017-06-13T00:00:00"/>
    <s v="Bank"/>
    <s v="-"/>
    <n v="4000"/>
    <x v="0"/>
    <s v="-"/>
    <n v="0"/>
    <s v="-"/>
    <x v="0"/>
    <x v="0"/>
  </r>
  <r>
    <n v="644"/>
    <x v="643"/>
    <s v="-"/>
    <x v="71"/>
    <s v="-"/>
    <x v="590"/>
    <n v="3226000"/>
    <x v="0"/>
    <x v="5"/>
    <x v="8"/>
    <x v="45"/>
    <s v="-"/>
    <x v="0"/>
    <x v="2"/>
    <x v="15"/>
    <s v="Priyanka"/>
    <s v="-"/>
    <s v="-"/>
    <s v="-"/>
    <s v="-"/>
    <s v="-"/>
    <n v="0"/>
    <x v="2"/>
    <s v="-"/>
    <n v="0"/>
    <s v="-"/>
    <x v="0"/>
    <x v="0"/>
  </r>
  <r>
    <n v="645"/>
    <x v="644"/>
    <s v="-"/>
    <x v="35"/>
    <s v="-"/>
    <x v="591"/>
    <n v="4726000"/>
    <x v="0"/>
    <x v="2"/>
    <x v="8"/>
    <x v="195"/>
    <s v="-"/>
    <x v="0"/>
    <x v="2"/>
    <x v="13"/>
    <s v="Madhu"/>
    <s v="-"/>
    <s v="-"/>
    <s v="-"/>
    <s v="-"/>
    <s v="-"/>
    <n v="0"/>
    <x v="2"/>
    <s v="-"/>
    <n v="0"/>
    <s v="-"/>
    <x v="0"/>
    <x v="0"/>
  </r>
  <r>
    <n v="646"/>
    <x v="645"/>
    <s v="-"/>
    <x v="36"/>
    <s v="-"/>
    <x v="592"/>
    <n v="2335000"/>
    <x v="0"/>
    <x v="2"/>
    <x v="8"/>
    <x v="184"/>
    <s v="-"/>
    <x v="0"/>
    <x v="2"/>
    <x v="13"/>
    <s v="Neelima"/>
    <s v="-"/>
    <s v="-"/>
    <d v="2017-06-01T00:00:00"/>
    <s v="Cash"/>
    <s v="-"/>
    <n v="2300"/>
    <x v="0"/>
    <s v="-"/>
    <n v="0"/>
    <s v="-"/>
    <x v="0"/>
    <x v="0"/>
  </r>
  <r>
    <n v="647"/>
    <x v="646"/>
    <s v="-"/>
    <x v="38"/>
    <s v="-"/>
    <x v="593"/>
    <n v="8063000"/>
    <x v="0"/>
    <x v="4"/>
    <x v="8"/>
    <x v="196"/>
    <s v="-"/>
    <x v="0"/>
    <x v="2"/>
    <x v="15"/>
    <s v="Sowjanya"/>
    <s v="-"/>
    <s v="-"/>
    <s v="-"/>
    <s v="-"/>
    <s v="-"/>
    <n v="0"/>
    <x v="2"/>
    <s v="-"/>
    <n v="0"/>
    <s v="-"/>
    <x v="0"/>
    <x v="0"/>
  </r>
  <r>
    <n v="648"/>
    <x v="647"/>
    <s v="-"/>
    <x v="38"/>
    <s v="-"/>
    <x v="594"/>
    <n v="6390000"/>
    <x v="0"/>
    <x v="5"/>
    <x v="8"/>
    <x v="184"/>
    <s v="-"/>
    <x v="0"/>
    <x v="2"/>
    <x v="13"/>
    <s v="Usha Latha"/>
    <s v="-"/>
    <s v="-"/>
    <s v="-"/>
    <s v="-"/>
    <s v="-"/>
    <n v="0"/>
    <x v="2"/>
    <s v="-"/>
    <n v="0"/>
    <s v="-"/>
    <x v="0"/>
    <x v="0"/>
  </r>
  <r>
    <n v="649"/>
    <x v="648"/>
    <s v="-"/>
    <x v="40"/>
    <s v="-"/>
    <x v="595"/>
    <n v="1736000"/>
    <x v="0"/>
    <x v="5"/>
    <x v="8"/>
    <x v="184"/>
    <s v="-"/>
    <x v="0"/>
    <x v="2"/>
    <x v="15"/>
    <s v="Rajeshwari"/>
    <s v="-"/>
    <s v="-"/>
    <d v="2017-06-30T00:00:00"/>
    <s v="Cash"/>
    <s v="-"/>
    <n v="2500"/>
    <x v="0"/>
    <s v="-"/>
    <n v="0"/>
    <s v="-"/>
    <x v="0"/>
    <x v="0"/>
  </r>
  <r>
    <n v="650"/>
    <x v="649"/>
    <s v="-"/>
    <x v="41"/>
    <s v="-"/>
    <x v="596"/>
    <n v="0"/>
    <x v="0"/>
    <x v="3"/>
    <x v="8"/>
    <x v="26"/>
    <s v="-"/>
    <x v="0"/>
    <x v="2"/>
    <x v="13"/>
    <s v="Yamini"/>
    <s v="-"/>
    <s v="-"/>
    <d v="2017-06-05T00:00:00"/>
    <s v="Cash"/>
    <s v="-"/>
    <n v="6000"/>
    <x v="0"/>
    <s v="-"/>
    <n v="0"/>
    <s v="-"/>
    <x v="0"/>
    <x v="0"/>
  </r>
  <r>
    <n v="651"/>
    <x v="650"/>
    <s v="-"/>
    <x v="52"/>
    <s v="-"/>
    <x v="597"/>
    <n v="0"/>
    <x v="0"/>
    <x v="14"/>
    <x v="2"/>
    <x v="197"/>
    <s v="-"/>
    <x v="0"/>
    <x v="3"/>
    <x v="0"/>
    <s v="B.Shailaja"/>
    <s v="-"/>
    <s v="-"/>
    <s v="-"/>
    <s v="-"/>
    <s v="-"/>
    <n v="0"/>
    <x v="2"/>
    <s v="-"/>
    <n v="0"/>
    <s v="-"/>
    <x v="0"/>
    <x v="0"/>
  </r>
  <r>
    <n v="652"/>
    <x v="651"/>
    <s v="-"/>
    <x v="52"/>
    <s v="-"/>
    <x v="598"/>
    <n v="0"/>
    <x v="0"/>
    <x v="3"/>
    <x v="2"/>
    <x v="41"/>
    <s v="-"/>
    <x v="0"/>
    <x v="3"/>
    <x v="16"/>
    <s v="N.Shailaja"/>
    <s v="-"/>
    <s v="-"/>
    <s v="-"/>
    <s v="-"/>
    <s v="-"/>
    <n v="0"/>
    <x v="2"/>
    <s v="-"/>
    <n v="0"/>
    <s v="-"/>
    <x v="0"/>
    <x v="0"/>
  </r>
  <r>
    <n v="653"/>
    <x v="652"/>
    <s v="-"/>
    <x v="52"/>
    <s v="-"/>
    <x v="598"/>
    <n v="0"/>
    <x v="0"/>
    <x v="3"/>
    <x v="2"/>
    <x v="41"/>
    <s v="-"/>
    <x v="0"/>
    <x v="3"/>
    <x v="16"/>
    <s v="Sai"/>
    <s v="-"/>
    <s v="-"/>
    <s v="-"/>
    <s v="-"/>
    <s v="-"/>
    <n v="0"/>
    <x v="2"/>
    <s v="-"/>
    <n v="0"/>
    <s v="-"/>
    <x v="0"/>
    <x v="0"/>
  </r>
  <r>
    <n v="654"/>
    <x v="653"/>
    <s v="-"/>
    <x v="51"/>
    <s v="-"/>
    <x v="599"/>
    <n v="0"/>
    <x v="0"/>
    <x v="3"/>
    <x v="2"/>
    <x v="171"/>
    <s v="-"/>
    <x v="0"/>
    <x v="3"/>
    <x v="0"/>
    <s v="Rajini"/>
    <s v="-"/>
    <s v="-"/>
    <s v="-"/>
    <s v="-"/>
    <s v="-"/>
    <n v="0"/>
    <x v="2"/>
    <s v="-"/>
    <n v="0"/>
    <s v="-"/>
    <x v="0"/>
    <x v="0"/>
  </r>
  <r>
    <n v="655"/>
    <x v="654"/>
    <s v="-"/>
    <x v="11"/>
    <s v="-"/>
    <x v="600"/>
    <n v="0"/>
    <x v="0"/>
    <x v="5"/>
    <x v="2"/>
    <x v="140"/>
    <s v="-"/>
    <x v="0"/>
    <x v="3"/>
    <x v="16"/>
    <s v="Leena"/>
    <s v="-"/>
    <s v="-"/>
    <s v="-"/>
    <s v="-"/>
    <s v="-"/>
    <n v="0"/>
    <x v="2"/>
    <s v="-"/>
    <n v="0"/>
    <s v="-"/>
    <x v="0"/>
    <x v="0"/>
  </r>
  <r>
    <n v="656"/>
    <x v="655"/>
    <s v="-"/>
    <x v="54"/>
    <s v="-"/>
    <x v="601"/>
    <n v="0"/>
    <x v="0"/>
    <x v="17"/>
    <x v="2"/>
    <x v="171"/>
    <s v="-"/>
    <x v="9"/>
    <x v="3"/>
    <x v="0"/>
    <s v="Priyanka"/>
    <s v="-"/>
    <s v="-"/>
    <s v="-"/>
    <s v="-"/>
    <s v="-"/>
    <n v="0"/>
    <x v="2"/>
    <s v="-"/>
    <n v="0"/>
    <s v="-"/>
    <x v="0"/>
    <x v="0"/>
  </r>
  <r>
    <n v="657"/>
    <x v="656"/>
    <s v="-"/>
    <x v="54"/>
    <s v="-"/>
    <x v="602"/>
    <n v="0"/>
    <x v="0"/>
    <x v="17"/>
    <x v="2"/>
    <x v="171"/>
    <s v="-"/>
    <x v="9"/>
    <x v="3"/>
    <x v="0"/>
    <s v="Madhu"/>
    <s v="-"/>
    <s v="-"/>
    <s v="-"/>
    <s v="-"/>
    <s v="-"/>
    <n v="0"/>
    <x v="2"/>
    <s v="-"/>
    <n v="0"/>
    <s v="-"/>
    <x v="0"/>
    <x v="0"/>
  </r>
  <r>
    <n v="658"/>
    <x v="657"/>
    <s v="-"/>
    <x v="54"/>
    <s v="-"/>
    <x v="603"/>
    <n v="0"/>
    <x v="0"/>
    <x v="17"/>
    <x v="2"/>
    <x v="171"/>
    <s v="-"/>
    <x v="9"/>
    <x v="3"/>
    <x v="0"/>
    <s v="Neelima"/>
    <s v="-"/>
    <s v="-"/>
    <s v="-"/>
    <s v="-"/>
    <s v="-"/>
    <n v="0"/>
    <x v="2"/>
    <s v="-"/>
    <n v="0"/>
    <s v="-"/>
    <x v="0"/>
    <x v="0"/>
  </r>
  <r>
    <n v="659"/>
    <x v="658"/>
    <s v="-"/>
    <x v="54"/>
    <s v="-"/>
    <x v="604"/>
    <n v="0"/>
    <x v="0"/>
    <x v="14"/>
    <x v="2"/>
    <x v="197"/>
    <s v="-"/>
    <x v="10"/>
    <x v="3"/>
    <x v="0"/>
    <s v="Sowjanya"/>
    <s v="-"/>
    <s v="-"/>
    <s v="-"/>
    <s v="-"/>
    <s v="-"/>
    <n v="0"/>
    <x v="2"/>
    <s v="-"/>
    <n v="0"/>
    <s v="-"/>
    <x v="0"/>
    <x v="0"/>
  </r>
  <r>
    <n v="660"/>
    <x v="659"/>
    <s v="-"/>
    <x v="54"/>
    <s v="-"/>
    <x v="605"/>
    <n v="0"/>
    <x v="0"/>
    <x v="5"/>
    <x v="2"/>
    <x v="171"/>
    <s v="-"/>
    <x v="11"/>
    <x v="3"/>
    <x v="0"/>
    <s v="Usha Latha"/>
    <s v="-"/>
    <s v="-"/>
    <s v="-"/>
    <s v="-"/>
    <s v="-"/>
    <n v="0"/>
    <x v="2"/>
    <s v="-"/>
    <n v="0"/>
    <s v="-"/>
    <x v="0"/>
    <x v="0"/>
  </r>
  <r>
    <n v="661"/>
    <x v="660"/>
    <s v="-"/>
    <x v="9"/>
    <s v="-"/>
    <x v="606"/>
    <n v="0"/>
    <x v="0"/>
    <x v="5"/>
    <x v="2"/>
    <x v="26"/>
    <s v="-"/>
    <x v="10"/>
    <x v="3"/>
    <x v="0"/>
    <s v="Rajeshwari"/>
    <s v="-"/>
    <s v="-"/>
    <d v="2017-06-24T00:00:00"/>
    <s v="Cash"/>
    <s v="-"/>
    <n v="3000"/>
    <x v="0"/>
    <s v="-"/>
    <n v="0"/>
    <s v="-"/>
    <x v="0"/>
    <x v="0"/>
  </r>
  <r>
    <n v="662"/>
    <x v="661"/>
    <s v="-"/>
    <x v="9"/>
    <s v="-"/>
    <x v="607"/>
    <n v="0"/>
    <x v="0"/>
    <x v="5"/>
    <x v="2"/>
    <x v="26"/>
    <s v="-"/>
    <x v="12"/>
    <x v="3"/>
    <x v="0"/>
    <s v="Yamini"/>
    <s v="-"/>
    <s v="-"/>
    <s v="-"/>
    <s v="-"/>
    <s v="-"/>
    <n v="0"/>
    <x v="2"/>
    <s v="-"/>
    <n v="0"/>
    <s v="-"/>
    <x v="0"/>
    <x v="0"/>
  </r>
  <r>
    <n v="663"/>
    <x v="662"/>
    <s v="-"/>
    <x v="9"/>
    <s v="-"/>
    <x v="608"/>
    <n v="0"/>
    <x v="0"/>
    <x v="5"/>
    <x v="2"/>
    <x v="26"/>
    <s v="-"/>
    <x v="12"/>
    <x v="3"/>
    <x v="0"/>
    <s v="B.Shailaja"/>
    <s v="-"/>
    <s v="Duplicate"/>
    <s v="-"/>
    <s v="-"/>
    <s v="-"/>
    <n v="0"/>
    <x v="2"/>
    <s v="-"/>
    <n v="0"/>
    <s v="-"/>
    <x v="0"/>
    <x v="0"/>
  </r>
  <r>
    <n v="664"/>
    <x v="663"/>
    <s v="-"/>
    <x v="9"/>
    <s v="-"/>
    <x v="609"/>
    <n v="0"/>
    <x v="0"/>
    <x v="5"/>
    <x v="2"/>
    <x v="26"/>
    <s v="-"/>
    <x v="12"/>
    <x v="3"/>
    <x v="0"/>
    <s v="N.Shailaja"/>
    <s v="-"/>
    <s v="Duplicate"/>
    <s v="-"/>
    <s v="-"/>
    <s v="-"/>
    <n v="0"/>
    <x v="2"/>
    <s v="-"/>
    <n v="0"/>
    <s v="-"/>
    <x v="0"/>
    <x v="0"/>
  </r>
  <r>
    <n v="665"/>
    <x v="664"/>
    <s v="-"/>
    <x v="9"/>
    <s v="-"/>
    <x v="610"/>
    <n v="0"/>
    <x v="0"/>
    <x v="17"/>
    <x v="2"/>
    <x v="198"/>
    <s v="-"/>
    <x v="13"/>
    <x v="3"/>
    <x v="16"/>
    <s v="Sai"/>
    <s v="-"/>
    <s v="Duplicate"/>
    <s v="-"/>
    <s v="-"/>
    <s v="-"/>
    <n v="0"/>
    <x v="2"/>
    <s v="-"/>
    <n v="0"/>
    <s v="-"/>
    <x v="0"/>
    <x v="0"/>
  </r>
  <r>
    <n v="666"/>
    <x v="665"/>
    <s v="-"/>
    <x v="9"/>
    <s v="-"/>
    <x v="611"/>
    <n v="0"/>
    <x v="0"/>
    <x v="5"/>
    <x v="2"/>
    <x v="199"/>
    <s v="-"/>
    <x v="12"/>
    <x v="3"/>
    <x v="16"/>
    <s v="Rajini"/>
    <s v="-"/>
    <s v="Duplicate"/>
    <s v="-"/>
    <s v="-"/>
    <s v="-"/>
    <n v="0"/>
    <x v="2"/>
    <s v="-"/>
    <n v="0"/>
    <s v="-"/>
    <x v="0"/>
    <x v="0"/>
  </r>
  <r>
    <n v="667"/>
    <x v="666"/>
    <s v="-"/>
    <x v="9"/>
    <s v="-"/>
    <x v="612"/>
    <n v="0"/>
    <x v="0"/>
    <x v="5"/>
    <x v="2"/>
    <x v="41"/>
    <s v="-"/>
    <x v="12"/>
    <x v="3"/>
    <x v="0"/>
    <s v="Leena"/>
    <s v="-"/>
    <s v="-"/>
    <s v="-"/>
    <s v="-"/>
    <s v="-"/>
    <n v="0"/>
    <x v="2"/>
    <s v="-"/>
    <n v="0"/>
    <s v="-"/>
    <x v="0"/>
    <x v="0"/>
  </r>
  <r>
    <n v="668"/>
    <x v="667"/>
    <s v="-"/>
    <x v="9"/>
    <s v="-"/>
    <x v="613"/>
    <n v="0"/>
    <x v="0"/>
    <x v="5"/>
    <x v="2"/>
    <x v="171"/>
    <s v="-"/>
    <x v="14"/>
    <x v="3"/>
    <x v="0"/>
    <s v="Priyanka"/>
    <s v="-"/>
    <s v="-"/>
    <d v="2017-06-28T00:00:00"/>
    <s v="Bank"/>
    <s v="-"/>
    <n v="10000"/>
    <x v="0"/>
    <s v="-"/>
    <n v="0"/>
    <s v="-"/>
    <x v="0"/>
    <x v="0"/>
  </r>
  <r>
    <n v="669"/>
    <x v="668"/>
    <s v="-"/>
    <x v="8"/>
    <s v="-"/>
    <x v="614"/>
    <n v="0"/>
    <x v="0"/>
    <x v="16"/>
    <x v="2"/>
    <x v="171"/>
    <s v="-"/>
    <x v="0"/>
    <x v="3"/>
    <x v="16"/>
    <s v="Madhu"/>
    <s v="-"/>
    <s v="-"/>
    <s v="-"/>
    <s v="-"/>
    <s v="-"/>
    <n v="0"/>
    <x v="2"/>
    <s v="-"/>
    <n v="0"/>
    <s v="-"/>
    <x v="0"/>
    <x v="0"/>
  </r>
  <r>
    <n v="670"/>
    <x v="669"/>
    <s v="-"/>
    <x v="7"/>
    <s v="-"/>
    <x v="615"/>
    <n v="0"/>
    <x v="0"/>
    <x v="23"/>
    <x v="2"/>
    <x v="159"/>
    <s v="-"/>
    <x v="0"/>
    <x v="3"/>
    <x v="16"/>
    <s v="Neelima"/>
    <s v="-"/>
    <s v="-"/>
    <s v="-"/>
    <s v="-"/>
    <s v="-"/>
    <n v="0"/>
    <x v="2"/>
    <s v="-"/>
    <n v="0"/>
    <s v="-"/>
    <x v="0"/>
    <x v="0"/>
  </r>
  <r>
    <n v="671"/>
    <x v="670"/>
    <s v="-"/>
    <x v="7"/>
    <s v="-"/>
    <x v="616"/>
    <n v="0"/>
    <x v="0"/>
    <x v="5"/>
    <x v="2"/>
    <x v="171"/>
    <s v="-"/>
    <x v="0"/>
    <x v="3"/>
    <x v="16"/>
    <s v="Neelima"/>
    <s v="-"/>
    <s v="-"/>
    <s v="-"/>
    <s v="-"/>
    <s v="-"/>
    <n v="0"/>
    <x v="2"/>
    <s v="-"/>
    <n v="0"/>
    <s v="-"/>
    <x v="0"/>
    <x v="0"/>
  </r>
  <r>
    <n v="672"/>
    <x v="671"/>
    <s v="-"/>
    <x v="48"/>
    <s v="-"/>
    <x v="617"/>
    <n v="0"/>
    <x v="0"/>
    <x v="7"/>
    <x v="2"/>
    <x v="198"/>
    <s v="-"/>
    <x v="13"/>
    <x v="3"/>
    <x v="0"/>
    <s v="Sowjanya"/>
    <s v="-"/>
    <s v="-"/>
    <s v="-"/>
    <s v="-"/>
    <s v="-"/>
    <n v="0"/>
    <x v="2"/>
    <s v="-"/>
    <n v="0"/>
    <s v="-"/>
    <x v="0"/>
    <x v="0"/>
  </r>
  <r>
    <n v="673"/>
    <x v="672"/>
    <s v="-"/>
    <x v="48"/>
    <s v="-"/>
    <x v="618"/>
    <n v="0"/>
    <x v="0"/>
    <x v="17"/>
    <x v="2"/>
    <x v="26"/>
    <s v="-"/>
    <x v="15"/>
    <x v="3"/>
    <x v="0"/>
    <s v="Usha Latha"/>
    <s v="-"/>
    <s v="-"/>
    <s v="-"/>
    <s v="-"/>
    <s v="-"/>
    <n v="0"/>
    <x v="2"/>
    <s v="-"/>
    <n v="0"/>
    <s v="-"/>
    <x v="0"/>
    <x v="0"/>
  </r>
  <r>
    <n v="674"/>
    <x v="673"/>
    <s v="-"/>
    <x v="48"/>
    <s v="-"/>
    <x v="619"/>
    <n v="0"/>
    <x v="0"/>
    <x v="17"/>
    <x v="2"/>
    <x v="159"/>
    <s v="-"/>
    <x v="16"/>
    <x v="3"/>
    <x v="0"/>
    <s v="Rajeshwari"/>
    <s v="-"/>
    <s v="-"/>
    <d v="2017-06-24T00:00:00"/>
    <s v="Bank"/>
    <s v="-"/>
    <n v="3000"/>
    <x v="0"/>
    <s v="-"/>
    <n v="0"/>
    <s v="-"/>
    <x v="0"/>
    <x v="0"/>
  </r>
  <r>
    <n v="675"/>
    <x v="674"/>
    <s v="-"/>
    <x v="6"/>
    <s v="-"/>
    <x v="620"/>
    <n v="0"/>
    <x v="0"/>
    <x v="3"/>
    <x v="2"/>
    <x v="159"/>
    <s v="-"/>
    <x v="15"/>
    <x v="3"/>
    <x v="0"/>
    <s v="Yamini"/>
    <s v="-"/>
    <s v="-"/>
    <s v="-"/>
    <s v="-"/>
    <s v="-"/>
    <n v="0"/>
    <x v="2"/>
    <s v="-"/>
    <n v="0"/>
    <s v="-"/>
    <x v="0"/>
    <x v="0"/>
  </r>
  <r>
    <n v="676"/>
    <x v="675"/>
    <s v="-"/>
    <x v="47"/>
    <s v="-"/>
    <x v="621"/>
    <n v="0"/>
    <x v="0"/>
    <x v="16"/>
    <x v="2"/>
    <x v="159"/>
    <s v="-"/>
    <x v="17"/>
    <x v="3"/>
    <x v="16"/>
    <s v="B.Shailaja"/>
    <s v="-"/>
    <s v="-"/>
    <s v="-"/>
    <s v="-"/>
    <s v="-"/>
    <n v="0"/>
    <x v="2"/>
    <s v="-"/>
    <n v="0"/>
    <s v="-"/>
    <x v="0"/>
    <x v="0"/>
  </r>
  <r>
    <n v="677"/>
    <x v="676"/>
    <s v="-"/>
    <x v="47"/>
    <s v="-"/>
    <x v="622"/>
    <n v="0"/>
    <x v="0"/>
    <x v="7"/>
    <x v="2"/>
    <x v="41"/>
    <s v="-"/>
    <x v="18"/>
    <x v="3"/>
    <x v="0"/>
    <s v="N.Shailaja"/>
    <s v="-"/>
    <s v="-"/>
    <s v="-"/>
    <s v="-"/>
    <s v="-"/>
    <n v="0"/>
    <x v="2"/>
    <s v="-"/>
    <n v="0"/>
    <s v="-"/>
    <x v="0"/>
    <x v="0"/>
  </r>
  <r>
    <n v="678"/>
    <x v="677"/>
    <s v="-"/>
    <x v="46"/>
    <s v="-"/>
    <x v="623"/>
    <n v="0"/>
    <x v="0"/>
    <x v="5"/>
    <x v="2"/>
    <x v="199"/>
    <s v="-"/>
    <x v="19"/>
    <x v="3"/>
    <x v="16"/>
    <s v="Sai"/>
    <s v="-"/>
    <s v="-"/>
    <d v="2017-06-12T00:00:00"/>
    <s v="Cash"/>
    <s v="-"/>
    <n v="3000"/>
    <x v="0"/>
    <s v="-"/>
    <n v="0"/>
    <s v="-"/>
    <x v="0"/>
    <x v="0"/>
  </r>
  <r>
    <n v="679"/>
    <x v="678"/>
    <s v="-"/>
    <x v="46"/>
    <s v="-"/>
    <x v="624"/>
    <n v="0"/>
    <x v="0"/>
    <x v="5"/>
    <x v="2"/>
    <x v="199"/>
    <s v="-"/>
    <x v="19"/>
    <x v="3"/>
    <x v="17"/>
    <s v="Rajini"/>
    <s v="-"/>
    <s v="-"/>
    <d v="2017-06-17T00:00:00"/>
    <s v="Bank"/>
    <s v="-"/>
    <n v="3000"/>
    <x v="0"/>
    <s v="-"/>
    <n v="0"/>
    <s v="-"/>
    <x v="0"/>
    <x v="0"/>
  </r>
  <r>
    <n v="680"/>
    <x v="679"/>
    <s v="-"/>
    <x v="46"/>
    <s v="-"/>
    <x v="625"/>
    <n v="0"/>
    <x v="0"/>
    <x v="16"/>
    <x v="2"/>
    <x v="200"/>
    <s v="-"/>
    <x v="20"/>
    <x v="3"/>
    <x v="0"/>
    <s v="Leena"/>
    <s v="-"/>
    <s v="-"/>
    <s v="-"/>
    <s v="-"/>
    <s v="-"/>
    <n v="0"/>
    <x v="2"/>
    <s v="-"/>
    <n v="0"/>
    <s v="-"/>
    <x v="0"/>
    <x v="0"/>
  </r>
  <r>
    <n v="681"/>
    <x v="680"/>
    <s v="-"/>
    <x v="46"/>
    <s v="-"/>
    <x v="626"/>
    <n v="0"/>
    <x v="0"/>
    <x v="14"/>
    <x v="2"/>
    <x v="159"/>
    <s v="-"/>
    <x v="21"/>
    <x v="3"/>
    <x v="1"/>
    <s v="Priyanka"/>
    <s v="-"/>
    <s v="-"/>
    <d v="2017-06-16T00:00:00"/>
    <s v="Bank"/>
    <s v="-"/>
    <n v="3000"/>
    <x v="0"/>
    <s v="-"/>
    <n v="0"/>
    <s v="-"/>
    <x v="0"/>
    <x v="0"/>
  </r>
  <r>
    <n v="682"/>
    <x v="681"/>
    <s v="-"/>
    <x v="53"/>
    <s v="-"/>
    <x v="627"/>
    <n v="0"/>
    <x v="0"/>
    <x v="5"/>
    <x v="2"/>
    <x v="171"/>
    <s v="-"/>
    <x v="0"/>
    <x v="3"/>
    <x v="0"/>
    <s v="Madhu"/>
    <s v="-"/>
    <s v="-"/>
    <d v="2017-06-10T00:00:00"/>
    <s v="Cash"/>
    <s v="-"/>
    <n v="6000"/>
    <x v="0"/>
    <s v="-"/>
    <n v="0"/>
    <s v="-"/>
    <x v="0"/>
    <x v="0"/>
  </r>
  <r>
    <n v="683"/>
    <x v="682"/>
    <s v="-"/>
    <x v="53"/>
    <s v="-"/>
    <x v="628"/>
    <n v="0"/>
    <x v="0"/>
    <x v="7"/>
    <x v="2"/>
    <x v="41"/>
    <s v="-"/>
    <x v="18"/>
    <x v="3"/>
    <x v="0"/>
    <s v="Neelima"/>
    <s v="-"/>
    <s v="-"/>
    <s v="-"/>
    <s v="-"/>
    <s v="-"/>
    <n v="0"/>
    <x v="2"/>
    <s v="-"/>
    <n v="0"/>
    <s v="-"/>
    <x v="0"/>
    <x v="0"/>
  </r>
  <r>
    <n v="684"/>
    <x v="683"/>
    <s v="-"/>
    <x v="53"/>
    <s v="-"/>
    <x v="629"/>
    <n v="0"/>
    <x v="0"/>
    <x v="5"/>
    <x v="2"/>
    <x v="199"/>
    <s v="-"/>
    <x v="18"/>
    <x v="3"/>
    <x v="0"/>
    <s v="Sowjanya"/>
    <s v="-"/>
    <s v="-"/>
    <s v="-"/>
    <s v="-"/>
    <s v="-"/>
    <n v="0"/>
    <x v="2"/>
    <s v="-"/>
    <n v="0"/>
    <s v="-"/>
    <x v="0"/>
    <x v="0"/>
  </r>
  <r>
    <n v="685"/>
    <x v="684"/>
    <s v="-"/>
    <x v="79"/>
    <s v="-"/>
    <x v="630"/>
    <n v="0"/>
    <x v="0"/>
    <x v="7"/>
    <x v="2"/>
    <x v="201"/>
    <s v="-"/>
    <x v="8"/>
    <x v="3"/>
    <x v="0"/>
    <s v="Usha Latha"/>
    <s v="-"/>
    <s v="-"/>
    <d v="2017-06-22T00:00:00"/>
    <s v="Bank"/>
    <s v="-"/>
    <n v="3000"/>
    <x v="0"/>
    <s v="-"/>
    <n v="0"/>
    <s v="-"/>
    <x v="0"/>
    <x v="0"/>
  </r>
  <r>
    <n v="686"/>
    <x v="685"/>
    <s v="-"/>
    <x v="79"/>
    <s v="-"/>
    <x v="631"/>
    <n v="0"/>
    <x v="0"/>
    <x v="17"/>
    <x v="2"/>
    <x v="197"/>
    <s v="-"/>
    <x v="10"/>
    <x v="3"/>
    <x v="0"/>
    <s v="Rajeshwari"/>
    <s v="-"/>
    <s v="-"/>
    <s v="-"/>
    <s v="-"/>
    <s v="-"/>
    <n v="0"/>
    <x v="2"/>
    <s v="-"/>
    <n v="0"/>
    <s v="-"/>
    <x v="0"/>
    <x v="0"/>
  </r>
  <r>
    <n v="687"/>
    <x v="686"/>
    <s v="-"/>
    <x v="2"/>
    <s v="-"/>
    <x v="632"/>
    <n v="4647000"/>
    <x v="0"/>
    <x v="5"/>
    <x v="2"/>
    <x v="171"/>
    <s v="-"/>
    <x v="22"/>
    <x v="3"/>
    <x v="16"/>
    <s v="Yamini"/>
    <s v="-"/>
    <s v="-"/>
    <s v="-"/>
    <s v="-"/>
    <s v="-"/>
    <n v="0"/>
    <x v="2"/>
    <s v="-"/>
    <n v="0"/>
    <s v="-"/>
    <x v="0"/>
    <x v="0"/>
  </r>
  <r>
    <n v="688"/>
    <x v="687"/>
    <s v="-"/>
    <x v="2"/>
    <s v="-"/>
    <x v="633"/>
    <n v="0"/>
    <x v="0"/>
    <x v="5"/>
    <x v="2"/>
    <x v="26"/>
    <s v="-"/>
    <x v="0"/>
    <x v="3"/>
    <x v="0"/>
    <s v="B.Shailaja"/>
    <s v="-"/>
    <s v="-"/>
    <s v="-"/>
    <s v="-"/>
    <s v="-"/>
    <n v="0"/>
    <x v="5"/>
    <s v="-"/>
    <n v="0"/>
    <s v="-"/>
    <x v="2"/>
    <x v="0"/>
  </r>
  <r>
    <n v="689"/>
    <x v="688"/>
    <s v="-"/>
    <x v="2"/>
    <s v="-"/>
    <x v="634"/>
    <n v="0"/>
    <x v="0"/>
    <x v="5"/>
    <x v="2"/>
    <x v="26"/>
    <s v="-"/>
    <x v="0"/>
    <x v="3"/>
    <x v="0"/>
    <s v="N.Shailaja"/>
    <s v="-"/>
    <s v="-"/>
    <s v="-"/>
    <s v="-"/>
    <s v="-"/>
    <n v="0"/>
    <x v="2"/>
    <s v="-"/>
    <n v="0"/>
    <s v="Staff"/>
    <x v="0"/>
    <x v="0"/>
  </r>
  <r>
    <n v="690"/>
    <x v="689"/>
    <s v="-"/>
    <x v="2"/>
    <s v="-"/>
    <x v="635"/>
    <n v="0"/>
    <x v="0"/>
    <x v="5"/>
    <x v="2"/>
    <x v="171"/>
    <s v="-"/>
    <x v="22"/>
    <x v="3"/>
    <x v="0"/>
    <s v="Sai"/>
    <s v="-"/>
    <s v="-"/>
    <s v="-"/>
    <s v="-"/>
    <s v="-"/>
    <n v="0"/>
    <x v="2"/>
    <s v="-"/>
    <n v="0"/>
    <s v="-"/>
    <x v="0"/>
    <x v="0"/>
  </r>
  <r>
    <n v="691"/>
    <x v="690"/>
    <s v="-"/>
    <x v="2"/>
    <s v="-"/>
    <x v="636"/>
    <n v="0"/>
    <x v="0"/>
    <x v="5"/>
    <x v="2"/>
    <x v="171"/>
    <s v="-"/>
    <x v="22"/>
    <x v="3"/>
    <x v="0"/>
    <s v="Rajini"/>
    <s v="-"/>
    <s v="-"/>
    <s v="-"/>
    <s v="-"/>
    <s v="-"/>
    <n v="0"/>
    <x v="2"/>
    <s v="-"/>
    <n v="0"/>
    <s v="-"/>
    <x v="0"/>
    <x v="0"/>
  </r>
  <r>
    <n v="692"/>
    <x v="691"/>
    <s v="-"/>
    <x v="45"/>
    <s v="-"/>
    <x v="637"/>
    <n v="4955000"/>
    <x v="0"/>
    <x v="5"/>
    <x v="2"/>
    <x v="199"/>
    <s v="-"/>
    <x v="0"/>
    <x v="3"/>
    <x v="16"/>
    <s v="Leena"/>
    <s v="-"/>
    <s v="-"/>
    <d v="2017-06-12T00:00:00"/>
    <s v="Bank"/>
    <s v="-"/>
    <n v="4000"/>
    <x v="0"/>
    <s v="-"/>
    <n v="0"/>
    <s v="-"/>
    <x v="0"/>
    <x v="0"/>
  </r>
  <r>
    <n v="693"/>
    <x v="692"/>
    <s v="-"/>
    <x v="45"/>
    <s v="-"/>
    <x v="638"/>
    <n v="2950000"/>
    <x v="0"/>
    <x v="5"/>
    <x v="2"/>
    <x v="199"/>
    <s v="-"/>
    <x v="0"/>
    <x v="3"/>
    <x v="16"/>
    <s v="Priyanka"/>
    <s v="-"/>
    <s v="-"/>
    <d v="2017-06-09T00:00:00"/>
    <s v="Bank"/>
    <s v="-"/>
    <n v="3000"/>
    <x v="0"/>
    <s v="-"/>
    <n v="0"/>
    <s v="-"/>
    <x v="0"/>
    <x v="0"/>
  </r>
  <r>
    <n v="694"/>
    <x v="693"/>
    <s v="-"/>
    <x v="45"/>
    <s v="-"/>
    <x v="639"/>
    <n v="0"/>
    <x v="0"/>
    <x v="17"/>
    <x v="2"/>
    <x v="202"/>
    <s v="-"/>
    <x v="0"/>
    <x v="3"/>
    <x v="0"/>
    <s v="Madhu"/>
    <s v="-"/>
    <s v="-"/>
    <s v="-"/>
    <s v="-"/>
    <s v="-"/>
    <n v="0"/>
    <x v="7"/>
    <s v="-"/>
    <n v="0"/>
    <s v="-"/>
    <x v="2"/>
    <x v="0"/>
  </r>
  <r>
    <n v="695"/>
    <x v="694"/>
    <s v="-"/>
    <x v="0"/>
    <s v="-"/>
    <x v="633"/>
    <n v="0"/>
    <x v="0"/>
    <x v="5"/>
    <x v="2"/>
    <x v="26"/>
    <s v="-"/>
    <x v="0"/>
    <x v="3"/>
    <x v="0"/>
    <s v="Neelima"/>
    <s v="-"/>
    <s v="-"/>
    <d v="2017-06-12T00:00:00"/>
    <s v="Bank"/>
    <s v="-"/>
    <n v="3000"/>
    <x v="0"/>
    <s v="-"/>
    <n v="0"/>
    <s v="-"/>
    <x v="0"/>
    <x v="0"/>
  </r>
  <r>
    <n v="696"/>
    <x v="695"/>
    <s v="-"/>
    <x v="44"/>
    <s v="-"/>
    <x v="640"/>
    <n v="0"/>
    <x v="0"/>
    <x v="5"/>
    <x v="2"/>
    <x v="203"/>
    <s v="-"/>
    <x v="23"/>
    <x v="3"/>
    <x v="0"/>
    <s v="Sowjanya"/>
    <s v="-"/>
    <s v="-"/>
    <d v="2017-06-06T00:00:00"/>
    <s v="Cash"/>
    <s v="-"/>
    <n v="3000"/>
    <x v="0"/>
    <s v="-"/>
    <n v="0"/>
    <s v="-"/>
    <x v="0"/>
    <x v="0"/>
  </r>
  <r>
    <n v="697"/>
    <x v="696"/>
    <s v="-"/>
    <x v="43"/>
    <s v="-"/>
    <x v="641"/>
    <n v="0"/>
    <x v="0"/>
    <x v="7"/>
    <x v="2"/>
    <x v="199"/>
    <s v="-"/>
    <x v="19"/>
    <x v="3"/>
    <x v="0"/>
    <s v="Usha Latha"/>
    <s v="-"/>
    <s v="-"/>
    <s v="-"/>
    <s v="-"/>
    <s v="-"/>
    <n v="0"/>
    <x v="2"/>
    <s v="-"/>
    <n v="0"/>
    <s v="-"/>
    <x v="0"/>
    <x v="0"/>
  </r>
  <r>
    <n v="698"/>
    <x v="697"/>
    <s v="-"/>
    <x v="43"/>
    <s v="-"/>
    <x v="642"/>
    <n v="0"/>
    <x v="0"/>
    <x v="5"/>
    <x v="2"/>
    <x v="41"/>
    <s v="-"/>
    <x v="22"/>
    <x v="3"/>
    <x v="0"/>
    <s v="Rajeshwari"/>
    <s v="-"/>
    <s v="-"/>
    <s v="-"/>
    <s v="-"/>
    <s v="-"/>
    <n v="0"/>
    <x v="2"/>
    <s v="-"/>
    <n v="0"/>
    <s v="-"/>
    <x v="0"/>
    <x v="0"/>
  </r>
  <r>
    <n v="699"/>
    <x v="698"/>
    <s v="-"/>
    <x v="43"/>
    <s v="-"/>
    <x v="643"/>
    <n v="0"/>
    <x v="0"/>
    <x v="4"/>
    <x v="2"/>
    <x v="41"/>
    <s v="-"/>
    <x v="18"/>
    <x v="3"/>
    <x v="0"/>
    <s v="Yamini"/>
    <s v="-"/>
    <s v="-"/>
    <s v="-"/>
    <s v="-"/>
    <s v="-"/>
    <n v="0"/>
    <x v="2"/>
    <s v="-"/>
    <n v="0"/>
    <s v="-"/>
    <x v="0"/>
    <x v="0"/>
  </r>
  <r>
    <n v="700"/>
    <x v="699"/>
    <s v="-"/>
    <x v="43"/>
    <s v="-"/>
    <x v="644"/>
    <n v="0"/>
    <x v="0"/>
    <x v="16"/>
    <x v="2"/>
    <x v="171"/>
    <s v="-"/>
    <x v="20"/>
    <x v="3"/>
    <x v="0"/>
    <s v="B.Shailaja"/>
    <s v="-"/>
    <s v="-"/>
    <s v="-"/>
    <s v="-"/>
    <s v="-"/>
    <n v="0"/>
    <x v="2"/>
    <s v="-"/>
    <n v="0"/>
    <s v="-"/>
    <x v="0"/>
    <x v="0"/>
  </r>
  <r>
    <n v="701"/>
    <x v="700"/>
    <s v="-"/>
    <x v="42"/>
    <s v="-"/>
    <x v="645"/>
    <n v="0"/>
    <x v="0"/>
    <x v="5"/>
    <x v="2"/>
    <x v="204"/>
    <s v="-"/>
    <x v="0"/>
    <x v="3"/>
    <x v="0"/>
    <s v="N.Shailaja"/>
    <s v="-"/>
    <s v="-"/>
    <s v="-"/>
    <s v="-"/>
    <s v="-"/>
    <n v="0"/>
    <x v="2"/>
    <s v="-"/>
    <n v="0"/>
    <s v="-"/>
    <x v="0"/>
    <x v="0"/>
  </r>
  <r>
    <n v="702"/>
    <x v="701"/>
    <s v="-"/>
    <x v="42"/>
    <s v="-"/>
    <x v="646"/>
    <n v="3120000"/>
    <x v="0"/>
    <x v="5"/>
    <x v="2"/>
    <x v="41"/>
    <s v="-"/>
    <x v="24"/>
    <x v="3"/>
    <x v="16"/>
    <s v="Sai"/>
    <s v="-"/>
    <s v="-"/>
    <s v="-"/>
    <s v="-"/>
    <s v="-"/>
    <n v="0"/>
    <x v="2"/>
    <s v="-"/>
    <n v="0"/>
    <s v="-"/>
    <x v="0"/>
    <x v="0"/>
  </r>
  <r>
    <n v="703"/>
    <x v="702"/>
    <s v="-"/>
    <x v="42"/>
    <s v="-"/>
    <x v="647"/>
    <n v="3120000"/>
    <x v="0"/>
    <x v="5"/>
    <x v="2"/>
    <x v="41"/>
    <s v="-"/>
    <x v="24"/>
    <x v="3"/>
    <x v="16"/>
    <s v="Rajini"/>
    <s v="-"/>
    <s v="-"/>
    <s v="-"/>
    <s v="-"/>
    <s v="-"/>
    <n v="0"/>
    <x v="2"/>
    <s v="-"/>
    <n v="0"/>
    <s v="-"/>
    <x v="0"/>
    <x v="0"/>
  </r>
  <r>
    <n v="704"/>
    <x v="703"/>
    <s v="-"/>
    <x v="69"/>
    <s v="-"/>
    <x v="648"/>
    <n v="5117000"/>
    <x v="0"/>
    <x v="3"/>
    <x v="2"/>
    <x v="171"/>
    <s v="-"/>
    <x v="25"/>
    <x v="3"/>
    <x v="16"/>
    <s v="Leena"/>
    <s v="-"/>
    <s v="-"/>
    <d v="2017-06-29T00:00:00"/>
    <s v="Bank"/>
    <s v="-"/>
    <n v="4000"/>
    <x v="0"/>
    <s v="-"/>
    <n v="0"/>
    <s v="-"/>
    <x v="0"/>
    <x v="0"/>
  </r>
  <r>
    <n v="705"/>
    <x v="704"/>
    <s v="-"/>
    <x v="69"/>
    <s v="-"/>
    <x v="649"/>
    <n v="5117000"/>
    <x v="0"/>
    <x v="3"/>
    <x v="2"/>
    <x v="171"/>
    <s v="-"/>
    <x v="25"/>
    <x v="3"/>
    <x v="16"/>
    <s v="Priyanka"/>
    <s v="-"/>
    <s v="-"/>
    <d v="2017-06-29T00:00:00"/>
    <s v="Bank"/>
    <s v="-"/>
    <n v="4000"/>
    <x v="0"/>
    <s v="-"/>
    <n v="0"/>
    <s v="-"/>
    <x v="0"/>
    <x v="0"/>
  </r>
  <r>
    <n v="706"/>
    <x v="705"/>
    <s v="-"/>
    <x v="69"/>
    <s v="-"/>
    <x v="650"/>
    <n v="0"/>
    <x v="0"/>
    <x v="16"/>
    <x v="2"/>
    <x v="26"/>
    <s v="-"/>
    <x v="20"/>
    <x v="3"/>
    <x v="16"/>
    <s v="Madhu"/>
    <s v="-"/>
    <s v="-"/>
    <s v="-"/>
    <s v="-"/>
    <s v="-"/>
    <n v="0"/>
    <x v="2"/>
    <s v="-"/>
    <n v="0"/>
    <s v="-"/>
    <x v="0"/>
    <x v="0"/>
  </r>
  <r>
    <n v="707"/>
    <x v="706"/>
    <s v="-"/>
    <x v="69"/>
    <s v="-"/>
    <x v="651"/>
    <n v="3718000"/>
    <x v="0"/>
    <x v="3"/>
    <x v="2"/>
    <x v="197"/>
    <s v="-"/>
    <x v="10"/>
    <x v="3"/>
    <x v="16"/>
    <s v="Neelima"/>
    <s v="-"/>
    <s v="-"/>
    <s v="-"/>
    <s v="-"/>
    <s v="-"/>
    <n v="0"/>
    <x v="2"/>
    <s v="-"/>
    <n v="0"/>
    <s v="-"/>
    <x v="0"/>
    <x v="0"/>
  </r>
  <r>
    <n v="708"/>
    <x v="707"/>
    <s v="-"/>
    <x v="69"/>
    <s v="-"/>
    <x v="652"/>
    <n v="0"/>
    <x v="0"/>
    <x v="3"/>
    <x v="2"/>
    <x v="201"/>
    <s v="-"/>
    <x v="8"/>
    <x v="3"/>
    <x v="16"/>
    <s v="Sowjanya"/>
    <s v="-"/>
    <s v="-"/>
    <s v="-"/>
    <s v="-"/>
    <s v="-"/>
    <n v="0"/>
    <x v="2"/>
    <s v="-"/>
    <n v="0"/>
    <s v="-"/>
    <x v="0"/>
    <x v="0"/>
  </r>
  <r>
    <n v="709"/>
    <x v="708"/>
    <s v="-"/>
    <x v="69"/>
    <s v="-"/>
    <x v="308"/>
    <n v="1431900"/>
    <x v="0"/>
    <x v="3"/>
    <x v="2"/>
    <x v="129"/>
    <s v="-"/>
    <x v="26"/>
    <x v="3"/>
    <x v="16"/>
    <s v="Usha Latha"/>
    <s v="-"/>
    <s v="-"/>
    <s v="-"/>
    <s v="-"/>
    <s v="-"/>
    <n v="0"/>
    <x v="2"/>
    <s v="-"/>
    <n v="0"/>
    <s v="-"/>
    <x v="0"/>
    <x v="0"/>
  </r>
  <r>
    <n v="710"/>
    <x v="709"/>
    <s v="-"/>
    <x v="69"/>
    <s v="-"/>
    <x v="653"/>
    <n v="4426000"/>
    <x v="0"/>
    <x v="3"/>
    <x v="2"/>
    <x v="205"/>
    <s v="-"/>
    <x v="27"/>
    <x v="3"/>
    <x v="16"/>
    <s v="Rajeshwari"/>
    <s v="-"/>
    <s v="-"/>
    <d v="2017-06-20T00:00:00"/>
    <s v="Cash"/>
    <s v="-"/>
    <n v="2500"/>
    <x v="0"/>
    <s v="-"/>
    <n v="0"/>
    <s v="-"/>
    <x v="0"/>
    <x v="0"/>
  </r>
  <r>
    <n v="711"/>
    <x v="710"/>
    <s v="-"/>
    <x v="69"/>
    <s v="-"/>
    <x v="654"/>
    <n v="6745000"/>
    <x v="0"/>
    <x v="3"/>
    <x v="2"/>
    <x v="41"/>
    <s v="-"/>
    <x v="0"/>
    <x v="3"/>
    <x v="16"/>
    <s v="Yamini"/>
    <s v="-"/>
    <s v="-"/>
    <d v="2017-06-09T00:00:00"/>
    <s v="Bank"/>
    <s v="-"/>
    <n v="5000"/>
    <x v="0"/>
    <s v="-"/>
    <n v="0"/>
    <s v="-"/>
    <x v="0"/>
    <x v="0"/>
  </r>
  <r>
    <n v="712"/>
    <x v="711"/>
    <s v="-"/>
    <x v="68"/>
    <s v="-"/>
    <x v="655"/>
    <n v="6062000"/>
    <x v="0"/>
    <x v="3"/>
    <x v="2"/>
    <x v="159"/>
    <s v="-"/>
    <x v="28"/>
    <x v="3"/>
    <x v="16"/>
    <s v="B.Shailaja"/>
    <s v="-"/>
    <s v="-"/>
    <s v="-"/>
    <s v="-"/>
    <s v="-"/>
    <n v="0"/>
    <x v="2"/>
    <s v="-"/>
    <n v="0"/>
    <s v="-"/>
    <x v="0"/>
    <x v="0"/>
  </r>
  <r>
    <n v="713"/>
    <x v="712"/>
    <s v="-"/>
    <x v="68"/>
    <s v="-"/>
    <x v="656"/>
    <n v="3995000"/>
    <x v="0"/>
    <x v="3"/>
    <x v="2"/>
    <x v="201"/>
    <s v="-"/>
    <x v="8"/>
    <x v="3"/>
    <x v="16"/>
    <s v="N.Shailaja"/>
    <s v="-"/>
    <s v="-"/>
    <s v="-"/>
    <s v="-"/>
    <s v="-"/>
    <n v="0"/>
    <x v="2"/>
    <s v="-"/>
    <n v="0"/>
    <s v="-"/>
    <x v="0"/>
    <x v="0"/>
  </r>
  <r>
    <n v="714"/>
    <x v="713"/>
    <s v="-"/>
    <x v="40"/>
    <s v="-"/>
    <x v="657"/>
    <n v="6302000"/>
    <x v="0"/>
    <x v="5"/>
    <x v="2"/>
    <x v="199"/>
    <s v="-"/>
    <x v="29"/>
    <x v="3"/>
    <x v="16"/>
    <s v="Sai"/>
    <s v="-"/>
    <s v="-"/>
    <s v="-"/>
    <s v="-"/>
    <s v="-"/>
    <n v="0"/>
    <x v="2"/>
    <s v="-"/>
    <n v="0"/>
    <s v="-"/>
    <x v="0"/>
    <x v="0"/>
  </r>
  <r>
    <n v="715"/>
    <x v="714"/>
    <s v="-"/>
    <x v="40"/>
    <s v="-"/>
    <x v="658"/>
    <n v="6302000"/>
    <x v="0"/>
    <x v="5"/>
    <x v="2"/>
    <x v="199"/>
    <s v="-"/>
    <x v="29"/>
    <x v="3"/>
    <x v="16"/>
    <s v="Rajini"/>
    <s v="-"/>
    <s v="-"/>
    <s v="-"/>
    <s v="-"/>
    <s v="-"/>
    <n v="0"/>
    <x v="2"/>
    <s v="-"/>
    <n v="0"/>
    <s v="-"/>
    <x v="0"/>
    <x v="0"/>
  </r>
  <r>
    <n v="716"/>
    <x v="715"/>
    <s v="-"/>
    <x v="39"/>
    <s v="-"/>
    <x v="659"/>
    <n v="15190000"/>
    <x v="0"/>
    <x v="2"/>
    <x v="2"/>
    <x v="206"/>
    <s v="-"/>
    <x v="0"/>
    <x v="3"/>
    <x v="0"/>
    <s v="Leena"/>
    <s v="-"/>
    <s v="-"/>
    <d v="2017-06-02T00:00:00"/>
    <s v="Bank"/>
    <s v="-"/>
    <n v="10000"/>
    <x v="0"/>
    <s v="-"/>
    <n v="0"/>
    <s v="-"/>
    <x v="0"/>
    <x v="0"/>
  </r>
  <r>
    <n v="717"/>
    <x v="716"/>
    <s v="-"/>
    <x v="39"/>
    <s v="-"/>
    <x v="660"/>
    <n v="12020000"/>
    <x v="0"/>
    <x v="2"/>
    <x v="2"/>
    <x v="206"/>
    <s v="-"/>
    <x v="0"/>
    <x v="3"/>
    <x v="0"/>
    <s v="Priyanka"/>
    <s v="-"/>
    <s v="-"/>
    <d v="2017-06-02T00:00:00"/>
    <s v="Bank"/>
    <s v="-"/>
    <n v="10000"/>
    <x v="0"/>
    <s v="-"/>
    <n v="0"/>
    <s v="-"/>
    <x v="0"/>
    <x v="0"/>
  </r>
  <r>
    <n v="718"/>
    <x v="717"/>
    <s v="-"/>
    <x v="38"/>
    <s v="-"/>
    <x v="661"/>
    <n v="9873000"/>
    <x v="0"/>
    <x v="3"/>
    <x v="2"/>
    <x v="41"/>
    <s v="-"/>
    <x v="13"/>
    <x v="3"/>
    <x v="0"/>
    <s v="Madhu"/>
    <s v="-"/>
    <s v="-"/>
    <s v="-"/>
    <s v="-"/>
    <s v="-"/>
    <n v="0"/>
    <x v="2"/>
    <s v="-"/>
    <n v="0"/>
    <s v="-"/>
    <x v="0"/>
    <x v="0"/>
  </r>
  <r>
    <n v="719"/>
    <x v="718"/>
    <s v="-"/>
    <x v="37"/>
    <s v="-"/>
    <x v="662"/>
    <n v="3944000"/>
    <x v="0"/>
    <x v="5"/>
    <x v="2"/>
    <x v="159"/>
    <s v="-"/>
    <x v="0"/>
    <x v="3"/>
    <x v="0"/>
    <s v="Neelima"/>
    <s v="-"/>
    <s v="-"/>
    <d v="2017-06-03T00:00:00"/>
    <s v="Bank"/>
    <s v="-"/>
    <n v="3000"/>
    <x v="0"/>
    <s v="-"/>
    <n v="0"/>
    <s v="-"/>
    <x v="0"/>
    <x v="0"/>
  </r>
  <r>
    <n v="720"/>
    <x v="719"/>
    <s v="-"/>
    <x v="36"/>
    <s v="-"/>
    <x v="663"/>
    <n v="211730000"/>
    <x v="0"/>
    <x v="16"/>
    <x v="2"/>
    <x v="26"/>
    <s v="-"/>
    <x v="17"/>
    <x v="3"/>
    <x v="18"/>
    <s v="Sowjanya"/>
    <s v="-"/>
    <s v="-"/>
    <s v="-"/>
    <s v="-"/>
    <s v="-"/>
    <n v="0"/>
    <x v="2"/>
    <s v="-"/>
    <n v="0"/>
    <s v="-"/>
    <x v="0"/>
    <x v="0"/>
  </r>
  <r>
    <n v="721"/>
    <x v="720"/>
    <s v="-"/>
    <x v="36"/>
    <s v="-"/>
    <x v="664"/>
    <n v="2754000"/>
    <x v="0"/>
    <x v="3"/>
    <x v="2"/>
    <x v="207"/>
    <s v="-"/>
    <x v="30"/>
    <x v="3"/>
    <x v="16"/>
    <s v="Usha Latha"/>
    <s v="-"/>
    <s v="-"/>
    <s v="-"/>
    <s v="-"/>
    <s v="-"/>
    <n v="0"/>
    <x v="2"/>
    <s v="-"/>
    <n v="0"/>
    <s v="-"/>
    <x v="0"/>
    <x v="0"/>
  </r>
  <r>
    <n v="722"/>
    <x v="721"/>
    <s v="-"/>
    <x v="36"/>
    <s v="-"/>
    <x v="665"/>
    <n v="17876000"/>
    <x v="0"/>
    <x v="7"/>
    <x v="2"/>
    <x v="159"/>
    <s v="-"/>
    <x v="0"/>
    <x v="3"/>
    <x v="16"/>
    <s v="Rajeshwari"/>
    <s v="-"/>
    <s v="-"/>
    <d v="2017-06-09T00:00:00"/>
    <s v="Bank"/>
    <s v="-"/>
    <n v="10000"/>
    <x v="0"/>
    <s v="-"/>
    <n v="0"/>
    <s v="-"/>
    <x v="0"/>
    <x v="0"/>
  </r>
  <r>
    <n v="723"/>
    <x v="722"/>
    <s v="-"/>
    <x v="67"/>
    <s v="-"/>
    <x v="666"/>
    <n v="3560000"/>
    <x v="0"/>
    <x v="3"/>
    <x v="2"/>
    <x v="26"/>
    <s v="-"/>
    <x v="0"/>
    <x v="3"/>
    <x v="0"/>
    <s v="Yamini"/>
    <s v="-"/>
    <s v="-"/>
    <d v="2017-06-03T00:00:00"/>
    <s v="Bank"/>
    <s v="-"/>
    <n v="3000"/>
    <x v="0"/>
    <s v="-"/>
    <n v="0"/>
    <s v="-"/>
    <x v="0"/>
    <x v="0"/>
  </r>
  <r>
    <n v="724"/>
    <x v="723"/>
    <s v="-"/>
    <x v="67"/>
    <s v="-"/>
    <x v="667"/>
    <n v="3949000"/>
    <x v="0"/>
    <x v="5"/>
    <x v="2"/>
    <x v="208"/>
    <s v="-"/>
    <x v="23"/>
    <x v="3"/>
    <x v="18"/>
    <s v="B.Shailaja"/>
    <s v="-"/>
    <s v="-"/>
    <s v="-"/>
    <s v="-"/>
    <s v="-"/>
    <n v="0"/>
    <x v="2"/>
    <s v="-"/>
    <n v="0"/>
    <s v="-"/>
    <x v="0"/>
    <x v="0"/>
  </r>
  <r>
    <n v="725"/>
    <x v="724"/>
    <s v="-"/>
    <x v="35"/>
    <s v="-"/>
    <x v="668"/>
    <n v="43595000"/>
    <x v="0"/>
    <x v="5"/>
    <x v="2"/>
    <x v="171"/>
    <s v="-"/>
    <x v="12"/>
    <x v="3"/>
    <x v="0"/>
    <s v="N.Shailaja"/>
    <s v="-"/>
    <s v="-"/>
    <s v="-"/>
    <s v="-"/>
    <s v="-"/>
    <n v="0"/>
    <x v="2"/>
    <s v="-"/>
    <n v="0"/>
    <s v="-"/>
    <x v="0"/>
    <x v="0"/>
  </r>
  <r>
    <n v="726"/>
    <x v="725"/>
    <s v="-"/>
    <x v="35"/>
    <s v="-"/>
    <x v="669"/>
    <n v="4600000"/>
    <x v="0"/>
    <x v="14"/>
    <x v="2"/>
    <x v="26"/>
    <s v="-"/>
    <x v="0"/>
    <x v="3"/>
    <x v="0"/>
    <s v="Sai"/>
    <s v="-"/>
    <s v="-"/>
    <d v="2017-06-02T00:00:00"/>
    <s v="Bank"/>
    <s v="-"/>
    <n v="3000"/>
    <x v="0"/>
    <s v="-"/>
    <n v="0"/>
    <s v="-"/>
    <x v="0"/>
    <x v="0"/>
  </r>
  <r>
    <n v="727"/>
    <x v="726"/>
    <s v="-"/>
    <x v="115"/>
    <s v="-"/>
    <x v="670"/>
    <n v="8295000"/>
    <x v="0"/>
    <x v="5"/>
    <x v="2"/>
    <x v="41"/>
    <s v="-"/>
    <x v="14"/>
    <x v="3"/>
    <x v="16"/>
    <s v="Rajini"/>
    <s v="-"/>
    <s v="-"/>
    <s v="-"/>
    <s v="-"/>
    <s v="-"/>
    <n v="0"/>
    <x v="2"/>
    <s v="-"/>
    <n v="0"/>
    <s v="-"/>
    <x v="0"/>
    <x v="0"/>
  </r>
  <r>
    <n v="728"/>
    <x v="727"/>
    <s v="-"/>
    <x v="115"/>
    <s v="-"/>
    <x v="671"/>
    <n v="8188000"/>
    <x v="0"/>
    <x v="5"/>
    <x v="2"/>
    <x v="209"/>
    <s v="-"/>
    <x v="0"/>
    <x v="3"/>
    <x v="0"/>
    <s v="Leena"/>
    <s v="-"/>
    <s v="-"/>
    <s v="-"/>
    <s v="-"/>
    <s v="-"/>
    <n v="0"/>
    <x v="2"/>
    <s v="-"/>
    <n v="0"/>
    <s v="-"/>
    <x v="0"/>
    <x v="0"/>
  </r>
  <r>
    <n v="729"/>
    <x v="728"/>
    <s v="-"/>
    <x v="115"/>
    <s v="-"/>
    <x v="672"/>
    <n v="74866000"/>
    <x v="0"/>
    <x v="3"/>
    <x v="2"/>
    <x v="210"/>
    <s v="-"/>
    <x v="31"/>
    <x v="3"/>
    <x v="16"/>
    <s v="Priyanka"/>
    <s v="-"/>
    <s v="-"/>
    <s v="-"/>
    <s v="-"/>
    <s v="-"/>
    <n v="0"/>
    <x v="2"/>
    <s v="-"/>
    <n v="0"/>
    <s v="-"/>
    <x v="0"/>
    <x v="0"/>
  </r>
  <r>
    <n v="730"/>
    <x v="729"/>
    <s v="-"/>
    <x v="115"/>
    <s v="-"/>
    <x v="673"/>
    <n v="2911000"/>
    <x v="0"/>
    <x v="5"/>
    <x v="2"/>
    <x v="41"/>
    <s v="-"/>
    <x v="24"/>
    <x v="3"/>
    <x v="0"/>
    <s v="Madhu"/>
    <s v="-"/>
    <s v="-"/>
    <s v="-"/>
    <s v="-"/>
    <s v="-"/>
    <n v="0"/>
    <x v="2"/>
    <s v="-"/>
    <n v="0"/>
    <s v="-"/>
    <x v="0"/>
    <x v="0"/>
  </r>
  <r>
    <n v="731"/>
    <x v="730"/>
    <s v="-"/>
    <x v="115"/>
    <s v="-"/>
    <x v="674"/>
    <n v="4201000"/>
    <x v="0"/>
    <x v="5"/>
    <x v="2"/>
    <x v="41"/>
    <s v="-"/>
    <x v="18"/>
    <x v="3"/>
    <x v="0"/>
    <s v="Neelima"/>
    <s v="-"/>
    <s v="-"/>
    <s v="-"/>
    <s v="-"/>
    <s v="-"/>
    <n v="0"/>
    <x v="2"/>
    <s v="-"/>
    <n v="0"/>
    <s v="-"/>
    <x v="0"/>
    <x v="0"/>
  </r>
  <r>
    <n v="732"/>
    <x v="731"/>
    <s v="-"/>
    <x v="115"/>
    <s v="-"/>
    <x v="675"/>
    <n v="5805000"/>
    <x v="0"/>
    <x v="3"/>
    <x v="2"/>
    <x v="211"/>
    <s v="-"/>
    <x v="0"/>
    <x v="3"/>
    <x v="0"/>
    <s v="Neelima"/>
    <s v="-"/>
    <s v="-"/>
    <s v="-"/>
    <s v="-"/>
    <s v="-"/>
    <n v="0"/>
    <x v="2"/>
    <s v="-"/>
    <n v="0"/>
    <s v="-"/>
    <x v="0"/>
    <x v="0"/>
  </r>
  <r>
    <n v="733"/>
    <x v="732"/>
    <s v="-"/>
    <x v="71"/>
    <s v="-"/>
    <x v="676"/>
    <n v="4124000"/>
    <x v="0"/>
    <x v="3"/>
    <x v="2"/>
    <x v="26"/>
    <s v="-"/>
    <x v="32"/>
    <x v="3"/>
    <x v="16"/>
    <s v="Sowjanya"/>
    <s v="-"/>
    <s v="-"/>
    <d v="2017-06-02T00:00:00"/>
    <s v="Bank"/>
    <s v="-"/>
    <n v="3000"/>
    <x v="0"/>
    <s v="-"/>
    <n v="0"/>
    <s v="-"/>
    <x v="0"/>
    <x v="0"/>
  </r>
  <r>
    <n v="734"/>
    <x v="733"/>
    <s v="-"/>
    <x v="33"/>
    <s v="-"/>
    <x v="677"/>
    <n v="6432000"/>
    <x v="0"/>
    <x v="14"/>
    <x v="2"/>
    <x v="199"/>
    <s v="-"/>
    <x v="0"/>
    <x v="3"/>
    <x v="0"/>
    <s v="Usha Latha"/>
    <s v="-"/>
    <s v="-"/>
    <d v="2017-06-02T00:00:00"/>
    <s v="Bank"/>
    <s v="-"/>
    <n v="3000"/>
    <x v="0"/>
    <s v="-"/>
    <n v="0"/>
    <s v="-"/>
    <x v="0"/>
    <x v="0"/>
  </r>
  <r>
    <n v="735"/>
    <x v="734"/>
    <s v="-"/>
    <x v="32"/>
    <s v="-"/>
    <x v="678"/>
    <n v="0"/>
    <x v="0"/>
    <x v="16"/>
    <x v="2"/>
    <x v="197"/>
    <s v="-"/>
    <x v="10"/>
    <x v="3"/>
    <x v="16"/>
    <s v="Rajeshwari"/>
    <s v="-"/>
    <s v="-"/>
    <s v="-"/>
    <s v="-"/>
    <s v="-"/>
    <n v="0"/>
    <x v="2"/>
    <s v="-"/>
    <n v="0"/>
    <s v="-"/>
    <x v="0"/>
    <x v="0"/>
  </r>
  <r>
    <n v="736"/>
    <x v="735"/>
    <s v="-"/>
    <x v="32"/>
    <s v="-"/>
    <x v="679"/>
    <n v="3230000"/>
    <x v="0"/>
    <x v="5"/>
    <x v="2"/>
    <x v="199"/>
    <s v="-"/>
    <x v="32"/>
    <x v="3"/>
    <x v="0"/>
    <s v="Yamini"/>
    <s v="-"/>
    <s v="-"/>
    <s v="-"/>
    <s v="-"/>
    <s v="-"/>
    <n v="0"/>
    <x v="2"/>
    <s v="-"/>
    <n v="0"/>
    <s v="-"/>
    <x v="0"/>
    <x v="0"/>
  </r>
  <r>
    <n v="737"/>
    <x v="736"/>
    <s v="-"/>
    <x v="30"/>
    <s v="-"/>
    <x v="680"/>
    <n v="3707000"/>
    <x v="0"/>
    <x v="5"/>
    <x v="2"/>
    <x v="41"/>
    <s v="-"/>
    <x v="22"/>
    <x v="3"/>
    <x v="0"/>
    <s v="B.Shailaja"/>
    <s v="-"/>
    <s v="-"/>
    <s v="-"/>
    <s v="-"/>
    <s v="-"/>
    <n v="0"/>
    <x v="2"/>
    <s v="-"/>
    <n v="0"/>
    <s v="-"/>
    <x v="0"/>
    <x v="0"/>
  </r>
  <r>
    <n v="738"/>
    <x v="737"/>
    <s v="-"/>
    <x v="29"/>
    <s v="-"/>
    <x v="681"/>
    <n v="14513000"/>
    <x v="0"/>
    <x v="5"/>
    <x v="2"/>
    <x v="212"/>
    <s v="-"/>
    <x v="0"/>
    <x v="3"/>
    <x v="16"/>
    <s v="N.Shailaja"/>
    <s v="-"/>
    <s v="Duplicate"/>
    <s v="-"/>
    <s v="-"/>
    <s v="-"/>
    <n v="0"/>
    <x v="2"/>
    <s v="-"/>
    <n v="0"/>
    <s v="-"/>
    <x v="0"/>
    <x v="0"/>
  </r>
  <r>
    <n v="739"/>
    <x v="738"/>
    <s v="-"/>
    <x v="29"/>
    <s v="-"/>
    <x v="682"/>
    <n v="3981000"/>
    <x v="0"/>
    <x v="4"/>
    <x v="2"/>
    <x v="41"/>
    <s v="-"/>
    <x v="0"/>
    <x v="3"/>
    <x v="16"/>
    <s v="Sai"/>
    <s v="-"/>
    <s v="Duplicate"/>
    <d v="2017-06-02T00:00:00"/>
    <s v="Bank"/>
    <s v="-"/>
    <n v="3000"/>
    <x v="0"/>
    <s v="-"/>
    <n v="0"/>
    <s v="-"/>
    <x v="0"/>
    <x v="0"/>
  </r>
  <r>
    <n v="740"/>
    <x v="739"/>
    <s v="-"/>
    <x v="28"/>
    <s v="-"/>
    <x v="683"/>
    <n v="4930000"/>
    <x v="0"/>
    <x v="5"/>
    <x v="2"/>
    <x v="171"/>
    <s v="-"/>
    <x v="25"/>
    <x v="3"/>
    <x v="16"/>
    <s v="Rajini"/>
    <s v="-"/>
    <s v="-"/>
    <s v="-"/>
    <s v="-"/>
    <s v="-"/>
    <n v="0"/>
    <x v="2"/>
    <s v="-"/>
    <n v="0"/>
    <s v="-"/>
    <x v="0"/>
    <x v="0"/>
  </r>
  <r>
    <n v="741"/>
    <x v="740"/>
    <s v="-"/>
    <x v="66"/>
    <s v="-"/>
    <x v="684"/>
    <n v="8052000"/>
    <x v="0"/>
    <x v="7"/>
    <x v="2"/>
    <x v="171"/>
    <s v="-"/>
    <x v="9"/>
    <x v="3"/>
    <x v="16"/>
    <s v="Leena"/>
    <s v="-"/>
    <s v="Duplicate"/>
    <s v="-"/>
    <s v="-"/>
    <s v="-"/>
    <n v="0"/>
    <x v="2"/>
    <s v="-"/>
    <n v="0"/>
    <s v="-"/>
    <x v="0"/>
    <x v="0"/>
  </r>
  <r>
    <n v="742"/>
    <x v="741"/>
    <s v="-"/>
    <x v="66"/>
    <s v="-"/>
    <x v="685"/>
    <n v="6025000"/>
    <x v="0"/>
    <x v="5"/>
    <x v="2"/>
    <x v="159"/>
    <s v="-"/>
    <x v="17"/>
    <x v="3"/>
    <x v="16"/>
    <s v="Priyanka"/>
    <s v="-"/>
    <s v="Duplicate"/>
    <s v="-"/>
    <s v="-"/>
    <s v="-"/>
    <n v="0"/>
    <x v="2"/>
    <s v="-"/>
    <n v="0"/>
    <s v="-"/>
    <x v="0"/>
    <x v="0"/>
  </r>
  <r>
    <n v="743"/>
    <x v="742"/>
    <s v="-"/>
    <x v="66"/>
    <s v="-"/>
    <x v="686"/>
    <n v="6547000"/>
    <x v="0"/>
    <x v="7"/>
    <x v="2"/>
    <x v="203"/>
    <s v="-"/>
    <x v="23"/>
    <x v="3"/>
    <x v="0"/>
    <s v="Madhu"/>
    <s v="-"/>
    <s v="-"/>
    <s v="-"/>
    <s v="-"/>
    <s v="-"/>
    <n v="0"/>
    <x v="2"/>
    <s v="-"/>
    <n v="0"/>
    <s v="-"/>
    <x v="0"/>
    <x v="0"/>
  </r>
  <r>
    <n v="744"/>
    <x v="743"/>
    <s v="-"/>
    <x v="65"/>
    <s v="-"/>
    <x v="687"/>
    <n v="3526000"/>
    <x v="0"/>
    <x v="5"/>
    <x v="2"/>
    <x v="213"/>
    <s v="-"/>
    <x v="23"/>
    <x v="3"/>
    <x v="18"/>
    <s v="Neelima"/>
    <s v="-"/>
    <s v="-"/>
    <s v="-"/>
    <s v="-"/>
    <s v="-"/>
    <n v="0"/>
    <x v="2"/>
    <s v="-"/>
    <n v="0"/>
    <s v="-"/>
    <x v="0"/>
    <x v="0"/>
  </r>
  <r>
    <n v="745"/>
    <x v="744"/>
    <s v="-"/>
    <x v="27"/>
    <s v="-"/>
    <x v="688"/>
    <n v="4884483000"/>
    <x v="0"/>
    <x v="16"/>
    <x v="2"/>
    <x v="171"/>
    <s v="-"/>
    <x v="20"/>
    <x v="3"/>
    <x v="0"/>
    <s v="Sowjanya"/>
    <s v="-"/>
    <s v="-"/>
    <s v="-"/>
    <s v="-"/>
    <s v="-"/>
    <n v="0"/>
    <x v="2"/>
    <s v="-"/>
    <n v="0"/>
    <s v="-"/>
    <x v="0"/>
    <x v="0"/>
  </r>
  <r>
    <n v="746"/>
    <x v="745"/>
    <s v="-"/>
    <x v="25"/>
    <s v="-"/>
    <x v="689"/>
    <n v="3727563000"/>
    <x v="0"/>
    <x v="16"/>
    <x v="2"/>
    <x v="171"/>
    <s v="-"/>
    <x v="20"/>
    <x v="3"/>
    <x v="18"/>
    <s v="Usha Latha"/>
    <s v="-"/>
    <s v="Duplicate"/>
    <s v="-"/>
    <s v="-"/>
    <s v="-"/>
    <n v="0"/>
    <x v="2"/>
    <s v="-"/>
    <n v="0"/>
    <s v="-"/>
    <x v="0"/>
    <x v="0"/>
  </r>
  <r>
    <n v="747"/>
    <x v="746"/>
    <s v="-"/>
    <x v="25"/>
    <s v="-"/>
    <x v="690"/>
    <n v="3377000"/>
    <x v="0"/>
    <x v="5"/>
    <x v="2"/>
    <x v="213"/>
    <s v="-"/>
    <x v="23"/>
    <x v="3"/>
    <x v="1"/>
    <s v="Rajeshwari"/>
    <s v="-"/>
    <s v="-"/>
    <s v="-"/>
    <s v="-"/>
    <s v="-"/>
    <n v="0"/>
    <x v="2"/>
    <s v="-"/>
    <n v="0"/>
    <s v="-"/>
    <x v="0"/>
    <x v="0"/>
  </r>
  <r>
    <n v="748"/>
    <x v="747"/>
    <s v="-"/>
    <x v="59"/>
    <s v="-"/>
    <x v="691"/>
    <n v="0"/>
    <x v="0"/>
    <x v="3"/>
    <x v="2"/>
    <x v="159"/>
    <s v="-"/>
    <x v="27"/>
    <x v="3"/>
    <x v="16"/>
    <s v="Yamini"/>
    <s v="-"/>
    <s v="-"/>
    <s v="-"/>
    <s v="-"/>
    <s v="-"/>
    <n v="0"/>
    <x v="2"/>
    <s v="-"/>
    <n v="0"/>
    <s v="-"/>
    <x v="0"/>
    <x v="0"/>
  </r>
  <r>
    <n v="749"/>
    <x v="748"/>
    <s v="-"/>
    <x v="23"/>
    <s v="-"/>
    <x v="692"/>
    <n v="0"/>
    <x v="0"/>
    <x v="14"/>
    <x v="2"/>
    <x v="41"/>
    <s v="-"/>
    <x v="18"/>
    <x v="3"/>
    <x v="1"/>
    <s v="B.Shailaja"/>
    <s v="-"/>
    <s v="-"/>
    <s v="-"/>
    <s v="-"/>
    <s v="-"/>
    <n v="0"/>
    <x v="2"/>
    <s v="-"/>
    <n v="0"/>
    <s v="-"/>
    <x v="0"/>
    <x v="0"/>
  </r>
  <r>
    <n v="750"/>
    <x v="749"/>
    <s v="-"/>
    <x v="22"/>
    <s v="-"/>
    <x v="693"/>
    <n v="0"/>
    <x v="0"/>
    <x v="5"/>
    <x v="2"/>
    <x v="171"/>
    <s v="-"/>
    <x v="25"/>
    <x v="3"/>
    <x v="18"/>
    <s v="N.Shailaja"/>
    <s v="-"/>
    <s v="-"/>
    <s v="-"/>
    <s v="-"/>
    <s v="-"/>
    <n v="0"/>
    <x v="2"/>
    <s v="-"/>
    <n v="0"/>
    <s v="-"/>
    <x v="0"/>
    <x v="0"/>
  </r>
  <r>
    <n v="751"/>
    <x v="750"/>
    <s v="-"/>
    <x v="22"/>
    <s v="-"/>
    <x v="694"/>
    <n v="0"/>
    <x v="0"/>
    <x v="16"/>
    <x v="2"/>
    <x v="171"/>
    <s v="-"/>
    <x v="0"/>
    <x v="3"/>
    <x v="18"/>
    <s v="Sai"/>
    <s v="-"/>
    <s v="-"/>
    <s v="-"/>
    <s v="-"/>
    <s v="-"/>
    <n v="0"/>
    <x v="2"/>
    <s v="-"/>
    <n v="0"/>
    <s v="-"/>
    <x v="0"/>
    <x v="0"/>
  </r>
  <r>
    <n v="752"/>
    <x v="751"/>
    <s v="-"/>
    <x v="21"/>
    <s v="-"/>
    <x v="695"/>
    <n v="0"/>
    <x v="0"/>
    <x v="16"/>
    <x v="2"/>
    <x v="171"/>
    <s v="-"/>
    <x v="20"/>
    <x v="3"/>
    <x v="16"/>
    <s v="Rajini"/>
    <s v="-"/>
    <s v="-"/>
    <s v="-"/>
    <s v="-"/>
    <s v="-"/>
    <n v="0"/>
    <x v="2"/>
    <s v="-"/>
    <n v="0"/>
    <s v="-"/>
    <x v="0"/>
    <x v="0"/>
  </r>
  <r>
    <n v="753"/>
    <x v="752"/>
    <s v="-"/>
    <x v="119"/>
    <s v="-"/>
    <x v="696"/>
    <n v="0"/>
    <x v="0"/>
    <x v="5"/>
    <x v="2"/>
    <x v="214"/>
    <s v="-"/>
    <x v="12"/>
    <x v="3"/>
    <x v="0"/>
    <s v="Leena"/>
    <s v="-"/>
    <s v="-"/>
    <s v="-"/>
    <s v="-"/>
    <s v="-"/>
    <n v="0"/>
    <x v="2"/>
    <s v="-"/>
    <n v="0"/>
    <s v="-"/>
    <x v="0"/>
    <x v="0"/>
  </r>
  <r>
    <n v="754"/>
    <x v="753"/>
    <s v="-"/>
    <x v="119"/>
    <s v="-"/>
    <x v="697"/>
    <n v="0"/>
    <x v="0"/>
    <x v="4"/>
    <x v="2"/>
    <x v="41"/>
    <s v="-"/>
    <x v="18"/>
    <x v="3"/>
    <x v="0"/>
    <s v="Priyanka"/>
    <s v="-"/>
    <s v="-"/>
    <d v="2017-06-02T00:00:00"/>
    <s v="Bank"/>
    <s v="-"/>
    <n v="3000"/>
    <x v="0"/>
    <s v="-"/>
    <n v="0"/>
    <s v="-"/>
    <x v="0"/>
    <x v="0"/>
  </r>
  <r>
    <n v="755"/>
    <x v="754"/>
    <s v="-"/>
    <x v="58"/>
    <s v="-"/>
    <x v="698"/>
    <n v="0"/>
    <x v="0"/>
    <x v="7"/>
    <x v="2"/>
    <x v="215"/>
    <s v="-"/>
    <x v="10"/>
    <x v="3"/>
    <x v="18"/>
    <s v="Madhu"/>
    <s v="-"/>
    <s v="-"/>
    <s v="-"/>
    <s v="-"/>
    <s v="-"/>
    <n v="0"/>
    <x v="2"/>
    <s v="-"/>
    <n v="0"/>
    <s v="-"/>
    <x v="0"/>
    <x v="0"/>
  </r>
  <r>
    <n v="756"/>
    <x v="755"/>
    <s v="-"/>
    <x v="58"/>
    <s v="-"/>
    <x v="699"/>
    <n v="0"/>
    <x v="0"/>
    <x v="5"/>
    <x v="2"/>
    <x v="159"/>
    <s v="-"/>
    <x v="27"/>
    <x v="3"/>
    <x v="0"/>
    <s v="Neelima"/>
    <s v="-"/>
    <s v="-"/>
    <s v="-"/>
    <s v="-"/>
    <s v="-"/>
    <n v="0"/>
    <x v="2"/>
    <s v="-"/>
    <n v="0"/>
    <s v="-"/>
    <x v="0"/>
    <x v="0"/>
  </r>
  <r>
    <n v="757"/>
    <x v="756"/>
    <s v="-"/>
    <x v="120"/>
    <s v="-"/>
    <x v="700"/>
    <n v="0"/>
    <x v="0"/>
    <x v="5"/>
    <x v="2"/>
    <x v="216"/>
    <s v="-"/>
    <x v="15"/>
    <x v="3"/>
    <x v="16"/>
    <s v="Sowjanya"/>
    <s v="-"/>
    <s v="-"/>
    <d v="2017-06-12T00:00:00"/>
    <s v="Bank"/>
    <s v="-"/>
    <n v="3000"/>
    <x v="0"/>
    <s v="-"/>
    <n v="0"/>
    <s v="-"/>
    <x v="0"/>
    <x v="0"/>
  </r>
  <r>
    <n v="758"/>
    <x v="757"/>
    <s v="-"/>
    <x v="18"/>
    <s v="-"/>
    <x v="701"/>
    <n v="0"/>
    <x v="0"/>
    <x v="16"/>
    <x v="2"/>
    <x v="160"/>
    <s v="-"/>
    <x v="0"/>
    <x v="3"/>
    <x v="18"/>
    <s v="Usha Latha"/>
    <s v="-"/>
    <s v="-"/>
    <s v="-"/>
    <s v="-"/>
    <s v="-"/>
    <n v="0"/>
    <x v="2"/>
    <s v="-"/>
    <n v="0"/>
    <s v="-"/>
    <x v="0"/>
    <x v="0"/>
  </r>
  <r>
    <n v="759"/>
    <x v="758"/>
    <s v="-"/>
    <x v="18"/>
    <s v="-"/>
    <x v="702"/>
    <n v="0"/>
    <x v="0"/>
    <x v="5"/>
    <x v="2"/>
    <x v="171"/>
    <s v="-"/>
    <x v="25"/>
    <x v="3"/>
    <x v="18"/>
    <s v="Rajeshwari"/>
    <s v="-"/>
    <s v="-"/>
    <s v="-"/>
    <s v="-"/>
    <s v="-"/>
    <n v="0"/>
    <x v="2"/>
    <s v="-"/>
    <n v="0"/>
    <s v="-"/>
    <x v="0"/>
    <x v="0"/>
  </r>
  <r>
    <n v="760"/>
    <x v="759"/>
    <s v="-"/>
    <x v="18"/>
    <s v="-"/>
    <x v="703"/>
    <n v="0"/>
    <x v="0"/>
    <x v="4"/>
    <x v="2"/>
    <x v="41"/>
    <s v="-"/>
    <x v="18"/>
    <x v="3"/>
    <x v="1"/>
    <s v="Yamini"/>
    <s v="-"/>
    <s v="-"/>
    <d v="2017-06-17T00:00:00"/>
    <s v="Bank"/>
    <s v="-"/>
    <n v="3000"/>
    <x v="0"/>
    <s v="-"/>
    <n v="0"/>
    <s v="-"/>
    <x v="0"/>
    <x v="0"/>
  </r>
  <r>
    <n v="761"/>
    <x v="760"/>
    <s v="-"/>
    <x v="18"/>
    <s v="-"/>
    <x v="704"/>
    <n v="0"/>
    <x v="0"/>
    <x v="3"/>
    <x v="2"/>
    <x v="214"/>
    <s v="-"/>
    <x v="12"/>
    <x v="3"/>
    <x v="16"/>
    <s v="B.Shailaja"/>
    <s v="-"/>
    <s v="-"/>
    <s v="-"/>
    <s v="-"/>
    <s v="-"/>
    <n v="0"/>
    <x v="2"/>
    <s v="-"/>
    <n v="0"/>
    <s v="-"/>
    <x v="0"/>
    <x v="0"/>
  </r>
  <r>
    <n v="762"/>
    <x v="761"/>
    <s v="-"/>
    <x v="62"/>
    <s v="-"/>
    <x v="705"/>
    <n v="0"/>
    <x v="0"/>
    <x v="3"/>
    <x v="2"/>
    <x v="203"/>
    <s v="-"/>
    <x v="23"/>
    <x v="3"/>
    <x v="18"/>
    <s v="N.Shailaja"/>
    <s v="-"/>
    <s v="-"/>
    <s v="-"/>
    <s v="-"/>
    <s v="-"/>
    <n v="0"/>
    <x v="2"/>
    <s v="-"/>
    <n v="0"/>
    <s v="-"/>
    <x v="0"/>
    <x v="0"/>
  </r>
  <r>
    <n v="763"/>
    <x v="762"/>
    <s v="-"/>
    <x v="114"/>
    <s v="-"/>
    <x v="706"/>
    <n v="0"/>
    <x v="0"/>
    <x v="16"/>
    <x v="2"/>
    <x v="171"/>
    <s v="-"/>
    <x v="20"/>
    <x v="3"/>
    <x v="16"/>
    <s v="Sai"/>
    <s v="-"/>
    <s v="-"/>
    <s v="-"/>
    <s v="-"/>
    <s v="-"/>
    <n v="0"/>
    <x v="2"/>
    <s v="-"/>
    <n v="0"/>
    <s v="-"/>
    <x v="0"/>
    <x v="0"/>
  </r>
  <r>
    <n v="764"/>
    <x v="763"/>
    <s v="-"/>
    <x v="64"/>
    <s v="-"/>
    <x v="707"/>
    <n v="0"/>
    <x v="0"/>
    <x v="5"/>
    <x v="2"/>
    <x v="197"/>
    <s v="-"/>
    <x v="10"/>
    <x v="3"/>
    <x v="16"/>
    <s v="Rajini"/>
    <s v="-"/>
    <s v="-"/>
    <s v="-"/>
    <s v="-"/>
    <s v="-"/>
    <n v="0"/>
    <x v="2"/>
    <s v="-"/>
    <n v="0"/>
    <s v="-"/>
    <x v="0"/>
    <x v="0"/>
  </r>
  <r>
    <n v="765"/>
    <x v="764"/>
    <s v="-"/>
    <x v="95"/>
    <s v="-"/>
    <x v="708"/>
    <n v="0"/>
    <x v="0"/>
    <x v="3"/>
    <x v="9"/>
    <x v="217"/>
    <s v="-"/>
    <x v="33"/>
    <x v="3"/>
    <x v="0"/>
    <s v="Leena"/>
    <s v="-"/>
    <s v="-"/>
    <s v="-"/>
    <s v="-"/>
    <s v="-"/>
    <n v="0"/>
    <x v="2"/>
    <s v="-"/>
    <n v="0"/>
    <s v="-"/>
    <x v="0"/>
    <x v="0"/>
  </r>
  <r>
    <n v="766"/>
    <x v="765"/>
    <s v="-"/>
    <x v="56"/>
    <s v="-"/>
    <x v="709"/>
    <n v="0"/>
    <x v="0"/>
    <x v="17"/>
    <x v="2"/>
    <x v="218"/>
    <s v="-"/>
    <x v="12"/>
    <x v="3"/>
    <x v="0"/>
    <s v="Priyanka"/>
    <s v="-"/>
    <s v="-"/>
    <s v="-"/>
    <s v="-"/>
    <s v="-"/>
    <n v="0"/>
    <x v="2"/>
    <s v="-"/>
    <n v="0"/>
    <s v="-"/>
    <x v="0"/>
    <x v="0"/>
  </r>
  <r>
    <n v="767"/>
    <x v="766"/>
    <s v="-"/>
    <x v="56"/>
    <s v="-"/>
    <x v="710"/>
    <n v="0"/>
    <x v="0"/>
    <x v="7"/>
    <x v="2"/>
    <x v="219"/>
    <s v="-"/>
    <x v="34"/>
    <x v="3"/>
    <x v="16"/>
    <s v="Madhu"/>
    <s v="-"/>
    <s v="-"/>
    <s v="-"/>
    <s v="-"/>
    <s v="-"/>
    <n v="0"/>
    <x v="2"/>
    <s v="-"/>
    <n v="0"/>
    <s v="-"/>
    <x v="0"/>
    <x v="0"/>
  </r>
  <r>
    <n v="768"/>
    <x v="767"/>
    <s v="-"/>
    <x v="17"/>
    <s v="-"/>
    <x v="711"/>
    <n v="0"/>
    <x v="0"/>
    <x v="5"/>
    <x v="2"/>
    <x v="159"/>
    <s v="-"/>
    <x v="27"/>
    <x v="3"/>
    <x v="1"/>
    <s v="Neelima"/>
    <s v="-"/>
    <s v="-"/>
    <s v="-"/>
    <s v="-"/>
    <s v="-"/>
    <n v="0"/>
    <x v="2"/>
    <s v="-"/>
    <n v="0"/>
    <s v="-"/>
    <x v="0"/>
    <x v="0"/>
  </r>
  <r>
    <n v="769"/>
    <x v="768"/>
    <s v="-"/>
    <x v="17"/>
    <s v="-"/>
    <x v="712"/>
    <n v="0"/>
    <x v="0"/>
    <x v="17"/>
    <x v="2"/>
    <x v="160"/>
    <s v="-"/>
    <x v="0"/>
    <x v="3"/>
    <x v="0"/>
    <s v="Sowjanya"/>
    <s v="-"/>
    <s v="-"/>
    <s v="-"/>
    <s v="-"/>
    <s v="-"/>
    <n v="0"/>
    <x v="2"/>
    <s v="-"/>
    <n v="0"/>
    <s v="-"/>
    <x v="0"/>
    <x v="0"/>
  </r>
  <r>
    <n v="770"/>
    <x v="769"/>
    <s v="-"/>
    <x v="61"/>
    <s v="-"/>
    <x v="713"/>
    <n v="0"/>
    <x v="0"/>
    <x v="0"/>
    <x v="2"/>
    <x v="220"/>
    <s v="-"/>
    <x v="0"/>
    <x v="3"/>
    <x v="18"/>
    <s v="Usha Latha"/>
    <s v="-"/>
    <s v="-"/>
    <s v="-"/>
    <s v="-"/>
    <s v="-"/>
    <n v="0"/>
    <x v="2"/>
    <s v="-"/>
    <n v="0"/>
    <s v="-"/>
    <x v="0"/>
    <x v="0"/>
  </r>
  <r>
    <n v="771"/>
    <x v="770"/>
    <s v="-"/>
    <x v="113"/>
    <s v="-"/>
    <x v="714"/>
    <n v="0"/>
    <x v="0"/>
    <x v="14"/>
    <x v="2"/>
    <x v="197"/>
    <s v="-"/>
    <x v="0"/>
    <x v="3"/>
    <x v="1"/>
    <s v="Rajeshwari"/>
    <s v="-"/>
    <s v="-"/>
    <s v="-"/>
    <s v="-"/>
    <s v="-"/>
    <n v="0"/>
    <x v="2"/>
    <s v="-"/>
    <n v="0"/>
    <s v="-"/>
    <x v="0"/>
    <x v="0"/>
  </r>
  <r>
    <n v="772"/>
    <x v="771"/>
    <s v="-"/>
    <x v="15"/>
    <s v="-"/>
    <x v="715"/>
    <n v="0"/>
    <x v="0"/>
    <x v="16"/>
    <x v="2"/>
    <x v="140"/>
    <s v="-"/>
    <x v="0"/>
    <x v="3"/>
    <x v="16"/>
    <s v="Yamini"/>
    <s v="-"/>
    <s v="-"/>
    <s v="-"/>
    <s v="-"/>
    <s v="-"/>
    <n v="0"/>
    <x v="2"/>
    <s v="-"/>
    <n v="0"/>
    <s v="-"/>
    <x v="0"/>
    <x v="0"/>
  </r>
  <r>
    <n v="773"/>
    <x v="772"/>
    <s v="-"/>
    <x v="12"/>
    <s v="-"/>
    <x v="716"/>
    <n v="0"/>
    <x v="0"/>
    <x v="5"/>
    <x v="2"/>
    <x v="221"/>
    <s v="-"/>
    <x v="23"/>
    <x v="3"/>
    <x v="0"/>
    <s v="B.Shailaja"/>
    <s v="-"/>
    <s v="-"/>
    <s v="-"/>
    <s v="-"/>
    <s v="-"/>
    <n v="0"/>
    <x v="2"/>
    <s v="-"/>
    <n v="0"/>
    <s v="-"/>
    <x v="0"/>
    <x v="0"/>
  </r>
  <r>
    <n v="774"/>
    <x v="773"/>
    <s v="-"/>
    <x v="112"/>
    <s v="-"/>
    <x v="717"/>
    <n v="0"/>
    <x v="0"/>
    <x v="16"/>
    <x v="2"/>
    <x v="159"/>
    <s v="-"/>
    <x v="17"/>
    <x v="3"/>
    <x v="0"/>
    <s v="N.Shailaja"/>
    <s v="-"/>
    <s v="-"/>
    <s v="-"/>
    <s v="-"/>
    <s v="-"/>
    <n v="0"/>
    <x v="2"/>
    <s v="-"/>
    <n v="0"/>
    <s v="-"/>
    <x v="0"/>
    <x v="0"/>
  </r>
  <r>
    <n v="775"/>
    <x v="774"/>
    <s v="-"/>
    <x v="112"/>
    <s v="-"/>
    <x v="718"/>
    <n v="0"/>
    <x v="0"/>
    <x v="3"/>
    <x v="2"/>
    <x v="199"/>
    <s v="-"/>
    <x v="12"/>
    <x v="3"/>
    <x v="0"/>
    <s v="Sai"/>
    <s v="-"/>
    <s v="-"/>
    <s v="-"/>
    <s v="-"/>
    <s v="-"/>
    <n v="0"/>
    <x v="2"/>
    <s v="-"/>
    <n v="0"/>
    <s v="-"/>
    <x v="0"/>
    <x v="0"/>
  </r>
  <r>
    <n v="776"/>
    <x v="775"/>
    <s v="-"/>
    <x v="111"/>
    <s v="-"/>
    <x v="719"/>
    <n v="0"/>
    <x v="0"/>
    <x v="5"/>
    <x v="2"/>
    <x v="41"/>
    <s v="-"/>
    <x v="24"/>
    <x v="3"/>
    <x v="0"/>
    <s v="Rajini"/>
    <s v="-"/>
    <s v="-"/>
    <s v="-"/>
    <s v="-"/>
    <s v="-"/>
    <n v="0"/>
    <x v="2"/>
    <s v="-"/>
    <n v="0"/>
    <s v="-"/>
    <x v="0"/>
    <x v="0"/>
  </r>
  <r>
    <n v="777"/>
    <x v="776"/>
    <s v="-"/>
    <x v="108"/>
    <s v="-"/>
    <x v="720"/>
    <n v="0"/>
    <x v="0"/>
    <x v="3"/>
    <x v="2"/>
    <x v="171"/>
    <s v="-"/>
    <x v="12"/>
    <x v="3"/>
    <x v="0"/>
    <s v="Leena"/>
    <s v="-"/>
    <s v="-"/>
    <s v="-"/>
    <s v="-"/>
    <s v="-"/>
    <n v="0"/>
    <x v="2"/>
    <s v="-"/>
    <n v="0"/>
    <s v="-"/>
    <x v="0"/>
    <x v="0"/>
  </r>
  <r>
    <n v="778"/>
    <x v="777"/>
    <s v="-"/>
    <x v="108"/>
    <s v="-"/>
    <x v="721"/>
    <n v="0"/>
    <x v="0"/>
    <x v="3"/>
    <x v="2"/>
    <x v="199"/>
    <s v="-"/>
    <x v="12"/>
    <x v="3"/>
    <x v="0"/>
    <s v="Priyanka"/>
    <s v="-"/>
    <s v="-"/>
    <s v="-"/>
    <s v="-"/>
    <s v="-"/>
    <n v="0"/>
    <x v="2"/>
    <s v="-"/>
    <n v="0"/>
    <s v="-"/>
    <x v="0"/>
    <x v="0"/>
  </r>
  <r>
    <n v="779"/>
    <x v="778"/>
    <s v="-"/>
    <x v="107"/>
    <s v="-"/>
    <x v="722"/>
    <n v="0"/>
    <x v="0"/>
    <x v="16"/>
    <x v="2"/>
    <x v="171"/>
    <s v="-"/>
    <x v="35"/>
    <x v="3"/>
    <x v="0"/>
    <s v="Madhu"/>
    <s v="-"/>
    <s v="-"/>
    <s v="-"/>
    <s v="-"/>
    <s v="-"/>
    <n v="0"/>
    <x v="2"/>
    <s v="-"/>
    <n v="0"/>
    <s v="-"/>
    <x v="0"/>
    <x v="0"/>
  </r>
  <r>
    <n v="780"/>
    <x v="779"/>
    <s v="-"/>
    <x v="107"/>
    <s v="-"/>
    <x v="722"/>
    <n v="0"/>
    <x v="0"/>
    <x v="16"/>
    <x v="2"/>
    <x v="171"/>
    <s v="-"/>
    <x v="35"/>
    <x v="3"/>
    <x v="0"/>
    <s v="Neelima"/>
    <s v="-"/>
    <s v="-"/>
    <s v="-"/>
    <s v="-"/>
    <s v="-"/>
    <n v="0"/>
    <x v="2"/>
    <s v="-"/>
    <n v="0"/>
    <s v="-"/>
    <x v="0"/>
    <x v="0"/>
  </r>
  <r>
    <n v="781"/>
    <x v="780"/>
    <s v="-"/>
    <x v="105"/>
    <s v="-"/>
    <x v="723"/>
    <n v="0"/>
    <x v="0"/>
    <x v="5"/>
    <x v="2"/>
    <x v="171"/>
    <s v="-"/>
    <x v="36"/>
    <x v="3"/>
    <x v="0"/>
    <s v="Sowjanya"/>
    <s v="-"/>
    <s v="-"/>
    <s v="-"/>
    <s v="-"/>
    <s v="-"/>
    <n v="0"/>
    <x v="2"/>
    <s v="-"/>
    <n v="0"/>
    <s v="-"/>
    <x v="0"/>
    <x v="0"/>
  </r>
  <r>
    <n v="782"/>
    <x v="781"/>
    <s v="-"/>
    <x v="105"/>
    <s v="-"/>
    <x v="724"/>
    <n v="0"/>
    <x v="0"/>
    <x v="5"/>
    <x v="2"/>
    <x v="171"/>
    <s v="-"/>
    <x v="37"/>
    <x v="3"/>
    <x v="18"/>
    <s v="Usha Latha"/>
    <s v="-"/>
    <s v="-"/>
    <s v="-"/>
    <s v="-"/>
    <s v="-"/>
    <n v="0"/>
    <x v="2"/>
    <s v="-"/>
    <n v="0"/>
    <s v="-"/>
    <x v="0"/>
    <x v="0"/>
  </r>
  <r>
    <n v="783"/>
    <x v="782"/>
    <s v="-"/>
    <x v="105"/>
    <s v="-"/>
    <x v="725"/>
    <n v="0"/>
    <x v="0"/>
    <x v="14"/>
    <x v="2"/>
    <x v="159"/>
    <s v="-"/>
    <x v="38"/>
    <x v="3"/>
    <x v="0"/>
    <s v="Rajeshwari"/>
    <s v="-"/>
    <s v="-"/>
    <s v="-"/>
    <s v="-"/>
    <s v="-"/>
    <n v="0"/>
    <x v="2"/>
    <s v="-"/>
    <n v="0"/>
    <s v="-"/>
    <x v="0"/>
    <x v="0"/>
  </r>
  <r>
    <n v="784"/>
    <x v="783"/>
    <s v="-"/>
    <x v="109"/>
    <s v="-"/>
    <x v="726"/>
    <n v="0"/>
    <x v="0"/>
    <x v="3"/>
    <x v="9"/>
    <x v="222"/>
    <s v="-"/>
    <x v="12"/>
    <x v="3"/>
    <x v="0"/>
    <s v="Yamini"/>
    <s v="-"/>
    <s v="-"/>
    <s v="-"/>
    <s v="-"/>
    <s v="-"/>
    <n v="0"/>
    <x v="2"/>
    <s v="-"/>
    <n v="0"/>
    <s v="-"/>
    <x v="0"/>
    <x v="0"/>
  </r>
  <r>
    <n v="785"/>
    <x v="784"/>
    <s v="-"/>
    <x v="105"/>
    <s v="-"/>
    <x v="727"/>
    <n v="0"/>
    <x v="0"/>
    <x v="5"/>
    <x v="2"/>
    <x v="203"/>
    <s v="-"/>
    <x v="23"/>
    <x v="3"/>
    <x v="0"/>
    <s v="B.Shailaja"/>
    <s v="-"/>
    <s v="-"/>
    <s v="-"/>
    <s v="-"/>
    <s v="-"/>
    <n v="0"/>
    <x v="2"/>
    <s v="-"/>
    <n v="0"/>
    <s v="-"/>
    <x v="0"/>
    <x v="0"/>
  </r>
  <r>
    <n v="786"/>
    <x v="785"/>
    <s v="-"/>
    <x v="105"/>
    <s v="-"/>
    <x v="728"/>
    <n v="0"/>
    <x v="0"/>
    <x v="7"/>
    <x v="2"/>
    <x v="213"/>
    <s v="-"/>
    <x v="23"/>
    <x v="3"/>
    <x v="0"/>
    <s v="N.Shailaja"/>
    <s v="-"/>
    <s v="-"/>
    <s v="-"/>
    <s v="-"/>
    <s v="-"/>
    <n v="0"/>
    <x v="2"/>
    <s v="-"/>
    <n v="0"/>
    <s v="-"/>
    <x v="0"/>
    <x v="0"/>
  </r>
  <r>
    <n v="787"/>
    <x v="786"/>
    <s v="-"/>
    <x v="121"/>
    <s v="-"/>
    <x v="729"/>
    <n v="0"/>
    <x v="0"/>
    <x v="5"/>
    <x v="2"/>
    <x v="171"/>
    <s v="-"/>
    <x v="25"/>
    <x v="3"/>
    <x v="0"/>
    <s v="Sai"/>
    <s v="-"/>
    <s v="-"/>
    <s v="-"/>
    <s v="-"/>
    <s v="-"/>
    <n v="0"/>
    <x v="2"/>
    <s v="-"/>
    <n v="0"/>
    <s v="-"/>
    <x v="0"/>
    <x v="0"/>
  </r>
  <r>
    <n v="788"/>
    <x v="787"/>
    <s v="-"/>
    <x v="121"/>
    <s v="-"/>
    <x v="730"/>
    <n v="0"/>
    <x v="0"/>
    <x v="7"/>
    <x v="2"/>
    <x v="203"/>
    <s v="-"/>
    <x v="23"/>
    <x v="3"/>
    <x v="0"/>
    <s v="Rajini"/>
    <s v="-"/>
    <s v="-"/>
    <s v="-"/>
    <s v="-"/>
    <s v="-"/>
    <n v="0"/>
    <x v="2"/>
    <s v="-"/>
    <n v="0"/>
    <s v="-"/>
    <x v="0"/>
    <x v="0"/>
  </r>
  <r>
    <n v="789"/>
    <x v="788"/>
    <s v="-"/>
    <x v="102"/>
    <s v="-"/>
    <x v="731"/>
    <n v="0"/>
    <x v="0"/>
    <x v="7"/>
    <x v="2"/>
    <x v="197"/>
    <s v="-"/>
    <x v="10"/>
    <x v="3"/>
    <x v="1"/>
    <s v="Leena"/>
    <s v="-"/>
    <s v="-"/>
    <s v="-"/>
    <s v="-"/>
    <s v="-"/>
    <n v="0"/>
    <x v="2"/>
    <s v="-"/>
    <n v="0"/>
    <s v="-"/>
    <x v="0"/>
    <x v="0"/>
  </r>
  <r>
    <n v="790"/>
    <x v="789"/>
    <s v="-"/>
    <x v="122"/>
    <s v="-"/>
    <x v="732"/>
    <n v="0"/>
    <x v="0"/>
    <x v="5"/>
    <x v="2"/>
    <x v="171"/>
    <s v="-"/>
    <x v="22"/>
    <x v="3"/>
    <x v="18"/>
    <s v="Priyanka"/>
    <s v="-"/>
    <s v="-"/>
    <s v="-"/>
    <s v="-"/>
    <s v="-"/>
    <n v="0"/>
    <x v="2"/>
    <s v="-"/>
    <n v="0"/>
    <s v="-"/>
    <x v="0"/>
    <x v="0"/>
  </r>
  <r>
    <n v="791"/>
    <x v="790"/>
    <s v="-"/>
    <x v="122"/>
    <s v="-"/>
    <x v="733"/>
    <n v="0"/>
    <x v="0"/>
    <x v="5"/>
    <x v="2"/>
    <x v="208"/>
    <s v="-"/>
    <x v="23"/>
    <x v="3"/>
    <x v="0"/>
    <s v="Madhu"/>
    <s v="-"/>
    <s v="-"/>
    <s v="-"/>
    <s v="-"/>
    <s v="-"/>
    <n v="0"/>
    <x v="2"/>
    <s v="-"/>
    <n v="0"/>
    <s v="-"/>
    <x v="0"/>
    <x v="0"/>
  </r>
  <r>
    <n v="792"/>
    <x v="791"/>
    <s v="-"/>
    <x v="97"/>
    <s v="-"/>
    <x v="734"/>
    <n v="0"/>
    <x v="0"/>
    <x v="3"/>
    <x v="2"/>
    <x v="41"/>
    <s v="-"/>
    <x v="18"/>
    <x v="3"/>
    <x v="0"/>
    <s v="Neelima"/>
    <s v="-"/>
    <s v="-"/>
    <s v="-"/>
    <s v="-"/>
    <s v="-"/>
    <n v="0"/>
    <x v="2"/>
    <s v="-"/>
    <n v="0"/>
    <s v="-"/>
    <x v="0"/>
    <x v="0"/>
  </r>
  <r>
    <n v="793"/>
    <x v="792"/>
    <s v="-"/>
    <x v="97"/>
    <s v="-"/>
    <x v="735"/>
    <n v="0"/>
    <x v="0"/>
    <x v="16"/>
    <x v="2"/>
    <x v="159"/>
    <s v="-"/>
    <x v="17"/>
    <x v="3"/>
    <x v="0"/>
    <s v="Neelima"/>
    <s v="-"/>
    <s v="-"/>
    <s v="-"/>
    <s v="-"/>
    <s v="-"/>
    <n v="0"/>
    <x v="2"/>
    <s v="-"/>
    <n v="0"/>
    <s v="-"/>
    <x v="0"/>
    <x v="0"/>
  </r>
  <r>
    <n v="794"/>
    <x v="793"/>
    <s v="-"/>
    <x v="97"/>
    <s v="-"/>
    <x v="736"/>
    <n v="0"/>
    <x v="0"/>
    <x v="3"/>
    <x v="2"/>
    <x v="223"/>
    <s v="-"/>
    <x v="39"/>
    <x v="3"/>
    <x v="0"/>
    <s v="Sowjanya"/>
    <s v="-"/>
    <s v="Duplicate"/>
    <s v="-"/>
    <s v="-"/>
    <s v="-"/>
    <n v="0"/>
    <x v="2"/>
    <s v="-"/>
    <n v="0"/>
    <s v="-"/>
    <x v="0"/>
    <x v="0"/>
  </r>
  <r>
    <n v="795"/>
    <x v="794"/>
    <s v="-"/>
    <x v="118"/>
    <s v="-"/>
    <x v="737"/>
    <n v="0"/>
    <x v="0"/>
    <x v="17"/>
    <x v="2"/>
    <x v="159"/>
    <s v="-"/>
    <x v="27"/>
    <x v="3"/>
    <x v="18"/>
    <s v="Usha Latha"/>
    <s v="-"/>
    <s v="-"/>
    <s v="-"/>
    <s v="-"/>
    <s v="-"/>
    <n v="0"/>
    <x v="2"/>
    <s v="-"/>
    <n v="0"/>
    <s v="-"/>
    <x v="0"/>
    <x v="0"/>
  </r>
  <r>
    <n v="796"/>
    <x v="795"/>
    <s v="-"/>
    <x v="123"/>
    <s v="-"/>
    <x v="738"/>
    <n v="0"/>
    <x v="0"/>
    <x v="7"/>
    <x v="2"/>
    <x v="224"/>
    <s v="-"/>
    <x v="23"/>
    <x v="3"/>
    <x v="18"/>
    <s v="Rajeshwari"/>
    <s v="-"/>
    <s v="-"/>
    <s v="-"/>
    <s v="-"/>
    <s v="-"/>
    <n v="0"/>
    <x v="2"/>
    <s v="-"/>
    <n v="0"/>
    <s v="-"/>
    <x v="0"/>
    <x v="0"/>
  </r>
  <r>
    <n v="797"/>
    <x v="796"/>
    <s v="-"/>
    <x v="124"/>
    <s v="-"/>
    <x v="739"/>
    <n v="0"/>
    <x v="0"/>
    <x v="3"/>
    <x v="2"/>
    <x v="213"/>
    <s v="-"/>
    <x v="23"/>
    <x v="3"/>
    <x v="18"/>
    <s v="Yamini"/>
    <s v="-"/>
    <s v="-"/>
    <s v="-"/>
    <s v="-"/>
    <s v="-"/>
    <n v="0"/>
    <x v="2"/>
    <s v="-"/>
    <n v="0"/>
    <s v="-"/>
    <x v="0"/>
    <x v="0"/>
  </r>
  <r>
    <n v="798"/>
    <x v="797"/>
    <s v="-"/>
    <x v="125"/>
    <s v="-"/>
    <x v="740"/>
    <n v="0"/>
    <x v="0"/>
    <x v="5"/>
    <x v="2"/>
    <x v="171"/>
    <s v="-"/>
    <x v="12"/>
    <x v="3"/>
    <x v="16"/>
    <s v="B.Shailaja"/>
    <s v="-"/>
    <s v="-"/>
    <s v="-"/>
    <s v="-"/>
    <s v="-"/>
    <n v="0"/>
    <x v="2"/>
    <s v="-"/>
    <n v="0"/>
    <s v="-"/>
    <x v="0"/>
    <x v="0"/>
  </r>
  <r>
    <n v="799"/>
    <x v="798"/>
    <s v="-"/>
    <x v="125"/>
    <s v="-"/>
    <x v="741"/>
    <n v="0"/>
    <x v="0"/>
    <x v="17"/>
    <x v="2"/>
    <x v="120"/>
    <s v="-"/>
    <x v="12"/>
    <x v="3"/>
    <x v="16"/>
    <s v="N.Shailaja"/>
    <s v="-"/>
    <s v="-"/>
    <s v="-"/>
    <s v="-"/>
    <s v="-"/>
    <n v="0"/>
    <x v="2"/>
    <s v="-"/>
    <n v="0"/>
    <s v="-"/>
    <x v="0"/>
    <x v="0"/>
  </r>
  <r>
    <n v="800"/>
    <x v="799"/>
    <s v="-"/>
    <x v="90"/>
    <s v="-"/>
    <x v="742"/>
    <n v="0"/>
    <x v="0"/>
    <x v="17"/>
    <x v="2"/>
    <x v="41"/>
    <s v="-"/>
    <x v="24"/>
    <x v="3"/>
    <x v="18"/>
    <s v="Sai"/>
    <s v="-"/>
    <s v="-"/>
    <s v="-"/>
    <s v="-"/>
    <s v="-"/>
    <n v="0"/>
    <x v="2"/>
    <s v="-"/>
    <n v="0"/>
    <s v="-"/>
    <x v="0"/>
    <x v="0"/>
  </r>
  <r>
    <n v="801"/>
    <x v="800"/>
    <s v="-"/>
    <x v="90"/>
    <s v="-"/>
    <x v="743"/>
    <n v="0"/>
    <x v="0"/>
    <x v="7"/>
    <x v="2"/>
    <x v="159"/>
    <s v="-"/>
    <x v="26"/>
    <x v="3"/>
    <x v="18"/>
    <s v="Rajini"/>
    <s v="-"/>
    <s v="-"/>
    <s v="-"/>
    <s v="-"/>
    <s v="-"/>
    <n v="0"/>
    <x v="2"/>
    <s v="-"/>
    <n v="0"/>
    <s v="-"/>
    <x v="0"/>
    <x v="0"/>
  </r>
  <r>
    <n v="802"/>
    <x v="801"/>
    <s v="-"/>
    <x v="126"/>
    <s v="-"/>
    <x v="744"/>
    <n v="0"/>
    <x v="0"/>
    <x v="5"/>
    <x v="2"/>
    <x v="159"/>
    <s v="-"/>
    <x v="27"/>
    <x v="3"/>
    <x v="18"/>
    <s v="Leena"/>
    <s v="-"/>
    <s v="-"/>
    <s v="-"/>
    <s v="-"/>
    <s v="-"/>
    <n v="0"/>
    <x v="2"/>
    <s v="-"/>
    <n v="0"/>
    <s v="-"/>
    <x v="0"/>
    <x v="0"/>
  </r>
  <r>
    <n v="803"/>
    <x v="802"/>
    <s v="-"/>
    <x v="127"/>
    <s v="-"/>
    <x v="745"/>
    <n v="0"/>
    <x v="0"/>
    <x v="5"/>
    <x v="2"/>
    <x v="21"/>
    <s v="-"/>
    <x v="12"/>
    <x v="3"/>
    <x v="16"/>
    <s v="Priyanka"/>
    <s v="-"/>
    <s v="-"/>
    <s v="-"/>
    <s v="-"/>
    <s v="-"/>
    <n v="0"/>
    <x v="2"/>
    <s v="-"/>
    <n v="0"/>
    <s v="-"/>
    <x v="0"/>
    <x v="0"/>
  </r>
  <r>
    <n v="804"/>
    <x v="803"/>
    <s v="-"/>
    <x v="127"/>
    <s v="-"/>
    <x v="746"/>
    <n v="0"/>
    <x v="0"/>
    <x v="5"/>
    <x v="2"/>
    <x v="203"/>
    <s v="-"/>
    <x v="23"/>
    <x v="3"/>
    <x v="18"/>
    <s v="Madhu"/>
    <s v="-"/>
    <s v="-"/>
    <s v="-"/>
    <s v="-"/>
    <s v="-"/>
    <n v="0"/>
    <x v="2"/>
    <s v="-"/>
    <n v="0"/>
    <s v="-"/>
    <x v="0"/>
    <x v="0"/>
  </r>
  <r>
    <n v="805"/>
    <x v="804"/>
    <s v="-"/>
    <x v="77"/>
    <s v="-"/>
    <x v="747"/>
    <n v="0"/>
    <x v="0"/>
    <x v="16"/>
    <x v="2"/>
    <x v="171"/>
    <s v="-"/>
    <x v="0"/>
    <x v="3"/>
    <x v="18"/>
    <s v="Neelima"/>
    <s v="-"/>
    <s v="-"/>
    <s v="-"/>
    <s v="-"/>
    <s v="-"/>
    <n v="0"/>
    <x v="2"/>
    <s v="-"/>
    <n v="0"/>
    <s v="-"/>
    <x v="0"/>
    <x v="0"/>
  </r>
  <r>
    <n v="806"/>
    <x v="805"/>
    <s v="-"/>
    <x v="117"/>
    <s v="-"/>
    <x v="748"/>
    <n v="0"/>
    <x v="0"/>
    <x v="5"/>
    <x v="2"/>
    <x v="203"/>
    <s v="-"/>
    <x v="23"/>
    <x v="3"/>
    <x v="18"/>
    <s v="Sowjanya"/>
    <s v="-"/>
    <s v="-"/>
    <s v="-"/>
    <s v="-"/>
    <s v="-"/>
    <n v="0"/>
    <x v="2"/>
    <s v="-"/>
    <n v="0"/>
    <s v="-"/>
    <x v="0"/>
    <x v="0"/>
  </r>
  <r>
    <n v="807"/>
    <x v="806"/>
    <s v="-"/>
    <x v="128"/>
    <s v="-"/>
    <x v="749"/>
    <n v="0"/>
    <x v="0"/>
    <x v="14"/>
    <x v="2"/>
    <x v="203"/>
    <s v="-"/>
    <x v="23"/>
    <x v="3"/>
    <x v="18"/>
    <s v="Usha Latha"/>
    <s v="-"/>
    <s v="-"/>
    <s v="-"/>
    <s v="-"/>
    <s v="-"/>
    <n v="0"/>
    <x v="2"/>
    <s v="-"/>
    <n v="0"/>
    <s v="-"/>
    <x v="0"/>
    <x v="0"/>
  </r>
  <r>
    <n v="808"/>
    <x v="807"/>
    <s v="-"/>
    <x v="86"/>
    <s v="-"/>
    <x v="750"/>
    <n v="0"/>
    <x v="0"/>
    <x v="4"/>
    <x v="2"/>
    <x v="225"/>
    <s v="-"/>
    <x v="39"/>
    <x v="3"/>
    <x v="0"/>
    <s v="Rajeshwari"/>
    <s v="-"/>
    <s v="-"/>
    <s v="-"/>
    <s v="-"/>
    <s v="-"/>
    <n v="0"/>
    <x v="2"/>
    <s v="-"/>
    <n v="0"/>
    <s v="-"/>
    <x v="0"/>
    <x v="0"/>
  </r>
  <r>
    <n v="809"/>
    <x v="808"/>
    <s v="-"/>
    <x v="129"/>
    <s v="-"/>
    <x v="751"/>
    <n v="0"/>
    <x v="0"/>
    <x v="7"/>
    <x v="2"/>
    <x v="171"/>
    <s v="-"/>
    <x v="25"/>
    <x v="3"/>
    <x v="18"/>
    <s v="Yamini"/>
    <s v="-"/>
    <s v="-"/>
    <s v="-"/>
    <s v="-"/>
    <s v="-"/>
    <n v="0"/>
    <x v="2"/>
    <s v="-"/>
    <n v="0"/>
    <s v="-"/>
    <x v="0"/>
    <x v="0"/>
  </r>
  <r>
    <n v="810"/>
    <x v="809"/>
    <s v="-"/>
    <x v="129"/>
    <s v="-"/>
    <x v="752"/>
    <n v="0"/>
    <x v="0"/>
    <x v="7"/>
    <x v="2"/>
    <x v="159"/>
    <s v="-"/>
    <x v="25"/>
    <x v="3"/>
    <x v="18"/>
    <s v="B.Shailaja"/>
    <s v="-"/>
    <s v="-"/>
    <s v="-"/>
    <s v="-"/>
    <s v="-"/>
    <n v="0"/>
    <x v="2"/>
    <s v="-"/>
    <n v="0"/>
    <s v="-"/>
    <x v="0"/>
    <x v="0"/>
  </r>
  <r>
    <n v="811"/>
    <x v="810"/>
    <s v="-"/>
    <x v="130"/>
    <s v="-"/>
    <x v="753"/>
    <n v="0"/>
    <x v="0"/>
    <x v="5"/>
    <x v="2"/>
    <x v="171"/>
    <s v="-"/>
    <x v="13"/>
    <x v="3"/>
    <x v="16"/>
    <s v="N.Shailaja"/>
    <s v="-"/>
    <s v="-"/>
    <s v="-"/>
    <s v="-"/>
    <s v="-"/>
    <n v="0"/>
    <x v="2"/>
    <s v="-"/>
    <n v="0"/>
    <s v="-"/>
    <x v="0"/>
    <x v="0"/>
  </r>
  <r>
    <n v="812"/>
    <x v="811"/>
    <s v="-"/>
    <x v="84"/>
    <s v="-"/>
    <x v="754"/>
    <n v="0"/>
    <x v="0"/>
    <x v="7"/>
    <x v="2"/>
    <x v="197"/>
    <s v="-"/>
    <x v="10"/>
    <x v="3"/>
    <x v="16"/>
    <s v="Sai"/>
    <s v="-"/>
    <s v="-"/>
    <s v="-"/>
    <s v="-"/>
    <s v="-"/>
    <n v="0"/>
    <x v="2"/>
    <s v="-"/>
    <n v="0"/>
    <s v="-"/>
    <x v="0"/>
    <x v="0"/>
  </r>
  <r>
    <n v="813"/>
    <x v="812"/>
    <s v="-"/>
    <x v="84"/>
    <s v="-"/>
    <x v="755"/>
    <n v="0"/>
    <x v="0"/>
    <x v="7"/>
    <x v="2"/>
    <x v="197"/>
    <s v="-"/>
    <x v="10"/>
    <x v="3"/>
    <x v="16"/>
    <s v="Rajini"/>
    <s v="-"/>
    <s v="-"/>
    <s v="-"/>
    <s v="-"/>
    <s v="-"/>
    <n v="0"/>
    <x v="2"/>
    <s v="-"/>
    <n v="0"/>
    <s v="-"/>
    <x v="0"/>
    <x v="0"/>
  </r>
  <r>
    <n v="814"/>
    <x v="813"/>
    <s v="-"/>
    <x v="84"/>
    <s v="-"/>
    <x v="756"/>
    <n v="0"/>
    <x v="0"/>
    <x v="7"/>
    <x v="2"/>
    <x v="197"/>
    <s v="-"/>
    <x v="10"/>
    <x v="3"/>
    <x v="16"/>
    <s v="Leena"/>
    <s v="-"/>
    <s v="-"/>
    <s v="-"/>
    <s v="-"/>
    <s v="-"/>
    <n v="0"/>
    <x v="2"/>
    <s v="-"/>
    <n v="0"/>
    <s v="-"/>
    <x v="0"/>
    <x v="0"/>
  </r>
  <r>
    <n v="815"/>
    <x v="814"/>
    <s v="-"/>
    <x v="84"/>
    <s v="-"/>
    <x v="757"/>
    <n v="0"/>
    <x v="0"/>
    <x v="7"/>
    <x v="2"/>
    <x v="197"/>
    <s v="-"/>
    <x v="10"/>
    <x v="3"/>
    <x v="16"/>
    <s v="Priyanka"/>
    <s v="-"/>
    <s v="-"/>
    <s v="-"/>
    <s v="-"/>
    <s v="-"/>
    <n v="0"/>
    <x v="2"/>
    <s v="-"/>
    <n v="0"/>
    <s v="-"/>
    <x v="0"/>
    <x v="0"/>
  </r>
  <r>
    <n v="816"/>
    <x v="815"/>
    <s v="-"/>
    <x v="131"/>
    <s v="-"/>
    <x v="758"/>
    <n v="0"/>
    <x v="0"/>
    <x v="5"/>
    <x v="2"/>
    <x v="171"/>
    <s v="-"/>
    <x v="13"/>
    <x v="3"/>
    <x v="16"/>
    <s v="Madhu"/>
    <s v="-"/>
    <s v="-"/>
    <s v="-"/>
    <s v="-"/>
    <s v="-"/>
    <n v="0"/>
    <x v="2"/>
    <s v="-"/>
    <n v="0"/>
    <s v="-"/>
    <x v="0"/>
    <x v="0"/>
  </r>
  <r>
    <n v="817"/>
    <x v="816"/>
    <s v="-"/>
    <x v="132"/>
    <s v="-"/>
    <x v="759"/>
    <n v="0"/>
    <x v="0"/>
    <x v="5"/>
    <x v="2"/>
    <x v="226"/>
    <s v="-"/>
    <x v="40"/>
    <x v="3"/>
    <x v="0"/>
    <s v="Neelima"/>
    <s v="-"/>
    <s v="-"/>
    <s v="-"/>
    <s v="-"/>
    <s v="-"/>
    <n v="0"/>
    <x v="2"/>
    <s v="-"/>
    <n v="0"/>
    <s v="-"/>
    <x v="0"/>
    <x v="0"/>
  </r>
  <r>
    <n v="818"/>
    <x v="817"/>
    <s v="-"/>
    <x v="133"/>
    <s v="-"/>
    <x v="760"/>
    <n v="0"/>
    <x v="0"/>
    <x v="16"/>
    <x v="2"/>
    <x v="171"/>
    <s v="-"/>
    <x v="41"/>
    <x v="3"/>
    <x v="0"/>
    <s v="Sowjanya"/>
    <s v="-"/>
    <s v="-"/>
    <s v="-"/>
    <s v="-"/>
    <s v="-"/>
    <n v="0"/>
    <x v="2"/>
    <s v="-"/>
    <n v="0"/>
    <s v="-"/>
    <x v="0"/>
    <x v="0"/>
  </r>
  <r>
    <n v="819"/>
    <x v="818"/>
    <s v="-"/>
    <x v="134"/>
    <s v="-"/>
    <x v="761"/>
    <n v="0"/>
    <x v="0"/>
    <x v="14"/>
    <x v="2"/>
    <x v="227"/>
    <s v="-"/>
    <x v="27"/>
    <x v="3"/>
    <x v="16"/>
    <s v="Usha Latha"/>
    <s v="-"/>
    <s v="-"/>
    <s v="-"/>
    <s v="-"/>
    <s v="-"/>
    <n v="0"/>
    <x v="2"/>
    <s v="-"/>
    <n v="0"/>
    <s v="-"/>
    <x v="0"/>
    <x v="0"/>
  </r>
  <r>
    <n v="820"/>
    <x v="819"/>
    <s v="-"/>
    <x v="135"/>
    <s v="-"/>
    <x v="762"/>
    <n v="0"/>
    <x v="0"/>
    <x v="16"/>
    <x v="2"/>
    <x v="159"/>
    <s v="-"/>
    <x v="42"/>
    <x v="3"/>
    <x v="18"/>
    <s v="Rajeshwari"/>
    <s v="-"/>
    <s v="-"/>
    <s v="-"/>
    <s v="-"/>
    <s v="-"/>
    <n v="0"/>
    <x v="2"/>
    <s v="-"/>
    <n v="0"/>
    <s v="-"/>
    <x v="0"/>
    <x v="0"/>
  </r>
  <r>
    <n v="821"/>
    <x v="820"/>
    <s v="-"/>
    <x v="135"/>
    <s v="-"/>
    <x v="763"/>
    <n v="0"/>
    <x v="0"/>
    <x v="16"/>
    <x v="2"/>
    <x v="140"/>
    <s v="-"/>
    <x v="43"/>
    <x v="3"/>
    <x v="18"/>
    <s v="Yamini"/>
    <s v="-"/>
    <s v="-"/>
    <s v="-"/>
    <s v="-"/>
    <s v="-"/>
    <n v="0"/>
    <x v="2"/>
    <s v="-"/>
    <n v="0"/>
    <s v="-"/>
    <x v="0"/>
    <x v="0"/>
  </r>
  <r>
    <n v="822"/>
    <x v="821"/>
    <s v="-"/>
    <x v="136"/>
    <s v="-"/>
    <x v="764"/>
    <n v="0"/>
    <x v="0"/>
    <x v="3"/>
    <x v="2"/>
    <x v="228"/>
    <s v="-"/>
    <x v="23"/>
    <x v="3"/>
    <x v="18"/>
    <s v="B.Shailaja"/>
    <s v="-"/>
    <s v="-"/>
    <s v="-"/>
    <s v="-"/>
    <s v="-"/>
    <n v="0"/>
    <x v="2"/>
    <s v="-"/>
    <n v="0"/>
    <s v="-"/>
    <x v="0"/>
    <x v="0"/>
  </r>
  <r>
    <n v="823"/>
    <x v="822"/>
    <s v="-"/>
    <x v="136"/>
    <s v="-"/>
    <x v="765"/>
    <n v="0"/>
    <x v="0"/>
    <x v="16"/>
    <x v="2"/>
    <x v="159"/>
    <s v="-"/>
    <x v="44"/>
    <x v="3"/>
    <x v="18"/>
    <s v="N.Shailaja"/>
    <s v="-"/>
    <s v="-"/>
    <s v="-"/>
    <s v="-"/>
    <s v="-"/>
    <n v="0"/>
    <x v="2"/>
    <s v="-"/>
    <n v="0"/>
    <s v="-"/>
    <x v="0"/>
    <x v="0"/>
  </r>
  <r>
    <n v="824"/>
    <x v="823"/>
    <s v="-"/>
    <x v="137"/>
    <s v="-"/>
    <x v="766"/>
    <n v="0"/>
    <x v="0"/>
    <x v="7"/>
    <x v="2"/>
    <x v="223"/>
    <s v="-"/>
    <x v="39"/>
    <x v="3"/>
    <x v="18"/>
    <s v="Sai"/>
    <s v="-"/>
    <s v="-"/>
    <s v="-"/>
    <s v="-"/>
    <s v="-"/>
    <n v="0"/>
    <x v="2"/>
    <s v="-"/>
    <n v="0"/>
    <s v="-"/>
    <x v="0"/>
    <x v="0"/>
  </r>
  <r>
    <n v="825"/>
    <x v="824"/>
    <s v="-"/>
    <x v="138"/>
    <s v="-"/>
    <x v="767"/>
    <n v="0"/>
    <x v="0"/>
    <x v="14"/>
    <x v="2"/>
    <x v="228"/>
    <s v="-"/>
    <x v="23"/>
    <x v="3"/>
    <x v="18"/>
    <s v="Rajini"/>
    <s v="-"/>
    <s v="-"/>
    <s v="-"/>
    <s v="-"/>
    <s v="-"/>
    <n v="0"/>
    <x v="2"/>
    <s v="-"/>
    <n v="0"/>
    <s v="-"/>
    <x v="0"/>
    <x v="0"/>
  </r>
  <r>
    <n v="826"/>
    <x v="825"/>
    <s v="-"/>
    <x v="139"/>
    <s v="-"/>
    <x v="768"/>
    <n v="0"/>
    <x v="0"/>
    <x v="5"/>
    <x v="2"/>
    <x v="26"/>
    <s v="-"/>
    <x v="23"/>
    <x v="3"/>
    <x v="0"/>
    <s v="Leena"/>
    <s v="-"/>
    <s v="-"/>
    <s v="-"/>
    <s v="-"/>
    <s v="-"/>
    <n v="0"/>
    <x v="2"/>
    <s v="-"/>
    <n v="0"/>
    <s v="-"/>
    <x v="0"/>
    <x v="0"/>
  </r>
  <r>
    <n v="827"/>
    <x v="826"/>
    <s v="-"/>
    <x v="140"/>
    <s v="-"/>
    <x v="769"/>
    <n v="0"/>
    <x v="0"/>
    <x v="16"/>
    <x v="2"/>
    <x v="26"/>
    <s v="-"/>
    <x v="43"/>
    <x v="3"/>
    <x v="0"/>
    <s v="Priyanka"/>
    <s v="-"/>
    <s v="-"/>
    <s v="-"/>
    <s v="-"/>
    <s v="-"/>
    <n v="0"/>
    <x v="2"/>
    <s v="-"/>
    <n v="0"/>
    <s v="-"/>
    <x v="0"/>
    <x v="0"/>
  </r>
  <r>
    <n v="828"/>
    <x v="827"/>
    <s v="-"/>
    <x v="141"/>
    <s v="-"/>
    <x v="770"/>
    <n v="0"/>
    <x v="0"/>
    <x v="3"/>
    <x v="2"/>
    <x v="203"/>
    <s v="-"/>
    <x v="23"/>
    <x v="3"/>
    <x v="18"/>
    <s v="Madhu"/>
    <s v="-"/>
    <s v="-"/>
    <s v="-"/>
    <s v="-"/>
    <s v="-"/>
    <n v="0"/>
    <x v="2"/>
    <s v="-"/>
    <n v="0"/>
    <s v="-"/>
    <x v="0"/>
    <x v="0"/>
  </r>
  <r>
    <n v="829"/>
    <x v="828"/>
    <s v="-"/>
    <x v="142"/>
    <s v="-"/>
    <x v="771"/>
    <n v="0"/>
    <x v="0"/>
    <x v="3"/>
    <x v="2"/>
    <x v="159"/>
    <s v="-"/>
    <x v="0"/>
    <x v="3"/>
    <x v="0"/>
    <s v="Neelima"/>
    <s v="-"/>
    <s v="-"/>
    <s v="-"/>
    <s v="-"/>
    <s v="-"/>
    <n v="0"/>
    <x v="2"/>
    <s v="-"/>
    <n v="0"/>
    <s v="-"/>
    <x v="0"/>
    <x v="0"/>
  </r>
  <r>
    <n v="830"/>
    <x v="829"/>
    <s v="-"/>
    <x v="143"/>
    <s v="-"/>
    <x v="772"/>
    <n v="0"/>
    <x v="0"/>
    <x v="5"/>
    <x v="2"/>
    <x v="171"/>
    <s v="-"/>
    <x v="45"/>
    <x v="3"/>
    <x v="0"/>
    <s v="Sowjanya"/>
    <s v="-"/>
    <s v="-"/>
    <s v="-"/>
    <s v="-"/>
    <s v="-"/>
    <n v="0"/>
    <x v="2"/>
    <s v="-"/>
    <n v="0"/>
    <s v="-"/>
    <x v="0"/>
    <x v="0"/>
  </r>
  <r>
    <n v="831"/>
    <x v="830"/>
    <s v="-"/>
    <x v="144"/>
    <s v="-"/>
    <x v="773"/>
    <n v="0"/>
    <x v="0"/>
    <x v="14"/>
    <x v="2"/>
    <x v="159"/>
    <s v="-"/>
    <x v="0"/>
    <x v="3"/>
    <x v="18"/>
    <s v="Usha Latha"/>
    <s v="-"/>
    <s v="-"/>
    <s v="-"/>
    <s v="-"/>
    <s v="-"/>
    <n v="0"/>
    <x v="2"/>
    <s v="-"/>
    <n v="0"/>
    <s v="-"/>
    <x v="0"/>
    <x v="0"/>
  </r>
  <r>
    <n v="832"/>
    <x v="831"/>
    <s v="-"/>
    <x v="145"/>
    <s v="-"/>
    <x v="774"/>
    <n v="0"/>
    <x v="0"/>
    <x v="5"/>
    <x v="2"/>
    <x v="197"/>
    <s v="-"/>
    <x v="10"/>
    <x v="3"/>
    <x v="18"/>
    <s v="Rajeshwari"/>
    <s v="-"/>
    <s v="-"/>
    <s v="-"/>
    <s v="-"/>
    <s v="-"/>
    <n v="0"/>
    <x v="2"/>
    <s v="-"/>
    <n v="0"/>
    <s v="-"/>
    <x v="0"/>
    <x v="0"/>
  </r>
  <r>
    <n v="833"/>
    <x v="832"/>
    <s v="-"/>
    <x v="146"/>
    <s v="-"/>
    <x v="775"/>
    <n v="0"/>
    <x v="0"/>
    <x v="0"/>
    <x v="2"/>
    <x v="14"/>
    <s v="-"/>
    <x v="23"/>
    <x v="3"/>
    <x v="18"/>
    <s v="Yamini"/>
    <s v="-"/>
    <s v="-"/>
    <s v="-"/>
    <s v="-"/>
    <s v="-"/>
    <n v="0"/>
    <x v="2"/>
    <s v="-"/>
    <n v="0"/>
    <s v="-"/>
    <x v="0"/>
    <x v="0"/>
  </r>
  <r>
    <n v="834"/>
    <x v="833"/>
    <s v="-"/>
    <x v="147"/>
    <s v="-"/>
    <x v="776"/>
    <n v="0"/>
    <x v="0"/>
    <x v="3"/>
    <x v="2"/>
    <x v="229"/>
    <s v="-"/>
    <x v="0"/>
    <x v="3"/>
    <x v="17"/>
    <s v="B.Shailaja"/>
    <s v="-"/>
    <s v="-"/>
    <s v="-"/>
    <s v="-"/>
    <s v="-"/>
    <n v="0"/>
    <x v="2"/>
    <s v="-"/>
    <n v="0"/>
    <s v="-"/>
    <x v="0"/>
    <x v="0"/>
  </r>
  <r>
    <n v="835"/>
    <x v="834"/>
    <s v="-"/>
    <x v="148"/>
    <s v="-"/>
    <x v="777"/>
    <n v="0"/>
    <x v="0"/>
    <x v="7"/>
    <x v="2"/>
    <x v="230"/>
    <s v="-"/>
    <x v="31"/>
    <x v="3"/>
    <x v="18"/>
    <s v="N.Shailaja"/>
    <s v="-"/>
    <s v="-"/>
    <s v="-"/>
    <s v="-"/>
    <s v="-"/>
    <n v="0"/>
    <x v="2"/>
    <s v="-"/>
    <n v="0"/>
    <s v="-"/>
    <x v="0"/>
    <x v="0"/>
  </r>
  <r>
    <n v="836"/>
    <x v="835"/>
    <s v="-"/>
    <x v="148"/>
    <s v="-"/>
    <x v="778"/>
    <n v="0"/>
    <x v="0"/>
    <x v="10"/>
    <x v="2"/>
    <x v="231"/>
    <s v="-"/>
    <x v="0"/>
    <x v="3"/>
    <x v="0"/>
    <s v="Sai"/>
    <s v="-"/>
    <s v="-"/>
    <s v="-"/>
    <s v="-"/>
    <s v="-"/>
    <n v="0"/>
    <x v="2"/>
    <s v="-"/>
    <n v="0"/>
    <s v="-"/>
    <x v="2"/>
    <x v="0"/>
  </r>
  <r>
    <n v="837"/>
    <x v="836"/>
    <s v="-"/>
    <x v="74"/>
    <s v="-"/>
    <x v="779"/>
    <n v="0"/>
    <x v="0"/>
    <x v="3"/>
    <x v="2"/>
    <x v="227"/>
    <s v="-"/>
    <x v="25"/>
    <x v="3"/>
    <x v="18"/>
    <s v="Rajini"/>
    <s v="-"/>
    <s v="-"/>
    <s v="-"/>
    <s v="-"/>
    <s v="-"/>
    <n v="0"/>
    <x v="2"/>
    <s v="-"/>
    <n v="0"/>
    <s v="-"/>
    <x v="0"/>
    <x v="0"/>
  </r>
  <r>
    <n v="838"/>
    <x v="837"/>
    <s v="-"/>
    <x v="149"/>
    <s v="-"/>
    <x v="780"/>
    <n v="0"/>
    <x v="0"/>
    <x v="14"/>
    <x v="2"/>
    <x v="159"/>
    <s v="-"/>
    <x v="27"/>
    <x v="3"/>
    <x v="18"/>
    <s v="Leena"/>
    <s v="-"/>
    <s v="-"/>
    <s v="-"/>
    <s v="-"/>
    <s v="-"/>
    <n v="0"/>
    <x v="2"/>
    <s v="-"/>
    <n v="0"/>
    <s v="-"/>
    <x v="0"/>
    <x v="0"/>
  </r>
  <r>
    <n v="839"/>
    <x v="838"/>
    <s v="-"/>
    <x v="150"/>
    <s v="-"/>
    <x v="781"/>
    <n v="0"/>
    <x v="0"/>
    <x v="16"/>
    <x v="2"/>
    <x v="210"/>
    <s v="-"/>
    <x v="46"/>
    <x v="3"/>
    <x v="18"/>
    <s v="Priyanka"/>
    <s v="-"/>
    <s v="-"/>
    <s v="-"/>
    <s v="-"/>
    <s v="-"/>
    <n v="0"/>
    <x v="2"/>
    <s v="-"/>
    <n v="0"/>
    <s v="-"/>
    <x v="0"/>
    <x v="0"/>
  </r>
  <r>
    <n v="840"/>
    <x v="839"/>
    <s v="-"/>
    <x v="151"/>
    <s v="-"/>
    <x v="782"/>
    <n v="0"/>
    <x v="0"/>
    <x v="3"/>
    <x v="2"/>
    <x v="8"/>
    <s v="-"/>
    <x v="44"/>
    <x v="3"/>
    <x v="0"/>
    <s v="Madhu"/>
    <s v="-"/>
    <s v="-"/>
    <s v="-"/>
    <s v="-"/>
    <s v="-"/>
    <n v="0"/>
    <x v="2"/>
    <s v="-"/>
    <n v="0"/>
    <s v="-"/>
    <x v="0"/>
    <x v="0"/>
  </r>
  <r>
    <n v="841"/>
    <x v="840"/>
    <s v="-"/>
    <x v="152"/>
    <s v="-"/>
    <x v="783"/>
    <n v="0"/>
    <x v="0"/>
    <x v="3"/>
    <x v="2"/>
    <x v="215"/>
    <s v="-"/>
    <x v="10"/>
    <x v="3"/>
    <x v="0"/>
    <s v="Neelima"/>
    <s v="-"/>
    <s v="-"/>
    <s v="-"/>
    <s v="-"/>
    <s v="-"/>
    <n v="0"/>
    <x v="2"/>
    <s v="-"/>
    <n v="0"/>
    <s v="-"/>
    <x v="0"/>
    <x v="0"/>
  </r>
  <r>
    <n v="842"/>
    <x v="841"/>
    <s v="-"/>
    <x v="153"/>
    <s v="-"/>
    <x v="784"/>
    <n v="0"/>
    <x v="0"/>
    <x v="5"/>
    <x v="2"/>
    <x v="171"/>
    <s v="-"/>
    <x v="10"/>
    <x v="3"/>
    <x v="18"/>
    <s v="Sowjanya"/>
    <s v="-"/>
    <s v="-"/>
    <s v="-"/>
    <s v="-"/>
    <s v="-"/>
    <n v="0"/>
    <x v="2"/>
    <s v="-"/>
    <n v="0"/>
    <s v="-"/>
    <x v="0"/>
    <x v="0"/>
  </r>
  <r>
    <n v="843"/>
    <x v="842"/>
    <s v="-"/>
    <x v="154"/>
    <s v="-"/>
    <x v="785"/>
    <n v="0"/>
    <x v="0"/>
    <x v="14"/>
    <x v="2"/>
    <x v="232"/>
    <s v="-"/>
    <x v="10"/>
    <x v="3"/>
    <x v="18"/>
    <s v="Usha Latha"/>
    <s v="-"/>
    <s v="-"/>
    <s v="-"/>
    <s v="-"/>
    <s v="-"/>
    <n v="0"/>
    <x v="2"/>
    <s v="-"/>
    <n v="0"/>
    <s v="-"/>
    <x v="0"/>
    <x v="0"/>
  </r>
  <r>
    <n v="844"/>
    <x v="843"/>
    <s v="-"/>
    <x v="155"/>
    <s v="-"/>
    <x v="786"/>
    <n v="0"/>
    <x v="0"/>
    <x v="3"/>
    <x v="2"/>
    <x v="171"/>
    <s v="-"/>
    <x v="47"/>
    <x v="3"/>
    <x v="0"/>
    <s v="Rajeshwari"/>
    <s v="-"/>
    <s v="-"/>
    <s v="-"/>
    <s v="-"/>
    <s v="-"/>
    <n v="0"/>
    <x v="2"/>
    <s v="-"/>
    <n v="0"/>
    <s v="-"/>
    <x v="0"/>
    <x v="0"/>
  </r>
  <r>
    <n v="845"/>
    <x v="844"/>
    <s v="-"/>
    <x v="156"/>
    <s v="-"/>
    <x v="787"/>
    <n v="0"/>
    <x v="0"/>
    <x v="0"/>
    <x v="2"/>
    <x v="203"/>
    <s v="-"/>
    <x v="23"/>
    <x v="3"/>
    <x v="0"/>
    <s v="Yamini"/>
    <s v="-"/>
    <s v="-"/>
    <s v="-"/>
    <s v="-"/>
    <s v="-"/>
    <n v="0"/>
    <x v="2"/>
    <s v="-"/>
    <n v="0"/>
    <s v="-"/>
    <x v="0"/>
    <x v="0"/>
  </r>
  <r>
    <n v="846"/>
    <x v="845"/>
    <s v="-"/>
    <x v="157"/>
    <s v="-"/>
    <x v="788"/>
    <n v="0"/>
    <x v="0"/>
    <x v="5"/>
    <x v="2"/>
    <x v="203"/>
    <s v="-"/>
    <x v="23"/>
    <x v="3"/>
    <x v="0"/>
    <s v="B.Shailaja"/>
    <s v="-"/>
    <s v="-"/>
    <s v="-"/>
    <s v="-"/>
    <s v="-"/>
    <n v="0"/>
    <x v="2"/>
    <s v="-"/>
    <n v="0"/>
    <s v="-"/>
    <x v="0"/>
    <x v="0"/>
  </r>
  <r>
    <n v="847"/>
    <x v="846"/>
    <s v="-"/>
    <x v="158"/>
    <s v="-"/>
    <x v="789"/>
    <n v="0"/>
    <x v="0"/>
    <x v="14"/>
    <x v="2"/>
    <x v="159"/>
    <s v="-"/>
    <x v="27"/>
    <x v="3"/>
    <x v="0"/>
    <s v="N.Shailaja"/>
    <s v="-"/>
    <s v="-"/>
    <s v="-"/>
    <s v="-"/>
    <s v="-"/>
    <n v="0"/>
    <x v="2"/>
    <s v="-"/>
    <n v="0"/>
    <s v="-"/>
    <x v="0"/>
    <x v="0"/>
  </r>
  <r>
    <n v="848"/>
    <x v="847"/>
    <s v="-"/>
    <x v="159"/>
    <s v="-"/>
    <x v="790"/>
    <n v="0"/>
    <x v="0"/>
    <x v="16"/>
    <x v="2"/>
    <x v="26"/>
    <s v="-"/>
    <x v="48"/>
    <x v="3"/>
    <x v="18"/>
    <s v="Sai"/>
    <s v="-"/>
    <s v="-"/>
    <s v="-"/>
    <s v="-"/>
    <s v="-"/>
    <n v="0"/>
    <x v="2"/>
    <s v="-"/>
    <n v="0"/>
    <s v="-"/>
    <x v="0"/>
    <x v="0"/>
  </r>
  <r>
    <n v="849"/>
    <x v="848"/>
    <s v="-"/>
    <x v="160"/>
    <s v="-"/>
    <x v="791"/>
    <n v="0"/>
    <x v="0"/>
    <x v="16"/>
    <x v="2"/>
    <x v="171"/>
    <s v="-"/>
    <x v="43"/>
    <x v="3"/>
    <x v="18"/>
    <s v="Rajini"/>
    <s v="-"/>
    <s v="-"/>
    <s v="-"/>
    <s v="-"/>
    <s v="-"/>
    <n v="0"/>
    <x v="2"/>
    <s v="-"/>
    <n v="0"/>
    <s v="-"/>
    <x v="0"/>
    <x v="0"/>
  </r>
  <r>
    <n v="850"/>
    <x v="849"/>
    <s v="-"/>
    <x v="161"/>
    <s v="-"/>
    <x v="792"/>
    <n v="0"/>
    <x v="0"/>
    <x v="16"/>
    <x v="2"/>
    <x v="171"/>
    <s v="-"/>
    <x v="43"/>
    <x v="3"/>
    <x v="18"/>
    <s v="Leena"/>
    <s v="-"/>
    <s v="-"/>
    <s v="-"/>
    <s v="-"/>
    <s v="-"/>
    <n v="0"/>
    <x v="2"/>
    <s v="-"/>
    <n v="0"/>
    <s v="-"/>
    <x v="0"/>
    <x v="0"/>
  </r>
  <r>
    <n v="851"/>
    <x v="850"/>
    <s v="-"/>
    <x v="162"/>
    <s v="-"/>
    <x v="793"/>
    <n v="0"/>
    <x v="0"/>
    <x v="5"/>
    <x v="2"/>
    <x v="232"/>
    <s v="-"/>
    <x v="10"/>
    <x v="3"/>
    <x v="18"/>
    <s v="Priyanka"/>
    <s v="-"/>
    <s v="-"/>
    <s v="-"/>
    <s v="-"/>
    <s v="-"/>
    <n v="0"/>
    <x v="2"/>
    <s v="-"/>
    <n v="0"/>
    <s v="-"/>
    <x v="0"/>
    <x v="0"/>
  </r>
  <r>
    <n v="852"/>
    <x v="851"/>
    <s v="-"/>
    <x v="163"/>
    <s v="-"/>
    <x v="794"/>
    <n v="0"/>
    <x v="0"/>
    <x v="5"/>
    <x v="2"/>
    <x v="197"/>
    <s v="-"/>
    <x v="10"/>
    <x v="3"/>
    <x v="16"/>
    <s v="Madhu"/>
    <s v="-"/>
    <s v="-"/>
    <s v="-"/>
    <s v="-"/>
    <s v="-"/>
    <n v="0"/>
    <x v="2"/>
    <s v="-"/>
    <n v="0"/>
    <s v="-"/>
    <x v="0"/>
    <x v="0"/>
  </r>
  <r>
    <n v="853"/>
    <x v="852"/>
    <s v="-"/>
    <x v="164"/>
    <s v="-"/>
    <x v="795"/>
    <n v="0"/>
    <x v="0"/>
    <x v="7"/>
    <x v="2"/>
    <x v="210"/>
    <s v="-"/>
    <x v="31"/>
    <x v="3"/>
    <x v="18"/>
    <s v="Neelima"/>
    <s v="-"/>
    <s v="-"/>
    <s v="-"/>
    <s v="-"/>
    <s v="-"/>
    <n v="0"/>
    <x v="2"/>
    <s v="-"/>
    <n v="0"/>
    <s v="-"/>
    <x v="0"/>
    <x v="0"/>
  </r>
  <r>
    <n v="854"/>
    <x v="853"/>
    <s v="-"/>
    <x v="165"/>
    <s v="-"/>
    <x v="796"/>
    <n v="0"/>
    <x v="0"/>
    <x v="14"/>
    <x v="2"/>
    <x v="227"/>
    <s v="-"/>
    <x v="27"/>
    <x v="3"/>
    <x v="18"/>
    <s v="Neelima"/>
    <s v="-"/>
    <s v="-"/>
    <s v="-"/>
    <s v="-"/>
    <s v="-"/>
    <n v="0"/>
    <x v="2"/>
    <s v="-"/>
    <n v="0"/>
    <s v="-"/>
    <x v="0"/>
    <x v="0"/>
  </r>
  <r>
    <n v="855"/>
    <x v="854"/>
    <s v="-"/>
    <x v="166"/>
    <s v="-"/>
    <x v="797"/>
    <n v="0"/>
    <x v="0"/>
    <x v="3"/>
    <x v="2"/>
    <x v="203"/>
    <s v="-"/>
    <x v="23"/>
    <x v="3"/>
    <x v="0"/>
    <s v="Sowjanya"/>
    <s v="-"/>
    <s v="-"/>
    <s v="-"/>
    <s v="-"/>
    <s v="-"/>
    <n v="0"/>
    <x v="2"/>
    <s v="-"/>
    <n v="0"/>
    <s v="-"/>
    <x v="0"/>
    <x v="0"/>
  </r>
  <r>
    <n v="856"/>
    <x v="855"/>
    <s v="-"/>
    <x v="167"/>
    <s v="-"/>
    <x v="798"/>
    <n v="0"/>
    <x v="0"/>
    <x v="16"/>
    <x v="2"/>
    <x v="171"/>
    <s v="-"/>
    <x v="43"/>
    <x v="3"/>
    <x v="18"/>
    <s v="Usha Latha"/>
    <s v="-"/>
    <s v="-"/>
    <s v="-"/>
    <s v="-"/>
    <s v="-"/>
    <n v="0"/>
    <x v="2"/>
    <s v="-"/>
    <n v="0"/>
    <s v="-"/>
    <x v="0"/>
    <x v="0"/>
  </r>
  <r>
    <n v="857"/>
    <x v="856"/>
    <s v="-"/>
    <x v="52"/>
    <s v="-"/>
    <x v="799"/>
    <n v="0"/>
    <x v="0"/>
    <x v="3"/>
    <x v="10"/>
    <x v="213"/>
    <s v="-"/>
    <x v="0"/>
    <x v="4"/>
    <x v="0"/>
    <s v="Rajeshwari"/>
    <s v="-"/>
    <s v="-"/>
    <d v="2017-06-26T00:00:00"/>
    <s v="Cash"/>
    <s v="-"/>
    <n v="10000"/>
    <x v="0"/>
    <s v="-"/>
    <n v="0"/>
    <s v="-"/>
    <x v="0"/>
    <x v="0"/>
  </r>
  <r>
    <n v="858"/>
    <x v="857"/>
    <s v="-"/>
    <x v="52"/>
    <s v="-"/>
    <x v="800"/>
    <n v="0"/>
    <x v="0"/>
    <x v="8"/>
    <x v="10"/>
    <x v="26"/>
    <s v="-"/>
    <x v="0"/>
    <x v="4"/>
    <x v="0"/>
    <s v="Yamini"/>
    <s v="-"/>
    <s v="-"/>
    <d v="2017-06-30T00:00:00"/>
    <s v="Cash"/>
    <s v="-"/>
    <n v="500"/>
    <x v="0"/>
    <s v="-"/>
    <n v="0"/>
    <s v="-"/>
    <x v="0"/>
    <x v="0"/>
  </r>
  <r>
    <n v="859"/>
    <x v="858"/>
    <s v="-"/>
    <x v="51"/>
    <s v="-"/>
    <x v="801"/>
    <n v="0"/>
    <x v="0"/>
    <x v="24"/>
    <x v="10"/>
    <x v="233"/>
    <s v="-"/>
    <x v="0"/>
    <x v="4"/>
    <x v="18"/>
    <s v="B.Shailaja"/>
    <s v="-"/>
    <s v="-"/>
    <s v="-"/>
    <s v="-"/>
    <s v="-"/>
    <n v="0"/>
    <x v="2"/>
    <s v="-"/>
    <n v="0"/>
    <s v="-"/>
    <x v="0"/>
    <x v="0"/>
  </r>
  <r>
    <n v="860"/>
    <x v="859"/>
    <s v="-"/>
    <x v="51"/>
    <s v="-"/>
    <x v="802"/>
    <n v="0"/>
    <x v="0"/>
    <x v="3"/>
    <x v="10"/>
    <x v="234"/>
    <s v="-"/>
    <x v="0"/>
    <x v="4"/>
    <x v="0"/>
    <s v="N.Shailaja"/>
    <s v="-"/>
    <s v="-"/>
    <d v="2017-06-30T00:00:00"/>
    <s v="Cash"/>
    <s v="-"/>
    <n v="2000"/>
    <x v="0"/>
    <s v="-"/>
    <n v="0"/>
    <s v="-"/>
    <x v="0"/>
    <x v="0"/>
  </r>
  <r>
    <n v="861"/>
    <x v="860"/>
    <s v="-"/>
    <x v="10"/>
    <s v="-"/>
    <x v="803"/>
    <n v="0"/>
    <x v="0"/>
    <x v="24"/>
    <x v="10"/>
    <x v="235"/>
    <s v="-"/>
    <x v="0"/>
    <x v="4"/>
    <x v="18"/>
    <s v="Sai"/>
    <s v="-"/>
    <s v="-"/>
    <d v="2017-06-29T00:00:00"/>
    <s v="Cash"/>
    <s v="-"/>
    <n v="6000"/>
    <x v="0"/>
    <s v="-"/>
    <n v="0"/>
    <s v="-"/>
    <x v="0"/>
    <x v="0"/>
  </r>
  <r>
    <n v="862"/>
    <x v="861"/>
    <s v="-"/>
    <x v="50"/>
    <s v="-"/>
    <x v="804"/>
    <n v="0"/>
    <x v="0"/>
    <x v="4"/>
    <x v="10"/>
    <x v="233"/>
    <s v="-"/>
    <x v="0"/>
    <x v="4"/>
    <x v="18"/>
    <s v="Rajini"/>
    <s v="-"/>
    <s v="-"/>
    <s v="-"/>
    <s v="-"/>
    <s v="-"/>
    <n v="0"/>
    <x v="2"/>
    <s v="-"/>
    <n v="0"/>
    <s v="-"/>
    <x v="0"/>
    <x v="0"/>
  </r>
  <r>
    <n v="863"/>
    <x v="862"/>
    <s v="-"/>
    <x v="54"/>
    <s v="-"/>
    <x v="805"/>
    <n v="0"/>
    <x v="0"/>
    <x v="5"/>
    <x v="10"/>
    <x v="203"/>
    <s v="-"/>
    <x v="0"/>
    <x v="4"/>
    <x v="0"/>
    <s v="Leena"/>
    <s v="-"/>
    <s v="-"/>
    <s v="-"/>
    <s v="-"/>
    <s v="-"/>
    <n v="0"/>
    <x v="2"/>
    <s v="-"/>
    <n v="0"/>
    <s v="-"/>
    <x v="0"/>
    <x v="0"/>
  </r>
  <r>
    <n v="864"/>
    <x v="863"/>
    <s v="-"/>
    <x v="54"/>
    <s v="-"/>
    <x v="806"/>
    <n v="0"/>
    <x v="0"/>
    <x v="5"/>
    <x v="10"/>
    <x v="203"/>
    <s v="-"/>
    <x v="0"/>
    <x v="4"/>
    <x v="0"/>
    <s v="Priyanka"/>
    <s v="-"/>
    <s v="-"/>
    <s v="-"/>
    <s v="-"/>
    <s v="-"/>
    <n v="0"/>
    <x v="2"/>
    <s v="-"/>
    <n v="0"/>
    <s v="-"/>
    <x v="0"/>
    <x v="0"/>
  </r>
  <r>
    <n v="865"/>
    <x v="864"/>
    <s v="-"/>
    <x v="9"/>
    <s v="-"/>
    <x v="807"/>
    <n v="0"/>
    <x v="0"/>
    <x v="0"/>
    <x v="10"/>
    <x v="160"/>
    <s v="-"/>
    <x v="0"/>
    <x v="4"/>
    <x v="18"/>
    <s v="Madhu"/>
    <s v="-"/>
    <s v="-"/>
    <s v="-"/>
    <s v="-"/>
    <s v="-"/>
    <n v="0"/>
    <x v="2"/>
    <s v="-"/>
    <n v="0"/>
    <s v="-"/>
    <x v="0"/>
    <x v="0"/>
  </r>
  <r>
    <n v="866"/>
    <x v="865"/>
    <s v="-"/>
    <x v="9"/>
    <s v="-"/>
    <x v="808"/>
    <n v="0"/>
    <x v="0"/>
    <x v="17"/>
    <x v="10"/>
    <x v="38"/>
    <s v="-"/>
    <x v="0"/>
    <x v="4"/>
    <x v="18"/>
    <s v="Neelima"/>
    <s v="-"/>
    <s v="-"/>
    <s v="-"/>
    <s v="-"/>
    <s v="-"/>
    <n v="0"/>
    <x v="2"/>
    <s v="-"/>
    <n v="0"/>
    <s v="-"/>
    <x v="0"/>
    <x v="0"/>
  </r>
  <r>
    <n v="867"/>
    <x v="866"/>
    <s v="-"/>
    <x v="8"/>
    <s v="-"/>
    <x v="809"/>
    <n v="0"/>
    <x v="0"/>
    <x v="17"/>
    <x v="10"/>
    <x v="203"/>
    <s v="-"/>
    <x v="0"/>
    <x v="4"/>
    <x v="18"/>
    <s v="Sowjanya"/>
    <s v="-"/>
    <s v="-"/>
    <s v="-"/>
    <s v="-"/>
    <s v="-"/>
    <n v="0"/>
    <x v="2"/>
    <s v="-"/>
    <n v="0"/>
    <s v="-"/>
    <x v="0"/>
    <x v="0"/>
  </r>
  <r>
    <n v="868"/>
    <x v="867"/>
    <s v="-"/>
    <x v="8"/>
    <s v="-"/>
    <x v="810"/>
    <n v="0"/>
    <x v="0"/>
    <x v="14"/>
    <x v="10"/>
    <x v="203"/>
    <s v="-"/>
    <x v="0"/>
    <x v="4"/>
    <x v="18"/>
    <s v="Usha Latha"/>
    <s v="-"/>
    <s v="-"/>
    <s v="-"/>
    <s v="-"/>
    <s v="-"/>
    <n v="0"/>
    <x v="2"/>
    <s v="-"/>
    <n v="0"/>
    <s v="-"/>
    <x v="0"/>
    <x v="0"/>
  </r>
  <r>
    <n v="869"/>
    <x v="868"/>
    <s v="-"/>
    <x v="7"/>
    <s v="-"/>
    <x v="811"/>
    <n v="0"/>
    <x v="0"/>
    <x v="2"/>
    <x v="10"/>
    <x v="236"/>
    <s v="-"/>
    <x v="0"/>
    <x v="4"/>
    <x v="10"/>
    <s v="Rajeshwari"/>
    <s v="-"/>
    <s v="-"/>
    <s v="-"/>
    <s v="-"/>
    <s v="-"/>
    <n v="0"/>
    <x v="2"/>
    <s v="-"/>
    <n v="0"/>
    <s v="-"/>
    <x v="0"/>
    <x v="0"/>
  </r>
  <r>
    <n v="870"/>
    <x v="869"/>
    <s v="-"/>
    <x v="7"/>
    <s v="-"/>
    <x v="473"/>
    <n v="0"/>
    <x v="0"/>
    <x v="3"/>
    <x v="10"/>
    <x v="237"/>
    <s v="-"/>
    <x v="0"/>
    <x v="4"/>
    <x v="10"/>
    <s v="Yamini"/>
    <s v="-"/>
    <s v="-"/>
    <d v="2017-06-21T00:00:00"/>
    <s v="Cash"/>
    <s v="-"/>
    <n v="3000"/>
    <x v="0"/>
    <s v="-"/>
    <n v="0"/>
    <s v="-"/>
    <x v="0"/>
    <x v="0"/>
  </r>
  <r>
    <n v="871"/>
    <x v="870"/>
    <s v="-"/>
    <x v="48"/>
    <s v="-"/>
    <x v="812"/>
    <n v="0"/>
    <x v="0"/>
    <x v="5"/>
    <x v="10"/>
    <x v="213"/>
    <s v="-"/>
    <x v="0"/>
    <x v="4"/>
    <x v="17"/>
    <s v="B.Shailaja"/>
    <s v="-"/>
    <s v="-"/>
    <d v="2017-06-23T00:00:00"/>
    <s v="Bank"/>
    <s v="-"/>
    <n v="3000"/>
    <x v="0"/>
    <s v="-"/>
    <n v="0"/>
    <s v="-"/>
    <x v="0"/>
    <x v="0"/>
  </r>
  <r>
    <n v="872"/>
    <x v="871"/>
    <s v="-"/>
    <x v="47"/>
    <s v="-"/>
    <x v="813"/>
    <n v="0"/>
    <x v="0"/>
    <x v="17"/>
    <x v="10"/>
    <x v="208"/>
    <s v="-"/>
    <x v="0"/>
    <x v="4"/>
    <x v="18"/>
    <s v="N.Shailaja"/>
    <s v="-"/>
    <s v="-"/>
    <d v="2017-06-30T00:00:00"/>
    <s v="Bank"/>
    <s v="-"/>
    <n v="6000"/>
    <x v="0"/>
    <s v="-"/>
    <n v="0"/>
    <s v="-"/>
    <x v="0"/>
    <x v="0"/>
  </r>
  <r>
    <n v="873"/>
    <x v="872"/>
    <s v="-"/>
    <x v="47"/>
    <s v="-"/>
    <x v="814"/>
    <n v="0"/>
    <x v="0"/>
    <x v="14"/>
    <x v="10"/>
    <x v="238"/>
    <s v="-"/>
    <x v="0"/>
    <x v="4"/>
    <x v="18"/>
    <s v="Sai"/>
    <s v="-"/>
    <s v="-"/>
    <s v="-"/>
    <s v="-"/>
    <s v="-"/>
    <n v="0"/>
    <x v="2"/>
    <s v="-"/>
    <n v="0"/>
    <s v="-"/>
    <x v="0"/>
    <x v="0"/>
  </r>
  <r>
    <n v="874"/>
    <x v="873"/>
    <s v="-"/>
    <x v="47"/>
    <s v="-"/>
    <x v="815"/>
    <n v="0"/>
    <x v="0"/>
    <x v="24"/>
    <x v="10"/>
    <x v="238"/>
    <s v="-"/>
    <x v="0"/>
    <x v="4"/>
    <x v="18"/>
    <s v="Rajini"/>
    <s v="-"/>
    <s v="-"/>
    <s v="-"/>
    <s v="-"/>
    <s v="-"/>
    <n v="0"/>
    <x v="2"/>
    <s v="-"/>
    <n v="0"/>
    <s v="-"/>
    <x v="0"/>
    <x v="0"/>
  </r>
  <r>
    <n v="875"/>
    <x v="874"/>
    <s v="-"/>
    <x v="4"/>
    <s v="-"/>
    <x v="816"/>
    <n v="0"/>
    <x v="0"/>
    <x v="0"/>
    <x v="10"/>
    <x v="208"/>
    <s v="-"/>
    <x v="0"/>
    <x v="4"/>
    <x v="0"/>
    <m/>
    <s v="-"/>
    <s v="-"/>
    <s v="-"/>
    <s v="-"/>
    <s v="-"/>
    <n v="0"/>
    <x v="2"/>
    <s v="-"/>
    <n v="0"/>
    <s v="-"/>
    <x v="0"/>
    <x v="0"/>
  </r>
  <r>
    <n v="876"/>
    <x v="875"/>
    <s v="-"/>
    <x v="46"/>
    <s v="-"/>
    <x v="817"/>
    <n v="17761000"/>
    <x v="0"/>
    <x v="0"/>
    <x v="10"/>
    <x v="239"/>
    <s v="-"/>
    <x v="0"/>
    <x v="4"/>
    <x v="1"/>
    <s v="Priyanka"/>
    <s v="-"/>
    <s v="-"/>
    <s v="-"/>
    <s v="-"/>
    <s v="-"/>
    <n v="0"/>
    <x v="5"/>
    <s v="-"/>
    <n v="0"/>
    <s v="-"/>
    <x v="2"/>
    <x v="0"/>
  </r>
  <r>
    <n v="877"/>
    <x v="876"/>
    <s v="-"/>
    <x v="53"/>
    <s v="-"/>
    <x v="818"/>
    <n v="0"/>
    <x v="0"/>
    <x v="17"/>
    <x v="10"/>
    <x v="236"/>
    <s v="-"/>
    <x v="0"/>
    <x v="4"/>
    <x v="0"/>
    <s v="Madhu"/>
    <s v="-"/>
    <s v="-"/>
    <d v="2017-06-12T00:00:00"/>
    <s v="Cash"/>
    <s v="-"/>
    <n v="2000"/>
    <x v="0"/>
    <s v="-"/>
    <n v="0"/>
    <s v="-"/>
    <x v="0"/>
    <x v="0"/>
  </r>
  <r>
    <n v="878"/>
    <x v="877"/>
    <s v="-"/>
    <x v="79"/>
    <s v="-"/>
    <x v="819"/>
    <n v="123440000"/>
    <x v="0"/>
    <x v="2"/>
    <x v="10"/>
    <x v="233"/>
    <s v="-"/>
    <x v="0"/>
    <x v="4"/>
    <x v="18"/>
    <s v="Neelima"/>
    <s v="-"/>
    <s v="-"/>
    <s v="-"/>
    <s v="-"/>
    <s v="-"/>
    <n v="0"/>
    <x v="2"/>
    <s v="-"/>
    <n v="0"/>
    <s v="-"/>
    <x v="0"/>
    <x v="0"/>
  </r>
  <r>
    <n v="879"/>
    <x v="878"/>
    <s v="-"/>
    <x v="2"/>
    <s v="-"/>
    <x v="820"/>
    <n v="7000000"/>
    <x v="0"/>
    <x v="4"/>
    <x v="10"/>
    <x v="238"/>
    <s v="-"/>
    <x v="0"/>
    <x v="4"/>
    <x v="18"/>
    <s v="Sowjanya"/>
    <s v="-"/>
    <s v="-"/>
    <d v="2017-06-08T00:00:00"/>
    <s v="Cash"/>
    <s v="-"/>
    <n v="3000"/>
    <x v="0"/>
    <s v="-"/>
    <n v="0"/>
    <s v="-"/>
    <x v="0"/>
    <x v="0"/>
  </r>
  <r>
    <n v="880"/>
    <x v="879"/>
    <s v="-"/>
    <x v="2"/>
    <s v="-"/>
    <x v="821"/>
    <n v="5008000"/>
    <x v="0"/>
    <x v="0"/>
    <x v="10"/>
    <x v="208"/>
    <s v="-"/>
    <x v="0"/>
    <x v="4"/>
    <x v="18"/>
    <s v="Usha Latha"/>
    <s v="-"/>
    <s v="-"/>
    <d v="2017-06-15T00:00:00"/>
    <s v="Bank"/>
    <s v="-"/>
    <n v="3000"/>
    <x v="0"/>
    <s v="-"/>
    <n v="0"/>
    <s v="-"/>
    <x v="0"/>
    <x v="0"/>
  </r>
  <r>
    <n v="881"/>
    <x v="880"/>
    <s v="-"/>
    <x v="2"/>
    <s v="-"/>
    <x v="822"/>
    <n v="4567000"/>
    <x v="0"/>
    <x v="0"/>
    <x v="10"/>
    <x v="203"/>
    <s v="-"/>
    <x v="0"/>
    <x v="4"/>
    <x v="18"/>
    <s v="Rajeshwari"/>
    <s v="-"/>
    <s v="-"/>
    <s v="-"/>
    <s v="-"/>
    <s v="-"/>
    <n v="0"/>
    <x v="2"/>
    <s v="-"/>
    <n v="0"/>
    <s v="-"/>
    <x v="0"/>
    <x v="0"/>
  </r>
  <r>
    <n v="882"/>
    <x v="881"/>
    <s v="-"/>
    <x v="2"/>
    <s v="-"/>
    <x v="823"/>
    <n v="0"/>
    <x v="0"/>
    <x v="5"/>
    <x v="10"/>
    <x v="143"/>
    <s v="-"/>
    <x v="0"/>
    <x v="4"/>
    <x v="17"/>
    <s v="Yamini"/>
    <s v="-"/>
    <s v="-"/>
    <d v="2017-06-10T00:00:00"/>
    <s v="Cash"/>
    <s v="-"/>
    <n v="3000"/>
    <x v="0"/>
    <s v="-"/>
    <n v="0"/>
    <s v="-"/>
    <x v="0"/>
    <x v="0"/>
  </r>
  <r>
    <n v="883"/>
    <x v="882"/>
    <s v="-"/>
    <x v="0"/>
    <s v="-"/>
    <x v="824"/>
    <n v="16866000"/>
    <x v="0"/>
    <x v="4"/>
    <x v="11"/>
    <x v="217"/>
    <s v="-"/>
    <x v="0"/>
    <x v="4"/>
    <x v="10"/>
    <s v="B.Shailaja"/>
    <s v="-"/>
    <s v="-"/>
    <s v="-"/>
    <s v="-"/>
    <s v="-"/>
    <n v="0"/>
    <x v="2"/>
    <s v="-"/>
    <n v="0"/>
    <s v="-"/>
    <x v="0"/>
    <x v="0"/>
  </r>
  <r>
    <n v="884"/>
    <x v="883"/>
    <s v="-"/>
    <x v="0"/>
    <s v="-"/>
    <x v="825"/>
    <n v="9314000"/>
    <x v="0"/>
    <x v="24"/>
    <x v="11"/>
    <x v="155"/>
    <s v="-"/>
    <x v="0"/>
    <x v="4"/>
    <x v="10"/>
    <s v="N.Shailaja"/>
    <s v="-"/>
    <s v="-"/>
    <d v="2017-06-17T00:00:00"/>
    <s v="Bank"/>
    <s v="-"/>
    <n v="7920"/>
    <x v="0"/>
    <s v="-"/>
    <n v="0"/>
    <s v="-"/>
    <x v="0"/>
    <x v="0"/>
  </r>
  <r>
    <n v="885"/>
    <x v="884"/>
    <s v="-"/>
    <x v="0"/>
    <s v="-"/>
    <x v="826"/>
    <n v="0"/>
    <x v="0"/>
    <x v="24"/>
    <x v="11"/>
    <x v="155"/>
    <s v="-"/>
    <x v="0"/>
    <x v="4"/>
    <x v="0"/>
    <s v="Sai"/>
    <s v="-"/>
    <s v="-"/>
    <s v="-"/>
    <s v="-"/>
    <s v="-"/>
    <n v="0"/>
    <x v="2"/>
    <s v="-"/>
    <n v="0"/>
    <s v="-"/>
    <x v="0"/>
    <x v="0"/>
  </r>
  <r>
    <n v="886"/>
    <x v="885"/>
    <s v="-"/>
    <x v="0"/>
    <s v="-"/>
    <x v="827"/>
    <n v="0"/>
    <x v="0"/>
    <x v="24"/>
    <x v="11"/>
    <x v="155"/>
    <s v="-"/>
    <x v="0"/>
    <x v="4"/>
    <x v="0"/>
    <s v="Rajini"/>
    <s v="-"/>
    <s v="-"/>
    <s v="-"/>
    <s v="-"/>
    <s v="-"/>
    <n v="0"/>
    <x v="2"/>
    <s v="-"/>
    <n v="0"/>
    <s v="-"/>
    <x v="0"/>
    <x v="0"/>
  </r>
  <r>
    <n v="887"/>
    <x v="886"/>
    <s v="-"/>
    <x v="45"/>
    <s v="-"/>
    <x v="825"/>
    <n v="4970000"/>
    <x v="0"/>
    <x v="24"/>
    <x v="11"/>
    <x v="155"/>
    <s v="-"/>
    <x v="0"/>
    <x v="4"/>
    <x v="18"/>
    <m/>
    <s v="-"/>
    <s v="-"/>
    <d v="2017-06-17T00:00:00"/>
    <s v="Bank"/>
    <s v="-"/>
    <n v="5400"/>
    <x v="0"/>
    <s v="-"/>
    <n v="0"/>
    <s v="-"/>
    <x v="0"/>
    <x v="0"/>
  </r>
  <r>
    <n v="888"/>
    <x v="887"/>
    <s v="-"/>
    <x v="4"/>
    <s v="-"/>
    <x v="828"/>
    <n v="7121000"/>
    <x v="0"/>
    <x v="24"/>
    <x v="11"/>
    <x v="155"/>
    <s v="-"/>
    <x v="0"/>
    <x v="4"/>
    <x v="10"/>
    <s v="Priyanka"/>
    <s v="-"/>
    <s v="-"/>
    <d v="2017-06-23T00:00:00"/>
    <s v="Bank"/>
    <s v="-"/>
    <n v="13500"/>
    <x v="0"/>
    <s v="-"/>
    <n v="0"/>
    <s v="-"/>
    <x v="0"/>
    <x v="0"/>
  </r>
  <r>
    <n v="889"/>
    <x v="888"/>
    <s v="-"/>
    <x v="47"/>
    <s v="-"/>
    <x v="829"/>
    <n v="0"/>
    <x v="0"/>
    <x v="7"/>
    <x v="11"/>
    <x v="155"/>
    <s v="-"/>
    <x v="0"/>
    <x v="4"/>
    <x v="0"/>
    <s v="Madhu"/>
    <s v="-"/>
    <s v="-"/>
    <s v="-"/>
    <s v="-"/>
    <s v="-"/>
    <n v="0"/>
    <x v="2"/>
    <s v="-"/>
    <n v="0"/>
    <s v="-"/>
    <x v="0"/>
    <x v="0"/>
  </r>
  <r>
    <n v="890"/>
    <x v="889"/>
    <s v="-"/>
    <x v="48"/>
    <s v="-"/>
    <x v="830"/>
    <n v="0"/>
    <x v="0"/>
    <x v="3"/>
    <x v="11"/>
    <x v="240"/>
    <s v="-"/>
    <x v="0"/>
    <x v="4"/>
    <x v="0"/>
    <s v="Neelima"/>
    <s v="-"/>
    <s v="-"/>
    <s v="-"/>
    <s v="-"/>
    <s v="-"/>
    <n v="0"/>
    <x v="2"/>
    <s v="-"/>
    <n v="0"/>
    <s v="-"/>
    <x v="0"/>
    <x v="0"/>
  </r>
  <r>
    <n v="891"/>
    <x v="890"/>
    <s v="-"/>
    <x v="48"/>
    <s v="-"/>
    <x v="831"/>
    <n v="0"/>
    <x v="0"/>
    <x v="3"/>
    <x v="11"/>
    <x v="240"/>
    <s v="-"/>
    <x v="0"/>
    <x v="4"/>
    <x v="0"/>
    <s v="Sowjanya"/>
    <s v="-"/>
    <s v="-"/>
    <s v="-"/>
    <s v="-"/>
    <s v="-"/>
    <n v="0"/>
    <x v="2"/>
    <s v="-"/>
    <n v="0"/>
    <s v="-"/>
    <x v="0"/>
    <x v="0"/>
  </r>
  <r>
    <n v="892"/>
    <x v="891"/>
    <s v="-"/>
    <x v="48"/>
    <s v="-"/>
    <x v="832"/>
    <n v="0"/>
    <x v="0"/>
    <x v="3"/>
    <x v="11"/>
    <x v="240"/>
    <s v="-"/>
    <x v="0"/>
    <x v="4"/>
    <x v="0"/>
    <s v="Usha Latha"/>
    <s v="-"/>
    <s v="-"/>
    <s v="-"/>
    <s v="-"/>
    <s v="-"/>
    <n v="0"/>
    <x v="2"/>
    <s v="-"/>
    <n v="0"/>
    <s v="-"/>
    <x v="0"/>
    <x v="0"/>
  </r>
  <r>
    <n v="893"/>
    <x v="892"/>
    <s v="-"/>
    <x v="48"/>
    <s v="-"/>
    <x v="833"/>
    <n v="0"/>
    <x v="0"/>
    <x v="5"/>
    <x v="11"/>
    <x v="240"/>
    <s v="-"/>
    <x v="0"/>
    <x v="4"/>
    <x v="0"/>
    <s v="Rajeshwari"/>
    <s v="-"/>
    <s v="-"/>
    <s v="-"/>
    <s v="-"/>
    <s v="-"/>
    <n v="0"/>
    <x v="2"/>
    <s v="-"/>
    <n v="0"/>
    <s v="-"/>
    <x v="0"/>
    <x v="0"/>
  </r>
  <r>
    <n v="894"/>
    <x v="893"/>
    <s v="-"/>
    <x v="9"/>
    <s v="-"/>
    <x v="834"/>
    <n v="0"/>
    <x v="0"/>
    <x v="4"/>
    <x v="11"/>
    <x v="241"/>
    <s v="-"/>
    <x v="0"/>
    <x v="4"/>
    <x v="10"/>
    <s v="Yamini"/>
    <s v="-"/>
    <s v="-"/>
    <d v="2017-06-22T00:00:00"/>
    <s v="Bank"/>
    <s v="-"/>
    <n v="11025"/>
    <x v="0"/>
    <s v="-"/>
    <n v="0"/>
    <s v="-"/>
    <x v="0"/>
    <x v="0"/>
  </r>
  <r>
    <n v="895"/>
    <x v="894"/>
    <s v="-"/>
    <x v="51"/>
    <s v="-"/>
    <x v="835"/>
    <n v="0"/>
    <x v="0"/>
    <x v="5"/>
    <x v="11"/>
    <x v="155"/>
    <s v="-"/>
    <x v="0"/>
    <x v="4"/>
    <x v="0"/>
    <s v="B.Shailaja"/>
    <s v="-"/>
    <s v="-"/>
    <s v="-"/>
    <s v="-"/>
    <s v="-"/>
    <n v="0"/>
    <x v="2"/>
    <s v="-"/>
    <n v="0"/>
    <s v="-"/>
    <x v="0"/>
    <x v="0"/>
  </r>
  <r>
    <n v="896"/>
    <x v="895"/>
    <s v="-"/>
    <x v="43"/>
    <s v="-"/>
    <x v="836"/>
    <n v="0"/>
    <x v="0"/>
    <x v="10"/>
    <x v="12"/>
    <x v="0"/>
    <s v="-"/>
    <x v="0"/>
    <x v="4"/>
    <x v="0"/>
    <s v="N.Shailaja"/>
    <s v="-"/>
    <s v="-"/>
    <d v="2017-06-02T00:00:00"/>
    <s v="Bank"/>
    <s v="-"/>
    <n v="1000"/>
    <x v="0"/>
    <s v="-"/>
    <n v="0"/>
    <s v="-"/>
    <x v="0"/>
    <x v="0"/>
  </r>
  <r>
    <n v="897"/>
    <x v="896"/>
    <s v="-"/>
    <x v="44"/>
    <s v="-"/>
    <x v="837"/>
    <n v="0"/>
    <x v="0"/>
    <x v="10"/>
    <x v="12"/>
    <x v="0"/>
    <s v="-"/>
    <x v="0"/>
    <x v="4"/>
    <x v="0"/>
    <s v="Sai"/>
    <s v="-"/>
    <s v="-"/>
    <d v="2017-06-02T00:00:00"/>
    <s v="Bank"/>
    <s v="-"/>
    <n v="1000"/>
    <x v="0"/>
    <s v="-"/>
    <n v="0"/>
    <s v="-"/>
    <x v="0"/>
    <x v="0"/>
  </r>
  <r>
    <n v="898"/>
    <x v="897"/>
    <s v="-"/>
    <x v="0"/>
    <s v="-"/>
    <x v="838"/>
    <n v="0"/>
    <x v="0"/>
    <x v="2"/>
    <x v="12"/>
    <x v="117"/>
    <s v="-"/>
    <x v="0"/>
    <x v="4"/>
    <x v="10"/>
    <s v="Rajini"/>
    <s v="-"/>
    <s v="-"/>
    <s v="-"/>
    <s v="-"/>
    <s v="-"/>
    <n v="0"/>
    <x v="2"/>
    <s v="-"/>
    <n v="0"/>
    <s v="-"/>
    <x v="0"/>
    <x v="0"/>
  </r>
  <r>
    <n v="899"/>
    <x v="898"/>
    <s v="-"/>
    <x v="45"/>
    <s v="-"/>
    <x v="839"/>
    <n v="0"/>
    <x v="0"/>
    <x v="25"/>
    <x v="12"/>
    <x v="21"/>
    <s v="-"/>
    <x v="0"/>
    <x v="4"/>
    <x v="1"/>
    <m/>
    <s v="-"/>
    <s v="-"/>
    <d v="2017-06-14T00:00:00"/>
    <s v="Bank"/>
    <s v="-"/>
    <n v="5175"/>
    <x v="0"/>
    <s v="-"/>
    <n v="0"/>
    <s v="-"/>
    <x v="0"/>
    <x v="0"/>
  </r>
  <r>
    <n v="900"/>
    <x v="899"/>
    <s v="-"/>
    <x v="53"/>
    <s v="-"/>
    <x v="840"/>
    <n v="0"/>
    <x v="0"/>
    <x v="5"/>
    <x v="12"/>
    <x v="21"/>
    <s v="-"/>
    <x v="0"/>
    <x v="4"/>
    <x v="0"/>
    <s v="Priyanka"/>
    <s v="-"/>
    <s v="-"/>
    <d v="2017-06-24T00:00:00"/>
    <s v="Cash"/>
    <s v="-"/>
    <n v="4000"/>
    <x v="0"/>
    <s v="-"/>
    <n v="0"/>
    <s v="-"/>
    <x v="0"/>
    <x v="0"/>
  </r>
  <r>
    <n v="901"/>
    <x v="900"/>
    <s v="-"/>
    <x v="3"/>
    <s v="-"/>
    <x v="841"/>
    <n v="0"/>
    <x v="0"/>
    <x v="5"/>
    <x v="12"/>
    <x v="117"/>
    <s v="-"/>
    <x v="0"/>
    <x v="4"/>
    <x v="1"/>
    <s v="Madhu"/>
    <s v="-"/>
    <s v="-"/>
    <d v="2017-06-13T00:00:00"/>
    <s v="Cash"/>
    <s v="-"/>
    <n v="4000"/>
    <x v="0"/>
    <s v="-"/>
    <n v="0"/>
    <s v="-"/>
    <x v="0"/>
    <x v="0"/>
  </r>
  <r>
    <n v="902"/>
    <x v="901"/>
    <s v="-"/>
    <x v="3"/>
    <s v="-"/>
    <x v="842"/>
    <n v="0"/>
    <x v="0"/>
    <x v="8"/>
    <x v="12"/>
    <x v="21"/>
    <s v="-"/>
    <x v="0"/>
    <x v="4"/>
    <x v="0"/>
    <s v="Neelima"/>
    <s v="-"/>
    <s v="-"/>
    <s v="-"/>
    <s v="-"/>
    <s v="-"/>
    <n v="0"/>
    <x v="2"/>
    <s v="-"/>
    <n v="0"/>
    <s v="-"/>
    <x v="0"/>
    <x v="0"/>
  </r>
  <r>
    <n v="903"/>
    <x v="902"/>
    <s v="-"/>
    <x v="4"/>
    <s v="-"/>
    <x v="843"/>
    <n v="0"/>
    <x v="0"/>
    <x v="2"/>
    <x v="12"/>
    <x v="117"/>
    <s v="-"/>
    <x v="0"/>
    <x v="4"/>
    <x v="1"/>
    <s v="Sowjanya"/>
    <s v="-"/>
    <s v="-"/>
    <d v="2017-06-15T00:00:00"/>
    <s v="Cash"/>
    <s v="-"/>
    <n v="2500"/>
    <x v="0"/>
    <s v="-"/>
    <n v="0"/>
    <s v="-"/>
    <x v="0"/>
    <x v="0"/>
  </r>
  <r>
    <n v="904"/>
    <x v="903"/>
    <s v="-"/>
    <x v="4"/>
    <s v="-"/>
    <x v="843"/>
    <n v="0"/>
    <x v="0"/>
    <x v="14"/>
    <x v="12"/>
    <x v="117"/>
    <s v="-"/>
    <x v="0"/>
    <x v="4"/>
    <x v="1"/>
    <s v="Usha Latha"/>
    <s v="-"/>
    <s v="-"/>
    <d v="2017-06-15T00:00:00"/>
    <s v="Cash"/>
    <s v="-"/>
    <n v="2500"/>
    <x v="0"/>
    <s v="-"/>
    <n v="0"/>
    <s v="-"/>
    <x v="0"/>
    <x v="0"/>
  </r>
  <r>
    <n v="905"/>
    <x v="904"/>
    <s v="-"/>
    <x v="5"/>
    <s v="-"/>
    <x v="844"/>
    <n v="0"/>
    <x v="0"/>
    <x v="5"/>
    <x v="12"/>
    <x v="21"/>
    <s v="-"/>
    <x v="0"/>
    <x v="4"/>
    <x v="10"/>
    <s v="Rajeshwari"/>
    <s v="-"/>
    <s v="-"/>
    <s v="-"/>
    <s v="-"/>
    <s v="-"/>
    <n v="0"/>
    <x v="2"/>
    <s v="-"/>
    <n v="0"/>
    <s v="-"/>
    <x v="0"/>
    <x v="0"/>
  </r>
  <r>
    <n v="906"/>
    <x v="905"/>
    <s v="-"/>
    <x v="48"/>
    <s v="-"/>
    <x v="845"/>
    <n v="0"/>
    <x v="0"/>
    <x v="2"/>
    <x v="12"/>
    <x v="21"/>
    <s v="-"/>
    <x v="0"/>
    <x v="4"/>
    <x v="0"/>
    <s v="Yamini"/>
    <s v="-"/>
    <s v="-"/>
    <s v="-"/>
    <s v="-"/>
    <s v="-"/>
    <n v="0"/>
    <x v="2"/>
    <s v="-"/>
    <n v="0"/>
    <s v="-"/>
    <x v="0"/>
    <x v="0"/>
  </r>
  <r>
    <n v="907"/>
    <x v="906"/>
    <s v="-"/>
    <x v="7"/>
    <s v="-"/>
    <x v="473"/>
    <n v="0"/>
    <x v="0"/>
    <x v="3"/>
    <x v="12"/>
    <x v="26"/>
    <s v="-"/>
    <x v="0"/>
    <x v="4"/>
    <x v="0"/>
    <s v="B.Shailaja"/>
    <s v="-"/>
    <s v="-"/>
    <s v="-"/>
    <s v="-"/>
    <s v="-"/>
    <n v="0"/>
    <x v="5"/>
    <s v="-"/>
    <n v="0"/>
    <s v="-"/>
    <x v="2"/>
    <x v="0"/>
  </r>
  <r>
    <n v="908"/>
    <x v="907"/>
    <s v="-"/>
    <x v="49"/>
    <s v="-"/>
    <x v="846"/>
    <n v="0"/>
    <x v="0"/>
    <x v="4"/>
    <x v="12"/>
    <x v="21"/>
    <s v="-"/>
    <x v="0"/>
    <x v="4"/>
    <x v="1"/>
    <s v="N.Shailaja"/>
    <s v="-"/>
    <s v="-"/>
    <d v="2017-06-23T00:00:00"/>
    <s v="Bank"/>
    <s v="-"/>
    <n v="3000"/>
    <x v="0"/>
    <s v="-"/>
    <n v="0"/>
    <s v="-"/>
    <x v="0"/>
    <x v="0"/>
  </r>
  <r>
    <n v="909"/>
    <x v="908"/>
    <s v="-"/>
    <x v="52"/>
    <s v="-"/>
    <x v="847"/>
    <n v="0"/>
    <x v="0"/>
    <x v="8"/>
    <x v="12"/>
    <x v="26"/>
    <s v="-"/>
    <x v="0"/>
    <x v="4"/>
    <x v="0"/>
    <s v="Sai"/>
    <s v="-"/>
    <s v="-"/>
    <s v="-"/>
    <s v="-"/>
    <s v="-"/>
    <n v="0"/>
    <x v="2"/>
    <s v="-"/>
    <n v="0"/>
    <s v="-"/>
    <x v="0"/>
    <x v="0"/>
  </r>
  <r>
    <n v="910"/>
    <x v="909"/>
    <s v="-"/>
    <x v="2"/>
    <s v="-"/>
    <x v="848"/>
    <n v="7951000"/>
    <x v="0"/>
    <x v="5"/>
    <x v="10"/>
    <x v="208"/>
    <s v="-"/>
    <x v="0"/>
    <x v="4"/>
    <x v="18"/>
    <s v="Rajini"/>
    <s v="-"/>
    <s v="-"/>
    <d v="2017-06-08T00:00:00"/>
    <s v="Cash"/>
    <s v="-"/>
    <n v="3000"/>
    <x v="0"/>
    <s v="-"/>
    <n v="0"/>
    <s v="-"/>
    <x v="0"/>
    <x v="0"/>
  </r>
  <r>
    <n v="911"/>
    <x v="910"/>
    <s v="-"/>
    <x v="42"/>
    <s v="-"/>
    <x v="849"/>
    <n v="2370000"/>
    <x v="0"/>
    <x v="24"/>
    <x v="10"/>
    <x v="233"/>
    <s v="-"/>
    <x v="0"/>
    <x v="4"/>
    <x v="1"/>
    <m/>
    <s v="-"/>
    <s v="-"/>
    <d v="2017-06-02T00:00:00"/>
    <s v="Cash"/>
    <s v="-"/>
    <n v="3500"/>
    <x v="0"/>
    <s v="-"/>
    <n v="0"/>
    <s v="-"/>
    <x v="0"/>
    <x v="0"/>
  </r>
  <r>
    <n v="912"/>
    <x v="911"/>
    <s v="-"/>
    <x v="68"/>
    <s v="-"/>
    <x v="850"/>
    <n v="55858000"/>
    <x v="0"/>
    <x v="3"/>
    <x v="10"/>
    <x v="234"/>
    <s v="-"/>
    <x v="0"/>
    <x v="4"/>
    <x v="0"/>
    <s v="Priyanka"/>
    <s v="-"/>
    <s v="-"/>
    <s v="-"/>
    <s v="-"/>
    <s v="-"/>
    <n v="0"/>
    <x v="2"/>
    <s v="-"/>
    <n v="0"/>
    <s v="-"/>
    <x v="0"/>
    <x v="0"/>
  </r>
  <r>
    <n v="913"/>
    <x v="912"/>
    <s v="-"/>
    <x v="168"/>
    <s v="-"/>
    <x v="851"/>
    <n v="0"/>
    <x v="0"/>
    <x v="3"/>
    <x v="11"/>
    <x v="240"/>
    <s v="-"/>
    <x v="0"/>
    <x v="4"/>
    <x v="0"/>
    <s v="Madhu"/>
    <s v="-"/>
    <s v="-"/>
    <s v="-"/>
    <s v="-"/>
    <s v="-"/>
    <n v="0"/>
    <x v="2"/>
    <s v="-"/>
    <n v="0"/>
    <s v="-"/>
    <x v="0"/>
    <x v="0"/>
  </r>
  <r>
    <n v="914"/>
    <x v="913"/>
    <s v="-"/>
    <x v="41"/>
    <s v="-"/>
    <x v="852"/>
    <n v="4750000"/>
    <x v="0"/>
    <x v="2"/>
    <x v="10"/>
    <x v="233"/>
    <s v="-"/>
    <x v="0"/>
    <x v="4"/>
    <x v="0"/>
    <s v="Neelima"/>
    <s v="-"/>
    <s v="-"/>
    <d v="2017-06-13T00:00:00"/>
    <s v="Bank"/>
    <s v="-"/>
    <n v="2000"/>
    <x v="0"/>
    <s v="-"/>
    <n v="0"/>
    <s v="-"/>
    <x v="0"/>
    <x v="0"/>
  </r>
  <r>
    <n v="915"/>
    <x v="914"/>
    <s v="-"/>
    <x v="41"/>
    <s v="-"/>
    <x v="853"/>
    <n v="10734497"/>
    <x v="0"/>
    <x v="2"/>
    <x v="10"/>
    <x v="233"/>
    <s v="-"/>
    <x v="0"/>
    <x v="4"/>
    <x v="0"/>
    <s v="Neelima"/>
    <s v="-"/>
    <s v="-"/>
    <d v="2017-06-13T00:00:00"/>
    <s v="Bank"/>
    <s v="-"/>
    <n v="10000"/>
    <x v="0"/>
    <s v="-"/>
    <n v="0"/>
    <s v="-"/>
    <x v="0"/>
    <x v="0"/>
  </r>
  <r>
    <n v="916"/>
    <x v="915"/>
    <s v="-"/>
    <x v="34"/>
    <s v="-"/>
    <x v="854"/>
    <n v="7396000"/>
    <x v="0"/>
    <x v="24"/>
    <x v="10"/>
    <x v="234"/>
    <s v="-"/>
    <x v="0"/>
    <x v="4"/>
    <x v="0"/>
    <s v="Sowjanya"/>
    <s v="-"/>
    <s v="-"/>
    <s v="-"/>
    <s v="-"/>
    <s v="-"/>
    <n v="0"/>
    <x v="2"/>
    <s v="-"/>
    <n v="0"/>
    <s v="-"/>
    <x v="0"/>
    <x v="0"/>
  </r>
  <r>
    <n v="917"/>
    <x v="916"/>
    <s v="-"/>
    <x v="71"/>
    <s v="-"/>
    <x v="855"/>
    <n v="3540000"/>
    <x v="0"/>
    <x v="24"/>
    <x v="10"/>
    <x v="238"/>
    <s v="-"/>
    <x v="0"/>
    <x v="4"/>
    <x v="18"/>
    <s v="Usha Latha"/>
    <s v="-"/>
    <s v="-"/>
    <s v="-"/>
    <s v="-"/>
    <s v="-"/>
    <n v="0"/>
    <x v="2"/>
    <s v="-"/>
    <n v="0"/>
    <s v="-"/>
    <x v="0"/>
    <x v="0"/>
  </r>
  <r>
    <n v="918"/>
    <x v="917"/>
    <s v="-"/>
    <x v="33"/>
    <s v="-"/>
    <x v="856"/>
    <n v="15472000"/>
    <x v="0"/>
    <x v="17"/>
    <x v="10"/>
    <x v="238"/>
    <s v="-"/>
    <x v="0"/>
    <x v="4"/>
    <x v="18"/>
    <s v="Rajeshwari"/>
    <s v="-"/>
    <s v="-"/>
    <s v="-"/>
    <s v="-"/>
    <s v="-"/>
    <n v="0"/>
    <x v="2"/>
    <s v="-"/>
    <n v="0"/>
    <s v="-"/>
    <x v="0"/>
    <x v="0"/>
  </r>
  <r>
    <n v="919"/>
    <x v="918"/>
    <s v="-"/>
    <x v="27"/>
    <s v="-"/>
    <x v="857"/>
    <n v="5126000"/>
    <x v="0"/>
    <x v="5"/>
    <x v="10"/>
    <x v="242"/>
    <s v="-"/>
    <x v="0"/>
    <x v="4"/>
    <x v="18"/>
    <s v="Yamini"/>
    <s v="-"/>
    <s v="-"/>
    <s v="-"/>
    <s v="-"/>
    <s v="-"/>
    <n v="0"/>
    <x v="2"/>
    <s v="-"/>
    <n v="0"/>
    <s v="Staff"/>
    <x v="0"/>
    <x v="0"/>
  </r>
  <r>
    <n v="920"/>
    <x v="919"/>
    <s v="-"/>
    <x v="63"/>
    <s v="-"/>
    <x v="858"/>
    <n v="0"/>
    <x v="0"/>
    <x v="2"/>
    <x v="10"/>
    <x v="234"/>
    <s v="-"/>
    <x v="0"/>
    <x v="4"/>
    <x v="10"/>
    <s v="B.Shailaja"/>
    <s v="-"/>
    <s v="-"/>
    <s v="-"/>
    <s v="-"/>
    <s v="-"/>
    <n v="0"/>
    <x v="2"/>
    <s v="-"/>
    <n v="0"/>
    <s v="-"/>
    <x v="0"/>
    <x v="0"/>
  </r>
  <r>
    <n v="921"/>
    <x v="920"/>
    <s v="-"/>
    <x v="63"/>
    <s v="-"/>
    <x v="858"/>
    <n v="0"/>
    <x v="0"/>
    <x v="2"/>
    <x v="10"/>
    <x v="234"/>
    <s v="-"/>
    <x v="0"/>
    <x v="4"/>
    <x v="10"/>
    <s v="N.Shailaja"/>
    <s v="-"/>
    <s v="-"/>
    <s v="-"/>
    <s v="-"/>
    <s v="-"/>
    <n v="0"/>
    <x v="2"/>
    <s v="-"/>
    <n v="0"/>
    <s v="-"/>
    <x v="0"/>
    <x v="0"/>
  </r>
  <r>
    <n v="922"/>
    <x v="921"/>
    <s v="-"/>
    <x v="63"/>
    <s v="-"/>
    <x v="858"/>
    <n v="0"/>
    <x v="0"/>
    <x v="2"/>
    <x v="10"/>
    <x v="234"/>
    <s v="-"/>
    <x v="0"/>
    <x v="4"/>
    <x v="10"/>
    <s v="Sai"/>
    <s v="-"/>
    <s v="-"/>
    <s v="-"/>
    <s v="-"/>
    <s v="-"/>
    <n v="0"/>
    <x v="2"/>
    <s v="-"/>
    <n v="0"/>
    <s v="-"/>
    <x v="0"/>
    <x v="0"/>
  </r>
  <r>
    <n v="923"/>
    <x v="922"/>
    <s v="-"/>
    <x v="63"/>
    <s v="-"/>
    <x v="858"/>
    <n v="0"/>
    <x v="0"/>
    <x v="2"/>
    <x v="10"/>
    <x v="234"/>
    <s v="-"/>
    <x v="0"/>
    <x v="4"/>
    <x v="10"/>
    <s v="Rajini"/>
    <s v="-"/>
    <s v="-"/>
    <s v="-"/>
    <s v="-"/>
    <s v="-"/>
    <n v="0"/>
    <x v="2"/>
    <s v="-"/>
    <n v="0"/>
    <s v="-"/>
    <x v="0"/>
    <x v="0"/>
  </r>
  <r>
    <n v="924"/>
    <x v="923"/>
    <s v="-"/>
    <x v="63"/>
    <s v="-"/>
    <x v="858"/>
    <n v="0"/>
    <x v="0"/>
    <x v="2"/>
    <x v="10"/>
    <x v="234"/>
    <s v="-"/>
    <x v="0"/>
    <x v="4"/>
    <x v="10"/>
    <m/>
    <s v="-"/>
    <s v="-"/>
    <s v="-"/>
    <s v="-"/>
    <s v="-"/>
    <n v="0"/>
    <x v="2"/>
    <s v="-"/>
    <n v="0"/>
    <s v="-"/>
    <x v="0"/>
    <x v="0"/>
  </r>
  <r>
    <n v="925"/>
    <x v="924"/>
    <s v="-"/>
    <x v="14"/>
    <s v="-"/>
    <x v="859"/>
    <n v="0"/>
    <x v="0"/>
    <x v="5"/>
    <x v="10"/>
    <x v="236"/>
    <s v="-"/>
    <x v="0"/>
    <x v="4"/>
    <x v="1"/>
    <s v="Priyanka"/>
    <s v="-"/>
    <s v="-"/>
    <s v="-"/>
    <s v="-"/>
    <s v="-"/>
    <n v="0"/>
    <x v="2"/>
    <s v="-"/>
    <n v="0"/>
    <s v="-"/>
    <x v="0"/>
    <x v="0"/>
  </r>
  <r>
    <n v="926"/>
    <x v="925"/>
    <s v="-"/>
    <x v="169"/>
    <s v="-"/>
    <x v="860"/>
    <n v="0"/>
    <x v="0"/>
    <x v="7"/>
    <x v="12"/>
    <x v="117"/>
    <s v="-"/>
    <x v="0"/>
    <x v="4"/>
    <x v="10"/>
    <s v="Madhu"/>
    <s v="-"/>
    <s v="-"/>
    <s v="-"/>
    <s v="-"/>
    <s v="-"/>
    <n v="0"/>
    <x v="2"/>
    <s v="-"/>
    <n v="0"/>
    <s v="-"/>
    <x v="0"/>
    <x v="0"/>
  </r>
  <r>
    <n v="927"/>
    <x v="926"/>
    <s v="-"/>
    <x v="170"/>
    <s v="-"/>
    <x v="861"/>
    <n v="0"/>
    <x v="0"/>
    <x v="14"/>
    <x v="12"/>
    <x v="117"/>
    <s v="-"/>
    <x v="0"/>
    <x v="4"/>
    <x v="0"/>
    <s v="Neelima"/>
    <s v="-"/>
    <s v="-"/>
    <s v="-"/>
    <s v="-"/>
    <s v="-"/>
    <n v="0"/>
    <x v="2"/>
    <s v="-"/>
    <n v="0"/>
    <s v="-"/>
    <x v="0"/>
    <x v="0"/>
  </r>
  <r>
    <n v="928"/>
    <x v="927"/>
    <s v="-"/>
    <x v="171"/>
    <s v="-"/>
    <x v="862"/>
    <n v="0"/>
    <x v="0"/>
    <x v="4"/>
    <x v="12"/>
    <x v="117"/>
    <s v="-"/>
    <x v="0"/>
    <x v="4"/>
    <x v="0"/>
    <s v="Sowjanya"/>
    <s v="-"/>
    <s v="-"/>
    <s v="-"/>
    <s v="-"/>
    <s v="-"/>
    <n v="0"/>
    <x v="2"/>
    <s v="-"/>
    <n v="0"/>
    <s v="-"/>
    <x v="0"/>
    <x v="0"/>
  </r>
  <r>
    <n v="929"/>
    <x v="928"/>
    <s v="-"/>
    <x v="172"/>
    <s v="-"/>
    <x v="863"/>
    <n v="0"/>
    <x v="0"/>
    <x v="3"/>
    <x v="12"/>
    <x v="117"/>
    <s v="-"/>
    <x v="0"/>
    <x v="4"/>
    <x v="0"/>
    <s v="Usha Latha"/>
    <s v="-"/>
    <s v="-"/>
    <s v="-"/>
    <s v="-"/>
    <s v="-"/>
    <n v="0"/>
    <x v="2"/>
    <s v="-"/>
    <n v="0"/>
    <s v="-"/>
    <x v="0"/>
    <x v="0"/>
  </r>
  <r>
    <n v="930"/>
    <x v="929"/>
    <s v="-"/>
    <x v="112"/>
    <s v="-"/>
    <x v="864"/>
    <n v="0"/>
    <x v="0"/>
    <x v="3"/>
    <x v="10"/>
    <x v="236"/>
    <s v="-"/>
    <x v="0"/>
    <x v="4"/>
    <x v="0"/>
    <s v="Rajeshwari"/>
    <s v="-"/>
    <s v="-"/>
    <s v="-"/>
    <s v="-"/>
    <s v="-"/>
    <n v="0"/>
    <x v="2"/>
    <s v="-"/>
    <n v="0"/>
    <s v="-"/>
    <x v="0"/>
    <x v="0"/>
  </r>
  <r>
    <n v="931"/>
    <x v="930"/>
    <s v="-"/>
    <x v="173"/>
    <s v="-"/>
    <x v="865"/>
    <n v="0"/>
    <x v="0"/>
    <x v="3"/>
    <x v="12"/>
    <x v="169"/>
    <s v="-"/>
    <x v="0"/>
    <x v="4"/>
    <x v="0"/>
    <s v="Yamini"/>
    <s v="-"/>
    <s v="-"/>
    <s v="-"/>
    <s v="-"/>
    <s v="-"/>
    <n v="0"/>
    <x v="2"/>
    <s v="-"/>
    <n v="0"/>
    <s v="-"/>
    <x v="0"/>
    <x v="0"/>
  </r>
  <r>
    <n v="932"/>
    <x v="931"/>
    <s v="-"/>
    <x v="121"/>
    <s v="-"/>
    <x v="866"/>
    <n v="0"/>
    <x v="0"/>
    <x v="17"/>
    <x v="10"/>
    <x v="238"/>
    <s v="-"/>
    <x v="0"/>
    <x v="4"/>
    <x v="18"/>
    <s v="B.Shailaja"/>
    <s v="-"/>
    <s v="-"/>
    <s v="-"/>
    <s v="-"/>
    <s v="-"/>
    <n v="0"/>
    <x v="2"/>
    <s v="-"/>
    <n v="0"/>
    <s v="-"/>
    <x v="0"/>
    <x v="0"/>
  </r>
  <r>
    <n v="933"/>
    <x v="932"/>
    <s v="-"/>
    <x v="103"/>
    <s v="-"/>
    <x v="867"/>
    <n v="0"/>
    <x v="0"/>
    <x v="3"/>
    <x v="10"/>
    <x v="235"/>
    <s v="-"/>
    <x v="0"/>
    <x v="4"/>
    <x v="18"/>
    <s v="N.Shailaja"/>
    <s v="-"/>
    <s v="-"/>
    <s v="-"/>
    <s v="-"/>
    <s v="-"/>
    <n v="0"/>
    <x v="2"/>
    <s v="-"/>
    <n v="0"/>
    <s v="-"/>
    <x v="0"/>
    <x v="0"/>
  </r>
  <r>
    <n v="934"/>
    <x v="933"/>
    <s v="-"/>
    <x v="103"/>
    <s v="-"/>
    <x v="867"/>
    <n v="0"/>
    <x v="0"/>
    <x v="3"/>
    <x v="10"/>
    <x v="235"/>
    <s v="-"/>
    <x v="0"/>
    <x v="4"/>
    <x v="18"/>
    <s v="Sai"/>
    <s v="-"/>
    <s v="-"/>
    <s v="-"/>
    <s v="-"/>
    <s v="-"/>
    <n v="0"/>
    <x v="2"/>
    <s v="-"/>
    <n v="0"/>
    <s v="-"/>
    <x v="0"/>
    <x v="0"/>
  </r>
  <r>
    <n v="935"/>
    <x v="934"/>
    <s v="-"/>
    <x v="103"/>
    <s v="-"/>
    <x v="868"/>
    <n v="0"/>
    <x v="0"/>
    <x v="24"/>
    <x v="10"/>
    <x v="235"/>
    <s v="-"/>
    <x v="0"/>
    <x v="4"/>
    <x v="18"/>
    <s v="Rajini"/>
    <s v="-"/>
    <s v="-"/>
    <s v="-"/>
    <s v="-"/>
    <s v="-"/>
    <n v="0"/>
    <x v="2"/>
    <s v="-"/>
    <n v="0"/>
    <s v="-"/>
    <x v="0"/>
    <x v="0"/>
  </r>
  <r>
    <n v="936"/>
    <x v="935"/>
    <s v="-"/>
    <x v="96"/>
    <s v="-"/>
    <x v="869"/>
    <n v="0"/>
    <x v="0"/>
    <x v="4"/>
    <x v="10"/>
    <x v="235"/>
    <s v="-"/>
    <x v="0"/>
    <x v="4"/>
    <x v="18"/>
    <m/>
    <s v="-"/>
    <s v="-"/>
    <s v="-"/>
    <s v="-"/>
    <s v="-"/>
    <n v="0"/>
    <x v="2"/>
    <s v="-"/>
    <n v="0"/>
    <s v="-"/>
    <x v="0"/>
    <x v="0"/>
  </r>
  <r>
    <n v="937"/>
    <x v="936"/>
    <s v="-"/>
    <x v="124"/>
    <s v="-"/>
    <x v="870"/>
    <n v="0"/>
    <x v="0"/>
    <x v="24"/>
    <x v="10"/>
    <x v="236"/>
    <s v="-"/>
    <x v="0"/>
    <x v="4"/>
    <x v="10"/>
    <s v="Priyanka"/>
    <s v="-"/>
    <s v="-"/>
    <s v="-"/>
    <s v="-"/>
    <s v="-"/>
    <n v="0"/>
    <x v="2"/>
    <s v="-"/>
    <n v="0"/>
    <s v="-"/>
    <x v="0"/>
    <x v="0"/>
  </r>
  <r>
    <n v="938"/>
    <x v="937"/>
    <s v="-"/>
    <x v="174"/>
    <s v="-"/>
    <x v="871"/>
    <n v="0"/>
    <x v="0"/>
    <x v="3"/>
    <x v="10"/>
    <x v="236"/>
    <s v="-"/>
    <x v="0"/>
    <x v="4"/>
    <x v="0"/>
    <s v="Madhu"/>
    <s v="-"/>
    <s v="-"/>
    <s v="-"/>
    <s v="-"/>
    <s v="-"/>
    <n v="0"/>
    <x v="2"/>
    <s v="-"/>
    <n v="0"/>
    <s v="-"/>
    <x v="0"/>
    <x v="0"/>
  </r>
  <r>
    <n v="939"/>
    <x v="938"/>
    <s v="-"/>
    <x v="174"/>
    <s v="-"/>
    <x v="872"/>
    <n v="0"/>
    <x v="0"/>
    <x v="3"/>
    <x v="10"/>
    <x v="243"/>
    <s v="-"/>
    <x v="0"/>
    <x v="4"/>
    <x v="0"/>
    <s v="Neelima"/>
    <s v="-"/>
    <s v="-"/>
    <s v="-"/>
    <s v="-"/>
    <s v="-"/>
    <n v="0"/>
    <x v="2"/>
    <s v="-"/>
    <n v="0"/>
    <s v="-"/>
    <x v="0"/>
    <x v="0"/>
  </r>
  <r>
    <n v="940"/>
    <x v="939"/>
    <s v="-"/>
    <x v="91"/>
    <s v="-"/>
    <x v="873"/>
    <n v="0"/>
    <x v="0"/>
    <x v="3"/>
    <x v="10"/>
    <x v="235"/>
    <s v="-"/>
    <x v="0"/>
    <x v="4"/>
    <x v="18"/>
    <s v="Sowjanya"/>
    <s v="-"/>
    <s v="-"/>
    <s v="-"/>
    <s v="-"/>
    <s v="-"/>
    <n v="0"/>
    <x v="2"/>
    <s v="-"/>
    <n v="0"/>
    <s v="-"/>
    <x v="0"/>
    <x v="0"/>
  </r>
  <r>
    <n v="941"/>
    <x v="940"/>
    <s v="-"/>
    <x v="125"/>
    <s v="-"/>
    <x v="874"/>
    <n v="0"/>
    <x v="0"/>
    <x v="3"/>
    <x v="10"/>
    <x v="236"/>
    <s v="-"/>
    <x v="0"/>
    <x v="4"/>
    <x v="10"/>
    <s v="Usha Latha"/>
    <s v="-"/>
    <s v="-"/>
    <s v="-"/>
    <s v="-"/>
    <s v="-"/>
    <n v="0"/>
    <x v="2"/>
    <s v="-"/>
    <n v="0"/>
    <s v="-"/>
    <x v="0"/>
    <x v="0"/>
  </r>
  <r>
    <n v="942"/>
    <x v="941"/>
    <s v="-"/>
    <x v="175"/>
    <s v="-"/>
    <x v="875"/>
    <n v="0"/>
    <x v="0"/>
    <x v="3"/>
    <x v="12"/>
    <x v="244"/>
    <s v="-"/>
    <x v="0"/>
    <x v="4"/>
    <x v="10"/>
    <s v="Rajeshwari"/>
    <s v="-"/>
    <s v="-"/>
    <s v="-"/>
    <s v="-"/>
    <s v="-"/>
    <n v="0"/>
    <x v="2"/>
    <s v="-"/>
    <n v="0"/>
    <s v="-"/>
    <x v="0"/>
    <x v="0"/>
  </r>
  <r>
    <n v="943"/>
    <x v="942"/>
    <s v="-"/>
    <x v="88"/>
    <s v="-"/>
    <x v="874"/>
    <n v="0"/>
    <x v="0"/>
    <x v="3"/>
    <x v="10"/>
    <x v="236"/>
    <s v="-"/>
    <x v="0"/>
    <x v="4"/>
    <x v="0"/>
    <s v="Yamini"/>
    <s v="-"/>
    <s v="-"/>
    <s v="-"/>
    <s v="-"/>
    <s v="-"/>
    <n v="0"/>
    <x v="2"/>
    <s v="-"/>
    <n v="0"/>
    <s v="-"/>
    <x v="0"/>
    <x v="0"/>
  </r>
  <r>
    <n v="944"/>
    <x v="943"/>
    <s v="-"/>
    <x v="176"/>
    <s v="-"/>
    <x v="876"/>
    <n v="0"/>
    <x v="0"/>
    <x v="3"/>
    <x v="10"/>
    <x v="236"/>
    <s v="-"/>
    <x v="0"/>
    <x v="4"/>
    <x v="0"/>
    <s v="B.Shailaja"/>
    <s v="-"/>
    <s v="-"/>
    <s v="-"/>
    <s v="-"/>
    <s v="-"/>
    <n v="0"/>
    <x v="2"/>
    <s v="-"/>
    <n v="0"/>
    <s v="-"/>
    <x v="0"/>
    <x v="0"/>
  </r>
  <r>
    <n v="945"/>
    <x v="944"/>
    <s v="-"/>
    <x v="177"/>
    <s v="-"/>
    <x v="877"/>
    <n v="0"/>
    <x v="0"/>
    <x v="2"/>
    <x v="10"/>
    <x v="245"/>
    <s v="-"/>
    <x v="0"/>
    <x v="4"/>
    <x v="10"/>
    <s v="N.Shailaja"/>
    <s v="-"/>
    <s v="-"/>
    <d v="2017-06-07T00:00:00"/>
    <s v="Bank"/>
    <s v="-"/>
    <n v="2700"/>
    <x v="0"/>
    <s v="-"/>
    <n v="0"/>
    <s v="-"/>
    <x v="0"/>
    <x v="0"/>
  </r>
  <r>
    <n v="946"/>
    <x v="945"/>
    <s v="-"/>
    <x v="140"/>
    <s v="-"/>
    <x v="878"/>
    <n v="0"/>
    <x v="0"/>
    <x v="17"/>
    <x v="10"/>
    <x v="233"/>
    <s v="-"/>
    <x v="0"/>
    <x v="4"/>
    <x v="18"/>
    <s v="Sai"/>
    <s v="-"/>
    <s v="-"/>
    <s v="-"/>
    <s v="-"/>
    <s v="-"/>
    <n v="0"/>
    <x v="2"/>
    <s v="-"/>
    <n v="0"/>
    <s v="-"/>
    <x v="0"/>
    <x v="0"/>
  </r>
  <r>
    <n v="947"/>
    <x v="946"/>
    <s v="-"/>
    <x v="156"/>
    <s v="-"/>
    <x v="879"/>
    <n v="0"/>
    <x v="0"/>
    <x v="3"/>
    <x v="12"/>
    <x v="21"/>
    <s v="-"/>
    <x v="0"/>
    <x v="4"/>
    <x v="10"/>
    <s v="Rajini"/>
    <s v="-"/>
    <s v="-"/>
    <d v="2017-06-23T00:00:00"/>
    <s v="Bank"/>
    <s v="-"/>
    <n v="2375"/>
    <x v="0"/>
    <n v="2375"/>
    <n v="0"/>
    <s v="-"/>
    <x v="0"/>
    <x v="0"/>
  </r>
  <r>
    <n v="948"/>
    <x v="947"/>
    <s v="-"/>
    <x v="140"/>
    <s v="-"/>
    <x v="878"/>
    <n v="0"/>
    <x v="0"/>
    <x v="17"/>
    <x v="10"/>
    <x v="233"/>
    <s v="-"/>
    <x v="0"/>
    <x v="4"/>
    <x v="18"/>
    <m/>
    <s v="-"/>
    <s v="-"/>
    <s v="-"/>
    <s v="-"/>
    <s v="-"/>
    <n v="0"/>
    <x v="2"/>
    <s v="-"/>
    <n v="0"/>
    <s v="-"/>
    <x v="0"/>
    <x v="0"/>
  </r>
  <r>
    <n v="949"/>
    <x v="948"/>
    <s v="-"/>
    <x v="140"/>
    <s v="-"/>
    <x v="878"/>
    <n v="0"/>
    <x v="0"/>
    <x v="17"/>
    <x v="10"/>
    <x v="233"/>
    <s v="-"/>
    <x v="0"/>
    <x v="4"/>
    <x v="18"/>
    <s v="Priyanka"/>
    <s v="-"/>
    <s v="-"/>
    <s v="-"/>
    <s v="-"/>
    <s v="-"/>
    <n v="0"/>
    <x v="2"/>
    <s v="-"/>
    <n v="0"/>
    <s v="-"/>
    <x v="0"/>
    <x v="0"/>
  </r>
  <r>
    <n v="950"/>
    <x v="949"/>
    <s v="-"/>
    <x v="81"/>
    <s v="-"/>
    <x v="880"/>
    <n v="0"/>
    <x v="0"/>
    <x v="7"/>
    <x v="10"/>
    <x v="236"/>
    <s v="-"/>
    <x v="0"/>
    <x v="4"/>
    <x v="10"/>
    <s v="Madhu"/>
    <s v="-"/>
    <s v="-"/>
    <s v="-"/>
    <s v="-"/>
    <s v="-"/>
    <n v="0"/>
    <x v="2"/>
    <s v="-"/>
    <n v="0"/>
    <s v="-"/>
    <x v="0"/>
    <x v="0"/>
  </r>
  <r>
    <n v="951"/>
    <x v="950"/>
    <s v="-"/>
    <x v="74"/>
    <s v="-"/>
    <x v="881"/>
    <n v="0"/>
    <x v="0"/>
    <x v="24"/>
    <x v="10"/>
    <x v="233"/>
    <s v="-"/>
    <x v="0"/>
    <x v="4"/>
    <x v="18"/>
    <s v="Neelima"/>
    <s v="-"/>
    <s v="-"/>
    <s v="-"/>
    <s v="-"/>
    <s v="-"/>
    <n v="0"/>
    <x v="2"/>
    <s v="-"/>
    <n v="0"/>
    <s v="-"/>
    <x v="0"/>
    <x v="0"/>
  </r>
  <r>
    <n v="952"/>
    <x v="951"/>
    <s v="-"/>
    <x v="178"/>
    <s v="-"/>
    <x v="882"/>
    <n v="0"/>
    <x v="0"/>
    <x v="3"/>
    <x v="12"/>
    <x v="21"/>
    <s v="-"/>
    <x v="0"/>
    <x v="4"/>
    <x v="10"/>
    <s v="Sowjanya"/>
    <s v="-"/>
    <s v="-"/>
    <s v="-"/>
    <s v="-"/>
    <s v="-"/>
    <n v="0"/>
    <x v="2"/>
    <n v="10000"/>
    <n v="0"/>
    <s v="-"/>
    <x v="0"/>
    <x v="0"/>
  </r>
  <r>
    <n v="953"/>
    <x v="952"/>
    <s v="-"/>
    <x v="74"/>
    <s v="-"/>
    <x v="881"/>
    <n v="0"/>
    <x v="0"/>
    <x v="24"/>
    <x v="10"/>
    <x v="233"/>
    <s v="-"/>
    <x v="0"/>
    <x v="4"/>
    <x v="18"/>
    <s v="Usha Latha"/>
    <s v="-"/>
    <s v="-"/>
    <s v="-"/>
    <s v="-"/>
    <s v="-"/>
    <n v="0"/>
    <x v="2"/>
    <s v="-"/>
    <n v="0"/>
    <s v="-"/>
    <x v="0"/>
    <x v="0"/>
  </r>
  <r>
    <n v="954"/>
    <x v="953"/>
    <s v="-"/>
    <x v="179"/>
    <s v="-"/>
    <x v="883"/>
    <n v="0"/>
    <x v="0"/>
    <x v="16"/>
    <x v="12"/>
    <x v="21"/>
    <s v="-"/>
    <x v="0"/>
    <x v="4"/>
    <x v="10"/>
    <s v="Rajeshwari"/>
    <s v="-"/>
    <s v="-"/>
    <s v="-"/>
    <s v="-"/>
    <s v="-"/>
    <n v="0"/>
    <x v="2"/>
    <n v="10000"/>
    <n v="0"/>
    <s v="-"/>
    <x v="0"/>
    <x v="0"/>
  </r>
  <r>
    <n v="955"/>
    <x v="954"/>
    <s v="-"/>
    <x v="180"/>
    <s v="-"/>
    <x v="884"/>
    <n v="0"/>
    <x v="0"/>
    <x v="3"/>
    <x v="11"/>
    <x v="240"/>
    <s v="-"/>
    <x v="0"/>
    <x v="4"/>
    <x v="10"/>
    <s v="Yamini"/>
    <s v="-"/>
    <s v="-"/>
    <s v="-"/>
    <s v="-"/>
    <s v="-"/>
    <n v="0"/>
    <x v="2"/>
    <s v="-"/>
    <n v="0"/>
    <s v="-"/>
    <x v="0"/>
    <x v="0"/>
  </r>
  <r>
    <n v="956"/>
    <x v="955"/>
    <s v="-"/>
    <x v="74"/>
    <s v="-"/>
    <x v="881"/>
    <n v="0"/>
    <x v="0"/>
    <x v="24"/>
    <x v="10"/>
    <x v="233"/>
    <s v="-"/>
    <x v="0"/>
    <x v="4"/>
    <x v="18"/>
    <s v="B.Shailaja"/>
    <s v="-"/>
    <s v="-"/>
    <s v="-"/>
    <s v="-"/>
    <s v="-"/>
    <n v="0"/>
    <x v="2"/>
    <s v="-"/>
    <n v="0"/>
    <s v="-"/>
    <x v="0"/>
    <x v="0"/>
  </r>
  <r>
    <n v="957"/>
    <x v="956"/>
    <s v="-"/>
    <x v="181"/>
    <s v="-"/>
    <x v="885"/>
    <n v="0"/>
    <x v="0"/>
    <x v="17"/>
    <x v="10"/>
    <x v="234"/>
    <s v="-"/>
    <x v="0"/>
    <x v="4"/>
    <x v="10"/>
    <s v="N.Shailaja"/>
    <s v="-"/>
    <s v="-"/>
    <s v="-"/>
    <s v="-"/>
    <s v="-"/>
    <n v="0"/>
    <x v="2"/>
    <s v="-"/>
    <n v="0"/>
    <s v="-"/>
    <x v="0"/>
    <x v="0"/>
  </r>
  <r>
    <n v="958"/>
    <x v="957"/>
    <s v="-"/>
    <x v="182"/>
    <s v="-"/>
    <x v="886"/>
    <n v="0"/>
    <x v="0"/>
    <x v="24"/>
    <x v="10"/>
    <x v="246"/>
    <s v="-"/>
    <x v="0"/>
    <x v="4"/>
    <x v="0"/>
    <s v="Sai"/>
    <s v="-"/>
    <s v="-"/>
    <s v="-"/>
    <s v="-"/>
    <s v="-"/>
    <n v="0"/>
    <x v="2"/>
    <s v="-"/>
    <n v="0"/>
    <s v="-"/>
    <x v="0"/>
    <x v="0"/>
  </r>
  <r>
    <n v="959"/>
    <x v="958"/>
    <s v="-"/>
    <x v="183"/>
    <s v="-"/>
    <x v="887"/>
    <n v="0"/>
    <x v="0"/>
    <x v="24"/>
    <x v="10"/>
    <x v="238"/>
    <s v="-"/>
    <x v="0"/>
    <x v="4"/>
    <x v="18"/>
    <s v="Rajini"/>
    <s v="-"/>
    <s v="-"/>
    <s v="-"/>
    <s v="-"/>
    <s v="-"/>
    <n v="0"/>
    <x v="2"/>
    <s v="-"/>
    <n v="0"/>
    <s v="-"/>
    <x v="0"/>
    <x v="0"/>
  </r>
  <r>
    <n v="960"/>
    <x v="959"/>
    <s v="-"/>
    <x v="184"/>
    <s v="-"/>
    <x v="888"/>
    <n v="0"/>
    <x v="0"/>
    <x v="24"/>
    <x v="10"/>
    <x v="247"/>
    <s v="-"/>
    <x v="0"/>
    <x v="4"/>
    <x v="0"/>
    <m/>
    <s v="-"/>
    <s v="-"/>
    <s v="-"/>
    <s v="-"/>
    <s v="-"/>
    <n v="0"/>
    <x v="2"/>
    <s v="-"/>
    <n v="0"/>
    <s v="-"/>
    <x v="0"/>
    <x v="0"/>
  </r>
  <r>
    <n v="961"/>
    <x v="960"/>
    <s v="-"/>
    <x v="185"/>
    <s v="-"/>
    <x v="889"/>
    <n v="0"/>
    <x v="0"/>
    <x v="17"/>
    <x v="10"/>
    <x v="238"/>
    <s v="-"/>
    <x v="0"/>
    <x v="4"/>
    <x v="0"/>
    <s v="Priyanka"/>
    <s v="-"/>
    <s v="-"/>
    <s v="-"/>
    <s v="-"/>
    <s v="-"/>
    <n v="0"/>
    <x v="2"/>
    <s v="-"/>
    <n v="0"/>
    <s v="-"/>
    <x v="0"/>
    <x v="0"/>
  </r>
  <r>
    <n v="962"/>
    <x v="961"/>
    <s v="-"/>
    <x v="185"/>
    <s v="-"/>
    <x v="890"/>
    <n v="0"/>
    <x v="0"/>
    <x v="17"/>
    <x v="10"/>
    <x v="233"/>
    <s v="-"/>
    <x v="0"/>
    <x v="4"/>
    <x v="0"/>
    <s v="Madhu"/>
    <s v="-"/>
    <s v="-"/>
    <s v="-"/>
    <s v="-"/>
    <s v="-"/>
    <n v="0"/>
    <x v="2"/>
    <s v="-"/>
    <n v="0"/>
    <s v="-"/>
    <x v="0"/>
    <x v="0"/>
  </r>
  <r>
    <n v="963"/>
    <x v="962"/>
    <s v="-"/>
    <x v="74"/>
    <s v="-"/>
    <x v="891"/>
    <n v="0"/>
    <x v="0"/>
    <x v="5"/>
    <x v="12"/>
    <x v="21"/>
    <s v="-"/>
    <x v="0"/>
    <x v="4"/>
    <x v="10"/>
    <s v="Neelima"/>
    <s v="-"/>
    <s v="-"/>
    <s v="-"/>
    <s v="-"/>
    <s v="-"/>
    <n v="0"/>
    <x v="2"/>
    <n v="3875"/>
    <n v="0"/>
    <s v="-"/>
    <x v="0"/>
    <x v="0"/>
  </r>
  <r>
    <n v="964"/>
    <x v="963"/>
    <s v="-"/>
    <x v="81"/>
    <s v="-"/>
    <x v="892"/>
    <n v="0"/>
    <x v="0"/>
    <x v="5"/>
    <x v="12"/>
    <x v="21"/>
    <s v="-"/>
    <x v="0"/>
    <x v="4"/>
    <x v="10"/>
    <s v="Sowjanya"/>
    <s v="-"/>
    <s v="-"/>
    <d v="2017-06-23T00:00:00"/>
    <s v="Bank"/>
    <s v="-"/>
    <n v="3125"/>
    <x v="0"/>
    <n v="3125"/>
    <n v="0"/>
    <s v="-"/>
    <x v="0"/>
    <x v="0"/>
  </r>
  <r>
    <n v="965"/>
    <x v="964"/>
    <s v="-"/>
    <x v="148"/>
    <s v="-"/>
    <x v="893"/>
    <n v="0"/>
    <x v="0"/>
    <x v="16"/>
    <x v="12"/>
    <x v="248"/>
    <s v="-"/>
    <x v="0"/>
    <x v="4"/>
    <x v="10"/>
    <s v="Usha Latha"/>
    <s v="-"/>
    <s v="-"/>
    <s v="-"/>
    <s v="-"/>
    <s v="-"/>
    <n v="0"/>
    <x v="2"/>
    <s v="-"/>
    <n v="0"/>
    <s v="-"/>
    <x v="0"/>
    <x v="0"/>
  </r>
  <r>
    <n v="966"/>
    <x v="965"/>
    <s v="-"/>
    <x v="146"/>
    <s v="-"/>
    <x v="894"/>
    <n v="0"/>
    <x v="0"/>
    <x v="5"/>
    <x v="12"/>
    <x v="21"/>
    <s v="-"/>
    <x v="0"/>
    <x v="4"/>
    <x v="10"/>
    <s v="Rajeshwari"/>
    <s v="-"/>
    <s v="-"/>
    <s v="-"/>
    <s v="-"/>
    <s v="-"/>
    <n v="0"/>
    <x v="2"/>
    <n v="9250"/>
    <n v="0"/>
    <s v="-"/>
    <x v="0"/>
    <x v="0"/>
  </r>
  <r>
    <n v="967"/>
    <x v="966"/>
    <s v="-"/>
    <x v="144"/>
    <s v="-"/>
    <x v="895"/>
    <n v="0"/>
    <x v="0"/>
    <x v="16"/>
    <x v="12"/>
    <x v="248"/>
    <s v="-"/>
    <x v="0"/>
    <x v="4"/>
    <x v="10"/>
    <s v="Yamini"/>
    <s v="-"/>
    <s v="-"/>
    <s v="-"/>
    <s v="-"/>
    <s v="-"/>
    <n v="0"/>
    <x v="2"/>
    <s v="-"/>
    <n v="0"/>
    <s v="-"/>
    <x v="0"/>
    <x v="0"/>
  </r>
  <r>
    <n v="968"/>
    <x v="967"/>
    <s v="-"/>
    <x v="141"/>
    <s v="-"/>
    <x v="896"/>
    <n v="0"/>
    <x v="0"/>
    <x v="3"/>
    <x v="12"/>
    <x v="50"/>
    <s v="-"/>
    <x v="0"/>
    <x v="4"/>
    <x v="10"/>
    <s v="B.Shailaja"/>
    <s v="-"/>
    <s v="-"/>
    <s v="-"/>
    <s v="-"/>
    <s v="-"/>
    <n v="0"/>
    <x v="2"/>
    <s v="-"/>
    <n v="0"/>
    <s v="-"/>
    <x v="0"/>
    <x v="0"/>
  </r>
  <r>
    <n v="969"/>
    <x v="968"/>
    <s v="-"/>
    <x v="140"/>
    <s v="-"/>
    <x v="897"/>
    <n v="0"/>
    <x v="0"/>
    <x v="14"/>
    <x v="12"/>
    <x v="249"/>
    <s v="-"/>
    <x v="0"/>
    <x v="4"/>
    <x v="10"/>
    <s v="N.Shailaja"/>
    <s v="-"/>
    <s v="-"/>
    <s v="-"/>
    <s v="-"/>
    <s v="-"/>
    <n v="0"/>
    <x v="2"/>
    <s v="-"/>
    <n v="0"/>
    <s v="-"/>
    <x v="0"/>
    <x v="0"/>
  </r>
  <r>
    <n v="970"/>
    <x v="969"/>
    <s v="-"/>
    <x v="186"/>
    <s v="-"/>
    <x v="898"/>
    <n v="0"/>
    <x v="0"/>
    <x v="14"/>
    <x v="10"/>
    <x v="236"/>
    <s v="-"/>
    <x v="0"/>
    <x v="4"/>
    <x v="10"/>
    <s v="Sai"/>
    <s v="-"/>
    <s v="-"/>
    <s v="-"/>
    <s v="-"/>
    <s v="-"/>
    <n v="0"/>
    <x v="2"/>
    <s v="-"/>
    <n v="0"/>
    <s v="-"/>
    <x v="0"/>
    <x v="0"/>
  </r>
  <r>
    <n v="971"/>
    <x v="970"/>
    <s v="-"/>
    <x v="187"/>
    <s v="-"/>
    <x v="899"/>
    <n v="0"/>
    <x v="0"/>
    <x v="5"/>
    <x v="12"/>
    <x v="21"/>
    <s v="-"/>
    <x v="0"/>
    <x v="4"/>
    <x v="10"/>
    <s v="Rajini"/>
    <s v="-"/>
    <s v="-"/>
    <d v="2017-06-23T00:00:00"/>
    <s v="Bank"/>
    <s v="-"/>
    <n v="3000"/>
    <x v="0"/>
    <n v="3000"/>
    <n v="0"/>
    <s v="-"/>
    <x v="0"/>
    <x v="0"/>
  </r>
  <r>
    <n v="972"/>
    <x v="971"/>
    <s v="-"/>
    <x v="188"/>
    <s v="-"/>
    <x v="900"/>
    <n v="0"/>
    <x v="0"/>
    <x v="3"/>
    <x v="12"/>
    <x v="250"/>
    <s v="-"/>
    <x v="0"/>
    <x v="4"/>
    <x v="10"/>
    <m/>
    <s v="-"/>
    <s v="-"/>
    <s v="-"/>
    <s v="-"/>
    <s v="-"/>
    <n v="0"/>
    <x v="2"/>
    <s v="-"/>
    <n v="0"/>
    <s v="-"/>
    <x v="0"/>
    <x v="0"/>
  </r>
  <r>
    <n v="973"/>
    <x v="972"/>
    <s v="-"/>
    <x v="189"/>
    <s v="-"/>
    <x v="901"/>
    <n v="0"/>
    <x v="0"/>
    <x v="5"/>
    <x v="12"/>
    <x v="248"/>
    <s v="-"/>
    <x v="0"/>
    <x v="4"/>
    <x v="10"/>
    <s v="Priyanka"/>
    <s v="-"/>
    <s v="-"/>
    <s v="-"/>
    <s v="-"/>
    <s v="-"/>
    <n v="0"/>
    <x v="2"/>
    <s v="-"/>
    <n v="0"/>
    <s v="-"/>
    <x v="0"/>
    <x v="0"/>
  </r>
  <r>
    <n v="974"/>
    <x v="973"/>
    <s v="-"/>
    <x v="189"/>
    <s v="-"/>
    <x v="902"/>
    <n v="0"/>
    <x v="0"/>
    <x v="5"/>
    <x v="12"/>
    <x v="248"/>
    <s v="-"/>
    <x v="0"/>
    <x v="4"/>
    <x v="10"/>
    <s v="Madhu"/>
    <s v="-"/>
    <s v="-"/>
    <s v="-"/>
    <s v="-"/>
    <s v="-"/>
    <n v="0"/>
    <x v="2"/>
    <s v="-"/>
    <n v="0"/>
    <s v="-"/>
    <x v="0"/>
    <x v="0"/>
  </r>
  <r>
    <n v="975"/>
    <x v="974"/>
    <s v="-"/>
    <x v="189"/>
    <s v="-"/>
    <x v="903"/>
    <n v="0"/>
    <x v="0"/>
    <x v="5"/>
    <x v="12"/>
    <x v="248"/>
    <s v="-"/>
    <x v="0"/>
    <x v="4"/>
    <x v="10"/>
    <s v="Neelima"/>
    <s v="-"/>
    <s v="-"/>
    <s v="-"/>
    <s v="-"/>
    <s v="-"/>
    <n v="0"/>
    <x v="2"/>
    <s v="-"/>
    <n v="0"/>
    <s v="-"/>
    <x v="0"/>
    <x v="0"/>
  </r>
  <r>
    <n v="976"/>
    <x v="975"/>
    <s v="-"/>
    <x v="189"/>
    <s v="-"/>
    <x v="904"/>
    <n v="0"/>
    <x v="0"/>
    <x v="5"/>
    <x v="12"/>
    <x v="248"/>
    <s v="-"/>
    <x v="0"/>
    <x v="4"/>
    <x v="10"/>
    <s v="Neelima"/>
    <s v="-"/>
    <s v="-"/>
    <s v="-"/>
    <s v="-"/>
    <s v="-"/>
    <n v="0"/>
    <x v="2"/>
    <s v="-"/>
    <n v="0"/>
    <s v="-"/>
    <x v="0"/>
    <x v="0"/>
  </r>
  <r>
    <n v="977"/>
    <x v="976"/>
    <s v="-"/>
    <x v="189"/>
    <s v="-"/>
    <x v="905"/>
    <n v="0"/>
    <x v="0"/>
    <x v="5"/>
    <x v="12"/>
    <x v="250"/>
    <s v="-"/>
    <x v="0"/>
    <x v="4"/>
    <x v="10"/>
    <s v="Sowjanya"/>
    <s v="-"/>
    <s v="-"/>
    <s v="-"/>
    <s v="-"/>
    <s v="-"/>
    <n v="0"/>
    <x v="2"/>
    <s v="-"/>
    <n v="0"/>
    <s v="-"/>
    <x v="0"/>
    <x v="0"/>
  </r>
  <r>
    <n v="978"/>
    <x v="977"/>
    <s v="-"/>
    <x v="190"/>
    <s v="-"/>
    <x v="906"/>
    <n v="0"/>
    <x v="0"/>
    <x v="7"/>
    <x v="12"/>
    <x v="251"/>
    <s v="-"/>
    <x v="0"/>
    <x v="4"/>
    <x v="10"/>
    <s v="Usha Latha"/>
    <s v="-"/>
    <s v="-"/>
    <s v="-"/>
    <s v="-"/>
    <s v="-"/>
    <n v="0"/>
    <x v="2"/>
    <s v="-"/>
    <n v="0"/>
    <s v="-"/>
    <x v="0"/>
    <x v="0"/>
  </r>
  <r>
    <n v="979"/>
    <x v="978"/>
    <s v="-"/>
    <x v="191"/>
    <s v="-"/>
    <x v="907"/>
    <n v="0"/>
    <x v="0"/>
    <x v="5"/>
    <x v="12"/>
    <x v="21"/>
    <s v="-"/>
    <x v="0"/>
    <x v="4"/>
    <x v="10"/>
    <s v="Rajeshwari"/>
    <s v="-"/>
    <s v="-"/>
    <d v="2017-06-23T00:00:00"/>
    <s v="Bank"/>
    <s v="-"/>
    <n v="3375"/>
    <x v="0"/>
    <n v="3375"/>
    <n v="0"/>
    <s v="-"/>
    <x v="0"/>
    <x v="0"/>
  </r>
  <r>
    <n v="980"/>
    <x v="979"/>
    <s v="-"/>
    <x v="192"/>
    <s v="-"/>
    <x v="908"/>
    <n v="0"/>
    <x v="0"/>
    <x v="2"/>
    <x v="12"/>
    <x v="21"/>
    <s v="-"/>
    <x v="0"/>
    <x v="4"/>
    <x v="10"/>
    <s v="Yamini"/>
    <s v="-"/>
    <s v="-"/>
    <d v="2017-06-23T00:00:00"/>
    <s v="Bank"/>
    <s v="-"/>
    <n v="3875"/>
    <x v="0"/>
    <n v="3875"/>
    <n v="0"/>
    <s v="-"/>
    <x v="0"/>
    <x v="0"/>
  </r>
  <r>
    <n v="981"/>
    <x v="980"/>
    <s v="-"/>
    <x v="85"/>
    <s v="-"/>
    <x v="909"/>
    <n v="0"/>
    <x v="0"/>
    <x v="3"/>
    <x v="12"/>
    <x v="248"/>
    <s v="-"/>
    <x v="0"/>
    <x v="4"/>
    <x v="10"/>
    <s v="B.Shailaja"/>
    <s v="-"/>
    <s v="-"/>
    <s v="-"/>
    <s v="-"/>
    <s v="-"/>
    <n v="0"/>
    <x v="2"/>
    <s v="-"/>
    <n v="0"/>
    <s v="-"/>
    <x v="0"/>
    <x v="0"/>
  </r>
  <r>
    <n v="982"/>
    <x v="981"/>
    <s v="-"/>
    <x v="193"/>
    <s v="-"/>
    <x v="910"/>
    <n v="0"/>
    <x v="0"/>
    <x v="14"/>
    <x v="10"/>
    <x v="234"/>
    <s v="-"/>
    <x v="0"/>
    <x v="4"/>
    <x v="18"/>
    <s v="N.Shailaja"/>
    <s v="-"/>
    <s v="-"/>
    <s v="-"/>
    <s v="-"/>
    <s v="-"/>
    <n v="0"/>
    <x v="2"/>
    <s v="-"/>
    <n v="0"/>
    <s v="-"/>
    <x v="0"/>
    <x v="0"/>
  </r>
  <r>
    <n v="983"/>
    <x v="982"/>
    <s v="-"/>
    <x v="194"/>
    <s v="-"/>
    <x v="911"/>
    <n v="0"/>
    <x v="0"/>
    <x v="5"/>
    <x v="10"/>
    <x v="203"/>
    <s v="-"/>
    <x v="0"/>
    <x v="4"/>
    <x v="18"/>
    <s v="Sai"/>
    <s v="-"/>
    <s v="-"/>
    <s v="-"/>
    <s v="-"/>
    <s v="-"/>
    <n v="0"/>
    <x v="2"/>
    <s v="-"/>
    <n v="0"/>
    <s v="-"/>
    <x v="0"/>
    <x v="0"/>
  </r>
  <r>
    <n v="984"/>
    <x v="983"/>
    <s v="-"/>
    <x v="194"/>
    <s v="-"/>
    <x v="912"/>
    <n v="0"/>
    <x v="0"/>
    <x v="3"/>
    <x v="10"/>
    <x v="213"/>
    <s v="-"/>
    <x v="0"/>
    <x v="4"/>
    <x v="0"/>
    <s v="Rajini"/>
    <s v="-"/>
    <s v="-"/>
    <s v="-"/>
    <s v="-"/>
    <s v="-"/>
    <n v="0"/>
    <x v="2"/>
    <s v="-"/>
    <n v="0"/>
    <s v="-"/>
    <x v="0"/>
    <x v="0"/>
  </r>
  <r>
    <n v="985"/>
    <x v="984"/>
    <s v="-"/>
    <x v="195"/>
    <s v="-"/>
    <x v="913"/>
    <n v="0"/>
    <x v="0"/>
    <x v="5"/>
    <x v="10"/>
    <x v="203"/>
    <s v="-"/>
    <x v="0"/>
    <x v="4"/>
    <x v="18"/>
    <m/>
    <s v="-"/>
    <s v="-"/>
    <s v="-"/>
    <s v="-"/>
    <s v="-"/>
    <n v="0"/>
    <x v="2"/>
    <s v="-"/>
    <n v="0"/>
    <s v="-"/>
    <x v="0"/>
    <x v="0"/>
  </r>
  <r>
    <n v="986"/>
    <x v="985"/>
    <s v="-"/>
    <x v="195"/>
    <s v="-"/>
    <x v="914"/>
    <n v="0"/>
    <x v="0"/>
    <x v="5"/>
    <x v="10"/>
    <x v="203"/>
    <s v="-"/>
    <x v="0"/>
    <x v="4"/>
    <x v="17"/>
    <m/>
    <s v="-"/>
    <s v="-"/>
    <s v="-"/>
    <s v="-"/>
    <s v="-"/>
    <n v="0"/>
    <x v="2"/>
    <s v="-"/>
    <n v="0"/>
    <s v="-"/>
    <x v="0"/>
    <x v="0"/>
  </r>
  <r>
    <n v="987"/>
    <x v="986"/>
    <s v="-"/>
    <x v="195"/>
    <s v="-"/>
    <x v="915"/>
    <n v="0"/>
    <x v="0"/>
    <x v="2"/>
    <x v="10"/>
    <x v="234"/>
    <s v="-"/>
    <x v="0"/>
    <x v="4"/>
    <x v="18"/>
    <s v="Madhu"/>
    <s v="-"/>
    <s v="-"/>
    <s v="-"/>
    <s v="-"/>
    <s v="-"/>
    <n v="0"/>
    <x v="2"/>
    <s v="-"/>
    <n v="0"/>
    <s v="-"/>
    <x v="0"/>
    <x v="0"/>
  </r>
  <r>
    <n v="988"/>
    <x v="987"/>
    <s v="-"/>
    <x v="195"/>
    <s v="-"/>
    <x v="915"/>
    <n v="0"/>
    <x v="0"/>
    <x v="2"/>
    <x v="10"/>
    <x v="234"/>
    <s v="-"/>
    <x v="0"/>
    <x v="4"/>
    <x v="18"/>
    <s v="Neelima"/>
    <s v="-"/>
    <s v="-"/>
    <s v="-"/>
    <s v="-"/>
    <s v="-"/>
    <n v="0"/>
    <x v="2"/>
    <s v="-"/>
    <n v="0"/>
    <s v="-"/>
    <x v="0"/>
    <x v="0"/>
  </r>
  <r>
    <n v="989"/>
    <x v="988"/>
    <s v="-"/>
    <x v="196"/>
    <s v="-"/>
    <x v="916"/>
    <n v="0"/>
    <x v="0"/>
    <x v="3"/>
    <x v="10"/>
    <x v="233"/>
    <s v="-"/>
    <x v="0"/>
    <x v="4"/>
    <x v="18"/>
    <s v="Sowjanya"/>
    <s v="-"/>
    <s v="-"/>
    <s v="-"/>
    <s v="-"/>
    <s v="-"/>
    <n v="0"/>
    <x v="2"/>
    <s v="-"/>
    <n v="0"/>
    <s v="-"/>
    <x v="0"/>
    <x v="0"/>
  </r>
  <r>
    <n v="990"/>
    <x v="989"/>
    <s v="-"/>
    <x v="197"/>
    <s v="-"/>
    <x v="917"/>
    <n v="0"/>
    <x v="0"/>
    <x v="17"/>
    <x v="10"/>
    <x v="252"/>
    <s v="-"/>
    <x v="0"/>
    <x v="4"/>
    <x v="18"/>
    <s v="Usha Latha"/>
    <s v="-"/>
    <s v="-"/>
    <d v="2017-06-13T00:00:00"/>
    <s v="Bank"/>
    <s v="-"/>
    <n v="6187"/>
    <x v="0"/>
    <s v="-"/>
    <n v="0"/>
    <s v="-"/>
    <x v="0"/>
    <x v="0"/>
  </r>
  <r>
    <n v="991"/>
    <x v="990"/>
    <s v="-"/>
    <x v="197"/>
    <s v="-"/>
    <x v="918"/>
    <n v="0"/>
    <x v="0"/>
    <x v="17"/>
    <x v="10"/>
    <x v="252"/>
    <s v="-"/>
    <x v="0"/>
    <x v="4"/>
    <x v="10"/>
    <s v="Rajeshwari"/>
    <s v="-"/>
    <s v="-"/>
    <d v="2017-06-13T00:00:00"/>
    <s v="Bank"/>
    <s v="-"/>
    <n v="9000"/>
    <x v="0"/>
    <s v="-"/>
    <n v="0"/>
    <s v="-"/>
    <x v="0"/>
    <x v="0"/>
  </r>
  <r>
    <n v="992"/>
    <x v="991"/>
    <s v="-"/>
    <x v="197"/>
    <s v="-"/>
    <x v="919"/>
    <n v="0"/>
    <x v="0"/>
    <x v="2"/>
    <x v="10"/>
    <x v="236"/>
    <s v="-"/>
    <x v="0"/>
    <x v="4"/>
    <x v="17"/>
    <s v="Yamini"/>
    <s v="-"/>
    <s v="-"/>
    <s v="-"/>
    <s v="-"/>
    <s v="-"/>
    <n v="0"/>
    <x v="2"/>
    <s v="-"/>
    <n v="0"/>
    <s v="-"/>
    <x v="0"/>
    <x v="0"/>
  </r>
  <r>
    <n v="993"/>
    <x v="992"/>
    <s v="-"/>
    <x v="197"/>
    <s v="-"/>
    <x v="920"/>
    <n v="0"/>
    <x v="0"/>
    <x v="7"/>
    <x v="10"/>
    <x v="236"/>
    <s v="-"/>
    <x v="0"/>
    <x v="4"/>
    <x v="0"/>
    <s v="B.Shailaja"/>
    <s v="-"/>
    <s v="-"/>
    <s v="-"/>
    <s v="-"/>
    <s v="-"/>
    <n v="0"/>
    <x v="2"/>
    <s v="-"/>
    <n v="0"/>
    <s v="-"/>
    <x v="0"/>
    <x v="0"/>
  </r>
  <r>
    <n v="994"/>
    <x v="993"/>
    <s v="-"/>
    <x v="197"/>
    <s v="-"/>
    <x v="920"/>
    <n v="0"/>
    <x v="0"/>
    <x v="7"/>
    <x v="10"/>
    <x v="236"/>
    <s v="-"/>
    <x v="0"/>
    <x v="4"/>
    <x v="10"/>
    <s v="N.Shailaja"/>
    <s v="-"/>
    <s v="-"/>
    <s v="-"/>
    <s v="-"/>
    <s v="-"/>
    <n v="0"/>
    <x v="2"/>
    <s v="-"/>
    <n v="0"/>
    <s v="-"/>
    <x v="0"/>
    <x v="0"/>
  </r>
  <r>
    <n v="995"/>
    <x v="994"/>
    <s v="-"/>
    <x v="116"/>
    <s v="-"/>
    <x v="921"/>
    <n v="0"/>
    <x v="0"/>
    <x v="24"/>
    <x v="11"/>
    <x v="155"/>
    <s v="-"/>
    <x v="0"/>
    <x v="4"/>
    <x v="10"/>
    <s v="Sai"/>
    <s v="-"/>
    <s v="-"/>
    <s v="-"/>
    <s v="-"/>
    <s v="-"/>
    <n v="0"/>
    <x v="2"/>
    <s v="-"/>
    <n v="0"/>
    <s v="-"/>
    <x v="0"/>
    <x v="0"/>
  </r>
  <r>
    <n v="996"/>
    <x v="995"/>
    <s v="-"/>
    <x v="116"/>
    <s v="-"/>
    <x v="922"/>
    <n v="0"/>
    <x v="0"/>
    <x v="24"/>
    <x v="11"/>
    <x v="155"/>
    <s v="-"/>
    <x v="0"/>
    <x v="4"/>
    <x v="10"/>
    <s v="Rajini"/>
    <s v="-"/>
    <s v="-"/>
    <s v="-"/>
    <s v="-"/>
    <s v="-"/>
    <n v="0"/>
    <x v="2"/>
    <s v="-"/>
    <n v="0"/>
    <s v="-"/>
    <x v="0"/>
    <x v="0"/>
  </r>
  <r>
    <n v="997"/>
    <x v="996"/>
    <s v="-"/>
    <x v="198"/>
    <s v="-"/>
    <x v="923"/>
    <n v="0"/>
    <x v="0"/>
    <x v="3"/>
    <x v="12"/>
    <x v="117"/>
    <s v="-"/>
    <x v="0"/>
    <x v="4"/>
    <x v="0"/>
    <m/>
    <s v="-"/>
    <s v="-"/>
    <s v="-"/>
    <s v="-"/>
    <s v="-"/>
    <n v="0"/>
    <x v="2"/>
    <s v="-"/>
    <n v="0"/>
    <s v="-"/>
    <x v="0"/>
    <x v="0"/>
  </r>
  <r>
    <n v="998"/>
    <x v="997"/>
    <s v="-"/>
    <x v="199"/>
    <s v="-"/>
    <x v="924"/>
    <n v="0"/>
    <x v="0"/>
    <x v="3"/>
    <x v="12"/>
    <x v="21"/>
    <s v="-"/>
    <x v="0"/>
    <x v="4"/>
    <x v="0"/>
    <m/>
    <s v="-"/>
    <s v="-"/>
    <d v="2017-06-23T00:00:00"/>
    <s v="Bank"/>
    <s v="-"/>
    <n v="3000"/>
    <x v="0"/>
    <n v="3000"/>
    <n v="0"/>
    <s v="-"/>
    <x v="0"/>
    <x v="0"/>
  </r>
  <r>
    <n v="999"/>
    <x v="998"/>
    <s v="-"/>
    <x v="200"/>
    <s v="-"/>
    <x v="925"/>
    <n v="0"/>
    <x v="0"/>
    <x v="5"/>
    <x v="12"/>
    <x v="21"/>
    <s v="-"/>
    <x v="0"/>
    <x v="4"/>
    <x v="0"/>
    <s v="Madhu"/>
    <s v="-"/>
    <s v="-"/>
    <d v="2017-06-23T00:00:00"/>
    <s v="Bank"/>
    <s v="-"/>
    <n v="4625"/>
    <x v="0"/>
    <n v="4625"/>
    <n v="0"/>
    <s v="-"/>
    <x v="0"/>
    <x v="0"/>
  </r>
  <r>
    <n v="1000"/>
    <x v="999"/>
    <s v="-"/>
    <x v="201"/>
    <s v="-"/>
    <x v="926"/>
    <n v="0"/>
    <x v="0"/>
    <x v="2"/>
    <x v="12"/>
    <x v="21"/>
    <s v="-"/>
    <x v="0"/>
    <x v="4"/>
    <x v="0"/>
    <s v="Neelima"/>
    <s v="-"/>
    <s v="-"/>
    <d v="2017-06-23T00:00:00"/>
    <s v="Bank"/>
    <s v="-"/>
    <n v="2378"/>
    <x v="0"/>
    <n v="3000"/>
    <n v="0"/>
    <s v="-"/>
    <x v="0"/>
    <x v="0"/>
  </r>
  <r>
    <n v="1001"/>
    <x v="1000"/>
    <s v="-"/>
    <x v="197"/>
    <s v="-"/>
    <x v="920"/>
    <n v="0"/>
    <x v="0"/>
    <x v="7"/>
    <x v="10"/>
    <x v="236"/>
    <s v="-"/>
    <x v="0"/>
    <x v="4"/>
    <x v="10"/>
    <s v="Sowjanya"/>
    <s v="-"/>
    <s v="-"/>
    <s v="-"/>
    <s v="-"/>
    <s v="-"/>
    <n v="0"/>
    <x v="2"/>
    <s v="-"/>
    <n v="0"/>
    <s v="-"/>
    <x v="0"/>
    <x v="0"/>
  </r>
  <r>
    <n v="1002"/>
    <x v="1001"/>
    <s v="-"/>
    <x v="197"/>
    <s v="-"/>
    <x v="920"/>
    <n v="0"/>
    <x v="0"/>
    <x v="7"/>
    <x v="10"/>
    <x v="236"/>
    <s v="-"/>
    <x v="0"/>
    <x v="4"/>
    <x v="10"/>
    <s v="Usha Latha"/>
    <s v="-"/>
    <s v="-"/>
    <s v="-"/>
    <s v="-"/>
    <s v="-"/>
    <n v="0"/>
    <x v="2"/>
    <s v="-"/>
    <n v="0"/>
    <s v="-"/>
    <x v="0"/>
    <x v="0"/>
  </r>
  <r>
    <n v="1003"/>
    <x v="1002"/>
    <s v="-"/>
    <x v="202"/>
    <s v="-"/>
    <x v="927"/>
    <n v="0"/>
    <x v="0"/>
    <x v="2"/>
    <x v="10"/>
    <x v="236"/>
    <s v="-"/>
    <x v="0"/>
    <x v="4"/>
    <x v="10"/>
    <s v="Rajeshwari"/>
    <s v="-"/>
    <s v="-"/>
    <s v="-"/>
    <s v="-"/>
    <s v="-"/>
    <n v="0"/>
    <x v="2"/>
    <s v="-"/>
    <n v="0"/>
    <s v="-"/>
    <x v="0"/>
    <x v="0"/>
  </r>
  <r>
    <n v="1004"/>
    <x v="1003"/>
    <s v="-"/>
    <x v="203"/>
    <s v="-"/>
    <x v="928"/>
    <n v="0"/>
    <x v="0"/>
    <x v="15"/>
    <x v="10"/>
    <x v="233"/>
    <s v="-"/>
    <x v="0"/>
    <x v="4"/>
    <x v="16"/>
    <s v="Yamini"/>
    <s v="-"/>
    <s v="-"/>
    <s v="-"/>
    <s v="-"/>
    <s v="-"/>
    <n v="0"/>
    <x v="2"/>
    <s v="-"/>
    <n v="0"/>
    <s v="-"/>
    <x v="0"/>
    <x v="0"/>
  </r>
  <r>
    <n v="1005"/>
    <x v="1004"/>
    <s v="-"/>
    <x v="204"/>
    <s v="-"/>
    <x v="929"/>
    <n v="0"/>
    <x v="0"/>
    <x v="3"/>
    <x v="10"/>
    <x v="238"/>
    <s v="-"/>
    <x v="0"/>
    <x v="4"/>
    <x v="0"/>
    <s v="B.Shailaja"/>
    <s v="-"/>
    <s v="-"/>
    <s v="-"/>
    <s v="-"/>
    <s v="-"/>
    <n v="0"/>
    <x v="2"/>
    <s v="-"/>
    <n v="0"/>
    <s v="-"/>
    <x v="0"/>
    <x v="0"/>
  </r>
  <r>
    <n v="1006"/>
    <x v="1005"/>
    <s v="-"/>
    <x v="205"/>
    <s v="-"/>
    <x v="930"/>
    <n v="0"/>
    <x v="0"/>
    <x v="3"/>
    <x v="10"/>
    <x v="235"/>
    <s v="-"/>
    <x v="0"/>
    <x v="4"/>
    <x v="0"/>
    <s v="N.Shailaja"/>
    <s v="-"/>
    <s v="-"/>
    <s v="-"/>
    <s v="-"/>
    <s v="-"/>
    <n v="0"/>
    <x v="2"/>
    <s v="-"/>
    <n v="0"/>
    <s v="-"/>
    <x v="0"/>
    <x v="0"/>
  </r>
  <r>
    <n v="1007"/>
    <x v="1006"/>
    <s v="-"/>
    <x v="197"/>
    <s v="-"/>
    <x v="931"/>
    <n v="0"/>
    <x v="0"/>
    <x v="5"/>
    <x v="12"/>
    <x v="2"/>
    <s v="-"/>
    <x v="0"/>
    <x v="4"/>
    <x v="0"/>
    <s v="Sai"/>
    <s v="-"/>
    <s v="-"/>
    <s v="-"/>
    <s v="-"/>
    <s v="-"/>
    <n v="0"/>
    <x v="8"/>
    <s v="-"/>
    <n v="0"/>
    <s v="Paid"/>
    <x v="2"/>
    <x v="0"/>
  </r>
  <r>
    <n v="1008"/>
    <x v="1007"/>
    <s v="-"/>
    <x v="21"/>
    <s v="-"/>
    <x v="932"/>
    <n v="0"/>
    <x v="0"/>
    <x v="3"/>
    <x v="12"/>
    <x v="21"/>
    <s v="-"/>
    <x v="0"/>
    <x v="4"/>
    <x v="10"/>
    <s v="Rajini"/>
    <s v="-"/>
    <s v="-"/>
    <s v="-"/>
    <s v="-"/>
    <s v="-"/>
    <n v="0"/>
    <x v="2"/>
    <n v="10000"/>
    <n v="0"/>
    <s v="-"/>
    <x v="0"/>
    <x v="0"/>
  </r>
  <r>
    <n v="1009"/>
    <x v="1008"/>
    <s v="-"/>
    <x v="206"/>
    <s v="-"/>
    <x v="933"/>
    <n v="0"/>
    <x v="0"/>
    <x v="3"/>
    <x v="10"/>
    <x v="253"/>
    <s v="-"/>
    <x v="0"/>
    <x v="4"/>
    <x v="0"/>
    <m/>
    <s v="-"/>
    <s v="-"/>
    <s v="-"/>
    <s v="-"/>
    <s v="-"/>
    <n v="0"/>
    <x v="2"/>
    <s v="-"/>
    <n v="0"/>
    <s v="-"/>
    <x v="0"/>
    <x v="0"/>
  </r>
  <r>
    <n v="1010"/>
    <x v="1009"/>
    <s v="-"/>
    <x v="206"/>
    <s v="-"/>
    <x v="933"/>
    <n v="0"/>
    <x v="0"/>
    <x v="3"/>
    <x v="10"/>
    <x v="253"/>
    <s v="-"/>
    <x v="0"/>
    <x v="4"/>
    <x v="0"/>
    <m/>
    <s v="-"/>
    <s v="-"/>
    <s v="-"/>
    <s v="-"/>
    <s v="-"/>
    <n v="0"/>
    <x v="2"/>
    <s v="-"/>
    <n v="0"/>
    <s v="-"/>
    <x v="0"/>
    <x v="0"/>
  </r>
  <r>
    <n v="1011"/>
    <x v="1010"/>
    <s v="-"/>
    <x v="206"/>
    <s v="-"/>
    <x v="933"/>
    <n v="0"/>
    <x v="0"/>
    <x v="3"/>
    <x v="10"/>
    <x v="253"/>
    <s v="-"/>
    <x v="0"/>
    <x v="4"/>
    <x v="0"/>
    <s v="Madhu"/>
    <s v="-"/>
    <s v="-"/>
    <s v="-"/>
    <s v="-"/>
    <s v="-"/>
    <n v="0"/>
    <x v="2"/>
    <s v="-"/>
    <n v="0"/>
    <s v="-"/>
    <x v="0"/>
    <x v="0"/>
  </r>
  <r>
    <n v="1012"/>
    <x v="1011"/>
    <s v="-"/>
    <x v="206"/>
    <s v="-"/>
    <x v="933"/>
    <n v="0"/>
    <x v="0"/>
    <x v="3"/>
    <x v="10"/>
    <x v="253"/>
    <s v="-"/>
    <x v="0"/>
    <x v="4"/>
    <x v="0"/>
    <s v="Neelima"/>
    <s v="-"/>
    <s v="-"/>
    <s v="-"/>
    <s v="-"/>
    <s v="-"/>
    <n v="0"/>
    <x v="2"/>
    <s v="-"/>
    <n v="0"/>
    <s v="-"/>
    <x v="0"/>
    <x v="0"/>
  </r>
  <r>
    <n v="1013"/>
    <x v="1012"/>
    <s v="-"/>
    <x v="207"/>
    <s v="-"/>
    <x v="934"/>
    <n v="0"/>
    <x v="0"/>
    <x v="3"/>
    <x v="10"/>
    <x v="213"/>
    <s v="-"/>
    <x v="0"/>
    <x v="4"/>
    <x v="0"/>
    <s v="Sowjanya"/>
    <s v="-"/>
    <s v="-"/>
    <s v="-"/>
    <s v="-"/>
    <s v="-"/>
    <n v="0"/>
    <x v="2"/>
    <s v="-"/>
    <n v="0"/>
    <s v="-"/>
    <x v="0"/>
    <x v="0"/>
  </r>
  <r>
    <n v="1014"/>
    <x v="1013"/>
    <s v="-"/>
    <x v="208"/>
    <s v="-"/>
    <x v="935"/>
    <n v="0"/>
    <x v="0"/>
    <x v="3"/>
    <x v="10"/>
    <x v="235"/>
    <s v="-"/>
    <x v="0"/>
    <x v="4"/>
    <x v="0"/>
    <s v="Usha Latha"/>
    <s v="-"/>
    <s v="-"/>
    <s v="-"/>
    <s v="-"/>
    <s v="-"/>
    <n v="0"/>
    <x v="2"/>
    <s v="-"/>
    <n v="0"/>
    <s v="-"/>
    <x v="0"/>
    <x v="0"/>
  </r>
  <r>
    <n v="1015"/>
    <x v="1014"/>
    <s v="-"/>
    <x v="209"/>
    <s v="-"/>
    <x v="936"/>
    <n v="0"/>
    <x v="0"/>
    <x v="24"/>
    <x v="10"/>
    <x v="233"/>
    <s v="-"/>
    <x v="0"/>
    <x v="4"/>
    <x v="18"/>
    <s v="Rajeshwari"/>
    <s v="-"/>
    <s v="-"/>
    <s v="-"/>
    <s v="-"/>
    <s v="-"/>
    <n v="0"/>
    <x v="2"/>
    <s v="-"/>
    <n v="0"/>
    <s v="-"/>
    <x v="0"/>
    <x v="0"/>
  </r>
  <r>
    <n v="1016"/>
    <x v="1015"/>
    <s v="-"/>
    <x v="33"/>
    <s v="-"/>
    <x v="937"/>
    <n v="8185000"/>
    <x v="0"/>
    <x v="3"/>
    <x v="11"/>
    <x v="155"/>
    <s v="-"/>
    <x v="0"/>
    <x v="4"/>
    <x v="1"/>
    <s v="Yamini"/>
    <s v="-"/>
    <s v="-"/>
    <d v="2017-06-17T00:00:00"/>
    <s v="Bank"/>
    <s v="-"/>
    <n v="8325"/>
    <x v="0"/>
    <s v="-"/>
    <n v="0"/>
    <s v="-"/>
    <x v="0"/>
    <x v="0"/>
  </r>
  <r>
    <n v="1017"/>
    <x v="1016"/>
    <s v="-"/>
    <x v="33"/>
    <s v="-"/>
    <x v="938"/>
    <n v="9027000"/>
    <x v="0"/>
    <x v="3"/>
    <x v="11"/>
    <x v="155"/>
    <s v="-"/>
    <x v="0"/>
    <x v="4"/>
    <x v="1"/>
    <s v="B.Shailaja"/>
    <s v="-"/>
    <s v="-"/>
    <d v="2017-06-17T00:00:00"/>
    <s v="Bank"/>
    <s v="-"/>
    <n v="8775"/>
    <x v="0"/>
    <s v="-"/>
    <n v="0"/>
    <s v="-"/>
    <x v="0"/>
    <x v="0"/>
  </r>
  <r>
    <n v="1018"/>
    <x v="1017"/>
    <s v="-"/>
    <x v="33"/>
    <s v="-"/>
    <x v="939"/>
    <n v="0"/>
    <x v="0"/>
    <x v="4"/>
    <x v="11"/>
    <x v="155"/>
    <s v="-"/>
    <x v="0"/>
    <x v="4"/>
    <x v="10"/>
    <s v="N.Shailaja"/>
    <s v="-"/>
    <s v="-"/>
    <s v="-"/>
    <s v="-"/>
    <s v="-"/>
    <n v="0"/>
    <x v="2"/>
    <s v="-"/>
    <n v="0"/>
    <s v="-"/>
    <x v="0"/>
    <x v="0"/>
  </r>
  <r>
    <n v="1019"/>
    <x v="1018"/>
    <s v="-"/>
    <x v="33"/>
    <s v="-"/>
    <x v="940"/>
    <n v="9831000"/>
    <x v="0"/>
    <x v="3"/>
    <x v="11"/>
    <x v="155"/>
    <s v="-"/>
    <x v="0"/>
    <x v="4"/>
    <x v="18"/>
    <s v="Sai"/>
    <s v="-"/>
    <s v="-"/>
    <d v="2017-06-17T00:00:00"/>
    <s v="Bank"/>
    <s v="-"/>
    <n v="8775"/>
    <x v="0"/>
    <s v="-"/>
    <n v="0"/>
    <s v="-"/>
    <x v="0"/>
    <x v="0"/>
  </r>
  <r>
    <n v="1020"/>
    <x v="1019"/>
    <s v="-"/>
    <x v="33"/>
    <s v="-"/>
    <x v="941"/>
    <n v="9831000"/>
    <x v="0"/>
    <x v="3"/>
    <x v="11"/>
    <x v="155"/>
    <s v="-"/>
    <x v="0"/>
    <x v="4"/>
    <x v="18"/>
    <s v="Rajini"/>
    <s v="-"/>
    <s v="-"/>
    <d v="2017-06-17T00:00:00"/>
    <s v="Bank"/>
    <s v="-"/>
    <n v="8775"/>
    <x v="0"/>
    <s v="-"/>
    <n v="0"/>
    <s v="-"/>
    <x v="0"/>
    <x v="0"/>
  </r>
  <r>
    <n v="1021"/>
    <x v="1020"/>
    <s v="-"/>
    <x v="34"/>
    <s v="-"/>
    <x v="942"/>
    <n v="12356000"/>
    <x v="0"/>
    <x v="24"/>
    <x v="11"/>
    <x v="155"/>
    <s v="-"/>
    <x v="0"/>
    <x v="4"/>
    <x v="10"/>
    <m/>
    <s v="-"/>
    <s v="-"/>
    <s v="-"/>
    <s v="-"/>
    <s v="-"/>
    <n v="0"/>
    <x v="2"/>
    <s v="-"/>
    <n v="0"/>
    <s v="-"/>
    <x v="0"/>
    <x v="0"/>
  </r>
  <r>
    <n v="1022"/>
    <x v="1021"/>
    <s v="-"/>
    <x v="25"/>
    <s v="-"/>
    <x v="943"/>
    <n v="1618000"/>
    <x v="0"/>
    <x v="0"/>
    <x v="12"/>
    <x v="21"/>
    <s v="-"/>
    <x v="0"/>
    <x v="4"/>
    <x v="1"/>
    <m/>
    <s v="-"/>
    <s v="-"/>
    <d v="2017-06-23T00:00:00"/>
    <s v="Bank"/>
    <s v="-"/>
    <n v="3000"/>
    <x v="0"/>
    <n v="3000"/>
    <n v="0"/>
    <s v="-"/>
    <x v="0"/>
    <x v="0"/>
  </r>
  <r>
    <n v="1023"/>
    <x v="1022"/>
    <s v="-"/>
    <x v="25"/>
    <s v="-"/>
    <x v="275"/>
    <n v="4080000"/>
    <x v="0"/>
    <x v="0"/>
    <x v="12"/>
    <x v="21"/>
    <s v="-"/>
    <x v="0"/>
    <x v="4"/>
    <x v="1"/>
    <s v="Madhu"/>
    <s v="-"/>
    <s v="-"/>
    <d v="2017-06-23T00:00:00"/>
    <s v="Bank"/>
    <s v="-"/>
    <n v="3000"/>
    <x v="0"/>
    <n v="3000"/>
    <n v="0"/>
    <s v="-"/>
    <x v="0"/>
    <x v="0"/>
  </r>
  <r>
    <n v="1024"/>
    <x v="1023"/>
    <s v="-"/>
    <x v="66"/>
    <s v="-"/>
    <x v="944"/>
    <n v="0"/>
    <x v="0"/>
    <x v="8"/>
    <x v="12"/>
    <x v="21"/>
    <s v="-"/>
    <x v="0"/>
    <x v="4"/>
    <x v="0"/>
    <s v="Neelima"/>
    <s v="-"/>
    <s v="-"/>
    <s v="-"/>
    <s v="-"/>
    <s v="-"/>
    <n v="0"/>
    <x v="2"/>
    <n v="1000"/>
    <n v="0"/>
    <s v="-"/>
    <x v="0"/>
    <x v="0"/>
  </r>
  <r>
    <n v="1025"/>
    <x v="1024"/>
    <s v="-"/>
    <x v="32"/>
    <s v="-"/>
    <x v="945"/>
    <n v="17765000"/>
    <x v="0"/>
    <x v="6"/>
    <x v="12"/>
    <x v="21"/>
    <s v="-"/>
    <x v="0"/>
    <x v="4"/>
    <x v="10"/>
    <s v="Sowjanya"/>
    <s v="-"/>
    <s v="-"/>
    <d v="2017-06-23T00:00:00"/>
    <s v="Bank"/>
    <s v="-"/>
    <n v="1000"/>
    <x v="0"/>
    <n v="1000"/>
    <n v="0"/>
    <s v="-"/>
    <x v="0"/>
    <x v="0"/>
  </r>
  <r>
    <n v="1026"/>
    <x v="1025"/>
    <s v="-"/>
    <x v="33"/>
    <s v="-"/>
    <x v="946"/>
    <n v="3400000"/>
    <x v="0"/>
    <x v="3"/>
    <x v="12"/>
    <x v="21"/>
    <s v="-"/>
    <x v="0"/>
    <x v="4"/>
    <x v="10"/>
    <s v="Usha Latha"/>
    <s v="-"/>
    <s v="-"/>
    <d v="2017-06-01T00:00:00"/>
    <s v="Bank"/>
    <s v="-"/>
    <n v="2625"/>
    <x v="0"/>
    <s v="-"/>
    <n v="0"/>
    <s v="-"/>
    <x v="0"/>
    <x v="0"/>
  </r>
  <r>
    <n v="1027"/>
    <x v="1026"/>
    <s v="-"/>
    <x v="33"/>
    <s v="-"/>
    <x v="947"/>
    <n v="4721000"/>
    <x v="0"/>
    <x v="2"/>
    <x v="12"/>
    <x v="21"/>
    <s v="-"/>
    <x v="0"/>
    <x v="4"/>
    <x v="1"/>
    <s v="Rajeshwari"/>
    <s v="-"/>
    <s v="-"/>
    <s v="-"/>
    <s v="-"/>
    <s v="-"/>
    <n v="0"/>
    <x v="2"/>
    <n v="3125"/>
    <n v="0"/>
    <s v="-"/>
    <x v="0"/>
    <x v="0"/>
  </r>
  <r>
    <n v="1028"/>
    <x v="1027"/>
    <s v="-"/>
    <x v="71"/>
    <s v="-"/>
    <x v="948"/>
    <n v="69620000"/>
    <x v="0"/>
    <x v="16"/>
    <x v="12"/>
    <x v="21"/>
    <s v="-"/>
    <x v="0"/>
    <x v="4"/>
    <x v="1"/>
    <s v="Yamini"/>
    <s v="-"/>
    <s v="-"/>
    <s v="-"/>
    <s v="-"/>
    <s v="-"/>
    <n v="0"/>
    <x v="2"/>
    <n v="10000"/>
    <n v="0"/>
    <s v="-"/>
    <x v="0"/>
    <x v="0"/>
  </r>
  <r>
    <n v="1029"/>
    <x v="1028"/>
    <s v="-"/>
    <x v="71"/>
    <s v="-"/>
    <x v="949"/>
    <n v="27055000"/>
    <x v="0"/>
    <x v="5"/>
    <x v="12"/>
    <x v="0"/>
    <s v="-"/>
    <x v="0"/>
    <x v="4"/>
    <x v="1"/>
    <s v="B.Shailaja"/>
    <s v="-"/>
    <s v="-"/>
    <s v="-"/>
    <s v="-"/>
    <s v="-"/>
    <n v="0"/>
    <x v="2"/>
    <s v="-"/>
    <n v="0"/>
    <s v="-"/>
    <x v="0"/>
    <x v="0"/>
  </r>
  <r>
    <n v="1030"/>
    <x v="1029"/>
    <s v="-"/>
    <x v="115"/>
    <s v="-"/>
    <x v="950"/>
    <n v="4152000"/>
    <x v="0"/>
    <x v="5"/>
    <x v="12"/>
    <x v="21"/>
    <s v="-"/>
    <x v="0"/>
    <x v="4"/>
    <x v="10"/>
    <s v="N.Shailaja"/>
    <s v="-"/>
    <s v="-"/>
    <d v="2017-06-23T00:00:00"/>
    <s v="Bank"/>
    <s v="-"/>
    <n v="2875"/>
    <x v="0"/>
    <n v="2875"/>
    <n v="0"/>
    <s v="-"/>
    <x v="0"/>
    <x v="0"/>
  </r>
  <r>
    <n v="1031"/>
    <x v="1030"/>
    <s v="-"/>
    <x v="37"/>
    <s v="-"/>
    <x v="951"/>
    <n v="1417000"/>
    <x v="0"/>
    <x v="3"/>
    <x v="12"/>
    <x v="254"/>
    <s v="-"/>
    <x v="0"/>
    <x v="4"/>
    <x v="10"/>
    <s v="Sai"/>
    <s v="-"/>
    <s v="-"/>
    <s v="-"/>
    <s v="-"/>
    <s v="-"/>
    <n v="0"/>
    <x v="2"/>
    <s v="-"/>
    <n v="0"/>
    <s v="-"/>
    <x v="0"/>
    <x v="0"/>
  </r>
  <r>
    <n v="1032"/>
    <x v="1031"/>
    <s v="-"/>
    <x v="210"/>
    <s v="-"/>
    <x v="952"/>
    <n v="0"/>
    <x v="0"/>
    <x v="3"/>
    <x v="13"/>
    <x v="255"/>
    <s v="-"/>
    <x v="0"/>
    <x v="1"/>
    <x v="2"/>
    <s v="Rajini"/>
    <s v="-"/>
    <s v="-"/>
    <s v="-"/>
    <s v="-"/>
    <s v="-"/>
    <n v="0"/>
    <x v="2"/>
    <n v="3029"/>
    <n v="3400"/>
    <s v="-"/>
    <x v="0"/>
    <x v="0"/>
  </r>
  <r>
    <n v="1033"/>
    <x v="1032"/>
    <s v="-"/>
    <x v="211"/>
    <s v="-"/>
    <x v="953"/>
    <n v="0"/>
    <x v="0"/>
    <x v="3"/>
    <x v="13"/>
    <x v="169"/>
    <s v="-"/>
    <x v="0"/>
    <x v="1"/>
    <x v="19"/>
    <m/>
    <s v="-"/>
    <s v="-"/>
    <s v="-"/>
    <s v="-"/>
    <s v="-"/>
    <n v="0"/>
    <x v="2"/>
    <n v="3053"/>
    <n v="3400"/>
    <s v="-"/>
    <x v="0"/>
    <x v="0"/>
  </r>
  <r>
    <n v="1034"/>
    <x v="1033"/>
    <s v="-"/>
    <x v="212"/>
    <s v="-"/>
    <x v="954"/>
    <n v="0"/>
    <x v="0"/>
    <x v="3"/>
    <x v="13"/>
    <x v="255"/>
    <s v="-"/>
    <x v="0"/>
    <x v="1"/>
    <x v="19"/>
    <m/>
    <s v="-"/>
    <s v="-"/>
    <s v="-"/>
    <s v="-"/>
    <s v="-"/>
    <n v="0"/>
    <x v="2"/>
    <n v="3050"/>
    <n v="1700"/>
    <s v="-"/>
    <x v="0"/>
    <x v="0"/>
  </r>
  <r>
    <n v="1035"/>
    <x v="1034"/>
    <s v="-"/>
    <x v="213"/>
    <s v="-"/>
    <x v="955"/>
    <n v="0"/>
    <x v="0"/>
    <x v="3"/>
    <x v="13"/>
    <x v="256"/>
    <s v="-"/>
    <x v="0"/>
    <x v="1"/>
    <x v="5"/>
    <s v="Madhu"/>
    <s v="-"/>
    <s v="-"/>
    <s v="-"/>
    <s v="-"/>
    <s v="-"/>
    <n v="0"/>
    <x v="2"/>
    <n v="3096"/>
    <n v="3000"/>
    <s v="-"/>
    <x v="0"/>
    <x v="0"/>
  </r>
  <r>
    <n v="1036"/>
    <x v="1035"/>
    <s v="-"/>
    <x v="213"/>
    <s v="-"/>
    <x v="956"/>
    <n v="0"/>
    <x v="0"/>
    <x v="3"/>
    <x v="13"/>
    <x v="148"/>
    <s v="-"/>
    <x v="0"/>
    <x v="1"/>
    <x v="2"/>
    <s v="Neelima"/>
    <s v="-"/>
    <s v="-"/>
    <s v="-"/>
    <s v="-"/>
    <s v="-"/>
    <n v="0"/>
    <x v="2"/>
    <n v="2604"/>
    <n v="2500"/>
    <s v="-"/>
    <x v="0"/>
    <x v="0"/>
  </r>
  <r>
    <n v="1037"/>
    <x v="1036"/>
    <s v="-"/>
    <x v="214"/>
    <s v="-"/>
    <x v="957"/>
    <n v="0"/>
    <x v="0"/>
    <x v="3"/>
    <x v="13"/>
    <x v="31"/>
    <s v="-"/>
    <x v="0"/>
    <x v="1"/>
    <x v="5"/>
    <s v="Neelima"/>
    <s v="-"/>
    <s v="-"/>
    <s v="-"/>
    <s v="-"/>
    <s v="-"/>
    <n v="0"/>
    <x v="2"/>
    <n v="2607"/>
    <n v="2500"/>
    <s v="-"/>
    <x v="0"/>
    <x v="0"/>
  </r>
  <r>
    <n v="1038"/>
    <x v="1037"/>
    <s v="-"/>
    <x v="215"/>
    <s v="-"/>
    <x v="958"/>
    <n v="0"/>
    <x v="0"/>
    <x v="3"/>
    <x v="13"/>
    <x v="257"/>
    <s v="-"/>
    <x v="0"/>
    <x v="1"/>
    <x v="19"/>
    <s v="Sowjanya"/>
    <s v="-"/>
    <s v="-"/>
    <s v="-"/>
    <s v="-"/>
    <s v="-"/>
    <n v="0"/>
    <x v="2"/>
    <n v="2619"/>
    <n v="4500"/>
    <s v="-"/>
    <x v="0"/>
    <x v="0"/>
  </r>
  <r>
    <n v="1039"/>
    <x v="1038"/>
    <s v="-"/>
    <x v="216"/>
    <s v="-"/>
    <x v="959"/>
    <n v="0"/>
    <x v="0"/>
    <x v="3"/>
    <x v="3"/>
    <x v="121"/>
    <s v="-"/>
    <x v="0"/>
    <x v="1"/>
    <x v="2"/>
    <s v="Usha Latha"/>
    <s v="-"/>
    <s v="-"/>
    <s v="-"/>
    <s v="-"/>
    <s v="-"/>
    <n v="0"/>
    <x v="2"/>
    <s v="-"/>
    <n v="7500"/>
    <s v="-"/>
    <x v="0"/>
    <x v="0"/>
  </r>
  <r>
    <n v="1040"/>
    <x v="1039"/>
    <s v="-"/>
    <x v="217"/>
    <s v="-"/>
    <x v="960"/>
    <n v="0"/>
    <x v="0"/>
    <x v="3"/>
    <x v="13"/>
    <x v="258"/>
    <s v="-"/>
    <x v="0"/>
    <x v="1"/>
    <x v="2"/>
    <s v="Rajeshwari"/>
    <s v="-"/>
    <s v="-"/>
    <s v="-"/>
    <s v="-"/>
    <s v="-"/>
    <n v="0"/>
    <x v="2"/>
    <s v="-"/>
    <n v="2000"/>
    <s v="-"/>
    <x v="0"/>
    <x v="0"/>
  </r>
  <r>
    <n v="1041"/>
    <x v="1040"/>
    <s v="-"/>
    <x v="218"/>
    <s v="-"/>
    <x v="961"/>
    <n v="0"/>
    <x v="0"/>
    <x v="3"/>
    <x v="13"/>
    <x v="72"/>
    <s v="-"/>
    <x v="0"/>
    <x v="1"/>
    <x v="5"/>
    <s v="Yamini"/>
    <s v="-"/>
    <s v="-"/>
    <s v="-"/>
    <s v="-"/>
    <s v="-"/>
    <n v="0"/>
    <x v="2"/>
    <n v="2662"/>
    <n v="4000"/>
    <s v="-"/>
    <x v="0"/>
    <x v="0"/>
  </r>
  <r>
    <n v="1042"/>
    <x v="1041"/>
    <s v="-"/>
    <x v="219"/>
    <s v="-"/>
    <x v="962"/>
    <n v="0"/>
    <x v="0"/>
    <x v="3"/>
    <x v="13"/>
    <x v="148"/>
    <s v="-"/>
    <x v="0"/>
    <x v="1"/>
    <x v="19"/>
    <s v="B.Shailaja"/>
    <s v="-"/>
    <s v="-"/>
    <s v="-"/>
    <s v="-"/>
    <s v="-"/>
    <n v="0"/>
    <x v="2"/>
    <n v="2671"/>
    <n v="2000"/>
    <s v="-"/>
    <x v="0"/>
    <x v="0"/>
  </r>
  <r>
    <n v="1043"/>
    <x v="1042"/>
    <s v="-"/>
    <x v="220"/>
    <s v="-"/>
    <x v="963"/>
    <n v="0"/>
    <x v="0"/>
    <x v="3"/>
    <x v="13"/>
    <x v="147"/>
    <s v="-"/>
    <x v="0"/>
    <x v="1"/>
    <x v="20"/>
    <s v="N.Shailaja"/>
    <s v="-"/>
    <s v="-"/>
    <s v="-"/>
    <s v="-"/>
    <s v="-"/>
    <n v="0"/>
    <x v="2"/>
    <n v="2693"/>
    <n v="3000"/>
    <s v="-"/>
    <x v="0"/>
    <x v="0"/>
  </r>
  <r>
    <n v="1044"/>
    <x v="1043"/>
    <s v="-"/>
    <x v="221"/>
    <s v="-"/>
    <x v="964"/>
    <n v="0"/>
    <x v="0"/>
    <x v="3"/>
    <x v="13"/>
    <x v="148"/>
    <s v="-"/>
    <x v="0"/>
    <x v="1"/>
    <x v="19"/>
    <s v="Sai"/>
    <s v="-"/>
    <s v="-"/>
    <s v="-"/>
    <s v="-"/>
    <s v="-"/>
    <n v="0"/>
    <x v="2"/>
    <n v="2692"/>
    <n v="3000"/>
    <s v="-"/>
    <x v="0"/>
    <x v="0"/>
  </r>
  <r>
    <n v="1045"/>
    <x v="1044"/>
    <s v="-"/>
    <x v="221"/>
    <s v="-"/>
    <x v="965"/>
    <n v="0"/>
    <x v="0"/>
    <x v="3"/>
    <x v="13"/>
    <x v="148"/>
    <s v="-"/>
    <x v="0"/>
    <x v="1"/>
    <x v="19"/>
    <s v="Rajini"/>
    <s v="-"/>
    <s v="-"/>
    <s v="-"/>
    <s v="-"/>
    <s v="-"/>
    <n v="0"/>
    <x v="2"/>
    <n v="2688"/>
    <n v="2000"/>
    <s v="-"/>
    <x v="0"/>
    <x v="0"/>
  </r>
  <r>
    <n v="1046"/>
    <x v="1045"/>
    <s v="-"/>
    <x v="221"/>
    <s v="-"/>
    <x v="966"/>
    <n v="0"/>
    <x v="0"/>
    <x v="3"/>
    <x v="13"/>
    <x v="259"/>
    <s v="-"/>
    <x v="0"/>
    <x v="1"/>
    <x v="20"/>
    <m/>
    <s v="-"/>
    <s v="-"/>
    <s v="-"/>
    <s v="-"/>
    <s v="-"/>
    <n v="0"/>
    <x v="2"/>
    <n v="1311"/>
    <n v="2500"/>
    <s v="-"/>
    <x v="0"/>
    <x v="0"/>
  </r>
  <r>
    <n v="1047"/>
    <x v="1046"/>
    <s v="-"/>
    <x v="222"/>
    <s v="-"/>
    <x v="967"/>
    <n v="67"/>
    <x v="0"/>
    <x v="3"/>
    <x v="13"/>
    <x v="259"/>
    <s v="-"/>
    <x v="0"/>
    <x v="1"/>
    <x v="20"/>
    <m/>
    <s v="-"/>
    <s v="-"/>
    <s v="-"/>
    <s v="-"/>
    <s v="-"/>
    <n v="0"/>
    <x v="2"/>
    <n v="1302"/>
    <n v="2500"/>
    <s v="-"/>
    <x v="0"/>
    <x v="0"/>
  </r>
  <r>
    <n v="1048"/>
    <x v="1047"/>
    <s v="-"/>
    <x v="208"/>
    <s v="-"/>
    <x v="968"/>
    <n v="0"/>
    <x v="0"/>
    <x v="3"/>
    <x v="13"/>
    <x v="67"/>
    <s v="-"/>
    <x v="0"/>
    <x v="1"/>
    <x v="19"/>
    <s v="Madhu"/>
    <s v="-"/>
    <s v="-"/>
    <s v="-"/>
    <s v="-"/>
    <s v="-"/>
    <n v="0"/>
    <x v="2"/>
    <n v="1349"/>
    <n v="2500"/>
    <s v="-"/>
    <x v="0"/>
    <x v="0"/>
  </r>
  <r>
    <n v="1049"/>
    <x v="1048"/>
    <s v="-"/>
    <x v="223"/>
    <s v="-"/>
    <x v="380"/>
    <n v="0"/>
    <x v="0"/>
    <x v="3"/>
    <x v="13"/>
    <x v="260"/>
    <s v="-"/>
    <x v="0"/>
    <x v="1"/>
    <x v="20"/>
    <s v="Neelima"/>
    <s v="-"/>
    <s v="-"/>
    <s v="-"/>
    <s v="-"/>
    <s v="-"/>
    <n v="0"/>
    <x v="2"/>
    <s v="-"/>
    <n v="2500"/>
    <s v="-"/>
    <x v="0"/>
    <x v="0"/>
  </r>
  <r>
    <n v="1050"/>
    <x v="1049"/>
    <s v="-"/>
    <x v="224"/>
    <s v="-"/>
    <x v="969"/>
    <n v="0"/>
    <x v="0"/>
    <x v="3"/>
    <x v="13"/>
    <x v="148"/>
    <s v="-"/>
    <x v="0"/>
    <x v="1"/>
    <x v="19"/>
    <s v="Sowjanya"/>
    <s v="-"/>
    <s v="-"/>
    <s v="-"/>
    <s v="-"/>
    <s v="-"/>
    <n v="0"/>
    <x v="2"/>
    <n v="1342"/>
    <n v="2000"/>
    <s v="-"/>
    <x v="0"/>
    <x v="0"/>
  </r>
  <r>
    <n v="1051"/>
    <x v="1050"/>
    <s v="-"/>
    <x v="207"/>
    <s v="-"/>
    <x v="970"/>
    <n v="0"/>
    <x v="0"/>
    <x v="3"/>
    <x v="13"/>
    <x v="255"/>
    <s v="-"/>
    <x v="0"/>
    <x v="1"/>
    <x v="19"/>
    <s v="Usha Latha"/>
    <s v="-"/>
    <s v="-"/>
    <s v="-"/>
    <s v="-"/>
    <s v="-"/>
    <n v="0"/>
    <x v="2"/>
    <s v="-"/>
    <n v="1700"/>
    <s v="-"/>
    <x v="0"/>
    <x v="0"/>
  </r>
  <r>
    <n v="1052"/>
    <x v="1051"/>
    <s v="-"/>
    <x v="225"/>
    <s v="-"/>
    <x v="971"/>
    <n v="0"/>
    <x v="0"/>
    <x v="3"/>
    <x v="13"/>
    <x v="261"/>
    <s v="-"/>
    <x v="0"/>
    <x v="1"/>
    <x v="0"/>
    <s v="Rajeshwari"/>
    <s v="-"/>
    <s v="-"/>
    <s v="-"/>
    <s v="-"/>
    <s v="-"/>
    <n v="0"/>
    <x v="2"/>
    <s v="-"/>
    <n v="2500"/>
    <s v="-"/>
    <x v="0"/>
    <x v="0"/>
  </r>
  <r>
    <n v="1053"/>
    <x v="1052"/>
    <s v="-"/>
    <x v="226"/>
    <s v="-"/>
    <x v="972"/>
    <n v="0"/>
    <x v="0"/>
    <x v="3"/>
    <x v="13"/>
    <x v="262"/>
    <s v="-"/>
    <x v="0"/>
    <x v="1"/>
    <x v="0"/>
    <s v="Yamini"/>
    <s v="-"/>
    <s v="-"/>
    <s v="-"/>
    <s v="-"/>
    <s v="-"/>
    <n v="0"/>
    <x v="2"/>
    <s v="-"/>
    <n v="2500"/>
    <s v="-"/>
    <x v="0"/>
    <x v="0"/>
  </r>
  <r>
    <n v="1054"/>
    <x v="1053"/>
    <s v="-"/>
    <x v="227"/>
    <s v="-"/>
    <x v="973"/>
    <n v="0"/>
    <x v="0"/>
    <x v="3"/>
    <x v="13"/>
    <x v="263"/>
    <s v="-"/>
    <x v="0"/>
    <x v="1"/>
    <x v="0"/>
    <s v="B.Shailaja"/>
    <s v="-"/>
    <s v="-"/>
    <s v="-"/>
    <s v="-"/>
    <s v="-"/>
    <n v="0"/>
    <x v="2"/>
    <s v="-"/>
    <n v="1000"/>
    <s v="-"/>
    <x v="0"/>
    <x v="0"/>
  </r>
  <r>
    <n v="1055"/>
    <x v="1054"/>
    <s v="-"/>
    <x v="228"/>
    <s v="-"/>
    <x v="974"/>
    <n v="0"/>
    <x v="0"/>
    <x v="3"/>
    <x v="13"/>
    <x v="264"/>
    <s v="-"/>
    <x v="0"/>
    <x v="1"/>
    <x v="19"/>
    <s v="N.Shailaja"/>
    <s v="-"/>
    <s v="-"/>
    <s v="-"/>
    <s v="-"/>
    <s v="-"/>
    <n v="0"/>
    <x v="2"/>
    <s v="-"/>
    <n v="2000"/>
    <s v="-"/>
    <x v="0"/>
    <x v="0"/>
  </r>
  <r>
    <n v="1056"/>
    <x v="1055"/>
    <s v="-"/>
    <x v="229"/>
    <s v="-"/>
    <x v="975"/>
    <n v="0"/>
    <x v="0"/>
    <x v="3"/>
    <x v="13"/>
    <x v="265"/>
    <s v="-"/>
    <x v="0"/>
    <x v="1"/>
    <x v="0"/>
    <s v="Sai"/>
    <s v="-"/>
    <s v="-"/>
    <s v="-"/>
    <s v="-"/>
    <s v="-"/>
    <n v="0"/>
    <x v="2"/>
    <s v="-"/>
    <n v="2500"/>
    <s v="-"/>
    <x v="0"/>
    <x v="0"/>
  </r>
  <r>
    <n v="1057"/>
    <x v="1056"/>
    <s v="-"/>
    <x v="230"/>
    <s v="-"/>
    <x v="976"/>
    <n v="351"/>
    <x v="0"/>
    <x v="3"/>
    <x v="13"/>
    <x v="266"/>
    <s v="-"/>
    <x v="0"/>
    <x v="1"/>
    <x v="19"/>
    <s v="Rajini"/>
    <s v="-"/>
    <s v="-"/>
    <s v="-"/>
    <s v="-"/>
    <s v="-"/>
    <n v="0"/>
    <x v="2"/>
    <s v="-"/>
    <n v="2000"/>
    <s v="-"/>
    <x v="0"/>
    <x v="0"/>
  </r>
  <r>
    <n v="1058"/>
    <x v="1057"/>
    <s v="-"/>
    <x v="231"/>
    <s v="-"/>
    <x v="977"/>
    <n v="0"/>
    <x v="0"/>
    <x v="3"/>
    <x v="3"/>
    <x v="84"/>
    <s v="-"/>
    <x v="0"/>
    <x v="1"/>
    <x v="0"/>
    <m/>
    <s v="-"/>
    <s v="-"/>
    <s v="-"/>
    <s v="-"/>
    <s v="-"/>
    <n v="0"/>
    <x v="2"/>
    <s v="-"/>
    <n v="10000"/>
    <s v="-"/>
    <x v="0"/>
    <x v="0"/>
  </r>
  <r>
    <n v="1059"/>
    <x v="1058"/>
    <s v="-"/>
    <x v="231"/>
    <s v="-"/>
    <x v="978"/>
    <n v="0"/>
    <x v="0"/>
    <x v="3"/>
    <x v="3"/>
    <x v="84"/>
    <s v="-"/>
    <x v="0"/>
    <x v="1"/>
    <x v="0"/>
    <m/>
    <s v="-"/>
    <s v="-"/>
    <s v="-"/>
    <s v="-"/>
    <s v="-"/>
    <n v="0"/>
    <x v="2"/>
    <s v="-"/>
    <n v="5000"/>
    <s v="-"/>
    <x v="0"/>
    <x v="0"/>
  </r>
  <r>
    <n v="1060"/>
    <x v="1059"/>
    <s v="-"/>
    <x v="231"/>
    <s v="-"/>
    <x v="979"/>
    <n v="0"/>
    <x v="0"/>
    <x v="3"/>
    <x v="3"/>
    <x v="84"/>
    <s v="-"/>
    <x v="0"/>
    <x v="1"/>
    <x v="0"/>
    <s v="Madhu"/>
    <s v="-"/>
    <s v="-"/>
    <s v="-"/>
    <s v="-"/>
    <s v="-"/>
    <n v="0"/>
    <x v="2"/>
    <s v="-"/>
    <n v="5000"/>
    <s v="-"/>
    <x v="0"/>
    <x v="0"/>
  </r>
  <r>
    <n v="1061"/>
    <x v="1060"/>
    <s v="-"/>
    <x v="229"/>
    <s v="-"/>
    <x v="124"/>
    <n v="0"/>
    <x v="0"/>
    <x v="3"/>
    <x v="3"/>
    <x v="84"/>
    <s v="-"/>
    <x v="0"/>
    <x v="1"/>
    <x v="0"/>
    <s v="Neelima"/>
    <s v="-"/>
    <s v="-"/>
    <s v="-"/>
    <s v="-"/>
    <s v="-"/>
    <n v="0"/>
    <x v="2"/>
    <s v="-"/>
    <n v="6000"/>
    <s v="-"/>
    <x v="0"/>
    <x v="0"/>
  </r>
  <r>
    <n v="1062"/>
    <x v="1061"/>
    <s v="-"/>
    <x v="232"/>
    <s v="-"/>
    <x v="980"/>
    <n v="0"/>
    <x v="0"/>
    <x v="3"/>
    <x v="3"/>
    <x v="84"/>
    <s v="-"/>
    <x v="0"/>
    <x v="1"/>
    <x v="0"/>
    <s v="Sowjanya"/>
    <s v="-"/>
    <s v="-"/>
    <s v="-"/>
    <s v="-"/>
    <s v="-"/>
    <n v="0"/>
    <x v="2"/>
    <s v="-"/>
    <n v="2000"/>
    <s v="-"/>
    <x v="0"/>
    <x v="0"/>
  </r>
  <r>
    <n v="1063"/>
    <x v="1062"/>
    <s v="-"/>
    <x v="233"/>
    <s v="-"/>
    <x v="981"/>
    <n v="0"/>
    <x v="0"/>
    <x v="3"/>
    <x v="13"/>
    <x v="267"/>
    <s v="-"/>
    <x v="0"/>
    <x v="1"/>
    <x v="2"/>
    <s v="Usha Latha"/>
    <s v="-"/>
    <s v="-"/>
    <s v="-"/>
    <s v="-"/>
    <s v="-"/>
    <n v="0"/>
    <x v="2"/>
    <s v="-"/>
    <n v="3500"/>
    <s v="-"/>
    <x v="0"/>
    <x v="0"/>
  </r>
  <r>
    <n v="1064"/>
    <x v="1063"/>
    <s v="-"/>
    <x v="234"/>
    <s v="-"/>
    <x v="982"/>
    <n v="0"/>
    <x v="0"/>
    <x v="3"/>
    <x v="13"/>
    <x v="195"/>
    <s v="-"/>
    <x v="0"/>
    <x v="1"/>
    <x v="5"/>
    <s v="Rajeshwari"/>
    <s v="-"/>
    <s v="-"/>
    <s v="-"/>
    <s v="-"/>
    <s v="-"/>
    <n v="0"/>
    <x v="2"/>
    <s v="-"/>
    <n v="4000"/>
    <s v="-"/>
    <x v="0"/>
    <x v="0"/>
  </r>
  <r>
    <n v="1065"/>
    <x v="1064"/>
    <s v="-"/>
    <x v="235"/>
    <s v="-"/>
    <x v="983"/>
    <n v="0"/>
    <x v="0"/>
    <x v="3"/>
    <x v="13"/>
    <x v="268"/>
    <s v="-"/>
    <x v="0"/>
    <x v="1"/>
    <x v="2"/>
    <s v="Yamini"/>
    <s v="-"/>
    <s v="-"/>
    <s v="-"/>
    <s v="-"/>
    <s v="-"/>
    <n v="0"/>
    <x v="2"/>
    <s v="-"/>
    <n v="0"/>
    <s v="-"/>
    <x v="0"/>
    <x v="0"/>
  </r>
  <r>
    <n v="1066"/>
    <x v="1065"/>
    <s v="-"/>
    <x v="235"/>
    <s v="-"/>
    <x v="984"/>
    <n v="0"/>
    <x v="0"/>
    <x v="3"/>
    <x v="13"/>
    <x v="21"/>
    <s v="-"/>
    <x v="0"/>
    <x v="1"/>
    <x v="19"/>
    <s v="B.Shailaja"/>
    <s v="-"/>
    <s v="-"/>
    <s v="-"/>
    <s v="-"/>
    <s v="-"/>
    <n v="0"/>
    <x v="2"/>
    <s v="-"/>
    <n v="2500"/>
    <s v="-"/>
    <x v="0"/>
    <x v="0"/>
  </r>
  <r>
    <n v="1067"/>
    <x v="1066"/>
    <s v="-"/>
    <x v="235"/>
    <s v="-"/>
    <x v="985"/>
    <n v="0"/>
    <x v="0"/>
    <x v="3"/>
    <x v="13"/>
    <x v="21"/>
    <s v="-"/>
    <x v="0"/>
    <x v="1"/>
    <x v="2"/>
    <s v="N.Shailaja"/>
    <s v="-"/>
    <s v="-"/>
    <s v="-"/>
    <s v="-"/>
    <s v="-"/>
    <n v="0"/>
    <x v="2"/>
    <s v="-"/>
    <n v="2500"/>
    <s v="-"/>
    <x v="0"/>
    <x v="0"/>
  </r>
  <r>
    <n v="1068"/>
    <x v="1067"/>
    <s v="-"/>
    <x v="235"/>
    <s v="-"/>
    <x v="986"/>
    <n v="0"/>
    <x v="0"/>
    <x v="3"/>
    <x v="13"/>
    <x v="21"/>
    <s v="-"/>
    <x v="0"/>
    <x v="1"/>
    <x v="19"/>
    <s v="Sai"/>
    <s v="-"/>
    <s v="-"/>
    <s v="-"/>
    <s v="-"/>
    <s v="-"/>
    <n v="0"/>
    <x v="2"/>
    <s v="-"/>
    <n v="6000"/>
    <s v="-"/>
    <x v="0"/>
    <x v="0"/>
  </r>
  <r>
    <n v="1069"/>
    <x v="1068"/>
    <s v="-"/>
    <x v="236"/>
    <s v="-"/>
    <x v="987"/>
    <n v="0"/>
    <x v="0"/>
    <x v="3"/>
    <x v="13"/>
    <x v="269"/>
    <s v="-"/>
    <x v="0"/>
    <x v="1"/>
    <x v="19"/>
    <s v="Rajini"/>
    <s v="-"/>
    <s v="-"/>
    <s v="-"/>
    <s v="-"/>
    <s v="-"/>
    <n v="0"/>
    <x v="2"/>
    <s v="-"/>
    <n v="3000"/>
    <s v="-"/>
    <x v="0"/>
    <x v="0"/>
  </r>
  <r>
    <n v="1070"/>
    <x v="1069"/>
    <s v="-"/>
    <x v="237"/>
    <s v="-"/>
    <x v="988"/>
    <n v="0"/>
    <x v="0"/>
    <x v="3"/>
    <x v="13"/>
    <x v="270"/>
    <s v="-"/>
    <x v="0"/>
    <x v="1"/>
    <x v="19"/>
    <m/>
    <s v="-"/>
    <s v="-"/>
    <s v="-"/>
    <s v="-"/>
    <s v="-"/>
    <n v="0"/>
    <x v="2"/>
    <s v="-"/>
    <n v="3500"/>
    <s v="-"/>
    <x v="0"/>
    <x v="0"/>
  </r>
  <r>
    <n v="1071"/>
    <x v="1070"/>
    <s v="-"/>
    <x v="238"/>
    <s v="-"/>
    <x v="989"/>
    <n v="0"/>
    <x v="0"/>
    <x v="3"/>
    <x v="13"/>
    <x v="148"/>
    <s v="-"/>
    <x v="0"/>
    <x v="1"/>
    <x v="19"/>
    <m/>
    <s v="-"/>
    <s v="-"/>
    <s v="-"/>
    <s v="-"/>
    <s v="-"/>
    <n v="0"/>
    <x v="2"/>
    <n v="2422"/>
    <n v="6000"/>
    <s v="-"/>
    <x v="0"/>
    <x v="0"/>
  </r>
  <r>
    <n v="1072"/>
    <x v="1071"/>
    <s v="-"/>
    <x v="238"/>
    <s v="-"/>
    <x v="990"/>
    <n v="0"/>
    <x v="0"/>
    <x v="3"/>
    <x v="13"/>
    <x v="53"/>
    <s v="-"/>
    <x v="0"/>
    <x v="1"/>
    <x v="2"/>
    <s v="Madhu"/>
    <s v="-"/>
    <s v="-"/>
    <s v="-"/>
    <s v="-"/>
    <s v="-"/>
    <n v="0"/>
    <x v="2"/>
    <n v="2425"/>
    <n v="4000"/>
    <s v="-"/>
    <x v="0"/>
    <x v="0"/>
  </r>
  <r>
    <n v="1073"/>
    <x v="1072"/>
    <s v="-"/>
    <x v="239"/>
    <s v="-"/>
    <x v="991"/>
    <n v="0"/>
    <x v="0"/>
    <x v="3"/>
    <x v="13"/>
    <x v="271"/>
    <s v="-"/>
    <x v="0"/>
    <x v="1"/>
    <x v="19"/>
    <s v="Neelima"/>
    <s v="-"/>
    <s v="-"/>
    <s v="-"/>
    <s v="-"/>
    <s v="-"/>
    <n v="0"/>
    <x v="2"/>
    <s v="-"/>
    <n v="2500"/>
    <s v="-"/>
    <x v="0"/>
    <x v="0"/>
  </r>
  <r>
    <n v="1074"/>
    <x v="1073"/>
    <s v="-"/>
    <x v="239"/>
    <s v="-"/>
    <x v="992"/>
    <n v="0"/>
    <x v="0"/>
    <x v="3"/>
    <x v="13"/>
    <x v="270"/>
    <s v="-"/>
    <x v="0"/>
    <x v="1"/>
    <x v="19"/>
    <s v="Sowjanya"/>
    <s v="-"/>
    <s v="-"/>
    <s v="-"/>
    <s v="-"/>
    <s v="-"/>
    <n v="0"/>
    <x v="2"/>
    <s v="-"/>
    <n v="10000"/>
    <s v="-"/>
    <x v="0"/>
    <x v="0"/>
  </r>
  <r>
    <n v="1075"/>
    <x v="1074"/>
    <s v="-"/>
    <x v="240"/>
    <s v="-"/>
    <x v="993"/>
    <n v="0"/>
    <x v="0"/>
    <x v="3"/>
    <x v="3"/>
    <x v="84"/>
    <s v="-"/>
    <x v="0"/>
    <x v="1"/>
    <x v="0"/>
    <s v="Usha Latha"/>
    <s v="-"/>
    <s v="-"/>
    <s v="-"/>
    <s v="-"/>
    <s v="-"/>
    <n v="0"/>
    <x v="2"/>
    <s v="-"/>
    <n v="10000"/>
    <s v="-"/>
    <x v="0"/>
    <x v="0"/>
  </r>
  <r>
    <n v="1076"/>
    <x v="1075"/>
    <s v="-"/>
    <x v="234"/>
    <s v="-"/>
    <x v="994"/>
    <n v="0"/>
    <x v="0"/>
    <x v="3"/>
    <x v="4"/>
    <x v="169"/>
    <s v="-"/>
    <x v="0"/>
    <x v="1"/>
    <x v="0"/>
    <s v="Rajeshwari"/>
    <s v="-"/>
    <s v="-"/>
    <s v="-"/>
    <s v="-"/>
    <s v="-"/>
    <n v="0"/>
    <x v="2"/>
    <s v="-"/>
    <n v="2500"/>
    <s v="-"/>
    <x v="0"/>
    <x v="0"/>
  </r>
  <r>
    <n v="1077"/>
    <x v="1076"/>
    <s v="-"/>
    <x v="241"/>
    <s v="-"/>
    <x v="246"/>
    <n v="0"/>
    <x v="0"/>
    <x v="3"/>
    <x v="4"/>
    <x v="23"/>
    <s v="-"/>
    <x v="0"/>
    <x v="1"/>
    <x v="0"/>
    <s v="Yamini"/>
    <s v="-"/>
    <s v="-"/>
    <s v="-"/>
    <s v="-"/>
    <s v="-"/>
    <n v="0"/>
    <x v="2"/>
    <s v="-"/>
    <n v="2000"/>
    <s v="-"/>
    <x v="0"/>
    <x v="0"/>
  </r>
  <r>
    <n v="1078"/>
    <x v="1077"/>
    <s v="-"/>
    <x v="242"/>
    <s v="-"/>
    <x v="995"/>
    <n v="0"/>
    <x v="0"/>
    <x v="3"/>
    <x v="4"/>
    <x v="23"/>
    <s v="-"/>
    <x v="0"/>
    <x v="1"/>
    <x v="0"/>
    <s v="B.Shailaja"/>
    <s v="-"/>
    <s v="-"/>
    <s v="-"/>
    <s v="-"/>
    <s v="-"/>
    <n v="0"/>
    <x v="2"/>
    <s v="-"/>
    <n v="3000"/>
    <s v="-"/>
    <x v="0"/>
    <x v="0"/>
  </r>
  <r>
    <n v="1079"/>
    <x v="1078"/>
    <s v="-"/>
    <x v="240"/>
    <s v="-"/>
    <x v="996"/>
    <n v="0"/>
    <x v="0"/>
    <x v="3"/>
    <x v="4"/>
    <x v="272"/>
    <s v="-"/>
    <x v="0"/>
    <x v="1"/>
    <x v="0"/>
    <s v="N.Shailaja"/>
    <s v="-"/>
    <s v="-"/>
    <s v="-"/>
    <s v="-"/>
    <s v="-"/>
    <n v="0"/>
    <x v="2"/>
    <s v="-"/>
    <n v="3500"/>
    <s v="-"/>
    <x v="0"/>
    <x v="0"/>
  </r>
  <r>
    <n v="1080"/>
    <x v="1079"/>
    <s v="-"/>
    <x v="243"/>
    <s v="-"/>
    <x v="997"/>
    <n v="0"/>
    <x v="0"/>
    <x v="3"/>
    <x v="4"/>
    <x v="21"/>
    <s v="-"/>
    <x v="0"/>
    <x v="1"/>
    <x v="0"/>
    <s v="Sai"/>
    <s v="-"/>
    <s v="-"/>
    <s v="-"/>
    <s v="-"/>
    <s v="-"/>
    <n v="0"/>
    <x v="2"/>
    <s v="-"/>
    <n v="3800"/>
    <s v="-"/>
    <x v="0"/>
    <x v="0"/>
  </r>
  <r>
    <n v="1081"/>
    <x v="1080"/>
    <s v="-"/>
    <x v="244"/>
    <s v="-"/>
    <x v="998"/>
    <n v="0"/>
    <x v="0"/>
    <x v="5"/>
    <x v="13"/>
    <x v="148"/>
    <s v="-"/>
    <x v="0"/>
    <x v="1"/>
    <x v="19"/>
    <s v="Rajini"/>
    <s v="-"/>
    <s v="-"/>
    <s v="-"/>
    <s v="-"/>
    <s v="-"/>
    <n v="0"/>
    <x v="2"/>
    <n v="2434"/>
    <n v="2000"/>
    <s v="-"/>
    <x v="0"/>
    <x v="0"/>
  </r>
  <r>
    <n v="1082"/>
    <x v="1081"/>
    <s v="-"/>
    <x v="244"/>
    <s v="-"/>
    <x v="999"/>
    <n v="0"/>
    <x v="0"/>
    <x v="5"/>
    <x v="13"/>
    <x v="271"/>
    <s v="-"/>
    <x v="0"/>
    <x v="1"/>
    <x v="19"/>
    <m/>
    <s v="-"/>
    <s v="-"/>
    <s v="-"/>
    <s v="-"/>
    <s v="-"/>
    <n v="0"/>
    <x v="2"/>
    <s v="-"/>
    <n v="2500"/>
    <s v="-"/>
    <x v="0"/>
    <x v="0"/>
  </r>
  <r>
    <n v="1083"/>
    <x v="1082"/>
    <s v="-"/>
    <x v="245"/>
    <s v="-"/>
    <x v="1000"/>
    <n v="0"/>
    <x v="0"/>
    <x v="5"/>
    <x v="13"/>
    <x v="72"/>
    <s v="-"/>
    <x v="0"/>
    <x v="1"/>
    <x v="5"/>
    <m/>
    <s v="-"/>
    <s v="-"/>
    <s v="-"/>
    <s v="-"/>
    <s v="-"/>
    <n v="0"/>
    <x v="2"/>
    <s v="-"/>
    <n v="3500"/>
    <s v="-"/>
    <x v="0"/>
    <x v="0"/>
  </r>
  <r>
    <n v="1084"/>
    <x v="1083"/>
    <s v="-"/>
    <x v="197"/>
    <s v="-"/>
    <x v="1001"/>
    <n v="0"/>
    <x v="0"/>
    <x v="3"/>
    <x v="13"/>
    <x v="40"/>
    <s v="-"/>
    <x v="0"/>
    <x v="1"/>
    <x v="5"/>
    <s v="Madhu"/>
    <s v="-"/>
    <s v="-"/>
    <s v="-"/>
    <s v="-"/>
    <s v="-"/>
    <n v="0"/>
    <x v="2"/>
    <s v="-"/>
    <n v="2000"/>
    <s v="-"/>
    <x v="0"/>
    <x v="0"/>
  </r>
  <r>
    <n v="1085"/>
    <x v="1084"/>
    <s v="-"/>
    <x v="203"/>
    <s v="-"/>
    <x v="1002"/>
    <n v="0"/>
    <x v="0"/>
    <x v="3"/>
    <x v="3"/>
    <x v="84"/>
    <s v="-"/>
    <x v="0"/>
    <x v="1"/>
    <x v="2"/>
    <s v="Neelima"/>
    <s v="-"/>
    <s v="-"/>
    <s v="-"/>
    <s v="-"/>
    <s v="-"/>
    <n v="0"/>
    <x v="2"/>
    <s v="-"/>
    <n v="4000"/>
    <s v="-"/>
    <x v="0"/>
    <x v="0"/>
  </r>
  <r>
    <n v="1086"/>
    <x v="1085"/>
    <s v="-"/>
    <x v="246"/>
    <s v="-"/>
    <x v="1003"/>
    <n v="0"/>
    <x v="0"/>
    <x v="3"/>
    <x v="4"/>
    <x v="0"/>
    <s v="-"/>
    <x v="0"/>
    <x v="1"/>
    <x v="19"/>
    <s v="Sowjanya"/>
    <s v="-"/>
    <s v="-"/>
    <s v="-"/>
    <s v="-"/>
    <s v="-"/>
    <n v="0"/>
    <x v="2"/>
    <s v="-"/>
    <n v="0"/>
    <s v="-"/>
    <x v="0"/>
    <x v="0"/>
  </r>
  <r>
    <n v="1087"/>
    <x v="1086"/>
    <s v="-"/>
    <x v="247"/>
    <s v="-"/>
    <x v="1004"/>
    <n v="0"/>
    <x v="0"/>
    <x v="3"/>
    <x v="4"/>
    <x v="21"/>
    <s v="-"/>
    <x v="0"/>
    <x v="1"/>
    <x v="19"/>
    <s v="Usha Latha"/>
    <s v="-"/>
    <s v="-"/>
    <s v="-"/>
    <s v="-"/>
    <s v="-"/>
    <n v="0"/>
    <x v="2"/>
    <s v="-"/>
    <n v="5000"/>
    <s v="-"/>
    <x v="0"/>
    <x v="0"/>
  </r>
  <r>
    <n v="1088"/>
    <x v="1087"/>
    <s v="-"/>
    <x v="169"/>
    <s v="-"/>
    <x v="1005"/>
    <n v="0"/>
    <x v="0"/>
    <x v="3"/>
    <x v="4"/>
    <x v="23"/>
    <s v="-"/>
    <x v="0"/>
    <x v="1"/>
    <x v="19"/>
    <s v="Rajeshwari"/>
    <s v="-"/>
    <s v="-"/>
    <s v="-"/>
    <s v="-"/>
    <s v="-"/>
    <n v="0"/>
    <x v="2"/>
    <s v="-"/>
    <n v="2000"/>
    <s v="-"/>
    <x v="0"/>
    <x v="0"/>
  </r>
  <r>
    <n v="1089"/>
    <x v="1088"/>
    <s v="-"/>
    <x v="171"/>
    <s v="-"/>
    <x v="1006"/>
    <n v="0"/>
    <x v="0"/>
    <x v="3"/>
    <x v="4"/>
    <x v="23"/>
    <s v="-"/>
    <x v="0"/>
    <x v="1"/>
    <x v="5"/>
    <s v="Yamini"/>
    <s v="-"/>
    <s v="-"/>
    <s v="-"/>
    <s v="-"/>
    <s v="-"/>
    <n v="0"/>
    <x v="2"/>
    <s v="-"/>
    <n v="4500"/>
    <s v="-"/>
    <x v="0"/>
    <x v="0"/>
  </r>
  <r>
    <n v="1090"/>
    <x v="1089"/>
    <s v="-"/>
    <x v="248"/>
    <s v="-"/>
    <x v="1007"/>
    <n v="0"/>
    <x v="0"/>
    <x v="4"/>
    <x v="4"/>
    <x v="99"/>
    <s v="-"/>
    <x v="0"/>
    <x v="1"/>
    <x v="2"/>
    <s v="B.Shailaja"/>
    <s v="-"/>
    <s v="-"/>
    <s v="-"/>
    <s v="-"/>
    <s v="-"/>
    <n v="0"/>
    <x v="2"/>
    <s v="-"/>
    <n v="6000"/>
    <s v="-"/>
    <x v="0"/>
    <x v="0"/>
  </r>
  <r>
    <n v="1091"/>
    <x v="1090"/>
    <s v="-"/>
    <x v="249"/>
    <s v="-"/>
    <x v="1008"/>
    <n v="0"/>
    <x v="0"/>
    <x v="13"/>
    <x v="4"/>
    <x v="272"/>
    <s v="-"/>
    <x v="0"/>
    <x v="1"/>
    <x v="2"/>
    <s v="N.Shailaja"/>
    <s v="-"/>
    <s v="-"/>
    <s v="-"/>
    <s v="-"/>
    <s v="-"/>
    <n v="0"/>
    <x v="2"/>
    <s v="-"/>
    <n v="2000"/>
    <s v="-"/>
    <x v="0"/>
    <x v="0"/>
  </r>
  <r>
    <n v="1092"/>
    <x v="1091"/>
    <s v="-"/>
    <x v="250"/>
    <s v="-"/>
    <x v="1009"/>
    <n v="0"/>
    <x v="0"/>
    <x v="3"/>
    <x v="3"/>
    <x v="273"/>
    <s v="-"/>
    <x v="0"/>
    <x v="1"/>
    <x v="2"/>
    <s v="Sai"/>
    <s v="-"/>
    <s v="-"/>
    <s v="-"/>
    <s v="-"/>
    <s v="-"/>
    <n v="0"/>
    <x v="2"/>
    <s v="-"/>
    <n v="1000"/>
    <s v="-"/>
    <x v="0"/>
    <x v="0"/>
  </r>
  <r>
    <n v="1093"/>
    <x v="1092"/>
    <s v="-"/>
    <x v="251"/>
    <s v="-"/>
    <x v="1010"/>
    <n v="0"/>
    <x v="0"/>
    <x v="3"/>
    <x v="13"/>
    <x v="263"/>
    <s v="-"/>
    <x v="0"/>
    <x v="1"/>
    <x v="5"/>
    <s v="Rajini"/>
    <s v="-"/>
    <s v="-"/>
    <s v="-"/>
    <s v="-"/>
    <s v="-"/>
    <n v="0"/>
    <x v="2"/>
    <s v="-"/>
    <n v="2000"/>
    <s v="-"/>
    <x v="0"/>
    <x v="0"/>
  </r>
  <r>
    <n v="1094"/>
    <x v="1093"/>
    <s v="-"/>
    <x v="252"/>
    <s v="-"/>
    <x v="1011"/>
    <n v="0"/>
    <x v="0"/>
    <x v="3"/>
    <x v="13"/>
    <x v="56"/>
    <s v="-"/>
    <x v="0"/>
    <x v="1"/>
    <x v="0"/>
    <m/>
    <s v="-"/>
    <s v="-"/>
    <s v="-"/>
    <s v="-"/>
    <s v="-"/>
    <n v="0"/>
    <x v="2"/>
    <s v="-"/>
    <n v="1700"/>
    <s v="-"/>
    <x v="0"/>
    <x v="0"/>
  </r>
  <r>
    <n v="1095"/>
    <x v="1094"/>
    <s v="-"/>
    <x v="253"/>
    <s v="-"/>
    <x v="1012"/>
    <n v="0"/>
    <x v="0"/>
    <x v="3"/>
    <x v="13"/>
    <x v="31"/>
    <s v="-"/>
    <x v="0"/>
    <x v="1"/>
    <x v="5"/>
    <m/>
    <s v="-"/>
    <s v="-"/>
    <s v="-"/>
    <s v="-"/>
    <s v="-"/>
    <n v="0"/>
    <x v="2"/>
    <n v="1644"/>
    <n v="5000"/>
    <s v="-"/>
    <x v="0"/>
    <x v="0"/>
  </r>
  <r>
    <n v="1096"/>
    <x v="1095"/>
    <s v="-"/>
    <x v="254"/>
    <s v="-"/>
    <x v="1013"/>
    <n v="0"/>
    <x v="0"/>
    <x v="3"/>
    <x v="13"/>
    <x v="57"/>
    <s v="-"/>
    <x v="0"/>
    <x v="1"/>
    <x v="5"/>
    <s v="Madhu"/>
    <s v="-"/>
    <s v="-"/>
    <s v="-"/>
    <s v="-"/>
    <s v="-"/>
    <n v="0"/>
    <x v="2"/>
    <s v="-"/>
    <n v="3500"/>
    <s v="-"/>
    <x v="0"/>
    <x v="0"/>
  </r>
  <r>
    <n v="1097"/>
    <x v="1096"/>
    <s v="-"/>
    <x v="255"/>
    <s v="-"/>
    <x v="1014"/>
    <n v="0"/>
    <x v="0"/>
    <x v="3"/>
    <x v="13"/>
    <x v="274"/>
    <s v="-"/>
    <x v="0"/>
    <x v="1"/>
    <x v="0"/>
    <s v="Neelima"/>
    <s v="-"/>
    <s v="-"/>
    <s v="-"/>
    <s v="-"/>
    <s v="-"/>
    <n v="0"/>
    <x v="2"/>
    <s v="-"/>
    <n v="5000"/>
    <s v="-"/>
    <x v="0"/>
    <x v="0"/>
  </r>
  <r>
    <n v="1098"/>
    <x v="1097"/>
    <s v="-"/>
    <x v="256"/>
    <s v="-"/>
    <x v="1015"/>
    <n v="0"/>
    <x v="0"/>
    <x v="3"/>
    <x v="13"/>
    <x v="275"/>
    <s v="-"/>
    <x v="0"/>
    <x v="1"/>
    <x v="2"/>
    <s v="Neelima"/>
    <s v="-"/>
    <s v="-"/>
    <s v="-"/>
    <s v="-"/>
    <s v="-"/>
    <n v="0"/>
    <x v="2"/>
    <n v="1655"/>
    <n v="3000"/>
    <s v="-"/>
    <x v="0"/>
    <x v="0"/>
  </r>
  <r>
    <n v="1099"/>
    <x v="1098"/>
    <s v="-"/>
    <x v="257"/>
    <s v="-"/>
    <x v="1016"/>
    <n v="0"/>
    <x v="0"/>
    <x v="5"/>
    <x v="13"/>
    <x v="75"/>
    <s v="-"/>
    <x v="0"/>
    <x v="1"/>
    <x v="2"/>
    <s v="Sowjanya"/>
    <s v="-"/>
    <s v="-"/>
    <s v="-"/>
    <s v="-"/>
    <s v="-"/>
    <n v="0"/>
    <x v="2"/>
    <n v="1663"/>
    <n v="3500"/>
    <s v="-"/>
    <x v="0"/>
    <x v="0"/>
  </r>
  <r>
    <n v="1100"/>
    <x v="1099"/>
    <s v="-"/>
    <x v="258"/>
    <s v="-"/>
    <x v="1017"/>
    <n v="0"/>
    <x v="0"/>
    <x v="3"/>
    <x v="3"/>
    <x v="21"/>
    <s v="-"/>
    <x v="0"/>
    <x v="1"/>
    <x v="5"/>
    <s v="Usha Latha"/>
    <s v="-"/>
    <s v="-"/>
    <s v="-"/>
    <s v="-"/>
    <s v="-"/>
    <n v="0"/>
    <x v="2"/>
    <n v="1646"/>
    <n v="1000"/>
    <s v="-"/>
    <x v="0"/>
    <x v="0"/>
  </r>
  <r>
    <n v="1101"/>
    <x v="1100"/>
    <s v="-"/>
    <x v="259"/>
    <s v="-"/>
    <x v="1018"/>
    <n v="0"/>
    <x v="0"/>
    <x v="3"/>
    <x v="3"/>
    <x v="276"/>
    <s v="-"/>
    <x v="0"/>
    <x v="1"/>
    <x v="5"/>
    <s v="Rajeshwari"/>
    <s v="-"/>
    <s v="-"/>
    <s v="-"/>
    <s v="-"/>
    <s v="-"/>
    <n v="0"/>
    <x v="2"/>
    <n v="1664"/>
    <n v="1500"/>
    <s v="Staff"/>
    <x v="0"/>
    <x v="0"/>
  </r>
  <r>
    <n v="1102"/>
    <x v="1101"/>
    <s v="-"/>
    <x v="260"/>
    <s v="-"/>
    <x v="1019"/>
    <n v="0"/>
    <x v="0"/>
    <x v="3"/>
    <x v="4"/>
    <x v="99"/>
    <s v="-"/>
    <x v="0"/>
    <x v="1"/>
    <x v="2"/>
    <s v="Yamini"/>
    <s v="-"/>
    <s v="-"/>
    <s v="-"/>
    <s v="-"/>
    <s v="-"/>
    <n v="0"/>
    <x v="2"/>
    <s v="-"/>
    <n v="7000"/>
    <s v="-"/>
    <x v="0"/>
    <x v="0"/>
  </r>
  <r>
    <n v="1103"/>
    <x v="1102"/>
    <s v="-"/>
    <x v="261"/>
    <s v="-"/>
    <x v="1020"/>
    <n v="0"/>
    <x v="0"/>
    <x v="5"/>
    <x v="13"/>
    <x v="277"/>
    <s v="-"/>
    <x v="0"/>
    <x v="1"/>
    <x v="2"/>
    <s v="B.Shailaja"/>
    <s v="-"/>
    <s v="-"/>
    <s v="-"/>
    <s v="-"/>
    <s v="-"/>
    <n v="0"/>
    <x v="2"/>
    <n v="1686"/>
    <n v="3500"/>
    <s v="-"/>
    <x v="0"/>
    <x v="0"/>
  </r>
  <r>
    <n v="1104"/>
    <x v="1103"/>
    <s v="-"/>
    <x v="261"/>
    <s v="-"/>
    <x v="1021"/>
    <n v="0"/>
    <x v="0"/>
    <x v="3"/>
    <x v="13"/>
    <x v="277"/>
    <s v="-"/>
    <x v="0"/>
    <x v="1"/>
    <x v="2"/>
    <s v="N.Shailaja"/>
    <s v="-"/>
    <s v="-"/>
    <s v="-"/>
    <s v="-"/>
    <s v="-"/>
    <n v="0"/>
    <x v="2"/>
    <n v="1687"/>
    <n v="3500"/>
    <s v="-"/>
    <x v="0"/>
    <x v="0"/>
  </r>
  <r>
    <n v="1105"/>
    <x v="1104"/>
    <s v="-"/>
    <x v="261"/>
    <s v="-"/>
    <x v="1022"/>
    <n v="0"/>
    <x v="0"/>
    <x v="5"/>
    <x v="13"/>
    <x v="278"/>
    <s v="-"/>
    <x v="0"/>
    <x v="1"/>
    <x v="5"/>
    <s v="Sai"/>
    <s v="-"/>
    <s v="-"/>
    <s v="-"/>
    <s v="-"/>
    <s v="-"/>
    <n v="0"/>
    <x v="2"/>
    <s v="-"/>
    <n v="3000"/>
    <s v="-"/>
    <x v="0"/>
    <x v="0"/>
  </r>
  <r>
    <n v="1106"/>
    <x v="1105"/>
    <s v="-"/>
    <x v="194"/>
    <s v="-"/>
    <x v="1023"/>
    <n v="0"/>
    <x v="0"/>
    <x v="0"/>
    <x v="13"/>
    <x v="279"/>
    <s v="-"/>
    <x v="0"/>
    <x v="1"/>
    <x v="5"/>
    <m/>
    <s v="-"/>
    <s v="-"/>
    <s v="-"/>
    <s v="-"/>
    <s v="-"/>
    <n v="0"/>
    <x v="2"/>
    <n v="1912"/>
    <n v="3400"/>
    <s v="-"/>
    <x v="0"/>
    <x v="0"/>
  </r>
  <r>
    <n v="1107"/>
    <x v="1106"/>
    <s v="-"/>
    <x v="262"/>
    <s v="-"/>
    <x v="1024"/>
    <n v="0"/>
    <x v="0"/>
    <x v="7"/>
    <x v="13"/>
    <x v="280"/>
    <s v="-"/>
    <x v="0"/>
    <x v="1"/>
    <x v="20"/>
    <m/>
    <s v="-"/>
    <s v="-"/>
    <s v="-"/>
    <s v="-"/>
    <s v="-"/>
    <n v="0"/>
    <x v="2"/>
    <n v="1924"/>
    <n v="10000"/>
    <s v="-"/>
    <x v="0"/>
    <x v="0"/>
  </r>
  <r>
    <n v="1108"/>
    <x v="1107"/>
    <s v="-"/>
    <x v="263"/>
    <s v="-"/>
    <x v="1025"/>
    <n v="0"/>
    <x v="0"/>
    <x v="13"/>
    <x v="13"/>
    <x v="281"/>
    <s v="-"/>
    <x v="0"/>
    <x v="1"/>
    <x v="5"/>
    <m/>
    <s v="-"/>
    <s v="-"/>
    <s v="-"/>
    <s v="-"/>
    <s v="-"/>
    <n v="0"/>
    <x v="2"/>
    <n v="1928"/>
    <n v="5000"/>
    <s v="-"/>
    <x v="0"/>
    <x v="0"/>
  </r>
  <r>
    <n v="1109"/>
    <x v="1108"/>
    <s v="-"/>
    <x v="264"/>
    <s v="-"/>
    <x v="34"/>
    <n v="0"/>
    <x v="0"/>
    <x v="3"/>
    <x v="13"/>
    <x v="277"/>
    <s v="-"/>
    <x v="0"/>
    <x v="1"/>
    <x v="5"/>
    <s v="Madhu"/>
    <s v="-"/>
    <s v="-"/>
    <s v="-"/>
    <s v="-"/>
    <s v="-"/>
    <n v="0"/>
    <x v="2"/>
    <n v="2107"/>
    <n v="3000"/>
    <s v="-"/>
    <x v="0"/>
    <x v="0"/>
  </r>
  <r>
    <n v="1110"/>
    <x v="1109"/>
    <s v="-"/>
    <x v="264"/>
    <s v="-"/>
    <x v="1026"/>
    <n v="0"/>
    <x v="0"/>
    <x v="3"/>
    <x v="13"/>
    <x v="277"/>
    <s v="-"/>
    <x v="0"/>
    <x v="1"/>
    <x v="5"/>
    <s v="Neelima"/>
    <s v="-"/>
    <s v="-"/>
    <s v="-"/>
    <s v="-"/>
    <s v="-"/>
    <n v="0"/>
    <x v="2"/>
    <n v="1954"/>
    <n v="3500"/>
    <s v="-"/>
    <x v="0"/>
    <x v="0"/>
  </r>
  <r>
    <n v="1111"/>
    <x v="1110"/>
    <s v="-"/>
    <x v="167"/>
    <s v="-"/>
    <x v="1027"/>
    <n v="0"/>
    <x v="0"/>
    <x v="3"/>
    <x v="4"/>
    <x v="0"/>
    <s v="-"/>
    <x v="0"/>
    <x v="1"/>
    <x v="5"/>
    <s v="Sowjanya"/>
    <s v="-"/>
    <s v="-"/>
    <s v="-"/>
    <s v="-"/>
    <s v="-"/>
    <n v="0"/>
    <x v="2"/>
    <s v="-"/>
    <n v="10000"/>
    <s v="-"/>
    <x v="0"/>
    <x v="0"/>
  </r>
  <r>
    <n v="1112"/>
    <x v="1111"/>
    <s v="-"/>
    <x v="265"/>
    <s v="-"/>
    <x v="1028"/>
    <n v="0"/>
    <x v="0"/>
    <x v="5"/>
    <x v="13"/>
    <x v="56"/>
    <s v="-"/>
    <x v="0"/>
    <x v="1"/>
    <x v="0"/>
    <s v="Usha Latha"/>
    <s v="-"/>
    <s v="-"/>
    <s v="-"/>
    <s v="-"/>
    <s v="-"/>
    <n v="0"/>
    <x v="2"/>
    <s v="-"/>
    <n v="0"/>
    <s v="-"/>
    <x v="0"/>
    <x v="0"/>
  </r>
  <r>
    <n v="1113"/>
    <x v="1112"/>
    <s v="-"/>
    <x v="266"/>
    <s v="-"/>
    <x v="1029"/>
    <n v="0"/>
    <x v="0"/>
    <x v="3"/>
    <x v="13"/>
    <x v="68"/>
    <s v="-"/>
    <x v="0"/>
    <x v="1"/>
    <x v="5"/>
    <s v="Rajeshwari"/>
    <s v="-"/>
    <s v="-"/>
    <s v="-"/>
    <s v="-"/>
    <s v="-"/>
    <n v="0"/>
    <x v="2"/>
    <n v="1981"/>
    <n v="2000"/>
    <s v="-"/>
    <x v="0"/>
    <x v="0"/>
  </r>
  <r>
    <n v="1114"/>
    <x v="1113"/>
    <s v="-"/>
    <x v="267"/>
    <s v="-"/>
    <x v="1030"/>
    <n v="0"/>
    <x v="0"/>
    <x v="5"/>
    <x v="13"/>
    <x v="265"/>
    <s v="-"/>
    <x v="0"/>
    <x v="1"/>
    <x v="5"/>
    <s v="Yamini"/>
    <s v="-"/>
    <s v="-"/>
    <s v="-"/>
    <s v="-"/>
    <s v="-"/>
    <n v="0"/>
    <x v="2"/>
    <s v="-"/>
    <n v="0"/>
    <s v="-"/>
    <x v="0"/>
    <x v="0"/>
  </r>
  <r>
    <n v="1115"/>
    <x v="1114"/>
    <s v="-"/>
    <x v="165"/>
    <s v="-"/>
    <x v="1031"/>
    <n v="0"/>
    <x v="0"/>
    <x v="3"/>
    <x v="13"/>
    <x v="282"/>
    <s v="-"/>
    <x v="0"/>
    <x v="1"/>
    <x v="5"/>
    <s v="B.Shailaja"/>
    <s v="-"/>
    <s v="-"/>
    <s v="-"/>
    <s v="-"/>
    <s v="-"/>
    <n v="0"/>
    <x v="2"/>
    <n v="1996"/>
    <n v="2000"/>
    <s v="-"/>
    <x v="0"/>
    <x v="0"/>
  </r>
  <r>
    <n v="1116"/>
    <x v="1115"/>
    <s v="-"/>
    <x v="268"/>
    <s v="-"/>
    <x v="1032"/>
    <n v="0"/>
    <x v="0"/>
    <x v="3"/>
    <x v="13"/>
    <x v="161"/>
    <s v="-"/>
    <x v="0"/>
    <x v="1"/>
    <x v="5"/>
    <s v="N.Shailaja"/>
    <s v="-"/>
    <s v="-"/>
    <s v="-"/>
    <s v="-"/>
    <s v="-"/>
    <n v="0"/>
    <x v="2"/>
    <s v="-"/>
    <n v="3000"/>
    <s v="-"/>
    <x v="0"/>
    <x v="0"/>
  </r>
  <r>
    <n v="1117"/>
    <x v="1116"/>
    <s v="-"/>
    <x v="269"/>
    <s v="-"/>
    <x v="1033"/>
    <n v="0"/>
    <x v="0"/>
    <x v="3"/>
    <x v="13"/>
    <x v="259"/>
    <s v="-"/>
    <x v="0"/>
    <x v="1"/>
    <x v="5"/>
    <s v="Sai"/>
    <s v="-"/>
    <s v="-"/>
    <s v="-"/>
    <s v="-"/>
    <s v="-"/>
    <n v="0"/>
    <x v="2"/>
    <n v="2112"/>
    <n v="2000"/>
    <s v="-"/>
    <x v="0"/>
    <x v="0"/>
  </r>
  <r>
    <n v="1118"/>
    <x v="1117"/>
    <s v="-"/>
    <x v="186"/>
    <s v="-"/>
    <x v="1034"/>
    <n v="0"/>
    <x v="0"/>
    <x v="5"/>
    <x v="13"/>
    <x v="277"/>
    <s v="-"/>
    <x v="0"/>
    <x v="1"/>
    <x v="5"/>
    <m/>
    <s v="-"/>
    <s v="-"/>
    <s v="-"/>
    <s v="-"/>
    <s v="-"/>
    <n v="0"/>
    <x v="2"/>
    <n v="2113"/>
    <n v="2500"/>
    <s v="-"/>
    <x v="0"/>
    <x v="0"/>
  </r>
  <r>
    <n v="1119"/>
    <x v="1118"/>
    <s v="-"/>
    <x v="186"/>
    <s v="-"/>
    <x v="1035"/>
    <n v="0"/>
    <x v="0"/>
    <x v="5"/>
    <x v="13"/>
    <x v="277"/>
    <s v="-"/>
    <x v="0"/>
    <x v="1"/>
    <x v="2"/>
    <m/>
    <s v="-"/>
    <s v="-"/>
    <s v="-"/>
    <s v="-"/>
    <s v="-"/>
    <n v="0"/>
    <x v="2"/>
    <n v="2114"/>
    <n v="2500"/>
    <s v="-"/>
    <x v="0"/>
    <x v="0"/>
  </r>
  <r>
    <n v="1120"/>
    <x v="1119"/>
    <s v="-"/>
    <x v="270"/>
    <s v="-"/>
    <x v="1036"/>
    <n v="0"/>
    <x v="0"/>
    <x v="3"/>
    <x v="13"/>
    <x v="267"/>
    <s v="-"/>
    <x v="0"/>
    <x v="1"/>
    <x v="5"/>
    <m/>
    <s v="-"/>
    <s v="-"/>
    <s v="-"/>
    <s v="-"/>
    <s v="-"/>
    <n v="0"/>
    <x v="2"/>
    <n v="2144"/>
    <n v="1700"/>
    <s v="-"/>
    <x v="0"/>
    <x v="0"/>
  </r>
  <r>
    <n v="1121"/>
    <x v="1120"/>
    <s v="-"/>
    <x v="271"/>
    <s v="-"/>
    <x v="1037"/>
    <n v="0"/>
    <x v="0"/>
    <x v="5"/>
    <x v="13"/>
    <x v="283"/>
    <s v="-"/>
    <x v="0"/>
    <x v="1"/>
    <x v="0"/>
    <s v="Madhu"/>
    <s v="-"/>
    <s v="-"/>
    <s v="-"/>
    <s v="-"/>
    <s v="-"/>
    <n v="0"/>
    <x v="2"/>
    <n v="2165"/>
    <n v="4400"/>
    <s v="-"/>
    <x v="0"/>
    <x v="0"/>
  </r>
  <r>
    <n v="1122"/>
    <x v="1121"/>
    <s v="-"/>
    <x v="271"/>
    <s v="-"/>
    <x v="1038"/>
    <n v="0"/>
    <x v="0"/>
    <x v="3"/>
    <x v="13"/>
    <x v="269"/>
    <s v="-"/>
    <x v="0"/>
    <x v="1"/>
    <x v="5"/>
    <s v="Neelima"/>
    <s v="-"/>
    <s v="-"/>
    <s v="-"/>
    <s v="-"/>
    <s v="-"/>
    <n v="0"/>
    <x v="2"/>
    <n v="2157"/>
    <n v="2000"/>
    <s v="-"/>
    <x v="0"/>
    <x v="0"/>
  </r>
  <r>
    <n v="1123"/>
    <x v="1122"/>
    <s v="-"/>
    <x v="272"/>
    <s v="-"/>
    <x v="1039"/>
    <n v="0"/>
    <x v="0"/>
    <x v="3"/>
    <x v="3"/>
    <x v="84"/>
    <s v="-"/>
    <x v="0"/>
    <x v="1"/>
    <x v="5"/>
    <s v="Sowjanya"/>
    <s v="-"/>
    <s v="-"/>
    <s v="-"/>
    <s v="-"/>
    <s v="-"/>
    <n v="0"/>
    <x v="2"/>
    <n v="2129"/>
    <n v="1000"/>
    <s v="-"/>
    <x v="0"/>
    <x v="0"/>
  </r>
  <r>
    <n v="1124"/>
    <x v="1123"/>
    <s v="-"/>
    <x v="273"/>
    <s v="-"/>
    <x v="1040"/>
    <n v="0"/>
    <x v="0"/>
    <x v="5"/>
    <x v="3"/>
    <x v="84"/>
    <s v="-"/>
    <x v="0"/>
    <x v="1"/>
    <x v="5"/>
    <s v="Usha Latha"/>
    <s v="-"/>
    <s v="-"/>
    <s v="-"/>
    <s v="-"/>
    <s v="-"/>
    <n v="0"/>
    <x v="2"/>
    <s v="-"/>
    <n v="10000"/>
    <s v="-"/>
    <x v="0"/>
    <x v="0"/>
  </r>
  <r>
    <n v="1125"/>
    <x v="1124"/>
    <s v="-"/>
    <x v="274"/>
    <s v="-"/>
    <x v="1041"/>
    <n v="0"/>
    <x v="0"/>
    <x v="3"/>
    <x v="14"/>
    <x v="205"/>
    <s v="-"/>
    <x v="0"/>
    <x v="1"/>
    <x v="0"/>
    <s v="Rajeshwari"/>
    <s v="-"/>
    <s v="-"/>
    <s v="-"/>
    <s v="-"/>
    <s v="-"/>
    <n v="0"/>
    <x v="2"/>
    <n v="2123"/>
    <n v="2500"/>
    <s v="-"/>
    <x v="0"/>
    <x v="0"/>
  </r>
  <r>
    <n v="1126"/>
    <x v="1125"/>
    <s v="-"/>
    <x v="274"/>
    <s v="-"/>
    <x v="1042"/>
    <n v="0"/>
    <x v="0"/>
    <x v="3"/>
    <x v="14"/>
    <x v="205"/>
    <s v="-"/>
    <x v="0"/>
    <x v="1"/>
    <x v="0"/>
    <s v="Yamini"/>
    <s v="-"/>
    <s v="-"/>
    <s v="-"/>
    <s v="-"/>
    <s v="-"/>
    <n v="0"/>
    <x v="2"/>
    <n v="2124"/>
    <n v="2500"/>
    <s v="-"/>
    <x v="0"/>
    <x v="0"/>
  </r>
  <r>
    <n v="1127"/>
    <x v="1126"/>
    <s v="-"/>
    <x v="275"/>
    <s v="-"/>
    <x v="1043"/>
    <n v="0"/>
    <x v="0"/>
    <x v="3"/>
    <x v="13"/>
    <x v="284"/>
    <s v="-"/>
    <x v="0"/>
    <x v="1"/>
    <x v="5"/>
    <s v="B.Shailaja"/>
    <s v="-"/>
    <s v="-"/>
    <s v="-"/>
    <s v="-"/>
    <s v="-"/>
    <n v="0"/>
    <x v="2"/>
    <n v="2174"/>
    <n v="1500"/>
    <s v="-"/>
    <x v="0"/>
    <x v="0"/>
  </r>
  <r>
    <n v="1128"/>
    <x v="1127"/>
    <s v="-"/>
    <x v="276"/>
    <s v="-"/>
    <x v="1044"/>
    <n v="0"/>
    <x v="0"/>
    <x v="3"/>
    <x v="13"/>
    <x v="259"/>
    <s v="-"/>
    <x v="0"/>
    <x v="1"/>
    <x v="5"/>
    <s v="N.Shailaja"/>
    <s v="-"/>
    <s v="-"/>
    <s v="-"/>
    <s v="-"/>
    <s v="-"/>
    <n v="0"/>
    <x v="2"/>
    <n v="2305"/>
    <n v="2500"/>
    <s v="-"/>
    <x v="0"/>
    <x v="0"/>
  </r>
  <r>
    <n v="1129"/>
    <x v="1128"/>
    <s v="-"/>
    <x v="277"/>
    <s v="-"/>
    <x v="1045"/>
    <n v="0"/>
    <x v="0"/>
    <x v="17"/>
    <x v="4"/>
    <x v="285"/>
    <s v="-"/>
    <x v="0"/>
    <x v="1"/>
    <x v="5"/>
    <s v="Sai"/>
    <s v="-"/>
    <s v="-"/>
    <s v="-"/>
    <s v="-"/>
    <s v="-"/>
    <n v="0"/>
    <x v="2"/>
    <n v="2188"/>
    <n v="7500"/>
    <s v="-"/>
    <x v="0"/>
    <x v="0"/>
  </r>
  <r>
    <n v="1130"/>
    <x v="1129"/>
    <s v="-"/>
    <x v="151"/>
    <s v="-"/>
    <x v="1046"/>
    <n v="0"/>
    <x v="0"/>
    <x v="5"/>
    <x v="13"/>
    <x v="57"/>
    <s v="-"/>
    <x v="0"/>
    <x v="1"/>
    <x v="21"/>
    <m/>
    <s v="-"/>
    <s v="-"/>
    <s v="-"/>
    <s v="-"/>
    <s v="-"/>
    <n v="0"/>
    <x v="2"/>
    <n v="2331"/>
    <n v="2000"/>
    <s v="-"/>
    <x v="0"/>
    <x v="0"/>
  </r>
  <r>
    <n v="1131"/>
    <x v="1130"/>
    <s v="-"/>
    <x v="150"/>
    <s v="-"/>
    <x v="1047"/>
    <n v="0"/>
    <x v="0"/>
    <x v="5"/>
    <x v="13"/>
    <x v="277"/>
    <s v="-"/>
    <x v="0"/>
    <x v="1"/>
    <x v="0"/>
    <m/>
    <s v="-"/>
    <s v="-"/>
    <s v="-"/>
    <s v="-"/>
    <s v="-"/>
    <n v="0"/>
    <x v="2"/>
    <n v="2335"/>
    <n v="3000"/>
    <s v="-"/>
    <x v="0"/>
    <x v="0"/>
  </r>
  <r>
    <n v="1132"/>
    <x v="1131"/>
    <s v="-"/>
    <x v="150"/>
    <s v="-"/>
    <x v="1048"/>
    <n v="0"/>
    <x v="0"/>
    <x v="5"/>
    <x v="13"/>
    <x v="277"/>
    <s v="-"/>
    <x v="0"/>
    <x v="1"/>
    <x v="0"/>
    <m/>
    <s v="-"/>
    <s v="-"/>
    <s v="-"/>
    <s v="-"/>
    <s v="-"/>
    <n v="0"/>
    <x v="2"/>
    <n v="2340"/>
    <n v="1500"/>
    <s v="-"/>
    <x v="0"/>
    <x v="0"/>
  </r>
  <r>
    <n v="1133"/>
    <x v="1132"/>
    <s v="-"/>
    <x v="278"/>
    <s v="-"/>
    <x v="1049"/>
    <n v="0"/>
    <x v="0"/>
    <x v="4"/>
    <x v="13"/>
    <x v="0"/>
    <s v="-"/>
    <x v="0"/>
    <x v="1"/>
    <x v="5"/>
    <s v="Madhu"/>
    <s v="-"/>
    <s v="-"/>
    <s v="-"/>
    <s v="-"/>
    <s v="-"/>
    <n v="0"/>
    <x v="2"/>
    <n v="2359"/>
    <n v="2500"/>
    <s v="-"/>
    <x v="0"/>
    <x v="0"/>
  </r>
  <r>
    <n v="1134"/>
    <x v="1133"/>
    <s v="-"/>
    <x v="278"/>
    <s v="-"/>
    <x v="1050"/>
    <n v="0"/>
    <x v="0"/>
    <x v="3"/>
    <x v="13"/>
    <x v="100"/>
    <s v="-"/>
    <x v="0"/>
    <x v="1"/>
    <x v="5"/>
    <s v="Neelima"/>
    <s v="-"/>
    <s v="-"/>
    <s v="-"/>
    <s v="-"/>
    <s v="-"/>
    <n v="0"/>
    <x v="2"/>
    <s v="-"/>
    <n v="0"/>
    <s v="-"/>
    <x v="0"/>
    <x v="0"/>
  </r>
  <r>
    <n v="1135"/>
    <x v="1134"/>
    <s v="-"/>
    <x v="73"/>
    <s v="-"/>
    <x v="1051"/>
    <n v="0"/>
    <x v="0"/>
    <x v="3"/>
    <x v="13"/>
    <x v="286"/>
    <s v="-"/>
    <x v="0"/>
    <x v="1"/>
    <x v="5"/>
    <s v="Sowjanya"/>
    <s v="-"/>
    <s v="-"/>
    <s v="-"/>
    <s v="-"/>
    <s v="-"/>
    <n v="0"/>
    <x v="2"/>
    <n v="2358"/>
    <n v="4000"/>
    <s v="-"/>
    <x v="0"/>
    <x v="0"/>
  </r>
  <r>
    <n v="1136"/>
    <x v="1135"/>
    <s v="-"/>
    <x v="279"/>
    <s v="-"/>
    <x v="1052"/>
    <n v="0"/>
    <x v="0"/>
    <x v="5"/>
    <x v="3"/>
    <x v="287"/>
    <s v="-"/>
    <x v="0"/>
    <x v="1"/>
    <x v="5"/>
    <s v="Usha Latha"/>
    <s v="-"/>
    <s v="-"/>
    <s v="-"/>
    <s v="-"/>
    <s v="-"/>
    <n v="0"/>
    <x v="2"/>
    <n v="2347"/>
    <n v="4000"/>
    <s v="-"/>
    <x v="0"/>
    <x v="0"/>
  </r>
  <r>
    <n v="1137"/>
    <x v="1136"/>
    <s v="-"/>
    <x v="280"/>
    <s v="-"/>
    <x v="1053"/>
    <n v="0"/>
    <x v="0"/>
    <x v="3"/>
    <x v="4"/>
    <x v="288"/>
    <s v="-"/>
    <x v="0"/>
    <x v="1"/>
    <x v="5"/>
    <s v="Rajeshwari"/>
    <s v="-"/>
    <s v="-"/>
    <s v="-"/>
    <s v="-"/>
    <s v="-"/>
    <n v="0"/>
    <x v="2"/>
    <n v="2336"/>
    <n v="3000"/>
    <s v="-"/>
    <x v="0"/>
    <x v="0"/>
  </r>
  <r>
    <n v="1138"/>
    <x v="1137"/>
    <s v="-"/>
    <x v="281"/>
    <s v="-"/>
    <x v="1054"/>
    <n v="0"/>
    <x v="0"/>
    <x v="3"/>
    <x v="4"/>
    <x v="289"/>
    <s v="-"/>
    <x v="0"/>
    <x v="1"/>
    <x v="5"/>
    <s v="Yamini"/>
    <s v="-"/>
    <s v="-"/>
    <s v="-"/>
    <s v="-"/>
    <s v="-"/>
    <n v="0"/>
    <x v="2"/>
    <n v="2370"/>
    <n v="2500"/>
    <s v="-"/>
    <x v="0"/>
    <x v="0"/>
  </r>
  <r>
    <n v="1139"/>
    <x v="1138"/>
    <s v="-"/>
    <x v="147"/>
    <s v="-"/>
    <x v="1055"/>
    <n v="0"/>
    <x v="0"/>
    <x v="3"/>
    <x v="13"/>
    <x v="51"/>
    <s v="-"/>
    <x v="0"/>
    <x v="1"/>
    <x v="5"/>
    <s v="B.Shailaja"/>
    <s v="-"/>
    <s v="-"/>
    <s v="-"/>
    <s v="-"/>
    <s v="-"/>
    <n v="0"/>
    <x v="2"/>
    <n v="2396"/>
    <n v="3400"/>
    <s v="-"/>
    <x v="0"/>
    <x v="0"/>
  </r>
  <r>
    <n v="1140"/>
    <x v="1139"/>
    <s v="-"/>
    <x v="147"/>
    <s v="-"/>
    <x v="1056"/>
    <n v="0"/>
    <x v="0"/>
    <x v="15"/>
    <x v="13"/>
    <x v="80"/>
    <s v="-"/>
    <x v="0"/>
    <x v="1"/>
    <x v="5"/>
    <s v="N.Shailaja"/>
    <s v="-"/>
    <s v="-"/>
    <s v="-"/>
    <s v="-"/>
    <s v="-"/>
    <n v="0"/>
    <x v="2"/>
    <n v="2398"/>
    <n v="4000"/>
    <s v="-"/>
    <x v="0"/>
    <x v="0"/>
  </r>
  <r>
    <n v="1141"/>
    <x v="1140"/>
    <s v="-"/>
    <x v="147"/>
    <s v="-"/>
    <x v="1057"/>
    <n v="0"/>
    <x v="0"/>
    <x v="5"/>
    <x v="13"/>
    <x v="80"/>
    <s v="-"/>
    <x v="0"/>
    <x v="1"/>
    <x v="5"/>
    <s v="Sai"/>
    <s v="-"/>
    <s v="-"/>
    <s v="-"/>
    <s v="-"/>
    <s v="-"/>
    <n v="0"/>
    <x v="2"/>
    <n v="2397"/>
    <n v="4000"/>
    <s v="-"/>
    <x v="0"/>
    <x v="0"/>
  </r>
  <r>
    <n v="1142"/>
    <x v="1141"/>
    <s v="-"/>
    <x v="147"/>
    <s v="-"/>
    <x v="1058"/>
    <n v="0"/>
    <x v="0"/>
    <x v="5"/>
    <x v="13"/>
    <x v="80"/>
    <s v="-"/>
    <x v="0"/>
    <x v="1"/>
    <x v="5"/>
    <m/>
    <s v="-"/>
    <s v="-"/>
    <s v="-"/>
    <s v="-"/>
    <s v="-"/>
    <n v="0"/>
    <x v="2"/>
    <n v="2399"/>
    <n v="4000"/>
    <s v="-"/>
    <x v="0"/>
    <x v="0"/>
  </r>
  <r>
    <n v="1143"/>
    <x v="1142"/>
    <s v="-"/>
    <x v="282"/>
    <s v="-"/>
    <x v="1059"/>
    <n v="0"/>
    <x v="0"/>
    <x v="5"/>
    <x v="3"/>
    <x v="290"/>
    <s v="-"/>
    <x v="0"/>
    <x v="1"/>
    <x v="15"/>
    <m/>
    <s v="-"/>
    <s v="-"/>
    <s v="-"/>
    <s v="-"/>
    <s v="-"/>
    <n v="0"/>
    <x v="2"/>
    <n v="2379"/>
    <n v="3500"/>
    <s v="-"/>
    <x v="0"/>
    <x v="0"/>
  </r>
  <r>
    <n v="1144"/>
    <x v="1143"/>
    <s v="-"/>
    <x v="283"/>
    <s v="-"/>
    <x v="1060"/>
    <n v="0"/>
    <x v="0"/>
    <x v="3"/>
    <x v="3"/>
    <x v="84"/>
    <s v="-"/>
    <x v="0"/>
    <x v="1"/>
    <x v="0"/>
    <m/>
    <s v="-"/>
    <s v="-"/>
    <s v="-"/>
    <s v="-"/>
    <s v="-"/>
    <n v="0"/>
    <x v="2"/>
    <n v="2387"/>
    <n v="5000"/>
    <s v="-"/>
    <x v="0"/>
    <x v="0"/>
  </r>
  <r>
    <n v="1145"/>
    <x v="1144"/>
    <s v="-"/>
    <x v="148"/>
    <s v="-"/>
    <x v="325"/>
    <n v="0"/>
    <x v="0"/>
    <x v="5"/>
    <x v="3"/>
    <x v="83"/>
    <s v="-"/>
    <x v="0"/>
    <x v="1"/>
    <x v="5"/>
    <s v="Madhu"/>
    <s v="-"/>
    <s v="-"/>
    <s v="-"/>
    <s v="-"/>
    <s v="-"/>
    <n v="0"/>
    <x v="2"/>
    <n v="2216"/>
    <n v="2000"/>
    <s v="Staff"/>
    <x v="0"/>
    <x v="0"/>
  </r>
  <r>
    <n v="1146"/>
    <x v="1145"/>
    <s v="-"/>
    <x v="284"/>
    <s v="-"/>
    <x v="1061"/>
    <n v="0"/>
    <x v="0"/>
    <x v="3"/>
    <x v="4"/>
    <x v="226"/>
    <s v="-"/>
    <x v="0"/>
    <x v="1"/>
    <x v="0"/>
    <s v="Neelima"/>
    <s v="-"/>
    <s v="-"/>
    <s v="-"/>
    <s v="-"/>
    <s v="-"/>
    <n v="0"/>
    <x v="2"/>
    <n v="2384"/>
    <n v="1000"/>
    <s v="-"/>
    <x v="0"/>
    <x v="0"/>
  </r>
  <r>
    <n v="1147"/>
    <x v="1146"/>
    <s v="-"/>
    <x v="74"/>
    <s v="-"/>
    <x v="557"/>
    <n v="0"/>
    <x v="0"/>
    <x v="3"/>
    <x v="4"/>
    <x v="291"/>
    <s v="-"/>
    <x v="0"/>
    <x v="1"/>
    <x v="5"/>
    <s v="Sowjanya"/>
    <s v="-"/>
    <s v="-"/>
    <s v="-"/>
    <s v="-"/>
    <s v="-"/>
    <n v="0"/>
    <x v="2"/>
    <n v="2388"/>
    <n v="4500"/>
    <s v="-"/>
    <x v="0"/>
    <x v="0"/>
  </r>
  <r>
    <n v="1148"/>
    <x v="1147"/>
    <s v="-"/>
    <x v="148"/>
    <s v="-"/>
    <x v="1062"/>
    <n v="0"/>
    <x v="0"/>
    <x v="0"/>
    <x v="4"/>
    <x v="226"/>
    <s v="-"/>
    <x v="0"/>
    <x v="1"/>
    <x v="5"/>
    <s v="Usha Latha"/>
    <s v="-"/>
    <s v="-"/>
    <s v="-"/>
    <s v="-"/>
    <s v="-"/>
    <n v="0"/>
    <x v="2"/>
    <n v="2394"/>
    <n v="3000"/>
    <s v="-"/>
    <x v="0"/>
    <x v="0"/>
  </r>
  <r>
    <n v="1149"/>
    <x v="1148"/>
    <s v="-"/>
    <x v="285"/>
    <s v="-"/>
    <x v="1063"/>
    <n v="0"/>
    <x v="0"/>
    <x v="5"/>
    <x v="13"/>
    <x v="57"/>
    <s v="-"/>
    <x v="0"/>
    <x v="1"/>
    <x v="5"/>
    <s v="Rajeshwari"/>
    <s v="-"/>
    <s v="-"/>
    <s v="-"/>
    <s v="-"/>
    <s v="-"/>
    <n v="0"/>
    <x v="2"/>
    <n v="2221"/>
    <n v="2000"/>
    <s v="-"/>
    <x v="0"/>
    <x v="0"/>
  </r>
  <r>
    <n v="1150"/>
    <x v="1149"/>
    <s v="-"/>
    <x v="285"/>
    <s v="-"/>
    <x v="1064"/>
    <n v="0"/>
    <x v="0"/>
    <x v="3"/>
    <x v="13"/>
    <x v="57"/>
    <s v="-"/>
    <x v="0"/>
    <x v="1"/>
    <x v="5"/>
    <s v="Yamini"/>
    <s v="-"/>
    <s v="-"/>
    <s v="-"/>
    <s v="-"/>
    <s v="-"/>
    <n v="0"/>
    <x v="2"/>
    <n v="2222"/>
    <n v="3000"/>
    <s v="-"/>
    <x v="0"/>
    <x v="0"/>
  </r>
  <r>
    <n v="1151"/>
    <x v="1150"/>
    <s v="-"/>
    <x v="286"/>
    <s v="-"/>
    <x v="1065"/>
    <n v="0"/>
    <x v="0"/>
    <x v="3"/>
    <x v="13"/>
    <x v="72"/>
    <s v="-"/>
    <x v="0"/>
    <x v="1"/>
    <x v="5"/>
    <s v="B.Shailaja"/>
    <s v="-"/>
    <s v="-"/>
    <s v="-"/>
    <s v="-"/>
    <s v="-"/>
    <n v="0"/>
    <x v="2"/>
    <n v="2267"/>
    <n v="5000"/>
    <s v="-"/>
    <x v="0"/>
    <x v="0"/>
  </r>
  <r>
    <n v="1152"/>
    <x v="1151"/>
    <s v="-"/>
    <x v="134"/>
    <s v="-"/>
    <x v="1066"/>
    <n v="0"/>
    <x v="0"/>
    <x v="3"/>
    <x v="13"/>
    <x v="175"/>
    <s v="-"/>
    <x v="0"/>
    <x v="1"/>
    <x v="5"/>
    <s v="N.Shailaja"/>
    <s v="-"/>
    <s v="-"/>
    <s v="-"/>
    <s v="-"/>
    <s v="-"/>
    <n v="0"/>
    <x v="2"/>
    <n v="2258"/>
    <n v="2000"/>
    <s v="-"/>
    <x v="0"/>
    <x v="0"/>
  </r>
  <r>
    <n v="1153"/>
    <x v="1152"/>
    <s v="-"/>
    <x v="287"/>
    <s v="-"/>
    <x v="405"/>
    <n v="0"/>
    <x v="0"/>
    <x v="3"/>
    <x v="13"/>
    <x v="31"/>
    <s v="-"/>
    <x v="0"/>
    <x v="1"/>
    <x v="5"/>
    <s v="Sai"/>
    <s v="-"/>
    <s v="-"/>
    <s v="-"/>
    <s v="-"/>
    <s v="-"/>
    <n v="0"/>
    <x v="2"/>
    <n v="2262"/>
    <n v="3500"/>
    <s v="-"/>
    <x v="0"/>
    <x v="0"/>
  </r>
  <r>
    <n v="1154"/>
    <x v="1153"/>
    <s v="-"/>
    <x v="286"/>
    <s v="-"/>
    <x v="1067"/>
    <n v="0"/>
    <x v="0"/>
    <x v="4"/>
    <x v="3"/>
    <x v="84"/>
    <s v="-"/>
    <x v="0"/>
    <x v="1"/>
    <x v="5"/>
    <m/>
    <s v="-"/>
    <s v="-"/>
    <s v="-"/>
    <s v="-"/>
    <s v="-"/>
    <n v="0"/>
    <x v="2"/>
    <n v="2240"/>
    <n v="5000"/>
    <s v="-"/>
    <x v="0"/>
    <x v="0"/>
  </r>
  <r>
    <n v="1155"/>
    <x v="1154"/>
    <s v="-"/>
    <x v="288"/>
    <s v="-"/>
    <x v="1068"/>
    <n v="0"/>
    <x v="0"/>
    <x v="3"/>
    <x v="3"/>
    <x v="84"/>
    <s v="-"/>
    <x v="0"/>
    <x v="1"/>
    <x v="5"/>
    <s v="Leena"/>
    <s v="-"/>
    <s v="-"/>
    <s v="-"/>
    <s v="-"/>
    <s v="-"/>
    <n v="0"/>
    <x v="2"/>
    <n v="2255"/>
    <n v="5000"/>
    <s v="-"/>
    <x v="0"/>
    <x v="0"/>
  </r>
  <r>
    <n v="1156"/>
    <x v="1155"/>
    <s v="-"/>
    <x v="289"/>
    <s v="-"/>
    <x v="1069"/>
    <n v="0"/>
    <x v="0"/>
    <x v="3"/>
    <x v="4"/>
    <x v="288"/>
    <s v="-"/>
    <x v="0"/>
    <x v="1"/>
    <x v="5"/>
    <m/>
    <s v="-"/>
    <s v="-"/>
    <s v="-"/>
    <s v="-"/>
    <s v="-"/>
    <n v="0"/>
    <x v="2"/>
    <n v="2229"/>
    <n v="5000"/>
    <s v="-"/>
    <x v="0"/>
    <x v="0"/>
  </r>
  <r>
    <n v="1157"/>
    <x v="1156"/>
    <s v="-"/>
    <x v="290"/>
    <s v="-"/>
    <x v="1070"/>
    <n v="0"/>
    <x v="0"/>
    <x v="5"/>
    <x v="4"/>
    <x v="288"/>
    <s v="-"/>
    <x v="0"/>
    <x v="1"/>
    <x v="5"/>
    <s v="Madhu"/>
    <s v="-"/>
    <s v="-"/>
    <s v="-"/>
    <s v="-"/>
    <s v="-"/>
    <n v="0"/>
    <x v="2"/>
    <n v="2250"/>
    <n v="1500"/>
    <s v="-"/>
    <x v="0"/>
    <x v="0"/>
  </r>
  <r>
    <n v="1158"/>
    <x v="1157"/>
    <s v="-"/>
    <x v="177"/>
    <s v="-"/>
    <x v="1071"/>
    <n v="0"/>
    <x v="0"/>
    <x v="3"/>
    <x v="14"/>
    <x v="205"/>
    <s v="-"/>
    <x v="0"/>
    <x v="1"/>
    <x v="0"/>
    <s v="Neelima"/>
    <s v="-"/>
    <s v="-"/>
    <s v="-"/>
    <s v="-"/>
    <s v="-"/>
    <n v="0"/>
    <x v="2"/>
    <n v="2264"/>
    <n v="5000"/>
    <s v="-"/>
    <x v="0"/>
    <x v="0"/>
  </r>
  <r>
    <n v="1159"/>
    <x v="1158"/>
    <s v="-"/>
    <x v="133"/>
    <s v="-"/>
    <x v="138"/>
    <n v="0"/>
    <x v="0"/>
    <x v="3"/>
    <x v="13"/>
    <x v="37"/>
    <s v="-"/>
    <x v="0"/>
    <x v="1"/>
    <x v="5"/>
    <s v="Neelima"/>
    <s v="-"/>
    <s v="-"/>
    <s v="-"/>
    <s v="-"/>
    <s v="-"/>
    <n v="0"/>
    <x v="2"/>
    <n v="2271"/>
    <n v="2500"/>
    <s v="-"/>
    <x v="0"/>
    <x v="0"/>
  </r>
  <r>
    <n v="1160"/>
    <x v="1159"/>
    <s v="-"/>
    <x v="128"/>
    <s v="-"/>
    <x v="1072"/>
    <n v="0"/>
    <x v="0"/>
    <x v="3"/>
    <x v="13"/>
    <x v="255"/>
    <s v="-"/>
    <x v="0"/>
    <x v="1"/>
    <x v="5"/>
    <s v="Sowjanya"/>
    <s v="-"/>
    <s v="-"/>
    <s v="-"/>
    <s v="-"/>
    <s v="-"/>
    <n v="0"/>
    <x v="2"/>
    <n v="2813"/>
    <n v="3500"/>
    <s v="-"/>
    <x v="0"/>
    <x v="0"/>
  </r>
  <r>
    <n v="1161"/>
    <x v="1160"/>
    <s v="-"/>
    <x v="291"/>
    <s v="-"/>
    <x v="332"/>
    <n v="0"/>
    <x v="0"/>
    <x v="3"/>
    <x v="3"/>
    <x v="21"/>
    <s v="-"/>
    <x v="0"/>
    <x v="1"/>
    <x v="6"/>
    <s v="Usha Latha"/>
    <s v="-"/>
    <s v="-"/>
    <s v="-"/>
    <s v="-"/>
    <s v="-"/>
    <n v="0"/>
    <x v="2"/>
    <n v="2298"/>
    <n v="7000"/>
    <s v="-"/>
    <x v="0"/>
    <x v="0"/>
  </r>
  <r>
    <n v="1162"/>
    <x v="1161"/>
    <s v="-"/>
    <x v="85"/>
    <s v="-"/>
    <x v="1073"/>
    <n v="0"/>
    <x v="0"/>
    <x v="3"/>
    <x v="3"/>
    <x v="84"/>
    <s v="-"/>
    <x v="0"/>
    <x v="1"/>
    <x v="6"/>
    <s v="Rajeshwari"/>
    <s v="-"/>
    <s v="-"/>
    <s v="-"/>
    <s v="-"/>
    <s v="-"/>
    <n v="0"/>
    <x v="2"/>
    <n v="2810"/>
    <n v="2000"/>
    <s v="-"/>
    <x v="0"/>
    <x v="0"/>
  </r>
  <r>
    <n v="1163"/>
    <x v="1162"/>
    <s v="-"/>
    <x v="292"/>
    <s v="-"/>
    <x v="1074"/>
    <n v="0"/>
    <x v="0"/>
    <x v="17"/>
    <x v="13"/>
    <x v="68"/>
    <s v="-"/>
    <x v="0"/>
    <x v="1"/>
    <x v="5"/>
    <s v="Yamini"/>
    <s v="-"/>
    <s v="-"/>
    <s v="-"/>
    <s v="-"/>
    <s v="-"/>
    <n v="0"/>
    <x v="2"/>
    <n v="2821"/>
    <n v="4000"/>
    <s v="-"/>
    <x v="0"/>
    <x v="0"/>
  </r>
  <r>
    <n v="1164"/>
    <x v="1163"/>
    <s v="-"/>
    <x v="293"/>
    <s v="-"/>
    <x v="1075"/>
    <n v="0"/>
    <x v="0"/>
    <x v="3"/>
    <x v="13"/>
    <x v="265"/>
    <s v="-"/>
    <x v="0"/>
    <x v="1"/>
    <x v="6"/>
    <s v="B.Shailaja"/>
    <s v="-"/>
    <s v="-"/>
    <s v="-"/>
    <s v="-"/>
    <s v="-"/>
    <n v="0"/>
    <x v="2"/>
    <n v="2825"/>
    <n v="3000"/>
    <s v="-"/>
    <x v="0"/>
    <x v="0"/>
  </r>
  <r>
    <n v="1165"/>
    <x v="1164"/>
    <s v="-"/>
    <x v="293"/>
    <s v="-"/>
    <x v="1076"/>
    <n v="0"/>
    <x v="0"/>
    <x v="3"/>
    <x v="13"/>
    <x v="275"/>
    <s v="-"/>
    <x v="0"/>
    <x v="1"/>
    <x v="5"/>
    <s v="N.Shailaja"/>
    <s v="-"/>
    <s v="-"/>
    <s v="-"/>
    <s v="-"/>
    <s v="-"/>
    <n v="0"/>
    <x v="2"/>
    <n v="2824"/>
    <n v="2500"/>
    <s v="-"/>
    <x v="0"/>
    <x v="0"/>
  </r>
  <r>
    <n v="1166"/>
    <x v="1165"/>
    <s v="-"/>
    <x v="176"/>
    <s v="-"/>
    <x v="1077"/>
    <n v="0"/>
    <x v="0"/>
    <x v="3"/>
    <x v="13"/>
    <x v="255"/>
    <s v="-"/>
    <x v="0"/>
    <x v="1"/>
    <x v="0"/>
    <s v="Sai"/>
    <s v="-"/>
    <s v="-"/>
    <s v="-"/>
    <s v="-"/>
    <s v="-"/>
    <n v="0"/>
    <x v="2"/>
    <n v="2838"/>
    <n v="1700"/>
    <s v="-"/>
    <x v="0"/>
    <x v="0"/>
  </r>
  <r>
    <n v="1167"/>
    <x v="1166"/>
    <s v="-"/>
    <x v="77"/>
    <s v="-"/>
    <x v="1078"/>
    <n v="0"/>
    <x v="0"/>
    <x v="3"/>
    <x v="3"/>
    <x v="83"/>
    <s v="-"/>
    <x v="0"/>
    <x v="1"/>
    <x v="6"/>
    <m/>
    <s v="-"/>
    <s v="-"/>
    <s v="-"/>
    <s v="-"/>
    <s v="-"/>
    <n v="0"/>
    <x v="2"/>
    <n v="2836"/>
    <n v="3000"/>
    <s v="-"/>
    <x v="0"/>
    <x v="0"/>
  </r>
  <r>
    <n v="1168"/>
    <x v="1167"/>
    <s v="-"/>
    <x v="90"/>
    <s v="-"/>
    <x v="1079"/>
    <n v="0"/>
    <x v="0"/>
    <x v="4"/>
    <x v="3"/>
    <x v="84"/>
    <s v="-"/>
    <x v="0"/>
    <x v="1"/>
    <x v="0"/>
    <s v="Leena"/>
    <s v="-"/>
    <s v="-"/>
    <s v="-"/>
    <s v="-"/>
    <s v="-"/>
    <n v="0"/>
    <x v="2"/>
    <n v="2875"/>
    <n v="2500"/>
    <s v="-"/>
    <x v="0"/>
    <x v="0"/>
  </r>
  <r>
    <n v="1169"/>
    <x v="1168"/>
    <s v="-"/>
    <x v="90"/>
    <s v="-"/>
    <x v="1080"/>
    <n v="0"/>
    <x v="0"/>
    <x v="3"/>
    <x v="4"/>
    <x v="288"/>
    <s v="-"/>
    <x v="0"/>
    <x v="1"/>
    <x v="5"/>
    <m/>
    <s v="-"/>
    <s v="-"/>
    <s v="-"/>
    <s v="-"/>
    <s v="-"/>
    <n v="0"/>
    <x v="2"/>
    <n v="2852"/>
    <n v="5000"/>
    <s v="-"/>
    <x v="0"/>
    <x v="0"/>
  </r>
  <r>
    <n v="1170"/>
    <x v="1169"/>
    <s v="-"/>
    <x v="293"/>
    <s v="-"/>
    <x v="1081"/>
    <n v="0"/>
    <x v="0"/>
    <x v="3"/>
    <x v="14"/>
    <x v="205"/>
    <s v="-"/>
    <x v="0"/>
    <x v="1"/>
    <x v="5"/>
    <s v="Madhu"/>
    <s v="-"/>
    <s v="-"/>
    <s v="-"/>
    <s v="-"/>
    <s v="-"/>
    <n v="0"/>
    <x v="2"/>
    <n v="2832"/>
    <n v="4000"/>
    <s v="-"/>
    <x v="0"/>
    <x v="0"/>
  </r>
  <r>
    <n v="1171"/>
    <x v="1170"/>
    <s v="-"/>
    <x v="93"/>
    <s v="-"/>
    <x v="1082"/>
    <n v="0"/>
    <x v="0"/>
    <x v="3"/>
    <x v="14"/>
    <x v="205"/>
    <s v="-"/>
    <x v="0"/>
    <x v="1"/>
    <x v="5"/>
    <s v="Neelima"/>
    <s v="-"/>
    <s v="-"/>
    <s v="-"/>
    <s v="-"/>
    <s v="-"/>
    <n v="0"/>
    <x v="2"/>
    <n v="2878"/>
    <n v="4000"/>
    <s v="-"/>
    <x v="0"/>
    <x v="0"/>
  </r>
  <r>
    <n v="1172"/>
    <x v="1171"/>
    <s v="-"/>
    <x v="294"/>
    <s v="-"/>
    <x v="1083"/>
    <n v="0"/>
    <x v="0"/>
    <x v="3"/>
    <x v="5"/>
    <x v="108"/>
    <s v="-"/>
    <x v="0"/>
    <x v="1"/>
    <x v="0"/>
    <s v="Sowjanya"/>
    <s v="-"/>
    <s v="-"/>
    <s v="-"/>
    <s v="-"/>
    <s v="-"/>
    <n v="0"/>
    <x v="6"/>
    <s v="-"/>
    <n v="0"/>
    <s v="-"/>
    <x v="2"/>
    <x v="0"/>
  </r>
  <r>
    <n v="1173"/>
    <x v="1172"/>
    <s v="-"/>
    <x v="294"/>
    <s v="-"/>
    <x v="1084"/>
    <n v="0"/>
    <x v="0"/>
    <x v="3"/>
    <x v="5"/>
    <x v="107"/>
    <s v="-"/>
    <x v="0"/>
    <x v="1"/>
    <x v="0"/>
    <s v="Usha Latha"/>
    <s v="-"/>
    <s v="-"/>
    <s v="-"/>
    <s v="-"/>
    <s v="-"/>
    <n v="0"/>
    <x v="6"/>
    <s v="-"/>
    <n v="0"/>
    <s v="-"/>
    <x v="2"/>
    <x v="0"/>
  </r>
  <r>
    <n v="1174"/>
    <x v="1173"/>
    <s v="-"/>
    <x v="295"/>
    <s v="-"/>
    <x v="1085"/>
    <n v="0"/>
    <x v="0"/>
    <x v="3"/>
    <x v="5"/>
    <x v="107"/>
    <s v="-"/>
    <x v="0"/>
    <x v="1"/>
    <x v="0"/>
    <s v="Rajeshwari"/>
    <s v="-"/>
    <s v="-"/>
    <s v="-"/>
    <s v="-"/>
    <s v="-"/>
    <n v="0"/>
    <x v="2"/>
    <s v="(2/3/17)"/>
    <n v="7500"/>
    <s v="-"/>
    <x v="0"/>
    <x v="0"/>
  </r>
  <r>
    <n v="1175"/>
    <x v="1174"/>
    <s v="-"/>
    <x v="295"/>
    <s v="-"/>
    <x v="1086"/>
    <n v="0"/>
    <x v="0"/>
    <x v="3"/>
    <x v="5"/>
    <x v="107"/>
    <s v="-"/>
    <x v="0"/>
    <x v="1"/>
    <x v="0"/>
    <s v="Yamini"/>
    <s v="-"/>
    <s v="-"/>
    <s v="-"/>
    <s v="-"/>
    <s v="-"/>
    <n v="0"/>
    <x v="2"/>
    <s v="(2/4/17)"/>
    <n v="2500"/>
    <s v="-"/>
    <x v="0"/>
    <x v="0"/>
  </r>
  <r>
    <n v="1176"/>
    <x v="1175"/>
    <s v="-"/>
    <x v="292"/>
    <s v="-"/>
    <x v="1087"/>
    <n v="0"/>
    <x v="0"/>
    <x v="3"/>
    <x v="5"/>
    <x v="107"/>
    <s v="-"/>
    <x v="0"/>
    <x v="1"/>
    <x v="0"/>
    <s v="B.Shailaja"/>
    <s v="-"/>
    <s v="-"/>
    <s v="-"/>
    <s v="-"/>
    <s v="-"/>
    <n v="0"/>
    <x v="2"/>
    <s v="(2/5/17)"/>
    <n v="5000"/>
    <s v="-"/>
    <x v="0"/>
    <x v="0"/>
  </r>
  <r>
    <n v="1177"/>
    <x v="1176"/>
    <s v="-"/>
    <x v="91"/>
    <s v="-"/>
    <x v="1088"/>
    <n v="0"/>
    <x v="0"/>
    <x v="3"/>
    <x v="5"/>
    <x v="26"/>
    <s v="-"/>
    <x v="0"/>
    <x v="1"/>
    <x v="6"/>
    <s v="N.Shailaja"/>
    <s v="-"/>
    <s v="-"/>
    <s v="-"/>
    <s v="-"/>
    <s v="-"/>
    <n v="0"/>
    <x v="2"/>
    <s v="-"/>
    <n v="0"/>
    <s v="-"/>
    <x v="0"/>
    <x v="0"/>
  </r>
  <r>
    <n v="1178"/>
    <x v="1177"/>
    <s v="-"/>
    <x v="91"/>
    <s v="-"/>
    <x v="1089"/>
    <n v="0"/>
    <x v="0"/>
    <x v="3"/>
    <x v="5"/>
    <x v="245"/>
    <s v="-"/>
    <x v="0"/>
    <x v="1"/>
    <x v="6"/>
    <s v="Sai"/>
    <s v="-"/>
    <s v="-"/>
    <s v="-"/>
    <s v="-"/>
    <s v="-"/>
    <n v="0"/>
    <x v="2"/>
    <s v="-"/>
    <n v="0"/>
    <s v="-"/>
    <x v="0"/>
    <x v="0"/>
  </r>
  <r>
    <n v="1179"/>
    <x v="1178"/>
    <s v="-"/>
    <x v="91"/>
    <s v="-"/>
    <x v="1090"/>
    <n v="0"/>
    <x v="0"/>
    <x v="3"/>
    <x v="5"/>
    <x v="245"/>
    <s v="-"/>
    <x v="0"/>
    <x v="1"/>
    <x v="6"/>
    <m/>
    <s v="-"/>
    <s v="-"/>
    <s v="-"/>
    <s v="-"/>
    <s v="-"/>
    <n v="0"/>
    <x v="6"/>
    <s v="-"/>
    <n v="0"/>
    <s v="-"/>
    <x v="2"/>
    <x v="0"/>
  </r>
  <r>
    <n v="1180"/>
    <x v="1179"/>
    <s v="-"/>
    <x v="296"/>
    <s v="-"/>
    <x v="1091"/>
    <n v="0"/>
    <x v="0"/>
    <x v="3"/>
    <x v="5"/>
    <x v="105"/>
    <s v="-"/>
    <x v="0"/>
    <x v="1"/>
    <x v="6"/>
    <s v="Leena"/>
    <s v="-"/>
    <s v="-"/>
    <s v="-"/>
    <s v="-"/>
    <s v="-"/>
    <n v="0"/>
    <x v="3"/>
    <s v="-"/>
    <n v="0"/>
    <s v="-"/>
    <x v="2"/>
    <x v="0"/>
  </r>
  <r>
    <n v="1181"/>
    <x v="1180"/>
    <s v="-"/>
    <x v="296"/>
    <s v="-"/>
    <x v="1092"/>
    <n v="0"/>
    <x v="0"/>
    <x v="3"/>
    <x v="5"/>
    <x v="105"/>
    <s v="-"/>
    <x v="0"/>
    <x v="1"/>
    <x v="6"/>
    <m/>
    <s v="-"/>
    <s v="-"/>
    <s v="-"/>
    <s v="-"/>
    <s v="-"/>
    <n v="0"/>
    <x v="6"/>
    <s v="-"/>
    <n v="0"/>
    <s v="-"/>
    <x v="2"/>
    <x v="0"/>
  </r>
  <r>
    <n v="1182"/>
    <x v="1181"/>
    <s v="-"/>
    <x v="92"/>
    <s v="-"/>
    <x v="1093"/>
    <n v="0"/>
    <x v="0"/>
    <x v="3"/>
    <x v="5"/>
    <x v="105"/>
    <s v="-"/>
    <x v="0"/>
    <x v="1"/>
    <x v="6"/>
    <s v="Madhu"/>
    <s v="-"/>
    <s v="-"/>
    <s v="-"/>
    <s v="-"/>
    <s v="-"/>
    <n v="0"/>
    <x v="6"/>
    <s v="-"/>
    <n v="0"/>
    <s v="-"/>
    <x v="2"/>
    <x v="0"/>
  </r>
  <r>
    <n v="1183"/>
    <x v="1182"/>
    <s v="-"/>
    <x v="92"/>
    <s v="-"/>
    <x v="1094"/>
    <n v="0"/>
    <x v="0"/>
    <x v="3"/>
    <x v="5"/>
    <x v="105"/>
    <s v="-"/>
    <x v="0"/>
    <x v="1"/>
    <x v="6"/>
    <s v="Neelima"/>
    <s v="-"/>
    <s v="-"/>
    <s v="-"/>
    <s v="-"/>
    <s v="-"/>
    <n v="0"/>
    <x v="6"/>
    <s v="-"/>
    <n v="0"/>
    <s v="-"/>
    <x v="2"/>
    <x v="0"/>
  </r>
  <r>
    <n v="1184"/>
    <x v="1183"/>
    <s v="-"/>
    <x v="92"/>
    <s v="-"/>
    <x v="1093"/>
    <n v="0"/>
    <x v="0"/>
    <x v="3"/>
    <x v="5"/>
    <x v="105"/>
    <s v="-"/>
    <x v="0"/>
    <x v="1"/>
    <x v="6"/>
    <s v="Sowjanya"/>
    <s v="-"/>
    <s v="-"/>
    <s v="-"/>
    <s v="-"/>
    <s v="-"/>
    <n v="0"/>
    <x v="6"/>
    <s v="-"/>
    <n v="0"/>
    <s v="-"/>
    <x v="2"/>
    <x v="0"/>
  </r>
  <r>
    <n v="1185"/>
    <x v="1184"/>
    <s v="-"/>
    <x v="92"/>
    <s v="-"/>
    <x v="1092"/>
    <n v="0"/>
    <x v="0"/>
    <x v="3"/>
    <x v="5"/>
    <x v="105"/>
    <s v="-"/>
    <x v="0"/>
    <x v="1"/>
    <x v="22"/>
    <s v="Usha Latha"/>
    <s v="-"/>
    <s v="-"/>
    <s v="-"/>
    <s v="-"/>
    <s v="-"/>
    <n v="0"/>
    <x v="6"/>
    <s v="-"/>
    <n v="0"/>
    <s v="-"/>
    <x v="2"/>
    <x v="0"/>
  </r>
  <r>
    <n v="1186"/>
    <x v="1185"/>
    <s v="-"/>
    <x v="297"/>
    <s v="-"/>
    <x v="1095"/>
    <n v="0"/>
    <x v="0"/>
    <x v="3"/>
    <x v="13"/>
    <x v="292"/>
    <s v="-"/>
    <x v="0"/>
    <x v="1"/>
    <x v="23"/>
    <s v="Rajeshwari"/>
    <s v="-"/>
    <s v="-"/>
    <s v="-"/>
    <s v="-"/>
    <s v="-"/>
    <n v="0"/>
    <x v="2"/>
    <n v="3823"/>
    <n v="2500"/>
    <s v="-"/>
    <x v="0"/>
    <x v="0"/>
  </r>
  <r>
    <n v="1187"/>
    <x v="1186"/>
    <s v="-"/>
    <x v="298"/>
    <s v="-"/>
    <x v="1096"/>
    <n v="0"/>
    <x v="0"/>
    <x v="5"/>
    <x v="13"/>
    <x v="293"/>
    <s v="-"/>
    <x v="0"/>
    <x v="1"/>
    <x v="23"/>
    <s v="Yamini"/>
    <s v="-"/>
    <s v="-"/>
    <s v="-"/>
    <s v="-"/>
    <s v="-"/>
    <n v="0"/>
    <x v="2"/>
    <n v="3825"/>
    <n v="1700"/>
    <s v="-"/>
    <x v="0"/>
    <x v="0"/>
  </r>
  <r>
    <n v="1188"/>
    <x v="1187"/>
    <s v="-"/>
    <x v="107"/>
    <s v="-"/>
    <x v="1097"/>
    <n v="0"/>
    <x v="0"/>
    <x v="3"/>
    <x v="13"/>
    <x v="294"/>
    <s v="-"/>
    <x v="0"/>
    <x v="1"/>
    <x v="6"/>
    <s v="B.Shailaja"/>
    <s v="-"/>
    <s v="-"/>
    <s v="-"/>
    <s v="-"/>
    <s v="-"/>
    <n v="0"/>
    <x v="2"/>
    <n v="3854"/>
    <n v="1500"/>
    <s v="Staff"/>
    <x v="0"/>
    <x v="0"/>
  </r>
  <r>
    <n v="1189"/>
    <x v="1188"/>
    <s v="-"/>
    <x v="118"/>
    <s v="-"/>
    <x v="1098"/>
    <n v="0"/>
    <x v="0"/>
    <x v="3"/>
    <x v="3"/>
    <x v="8"/>
    <s v="-"/>
    <x v="0"/>
    <x v="1"/>
    <x v="0"/>
    <s v="N.Shailaja"/>
    <s v="-"/>
    <s v="-"/>
    <d v="2017-06-09T00:00:00"/>
    <s v="Bank"/>
    <s v="-"/>
    <n v="10000"/>
    <x v="0"/>
    <n v="3813"/>
    <n v="17000"/>
    <s v="-"/>
    <x v="0"/>
    <x v="0"/>
  </r>
  <r>
    <n v="1190"/>
    <x v="1189"/>
    <s v="-"/>
    <x v="118"/>
    <s v="-"/>
    <x v="1098"/>
    <n v="0"/>
    <x v="0"/>
    <x v="3"/>
    <x v="3"/>
    <x v="8"/>
    <s v="-"/>
    <x v="0"/>
    <x v="1"/>
    <x v="0"/>
    <s v="Sai"/>
    <s v="-"/>
    <s v="-"/>
    <d v="2017-06-09T00:00:00"/>
    <s v="Bank"/>
    <s v="-"/>
    <n v="10000"/>
    <x v="0"/>
    <n v="3813"/>
    <n v="17000"/>
    <s v="-"/>
    <x v="0"/>
    <x v="0"/>
  </r>
  <r>
    <n v="1191"/>
    <x v="1190"/>
    <s v="-"/>
    <x v="118"/>
    <s v="-"/>
    <x v="1098"/>
    <n v="0"/>
    <x v="0"/>
    <x v="3"/>
    <x v="3"/>
    <x v="8"/>
    <s v="-"/>
    <x v="0"/>
    <x v="1"/>
    <x v="0"/>
    <m/>
    <s v="-"/>
    <s v="-"/>
    <d v="2017-06-09T00:00:00"/>
    <s v="Bank"/>
    <s v="-"/>
    <n v="10000"/>
    <x v="0"/>
    <n v="3813"/>
    <n v="16000"/>
    <s v="-"/>
    <x v="0"/>
    <x v="0"/>
  </r>
  <r>
    <n v="1192"/>
    <x v="1191"/>
    <s v="-"/>
    <x v="99"/>
    <s v="-"/>
    <x v="1099"/>
    <n v="0"/>
    <x v="0"/>
    <x v="3"/>
    <x v="3"/>
    <x v="84"/>
    <s v="-"/>
    <x v="0"/>
    <x v="1"/>
    <x v="5"/>
    <s v="Leena"/>
    <s v="-"/>
    <s v="-"/>
    <d v="2017-06-09T00:00:00"/>
    <s v="Bank"/>
    <s v="-"/>
    <n v="10000"/>
    <x v="0"/>
    <n v="3811"/>
    <n v="15000"/>
    <s v="-"/>
    <x v="0"/>
    <x v="0"/>
  </r>
  <r>
    <n v="1193"/>
    <x v="1192"/>
    <s v="-"/>
    <x v="122"/>
    <s v="-"/>
    <x v="1100"/>
    <n v="0"/>
    <x v="0"/>
    <x v="3"/>
    <x v="3"/>
    <x v="84"/>
    <s v="-"/>
    <x v="0"/>
    <x v="1"/>
    <x v="0"/>
    <m/>
    <s v="-"/>
    <s v="-"/>
    <s v="-"/>
    <s v="-"/>
    <s v="-"/>
    <n v="0"/>
    <x v="2"/>
    <n v="3844"/>
    <n v="6000"/>
    <s v="-"/>
    <x v="0"/>
    <x v="0"/>
  </r>
  <r>
    <n v="1194"/>
    <x v="1193"/>
    <s v="-"/>
    <x v="104"/>
    <s v="-"/>
    <x v="1101"/>
    <n v="0"/>
    <x v="0"/>
    <x v="3"/>
    <x v="3"/>
    <x v="84"/>
    <s v="-"/>
    <x v="0"/>
    <x v="1"/>
    <x v="6"/>
    <s v="Madhu"/>
    <s v="-"/>
    <s v="-"/>
    <s v="-"/>
    <s v="-"/>
    <s v="-"/>
    <n v="0"/>
    <x v="2"/>
    <n v="3852"/>
    <n v="5000"/>
    <s v="-"/>
    <x v="0"/>
    <x v="0"/>
  </r>
  <r>
    <n v="1195"/>
    <x v="1194"/>
    <s v="-"/>
    <x v="121"/>
    <s v="-"/>
    <x v="1102"/>
    <n v="0"/>
    <x v="0"/>
    <x v="7"/>
    <x v="3"/>
    <x v="81"/>
    <s v="-"/>
    <x v="0"/>
    <x v="1"/>
    <x v="6"/>
    <s v="Neelima"/>
    <s v="-"/>
    <s v="-"/>
    <s v="-"/>
    <s v="-"/>
    <s v="-"/>
    <n v="0"/>
    <x v="2"/>
    <n v="3874"/>
    <n v="4000"/>
    <s v="-"/>
    <x v="0"/>
    <x v="0"/>
  </r>
  <r>
    <n v="1196"/>
    <x v="1195"/>
    <s v="-"/>
    <x v="105"/>
    <s v="-"/>
    <x v="1103"/>
    <n v="0"/>
    <x v="0"/>
    <x v="3"/>
    <x v="3"/>
    <x v="295"/>
    <s v="-"/>
    <x v="0"/>
    <x v="1"/>
    <x v="23"/>
    <s v="Sowjanya"/>
    <s v="-"/>
    <s v="-"/>
    <s v="-"/>
    <s v="-"/>
    <s v="-"/>
    <n v="0"/>
    <x v="2"/>
    <n v="3851"/>
    <n v="5000"/>
    <s v="-"/>
    <x v="0"/>
    <x v="0"/>
  </r>
  <r>
    <n v="1197"/>
    <x v="1196"/>
    <s v="-"/>
    <x v="299"/>
    <s v="-"/>
    <x v="1104"/>
    <n v="0"/>
    <x v="0"/>
    <x v="3"/>
    <x v="5"/>
    <x v="108"/>
    <s v="-"/>
    <x v="0"/>
    <x v="1"/>
    <x v="6"/>
    <s v="Usha Latha"/>
    <s v="-"/>
    <s v="-"/>
    <s v="-"/>
    <s v="-"/>
    <s v="-"/>
    <n v="0"/>
    <x v="2"/>
    <s v="-"/>
    <n v="0"/>
    <s v="-"/>
    <x v="0"/>
    <x v="0"/>
  </r>
  <r>
    <n v="1198"/>
    <x v="1197"/>
    <s v="-"/>
    <x v="118"/>
    <s v="-"/>
    <x v="1105"/>
    <n v="0"/>
    <x v="0"/>
    <x v="3"/>
    <x v="5"/>
    <x v="107"/>
    <s v="-"/>
    <x v="0"/>
    <x v="1"/>
    <x v="6"/>
    <s v="Rajeshwari"/>
    <s v="-"/>
    <s v="-"/>
    <s v="-"/>
    <s v="-"/>
    <s v="-"/>
    <n v="0"/>
    <x v="6"/>
    <s v="-"/>
    <n v="0"/>
    <s v="-"/>
    <x v="2"/>
    <x v="0"/>
  </r>
  <r>
    <n v="1199"/>
    <x v="1198"/>
    <s v="-"/>
    <x v="101"/>
    <s v="-"/>
    <x v="1106"/>
    <n v="0"/>
    <x v="0"/>
    <x v="3"/>
    <x v="5"/>
    <x v="108"/>
    <s v="-"/>
    <x v="0"/>
    <x v="1"/>
    <x v="6"/>
    <s v="Yamini"/>
    <s v="-"/>
    <s v="-"/>
    <s v="-"/>
    <s v="-"/>
    <s v="-"/>
    <n v="0"/>
    <x v="2"/>
    <s v="AXIS 3/21,22,23/17"/>
    <n v="5000"/>
    <s v="-"/>
    <x v="0"/>
    <x v="0"/>
  </r>
  <r>
    <n v="1200"/>
    <x v="1199"/>
    <s v="-"/>
    <x v="101"/>
    <s v="-"/>
    <x v="1106"/>
    <n v="0"/>
    <x v="0"/>
    <x v="3"/>
    <x v="5"/>
    <x v="108"/>
    <s v="-"/>
    <x v="0"/>
    <x v="1"/>
    <x v="6"/>
    <s v="B.Shailaja"/>
    <s v="-"/>
    <s v="-"/>
    <s v="-"/>
    <s v="-"/>
    <s v="-"/>
    <n v="0"/>
    <x v="2"/>
    <s v="AXIS 3/21,22,23/17"/>
    <n v="8000"/>
    <s v="-"/>
    <x v="0"/>
    <x v="0"/>
  </r>
  <r>
    <n v="1201"/>
    <x v="1200"/>
    <s v="-"/>
    <x v="101"/>
    <s v="-"/>
    <x v="1106"/>
    <n v="0"/>
    <x v="0"/>
    <x v="3"/>
    <x v="5"/>
    <x v="108"/>
    <s v="-"/>
    <x v="0"/>
    <x v="1"/>
    <x v="6"/>
    <s v="N.Shailaja"/>
    <s v="-"/>
    <s v="-"/>
    <s v="-"/>
    <s v="-"/>
    <s v="-"/>
    <n v="0"/>
    <x v="2"/>
    <s v="AXIS 3/21,22,23/17"/>
    <n v="5000"/>
    <s v="-"/>
    <x v="0"/>
    <x v="0"/>
  </r>
  <r>
    <n v="1202"/>
    <x v="1201"/>
    <s v="-"/>
    <x v="109"/>
    <s v="-"/>
    <x v="1107"/>
    <n v="0"/>
    <x v="0"/>
    <x v="3"/>
    <x v="5"/>
    <x v="26"/>
    <s v="-"/>
    <x v="0"/>
    <x v="1"/>
    <x v="0"/>
    <s v="Sai"/>
    <s v="-"/>
    <s v="-"/>
    <s v="-"/>
    <s v="-"/>
    <s v="-"/>
    <n v="0"/>
    <x v="6"/>
    <s v="-"/>
    <n v="0"/>
    <s v="-"/>
    <x v="2"/>
    <x v="0"/>
  </r>
  <r>
    <n v="1203"/>
    <x v="1202"/>
    <s v="-"/>
    <x v="112"/>
    <s v="-"/>
    <x v="1108"/>
    <n v="0"/>
    <x v="0"/>
    <x v="3"/>
    <x v="5"/>
    <x v="26"/>
    <s v="-"/>
    <x v="0"/>
    <x v="1"/>
    <x v="0"/>
    <s v="Rajini"/>
    <s v="-"/>
    <s v="-"/>
    <s v="-"/>
    <s v="-"/>
    <s v="-"/>
    <n v="0"/>
    <x v="2"/>
    <s v="-"/>
    <n v="0"/>
    <s v="-"/>
    <x v="0"/>
    <x v="0"/>
  </r>
  <r>
    <n v="1204"/>
    <x v="1203"/>
    <s v="-"/>
    <x v="71"/>
    <s v="-"/>
    <x v="1109"/>
    <n v="0"/>
    <x v="0"/>
    <x v="3"/>
    <x v="5"/>
    <x v="105"/>
    <s v="-"/>
    <x v="0"/>
    <x v="1"/>
    <x v="24"/>
    <s v="Leena"/>
    <s v="-"/>
    <s v="-"/>
    <d v="2017-05-22T00:00:00"/>
    <s v="Cash"/>
    <s v="-"/>
    <n v="17500"/>
    <x v="0"/>
    <s v="-"/>
    <n v="0"/>
    <s v="-"/>
    <x v="0"/>
    <x v="0"/>
  </r>
  <r>
    <n v="1205"/>
    <x v="1204"/>
    <s v="-"/>
    <x v="71"/>
    <s v="-"/>
    <x v="1110"/>
    <n v="0"/>
    <x v="0"/>
    <x v="3"/>
    <x v="5"/>
    <x v="105"/>
    <s v="-"/>
    <x v="0"/>
    <x v="1"/>
    <x v="25"/>
    <m/>
    <s v="-"/>
    <s v="-"/>
    <d v="2017-05-22T00:00:00"/>
    <s v="Cash"/>
    <s v="-"/>
    <n v="17500"/>
    <x v="0"/>
    <s v="-"/>
    <n v="0"/>
    <s v="-"/>
    <x v="0"/>
    <x v="0"/>
  </r>
  <r>
    <n v="1206"/>
    <x v="1205"/>
    <s v="-"/>
    <x v="64"/>
    <s v="-"/>
    <x v="1111"/>
    <n v="0"/>
    <x v="0"/>
    <x v="3"/>
    <x v="5"/>
    <x v="108"/>
    <s v="-"/>
    <x v="0"/>
    <x v="1"/>
    <x v="6"/>
    <s v="Madhu"/>
    <s v="-"/>
    <s v="-"/>
    <d v="2017-05-03T00:00:00"/>
    <s v="Bank"/>
    <s v="-"/>
    <n v="5000"/>
    <x v="0"/>
    <s v="-"/>
    <n v="0"/>
    <s v="-"/>
    <x v="0"/>
    <x v="0"/>
  </r>
  <r>
    <n v="1207"/>
    <x v="1206"/>
    <s v="-"/>
    <x v="64"/>
    <s v="-"/>
    <x v="1112"/>
    <n v="0"/>
    <x v="0"/>
    <x v="3"/>
    <x v="5"/>
    <x v="108"/>
    <s v="-"/>
    <x v="0"/>
    <x v="1"/>
    <x v="6"/>
    <s v="Neelima"/>
    <s v="-"/>
    <s v="-"/>
    <d v="2017-05-03T00:00:00"/>
    <s v="Bank"/>
    <s v="-"/>
    <n v="5000"/>
    <x v="0"/>
    <s v="-"/>
    <n v="0"/>
    <s v="-"/>
    <x v="0"/>
    <x v="0"/>
  </r>
  <r>
    <n v="1208"/>
    <x v="1207"/>
    <s v="-"/>
    <x v="64"/>
    <s v="-"/>
    <x v="1113"/>
    <n v="0"/>
    <x v="0"/>
    <x v="3"/>
    <x v="5"/>
    <x v="108"/>
    <s v="-"/>
    <x v="0"/>
    <x v="1"/>
    <x v="6"/>
    <s v="Sowjanya"/>
    <s v="-"/>
    <s v="-"/>
    <d v="2017-05-03T00:00:00"/>
    <s v="Bank"/>
    <s v="-"/>
    <n v="5000"/>
    <x v="0"/>
    <s v="-"/>
    <n v="0"/>
    <s v="-"/>
    <x v="0"/>
    <x v="0"/>
  </r>
  <r>
    <n v="1209"/>
    <x v="1208"/>
    <s v="-"/>
    <x v="78"/>
    <s v="-"/>
    <x v="1114"/>
    <n v="0"/>
    <x v="0"/>
    <x v="3"/>
    <x v="5"/>
    <x v="108"/>
    <s v="-"/>
    <x v="0"/>
    <x v="1"/>
    <x v="0"/>
    <s v="Usha Latha"/>
    <s v="-"/>
    <s v="-"/>
    <d v="2017-05-22T00:00:00"/>
    <s v="Bank"/>
    <s v="-"/>
    <n v="2700"/>
    <x v="0"/>
    <s v="-"/>
    <n v="0"/>
    <s v="-"/>
    <x v="0"/>
    <x v="0"/>
  </r>
  <r>
    <n v="1210"/>
    <x v="1209"/>
    <s v="-"/>
    <x v="133"/>
    <s v="-"/>
    <x v="1115"/>
    <n v="0"/>
    <x v="0"/>
    <x v="3"/>
    <x v="5"/>
    <x v="296"/>
    <s v="-"/>
    <x v="0"/>
    <x v="1"/>
    <x v="6"/>
    <s v="Rajeshwari"/>
    <s v="-"/>
    <s v="-"/>
    <d v="2017-05-08T00:00:00"/>
    <s v="Bank"/>
    <s v="-"/>
    <n v="4500"/>
    <x v="0"/>
    <s v="Axis / 02/02/17"/>
    <n v="4000"/>
    <s v="-"/>
    <x v="0"/>
    <x v="0"/>
  </r>
  <r>
    <n v="1211"/>
    <x v="1210"/>
    <s v="-"/>
    <x v="300"/>
    <s v="-"/>
    <x v="1116"/>
    <n v="0"/>
    <x v="0"/>
    <x v="3"/>
    <x v="5"/>
    <x v="107"/>
    <s v="-"/>
    <x v="0"/>
    <x v="1"/>
    <x v="6"/>
    <s v="Yamini"/>
    <s v="-"/>
    <s v="-"/>
    <d v="2017-05-05T00:00:00"/>
    <s v="Bank"/>
    <s v="-"/>
    <n v="9000"/>
    <x v="0"/>
    <s v="-"/>
    <n v="0"/>
    <s v="-"/>
    <x v="0"/>
    <x v="0"/>
  </r>
  <r>
    <n v="1212"/>
    <x v="1211"/>
    <s v="-"/>
    <x v="300"/>
    <s v="-"/>
    <x v="1117"/>
    <n v="0"/>
    <x v="0"/>
    <x v="3"/>
    <x v="5"/>
    <x v="107"/>
    <s v="-"/>
    <x v="0"/>
    <x v="1"/>
    <x v="6"/>
    <s v="B.Shailaja"/>
    <s v="-"/>
    <s v="-"/>
    <d v="2017-05-05T00:00:00"/>
    <s v="Bank"/>
    <s v="-"/>
    <n v="4500"/>
    <x v="0"/>
    <s v="-"/>
    <n v="0"/>
    <s v="-"/>
    <x v="0"/>
    <x v="0"/>
  </r>
  <r>
    <n v="1213"/>
    <x v="1212"/>
    <s v="-"/>
    <x v="300"/>
    <s v="-"/>
    <x v="1118"/>
    <n v="0"/>
    <x v="0"/>
    <x v="3"/>
    <x v="5"/>
    <x v="107"/>
    <s v="-"/>
    <x v="0"/>
    <x v="1"/>
    <x v="6"/>
    <s v="N.Shailaja"/>
    <s v="-"/>
    <s v="-"/>
    <d v="2017-05-05T00:00:00"/>
    <s v="Bank"/>
    <s v="-"/>
    <n v="6750"/>
    <x v="0"/>
    <s v="-"/>
    <n v="0"/>
    <s v="-"/>
    <x v="0"/>
    <x v="0"/>
  </r>
  <r>
    <n v="1214"/>
    <x v="1213"/>
    <s v="-"/>
    <x v="300"/>
    <s v="-"/>
    <x v="1119"/>
    <n v="0"/>
    <x v="0"/>
    <x v="3"/>
    <x v="5"/>
    <x v="107"/>
    <s v="-"/>
    <x v="0"/>
    <x v="1"/>
    <x v="6"/>
    <s v="Sai"/>
    <s v="-"/>
    <s v="-"/>
    <d v="2017-05-05T00:00:00"/>
    <s v="Bank"/>
    <s v="-"/>
    <n v="9000"/>
    <x v="0"/>
    <s v="-"/>
    <n v="0"/>
    <s v="-"/>
    <x v="0"/>
    <x v="0"/>
  </r>
  <r>
    <n v="1215"/>
    <x v="1214"/>
    <s v="-"/>
    <x v="129"/>
    <s v="-"/>
    <x v="1120"/>
    <n v="0"/>
    <x v="0"/>
    <x v="3"/>
    <x v="5"/>
    <x v="26"/>
    <s v="-"/>
    <x v="0"/>
    <x v="1"/>
    <x v="5"/>
    <s v="Rajini"/>
    <s v="-"/>
    <s v="-"/>
    <d v="2017-05-18T00:00:00"/>
    <s v="Bank"/>
    <s v="-"/>
    <n v="9000"/>
    <x v="0"/>
    <s v="-"/>
    <n v="0"/>
    <s v="-"/>
    <x v="0"/>
    <x v="0"/>
  </r>
  <r>
    <n v="1216"/>
    <x v="1215"/>
    <s v="-"/>
    <x v="118"/>
    <s v="-"/>
    <x v="1121"/>
    <n v="0"/>
    <x v="0"/>
    <x v="2"/>
    <x v="5"/>
    <x v="108"/>
    <s v="-"/>
    <x v="0"/>
    <x v="1"/>
    <x v="6"/>
    <s v="Leena"/>
    <s v="-"/>
    <s v="-"/>
    <d v="2017-05-05T00:00:00"/>
    <s v="Bank"/>
    <s v="-"/>
    <n v="4500"/>
    <x v="0"/>
    <s v="-"/>
    <n v="0"/>
    <s v="-"/>
    <x v="0"/>
    <x v="0"/>
  </r>
  <r>
    <n v="1217"/>
    <x v="1216"/>
    <s v="-"/>
    <x v="118"/>
    <s v="-"/>
    <x v="1122"/>
    <n v="0"/>
    <x v="0"/>
    <x v="3"/>
    <x v="5"/>
    <x v="108"/>
    <s v="-"/>
    <x v="0"/>
    <x v="1"/>
    <x v="6"/>
    <m/>
    <s v="-"/>
    <s v="-"/>
    <d v="2017-05-05T00:00:00"/>
    <s v="Bank"/>
    <s v="-"/>
    <n v="9000"/>
    <x v="0"/>
    <s v="-"/>
    <n v="0"/>
    <s v="-"/>
    <x v="0"/>
    <x v="0"/>
  </r>
  <r>
    <n v="1218"/>
    <x v="1217"/>
    <s v="-"/>
    <x v="118"/>
    <s v="-"/>
    <x v="1123"/>
    <n v="0"/>
    <x v="0"/>
    <x v="3"/>
    <x v="5"/>
    <x v="108"/>
    <s v="-"/>
    <x v="0"/>
    <x v="1"/>
    <x v="6"/>
    <s v="Madhu"/>
    <s v="-"/>
    <s v="-"/>
    <d v="2017-05-05T00:00:00"/>
    <s v="Bank"/>
    <s v="-"/>
    <n v="4500"/>
    <x v="0"/>
    <s v="-"/>
    <n v="0"/>
    <s v="-"/>
    <x v="0"/>
    <x v="0"/>
  </r>
  <r>
    <n v="1219"/>
    <x v="1218"/>
    <s v="-"/>
    <x v="118"/>
    <s v="-"/>
    <x v="1122"/>
    <n v="0"/>
    <x v="0"/>
    <x v="3"/>
    <x v="5"/>
    <x v="108"/>
    <s v="-"/>
    <x v="0"/>
    <x v="1"/>
    <x v="6"/>
    <s v="Neelima"/>
    <s v="-"/>
    <s v="-"/>
    <d v="2017-05-05T00:00:00"/>
    <s v="Bank"/>
    <s v="-"/>
    <n v="7200"/>
    <x v="0"/>
    <s v="-"/>
    <n v="0"/>
    <s v="-"/>
    <x v="0"/>
    <x v="0"/>
  </r>
  <r>
    <n v="1220"/>
    <x v="1219"/>
    <s v="-"/>
    <x v="118"/>
    <s v="-"/>
    <x v="1124"/>
    <n v="0"/>
    <x v="0"/>
    <x v="3"/>
    <x v="5"/>
    <x v="108"/>
    <s v="-"/>
    <x v="0"/>
    <x v="1"/>
    <x v="6"/>
    <s v="Neelima"/>
    <s v="-"/>
    <s v="-"/>
    <d v="2017-05-05T00:00:00"/>
    <s v="Bank"/>
    <s v="-"/>
    <n v="4500"/>
    <x v="0"/>
    <s v="-"/>
    <n v="0"/>
    <s v="-"/>
    <x v="0"/>
    <x v="0"/>
  </r>
  <r>
    <n v="1221"/>
    <x v="1220"/>
    <s v="-"/>
    <x v="98"/>
    <s v="-"/>
    <x v="1125"/>
    <n v="0"/>
    <x v="0"/>
    <x v="3"/>
    <x v="5"/>
    <x v="26"/>
    <s v="-"/>
    <x v="0"/>
    <x v="1"/>
    <x v="5"/>
    <s v="Sowjanya"/>
    <s v="-"/>
    <s v="-"/>
    <d v="2017-05-04T00:00:00"/>
    <s v="Bank"/>
    <s v="-"/>
    <n v="6000"/>
    <x v="0"/>
    <s v="AXIS 3/17/17"/>
    <n v="10000"/>
    <s v="-"/>
    <x v="0"/>
    <x v="0"/>
  </r>
  <r>
    <n v="1222"/>
    <x v="1221"/>
    <s v="-"/>
    <x v="301"/>
    <s v="-"/>
    <x v="1126"/>
    <n v="0"/>
    <x v="0"/>
    <x v="3"/>
    <x v="5"/>
    <x v="108"/>
    <s v="-"/>
    <x v="0"/>
    <x v="1"/>
    <x v="0"/>
    <s v="Usha Latha"/>
    <s v="-"/>
    <s v="-"/>
    <d v="2017-05-04T00:00:00"/>
    <s v="Bank"/>
    <s v="-"/>
    <n v="4500"/>
    <x v="0"/>
    <s v="-"/>
    <n v="0"/>
    <s v="-"/>
    <x v="0"/>
    <x v="0"/>
  </r>
  <r>
    <n v="1223"/>
    <x v="1222"/>
    <s v="-"/>
    <x v="301"/>
    <s v="-"/>
    <x v="1127"/>
    <n v="0"/>
    <x v="0"/>
    <x v="3"/>
    <x v="5"/>
    <x v="108"/>
    <s v="-"/>
    <x v="0"/>
    <x v="1"/>
    <x v="0"/>
    <s v="Rajeshwari"/>
    <s v="-"/>
    <s v="-"/>
    <d v="2017-05-04T00:00:00"/>
    <s v="Bank"/>
    <s v="-"/>
    <n v="1500"/>
    <x v="2"/>
    <s v="-"/>
    <n v="0"/>
    <s v="-"/>
    <x v="0"/>
    <x v="0"/>
  </r>
  <r>
    <n v="1224"/>
    <x v="1223"/>
    <s v="-"/>
    <x v="298"/>
    <s v="-"/>
    <x v="1128"/>
    <n v="0"/>
    <x v="0"/>
    <x v="3"/>
    <x v="5"/>
    <x v="108"/>
    <s v="-"/>
    <x v="0"/>
    <x v="1"/>
    <x v="0"/>
    <s v="Yamini"/>
    <s v="-"/>
    <s v="-"/>
    <d v="2017-05-05T00:00:00"/>
    <s v="Bank"/>
    <s v="-"/>
    <n v="4500"/>
    <x v="0"/>
    <s v="AXIS 3/20/17"/>
    <n v="5000"/>
    <s v="-"/>
    <x v="0"/>
    <x v="0"/>
  </r>
  <r>
    <n v="1225"/>
    <x v="1224"/>
    <s v="-"/>
    <x v="302"/>
    <s v="-"/>
    <x v="1129"/>
    <n v="0"/>
    <x v="0"/>
    <x v="3"/>
    <x v="5"/>
    <x v="108"/>
    <s v="-"/>
    <x v="0"/>
    <x v="1"/>
    <x v="0"/>
    <s v="B.Shailaja"/>
    <s v="-"/>
    <s v="-"/>
    <d v="2017-05-09T00:00:00"/>
    <s v="Bank"/>
    <s v="-"/>
    <n v="4500"/>
    <x v="0"/>
    <s v="-"/>
    <n v="0"/>
    <s v="-"/>
    <x v="0"/>
    <x v="0"/>
  </r>
  <r>
    <n v="1226"/>
    <x v="1225"/>
    <s v="-"/>
    <x v="302"/>
    <s v="-"/>
    <x v="1130"/>
    <n v="0"/>
    <x v="0"/>
    <x v="3"/>
    <x v="5"/>
    <x v="108"/>
    <s v="-"/>
    <x v="0"/>
    <x v="1"/>
    <x v="6"/>
    <s v="N.Shailaja"/>
    <s v="-"/>
    <s v="-"/>
    <d v="2017-05-09T00:00:00"/>
    <s v="Bank"/>
    <s v="-"/>
    <n v="4500"/>
    <x v="0"/>
    <s v="-"/>
    <n v="0"/>
    <s v="-"/>
    <x v="0"/>
    <x v="0"/>
  </r>
  <r>
    <n v="1227"/>
    <x v="1226"/>
    <s v="-"/>
    <x v="302"/>
    <s v="-"/>
    <x v="1131"/>
    <n v="0"/>
    <x v="0"/>
    <x v="3"/>
    <x v="5"/>
    <x v="108"/>
    <s v="-"/>
    <x v="0"/>
    <x v="1"/>
    <x v="6"/>
    <s v="Sai"/>
    <s v="-"/>
    <s v="-"/>
    <d v="2017-05-05T00:00:00"/>
    <s v="Bank"/>
    <s v="-"/>
    <n v="2250"/>
    <x v="0"/>
    <s v="-"/>
    <n v="0"/>
    <s v="-"/>
    <x v="0"/>
    <x v="0"/>
  </r>
  <r>
    <n v="1228"/>
    <x v="1227"/>
    <s v="-"/>
    <x v="302"/>
    <s v="-"/>
    <x v="1132"/>
    <n v="0"/>
    <x v="0"/>
    <x v="3"/>
    <x v="5"/>
    <x v="108"/>
    <s v="-"/>
    <x v="0"/>
    <x v="1"/>
    <x v="6"/>
    <s v="Rajini"/>
    <s v="-"/>
    <s v="-"/>
    <d v="2017-05-05T00:00:00"/>
    <s v="Bank"/>
    <s v="-"/>
    <n v="2250"/>
    <x v="0"/>
    <s v="-"/>
    <n v="0"/>
    <s v="-"/>
    <x v="0"/>
    <x v="0"/>
  </r>
  <r>
    <n v="1229"/>
    <x v="1228"/>
    <s v="-"/>
    <x v="302"/>
    <s v="-"/>
    <x v="1132"/>
    <n v="0"/>
    <x v="0"/>
    <x v="3"/>
    <x v="5"/>
    <x v="108"/>
    <s v="-"/>
    <x v="0"/>
    <x v="1"/>
    <x v="6"/>
    <s v="Leena"/>
    <s v="-"/>
    <s v="-"/>
    <d v="2017-05-05T00:00:00"/>
    <s v="Bank"/>
    <s v="-"/>
    <n v="2250"/>
    <x v="0"/>
    <s v="-"/>
    <n v="0"/>
    <s v="-"/>
    <x v="0"/>
    <x v="0"/>
  </r>
  <r>
    <n v="1230"/>
    <x v="1229"/>
    <s v="-"/>
    <x v="106"/>
    <s v="-"/>
    <x v="1130"/>
    <n v="0"/>
    <x v="0"/>
    <x v="3"/>
    <x v="5"/>
    <x v="108"/>
    <s v="-"/>
    <x v="0"/>
    <x v="1"/>
    <x v="23"/>
    <m/>
    <s v="-"/>
    <s v="-"/>
    <d v="2017-05-09T00:00:00"/>
    <s v="Bank"/>
    <s v="-"/>
    <n v="4500"/>
    <x v="0"/>
    <s v="-"/>
    <n v="0"/>
    <s v="-"/>
    <x v="0"/>
    <x v="0"/>
  </r>
  <r>
    <n v="1231"/>
    <x v="1230"/>
    <s v="-"/>
    <x v="109"/>
    <s v="-"/>
    <x v="1133"/>
    <n v="0"/>
    <x v="0"/>
    <x v="3"/>
    <x v="5"/>
    <x v="108"/>
    <s v="-"/>
    <x v="0"/>
    <x v="1"/>
    <x v="0"/>
    <s v="Madhu"/>
    <s v="-"/>
    <s v="-"/>
    <d v="2017-05-09T00:00:00"/>
    <s v="Bank"/>
    <s v="-"/>
    <n v="9000"/>
    <x v="0"/>
    <s v="-"/>
    <n v="0"/>
    <s v="-"/>
    <x v="0"/>
    <x v="0"/>
  </r>
  <r>
    <n v="1232"/>
    <x v="1231"/>
    <s v="-"/>
    <x v="32"/>
    <s v="-"/>
    <x v="1134"/>
    <n v="49521000"/>
    <x v="0"/>
    <x v="3"/>
    <x v="7"/>
    <x v="297"/>
    <s v="-"/>
    <x v="0"/>
    <x v="2"/>
    <x v="13"/>
    <s v="Neelima"/>
    <s v="-"/>
    <s v="-"/>
    <d v="2017-05-18T00:00:00"/>
    <s v="Cash"/>
    <s v="-"/>
    <n v="15000"/>
    <x v="0"/>
    <s v="-"/>
    <n v="0"/>
    <s v="-"/>
    <x v="0"/>
    <x v="0"/>
  </r>
  <r>
    <n v="1233"/>
    <x v="1232"/>
    <s v="-"/>
    <x v="71"/>
    <s v="-"/>
    <x v="1135"/>
    <n v="2158000"/>
    <x v="0"/>
    <x v="5"/>
    <x v="7"/>
    <x v="139"/>
    <s v="-"/>
    <x v="1"/>
    <x v="2"/>
    <x v="13"/>
    <s v="Sowjanya"/>
    <s v="-"/>
    <s v="-"/>
    <d v="2017-05-24T00:00:00"/>
    <s v="Bank"/>
    <s v="-"/>
    <n v="2000"/>
    <x v="0"/>
    <s v="-"/>
    <n v="0"/>
    <s v="-"/>
    <x v="0"/>
    <x v="0"/>
  </r>
  <r>
    <n v="1234"/>
    <x v="1233"/>
    <s v="-"/>
    <x v="36"/>
    <s v="-"/>
    <x v="1136"/>
    <n v="2773000"/>
    <x v="0"/>
    <x v="5"/>
    <x v="7"/>
    <x v="139"/>
    <s v="-"/>
    <x v="1"/>
    <x v="2"/>
    <x v="13"/>
    <s v="Usha Latha"/>
    <s v="-"/>
    <s v="-"/>
    <d v="2017-05-30T00:00:00"/>
    <s v="Bank"/>
    <s v="-"/>
    <n v="2500"/>
    <x v="0"/>
    <s v="-"/>
    <n v="0"/>
    <s v="-"/>
    <x v="0"/>
    <x v="0"/>
  </r>
  <r>
    <n v="1235"/>
    <x v="1234"/>
    <s v="-"/>
    <x v="36"/>
    <s v="-"/>
    <x v="1137"/>
    <n v="1868000"/>
    <x v="0"/>
    <x v="5"/>
    <x v="7"/>
    <x v="139"/>
    <s v="-"/>
    <x v="1"/>
    <x v="2"/>
    <x v="13"/>
    <s v="Rajeshwari"/>
    <s v="-"/>
    <s v="-"/>
    <d v="2017-05-30T00:00:00"/>
    <s v="Bank"/>
    <s v="-"/>
    <n v="2500"/>
    <x v="0"/>
    <s v="-"/>
    <n v="0"/>
    <s v="-"/>
    <x v="0"/>
    <x v="0"/>
  </r>
  <r>
    <n v="1236"/>
    <x v="1235"/>
    <s v="-"/>
    <x v="38"/>
    <s v="-"/>
    <x v="1138"/>
    <n v="8265000"/>
    <x v="0"/>
    <x v="5"/>
    <x v="7"/>
    <x v="139"/>
    <s v="-"/>
    <x v="1"/>
    <x v="2"/>
    <x v="14"/>
    <s v="Yamini"/>
    <s v="-"/>
    <s v="-"/>
    <d v="2017-05-30T00:00:00"/>
    <s v="Bank"/>
    <s v="-"/>
    <n v="2500"/>
    <x v="0"/>
    <s v="-"/>
    <n v="0"/>
    <s v="-"/>
    <x v="0"/>
    <x v="0"/>
  </r>
  <r>
    <n v="1237"/>
    <x v="1236"/>
    <s v="-"/>
    <x v="40"/>
    <s v="-"/>
    <x v="1139"/>
    <n v="0"/>
    <x v="0"/>
    <x v="5"/>
    <x v="7"/>
    <x v="139"/>
    <s v="-"/>
    <x v="1"/>
    <x v="2"/>
    <x v="15"/>
    <s v="B.Shailaja"/>
    <s v="-"/>
    <s v="-"/>
    <d v="2017-05-30T00:00:00"/>
    <s v="Bank"/>
    <s v="-"/>
    <n v="2500"/>
    <x v="0"/>
    <s v="-"/>
    <n v="0"/>
    <s v="-"/>
    <x v="0"/>
    <x v="0"/>
  </r>
  <r>
    <n v="1238"/>
    <x v="1237"/>
    <s v="-"/>
    <x v="20"/>
    <s v="-"/>
    <x v="334"/>
    <n v="0"/>
    <x v="0"/>
    <x v="3"/>
    <x v="7"/>
    <x v="23"/>
    <s v="-"/>
    <x v="0"/>
    <x v="2"/>
    <x v="15"/>
    <s v="N.Shailaja"/>
    <s v="-"/>
    <s v="-"/>
    <d v="2017-05-09T00:00:00"/>
    <s v="Cash"/>
    <s v="-"/>
    <n v="10000"/>
    <x v="0"/>
    <s v="-"/>
    <n v="0"/>
    <s v="-"/>
    <x v="0"/>
    <x v="0"/>
  </r>
  <r>
    <n v="1239"/>
    <x v="1238"/>
    <s v="-"/>
    <x v="21"/>
    <s v="-"/>
    <x v="1140"/>
    <n v="0"/>
    <x v="0"/>
    <x v="5"/>
    <x v="7"/>
    <x v="127"/>
    <s v="-"/>
    <x v="0"/>
    <x v="2"/>
    <x v="13"/>
    <s v="Sai"/>
    <s v="-"/>
    <s v="-"/>
    <d v="2017-05-06T00:00:00"/>
    <s v="Cash"/>
    <s v="-"/>
    <n v="2500"/>
    <x v="0"/>
    <s v="-"/>
    <n v="0"/>
    <s v="-"/>
    <x v="0"/>
    <x v="0"/>
  </r>
  <r>
    <n v="1240"/>
    <x v="1239"/>
    <s v="-"/>
    <x v="26"/>
    <s v="-"/>
    <x v="1141"/>
    <n v="7293000"/>
    <x v="0"/>
    <x v="24"/>
    <x v="11"/>
    <x v="155"/>
    <s v="-"/>
    <x v="0"/>
    <x v="3"/>
    <x v="10"/>
    <s v="Rajini"/>
    <s v="-"/>
    <s v="-"/>
    <d v="2017-05-17T00:00:00"/>
    <s v="Cash"/>
    <s v="-"/>
    <n v="8000"/>
    <x v="0"/>
    <s v="-"/>
    <n v="0"/>
    <s v="-"/>
    <x v="0"/>
    <x v="0"/>
  </r>
  <r>
    <n v="1241"/>
    <x v="1240"/>
    <s v="-"/>
    <x v="65"/>
    <s v="-"/>
    <x v="1142"/>
    <n v="16060000"/>
    <x v="0"/>
    <x v="3"/>
    <x v="11"/>
    <x v="155"/>
    <s v="-"/>
    <x v="0"/>
    <x v="3"/>
    <x v="1"/>
    <s v="Leena"/>
    <s v="-"/>
    <s v="-"/>
    <d v="2017-05-22T00:00:00"/>
    <s v="Bank"/>
    <s v="-"/>
    <n v="11020"/>
    <x v="0"/>
    <s v="-"/>
    <n v="0"/>
    <s v="-"/>
    <x v="0"/>
    <x v="0"/>
  </r>
  <r>
    <n v="1242"/>
    <x v="1241"/>
    <s v="-"/>
    <x v="14"/>
    <s v="-"/>
    <x v="1143"/>
    <n v="0"/>
    <x v="0"/>
    <x v="3"/>
    <x v="11"/>
    <x v="155"/>
    <s v="-"/>
    <x v="0"/>
    <x v="3"/>
    <x v="10"/>
    <m/>
    <s v="-"/>
    <s v="-"/>
    <d v="2017-05-22T00:00:00"/>
    <s v="Bank"/>
    <s v="-"/>
    <n v="13500"/>
    <x v="0"/>
    <s v="-"/>
    <n v="0"/>
    <s v="-"/>
    <x v="0"/>
    <x v="0"/>
  </r>
  <r>
    <n v="1243"/>
    <x v="1242"/>
    <s v="-"/>
    <x v="15"/>
    <s v="-"/>
    <x v="1144"/>
    <n v="0"/>
    <x v="0"/>
    <x v="5"/>
    <x v="11"/>
    <x v="240"/>
    <s v="-"/>
    <x v="0"/>
    <x v="3"/>
    <x v="18"/>
    <s v="Madhu"/>
    <s v="-"/>
    <s v="-"/>
    <d v="2017-05-31T00:00:00"/>
    <s v="Bank"/>
    <s v="-"/>
    <n v="4500"/>
    <x v="0"/>
    <s v="-"/>
    <n v="0"/>
    <s v="-"/>
    <x v="0"/>
    <x v="0"/>
  </r>
  <r>
    <n v="1244"/>
    <x v="1243"/>
    <s v="-"/>
    <x v="15"/>
    <s v="-"/>
    <x v="1145"/>
    <n v="0"/>
    <x v="0"/>
    <x v="5"/>
    <x v="11"/>
    <x v="240"/>
    <s v="-"/>
    <x v="0"/>
    <x v="3"/>
    <x v="18"/>
    <s v="Neelima"/>
    <s v="-"/>
    <s v="-"/>
    <d v="2017-05-15T00:00:00"/>
    <s v="Bank"/>
    <s v="-"/>
    <n v="4500"/>
    <x v="0"/>
    <s v="-"/>
    <n v="0"/>
    <s v="-"/>
    <x v="0"/>
    <x v="0"/>
  </r>
  <r>
    <n v="1245"/>
    <x v="1244"/>
    <s v="-"/>
    <x v="113"/>
    <s v="-"/>
    <x v="1146"/>
    <n v="0"/>
    <x v="0"/>
    <x v="5"/>
    <x v="11"/>
    <x v="240"/>
    <s v="-"/>
    <x v="0"/>
    <x v="3"/>
    <x v="18"/>
    <s v="Sowjanya"/>
    <s v="-"/>
    <s v="-"/>
    <d v="2017-05-15T00:00:00"/>
    <s v="Bank"/>
    <s v="-"/>
    <n v="4500"/>
    <x v="0"/>
    <s v="-"/>
    <n v="0"/>
    <s v="-"/>
    <x v="0"/>
    <x v="0"/>
  </r>
  <r>
    <n v="1246"/>
    <x v="1245"/>
    <s v="-"/>
    <x v="114"/>
    <s v="-"/>
    <x v="1147"/>
    <n v="0"/>
    <x v="0"/>
    <x v="24"/>
    <x v="11"/>
    <x v="155"/>
    <s v="-"/>
    <x v="0"/>
    <x v="3"/>
    <x v="18"/>
    <s v="Usha Latha"/>
    <s v="-"/>
    <s v="-"/>
    <d v="2017-05-22T00:00:00"/>
    <s v="Bank"/>
    <s v="-"/>
    <n v="15300"/>
    <x v="0"/>
    <s v="-"/>
    <n v="0"/>
    <s v="-"/>
    <x v="0"/>
    <x v="0"/>
  </r>
  <r>
    <n v="1247"/>
    <x v="1246"/>
    <s v="-"/>
    <x v="22"/>
    <s v="-"/>
    <x v="1148"/>
    <n v="0"/>
    <x v="0"/>
    <x v="24"/>
    <x v="11"/>
    <x v="155"/>
    <s v="-"/>
    <x v="0"/>
    <x v="3"/>
    <x v="10"/>
    <s v="Rajeshwari"/>
    <s v="-"/>
    <s v="-"/>
    <d v="2017-05-03T00:00:00"/>
    <s v="Cash"/>
    <s v="-"/>
    <n v="5000"/>
    <x v="0"/>
    <s v="-"/>
    <n v="0"/>
    <s v="-"/>
    <x v="0"/>
    <x v="0"/>
  </r>
  <r>
    <n v="1248"/>
    <x v="1247"/>
    <s v="-"/>
    <x v="28"/>
    <s v="-"/>
    <x v="1149"/>
    <n v="2908000"/>
    <x v="0"/>
    <x v="0"/>
    <x v="12"/>
    <x v="21"/>
    <s v="-"/>
    <x v="0"/>
    <x v="3"/>
    <x v="1"/>
    <s v="Yamini"/>
    <s v="-"/>
    <s v="-"/>
    <d v="2017-05-13T00:00:00"/>
    <s v="Cash"/>
    <s v="-"/>
    <n v="2500"/>
    <x v="0"/>
    <s v="-"/>
    <n v="0"/>
    <s v="-"/>
    <x v="0"/>
    <x v="0"/>
  </r>
  <r>
    <n v="1249"/>
    <x v="1248"/>
    <s v="-"/>
    <x v="32"/>
    <s v="-"/>
    <x v="1150"/>
    <n v="2346000"/>
    <x v="0"/>
    <x v="3"/>
    <x v="12"/>
    <x v="26"/>
    <s v="-"/>
    <x v="0"/>
    <x v="3"/>
    <x v="1"/>
    <s v="B.Shailaja"/>
    <s v="-"/>
    <s v="-"/>
    <d v="2017-05-25T00:00:00"/>
    <s v="Bank"/>
    <s v="-"/>
    <n v="3125"/>
    <x v="0"/>
    <s v="-"/>
    <n v="0"/>
    <s v="-"/>
    <x v="0"/>
    <x v="0"/>
  </r>
  <r>
    <n v="1250"/>
    <x v="1249"/>
    <s v="-"/>
    <x v="33"/>
    <s v="-"/>
    <x v="1151"/>
    <n v="1625000"/>
    <x v="0"/>
    <x v="5"/>
    <x v="12"/>
    <x v="21"/>
    <s v="-"/>
    <x v="0"/>
    <x v="3"/>
    <x v="10"/>
    <s v="N.Shailaja"/>
    <s v="-"/>
    <s v="-"/>
    <d v="2017-05-17T00:00:00"/>
    <s v="Cash"/>
    <s v="-"/>
    <n v="3000"/>
    <x v="0"/>
    <s v="-"/>
    <n v="0"/>
    <s v="-"/>
    <x v="0"/>
    <x v="0"/>
  </r>
  <r>
    <n v="1251"/>
    <x v="1250"/>
    <s v="-"/>
    <x v="115"/>
    <s v="-"/>
    <x v="1152"/>
    <n v="0"/>
    <x v="0"/>
    <x v="10"/>
    <x v="12"/>
    <x v="298"/>
    <s v="-"/>
    <x v="0"/>
    <x v="3"/>
    <x v="0"/>
    <s v="Sai"/>
    <s v="-"/>
    <s v="-"/>
    <d v="2017-05-19T00:00:00"/>
    <s v="Bank"/>
    <s v="-"/>
    <n v="1000"/>
    <x v="0"/>
    <s v="-"/>
    <n v="0"/>
    <s v="-"/>
    <x v="0"/>
    <x v="0"/>
  </r>
  <r>
    <n v="1252"/>
    <x v="1251"/>
    <s v="-"/>
    <x v="35"/>
    <s v="-"/>
    <x v="1153"/>
    <n v="4440000"/>
    <x v="0"/>
    <x v="2"/>
    <x v="12"/>
    <x v="25"/>
    <s v="-"/>
    <x v="0"/>
    <x v="3"/>
    <x v="10"/>
    <s v="Rajini"/>
    <s v="-"/>
    <s v="-"/>
    <d v="2017-05-22T00:00:00"/>
    <s v="Bank"/>
    <s v="-"/>
    <n v="3200"/>
    <x v="0"/>
    <s v="-"/>
    <n v="0"/>
    <s v="-"/>
    <x v="0"/>
    <x v="0"/>
  </r>
  <r>
    <n v="1253"/>
    <x v="1252"/>
    <s v="-"/>
    <x v="67"/>
    <s v="-"/>
    <x v="1154"/>
    <n v="7500000"/>
    <x v="0"/>
    <x v="2"/>
    <x v="12"/>
    <x v="50"/>
    <s v="-"/>
    <x v="0"/>
    <x v="3"/>
    <x v="1"/>
    <s v="Leena"/>
    <s v="-"/>
    <s v="-"/>
    <d v="2017-05-22T00:00:00"/>
    <s v="Bank"/>
    <s v="-"/>
    <n v="4625"/>
    <x v="0"/>
    <s v="-"/>
    <n v="0"/>
    <s v="-"/>
    <x v="0"/>
    <x v="0"/>
  </r>
  <r>
    <n v="1254"/>
    <x v="1253"/>
    <s v="-"/>
    <x v="38"/>
    <s v="-"/>
    <x v="1155"/>
    <n v="7213000"/>
    <x v="0"/>
    <x v="5"/>
    <x v="12"/>
    <x v="21"/>
    <s v="-"/>
    <x v="0"/>
    <x v="3"/>
    <x v="1"/>
    <m/>
    <s v="-"/>
    <s v="-"/>
    <d v="2017-05-30T00:00:00"/>
    <s v="Cash"/>
    <s v="-"/>
    <n v="4500"/>
    <x v="0"/>
    <s v="-"/>
    <n v="0"/>
    <s v="-"/>
    <x v="0"/>
    <x v="0"/>
  </r>
  <r>
    <n v="1255"/>
    <x v="1254"/>
    <s v="-"/>
    <x v="38"/>
    <s v="-"/>
    <x v="1156"/>
    <n v="9333000"/>
    <x v="0"/>
    <x v="3"/>
    <x v="12"/>
    <x v="21"/>
    <s v="-"/>
    <x v="0"/>
    <x v="3"/>
    <x v="10"/>
    <s v="Madhu"/>
    <s v="-"/>
    <s v="-"/>
    <d v="2017-05-27T00:00:00"/>
    <s v="Bank"/>
    <s v="-"/>
    <n v="3000"/>
    <x v="0"/>
    <s v="-"/>
    <n v="0"/>
    <s v="-"/>
    <x v="0"/>
    <x v="0"/>
  </r>
  <r>
    <n v="1256"/>
    <x v="1255"/>
    <s v="-"/>
    <x v="40"/>
    <s v="-"/>
    <x v="1157"/>
    <n v="0"/>
    <x v="0"/>
    <x v="2"/>
    <x v="12"/>
    <x v="299"/>
    <s v="-"/>
    <x v="0"/>
    <x v="3"/>
    <x v="0"/>
    <s v="Neelima"/>
    <s v="-"/>
    <s v="-"/>
    <d v="2017-05-27T00:00:00"/>
    <s v="Bank"/>
    <s v="-"/>
    <n v="6500"/>
    <x v="0"/>
    <s v="-"/>
    <n v="0"/>
    <s v="-"/>
    <x v="0"/>
    <x v="0"/>
  </r>
  <r>
    <n v="1257"/>
    <x v="1256"/>
    <s v="-"/>
    <x v="268"/>
    <s v="-"/>
    <x v="1158"/>
    <n v="0"/>
    <x v="0"/>
    <x v="3"/>
    <x v="12"/>
    <x v="254"/>
    <s v="-"/>
    <x v="0"/>
    <x v="3"/>
    <x v="10"/>
    <s v="Sowjanya"/>
    <s v="-"/>
    <s v="-"/>
    <d v="2017-05-29T00:00:00"/>
    <s v="Bank"/>
    <s v="-"/>
    <n v="3000"/>
    <x v="0"/>
    <s v="-"/>
    <n v="0"/>
    <s v="-"/>
    <x v="0"/>
    <x v="0"/>
  </r>
  <r>
    <n v="1258"/>
    <x v="1257"/>
    <s v="-"/>
    <x v="132"/>
    <s v="-"/>
    <x v="1159"/>
    <n v="0"/>
    <x v="0"/>
    <x v="4"/>
    <x v="12"/>
    <x v="130"/>
    <s v="-"/>
    <x v="0"/>
    <x v="3"/>
    <x v="10"/>
    <s v="Usha Latha"/>
    <s v="-"/>
    <s v="-"/>
    <d v="2017-05-30T00:00:00"/>
    <s v="Bank"/>
    <s v="-"/>
    <n v="6000"/>
    <x v="0"/>
    <s v="-"/>
    <n v="0"/>
    <s v="-"/>
    <x v="0"/>
    <x v="0"/>
  </r>
  <r>
    <n v="1259"/>
    <x v="1258"/>
    <s v="-"/>
    <x v="128"/>
    <s v="-"/>
    <x v="1160"/>
    <n v="0"/>
    <x v="0"/>
    <x v="3"/>
    <x v="12"/>
    <x v="300"/>
    <s v="-"/>
    <x v="0"/>
    <x v="3"/>
    <x v="10"/>
    <s v="Rajeshwari"/>
    <s v="-"/>
    <s v="-"/>
    <d v="2017-05-25T00:00:00"/>
    <s v="Bank"/>
    <s v="-"/>
    <n v="5000"/>
    <x v="0"/>
    <s v="-"/>
    <n v="0"/>
    <s v="-"/>
    <x v="0"/>
    <x v="0"/>
  </r>
  <r>
    <n v="1260"/>
    <x v="1259"/>
    <s v="-"/>
    <x v="127"/>
    <s v="-"/>
    <x v="1161"/>
    <n v="0"/>
    <x v="0"/>
    <x v="3"/>
    <x v="12"/>
    <x v="3"/>
    <s v="-"/>
    <x v="0"/>
    <x v="3"/>
    <x v="10"/>
    <s v="Yamini"/>
    <s v="-"/>
    <s v="-"/>
    <d v="2017-05-05T00:00:00"/>
    <s v="Bank"/>
    <s v="-"/>
    <n v="5700"/>
    <x v="0"/>
    <s v="-"/>
    <n v="0"/>
    <s v="-"/>
    <x v="0"/>
    <x v="0"/>
  </r>
  <r>
    <n v="1261"/>
    <x v="1260"/>
    <s v="-"/>
    <x v="301"/>
    <s v="-"/>
    <x v="1162"/>
    <n v="0"/>
    <x v="0"/>
    <x v="5"/>
    <x v="12"/>
    <x v="300"/>
    <s v="-"/>
    <x v="0"/>
    <x v="3"/>
    <x v="10"/>
    <s v="B.Shailaja"/>
    <s v="-"/>
    <s v="-"/>
    <d v="2017-05-22T00:00:00"/>
    <s v="Bank"/>
    <s v="-"/>
    <n v="3375"/>
    <x v="0"/>
    <s v="-"/>
    <n v="0"/>
    <s v="-"/>
    <x v="0"/>
    <x v="0"/>
  </r>
  <r>
    <n v="1262"/>
    <x v="1261"/>
    <s v="-"/>
    <x v="105"/>
    <s v="-"/>
    <x v="1163"/>
    <n v="0"/>
    <x v="0"/>
    <x v="5"/>
    <x v="12"/>
    <x v="21"/>
    <s v="-"/>
    <x v="0"/>
    <x v="3"/>
    <x v="10"/>
    <s v="N.Shailaja"/>
    <s v="-"/>
    <s v="-"/>
    <d v="2017-05-03T00:00:00"/>
    <s v="Bank"/>
    <s v="-"/>
    <n v="3000"/>
    <x v="0"/>
    <s v="-"/>
    <n v="0"/>
    <s v="-"/>
    <x v="0"/>
    <x v="0"/>
  </r>
  <r>
    <n v="1263"/>
    <x v="1262"/>
    <s v="-"/>
    <x v="58"/>
    <s v="-"/>
    <x v="1164"/>
    <n v="0"/>
    <x v="0"/>
    <x v="5"/>
    <x v="12"/>
    <x v="248"/>
    <s v="-"/>
    <x v="0"/>
    <x v="3"/>
    <x v="17"/>
    <s v="Sai"/>
    <s v="-"/>
    <s v="-"/>
    <d v="2017-05-05T00:00:00"/>
    <s v="Bank"/>
    <s v="-"/>
    <n v="3000"/>
    <x v="0"/>
    <s v="-"/>
    <n v="0"/>
    <s v="-"/>
    <x v="0"/>
    <x v="0"/>
  </r>
  <r>
    <n v="1264"/>
    <x v="1263"/>
    <s v="-"/>
    <x v="183"/>
    <s v="-"/>
    <x v="1165"/>
    <n v="0"/>
    <x v="0"/>
    <x v="5"/>
    <x v="13"/>
    <x v="301"/>
    <s v="-"/>
    <x v="0"/>
    <x v="1"/>
    <x v="2"/>
    <s v="Rajini"/>
    <s v="-"/>
    <s v="-"/>
    <d v="2017-05-16T00:00:00"/>
    <s v="Bank"/>
    <s v="-"/>
    <n v="2500"/>
    <x v="0"/>
    <n v="2169"/>
    <n v="3500"/>
    <s v="-"/>
    <x v="0"/>
    <x v="0"/>
  </r>
  <r>
    <n v="1265"/>
    <x v="1264"/>
    <s v="-"/>
    <x v="135"/>
    <s v="-"/>
    <x v="1166"/>
    <n v="0"/>
    <x v="0"/>
    <x v="5"/>
    <x v="13"/>
    <x v="302"/>
    <s v="-"/>
    <x v="0"/>
    <x v="1"/>
    <x v="5"/>
    <s v="Leena"/>
    <s v="-"/>
    <s v="-"/>
    <d v="2017-05-11T00:00:00"/>
    <s v="Bank"/>
    <s v="-"/>
    <n v="1500"/>
    <x v="0"/>
    <n v="2236"/>
    <n v="2000"/>
    <s v="-"/>
    <x v="0"/>
    <x v="0"/>
  </r>
  <r>
    <n v="1266"/>
    <x v="1265"/>
    <s v="-"/>
    <x v="123"/>
    <s v="-"/>
    <x v="1167"/>
    <n v="0"/>
    <x v="0"/>
    <x v="5"/>
    <x v="13"/>
    <x v="68"/>
    <s v="-"/>
    <x v="0"/>
    <x v="1"/>
    <x v="5"/>
    <m/>
    <s v="-"/>
    <s v="-"/>
    <d v="2017-05-16T00:00:00"/>
    <s v="Bank"/>
    <s v="-"/>
    <n v="2500"/>
    <x v="0"/>
    <n v="3827"/>
    <n v="3000"/>
    <s v="-"/>
    <x v="0"/>
    <x v="0"/>
  </r>
  <r>
    <n v="1267"/>
    <x v="1266"/>
    <s v="-"/>
    <x v="111"/>
    <s v="-"/>
    <x v="1168"/>
    <n v="0"/>
    <x v="0"/>
    <x v="2"/>
    <x v="13"/>
    <x v="142"/>
    <s v="-"/>
    <x v="0"/>
    <x v="1"/>
    <x v="5"/>
    <s v="Madhu"/>
    <s v="-"/>
    <s v="-"/>
    <d v="2017-05-24T00:00:00"/>
    <s v="Bank"/>
    <s v="-"/>
    <n v="2000"/>
    <x v="0"/>
    <n v="3859"/>
    <n v="5000"/>
    <s v="-"/>
    <x v="0"/>
    <x v="0"/>
  </r>
  <r>
    <n v="1268"/>
    <x v="1267"/>
    <s v="-"/>
    <x v="24"/>
    <s v="-"/>
    <x v="1169"/>
    <n v="4289000"/>
    <x v="0"/>
    <x v="7"/>
    <x v="2"/>
    <x v="303"/>
    <s v="-"/>
    <x v="0"/>
    <x v="3"/>
    <x v="18"/>
    <s v="Neelima"/>
    <s v="-"/>
    <s v="Duplicate"/>
    <d v="2017-05-13T00:00:00"/>
    <s v="Bank"/>
    <s v="-"/>
    <n v="3000"/>
    <x v="0"/>
    <s v="-"/>
    <n v="0"/>
    <s v="-"/>
    <x v="0"/>
    <x v="0"/>
  </r>
  <r>
    <n v="1269"/>
    <x v="1268"/>
    <s v="-"/>
    <x v="24"/>
    <s v="-"/>
    <x v="1170"/>
    <n v="5515000"/>
    <x v="0"/>
    <x v="5"/>
    <x v="2"/>
    <x v="142"/>
    <s v="-"/>
    <x v="0"/>
    <x v="3"/>
    <x v="18"/>
    <s v="Sowjanya"/>
    <s v="-"/>
    <s v="Duplicate"/>
    <d v="2017-05-05T00:00:00"/>
    <s v="Cash"/>
    <s v="-"/>
    <n v="1500"/>
    <x v="0"/>
    <s v="-"/>
    <n v="0"/>
    <s v="-"/>
    <x v="0"/>
    <x v="0"/>
  </r>
  <r>
    <n v="1270"/>
    <x v="1269"/>
    <s v="-"/>
    <x v="28"/>
    <s v="-"/>
    <x v="1171"/>
    <n v="0"/>
    <x v="0"/>
    <x v="0"/>
    <x v="2"/>
    <x v="215"/>
    <s v="-"/>
    <x v="0"/>
    <x v="3"/>
    <x v="0"/>
    <s v="Usha Latha"/>
    <s v="-"/>
    <s v="-"/>
    <d v="2017-05-15T00:00:00"/>
    <s v="Bank"/>
    <s v="-"/>
    <n v="3000"/>
    <x v="0"/>
    <s v="-"/>
    <n v="0"/>
    <s v="-"/>
    <x v="0"/>
    <x v="0"/>
  </r>
  <r>
    <n v="1271"/>
    <x v="1270"/>
    <s v="-"/>
    <x v="29"/>
    <s v="-"/>
    <x v="1172"/>
    <n v="4844000"/>
    <x v="0"/>
    <x v="7"/>
    <x v="2"/>
    <x v="41"/>
    <s v="-"/>
    <x v="0"/>
    <x v="3"/>
    <x v="16"/>
    <s v="Rajeshwari"/>
    <s v="-"/>
    <s v="-"/>
    <d v="2017-05-15T00:00:00"/>
    <s v="Bank"/>
    <s v="-"/>
    <n v="3000"/>
    <x v="0"/>
    <s v="-"/>
    <n v="0"/>
    <s v="-"/>
    <x v="0"/>
    <x v="0"/>
  </r>
  <r>
    <n v="1272"/>
    <x v="1271"/>
    <s v="-"/>
    <x v="30"/>
    <s v="-"/>
    <x v="1173"/>
    <n v="3760000"/>
    <x v="0"/>
    <x v="14"/>
    <x v="2"/>
    <x v="199"/>
    <s v="-"/>
    <x v="49"/>
    <x v="3"/>
    <x v="16"/>
    <s v="Yamini"/>
    <s v="-"/>
    <s v="-"/>
    <d v="2017-05-18T00:00:00"/>
    <s v="Bank"/>
    <s v="-"/>
    <n v="3000"/>
    <x v="0"/>
    <s v="-"/>
    <n v="0"/>
    <s v="-"/>
    <x v="0"/>
    <x v="0"/>
  </r>
  <r>
    <n v="1273"/>
    <x v="1272"/>
    <s v="-"/>
    <x v="30"/>
    <s v="-"/>
    <x v="1174"/>
    <n v="7240000"/>
    <x v="0"/>
    <x v="17"/>
    <x v="2"/>
    <x v="41"/>
    <s v="-"/>
    <x v="50"/>
    <x v="3"/>
    <x v="0"/>
    <s v="B.Shailaja"/>
    <s v="-"/>
    <s v="-"/>
    <d v="2017-05-15T00:00:00"/>
    <s v="Bank"/>
    <s v="-"/>
    <n v="4000"/>
    <x v="0"/>
    <s v="-"/>
    <n v="0"/>
    <s v="-"/>
    <x v="0"/>
    <x v="0"/>
  </r>
  <r>
    <n v="1274"/>
    <x v="1273"/>
    <s v="-"/>
    <x v="71"/>
    <s v="-"/>
    <x v="1175"/>
    <n v="9400000"/>
    <x v="0"/>
    <x v="14"/>
    <x v="2"/>
    <x v="41"/>
    <s v="-"/>
    <x v="51"/>
    <x v="3"/>
    <x v="16"/>
    <s v="N.Shailaja"/>
    <s v="-"/>
    <s v="-"/>
    <d v="2017-05-23T00:00:00"/>
    <s v="Bank"/>
    <s v="-"/>
    <n v="5000"/>
    <x v="0"/>
    <s v="-"/>
    <n v="0"/>
    <s v="-"/>
    <x v="0"/>
    <x v="0"/>
  </r>
  <r>
    <n v="1275"/>
    <x v="1274"/>
    <s v="-"/>
    <x v="35"/>
    <s v="-"/>
    <x v="1176"/>
    <n v="0"/>
    <x v="0"/>
    <x v="0"/>
    <x v="2"/>
    <x v="208"/>
    <s v="-"/>
    <x v="0"/>
    <x v="3"/>
    <x v="18"/>
    <s v="Sai"/>
    <s v="-"/>
    <s v="-"/>
    <d v="2017-05-24T00:00:00"/>
    <s v="Cash"/>
    <s v="-"/>
    <n v="3000"/>
    <x v="0"/>
    <s v="-"/>
    <n v="0"/>
    <s v="-"/>
    <x v="0"/>
    <x v="0"/>
  </r>
  <r>
    <n v="1276"/>
    <x v="1275"/>
    <s v="-"/>
    <x v="35"/>
    <s v="-"/>
    <x v="1177"/>
    <n v="2860000"/>
    <x v="0"/>
    <x v="7"/>
    <x v="2"/>
    <x v="244"/>
    <s v="-"/>
    <x v="0"/>
    <x v="3"/>
    <x v="0"/>
    <s v="Rajini"/>
    <s v="-"/>
    <s v="-"/>
    <d v="2017-05-13T00:00:00"/>
    <s v="Bank"/>
    <s v="-"/>
    <n v="3000"/>
    <x v="0"/>
    <s v="-"/>
    <n v="0"/>
    <s v="-"/>
    <x v="0"/>
    <x v="0"/>
  </r>
  <r>
    <n v="1277"/>
    <x v="1276"/>
    <s v="-"/>
    <x v="67"/>
    <s v="-"/>
    <x v="1178"/>
    <n v="2989000"/>
    <x v="0"/>
    <x v="5"/>
    <x v="2"/>
    <x v="203"/>
    <s v="-"/>
    <x v="0"/>
    <x v="3"/>
    <x v="18"/>
    <s v="Leena"/>
    <s v="-"/>
    <s v="-"/>
    <d v="2017-05-24T00:00:00"/>
    <s v="Cash"/>
    <s v="-"/>
    <n v="3000"/>
    <x v="0"/>
    <s v="-"/>
    <n v="0"/>
    <s v="-"/>
    <x v="0"/>
    <x v="0"/>
  </r>
  <r>
    <n v="1278"/>
    <x v="1277"/>
    <s v="-"/>
    <x v="67"/>
    <s v="-"/>
    <x v="1179"/>
    <n v="3280000"/>
    <x v="0"/>
    <x v="3"/>
    <x v="2"/>
    <x v="26"/>
    <s v="-"/>
    <x v="0"/>
    <x v="3"/>
    <x v="0"/>
    <m/>
    <s v="-"/>
    <s v="-"/>
    <d v="2017-05-25T00:00:00"/>
    <s v="Bank"/>
    <s v="-"/>
    <n v="3000"/>
    <x v="0"/>
    <s v="-"/>
    <n v="0"/>
    <s v="-"/>
    <x v="0"/>
    <x v="0"/>
  </r>
  <r>
    <n v="1279"/>
    <x v="1278"/>
    <s v="-"/>
    <x v="67"/>
    <s v="-"/>
    <x v="1180"/>
    <n v="3949000"/>
    <x v="0"/>
    <x v="5"/>
    <x v="2"/>
    <x v="208"/>
    <s v="-"/>
    <x v="0"/>
    <x v="3"/>
    <x v="18"/>
    <s v="Madhu"/>
    <s v="-"/>
    <s v="-"/>
    <d v="2017-05-26T00:00:00"/>
    <s v="Bank"/>
    <s v="-"/>
    <n v="3000"/>
    <x v="0"/>
    <s v="-"/>
    <n v="0"/>
    <s v="-"/>
    <x v="0"/>
    <x v="0"/>
  </r>
  <r>
    <n v="1280"/>
    <x v="1279"/>
    <s v="-"/>
    <x v="38"/>
    <s v="-"/>
    <x v="1181"/>
    <n v="3425000"/>
    <x v="0"/>
    <x v="3"/>
    <x v="2"/>
    <x v="26"/>
    <s v="-"/>
    <x v="34"/>
    <x v="3"/>
    <x v="0"/>
    <s v="Neelima"/>
    <s v="-"/>
    <s v="-"/>
    <d v="2017-05-25T00:00:00"/>
    <s v="Cash"/>
    <s v="-"/>
    <n v="3000"/>
    <x v="0"/>
    <s v="-"/>
    <n v="0"/>
    <s v="-"/>
    <x v="0"/>
    <x v="0"/>
  </r>
  <r>
    <n v="1281"/>
    <x v="1280"/>
    <s v="-"/>
    <x v="40"/>
    <s v="-"/>
    <x v="1182"/>
    <n v="0"/>
    <x v="0"/>
    <x v="7"/>
    <x v="2"/>
    <x v="199"/>
    <s v="-"/>
    <x v="0"/>
    <x v="3"/>
    <x v="0"/>
    <s v="Neelima"/>
    <s v="-"/>
    <s v="-"/>
    <d v="2017-05-29T00:00:00"/>
    <s v="Cash"/>
    <s v="-"/>
    <n v="2000"/>
    <x v="0"/>
    <s v="-"/>
    <n v="0"/>
    <s v="-"/>
    <x v="0"/>
    <x v="0"/>
  </r>
  <r>
    <n v="1282"/>
    <x v="1281"/>
    <s v="-"/>
    <x v="41"/>
    <s v="-"/>
    <x v="1183"/>
    <n v="3337000"/>
    <x v="0"/>
    <x v="5"/>
    <x v="2"/>
    <x v="41"/>
    <s v="-"/>
    <x v="0"/>
    <x v="3"/>
    <x v="16"/>
    <s v="Sowjanya"/>
    <s v="-"/>
    <s v="-"/>
    <d v="2017-05-29T00:00:00"/>
    <s v="Cash"/>
    <s v="-"/>
    <n v="3000"/>
    <x v="0"/>
    <s v="-"/>
    <n v="0"/>
    <s v="-"/>
    <x v="0"/>
    <x v="0"/>
  </r>
  <r>
    <n v="1283"/>
    <x v="1282"/>
    <s v="-"/>
    <x v="41"/>
    <s v="-"/>
    <x v="1184"/>
    <n v="3578000"/>
    <x v="0"/>
    <x v="5"/>
    <x v="2"/>
    <x v="197"/>
    <s v="-"/>
    <x v="10"/>
    <x v="3"/>
    <x v="16"/>
    <s v="Usha Latha"/>
    <s v="-"/>
    <s v="-"/>
    <d v="2017-05-29T00:00:00"/>
    <s v="Cash"/>
    <s v="-"/>
    <n v="2000"/>
    <x v="0"/>
    <s v="-"/>
    <n v="0"/>
    <s v="-"/>
    <x v="0"/>
    <x v="0"/>
  </r>
  <r>
    <n v="1284"/>
    <x v="1283"/>
    <s v="-"/>
    <x v="278"/>
    <s v="-"/>
    <x v="1185"/>
    <n v="0"/>
    <x v="0"/>
    <x v="7"/>
    <x v="2"/>
    <x v="197"/>
    <s v="-"/>
    <x v="52"/>
    <x v="3"/>
    <x v="18"/>
    <s v="Rajeshwari"/>
    <s v="-"/>
    <s v="-"/>
    <d v="2017-05-23T00:00:00"/>
    <s v="Cash"/>
    <s v="-"/>
    <n v="2000"/>
    <x v="0"/>
    <s v="-"/>
    <n v="0"/>
    <s v="-"/>
    <x v="0"/>
    <x v="0"/>
  </r>
  <r>
    <n v="1285"/>
    <x v="1284"/>
    <s v="-"/>
    <x v="278"/>
    <s v="-"/>
    <x v="1186"/>
    <n v="0"/>
    <x v="0"/>
    <x v="7"/>
    <x v="2"/>
    <x v="197"/>
    <s v="-"/>
    <x v="52"/>
    <x v="3"/>
    <x v="18"/>
    <s v="Yamini"/>
    <s v="-"/>
    <s v="-"/>
    <d v="2017-05-23T00:00:00"/>
    <s v="Cash"/>
    <s v="-"/>
    <n v="2000"/>
    <x v="0"/>
    <s v="-"/>
    <n v="0"/>
    <s v="-"/>
    <x v="0"/>
    <x v="0"/>
  </r>
  <r>
    <n v="1286"/>
    <x v="1285"/>
    <s v="-"/>
    <x v="278"/>
    <s v="-"/>
    <x v="1187"/>
    <n v="0"/>
    <x v="0"/>
    <x v="7"/>
    <x v="2"/>
    <x v="197"/>
    <s v="-"/>
    <x v="52"/>
    <x v="3"/>
    <x v="18"/>
    <s v="B.Shailaja"/>
    <s v="-"/>
    <s v="-"/>
    <d v="2017-05-23T00:00:00"/>
    <s v="Cash"/>
    <s v="-"/>
    <n v="2000"/>
    <x v="0"/>
    <s v="-"/>
    <n v="0"/>
    <s v="-"/>
    <x v="0"/>
    <x v="0"/>
  </r>
  <r>
    <n v="1287"/>
    <x v="1286"/>
    <s v="-"/>
    <x v="278"/>
    <s v="-"/>
    <x v="1188"/>
    <n v="0"/>
    <x v="0"/>
    <x v="7"/>
    <x v="2"/>
    <x v="197"/>
    <s v="-"/>
    <x v="52"/>
    <x v="3"/>
    <x v="18"/>
    <s v="N.Shailaja"/>
    <s v="-"/>
    <s v="-"/>
    <d v="2017-05-23T00:00:00"/>
    <s v="Cash"/>
    <s v="-"/>
    <n v="2000"/>
    <x v="0"/>
    <s v="-"/>
    <n v="0"/>
    <s v="-"/>
    <x v="0"/>
    <x v="0"/>
  </r>
  <r>
    <n v="1288"/>
    <x v="1287"/>
    <s v="-"/>
    <x v="303"/>
    <s v="-"/>
    <x v="1189"/>
    <n v="0"/>
    <x v="0"/>
    <x v="3"/>
    <x v="2"/>
    <x v="120"/>
    <s v="-"/>
    <x v="12"/>
    <x v="3"/>
    <x v="16"/>
    <s v="Sai"/>
    <s v="-"/>
    <s v="-"/>
    <d v="2017-05-06T00:00:00"/>
    <s v="Bank"/>
    <s v="-"/>
    <n v="2000"/>
    <x v="0"/>
    <s v="-"/>
    <n v="0"/>
    <s v="-"/>
    <x v="0"/>
    <x v="0"/>
  </r>
  <r>
    <n v="1289"/>
    <x v="1288"/>
    <s v="-"/>
    <x v="303"/>
    <s v="-"/>
    <x v="1190"/>
    <n v="0"/>
    <x v="0"/>
    <x v="3"/>
    <x v="2"/>
    <x v="120"/>
    <s v="-"/>
    <x v="12"/>
    <x v="3"/>
    <x v="16"/>
    <s v="Rajini"/>
    <s v="-"/>
    <s v="-"/>
    <d v="2017-05-06T00:00:00"/>
    <s v="Bank"/>
    <s v="-"/>
    <n v="2000"/>
    <x v="0"/>
    <s v="-"/>
    <n v="0"/>
    <s v="-"/>
    <x v="0"/>
    <x v="0"/>
  </r>
  <r>
    <n v="1290"/>
    <x v="1289"/>
    <s v="-"/>
    <x v="303"/>
    <s v="-"/>
    <x v="1191"/>
    <n v="0"/>
    <x v="0"/>
    <x v="3"/>
    <x v="2"/>
    <x v="120"/>
    <s v="-"/>
    <x v="12"/>
    <x v="3"/>
    <x v="16"/>
    <s v="Leena"/>
    <s v="-"/>
    <s v="-"/>
    <d v="2017-05-06T00:00:00"/>
    <s v="Bank"/>
    <s v="-"/>
    <n v="2000"/>
    <x v="0"/>
    <s v="-"/>
    <n v="0"/>
    <s v="-"/>
    <x v="0"/>
    <x v="0"/>
  </r>
  <r>
    <n v="1291"/>
    <x v="1290"/>
    <s v="-"/>
    <x v="303"/>
    <s v="-"/>
    <x v="1192"/>
    <n v="0"/>
    <x v="0"/>
    <x v="5"/>
    <x v="2"/>
    <x v="120"/>
    <s v="-"/>
    <x v="12"/>
    <x v="3"/>
    <x v="16"/>
    <m/>
    <s v="-"/>
    <s v="-"/>
    <d v="2017-05-06T00:00:00"/>
    <s v="Bank"/>
    <s v="-"/>
    <n v="2000"/>
    <x v="0"/>
    <s v="-"/>
    <n v="0"/>
    <s v="-"/>
    <x v="0"/>
    <x v="0"/>
  </r>
  <r>
    <n v="1292"/>
    <x v="1291"/>
    <s v="-"/>
    <x v="303"/>
    <s v="-"/>
    <x v="1193"/>
    <n v="0"/>
    <x v="0"/>
    <x v="5"/>
    <x v="2"/>
    <x v="120"/>
    <s v="-"/>
    <x v="12"/>
    <x v="3"/>
    <x v="16"/>
    <s v="Madhu"/>
    <s v="-"/>
    <s v="-"/>
    <d v="2017-05-06T00:00:00"/>
    <s v="Bank"/>
    <s v="-"/>
    <n v="2000"/>
    <x v="0"/>
    <s v="-"/>
    <n v="0"/>
    <s v="-"/>
    <x v="0"/>
    <x v="0"/>
  </r>
  <r>
    <n v="1293"/>
    <x v="1292"/>
    <s v="-"/>
    <x v="147"/>
    <s v="-"/>
    <x v="1194"/>
    <n v="0"/>
    <x v="0"/>
    <x v="3"/>
    <x v="2"/>
    <x v="171"/>
    <s v="-"/>
    <x v="12"/>
    <x v="3"/>
    <x v="16"/>
    <s v="Neelima"/>
    <s v="-"/>
    <s v="-"/>
    <d v="2017-05-06T00:00:00"/>
    <s v="Bank"/>
    <s v="-"/>
    <n v="2000"/>
    <x v="0"/>
    <s v="-"/>
    <n v="0"/>
    <s v="-"/>
    <x v="0"/>
    <x v="0"/>
  </r>
  <r>
    <n v="1294"/>
    <x v="1293"/>
    <s v="-"/>
    <x v="304"/>
    <s v="-"/>
    <x v="1195"/>
    <n v="0"/>
    <x v="0"/>
    <x v="5"/>
    <x v="2"/>
    <x v="120"/>
    <s v="-"/>
    <x v="12"/>
    <x v="3"/>
    <x v="0"/>
    <s v="Sowjanya"/>
    <s v="-"/>
    <s v="-"/>
    <d v="2017-05-06T00:00:00"/>
    <s v="Bank"/>
    <s v="-"/>
    <n v="2000"/>
    <x v="0"/>
    <s v="-"/>
    <n v="0"/>
    <s v="-"/>
    <x v="0"/>
    <x v="0"/>
  </r>
  <r>
    <n v="1295"/>
    <x v="1294"/>
    <s v="-"/>
    <x v="304"/>
    <s v="-"/>
    <x v="1196"/>
    <n v="0"/>
    <x v="0"/>
    <x v="5"/>
    <x v="2"/>
    <x v="120"/>
    <s v="-"/>
    <x v="12"/>
    <x v="3"/>
    <x v="0"/>
    <s v="Usha Latha"/>
    <s v="-"/>
    <s v="-"/>
    <d v="2017-05-06T00:00:00"/>
    <s v="Bank"/>
    <s v="-"/>
    <n v="2000"/>
    <x v="0"/>
    <s v="-"/>
    <n v="0"/>
    <s v="-"/>
    <x v="0"/>
    <x v="0"/>
  </r>
  <r>
    <n v="1296"/>
    <x v="1295"/>
    <s v="-"/>
    <x v="304"/>
    <s v="-"/>
    <x v="1197"/>
    <n v="0"/>
    <x v="0"/>
    <x v="5"/>
    <x v="2"/>
    <x v="120"/>
    <s v="-"/>
    <x v="12"/>
    <x v="3"/>
    <x v="0"/>
    <s v="Rajeshwari"/>
    <s v="-"/>
    <s v="-"/>
    <d v="2017-05-06T00:00:00"/>
    <s v="Bank"/>
    <s v="-"/>
    <n v="2000"/>
    <x v="0"/>
    <s v="-"/>
    <n v="0"/>
    <s v="-"/>
    <x v="0"/>
    <x v="0"/>
  </r>
  <r>
    <n v="1297"/>
    <x v="1296"/>
    <s v="-"/>
    <x v="192"/>
    <s v="-"/>
    <x v="1198"/>
    <n v="0"/>
    <x v="0"/>
    <x v="17"/>
    <x v="2"/>
    <x v="197"/>
    <s v="-"/>
    <x v="10"/>
    <x v="3"/>
    <x v="16"/>
    <s v="Yamini"/>
    <s v="-"/>
    <s v="-"/>
    <d v="2017-05-12T00:00:00"/>
    <s v="Bank"/>
    <s v="-"/>
    <n v="9000"/>
    <x v="0"/>
    <s v="-"/>
    <n v="0"/>
    <s v="-"/>
    <x v="0"/>
    <x v="0"/>
  </r>
  <r>
    <n v="1298"/>
    <x v="1297"/>
    <s v="-"/>
    <x v="305"/>
    <s v="-"/>
    <x v="1199"/>
    <n v="0"/>
    <x v="0"/>
    <x v="14"/>
    <x v="2"/>
    <x v="197"/>
    <s v="-"/>
    <x v="10"/>
    <x v="3"/>
    <x v="0"/>
    <s v="B.Shailaja"/>
    <s v="-"/>
    <s v="-"/>
    <d v="2017-05-12T00:00:00"/>
    <s v="Bank"/>
    <s v="-"/>
    <n v="9000"/>
    <x v="0"/>
    <s v="-"/>
    <n v="0"/>
    <s v="-"/>
    <x v="0"/>
    <x v="0"/>
  </r>
  <r>
    <n v="1299"/>
    <x v="1298"/>
    <s v="-"/>
    <x v="86"/>
    <s v="-"/>
    <x v="1200"/>
    <n v="0"/>
    <x v="0"/>
    <x v="5"/>
    <x v="2"/>
    <x v="304"/>
    <s v="-"/>
    <x v="12"/>
    <x v="3"/>
    <x v="0"/>
    <s v="N.Shailaja"/>
    <s v="-"/>
    <s v="-"/>
    <d v="2017-05-06T00:00:00"/>
    <s v="Bank"/>
    <s v="-"/>
    <n v="2000"/>
    <x v="0"/>
    <s v="-"/>
    <n v="0"/>
    <s v="-"/>
    <x v="0"/>
    <x v="0"/>
  </r>
  <r>
    <n v="1300"/>
    <x v="1299"/>
    <s v="-"/>
    <x v="306"/>
    <s v="-"/>
    <x v="1201"/>
    <n v="0"/>
    <x v="0"/>
    <x v="7"/>
    <x v="2"/>
    <x v="171"/>
    <s v="-"/>
    <x v="53"/>
    <x v="3"/>
    <x v="18"/>
    <s v="Sai"/>
    <s v="-"/>
    <s v="-"/>
    <d v="2017-05-19T00:00:00"/>
    <s v="Bank"/>
    <s v="-"/>
    <n v="4000"/>
    <x v="0"/>
    <s v="-"/>
    <n v="0"/>
    <s v="-"/>
    <x v="0"/>
    <x v="0"/>
  </r>
  <r>
    <n v="1301"/>
    <x v="1300"/>
    <s v="-"/>
    <x v="126"/>
    <s v="-"/>
    <x v="1202"/>
    <n v="0"/>
    <x v="0"/>
    <x v="24"/>
    <x v="2"/>
    <x v="38"/>
    <s v="-"/>
    <x v="12"/>
    <x v="3"/>
    <x v="18"/>
    <s v="Rajini"/>
    <s v="-"/>
    <s v="-"/>
    <d v="2017-05-08T00:00:00"/>
    <s v="Bank"/>
    <s v="-"/>
    <n v="7500"/>
    <x v="0"/>
    <s v="-"/>
    <n v="0"/>
    <s v="-"/>
    <x v="0"/>
    <x v="0"/>
  </r>
  <r>
    <n v="1302"/>
    <x v="1301"/>
    <s v="-"/>
    <x v="95"/>
    <s v="-"/>
    <x v="1203"/>
    <n v="0"/>
    <x v="0"/>
    <x v="16"/>
    <x v="2"/>
    <x v="159"/>
    <s v="-"/>
    <x v="17"/>
    <x v="3"/>
    <x v="0"/>
    <s v="Leena"/>
    <s v="-"/>
    <s v="-"/>
    <d v="2017-05-18T00:00:00"/>
    <s v="Bank"/>
    <s v="-"/>
    <n v="13500"/>
    <x v="0"/>
    <s v="-"/>
    <n v="0"/>
    <s v="-"/>
    <x v="0"/>
    <x v="0"/>
  </r>
  <r>
    <n v="1303"/>
    <x v="1302"/>
    <s v="-"/>
    <x v="118"/>
    <s v="-"/>
    <x v="1204"/>
    <n v="0"/>
    <x v="0"/>
    <x v="16"/>
    <x v="2"/>
    <x v="305"/>
    <s v="-"/>
    <x v="0"/>
    <x v="3"/>
    <x v="0"/>
    <m/>
    <s v="-"/>
    <s v="-"/>
    <d v="2017-05-18T00:00:00"/>
    <s v="Bank"/>
    <s v="-"/>
    <n v="13500"/>
    <x v="0"/>
    <s v="-"/>
    <n v="0"/>
    <s v="-"/>
    <x v="0"/>
    <x v="0"/>
  </r>
  <r>
    <n v="1304"/>
    <x v="1303"/>
    <s v="-"/>
    <x v="97"/>
    <s v="-"/>
    <x v="1205"/>
    <n v="0"/>
    <x v="0"/>
    <x v="16"/>
    <x v="2"/>
    <x v="171"/>
    <s v="-"/>
    <x v="20"/>
    <x v="3"/>
    <x v="0"/>
    <s v="Madhu"/>
    <s v="-"/>
    <s v="-"/>
    <d v="2017-05-12T00:00:00"/>
    <s v="Bank"/>
    <s v="-"/>
    <n v="13500"/>
    <x v="0"/>
    <s v="-"/>
    <n v="0"/>
    <s v="-"/>
    <x v="0"/>
    <x v="0"/>
  </r>
  <r>
    <n v="1305"/>
    <x v="1304"/>
    <s v="-"/>
    <x v="298"/>
    <s v="-"/>
    <x v="1206"/>
    <n v="0"/>
    <x v="0"/>
    <x v="5"/>
    <x v="2"/>
    <x v="219"/>
    <s v="-"/>
    <x v="34"/>
    <x v="3"/>
    <x v="16"/>
    <s v="Neelima"/>
    <s v="-"/>
    <s v="Duplicate"/>
    <d v="2017-05-12T00:00:00"/>
    <s v="Bank"/>
    <s v="-"/>
    <n v="9000"/>
    <x v="0"/>
    <s v="-"/>
    <n v="0"/>
    <s v="-"/>
    <x v="0"/>
    <x v="0"/>
  </r>
  <r>
    <n v="1306"/>
    <x v="1305"/>
    <s v="-"/>
    <x v="101"/>
    <s v="-"/>
    <x v="1207"/>
    <n v="0"/>
    <x v="0"/>
    <x v="5"/>
    <x v="2"/>
    <x v="208"/>
    <s v="-"/>
    <x v="23"/>
    <x v="3"/>
    <x v="17"/>
    <s v="Sowjanya"/>
    <s v="-"/>
    <s v="-"/>
    <d v="2017-05-03T00:00:00"/>
    <s v="Bank"/>
    <s v="-"/>
    <n v="4000"/>
    <x v="0"/>
    <s v="-"/>
    <n v="0"/>
    <s v="-"/>
    <x v="0"/>
    <x v="0"/>
  </r>
  <r>
    <n v="1307"/>
    <x v="1306"/>
    <s v="-"/>
    <x v="105"/>
    <s v="-"/>
    <x v="1208"/>
    <n v="0"/>
    <x v="0"/>
    <x v="7"/>
    <x v="2"/>
    <x v="306"/>
    <s v="-"/>
    <x v="54"/>
    <x v="3"/>
    <x v="0"/>
    <s v="Usha Latha"/>
    <s v="-"/>
    <s v="-"/>
    <d v="2017-05-19T00:00:00"/>
    <s v="Bank"/>
    <s v="-"/>
    <n v="4000"/>
    <x v="0"/>
    <s v="-"/>
    <n v="0"/>
    <s v="-"/>
    <x v="0"/>
    <x v="0"/>
  </r>
  <r>
    <n v="1308"/>
    <x v="1307"/>
    <s v="-"/>
    <x v="105"/>
    <s v="-"/>
    <x v="1209"/>
    <n v="0"/>
    <x v="0"/>
    <x v="7"/>
    <x v="2"/>
    <x v="171"/>
    <s v="-"/>
    <x v="54"/>
    <x v="3"/>
    <x v="0"/>
    <s v="Rajeshwari"/>
    <s v="-"/>
    <s v="-"/>
    <d v="2017-05-19T00:00:00"/>
    <s v="Bank"/>
    <s v="-"/>
    <n v="4000"/>
    <x v="0"/>
    <s v="-"/>
    <n v="0"/>
    <s v="-"/>
    <x v="0"/>
    <x v="0"/>
  </r>
  <r>
    <n v="1309"/>
    <x v="1308"/>
    <s v="-"/>
    <x v="109"/>
    <s v="-"/>
    <x v="1210"/>
    <n v="0"/>
    <x v="0"/>
    <x v="16"/>
    <x v="2"/>
    <x v="171"/>
    <s v="-"/>
    <x v="35"/>
    <x v="3"/>
    <x v="0"/>
    <s v="Yamini"/>
    <s v="-"/>
    <s v="-"/>
    <d v="2017-05-12T00:00:00"/>
    <s v="Bank"/>
    <s v="-"/>
    <n v="13500"/>
    <x v="0"/>
    <s v="-"/>
    <n v="0"/>
    <s v="-"/>
    <x v="0"/>
    <x v="0"/>
  </r>
  <r>
    <n v="1310"/>
    <x v="1309"/>
    <s v="-"/>
    <x v="60"/>
    <s v="-"/>
    <x v="1211"/>
    <n v="0"/>
    <x v="0"/>
    <x v="5"/>
    <x v="2"/>
    <x v="210"/>
    <s v="-"/>
    <x v="0"/>
    <x v="3"/>
    <x v="16"/>
    <s v="B.Shailaja"/>
    <s v="-"/>
    <s v="-"/>
    <d v="2017-05-19T00:00:00"/>
    <s v="Bank"/>
    <s v="-"/>
    <n v="4000"/>
    <x v="0"/>
    <s v="-"/>
    <n v="0"/>
    <s v="-"/>
    <x v="0"/>
    <x v="0"/>
  </r>
  <r>
    <n v="1311"/>
    <x v="1310"/>
    <s v="-"/>
    <x v="61"/>
    <s v="-"/>
    <x v="1212"/>
    <n v="0"/>
    <x v="0"/>
    <x v="16"/>
    <x v="2"/>
    <x v="159"/>
    <s v="-"/>
    <x v="17"/>
    <x v="3"/>
    <x v="18"/>
    <s v="N.Shailaja"/>
    <s v="-"/>
    <s v="-"/>
    <d v="2017-05-18T00:00:00"/>
    <s v="Bank"/>
    <s v="-"/>
    <n v="13500"/>
    <x v="0"/>
    <s v="-"/>
    <n v="0"/>
    <s v="-"/>
    <x v="0"/>
    <x v="0"/>
  </r>
  <r>
    <n v="1312"/>
    <x v="1311"/>
    <s v="-"/>
    <x v="119"/>
    <s v="-"/>
    <x v="1213"/>
    <n v="0"/>
    <x v="0"/>
    <x v="3"/>
    <x v="2"/>
    <x v="171"/>
    <s v="-"/>
    <x v="55"/>
    <x v="3"/>
    <x v="16"/>
    <s v="Sai"/>
    <s v="-"/>
    <s v="-"/>
    <d v="2017-05-03T00:00:00"/>
    <s v="Bank"/>
    <s v="-"/>
    <n v="2000"/>
    <x v="0"/>
    <s v="-"/>
    <n v="0"/>
    <s v="-"/>
    <x v="0"/>
    <x v="0"/>
  </r>
  <r>
    <n v="1313"/>
    <x v="1312"/>
    <s v="-"/>
    <x v="23"/>
    <s v="-"/>
    <x v="1214"/>
    <n v="0"/>
    <x v="0"/>
    <x v="5"/>
    <x v="2"/>
    <x v="199"/>
    <s v="-"/>
    <x v="19"/>
    <x v="3"/>
    <x v="17"/>
    <s v="Rajini"/>
    <s v="-"/>
    <s v="-"/>
    <d v="2017-05-04T00:00:00"/>
    <s v="Bank"/>
    <s v="-"/>
    <n v="3000"/>
    <x v="0"/>
    <s v="-"/>
    <n v="0"/>
    <s v="-"/>
    <x v="0"/>
    <x v="0"/>
  </r>
  <r>
    <n v="1314"/>
    <x v="1313"/>
    <s v="-"/>
    <x v="59"/>
    <s v="-"/>
    <x v="1215"/>
    <n v="0"/>
    <x v="0"/>
    <x v="14"/>
    <x v="2"/>
    <x v="203"/>
    <s v="-"/>
    <x v="0"/>
    <x v="3"/>
    <x v="1"/>
    <s v="Leena"/>
    <s v="-"/>
    <s v="-"/>
    <d v="2017-05-01T00:00:00"/>
    <s v="Bank"/>
    <s v="-"/>
    <n v="3000"/>
    <x v="0"/>
    <s v="-"/>
    <n v="0"/>
    <s v="-"/>
    <x v="0"/>
    <x v="0"/>
  </r>
  <r>
    <n v="1315"/>
    <x v="1314"/>
    <s v="-"/>
    <x v="59"/>
    <s v="-"/>
    <x v="1216"/>
    <n v="0"/>
    <x v="0"/>
    <x v="5"/>
    <x v="2"/>
    <x v="203"/>
    <s v="-"/>
    <x v="0"/>
    <x v="3"/>
    <x v="18"/>
    <m/>
    <s v="-"/>
    <s v="-"/>
    <d v="2017-05-01T00:00:00"/>
    <s v="Bank"/>
    <s v="-"/>
    <n v="7000"/>
    <x v="0"/>
    <s v="-"/>
    <n v="0"/>
    <s v="-"/>
    <x v="0"/>
    <x v="0"/>
  </r>
  <r>
    <n v="1316"/>
    <x v="1315"/>
    <s v="-"/>
    <x v="25"/>
    <s v="-"/>
    <x v="1217"/>
    <n v="6322000"/>
    <x v="0"/>
    <x v="5"/>
    <x v="2"/>
    <x v="263"/>
    <s v="-"/>
    <x v="0"/>
    <x v="1"/>
    <x v="6"/>
    <s v="Madhu"/>
    <s v="-"/>
    <s v="-"/>
    <d v="2017-05-06T00:00:00"/>
    <s v="Cash"/>
    <s v="-"/>
    <n v="4000"/>
    <x v="0"/>
    <s v="-"/>
    <n v="0"/>
    <s v="-"/>
    <x v="0"/>
    <x v="0"/>
  </r>
  <r>
    <n v="1317"/>
    <x v="1316"/>
    <s v="-"/>
    <x v="26"/>
    <s v="-"/>
    <x v="1218"/>
    <n v="2295000"/>
    <x v="0"/>
    <x v="4"/>
    <x v="2"/>
    <x v="79"/>
    <s v="-"/>
    <x v="0"/>
    <x v="1"/>
    <x v="6"/>
    <s v="Neelima"/>
    <s v="-"/>
    <s v="-"/>
    <d v="2017-05-04T00:00:00"/>
    <s v="Cash"/>
    <s v="-"/>
    <n v="3000"/>
    <x v="0"/>
    <s v="-"/>
    <n v="0"/>
    <s v="-"/>
    <x v="0"/>
    <x v="0"/>
  </r>
  <r>
    <n v="1318"/>
    <x v="1317"/>
    <s v="-"/>
    <x v="27"/>
    <s v="-"/>
    <x v="286"/>
    <n v="19316000"/>
    <x v="0"/>
    <x v="3"/>
    <x v="2"/>
    <x v="47"/>
    <s v="-"/>
    <x v="0"/>
    <x v="1"/>
    <x v="6"/>
    <s v="Sowjanya"/>
    <s v="-"/>
    <s v="Duplicate"/>
    <d v="2017-05-06T00:00:00"/>
    <s v="Cash"/>
    <s v="-"/>
    <n v="1000"/>
    <x v="8"/>
    <n v="4020"/>
    <n v="10000"/>
    <s v="Paid"/>
    <x v="2"/>
    <x v="0"/>
  </r>
  <r>
    <n v="1319"/>
    <x v="1318"/>
    <s v="-"/>
    <x v="65"/>
    <s v="-"/>
    <x v="1219"/>
    <n v="3674000"/>
    <x v="0"/>
    <x v="3"/>
    <x v="2"/>
    <x v="47"/>
    <s v="-"/>
    <x v="0"/>
    <x v="1"/>
    <x v="5"/>
    <s v="Usha Latha"/>
    <s v="-"/>
    <s v="-"/>
    <d v="2017-05-08T00:00:00"/>
    <s v="Cash"/>
    <s v="-"/>
    <n v="3000"/>
    <x v="0"/>
    <s v="-"/>
    <n v="0"/>
    <s v="-"/>
    <x v="0"/>
    <x v="0"/>
  </r>
  <r>
    <n v="1320"/>
    <x v="1319"/>
    <s v="-"/>
    <x v="65"/>
    <s v="-"/>
    <x v="288"/>
    <n v="0"/>
    <x v="0"/>
    <x v="3"/>
    <x v="2"/>
    <x v="64"/>
    <s v="-"/>
    <x v="0"/>
    <x v="1"/>
    <x v="6"/>
    <s v="Rajeshwari"/>
    <s v="-"/>
    <s v="Duplicate"/>
    <d v="2017-05-08T00:00:00"/>
    <s v="Cash"/>
    <s v="-"/>
    <n v="1000"/>
    <x v="11"/>
    <s v="-"/>
    <n v="0"/>
    <s v="-"/>
    <x v="2"/>
    <x v="0"/>
  </r>
  <r>
    <n v="1321"/>
    <x v="1320"/>
    <s v="-"/>
    <x v="66"/>
    <s v="-"/>
    <x v="1220"/>
    <n v="3430000"/>
    <x v="0"/>
    <x v="5"/>
    <x v="2"/>
    <x v="111"/>
    <s v="-"/>
    <x v="0"/>
    <x v="1"/>
    <x v="6"/>
    <s v="Yamini"/>
    <s v="-"/>
    <s v="-"/>
    <d v="2017-05-15T00:00:00"/>
    <s v="Cash"/>
    <s v="-"/>
    <n v="3000"/>
    <x v="0"/>
    <s v="-"/>
    <n v="0"/>
    <s v="-"/>
    <x v="0"/>
    <x v="0"/>
  </r>
  <r>
    <n v="1322"/>
    <x v="1321"/>
    <s v="-"/>
    <x v="66"/>
    <s v="-"/>
    <x v="1221"/>
    <n v="24394000"/>
    <x v="0"/>
    <x v="26"/>
    <x v="2"/>
    <x v="26"/>
    <s v="-"/>
    <x v="0"/>
    <x v="1"/>
    <x v="5"/>
    <s v="B.Shailaja"/>
    <s v="-"/>
    <s v="-"/>
    <d v="2017-05-16T00:00:00"/>
    <s v="Bank"/>
    <s v="-"/>
    <n v="22500"/>
    <x v="0"/>
    <s v="-"/>
    <n v="0"/>
    <s v="-"/>
    <x v="0"/>
    <x v="0"/>
  </r>
  <r>
    <n v="1323"/>
    <x v="1322"/>
    <s v="-"/>
    <x v="66"/>
    <s v="-"/>
    <x v="1221"/>
    <n v="49610000"/>
    <x v="0"/>
    <x v="26"/>
    <x v="2"/>
    <x v="26"/>
    <s v="-"/>
    <x v="0"/>
    <x v="1"/>
    <x v="5"/>
    <s v="N.Shailaja"/>
    <s v="-"/>
    <s v="-"/>
    <d v="2017-05-16T00:00:00"/>
    <s v="Bank"/>
    <s v="-"/>
    <n v="22500"/>
    <x v="0"/>
    <s v="-"/>
    <n v="0"/>
    <s v="-"/>
    <x v="0"/>
    <x v="0"/>
  </r>
  <r>
    <n v="1324"/>
    <x v="1323"/>
    <s v="-"/>
    <x v="28"/>
    <s v="-"/>
    <x v="1222"/>
    <n v="7392000"/>
    <x v="0"/>
    <x v="0"/>
    <x v="2"/>
    <x v="112"/>
    <s v="-"/>
    <x v="0"/>
    <x v="1"/>
    <x v="5"/>
    <s v="Sai"/>
    <s v="-"/>
    <s v="-"/>
    <d v="2017-05-12T00:00:00"/>
    <s v="Cash"/>
    <s v="-"/>
    <n v="3000"/>
    <x v="0"/>
    <s v="-"/>
    <n v="0"/>
    <s v="-"/>
    <x v="0"/>
    <x v="0"/>
  </r>
  <r>
    <n v="1325"/>
    <x v="1324"/>
    <s v="-"/>
    <x v="28"/>
    <s v="-"/>
    <x v="1223"/>
    <n v="8008000"/>
    <x v="0"/>
    <x v="3"/>
    <x v="2"/>
    <x v="307"/>
    <s v="-"/>
    <x v="0"/>
    <x v="1"/>
    <x v="5"/>
    <s v="Rajini"/>
    <s v="-"/>
    <s v="-"/>
    <d v="2017-05-11T00:00:00"/>
    <s v="Cash"/>
    <s v="-"/>
    <n v="3000"/>
    <x v="0"/>
    <s v="-"/>
    <n v="0"/>
    <s v="-"/>
    <x v="0"/>
    <x v="0"/>
  </r>
  <r>
    <n v="1326"/>
    <x v="1325"/>
    <s v="-"/>
    <x v="29"/>
    <s v="-"/>
    <x v="1224"/>
    <n v="4201000"/>
    <x v="0"/>
    <x v="5"/>
    <x v="2"/>
    <x v="308"/>
    <s v="-"/>
    <x v="0"/>
    <x v="1"/>
    <x v="5"/>
    <s v="Leena"/>
    <s v="-"/>
    <s v="-"/>
    <d v="2017-05-10T00:00:00"/>
    <s v="Cash"/>
    <s v="-"/>
    <n v="3000"/>
    <x v="0"/>
    <s v="-"/>
    <n v="0"/>
    <s v="-"/>
    <x v="0"/>
    <x v="0"/>
  </r>
  <r>
    <n v="1327"/>
    <x v="1326"/>
    <s v="-"/>
    <x v="70"/>
    <s v="-"/>
    <x v="1225"/>
    <n v="0"/>
    <x v="0"/>
    <x v="3"/>
    <x v="2"/>
    <x v="38"/>
    <s v="-"/>
    <x v="0"/>
    <x v="1"/>
    <x v="25"/>
    <m/>
    <s v="-"/>
    <s v="-"/>
    <d v="2017-05-23T00:00:00"/>
    <s v="Bank"/>
    <s v="-"/>
    <n v="5000"/>
    <x v="0"/>
    <s v="-"/>
    <n v="0"/>
    <s v="-"/>
    <x v="0"/>
    <x v="0"/>
  </r>
  <r>
    <n v="1328"/>
    <x v="1327"/>
    <s v="-"/>
    <x v="33"/>
    <s v="-"/>
    <x v="1226"/>
    <n v="2240000"/>
    <x v="0"/>
    <x v="3"/>
    <x v="2"/>
    <x v="68"/>
    <s v="-"/>
    <x v="0"/>
    <x v="1"/>
    <x v="6"/>
    <s v="Madhu"/>
    <s v="-"/>
    <s v="-"/>
    <d v="2017-05-17T00:00:00"/>
    <s v="Cash"/>
    <s v="-"/>
    <n v="4000"/>
    <x v="0"/>
    <s v="-"/>
    <n v="0"/>
    <s v="-"/>
    <x v="0"/>
    <x v="0"/>
  </r>
  <r>
    <n v="1329"/>
    <x v="1328"/>
    <s v="-"/>
    <x v="71"/>
    <s v="-"/>
    <x v="264"/>
    <n v="2960000"/>
    <x v="0"/>
    <x v="3"/>
    <x v="2"/>
    <x v="58"/>
    <s v="-"/>
    <x v="0"/>
    <x v="1"/>
    <x v="6"/>
    <s v="Neelima"/>
    <s v="-"/>
    <s v="-"/>
    <d v="2017-05-24T00:00:00"/>
    <s v="Bank"/>
    <s v="-"/>
    <n v="3000"/>
    <x v="0"/>
    <s v="-"/>
    <n v="0"/>
    <s v="-"/>
    <x v="0"/>
    <x v="0"/>
  </r>
  <r>
    <n v="1330"/>
    <x v="1329"/>
    <s v="-"/>
    <x v="34"/>
    <s v="-"/>
    <x v="1227"/>
    <n v="0"/>
    <x v="0"/>
    <x v="26"/>
    <x v="2"/>
    <x v="26"/>
    <s v="-"/>
    <x v="0"/>
    <x v="1"/>
    <x v="6"/>
    <s v="Sowjanya"/>
    <s v="-"/>
    <s v="-"/>
    <d v="2017-05-20T00:00:00"/>
    <s v="Cash"/>
    <s v="-"/>
    <n v="4000"/>
    <x v="0"/>
    <s v="-"/>
    <n v="0"/>
    <s v="-"/>
    <x v="0"/>
    <x v="0"/>
  </r>
  <r>
    <n v="1331"/>
    <x v="1330"/>
    <s v="-"/>
    <x v="34"/>
    <s v="-"/>
    <x v="1228"/>
    <n v="2450000"/>
    <x v="0"/>
    <x v="0"/>
    <x v="2"/>
    <x v="309"/>
    <s v="-"/>
    <x v="0"/>
    <x v="1"/>
    <x v="6"/>
    <s v="Usha Latha"/>
    <s v="-"/>
    <s v="-"/>
    <d v="2017-05-23T00:00:00"/>
    <s v="Cash"/>
    <s v="-"/>
    <n v="2000"/>
    <x v="0"/>
    <s v="-"/>
    <n v="0"/>
    <s v="-"/>
    <x v="0"/>
    <x v="0"/>
  </r>
  <r>
    <n v="1332"/>
    <x v="1331"/>
    <s v="-"/>
    <x v="34"/>
    <s v="-"/>
    <x v="1229"/>
    <n v="4354000"/>
    <x v="0"/>
    <x v="3"/>
    <x v="2"/>
    <x v="115"/>
    <s v="-"/>
    <x v="0"/>
    <x v="1"/>
    <x v="25"/>
    <s v="Rajeshwari"/>
    <s v="-"/>
    <s v="-"/>
    <d v="2017-05-25T00:00:00"/>
    <s v="Cash"/>
    <s v="-"/>
    <n v="3000"/>
    <x v="0"/>
    <s v="-"/>
    <n v="0"/>
    <s v="-"/>
    <x v="0"/>
    <x v="0"/>
  </r>
  <r>
    <n v="1333"/>
    <x v="1332"/>
    <s v="-"/>
    <x v="34"/>
    <s v="-"/>
    <x v="1230"/>
    <n v="8552000"/>
    <x v="0"/>
    <x v="3"/>
    <x v="2"/>
    <x v="309"/>
    <s v="-"/>
    <x v="0"/>
    <x v="1"/>
    <x v="6"/>
    <s v="Yamini"/>
    <s v="-"/>
    <s v="-"/>
    <d v="2017-05-23T00:00:00"/>
    <s v="Cash"/>
    <s v="-"/>
    <n v="3000"/>
    <x v="0"/>
    <s v="-"/>
    <n v="0"/>
    <s v="-"/>
    <x v="0"/>
    <x v="0"/>
  </r>
  <r>
    <n v="1334"/>
    <x v="1333"/>
    <s v="-"/>
    <x v="67"/>
    <s v="-"/>
    <x v="301"/>
    <n v="0"/>
    <x v="0"/>
    <x v="3"/>
    <x v="2"/>
    <x v="40"/>
    <s v="-"/>
    <x v="0"/>
    <x v="1"/>
    <x v="5"/>
    <s v="B.Shailaja"/>
    <s v="-"/>
    <s v="Duplicate"/>
    <d v="2017-05-22T00:00:00"/>
    <s v="Cash"/>
    <s v="-"/>
    <n v="1000"/>
    <x v="12"/>
    <s v="-"/>
    <n v="0"/>
    <s v="No Status"/>
    <x v="2"/>
    <x v="0"/>
  </r>
  <r>
    <n v="1335"/>
    <x v="1334"/>
    <s v="-"/>
    <x v="67"/>
    <s v="-"/>
    <x v="1231"/>
    <n v="2431000"/>
    <x v="0"/>
    <x v="3"/>
    <x v="2"/>
    <x v="57"/>
    <s v="-"/>
    <x v="0"/>
    <x v="1"/>
    <x v="5"/>
    <s v="N.Shailaja"/>
    <s v="-"/>
    <s v="-"/>
    <d v="2017-05-26T00:00:00"/>
    <s v="Cash"/>
    <s v="-"/>
    <n v="3000"/>
    <x v="0"/>
    <s v="-"/>
    <n v="0"/>
    <s v="-"/>
    <x v="0"/>
    <x v="0"/>
  </r>
  <r>
    <n v="1336"/>
    <x v="1335"/>
    <s v="-"/>
    <x v="36"/>
    <s v="-"/>
    <x v="1232"/>
    <n v="2910000"/>
    <x v="0"/>
    <x v="3"/>
    <x v="2"/>
    <x v="40"/>
    <s v="-"/>
    <x v="0"/>
    <x v="1"/>
    <x v="5"/>
    <s v="Sai"/>
    <s v="-"/>
    <s v="-"/>
    <d v="2017-05-23T00:00:00"/>
    <s v="Cash"/>
    <s v="-"/>
    <n v="4000"/>
    <x v="0"/>
    <s v="-"/>
    <n v="0"/>
    <s v="-"/>
    <x v="0"/>
    <x v="0"/>
  </r>
  <r>
    <n v="1337"/>
    <x v="1336"/>
    <s v="-"/>
    <x v="36"/>
    <s v="-"/>
    <x v="1233"/>
    <n v="6966000"/>
    <x v="0"/>
    <x v="3"/>
    <x v="2"/>
    <x v="310"/>
    <s v="-"/>
    <x v="0"/>
    <x v="1"/>
    <x v="25"/>
    <s v="Rajini"/>
    <s v="-"/>
    <s v="-"/>
    <d v="2017-05-24T00:00:00"/>
    <s v="Cash"/>
    <s v="-"/>
    <n v="5000"/>
    <x v="0"/>
    <s v="-"/>
    <n v="0"/>
    <s v="-"/>
    <x v="0"/>
    <x v="0"/>
  </r>
  <r>
    <n v="1338"/>
    <x v="1337"/>
    <s v="-"/>
    <x v="37"/>
    <s v="-"/>
    <x v="1234"/>
    <n v="2857000"/>
    <x v="0"/>
    <x v="3"/>
    <x v="2"/>
    <x v="72"/>
    <s v="-"/>
    <x v="0"/>
    <x v="1"/>
    <x v="5"/>
    <s v="Leena"/>
    <s v="-"/>
    <s v="-"/>
    <d v="2017-05-30T00:00:00"/>
    <s v="Bank"/>
    <s v="-"/>
    <n v="3000"/>
    <x v="0"/>
    <s v="-"/>
    <n v="0"/>
    <s v="-"/>
    <x v="0"/>
    <x v="0"/>
  </r>
  <r>
    <n v="1339"/>
    <x v="1338"/>
    <s v="-"/>
    <x v="37"/>
    <s v="-"/>
    <x v="1235"/>
    <n v="3324000"/>
    <x v="0"/>
    <x v="3"/>
    <x v="2"/>
    <x v="112"/>
    <s v="-"/>
    <x v="0"/>
    <x v="1"/>
    <x v="6"/>
    <m/>
    <s v="-"/>
    <s v="-"/>
    <d v="2017-05-26T00:00:00"/>
    <s v="Cash"/>
    <s v="-"/>
    <n v="3000"/>
    <x v="0"/>
    <s v="-"/>
    <n v="0"/>
    <s v="-"/>
    <x v="0"/>
    <x v="0"/>
  </r>
  <r>
    <n v="1340"/>
    <x v="1339"/>
    <s v="-"/>
    <x v="38"/>
    <s v="-"/>
    <x v="1236"/>
    <n v="12491000"/>
    <x v="0"/>
    <x v="5"/>
    <x v="2"/>
    <x v="113"/>
    <s v="-"/>
    <x v="0"/>
    <x v="1"/>
    <x v="6"/>
    <s v="Madhu"/>
    <s v="-"/>
    <s v="-"/>
    <d v="2017-05-30T00:00:00"/>
    <s v="Cash"/>
    <s v="-"/>
    <n v="10000"/>
    <x v="0"/>
    <s v="-"/>
    <n v="0"/>
    <s v="-"/>
    <x v="0"/>
    <x v="0"/>
  </r>
  <r>
    <n v="1341"/>
    <x v="1340"/>
    <s v="-"/>
    <x v="39"/>
    <s v="-"/>
    <x v="308"/>
    <n v="0"/>
    <x v="0"/>
    <x v="3"/>
    <x v="2"/>
    <x v="114"/>
    <s v="-"/>
    <x v="0"/>
    <x v="1"/>
    <x v="5"/>
    <s v="Neelima"/>
    <s v="-"/>
    <s v="Duplicate"/>
    <d v="2017-05-26T00:00:00"/>
    <s v="Cash"/>
    <s v="-"/>
    <n v="1000"/>
    <x v="12"/>
    <s v="-"/>
    <n v="0"/>
    <s v="-"/>
    <x v="2"/>
    <x v="0"/>
  </r>
  <r>
    <n v="1342"/>
    <x v="1341"/>
    <s v="-"/>
    <x v="39"/>
    <s v="-"/>
    <x v="309"/>
    <n v="0"/>
    <x v="0"/>
    <x v="5"/>
    <x v="2"/>
    <x v="115"/>
    <s v="-"/>
    <x v="0"/>
    <x v="1"/>
    <x v="25"/>
    <s v="Neelima"/>
    <s v="-"/>
    <s v="Duplicate"/>
    <d v="2017-05-26T00:00:00"/>
    <s v="Cash"/>
    <s v="-"/>
    <n v="1000"/>
    <x v="8"/>
    <s v="-"/>
    <n v="0"/>
    <s v="Paid"/>
    <x v="2"/>
    <x v="0"/>
  </r>
  <r>
    <n v="1343"/>
    <x v="1342"/>
    <s v="-"/>
    <x v="39"/>
    <s v="-"/>
    <x v="1237"/>
    <n v="0"/>
    <x v="0"/>
    <x v="7"/>
    <x v="2"/>
    <x v="72"/>
    <s v="-"/>
    <x v="0"/>
    <x v="1"/>
    <x v="25"/>
    <s v="Sowjanya"/>
    <s v="-"/>
    <s v="-"/>
    <d v="2017-05-26T00:00:00"/>
    <s v="Cash"/>
    <s v="-"/>
    <n v="3000"/>
    <x v="0"/>
    <s v="-"/>
    <n v="0"/>
    <s v="-"/>
    <x v="0"/>
    <x v="0"/>
  </r>
  <r>
    <n v="1344"/>
    <x v="1343"/>
    <s v="-"/>
    <x v="39"/>
    <s v="-"/>
    <x v="1238"/>
    <n v="0"/>
    <x v="0"/>
    <x v="3"/>
    <x v="2"/>
    <x v="38"/>
    <s v="-"/>
    <x v="0"/>
    <x v="1"/>
    <x v="25"/>
    <s v="Usha Latha"/>
    <s v="-"/>
    <s v="-"/>
    <d v="2017-05-29T00:00:00"/>
    <s v="Bank"/>
    <s v="-"/>
    <n v="2500"/>
    <x v="0"/>
    <s v="-"/>
    <n v="0"/>
    <s v="-"/>
    <x v="0"/>
    <x v="0"/>
  </r>
  <r>
    <n v="1345"/>
    <x v="1344"/>
    <s v="-"/>
    <x v="39"/>
    <s v="-"/>
    <x v="1073"/>
    <n v="0"/>
    <x v="0"/>
    <x v="3"/>
    <x v="2"/>
    <x v="54"/>
    <s v="-"/>
    <x v="0"/>
    <x v="1"/>
    <x v="6"/>
    <s v="Rajeshwari"/>
    <s v="-"/>
    <s v="-"/>
    <d v="2017-05-30T00:00:00"/>
    <s v="Cash"/>
    <s v="-"/>
    <n v="6000"/>
    <x v="0"/>
    <s v="-"/>
    <n v="0"/>
    <s v="-"/>
    <x v="0"/>
    <x v="0"/>
  </r>
  <r>
    <n v="1346"/>
    <x v="1345"/>
    <s v="-"/>
    <x v="41"/>
    <s v="-"/>
    <x v="310"/>
    <n v="0"/>
    <x v="0"/>
    <x v="3"/>
    <x v="2"/>
    <x v="75"/>
    <s v="-"/>
    <x v="0"/>
    <x v="1"/>
    <x v="25"/>
    <s v="Yamini"/>
    <s v="-"/>
    <s v="Duplicate"/>
    <d v="2017-05-30T00:00:00"/>
    <s v="Cash"/>
    <s v="-"/>
    <n v="1000"/>
    <x v="12"/>
    <s v="-"/>
    <n v="0"/>
    <s v="-"/>
    <x v="2"/>
    <x v="0"/>
  </r>
  <r>
    <n v="1347"/>
    <x v="1346"/>
    <s v="-"/>
    <x v="41"/>
    <s v="-"/>
    <x v="1239"/>
    <n v="0"/>
    <x v="0"/>
    <x v="3"/>
    <x v="2"/>
    <x v="64"/>
    <s v="-"/>
    <x v="0"/>
    <x v="1"/>
    <x v="25"/>
    <s v="B.Shailaja"/>
    <s v="-"/>
    <s v="-"/>
    <d v="2017-05-31T00:00:00"/>
    <s v="Cash"/>
    <s v="-"/>
    <n v="5000"/>
    <x v="0"/>
    <s v="-"/>
    <n v="0"/>
    <s v="-"/>
    <x v="0"/>
    <x v="0"/>
  </r>
  <r>
    <n v="1348"/>
    <x v="1347"/>
    <s v="-"/>
    <x v="68"/>
    <s v="-"/>
    <x v="314"/>
    <n v="0"/>
    <x v="0"/>
    <x v="3"/>
    <x v="2"/>
    <x v="117"/>
    <s v="-"/>
    <x v="0"/>
    <x v="1"/>
    <x v="6"/>
    <s v="N.Shailaja"/>
    <s v="-"/>
    <s v="Duplicate"/>
    <d v="2017-05-31T00:00:00"/>
    <s v="Cash"/>
    <s v="-"/>
    <n v="1000"/>
    <x v="8"/>
    <s v="-"/>
    <n v="0"/>
    <s v="Paid"/>
    <x v="2"/>
    <x v="0"/>
  </r>
  <r>
    <n v="1349"/>
    <x v="1348"/>
    <s v="-"/>
    <x v="17"/>
    <s v="-"/>
    <x v="1240"/>
    <n v="0"/>
    <x v="0"/>
    <x v="5"/>
    <x v="2"/>
    <x v="71"/>
    <s v="-"/>
    <x v="0"/>
    <x v="1"/>
    <x v="5"/>
    <m/>
    <s v="-"/>
    <s v="-"/>
    <d v="2017-05-18T00:00:00"/>
    <s v="Cash"/>
    <s v="-"/>
    <n v="1000"/>
    <x v="0"/>
    <s v="-"/>
    <n v="0"/>
    <s v="-"/>
    <x v="0"/>
    <x v="0"/>
  </r>
  <r>
    <n v="1350"/>
    <x v="1349"/>
    <s v="-"/>
    <x v="58"/>
    <s v="-"/>
    <x v="1241"/>
    <n v="0"/>
    <x v="0"/>
    <x v="3"/>
    <x v="2"/>
    <x v="311"/>
    <s v="-"/>
    <x v="0"/>
    <x v="1"/>
    <x v="6"/>
    <s v="Rajini"/>
    <s v="-"/>
    <s v="-"/>
    <d v="2017-05-02T00:00:00"/>
    <s v="Bank"/>
    <s v="-"/>
    <n v="6000"/>
    <x v="0"/>
    <s v="-"/>
    <n v="0"/>
    <s v="-"/>
    <x v="0"/>
    <x v="0"/>
  </r>
  <r>
    <n v="1351"/>
    <x v="1350"/>
    <s v="-"/>
    <x v="58"/>
    <s v="-"/>
    <x v="1242"/>
    <n v="0"/>
    <x v="0"/>
    <x v="4"/>
    <x v="2"/>
    <x v="40"/>
    <s v="-"/>
    <x v="0"/>
    <x v="1"/>
    <x v="6"/>
    <s v="Leena"/>
    <s v="-"/>
    <s v="-"/>
    <d v="2017-05-06T00:00:00"/>
    <s v="Bank"/>
    <s v="-"/>
    <n v="3000"/>
    <x v="0"/>
    <n v="4004"/>
    <n v="3000"/>
    <s v="-"/>
    <x v="0"/>
    <x v="0"/>
  </r>
  <r>
    <n v="1352"/>
    <x v="1351"/>
    <s v="-"/>
    <x v="58"/>
    <s v="-"/>
    <x v="1243"/>
    <n v="0"/>
    <x v="0"/>
    <x v="0"/>
    <x v="2"/>
    <x v="112"/>
    <s v="-"/>
    <x v="0"/>
    <x v="1"/>
    <x v="6"/>
    <m/>
    <s v="-"/>
    <s v="-"/>
    <d v="2017-05-15T00:00:00"/>
    <s v="Bank"/>
    <s v="-"/>
    <n v="5000"/>
    <x v="0"/>
    <n v="3900"/>
    <n v="5000"/>
    <s v="-"/>
    <x v="0"/>
    <x v="0"/>
  </r>
  <r>
    <n v="1353"/>
    <x v="1352"/>
    <s v="-"/>
    <x v="119"/>
    <s v="-"/>
    <x v="1244"/>
    <n v="0"/>
    <x v="0"/>
    <x v="0"/>
    <x v="2"/>
    <x v="121"/>
    <s v="-"/>
    <x v="0"/>
    <x v="1"/>
    <x v="5"/>
    <s v="Madhu"/>
    <s v="-"/>
    <s v="-"/>
    <d v="2017-05-03T00:00:00"/>
    <s v="Cash"/>
    <s v="-"/>
    <n v="3000"/>
    <x v="0"/>
    <s v="-"/>
    <n v="0"/>
    <s v="-"/>
    <x v="0"/>
    <x v="0"/>
  </r>
  <r>
    <n v="1354"/>
    <x v="1353"/>
    <s v="-"/>
    <x v="119"/>
    <s v="-"/>
    <x v="1245"/>
    <n v="0"/>
    <x v="0"/>
    <x v="0"/>
    <x v="2"/>
    <x v="40"/>
    <s v="-"/>
    <x v="0"/>
    <x v="1"/>
    <x v="5"/>
    <s v="Neelima"/>
    <s v="-"/>
    <s v="-"/>
    <d v="2017-05-05T00:00:00"/>
    <s v="Cash"/>
    <s v="-"/>
    <n v="4500"/>
    <x v="0"/>
    <s v="-"/>
    <n v="0"/>
    <s v="-"/>
    <x v="0"/>
    <x v="0"/>
  </r>
  <r>
    <n v="1355"/>
    <x v="1354"/>
    <s v="-"/>
    <x v="23"/>
    <s v="-"/>
    <x v="1246"/>
    <n v="0"/>
    <x v="0"/>
    <x v="5"/>
    <x v="2"/>
    <x v="312"/>
    <s v="-"/>
    <x v="0"/>
    <x v="1"/>
    <x v="6"/>
    <s v="Sowjanya"/>
    <s v="-"/>
    <s v="-"/>
    <d v="2017-05-06T00:00:00"/>
    <s v="Bank"/>
    <s v="-"/>
    <n v="3000"/>
    <x v="0"/>
    <n v="4005"/>
    <n v="5000"/>
    <s v="-"/>
    <x v="0"/>
    <x v="0"/>
  </r>
  <r>
    <n v="1356"/>
    <x v="1355"/>
    <s v="-"/>
    <x v="23"/>
    <s v="-"/>
    <x v="1247"/>
    <n v="0"/>
    <x v="0"/>
    <x v="5"/>
    <x v="2"/>
    <x v="312"/>
    <s v="-"/>
    <x v="0"/>
    <x v="1"/>
    <x v="6"/>
    <s v="Usha Latha"/>
    <s v="-"/>
    <s v="-"/>
    <d v="2017-05-02T00:00:00"/>
    <s v="Bank"/>
    <s v="-"/>
    <n v="3500"/>
    <x v="0"/>
    <n v="4006"/>
    <n v="3500"/>
    <s v="-"/>
    <x v="0"/>
    <x v="0"/>
  </r>
  <r>
    <n v="1357"/>
    <x v="1356"/>
    <s v="-"/>
    <x v="78"/>
    <s v="-"/>
    <x v="1248"/>
    <n v="0"/>
    <x v="0"/>
    <x v="11"/>
    <x v="2"/>
    <x v="26"/>
    <s v="-"/>
    <x v="0"/>
    <x v="2"/>
    <x v="0"/>
    <s v="Rajeshwari"/>
    <s v="-"/>
    <s v="-"/>
    <d v="2017-05-01T00:00:00"/>
    <s v="Cash"/>
    <s v="-"/>
    <n v="2000"/>
    <x v="0"/>
    <s v="-"/>
    <n v="0"/>
    <s v="-"/>
    <x v="0"/>
    <x v="0"/>
  </r>
  <r>
    <n v="1358"/>
    <x v="1357"/>
    <s v="-"/>
    <x v="78"/>
    <s v="-"/>
    <x v="1249"/>
    <n v="3422000"/>
    <x v="0"/>
    <x v="5"/>
    <x v="2"/>
    <x v="41"/>
    <s v="-"/>
    <x v="3"/>
    <x v="2"/>
    <x v="13"/>
    <s v="Yamini"/>
    <s v="-"/>
    <s v="-"/>
    <d v="2017-05-10T00:00:00"/>
    <s v="Bank"/>
    <s v="-"/>
    <n v="3000"/>
    <x v="0"/>
    <s v="-"/>
    <n v="0"/>
    <s v="-"/>
    <x v="0"/>
    <x v="0"/>
  </r>
  <r>
    <n v="1359"/>
    <x v="1358"/>
    <s v="-"/>
    <x v="78"/>
    <s v="-"/>
    <x v="1250"/>
    <n v="3048000"/>
    <x v="0"/>
    <x v="0"/>
    <x v="2"/>
    <x v="146"/>
    <s v="-"/>
    <x v="0"/>
    <x v="2"/>
    <x v="15"/>
    <s v="B.Shailaja"/>
    <s v="-"/>
    <s v="-"/>
    <d v="2017-05-03T00:00:00"/>
    <s v="Cash"/>
    <s v="-"/>
    <n v="3000"/>
    <x v="0"/>
    <s v="-"/>
    <n v="0"/>
    <s v="-"/>
    <x v="0"/>
    <x v="0"/>
  </r>
  <r>
    <n v="1360"/>
    <x v="1359"/>
    <s v="-"/>
    <x v="78"/>
    <s v="-"/>
    <x v="1251"/>
    <n v="3217000"/>
    <x v="0"/>
    <x v="14"/>
    <x v="2"/>
    <x v="130"/>
    <s v="-"/>
    <x v="0"/>
    <x v="2"/>
    <x v="13"/>
    <s v="N.Shailaja"/>
    <s v="-"/>
    <s v="-"/>
    <d v="2017-05-10T00:00:00"/>
    <s v="Cash"/>
    <s v="-"/>
    <n v="3000"/>
    <x v="0"/>
    <s v="-"/>
    <n v="0"/>
    <s v="-"/>
    <x v="0"/>
    <x v="0"/>
  </r>
  <r>
    <n v="1361"/>
    <x v="1360"/>
    <s v="-"/>
    <x v="78"/>
    <s v="-"/>
    <x v="1252"/>
    <n v="2226000"/>
    <x v="0"/>
    <x v="5"/>
    <x v="2"/>
    <x v="160"/>
    <s v="-"/>
    <x v="0"/>
    <x v="2"/>
    <x v="13"/>
    <m/>
    <s v="-"/>
    <s v="-"/>
    <d v="2017-05-05T00:00:00"/>
    <s v="Cash"/>
    <s v="-"/>
    <n v="3000"/>
    <x v="0"/>
    <s v="-"/>
    <n v="0"/>
    <s v="-"/>
    <x v="0"/>
    <x v="0"/>
  </r>
  <r>
    <n v="1362"/>
    <x v="1361"/>
    <s v="-"/>
    <x v="25"/>
    <s v="-"/>
    <x v="1010"/>
    <n v="0"/>
    <x v="0"/>
    <x v="10"/>
    <x v="2"/>
    <x v="26"/>
    <s v="-"/>
    <x v="0"/>
    <x v="2"/>
    <x v="0"/>
    <s v="Rajini"/>
    <s v="-"/>
    <s v="-"/>
    <d v="2017-05-03T00:00:00"/>
    <s v="Cash"/>
    <s v="-"/>
    <n v="1000"/>
    <x v="0"/>
    <s v="-"/>
    <n v="0"/>
    <s v="-"/>
    <x v="0"/>
    <x v="0"/>
  </r>
  <r>
    <n v="1363"/>
    <x v="1362"/>
    <s v="-"/>
    <x v="25"/>
    <s v="-"/>
    <x v="1253"/>
    <n v="6421000"/>
    <x v="0"/>
    <x v="5"/>
    <x v="2"/>
    <x v="313"/>
    <s v="-"/>
    <x v="0"/>
    <x v="2"/>
    <x v="15"/>
    <s v="Leena"/>
    <s v="-"/>
    <s v="-"/>
    <d v="2017-05-09T00:00:00"/>
    <s v="Cash"/>
    <s v="-"/>
    <n v="1500"/>
    <x v="0"/>
    <s v="-"/>
    <n v="0"/>
    <s v="-"/>
    <x v="0"/>
    <x v="0"/>
  </r>
  <r>
    <n v="1364"/>
    <x v="1363"/>
    <s v="-"/>
    <x v="25"/>
    <s v="-"/>
    <x v="1254"/>
    <n v="4126000"/>
    <x v="0"/>
    <x v="7"/>
    <x v="2"/>
    <x v="314"/>
    <s v="-"/>
    <x v="3"/>
    <x v="2"/>
    <x v="15"/>
    <m/>
    <s v="-"/>
    <s v="-"/>
    <d v="2017-05-10T00:00:00"/>
    <s v="Bank"/>
    <s v="-"/>
    <n v="3000"/>
    <x v="0"/>
    <s v="-"/>
    <n v="0"/>
    <s v="-"/>
    <x v="0"/>
    <x v="0"/>
  </r>
  <r>
    <n v="1365"/>
    <x v="1364"/>
    <s v="-"/>
    <x v="26"/>
    <s v="-"/>
    <x v="1255"/>
    <n v="9103000"/>
    <x v="0"/>
    <x v="10"/>
    <x v="2"/>
    <x v="26"/>
    <s v="-"/>
    <x v="0"/>
    <x v="2"/>
    <x v="0"/>
    <s v="Madhu"/>
    <s v="-"/>
    <s v="-"/>
    <d v="2017-05-04T00:00:00"/>
    <s v="Cash"/>
    <s v="-"/>
    <n v="1000"/>
    <x v="0"/>
    <s v="-"/>
    <n v="0"/>
    <s v="-"/>
    <x v="0"/>
    <x v="0"/>
  </r>
  <r>
    <n v="1366"/>
    <x v="1365"/>
    <s v="-"/>
    <x v="26"/>
    <s v="-"/>
    <x v="1256"/>
    <n v="2380000"/>
    <x v="0"/>
    <x v="0"/>
    <x v="2"/>
    <x v="146"/>
    <s v="-"/>
    <x v="0"/>
    <x v="2"/>
    <x v="13"/>
    <s v="Neelima"/>
    <s v="-"/>
    <s v="-"/>
    <d v="2017-05-06T00:00:00"/>
    <s v="Cash"/>
    <s v="-"/>
    <n v="3500"/>
    <x v="0"/>
    <s v="-"/>
    <n v="0"/>
    <s v="-"/>
    <x v="0"/>
    <x v="0"/>
  </r>
  <r>
    <n v="1367"/>
    <x v="1366"/>
    <s v="-"/>
    <x v="26"/>
    <s v="-"/>
    <x v="1257"/>
    <n v="2200000"/>
    <x v="0"/>
    <x v="5"/>
    <x v="2"/>
    <x v="7"/>
    <s v="-"/>
    <x v="0"/>
    <x v="2"/>
    <x v="13"/>
    <s v="Sowjanya"/>
    <s v="-"/>
    <s v="-"/>
    <d v="2017-05-06T00:00:00"/>
    <s v="Cash"/>
    <s v="-"/>
    <n v="3000"/>
    <x v="0"/>
    <s v="-"/>
    <n v="0"/>
    <s v="-"/>
    <x v="0"/>
    <x v="0"/>
  </r>
  <r>
    <n v="1368"/>
    <x v="1367"/>
    <s v="-"/>
    <x v="27"/>
    <s v="-"/>
    <x v="1258"/>
    <n v="8772000"/>
    <x v="0"/>
    <x v="5"/>
    <x v="2"/>
    <x v="315"/>
    <s v="-"/>
    <x v="0"/>
    <x v="2"/>
    <x v="13"/>
    <s v="Usha Latha"/>
    <s v="-"/>
    <s v="-"/>
    <d v="2017-05-25T00:00:00"/>
    <s v="Cash"/>
    <s v="-"/>
    <n v="5000"/>
    <x v="0"/>
    <s v="-"/>
    <n v="0"/>
    <s v="-"/>
    <x v="0"/>
    <x v="0"/>
  </r>
  <r>
    <n v="1369"/>
    <x v="1368"/>
    <s v="-"/>
    <x v="28"/>
    <s v="-"/>
    <x v="1259"/>
    <n v="3305000"/>
    <x v="0"/>
    <x v="0"/>
    <x v="2"/>
    <x v="23"/>
    <s v="-"/>
    <x v="0"/>
    <x v="2"/>
    <x v="15"/>
    <s v="Rajeshwari"/>
    <s v="-"/>
    <s v="-"/>
    <d v="2017-05-10T00:00:00"/>
    <s v="Cash"/>
    <s v="-"/>
    <n v="3000"/>
    <x v="0"/>
    <s v="-"/>
    <n v="0"/>
    <s v="-"/>
    <x v="0"/>
    <x v="0"/>
  </r>
  <r>
    <n v="1370"/>
    <x v="1369"/>
    <s v="-"/>
    <x v="28"/>
    <s v="-"/>
    <x v="1259"/>
    <n v="5424000"/>
    <x v="0"/>
    <x v="0"/>
    <x v="2"/>
    <x v="23"/>
    <s v="-"/>
    <x v="0"/>
    <x v="2"/>
    <x v="15"/>
    <s v="Yamini"/>
    <s v="-"/>
    <s v="-"/>
    <d v="2017-05-10T00:00:00"/>
    <s v="Cash"/>
    <s v="-"/>
    <n v="3000"/>
    <x v="0"/>
    <s v="-"/>
    <n v="0"/>
    <s v="-"/>
    <x v="0"/>
    <x v="0"/>
  </r>
  <r>
    <n v="1371"/>
    <x v="1370"/>
    <s v="-"/>
    <x v="28"/>
    <s v="-"/>
    <x v="1260"/>
    <n v="2068000"/>
    <x v="0"/>
    <x v="5"/>
    <x v="2"/>
    <x v="134"/>
    <s v="-"/>
    <x v="0"/>
    <x v="2"/>
    <x v="15"/>
    <s v="B.Shailaja"/>
    <s v="-"/>
    <s v="-"/>
    <d v="2017-05-24T00:00:00"/>
    <s v="Cash"/>
    <s v="-"/>
    <n v="5000"/>
    <x v="0"/>
    <s v="-"/>
    <n v="0"/>
    <s v="-"/>
    <x v="0"/>
    <x v="0"/>
  </r>
  <r>
    <n v="1372"/>
    <x v="1371"/>
    <s v="-"/>
    <x v="29"/>
    <s v="-"/>
    <x v="1261"/>
    <n v="4287000"/>
    <x v="0"/>
    <x v="5"/>
    <x v="2"/>
    <x v="178"/>
    <s v="-"/>
    <x v="0"/>
    <x v="2"/>
    <x v="13"/>
    <s v="N.Shailaja"/>
    <s v="-"/>
    <s v="-"/>
    <d v="2017-05-12T00:00:00"/>
    <s v="Cash"/>
    <s v="-"/>
    <n v="4000"/>
    <x v="0"/>
    <s v="-"/>
    <n v="0"/>
    <s v="-"/>
    <x v="0"/>
    <x v="0"/>
  </r>
  <r>
    <n v="1373"/>
    <x v="1372"/>
    <s v="-"/>
    <x v="29"/>
    <s v="-"/>
    <x v="1262"/>
    <n v="3752000"/>
    <x v="0"/>
    <x v="0"/>
    <x v="2"/>
    <x v="41"/>
    <s v="-"/>
    <x v="0"/>
    <x v="2"/>
    <x v="13"/>
    <m/>
    <s v="-"/>
    <s v="-"/>
    <d v="2017-05-16T00:00:00"/>
    <s v="Bank"/>
    <s v="-"/>
    <n v="10000"/>
    <x v="0"/>
    <s v="-"/>
    <n v="0"/>
    <s v="-"/>
    <x v="0"/>
    <x v="0"/>
  </r>
  <r>
    <n v="1374"/>
    <x v="1373"/>
    <s v="-"/>
    <x v="30"/>
    <s v="-"/>
    <x v="1263"/>
    <n v="5050000"/>
    <x v="0"/>
    <x v="5"/>
    <x v="2"/>
    <x v="178"/>
    <s v="-"/>
    <x v="0"/>
    <x v="2"/>
    <x v="13"/>
    <s v="Rajini"/>
    <s v="-"/>
    <s v="-"/>
    <d v="2017-05-15T00:00:00"/>
    <s v="Cash"/>
    <s v="-"/>
    <n v="5000"/>
    <x v="0"/>
    <s v="-"/>
    <n v="0"/>
    <s v="-"/>
    <x v="0"/>
    <x v="0"/>
  </r>
  <r>
    <n v="1375"/>
    <x v="1374"/>
    <s v="-"/>
    <x v="31"/>
    <s v="-"/>
    <x v="1264"/>
    <n v="7340000"/>
    <x v="0"/>
    <x v="5"/>
    <x v="2"/>
    <x v="316"/>
    <s v="-"/>
    <x v="0"/>
    <x v="2"/>
    <x v="15"/>
    <s v="Leena"/>
    <s v="-"/>
    <s v="-"/>
    <d v="2017-05-16T00:00:00"/>
    <s v="Cash"/>
    <s v="-"/>
    <n v="5000"/>
    <x v="0"/>
    <s v="-"/>
    <n v="0"/>
    <s v="-"/>
    <x v="0"/>
    <x v="0"/>
  </r>
  <r>
    <n v="1376"/>
    <x v="1375"/>
    <s v="-"/>
    <x v="31"/>
    <s v="-"/>
    <x v="1265"/>
    <n v="7306000"/>
    <x v="0"/>
    <x v="3"/>
    <x v="2"/>
    <x v="145"/>
    <s v="-"/>
    <x v="3"/>
    <x v="2"/>
    <x v="15"/>
    <m/>
    <s v="-"/>
    <s v="-"/>
    <d v="2017-05-18T00:00:00"/>
    <s v="Bank"/>
    <s v="-"/>
    <n v="4000"/>
    <x v="0"/>
    <s v="-"/>
    <n v="0"/>
    <s v="-"/>
    <x v="0"/>
    <x v="0"/>
  </r>
  <r>
    <n v="1377"/>
    <x v="1376"/>
    <s v="-"/>
    <x v="31"/>
    <s v="-"/>
    <x v="1266"/>
    <n v="2510000"/>
    <x v="0"/>
    <x v="5"/>
    <x v="2"/>
    <x v="178"/>
    <s v="-"/>
    <x v="0"/>
    <x v="2"/>
    <x v="15"/>
    <s v="Madhu"/>
    <s v="-"/>
    <s v="-"/>
    <d v="2017-05-15T00:00:00"/>
    <s v="Cash"/>
    <s v="-"/>
    <n v="3000"/>
    <x v="0"/>
    <s v="-"/>
    <n v="0"/>
    <s v="-"/>
    <x v="0"/>
    <x v="0"/>
  </r>
  <r>
    <n v="1378"/>
    <x v="1377"/>
    <s v="-"/>
    <x v="31"/>
    <s v="-"/>
    <x v="1267"/>
    <n v="3492000"/>
    <x v="0"/>
    <x v="5"/>
    <x v="2"/>
    <x v="143"/>
    <s v="-"/>
    <x v="0"/>
    <x v="2"/>
    <x v="13"/>
    <s v="Neelima"/>
    <s v="-"/>
    <s v="-"/>
    <d v="2017-05-16T00:00:00"/>
    <s v="Cash"/>
    <s v="-"/>
    <n v="3000"/>
    <x v="0"/>
    <s v="-"/>
    <n v="0"/>
    <s v="-"/>
    <x v="0"/>
    <x v="0"/>
  </r>
  <r>
    <n v="1379"/>
    <x v="1378"/>
    <s v="-"/>
    <x v="32"/>
    <s v="-"/>
    <x v="1268"/>
    <n v="3821000"/>
    <x v="0"/>
    <x v="5"/>
    <x v="2"/>
    <x v="317"/>
    <s v="-"/>
    <x v="3"/>
    <x v="2"/>
    <x v="14"/>
    <s v="Sowjanya"/>
    <s v="-"/>
    <s v="-"/>
    <d v="2017-05-18T00:00:00"/>
    <s v="Bank"/>
    <s v="-"/>
    <n v="3000"/>
    <x v="0"/>
    <s v="-"/>
    <n v="0"/>
    <s v="-"/>
    <x v="0"/>
    <x v="0"/>
  </r>
  <r>
    <n v="1380"/>
    <x v="1379"/>
    <s v="-"/>
    <x v="32"/>
    <s v="-"/>
    <x v="1269"/>
    <n v="4589000"/>
    <x v="0"/>
    <x v="0"/>
    <x v="2"/>
    <x v="26"/>
    <s v="-"/>
    <x v="0"/>
    <x v="2"/>
    <x v="15"/>
    <s v="Usha Latha"/>
    <s v="-"/>
    <s v="-"/>
    <d v="2017-05-13T00:00:00"/>
    <s v="Cash"/>
    <s v="-"/>
    <n v="3000"/>
    <x v="0"/>
    <s v="-"/>
    <n v="0"/>
    <s v="-"/>
    <x v="0"/>
    <x v="0"/>
  </r>
  <r>
    <n v="1381"/>
    <x v="1380"/>
    <s v="-"/>
    <x v="70"/>
    <s v="-"/>
    <x v="1270"/>
    <n v="0"/>
    <x v="0"/>
    <x v="10"/>
    <x v="2"/>
    <x v="26"/>
    <s v="-"/>
    <x v="0"/>
    <x v="2"/>
    <x v="0"/>
    <s v="Rajeshwari"/>
    <s v="-"/>
    <s v="-"/>
    <d v="2017-05-16T00:00:00"/>
    <s v="Cash"/>
    <s v="-"/>
    <n v="1000"/>
    <x v="0"/>
    <s v="-"/>
    <n v="0"/>
    <s v="-"/>
    <x v="0"/>
    <x v="0"/>
  </r>
  <r>
    <n v="1382"/>
    <x v="1381"/>
    <s v="-"/>
    <x v="33"/>
    <s v="-"/>
    <x v="1271"/>
    <n v="0"/>
    <x v="0"/>
    <x v="10"/>
    <x v="2"/>
    <x v="26"/>
    <s v="-"/>
    <x v="0"/>
    <x v="2"/>
    <x v="0"/>
    <s v="Yamini"/>
    <s v="-"/>
    <s v="-"/>
    <d v="2017-05-16T00:00:00"/>
    <s v="Cash"/>
    <s v="-"/>
    <n v="1000"/>
    <x v="0"/>
    <s v="-"/>
    <n v="0"/>
    <s v="-"/>
    <x v="0"/>
    <x v="0"/>
  </r>
  <r>
    <n v="1383"/>
    <x v="1382"/>
    <s v="-"/>
    <x v="71"/>
    <s v="-"/>
    <x v="1272"/>
    <n v="0"/>
    <x v="0"/>
    <x v="6"/>
    <x v="2"/>
    <x v="26"/>
    <s v="-"/>
    <x v="0"/>
    <x v="2"/>
    <x v="0"/>
    <s v="B.Shailaja"/>
    <s v="-"/>
    <s v="-"/>
    <d v="2017-05-17T00:00:00"/>
    <s v="Cash"/>
    <s v="-"/>
    <n v="500"/>
    <x v="0"/>
    <s v="-"/>
    <n v="0"/>
    <s v="-"/>
    <x v="0"/>
    <x v="0"/>
  </r>
  <r>
    <n v="1384"/>
    <x v="1383"/>
    <s v="-"/>
    <x v="71"/>
    <s v="-"/>
    <x v="1273"/>
    <n v="6544000"/>
    <x v="0"/>
    <x v="0"/>
    <x v="2"/>
    <x v="32"/>
    <s v="-"/>
    <x v="0"/>
    <x v="2"/>
    <x v="13"/>
    <s v="N.Shailaja"/>
    <s v="-"/>
    <s v="-"/>
    <d v="2017-05-24T00:00:00"/>
    <s v="Cash"/>
    <s v="-"/>
    <n v="5000"/>
    <x v="0"/>
    <s v="-"/>
    <n v="0"/>
    <s v="-"/>
    <x v="0"/>
    <x v="0"/>
  </r>
  <r>
    <n v="1385"/>
    <x v="1384"/>
    <s v="-"/>
    <x v="71"/>
    <s v="-"/>
    <x v="1274"/>
    <n v="3828000"/>
    <x v="0"/>
    <x v="0"/>
    <x v="2"/>
    <x v="41"/>
    <s v="-"/>
    <x v="0"/>
    <x v="2"/>
    <x v="15"/>
    <m/>
    <s v="-"/>
    <s v="-"/>
    <d v="2017-05-23T00:00:00"/>
    <s v="Bank"/>
    <s v="-"/>
    <n v="3000"/>
    <x v="0"/>
    <s v="-"/>
    <n v="0"/>
    <s v="-"/>
    <x v="0"/>
    <x v="0"/>
  </r>
  <r>
    <n v="1386"/>
    <x v="1385"/>
    <s v="-"/>
    <x v="71"/>
    <s v="-"/>
    <x v="1275"/>
    <n v="5324000"/>
    <x v="0"/>
    <x v="3"/>
    <x v="2"/>
    <x v="318"/>
    <s v="-"/>
    <x v="0"/>
    <x v="2"/>
    <x v="14"/>
    <s v="Rajini"/>
    <s v="-"/>
    <s v="-"/>
    <d v="2017-05-20T00:00:00"/>
    <s v="Cash"/>
    <s v="-"/>
    <n v="3000"/>
    <x v="0"/>
    <s v="-"/>
    <n v="0"/>
    <s v="-"/>
    <x v="0"/>
    <x v="0"/>
  </r>
  <r>
    <n v="1387"/>
    <x v="1386"/>
    <s v="-"/>
    <x v="115"/>
    <s v="-"/>
    <x v="267"/>
    <n v="3013000"/>
    <x v="0"/>
    <x v="18"/>
    <x v="2"/>
    <x v="45"/>
    <s v="-"/>
    <x v="0"/>
    <x v="2"/>
    <x v="15"/>
    <s v="Leena"/>
    <s v="-"/>
    <s v="Duplicate"/>
    <d v="2017-05-19T00:00:00"/>
    <s v="Cash"/>
    <s v="-"/>
    <n v="1000"/>
    <x v="8"/>
    <s v="-"/>
    <n v="0"/>
    <s v="Paid"/>
    <x v="2"/>
    <x v="0"/>
  </r>
  <r>
    <n v="1388"/>
    <x v="1387"/>
    <s v="-"/>
    <x v="35"/>
    <s v="-"/>
    <x v="1276"/>
    <n v="5840000"/>
    <x v="0"/>
    <x v="0"/>
    <x v="2"/>
    <x v="316"/>
    <s v="-"/>
    <x v="0"/>
    <x v="2"/>
    <x v="13"/>
    <m/>
    <s v="-"/>
    <s v="-"/>
    <d v="2017-05-02T00:00:00"/>
    <s v="Bank"/>
    <s v="-"/>
    <n v="3000"/>
    <x v="0"/>
    <s v="-"/>
    <n v="0"/>
    <s v="-"/>
    <x v="0"/>
    <x v="0"/>
  </r>
  <r>
    <n v="1389"/>
    <x v="1388"/>
    <s v="-"/>
    <x v="35"/>
    <s v="-"/>
    <x v="1277"/>
    <n v="5735000"/>
    <x v="0"/>
    <x v="0"/>
    <x v="2"/>
    <x v="318"/>
    <s v="-"/>
    <x v="0"/>
    <x v="2"/>
    <x v="13"/>
    <s v="Madhu"/>
    <s v="-"/>
    <s v="-"/>
    <d v="2017-05-26T00:00:00"/>
    <s v="Cash"/>
    <s v="-"/>
    <n v="5000"/>
    <x v="0"/>
    <s v="-"/>
    <n v="0"/>
    <s v="-"/>
    <x v="0"/>
    <x v="0"/>
  </r>
  <r>
    <n v="1390"/>
    <x v="1389"/>
    <s v="-"/>
    <x v="67"/>
    <s v="-"/>
    <x v="56"/>
    <n v="5190000"/>
    <x v="0"/>
    <x v="5"/>
    <x v="2"/>
    <x v="26"/>
    <s v="-"/>
    <x v="7"/>
    <x v="2"/>
    <x v="13"/>
    <s v="Neelima"/>
    <s v="-"/>
    <s v="-"/>
    <d v="2017-05-26T00:00:00"/>
    <s v="Bank"/>
    <s v="-"/>
    <n v="3000"/>
    <x v="0"/>
    <s v="-"/>
    <n v="0"/>
    <s v="-"/>
    <x v="0"/>
    <x v="0"/>
  </r>
  <r>
    <n v="1391"/>
    <x v="1390"/>
    <s v="-"/>
    <x v="67"/>
    <s v="-"/>
    <x v="56"/>
    <n v="5190000"/>
    <x v="0"/>
    <x v="5"/>
    <x v="2"/>
    <x v="26"/>
    <s v="-"/>
    <x v="7"/>
    <x v="2"/>
    <x v="13"/>
    <s v="Sowjanya"/>
    <s v="-"/>
    <s v="-"/>
    <d v="2017-05-29T00:00:00"/>
    <s v="Bank"/>
    <s v="-"/>
    <n v="3000"/>
    <x v="0"/>
    <s v="-"/>
    <n v="0"/>
    <s v="-"/>
    <x v="0"/>
    <x v="0"/>
  </r>
  <r>
    <n v="1392"/>
    <x v="1391"/>
    <s v="-"/>
    <x v="67"/>
    <s v="-"/>
    <x v="557"/>
    <n v="5017000"/>
    <x v="0"/>
    <x v="0"/>
    <x v="2"/>
    <x v="26"/>
    <s v="-"/>
    <x v="3"/>
    <x v="2"/>
    <x v="15"/>
    <s v="Usha Latha"/>
    <s v="-"/>
    <s v="-"/>
    <d v="2017-05-25T00:00:00"/>
    <s v="Cash"/>
    <s v="-"/>
    <n v="4000"/>
    <x v="0"/>
    <s v="-"/>
    <n v="0"/>
    <s v="-"/>
    <x v="0"/>
    <x v="0"/>
  </r>
  <r>
    <n v="1393"/>
    <x v="1392"/>
    <s v="-"/>
    <x v="36"/>
    <s v="-"/>
    <x v="1278"/>
    <n v="0"/>
    <x v="0"/>
    <x v="0"/>
    <x v="2"/>
    <x v="319"/>
    <s v="-"/>
    <x v="0"/>
    <x v="2"/>
    <x v="14"/>
    <s v="Rajeshwari"/>
    <s v="-"/>
    <s v="-"/>
    <d v="2017-05-25T00:00:00"/>
    <s v="Cash"/>
    <s v="-"/>
    <n v="5000"/>
    <x v="0"/>
    <s v="-"/>
    <n v="0"/>
    <s v="-"/>
    <x v="0"/>
    <x v="0"/>
  </r>
  <r>
    <n v="1394"/>
    <x v="1393"/>
    <s v="-"/>
    <x v="36"/>
    <s v="-"/>
    <x v="1279"/>
    <n v="0"/>
    <x v="0"/>
    <x v="11"/>
    <x v="2"/>
    <x v="26"/>
    <s v="-"/>
    <x v="0"/>
    <x v="2"/>
    <x v="0"/>
    <s v="Yamini"/>
    <s v="-"/>
    <s v="-"/>
    <d v="2017-05-23T00:00:00"/>
    <s v="Cash"/>
    <s v="-"/>
    <n v="1500"/>
    <x v="0"/>
    <s v="-"/>
    <n v="0"/>
    <s v="-"/>
    <x v="0"/>
    <x v="0"/>
  </r>
  <r>
    <n v="1395"/>
    <x v="1394"/>
    <s v="-"/>
    <x v="36"/>
    <s v="-"/>
    <x v="28"/>
    <n v="6426000"/>
    <x v="0"/>
    <x v="5"/>
    <x v="2"/>
    <x v="40"/>
    <s v="-"/>
    <x v="7"/>
    <x v="2"/>
    <x v="13"/>
    <s v="B.Shailaja"/>
    <s v="-"/>
    <s v="-"/>
    <d v="2017-05-30T00:00:00"/>
    <s v="Bank"/>
    <s v="-"/>
    <n v="4000"/>
    <x v="0"/>
    <s v="-"/>
    <n v="0"/>
    <s v="-"/>
    <x v="0"/>
    <x v="0"/>
  </r>
  <r>
    <n v="1396"/>
    <x v="1395"/>
    <s v="-"/>
    <x v="36"/>
    <s v="-"/>
    <x v="1280"/>
    <n v="10438000"/>
    <x v="0"/>
    <x v="5"/>
    <x v="2"/>
    <x v="130"/>
    <s v="-"/>
    <x v="0"/>
    <x v="2"/>
    <x v="15"/>
    <s v="N.Shailaja"/>
    <s v="-"/>
    <s v="-"/>
    <d v="2017-05-25T00:00:00"/>
    <s v="Cash"/>
    <s v="-"/>
    <n v="6000"/>
    <x v="0"/>
    <s v="-"/>
    <n v="0"/>
    <s v="-"/>
    <x v="0"/>
    <x v="0"/>
  </r>
  <r>
    <n v="1397"/>
    <x v="1396"/>
    <s v="-"/>
    <x v="36"/>
    <s v="-"/>
    <x v="1281"/>
    <n v="0"/>
    <x v="0"/>
    <x v="11"/>
    <x v="2"/>
    <x v="26"/>
    <s v="-"/>
    <x v="0"/>
    <x v="2"/>
    <x v="0"/>
    <m/>
    <s v="-"/>
    <s v="-"/>
    <d v="2017-05-23T00:00:00"/>
    <s v="Cash"/>
    <s v="-"/>
    <n v="5000"/>
    <x v="0"/>
    <s v="-"/>
    <n v="0"/>
    <s v="-"/>
    <x v="0"/>
    <x v="0"/>
  </r>
  <r>
    <n v="1398"/>
    <x v="1397"/>
    <s v="-"/>
    <x v="36"/>
    <s v="-"/>
    <x v="1282"/>
    <n v="11400000"/>
    <x v="0"/>
    <x v="5"/>
    <x v="2"/>
    <x v="132"/>
    <s v="-"/>
    <x v="0"/>
    <x v="2"/>
    <x v="13"/>
    <s v="Rajini"/>
    <s v="-"/>
    <s v="-"/>
    <d v="2017-05-30T00:00:00"/>
    <s v="Bank"/>
    <s v="-"/>
    <n v="10000"/>
    <x v="0"/>
    <s v="-"/>
    <n v="0"/>
    <s v="-"/>
    <x v="0"/>
    <x v="0"/>
  </r>
  <r>
    <n v="1399"/>
    <x v="1398"/>
    <s v="-"/>
    <x v="36"/>
    <s v="-"/>
    <x v="1283"/>
    <n v="4833000"/>
    <x v="0"/>
    <x v="0"/>
    <x v="2"/>
    <x v="205"/>
    <s v="-"/>
    <x v="0"/>
    <x v="2"/>
    <x v="15"/>
    <s v="Leena"/>
    <s v="-"/>
    <s v="-"/>
    <d v="2017-05-24T00:00:00"/>
    <s v="Cash"/>
    <s v="-"/>
    <n v="3500"/>
    <x v="0"/>
    <s v="-"/>
    <n v="0"/>
    <s v="-"/>
    <x v="0"/>
    <x v="0"/>
  </r>
  <r>
    <n v="1400"/>
    <x v="1399"/>
    <s v="-"/>
    <x v="37"/>
    <s v="-"/>
    <x v="1284"/>
    <n v="0"/>
    <x v="0"/>
    <x v="11"/>
    <x v="2"/>
    <x v="26"/>
    <s v="-"/>
    <x v="0"/>
    <x v="2"/>
    <x v="0"/>
    <m/>
    <s v="-"/>
    <s v="-"/>
    <d v="2017-05-24T00:00:00"/>
    <s v="Cash"/>
    <s v="-"/>
    <n v="750"/>
    <x v="0"/>
    <s v="-"/>
    <n v="0"/>
    <s v="-"/>
    <x v="0"/>
    <x v="0"/>
  </r>
  <r>
    <n v="1401"/>
    <x v="1400"/>
    <s v="-"/>
    <x v="38"/>
    <s v="-"/>
    <x v="1285"/>
    <n v="0"/>
    <x v="0"/>
    <x v="10"/>
    <x v="2"/>
    <x v="26"/>
    <s v="-"/>
    <x v="0"/>
    <x v="2"/>
    <x v="0"/>
    <s v="Madhu"/>
    <s v="-"/>
    <s v="-"/>
    <d v="2017-05-25T00:00:00"/>
    <s v="Cash"/>
    <s v="-"/>
    <n v="1000"/>
    <x v="0"/>
    <s v="-"/>
    <n v="0"/>
    <s v="-"/>
    <x v="0"/>
    <x v="0"/>
  </r>
  <r>
    <n v="1402"/>
    <x v="1401"/>
    <s v="-"/>
    <x v="38"/>
    <s v="-"/>
    <x v="1286"/>
    <n v="3114000"/>
    <x v="0"/>
    <x v="3"/>
    <x v="2"/>
    <x v="320"/>
    <s v="-"/>
    <x v="0"/>
    <x v="2"/>
    <x v="15"/>
    <s v="Neelima"/>
    <s v="-"/>
    <s v="-"/>
    <d v="2017-05-25T00:00:00"/>
    <s v="Cash"/>
    <s v="-"/>
    <n v="3000"/>
    <x v="0"/>
    <s v="-"/>
    <n v="0"/>
    <s v="-"/>
    <x v="0"/>
    <x v="0"/>
  </r>
  <r>
    <n v="1403"/>
    <x v="1402"/>
    <s v="-"/>
    <x v="38"/>
    <s v="-"/>
    <x v="1287"/>
    <n v="4200000"/>
    <x v="0"/>
    <x v="3"/>
    <x v="2"/>
    <x v="41"/>
    <s v="-"/>
    <x v="0"/>
    <x v="2"/>
    <x v="15"/>
    <s v="Neelima"/>
    <s v="-"/>
    <s v="-"/>
    <d v="2017-05-26T00:00:00"/>
    <s v="Cash"/>
    <s v="-"/>
    <n v="3000"/>
    <x v="0"/>
    <s v="-"/>
    <n v="0"/>
    <s v="-"/>
    <x v="0"/>
    <x v="0"/>
  </r>
  <r>
    <n v="1404"/>
    <x v="1403"/>
    <s v="-"/>
    <x v="38"/>
    <s v="-"/>
    <x v="1288"/>
    <n v="0"/>
    <x v="0"/>
    <x v="1"/>
    <x v="2"/>
    <x v="321"/>
    <s v="-"/>
    <x v="0"/>
    <x v="2"/>
    <x v="13"/>
    <s v="Sowjanya"/>
    <s v="-"/>
    <s v="-"/>
    <d v="2017-05-25T00:00:00"/>
    <s v="Cash"/>
    <s v="-"/>
    <n v="1500"/>
    <x v="0"/>
    <s v="-"/>
    <n v="0"/>
    <s v="-"/>
    <x v="0"/>
    <x v="0"/>
  </r>
  <r>
    <n v="1405"/>
    <x v="1404"/>
    <s v="-"/>
    <x v="38"/>
    <s v="-"/>
    <x v="1289"/>
    <n v="7121000"/>
    <x v="0"/>
    <x v="5"/>
    <x v="2"/>
    <x v="134"/>
    <s v="-"/>
    <x v="0"/>
    <x v="2"/>
    <x v="15"/>
    <s v="Usha Latha"/>
    <s v="-"/>
    <s v="-"/>
    <d v="2017-05-26T00:00:00"/>
    <s v="Cash"/>
    <s v="-"/>
    <n v="5000"/>
    <x v="0"/>
    <s v="-"/>
    <n v="0"/>
    <s v="-"/>
    <x v="0"/>
    <x v="0"/>
  </r>
  <r>
    <n v="1406"/>
    <x v="1405"/>
    <s v="-"/>
    <x v="39"/>
    <s v="-"/>
    <x v="1290"/>
    <n v="0"/>
    <x v="0"/>
    <x v="5"/>
    <x v="2"/>
    <x v="120"/>
    <s v="-"/>
    <x v="0"/>
    <x v="2"/>
    <x v="15"/>
    <s v="Rajeshwari"/>
    <s v="-"/>
    <s v="-"/>
    <d v="2017-05-30T00:00:00"/>
    <s v="Bank"/>
    <s v="-"/>
    <n v="3000"/>
    <x v="0"/>
    <s v="-"/>
    <n v="0"/>
    <s v="-"/>
    <x v="0"/>
    <x v="0"/>
  </r>
  <r>
    <n v="1407"/>
    <x v="1406"/>
    <s v="-"/>
    <x v="39"/>
    <s v="-"/>
    <x v="550"/>
    <n v="0"/>
    <x v="0"/>
    <x v="7"/>
    <x v="2"/>
    <x v="182"/>
    <s v="-"/>
    <x v="0"/>
    <x v="2"/>
    <x v="13"/>
    <s v="Yamini"/>
    <s v="-"/>
    <s v="Duplicate"/>
    <d v="2017-05-26T00:00:00"/>
    <s v="Cash"/>
    <s v="-"/>
    <n v="1000"/>
    <x v="8"/>
    <s v="-"/>
    <n v="0"/>
    <s v="Paid"/>
    <x v="2"/>
    <x v="0"/>
  </r>
  <r>
    <n v="1408"/>
    <x v="1407"/>
    <s v="-"/>
    <x v="68"/>
    <s v="-"/>
    <x v="1291"/>
    <n v="0"/>
    <x v="0"/>
    <x v="3"/>
    <x v="2"/>
    <x v="26"/>
    <s v="-"/>
    <x v="0"/>
    <x v="2"/>
    <x v="15"/>
    <s v="B.Shailaja"/>
    <s v="-"/>
    <s v="No Rec. Date"/>
    <d v="2017-05-30T00:00:00"/>
    <s v="Cash"/>
    <s v="-"/>
    <n v="1500"/>
    <x v="0"/>
    <s v="-"/>
    <n v="0"/>
    <s v="-"/>
    <x v="0"/>
    <x v="0"/>
  </r>
  <r>
    <n v="1409"/>
    <x v="1408"/>
    <s v="-"/>
    <x v="304"/>
    <s v="-"/>
    <x v="1292"/>
    <n v="8228000"/>
    <x v="0"/>
    <x v="5"/>
    <x v="2"/>
    <x v="23"/>
    <s v="-"/>
    <x v="2"/>
    <x v="2"/>
    <x v="15"/>
    <s v="N.Shailaja"/>
    <s v="-"/>
    <s v="-"/>
    <d v="2017-05-31T00:00:00"/>
    <s v="Cash"/>
    <s v="-"/>
    <n v="4000"/>
    <x v="0"/>
    <s v="-"/>
    <n v="0"/>
    <s v="-"/>
    <x v="0"/>
    <x v="0"/>
  </r>
  <r>
    <n v="1410"/>
    <x v="1409"/>
    <s v="-"/>
    <x v="307"/>
    <s v="-"/>
    <x v="1293"/>
    <n v="9832000"/>
    <x v="0"/>
    <x v="5"/>
    <x v="2"/>
    <x v="322"/>
    <s v="-"/>
    <x v="2"/>
    <x v="2"/>
    <x v="15"/>
    <m/>
    <s v="-"/>
    <s v="-"/>
    <d v="2017-05-31T00:00:00"/>
    <s v="Cash"/>
    <s v="-"/>
    <n v="4000"/>
    <x v="0"/>
    <s v="-"/>
    <n v="0"/>
    <s v="-"/>
    <x v="0"/>
    <x v="0"/>
  </r>
  <r>
    <n v="1411"/>
    <x v="1410"/>
    <s v="-"/>
    <x v="139"/>
    <s v="-"/>
    <x v="1294"/>
    <n v="9729000"/>
    <x v="0"/>
    <x v="3"/>
    <x v="2"/>
    <x v="26"/>
    <s v="-"/>
    <x v="2"/>
    <x v="2"/>
    <x v="15"/>
    <s v="Rajini"/>
    <s v="-"/>
    <s v="-"/>
    <d v="2017-05-31T00:00:00"/>
    <s v="Cash"/>
    <s v="-"/>
    <n v="4000"/>
    <x v="0"/>
    <s v="-"/>
    <n v="0"/>
    <s v="-"/>
    <x v="0"/>
    <x v="0"/>
  </r>
  <r>
    <n v="1412"/>
    <x v="1411"/>
    <s v="-"/>
    <x v="308"/>
    <s v="-"/>
    <x v="1295"/>
    <n v="7061000"/>
    <x v="0"/>
    <x v="5"/>
    <x v="2"/>
    <x v="44"/>
    <s v="-"/>
    <x v="2"/>
    <x v="2"/>
    <x v="13"/>
    <s v="Leena"/>
    <s v="-"/>
    <s v="-"/>
    <d v="2017-05-31T00:00:00"/>
    <s v="Cash"/>
    <s v="-"/>
    <n v="4000"/>
    <x v="0"/>
    <s v="-"/>
    <n v="0"/>
    <s v="-"/>
    <x v="0"/>
    <x v="0"/>
  </r>
  <r>
    <n v="1413"/>
    <x v="1412"/>
    <s v="-"/>
    <x v="308"/>
    <s v="-"/>
    <x v="1296"/>
    <n v="4513000"/>
    <x v="0"/>
    <x v="3"/>
    <x v="2"/>
    <x v="144"/>
    <s v="-"/>
    <x v="2"/>
    <x v="2"/>
    <x v="15"/>
    <m/>
    <s v="-"/>
    <s v="-"/>
    <d v="2017-05-31T00:00:00"/>
    <s v="Cash"/>
    <s v="-"/>
    <n v="3000"/>
    <x v="0"/>
    <s v="-"/>
    <n v="0"/>
    <s v="-"/>
    <x v="0"/>
    <x v="0"/>
  </r>
  <r>
    <n v="1414"/>
    <x v="1413"/>
    <s v="-"/>
    <x v="135"/>
    <s v="-"/>
    <x v="1297"/>
    <n v="4222000"/>
    <x v="0"/>
    <x v="5"/>
    <x v="2"/>
    <x v="23"/>
    <s v="-"/>
    <x v="2"/>
    <x v="2"/>
    <x v="13"/>
    <s v="Madhu"/>
    <s v="-"/>
    <s v="-"/>
    <d v="2017-05-31T00:00:00"/>
    <s v="Cash"/>
    <s v="-"/>
    <n v="3000"/>
    <x v="0"/>
    <s v="-"/>
    <n v="0"/>
    <s v="-"/>
    <x v="0"/>
    <x v="0"/>
  </r>
  <r>
    <n v="1415"/>
    <x v="1414"/>
    <s v="-"/>
    <x v="287"/>
    <s v="-"/>
    <x v="1298"/>
    <n v="2666000"/>
    <x v="0"/>
    <x v="18"/>
    <x v="2"/>
    <x v="129"/>
    <s v="-"/>
    <x v="2"/>
    <x v="2"/>
    <x v="13"/>
    <s v="Neelima"/>
    <s v="-"/>
    <s v="-"/>
    <d v="2017-05-31T00:00:00"/>
    <s v="Cash"/>
    <s v="-"/>
    <n v="3000"/>
    <x v="0"/>
    <s v="-"/>
    <n v="0"/>
    <s v="-"/>
    <x v="0"/>
    <x v="0"/>
  </r>
  <r>
    <n v="1416"/>
    <x v="1415"/>
    <s v="-"/>
    <x v="287"/>
    <s v="-"/>
    <x v="1299"/>
    <n v="3847000"/>
    <x v="0"/>
    <x v="5"/>
    <x v="2"/>
    <x v="323"/>
    <s v="-"/>
    <x v="2"/>
    <x v="2"/>
    <x v="15"/>
    <s v="Sowjanya"/>
    <s v="-"/>
    <s v="-"/>
    <d v="2017-05-31T00:00:00"/>
    <s v="Cash"/>
    <s v="-"/>
    <n v="3000"/>
    <x v="0"/>
    <s v="-"/>
    <n v="0"/>
    <s v="-"/>
    <x v="0"/>
    <x v="0"/>
  </r>
  <r>
    <n v="1417"/>
    <x v="1416"/>
    <s v="-"/>
    <x v="288"/>
    <s v="-"/>
    <x v="1300"/>
    <n v="3445000"/>
    <x v="0"/>
    <x v="1"/>
    <x v="2"/>
    <x v="144"/>
    <s v="-"/>
    <x v="2"/>
    <x v="2"/>
    <x v="13"/>
    <s v="Usha Latha"/>
    <s v="-"/>
    <s v="-"/>
    <d v="2017-05-31T00:00:00"/>
    <s v="Cash"/>
    <s v="-"/>
    <n v="3000"/>
    <x v="0"/>
    <s v="-"/>
    <n v="0"/>
    <s v="-"/>
    <x v="0"/>
    <x v="0"/>
  </r>
  <r>
    <n v="1418"/>
    <x v="1417"/>
    <s v="-"/>
    <x v="309"/>
    <s v="-"/>
    <x v="1301"/>
    <n v="3813000"/>
    <x v="0"/>
    <x v="3"/>
    <x v="2"/>
    <x v="144"/>
    <s v="-"/>
    <x v="2"/>
    <x v="2"/>
    <x v="15"/>
    <s v="Rajeshwari"/>
    <s v="-"/>
    <s v="-"/>
    <d v="2017-05-31T00:00:00"/>
    <s v="Cash"/>
    <s v="-"/>
    <n v="3000"/>
    <x v="0"/>
    <s v="-"/>
    <n v="0"/>
    <s v="-"/>
    <x v="0"/>
    <x v="0"/>
  </r>
  <r>
    <n v="1419"/>
    <x v="1418"/>
    <s v="-"/>
    <x v="309"/>
    <s v="-"/>
    <x v="1302"/>
    <n v="7334000"/>
    <x v="0"/>
    <x v="5"/>
    <x v="2"/>
    <x v="297"/>
    <s v="-"/>
    <x v="2"/>
    <x v="2"/>
    <x v="13"/>
    <s v="Yamini"/>
    <s v="-"/>
    <s v="-"/>
    <d v="2017-05-31T00:00:00"/>
    <s v="Cash"/>
    <s v="-"/>
    <n v="4000"/>
    <x v="0"/>
    <s v="-"/>
    <n v="0"/>
    <s v="-"/>
    <x v="0"/>
    <x v="0"/>
  </r>
  <r>
    <n v="1420"/>
    <x v="1419"/>
    <s v="-"/>
    <x v="310"/>
    <s v="-"/>
    <x v="1303"/>
    <n v="3956000"/>
    <x v="0"/>
    <x v="7"/>
    <x v="2"/>
    <x v="312"/>
    <s v="-"/>
    <x v="2"/>
    <x v="2"/>
    <x v="15"/>
    <s v="B.Shailaja"/>
    <s v="-"/>
    <s v="-"/>
    <d v="2017-05-31T00:00:00"/>
    <s v="Cash"/>
    <s v="-"/>
    <n v="3000"/>
    <x v="0"/>
    <s v="-"/>
    <n v="0"/>
    <s v="-"/>
    <x v="0"/>
    <x v="0"/>
  </r>
  <r>
    <n v="1421"/>
    <x v="1420"/>
    <s v="-"/>
    <x v="311"/>
    <s v="-"/>
    <x v="1304"/>
    <n v="1200000"/>
    <x v="0"/>
    <x v="0"/>
    <x v="2"/>
    <x v="324"/>
    <s v="-"/>
    <x v="2"/>
    <x v="2"/>
    <x v="13"/>
    <s v="N.Shailaja"/>
    <s v="-"/>
    <s v="-"/>
    <d v="2017-05-31T00:00:00"/>
    <s v="Cash"/>
    <s v="-"/>
    <n v="3000"/>
    <x v="0"/>
    <s v="-"/>
    <n v="0"/>
    <s v="-"/>
    <x v="0"/>
    <x v="0"/>
  </r>
  <r>
    <n v="1422"/>
    <x v="1421"/>
    <s v="-"/>
    <x v="311"/>
    <s v="-"/>
    <x v="1304"/>
    <n v="725000"/>
    <x v="0"/>
    <x v="0"/>
    <x v="2"/>
    <x v="324"/>
    <s v="-"/>
    <x v="2"/>
    <x v="2"/>
    <x v="13"/>
    <m/>
    <s v="-"/>
    <s v="-"/>
    <d v="2017-05-31T00:00:00"/>
    <s v="Cash"/>
    <s v="-"/>
    <n v="3000"/>
    <x v="0"/>
    <s v="-"/>
    <n v="0"/>
    <s v="-"/>
    <x v="0"/>
    <x v="0"/>
  </r>
  <r>
    <n v="1423"/>
    <x v="1422"/>
    <s v="-"/>
    <x v="76"/>
    <s v="-"/>
    <x v="1305"/>
    <n v="3449000"/>
    <x v="0"/>
    <x v="5"/>
    <x v="2"/>
    <x v="162"/>
    <s v="-"/>
    <x v="2"/>
    <x v="2"/>
    <x v="13"/>
    <s v="Rajini"/>
    <s v="-"/>
    <s v="-"/>
    <d v="2017-05-31T00:00:00"/>
    <s v="Cash"/>
    <s v="-"/>
    <n v="3000"/>
    <x v="0"/>
    <s v="-"/>
    <n v="0"/>
    <s v="-"/>
    <x v="0"/>
    <x v="0"/>
  </r>
  <r>
    <n v="1424"/>
    <x v="1423"/>
    <s v="-"/>
    <x v="312"/>
    <s v="-"/>
    <x v="1306"/>
    <n v="0"/>
    <x v="0"/>
    <x v="5"/>
    <x v="2"/>
    <x v="325"/>
    <s v="-"/>
    <x v="0"/>
    <x v="2"/>
    <x v="15"/>
    <s v="Leena"/>
    <s v="-"/>
    <s v="-"/>
    <d v="2017-05-19T00:00:00"/>
    <s v="Cash"/>
    <s v="-"/>
    <n v="1500"/>
    <x v="0"/>
    <s v="-"/>
    <n v="0"/>
    <s v="-"/>
    <x v="0"/>
    <x v="0"/>
  </r>
  <r>
    <n v="1425"/>
    <x v="1424"/>
    <s v="-"/>
    <x v="17"/>
    <s v="-"/>
    <x v="1307"/>
    <n v="0"/>
    <x v="0"/>
    <x v="5"/>
    <x v="2"/>
    <x v="145"/>
    <s v="-"/>
    <x v="3"/>
    <x v="2"/>
    <x v="15"/>
    <m/>
    <s v="-"/>
    <s v="-"/>
    <d v="2017-05-01T00:00:00"/>
    <s v="Bank"/>
    <s v="-"/>
    <n v="4000"/>
    <x v="0"/>
    <s v="-"/>
    <n v="0"/>
    <s v="-"/>
    <x v="0"/>
    <x v="0"/>
  </r>
  <r>
    <n v="1426"/>
    <x v="1425"/>
    <s v="-"/>
    <x v="56"/>
    <s v="-"/>
    <x v="1308"/>
    <n v="0"/>
    <x v="0"/>
    <x v="5"/>
    <x v="2"/>
    <x v="99"/>
    <s v="-"/>
    <x v="0"/>
    <x v="2"/>
    <x v="13"/>
    <s v="Madhu"/>
    <s v="-"/>
    <s v="-"/>
    <d v="2017-05-16T00:00:00"/>
    <s v="Bank"/>
    <s v="-"/>
    <n v="3000"/>
    <x v="0"/>
    <s v="-"/>
    <n v="0"/>
    <s v="-"/>
    <x v="0"/>
    <x v="0"/>
  </r>
  <r>
    <n v="1427"/>
    <x v="1426"/>
    <s v="-"/>
    <x v="18"/>
    <s v="-"/>
    <x v="1309"/>
    <n v="0"/>
    <x v="0"/>
    <x v="7"/>
    <x v="2"/>
    <x v="145"/>
    <s v="-"/>
    <x v="3"/>
    <x v="2"/>
    <x v="15"/>
    <s v="Neelima"/>
    <s v="-"/>
    <s v="-"/>
    <d v="2017-05-01T00:00:00"/>
    <s v="Bank"/>
    <s v="-"/>
    <n v="8000"/>
    <x v="0"/>
    <s v="-"/>
    <n v="0"/>
    <s v="-"/>
    <x v="0"/>
    <x v="0"/>
  </r>
  <r>
    <n v="1428"/>
    <x v="1427"/>
    <s v="-"/>
    <x v="18"/>
    <s v="-"/>
    <x v="1310"/>
    <n v="0"/>
    <x v="0"/>
    <x v="5"/>
    <x v="2"/>
    <x v="146"/>
    <s v="-"/>
    <x v="3"/>
    <x v="2"/>
    <x v="13"/>
    <s v="Sowjanya"/>
    <s v="-"/>
    <s v="-"/>
    <d v="2017-05-01T00:00:00"/>
    <s v="Bank"/>
    <s v="-"/>
    <n v="3000"/>
    <x v="0"/>
    <s v="-"/>
    <n v="0"/>
    <s v="-"/>
    <x v="0"/>
    <x v="0"/>
  </r>
  <r>
    <n v="1429"/>
    <x v="1428"/>
    <s v="-"/>
    <x v="20"/>
    <s v="-"/>
    <x v="1311"/>
    <n v="0"/>
    <x v="0"/>
    <x v="3"/>
    <x v="2"/>
    <x v="316"/>
    <s v="-"/>
    <x v="0"/>
    <x v="2"/>
    <x v="15"/>
    <s v="Usha Latha"/>
    <s v="-"/>
    <s v="-"/>
    <d v="2017-05-04T00:00:00"/>
    <s v="Cash"/>
    <s v="-"/>
    <n v="3000"/>
    <x v="0"/>
    <s v="-"/>
    <n v="0"/>
    <s v="-"/>
    <x v="0"/>
    <x v="0"/>
  </r>
  <r>
    <n v="1430"/>
    <x v="1429"/>
    <s v="-"/>
    <x v="58"/>
    <s v="-"/>
    <x v="1312"/>
    <n v="0"/>
    <x v="0"/>
    <x v="0"/>
    <x v="2"/>
    <x v="32"/>
    <s v="-"/>
    <x v="0"/>
    <x v="2"/>
    <x v="13"/>
    <s v="Rajeshwari"/>
    <s v="-"/>
    <s v="-"/>
    <d v="2017-05-22T00:00:00"/>
    <s v="Cash"/>
    <s v="-"/>
    <n v="3000"/>
    <x v="0"/>
    <s v="-"/>
    <n v="0"/>
    <s v="-"/>
    <x v="0"/>
    <x v="0"/>
  </r>
  <r>
    <n v="1431"/>
    <x v="1430"/>
    <s v="-"/>
    <x v="21"/>
    <s v="-"/>
    <x v="1313"/>
    <n v="0"/>
    <x v="0"/>
    <x v="5"/>
    <x v="2"/>
    <x v="153"/>
    <s v="-"/>
    <x v="0"/>
    <x v="2"/>
    <x v="13"/>
    <s v="Yamini"/>
    <s v="-"/>
    <s v="-"/>
    <d v="2017-05-12T00:00:00"/>
    <s v="Cash"/>
    <s v="-"/>
    <n v="3000"/>
    <x v="0"/>
    <s v="-"/>
    <n v="0"/>
    <s v="-"/>
    <x v="0"/>
    <x v="0"/>
  </r>
  <r>
    <n v="1432"/>
    <x v="1431"/>
    <s v="-"/>
    <x v="21"/>
    <s v="-"/>
    <x v="1314"/>
    <n v="0"/>
    <x v="0"/>
    <x v="5"/>
    <x v="2"/>
    <x v="146"/>
    <s v="-"/>
    <x v="3"/>
    <x v="2"/>
    <x v="15"/>
    <s v="B.Shailaja"/>
    <s v="-"/>
    <s v="-"/>
    <d v="2017-05-01T00:00:00"/>
    <s v="Bank"/>
    <s v="-"/>
    <n v="8000"/>
    <x v="0"/>
    <s v="-"/>
    <n v="0"/>
    <s v="-"/>
    <x v="0"/>
    <x v="0"/>
  </r>
  <r>
    <n v="1433"/>
    <x v="1432"/>
    <s v="-"/>
    <x v="23"/>
    <s v="-"/>
    <x v="1315"/>
    <n v="0"/>
    <x v="0"/>
    <x v="5"/>
    <x v="2"/>
    <x v="326"/>
    <s v="-"/>
    <x v="0"/>
    <x v="2"/>
    <x v="13"/>
    <s v="N.Shailaja"/>
    <s v="-"/>
    <s v="-"/>
    <d v="2017-05-12T00:00:00"/>
    <s v="Cash"/>
    <s v="-"/>
    <n v="3000"/>
    <x v="0"/>
    <s v="-"/>
    <n v="0"/>
    <s v="-"/>
    <x v="0"/>
    <x v="0"/>
  </r>
  <r>
    <n v="1434"/>
    <x v="1433"/>
    <s v="-"/>
    <x v="78"/>
    <s v="-"/>
    <x v="864"/>
    <n v="10148000"/>
    <x v="0"/>
    <x v="2"/>
    <x v="10"/>
    <x v="327"/>
    <s v="-"/>
    <x v="0"/>
    <x v="3"/>
    <x v="1"/>
    <m/>
    <s v="-"/>
    <s v="Duplicate"/>
    <d v="2017-05-02T00:00:00"/>
    <s v="Bank"/>
    <s v="-"/>
    <n v="10000"/>
    <x v="0"/>
    <s v="-"/>
    <n v="0"/>
    <s v="-"/>
    <x v="0"/>
    <x v="0"/>
  </r>
  <r>
    <n v="1435"/>
    <x v="1434"/>
    <s v="-"/>
    <x v="78"/>
    <s v="-"/>
    <x v="1316"/>
    <n v="4145000"/>
    <x v="0"/>
    <x v="3"/>
    <x v="10"/>
    <x v="327"/>
    <s v="-"/>
    <x v="0"/>
    <x v="3"/>
    <x v="1"/>
    <s v="Rajini"/>
    <s v="-"/>
    <s v="Duplicate"/>
    <d v="2017-05-01T00:00:00"/>
    <s v="Cash"/>
    <s v="-"/>
    <n v="3000"/>
    <x v="0"/>
    <s v="-"/>
    <n v="0"/>
    <s v="-"/>
    <x v="0"/>
    <x v="0"/>
  </r>
  <r>
    <n v="1436"/>
    <x v="1435"/>
    <s v="-"/>
    <x v="27"/>
    <s v="-"/>
    <x v="1317"/>
    <n v="9438000"/>
    <x v="0"/>
    <x v="27"/>
    <x v="10"/>
    <x v="199"/>
    <s v="-"/>
    <x v="0"/>
    <x v="3"/>
    <x v="10"/>
    <s v="Leena"/>
    <s v="-"/>
    <s v="Duplicate"/>
    <d v="2017-05-09T00:00:00"/>
    <s v="Cash"/>
    <s v="-"/>
    <n v="3000"/>
    <x v="0"/>
    <s v="-"/>
    <n v="0"/>
    <s v="-"/>
    <x v="0"/>
    <x v="0"/>
  </r>
  <r>
    <n v="1437"/>
    <x v="1436"/>
    <s v="-"/>
    <x v="34"/>
    <s v="-"/>
    <x v="1318"/>
    <n v="7225000"/>
    <x v="0"/>
    <x v="24"/>
    <x v="10"/>
    <x v="242"/>
    <s v="-"/>
    <x v="0"/>
    <x v="3"/>
    <x v="18"/>
    <m/>
    <s v="-"/>
    <s v="Duplicate"/>
    <d v="2017-05-20T00:00:00"/>
    <s v="Cash"/>
    <s v="-"/>
    <n v="5000"/>
    <x v="0"/>
    <s v="-"/>
    <n v="0"/>
    <s v="-"/>
    <x v="0"/>
    <x v="0"/>
  </r>
  <r>
    <n v="1438"/>
    <x v="1437"/>
    <s v="-"/>
    <x v="36"/>
    <s v="-"/>
    <x v="1319"/>
    <n v="3805000"/>
    <x v="0"/>
    <x v="3"/>
    <x v="10"/>
    <x v="26"/>
    <s v="-"/>
    <x v="0"/>
    <x v="3"/>
    <x v="0"/>
    <s v="Madhu"/>
    <s v="-"/>
    <s v="Duplicate"/>
    <d v="2017-05-31T00:00:00"/>
    <s v="Cash"/>
    <s v="-"/>
    <n v="3000"/>
    <x v="0"/>
    <s v="-"/>
    <n v="0"/>
    <s v="-"/>
    <x v="0"/>
    <x v="0"/>
  </r>
  <r>
    <n v="1439"/>
    <x v="1438"/>
    <s v="-"/>
    <x v="69"/>
    <s v="-"/>
    <x v="1320"/>
    <n v="3000000"/>
    <x v="0"/>
    <x v="3"/>
    <x v="10"/>
    <x v="234"/>
    <s v="-"/>
    <x v="0"/>
    <x v="3"/>
    <x v="0"/>
    <s v="Neelima"/>
    <s v="-"/>
    <s v="Duplicate"/>
    <d v="2017-05-31T00:00:00"/>
    <s v="Cash"/>
    <s v="-"/>
    <n v="3000"/>
    <x v="0"/>
    <s v="-"/>
    <n v="0"/>
    <s v="-"/>
    <x v="0"/>
    <x v="0"/>
  </r>
  <r>
    <n v="1440"/>
    <x v="1439"/>
    <s v="-"/>
    <x v="69"/>
    <s v="-"/>
    <x v="1321"/>
    <n v="3830000"/>
    <x v="0"/>
    <x v="3"/>
    <x v="10"/>
    <x v="238"/>
    <s v="-"/>
    <x v="0"/>
    <x v="3"/>
    <x v="0"/>
    <s v="Sowjanya"/>
    <s v="-"/>
    <s v="Duplicate"/>
    <d v="2017-05-20T00:00:00"/>
    <s v="Cash"/>
    <s v="-"/>
    <n v="3500"/>
    <x v="0"/>
    <s v="-"/>
    <n v="0"/>
    <s v="-"/>
    <x v="0"/>
    <x v="0"/>
  </r>
  <r>
    <n v="1441"/>
    <x v="1440"/>
    <s v="-"/>
    <x v="102"/>
    <s v="-"/>
    <x v="1322"/>
    <n v="0"/>
    <x v="0"/>
    <x v="2"/>
    <x v="10"/>
    <x v="235"/>
    <s v="-"/>
    <x v="0"/>
    <x v="3"/>
    <x v="18"/>
    <s v="Usha Latha"/>
    <s v="-"/>
    <s v="-"/>
    <d v="2017-05-08T00:00:00"/>
    <s v="Bank"/>
    <s v="-"/>
    <n v="10000"/>
    <x v="0"/>
    <s v="-"/>
    <n v="0"/>
    <s v="-"/>
    <x v="0"/>
    <x v="0"/>
  </r>
  <r>
    <n v="1442"/>
    <x v="1441"/>
    <s v="-"/>
    <x v="107"/>
    <s v="-"/>
    <x v="1323"/>
    <n v="0"/>
    <x v="0"/>
    <x v="24"/>
    <x v="10"/>
    <x v="238"/>
    <s v="-"/>
    <x v="0"/>
    <x v="3"/>
    <x v="18"/>
    <s v="Rajeshwari"/>
    <s v="-"/>
    <s v="-"/>
    <d v="2017-05-08T00:00:00"/>
    <s v="Bank"/>
    <s v="-"/>
    <n v="10000"/>
    <x v="0"/>
    <s v="-"/>
    <n v="0"/>
    <s v="-"/>
    <x v="0"/>
    <x v="0"/>
  </r>
  <r>
    <n v="1443"/>
    <x v="1442"/>
    <s v="-"/>
    <x v="107"/>
    <s v="-"/>
    <x v="1324"/>
    <n v="0"/>
    <x v="0"/>
    <x v="24"/>
    <x v="10"/>
    <x v="238"/>
    <s v="-"/>
    <x v="0"/>
    <x v="3"/>
    <x v="18"/>
    <s v="Yamini"/>
    <s v="-"/>
    <s v="-"/>
    <d v="2017-05-08T00:00:00"/>
    <s v="Bank"/>
    <s v="-"/>
    <n v="10000"/>
    <x v="0"/>
    <s v="-"/>
    <n v="0"/>
    <s v="-"/>
    <x v="0"/>
    <x v="0"/>
  </r>
  <r>
    <n v="1444"/>
    <x v="1443"/>
    <s v="-"/>
    <x v="107"/>
    <s v="-"/>
    <x v="1325"/>
    <n v="0"/>
    <x v="0"/>
    <x v="24"/>
    <x v="10"/>
    <x v="38"/>
    <s v="-"/>
    <x v="0"/>
    <x v="3"/>
    <x v="0"/>
    <s v="B.Shailaja"/>
    <s v="-"/>
    <s v="-"/>
    <d v="2017-05-08T00:00:00"/>
    <s v="Bank"/>
    <s v="-"/>
    <n v="6750"/>
    <x v="0"/>
    <s v="-"/>
    <n v="0"/>
    <s v="-"/>
    <x v="0"/>
    <x v="0"/>
  </r>
  <r>
    <n v="1445"/>
    <x v="1444"/>
    <s v="-"/>
    <x v="107"/>
    <s v="-"/>
    <x v="1326"/>
    <n v="0"/>
    <x v="0"/>
    <x v="24"/>
    <x v="10"/>
    <x v="38"/>
    <s v="-"/>
    <x v="0"/>
    <x v="3"/>
    <x v="0"/>
    <s v="N.Shailaja"/>
    <s v="-"/>
    <s v="Duplicate"/>
    <d v="2017-05-08T00:00:00"/>
    <s v="Bank"/>
    <s v="-"/>
    <n v="6750"/>
    <x v="0"/>
    <s v="-"/>
    <n v="0"/>
    <s v="-"/>
    <x v="0"/>
    <x v="0"/>
  </r>
  <r>
    <n v="1446"/>
    <x v="1445"/>
    <s v="-"/>
    <x v="107"/>
    <s v="-"/>
    <x v="1326"/>
    <n v="0"/>
    <x v="0"/>
    <x v="24"/>
    <x v="10"/>
    <x v="38"/>
    <s v="-"/>
    <x v="0"/>
    <x v="3"/>
    <x v="0"/>
    <m/>
    <s v="-"/>
    <s v="-"/>
    <d v="2017-05-08T00:00:00"/>
    <s v="Bank"/>
    <s v="-"/>
    <n v="6750"/>
    <x v="0"/>
    <s v="-"/>
    <n v="0"/>
    <s v="-"/>
    <x v="0"/>
    <x v="0"/>
  </r>
  <r>
    <n v="1447"/>
    <x v="1446"/>
    <s v="-"/>
    <x v="107"/>
    <s v="-"/>
    <x v="1326"/>
    <n v="0"/>
    <x v="0"/>
    <x v="24"/>
    <x v="10"/>
    <x v="38"/>
    <s v="-"/>
    <x v="0"/>
    <x v="3"/>
    <x v="0"/>
    <s v="Rajini"/>
    <s v="-"/>
    <s v="Duplicate"/>
    <d v="2017-05-08T00:00:00"/>
    <s v="Bank"/>
    <s v="-"/>
    <n v="6750"/>
    <x v="0"/>
    <s v="-"/>
    <n v="0"/>
    <s v="-"/>
    <x v="0"/>
    <x v="0"/>
  </r>
  <r>
    <n v="1448"/>
    <x v="1447"/>
    <s v="-"/>
    <x v="17"/>
    <s v="-"/>
    <x v="1327"/>
    <n v="0"/>
    <x v="0"/>
    <x v="24"/>
    <x v="10"/>
    <x v="238"/>
    <s v="-"/>
    <x v="0"/>
    <x v="3"/>
    <x v="18"/>
    <s v="Leena"/>
    <s v="-"/>
    <s v="-"/>
    <d v="2017-05-08T00:00:00"/>
    <s v="Bank"/>
    <s v="-"/>
    <n v="10000"/>
    <x v="0"/>
    <s v="-"/>
    <n v="0"/>
    <s v="-"/>
    <x v="0"/>
    <x v="0"/>
  </r>
  <r>
    <n v="1449"/>
    <x v="1448"/>
    <s v="-"/>
    <x v="27"/>
    <s v="-"/>
    <x v="1328"/>
    <n v="8521000"/>
    <x v="0"/>
    <x v="3"/>
    <x v="6"/>
    <x v="26"/>
    <s v="-"/>
    <x v="0"/>
    <x v="1"/>
    <x v="5"/>
    <m/>
    <s v="-"/>
    <s v="-"/>
    <d v="2017-05-29T00:00:00"/>
    <s v="Bank"/>
    <s v="-"/>
    <n v="7500"/>
    <x v="0"/>
    <n v="4026"/>
    <n v="7500"/>
    <s v="-"/>
    <x v="0"/>
    <x v="0"/>
  </r>
  <r>
    <n v="1450"/>
    <x v="1449"/>
    <s v="-"/>
    <x v="27"/>
    <s v="-"/>
    <x v="1328"/>
    <n v="17215000"/>
    <x v="0"/>
    <x v="3"/>
    <x v="6"/>
    <x v="26"/>
    <s v="-"/>
    <x v="0"/>
    <x v="1"/>
    <x v="5"/>
    <s v="Madhu"/>
    <s v="-"/>
    <s v="-"/>
    <d v="2017-05-29T00:00:00"/>
    <s v="Bank"/>
    <s v="-"/>
    <n v="7500"/>
    <x v="0"/>
    <n v="4026"/>
    <n v="7500"/>
    <s v="-"/>
    <x v="0"/>
    <x v="0"/>
  </r>
  <r>
    <n v="1451"/>
    <x v="1450"/>
    <s v="-"/>
    <x v="28"/>
    <s v="-"/>
    <x v="1329"/>
    <n v="3213000"/>
    <x v="0"/>
    <x v="3"/>
    <x v="6"/>
    <x v="72"/>
    <s v="-"/>
    <x v="0"/>
    <x v="1"/>
    <x v="5"/>
    <s v="Neelima"/>
    <s v="-"/>
    <s v="-"/>
    <d v="2017-05-16T00:00:00"/>
    <s v="Cash"/>
    <s v="-"/>
    <n v="4000"/>
    <x v="0"/>
    <s v="-"/>
    <n v="0"/>
    <s v="-"/>
    <x v="0"/>
    <x v="0"/>
  </r>
  <r>
    <n v="1452"/>
    <x v="1451"/>
    <s v="-"/>
    <x v="28"/>
    <s v="-"/>
    <x v="1330"/>
    <n v="0"/>
    <x v="0"/>
    <x v="3"/>
    <x v="6"/>
    <x v="26"/>
    <s v="-"/>
    <x v="0"/>
    <x v="1"/>
    <x v="6"/>
    <s v="Sowjanya"/>
    <s v="-"/>
    <s v="-"/>
    <d v="2017-05-10T00:00:00"/>
    <s v="Cash"/>
    <s v="-"/>
    <n v="3000"/>
    <x v="0"/>
    <s v="-"/>
    <n v="0"/>
    <s v="-"/>
    <x v="0"/>
    <x v="0"/>
  </r>
  <r>
    <n v="1453"/>
    <x v="1452"/>
    <s v="-"/>
    <x v="60"/>
    <s v="-"/>
    <x v="1331"/>
    <n v="0"/>
    <x v="0"/>
    <x v="3"/>
    <x v="14"/>
    <x v="205"/>
    <s v="-"/>
    <x v="0"/>
    <x v="1"/>
    <x v="5"/>
    <s v="Usha Latha"/>
    <s v="-"/>
    <s v="-"/>
    <d v="2017-05-02T00:00:00"/>
    <s v="Bank"/>
    <s v="-"/>
    <n v="5000"/>
    <x v="0"/>
    <n v="3871"/>
    <n v="5000"/>
    <s v="-"/>
    <x v="0"/>
    <x v="0"/>
  </r>
  <r>
    <n v="1454"/>
    <x v="1453"/>
    <s v="-"/>
    <x v="34"/>
    <s v="-"/>
    <x v="535"/>
    <n v="5044000"/>
    <x v="0"/>
    <x v="3"/>
    <x v="4"/>
    <x v="205"/>
    <s v="-"/>
    <x v="0"/>
    <x v="1"/>
    <x v="6"/>
    <s v="Rajeshwari"/>
    <s v="-"/>
    <s v="-"/>
    <d v="2017-05-29T00:00:00"/>
    <s v="Bank"/>
    <s v="-"/>
    <n v="5000"/>
    <x v="0"/>
    <n v="4035"/>
    <n v="4000"/>
    <s v="-"/>
    <x v="0"/>
    <x v="0"/>
  </r>
  <r>
    <n v="1455"/>
    <x v="1454"/>
    <s v="-"/>
    <x v="121"/>
    <s v="-"/>
    <x v="1332"/>
    <n v="0"/>
    <x v="0"/>
    <x v="3"/>
    <x v="4"/>
    <x v="288"/>
    <s v="-"/>
    <x v="0"/>
    <x v="1"/>
    <x v="5"/>
    <s v="Yamini"/>
    <s v="-"/>
    <s v="-"/>
    <d v="2017-05-04T00:00:00"/>
    <s v="Bank"/>
    <s v="-"/>
    <n v="2500"/>
    <x v="0"/>
    <s v="-"/>
    <n v="0"/>
    <s v="-"/>
    <x v="0"/>
    <x v="0"/>
  </r>
  <r>
    <n v="1456"/>
    <x v="1455"/>
    <s v="-"/>
    <x v="24"/>
    <s v="-"/>
    <x v="1333"/>
    <n v="2241000"/>
    <x v="0"/>
    <x v="4"/>
    <x v="8"/>
    <x v="195"/>
    <s v="-"/>
    <x v="0"/>
    <x v="2"/>
    <x v="13"/>
    <s v="B.Shailaja"/>
    <s v="-"/>
    <s v="-"/>
    <d v="2017-05-09T00:00:00"/>
    <s v="Cash"/>
    <s v="-"/>
    <n v="2500"/>
    <x v="0"/>
    <s v="-"/>
    <n v="0"/>
    <s v="-"/>
    <x v="0"/>
    <x v="0"/>
  </r>
  <r>
    <n v="1457"/>
    <x v="1456"/>
    <s v="-"/>
    <x v="24"/>
    <s v="-"/>
    <x v="1334"/>
    <n v="2886000"/>
    <x v="0"/>
    <x v="5"/>
    <x v="8"/>
    <x v="26"/>
    <s v="-"/>
    <x v="0"/>
    <x v="2"/>
    <x v="13"/>
    <s v="N.Shailaja"/>
    <s v="-"/>
    <s v="-"/>
    <d v="2017-05-11T00:00:00"/>
    <s v="Cash"/>
    <s v="-"/>
    <n v="2500"/>
    <x v="0"/>
    <s v="-"/>
    <n v="0"/>
    <s v="-"/>
    <x v="0"/>
    <x v="0"/>
  </r>
  <r>
    <n v="1458"/>
    <x v="1457"/>
    <s v="-"/>
    <x v="25"/>
    <s v="-"/>
    <x v="1335"/>
    <n v="4008000"/>
    <x v="0"/>
    <x v="7"/>
    <x v="8"/>
    <x v="54"/>
    <s v="-"/>
    <x v="0"/>
    <x v="2"/>
    <x v="13"/>
    <m/>
    <s v="-"/>
    <s v="-"/>
    <d v="2017-05-16T00:00:00"/>
    <s v="Cash"/>
    <s v="-"/>
    <n v="4000"/>
    <x v="0"/>
    <s v="-"/>
    <n v="0"/>
    <s v="-"/>
    <x v="0"/>
    <x v="0"/>
  </r>
  <r>
    <n v="1459"/>
    <x v="1458"/>
    <s v="-"/>
    <x v="25"/>
    <s v="-"/>
    <x v="1336"/>
    <n v="0"/>
    <x v="0"/>
    <x v="5"/>
    <x v="8"/>
    <x v="54"/>
    <s v="-"/>
    <x v="0"/>
    <x v="2"/>
    <x v="13"/>
    <s v="Rajini"/>
    <s v="-"/>
    <s v="-"/>
    <d v="2017-05-06T00:00:00"/>
    <s v="Cash"/>
    <s v="-"/>
    <n v="4000"/>
    <x v="0"/>
    <s v="-"/>
    <n v="0"/>
    <s v="-"/>
    <x v="0"/>
    <x v="0"/>
  </r>
  <r>
    <n v="1460"/>
    <x v="1459"/>
    <s v="-"/>
    <x v="26"/>
    <s v="-"/>
    <x v="1337"/>
    <n v="22728000"/>
    <x v="0"/>
    <x v="16"/>
    <x v="8"/>
    <x v="328"/>
    <s v="-"/>
    <x v="0"/>
    <x v="2"/>
    <x v="15"/>
    <s v="Leena"/>
    <s v="-"/>
    <s v="-"/>
    <d v="2017-05-09T00:00:00"/>
    <s v="Bank"/>
    <s v="-"/>
    <n v="3000"/>
    <x v="0"/>
    <s v="-"/>
    <n v="0"/>
    <s v="-"/>
    <x v="0"/>
    <x v="0"/>
  </r>
  <r>
    <n v="1461"/>
    <x v="1460"/>
    <s v="-"/>
    <x v="27"/>
    <s v="-"/>
    <x v="1338"/>
    <n v="4115000"/>
    <x v="0"/>
    <x v="4"/>
    <x v="8"/>
    <x v="190"/>
    <s v="-"/>
    <x v="0"/>
    <x v="2"/>
    <x v="13"/>
    <m/>
    <s v="-"/>
    <s v="-"/>
    <d v="2017-05-09T00:00:00"/>
    <s v="Cash"/>
    <s v="-"/>
    <n v="3000"/>
    <x v="0"/>
    <s v="-"/>
    <n v="0"/>
    <s v="-"/>
    <x v="0"/>
    <x v="0"/>
  </r>
  <r>
    <n v="1462"/>
    <x v="1461"/>
    <s v="-"/>
    <x v="65"/>
    <s v="-"/>
    <x v="1339"/>
    <n v="7161000"/>
    <x v="0"/>
    <x v="5"/>
    <x v="8"/>
    <x v="54"/>
    <s v="-"/>
    <x v="0"/>
    <x v="2"/>
    <x v="13"/>
    <s v="Madhu"/>
    <s v="-"/>
    <s v="-"/>
    <d v="2017-05-16T00:00:00"/>
    <s v="Cash"/>
    <s v="-"/>
    <n v="5000"/>
    <x v="0"/>
    <s v="-"/>
    <n v="0"/>
    <s v="-"/>
    <x v="0"/>
    <x v="0"/>
  </r>
  <r>
    <n v="1463"/>
    <x v="1462"/>
    <s v="-"/>
    <x v="65"/>
    <s v="-"/>
    <x v="1340"/>
    <n v="5082000"/>
    <x v="0"/>
    <x v="5"/>
    <x v="8"/>
    <x v="130"/>
    <s v="-"/>
    <x v="0"/>
    <x v="2"/>
    <x v="15"/>
    <s v="Neelima"/>
    <s v="-"/>
    <s v="-"/>
    <d v="2017-05-09T00:00:00"/>
    <s v="Cash"/>
    <s v="-"/>
    <n v="5000"/>
    <x v="0"/>
    <s v="-"/>
    <n v="0"/>
    <s v="-"/>
    <x v="0"/>
    <x v="0"/>
  </r>
  <r>
    <n v="1464"/>
    <x v="1463"/>
    <s v="-"/>
    <x v="65"/>
    <s v="-"/>
    <x v="1341"/>
    <n v="42449000"/>
    <x v="0"/>
    <x v="1"/>
    <x v="8"/>
    <x v="329"/>
    <s v="-"/>
    <x v="0"/>
    <x v="2"/>
    <x v="14"/>
    <s v="Neelima"/>
    <s v="-"/>
    <s v="-"/>
    <d v="2017-05-08T00:00:00"/>
    <s v="Bank"/>
    <s v="-"/>
    <n v="12000"/>
    <x v="0"/>
    <s v="-"/>
    <n v="0"/>
    <s v="-"/>
    <x v="0"/>
    <x v="0"/>
  </r>
  <r>
    <n v="1465"/>
    <x v="1464"/>
    <s v="-"/>
    <x v="29"/>
    <s v="-"/>
    <x v="1342"/>
    <n v="4429000"/>
    <x v="0"/>
    <x v="5"/>
    <x v="8"/>
    <x v="330"/>
    <s v="-"/>
    <x v="0"/>
    <x v="2"/>
    <x v="13"/>
    <s v="Sowjanya"/>
    <s v="-"/>
    <s v="-"/>
    <d v="2017-05-12T00:00:00"/>
    <s v="Cash"/>
    <s v="-"/>
    <n v="4000"/>
    <x v="0"/>
    <s v="-"/>
    <n v="0"/>
    <s v="-"/>
    <x v="0"/>
    <x v="0"/>
  </r>
  <r>
    <n v="1466"/>
    <x v="1465"/>
    <s v="-"/>
    <x v="33"/>
    <s v="-"/>
    <x v="1343"/>
    <n v="3526000"/>
    <x v="0"/>
    <x v="5"/>
    <x v="8"/>
    <x v="248"/>
    <s v="-"/>
    <x v="1"/>
    <x v="2"/>
    <x v="13"/>
    <s v="Usha Latha"/>
    <s v="-"/>
    <s v="-"/>
    <d v="2017-05-24T00:00:00"/>
    <s v="Bank"/>
    <s v="-"/>
    <n v="2000"/>
    <x v="0"/>
    <s v="-"/>
    <n v="0"/>
    <s v="-"/>
    <x v="0"/>
    <x v="0"/>
  </r>
  <r>
    <n v="1467"/>
    <x v="1466"/>
    <s v="-"/>
    <x v="71"/>
    <s v="-"/>
    <x v="1344"/>
    <n v="188810000"/>
    <x v="0"/>
    <x v="3"/>
    <x v="8"/>
    <x v="248"/>
    <s v="-"/>
    <x v="0"/>
    <x v="2"/>
    <x v="15"/>
    <s v="Rajeshwari"/>
    <s v="-"/>
    <s v="-"/>
    <d v="2017-05-31T00:00:00"/>
    <s v="Bank"/>
    <s v="-"/>
    <n v="12500"/>
    <x v="0"/>
    <s v="-"/>
    <n v="0"/>
    <s v="-"/>
    <x v="0"/>
    <x v="0"/>
  </r>
  <r>
    <n v="1468"/>
    <x v="1467"/>
    <s v="-"/>
    <x v="71"/>
    <s v="-"/>
    <x v="1345"/>
    <n v="109945000"/>
    <x v="0"/>
    <x v="3"/>
    <x v="8"/>
    <x v="248"/>
    <s v="-"/>
    <x v="0"/>
    <x v="2"/>
    <x v="15"/>
    <s v="Yamini"/>
    <s v="-"/>
    <s v="-"/>
    <d v="2017-05-31T00:00:00"/>
    <s v="Bank"/>
    <s v="-"/>
    <n v="12500"/>
    <x v="0"/>
    <s v="-"/>
    <n v="0"/>
    <s v="-"/>
    <x v="0"/>
    <x v="0"/>
  </r>
  <r>
    <n v="1469"/>
    <x v="1468"/>
    <s v="-"/>
    <x v="34"/>
    <s v="-"/>
    <x v="1346"/>
    <n v="6960000"/>
    <x v="0"/>
    <x v="4"/>
    <x v="8"/>
    <x v="248"/>
    <s v="-"/>
    <x v="1"/>
    <x v="2"/>
    <x v="13"/>
    <s v="B.Shailaja"/>
    <s v="-"/>
    <s v="-"/>
    <d v="2017-05-24T00:00:00"/>
    <s v="Bank"/>
    <s v="-"/>
    <n v="4000"/>
    <x v="0"/>
    <s v="-"/>
    <n v="0"/>
    <s v="-"/>
    <x v="0"/>
    <x v="0"/>
  </r>
  <r>
    <n v="1470"/>
    <x v="1469"/>
    <s v="-"/>
    <x v="34"/>
    <s v="-"/>
    <x v="1347"/>
    <n v="0"/>
    <x v="0"/>
    <x v="4"/>
    <x v="8"/>
    <x v="54"/>
    <s v="-"/>
    <x v="0"/>
    <x v="2"/>
    <x v="13"/>
    <s v="N.Shailaja"/>
    <s v="-"/>
    <s v="-"/>
    <d v="2017-05-30T00:00:00"/>
    <s v="Cash"/>
    <s v="-"/>
    <n v="4000"/>
    <x v="0"/>
    <s v="-"/>
    <n v="0"/>
    <s v="-"/>
    <x v="0"/>
    <x v="0"/>
  </r>
  <r>
    <n v="1471"/>
    <x v="1470"/>
    <s v="-"/>
    <x v="35"/>
    <s v="-"/>
    <x v="1348"/>
    <n v="2700000"/>
    <x v="0"/>
    <x v="26"/>
    <x v="8"/>
    <x v="26"/>
    <s v="-"/>
    <x v="0"/>
    <x v="2"/>
    <x v="0"/>
    <m/>
    <s v="-"/>
    <s v="-"/>
    <d v="2017-05-23T00:00:00"/>
    <s v="Bank"/>
    <s v="-"/>
    <n v="10000"/>
    <x v="0"/>
    <s v="-"/>
    <n v="0"/>
    <s v="-"/>
    <x v="0"/>
    <x v="0"/>
  </r>
  <r>
    <n v="1472"/>
    <x v="1471"/>
    <s v="-"/>
    <x v="36"/>
    <s v="-"/>
    <x v="1349"/>
    <n v="803000"/>
    <x v="0"/>
    <x v="5"/>
    <x v="8"/>
    <x v="331"/>
    <s v="-"/>
    <x v="0"/>
    <x v="2"/>
    <x v="15"/>
    <s v="Rajini"/>
    <s v="-"/>
    <s v="-"/>
    <d v="2017-05-25T00:00:00"/>
    <s v="Cash"/>
    <s v="-"/>
    <n v="1500"/>
    <x v="0"/>
    <s v="-"/>
    <n v="0"/>
    <s v="-"/>
    <x v="0"/>
    <x v="0"/>
  </r>
  <r>
    <n v="1473"/>
    <x v="1472"/>
    <s v="-"/>
    <x v="37"/>
    <s v="-"/>
    <x v="1350"/>
    <n v="3751000"/>
    <x v="0"/>
    <x v="5"/>
    <x v="8"/>
    <x v="184"/>
    <s v="-"/>
    <x v="0"/>
    <x v="2"/>
    <x v="13"/>
    <s v="Leena"/>
    <s v="-"/>
    <s v="-"/>
    <d v="2017-05-31T00:00:00"/>
    <s v="Cash"/>
    <s v="-"/>
    <n v="3000"/>
    <x v="0"/>
    <s v="-"/>
    <n v="0"/>
    <s v="-"/>
    <x v="0"/>
    <x v="0"/>
  </r>
  <r>
    <n v="1474"/>
    <x v="1473"/>
    <s v="-"/>
    <x v="40"/>
    <s v="-"/>
    <x v="1351"/>
    <n v="0"/>
    <x v="0"/>
    <x v="3"/>
    <x v="8"/>
    <x v="26"/>
    <s v="-"/>
    <x v="0"/>
    <x v="2"/>
    <x v="0"/>
    <m/>
    <s v="-"/>
    <s v="-"/>
    <d v="2017-05-27T00:00:00"/>
    <s v="Cash"/>
    <s v="-"/>
    <n v="10000"/>
    <x v="0"/>
    <s v="-"/>
    <n v="0"/>
    <s v="-"/>
    <x v="0"/>
    <x v="0"/>
  </r>
  <r>
    <n v="1475"/>
    <x v="1474"/>
    <s v="-"/>
    <x v="41"/>
    <s v="-"/>
    <x v="1352"/>
    <n v="0"/>
    <x v="0"/>
    <x v="5"/>
    <x v="8"/>
    <x v="184"/>
    <s v="-"/>
    <x v="0"/>
    <x v="2"/>
    <x v="13"/>
    <s v="Madhu"/>
    <s v="-"/>
    <s v="-"/>
    <d v="2017-05-30T00:00:00"/>
    <s v="Cash"/>
    <s v="-"/>
    <n v="3500"/>
    <x v="0"/>
    <s v="-"/>
    <n v="0"/>
    <s v="-"/>
    <x v="0"/>
    <x v="0"/>
  </r>
  <r>
    <n v="1476"/>
    <x v="1475"/>
    <s v="-"/>
    <x v="148"/>
    <s v="-"/>
    <x v="1337"/>
    <n v="0"/>
    <x v="0"/>
    <x v="16"/>
    <x v="8"/>
    <x v="328"/>
    <s v="-"/>
    <x v="0"/>
    <x v="2"/>
    <x v="15"/>
    <s v="Neelima"/>
    <s v="-"/>
    <s v="-"/>
    <d v="2017-05-03T00:00:00"/>
    <s v="Bank"/>
    <s v="-"/>
    <n v="12000"/>
    <x v="0"/>
    <s v="-"/>
    <n v="0"/>
    <s v="-"/>
    <x v="0"/>
    <x v="0"/>
  </r>
  <r>
    <n v="1477"/>
    <x v="1476"/>
    <s v="-"/>
    <x v="118"/>
    <s v="-"/>
    <x v="575"/>
    <n v="0"/>
    <x v="0"/>
    <x v="4"/>
    <x v="8"/>
    <x v="142"/>
    <s v="-"/>
    <x v="0"/>
    <x v="2"/>
    <x v="13"/>
    <s v="Sowjanya"/>
    <s v="-"/>
    <s v="Duplicate"/>
    <d v="2017-05-30T00:00:00"/>
    <s v="Bank"/>
    <s v="-"/>
    <n v="3000"/>
    <x v="0"/>
    <s v="-"/>
    <n v="0"/>
    <s v="-"/>
    <x v="0"/>
    <x v="0"/>
  </r>
  <r>
    <n v="1478"/>
    <x v="1477"/>
    <s v="-"/>
    <x v="62"/>
    <s v="-"/>
    <x v="1353"/>
    <n v="0"/>
    <x v="0"/>
    <x v="5"/>
    <x v="8"/>
    <x v="191"/>
    <s v="-"/>
    <x v="0"/>
    <x v="2"/>
    <x v="15"/>
    <s v="Usha Latha"/>
    <s v="-"/>
    <s v="-"/>
    <d v="2017-05-05T00:00:00"/>
    <s v="Cash"/>
    <s v="-"/>
    <n v="4000"/>
    <x v="0"/>
    <s v="-"/>
    <n v="0"/>
    <s v="-"/>
    <x v="0"/>
    <x v="0"/>
  </r>
  <r>
    <n v="1479"/>
    <x v="1478"/>
    <s v="-"/>
    <x v="62"/>
    <s v="-"/>
    <x v="1354"/>
    <n v="0"/>
    <x v="0"/>
    <x v="5"/>
    <x v="8"/>
    <x v="195"/>
    <s v="-"/>
    <x v="0"/>
    <x v="2"/>
    <x v="15"/>
    <s v="Rajeshwari"/>
    <s v="-"/>
    <s v="-"/>
    <d v="2017-05-12T00:00:00"/>
    <s v="Bank"/>
    <s v="-"/>
    <n v="5000"/>
    <x v="0"/>
    <s v="-"/>
    <n v="0"/>
    <s v="-"/>
    <x v="0"/>
    <x v="0"/>
  </r>
  <r>
    <n v="1480"/>
    <x v="1479"/>
    <s v="-"/>
    <x v="58"/>
    <s v="-"/>
    <x v="1355"/>
    <n v="0"/>
    <x v="0"/>
    <x v="5"/>
    <x v="8"/>
    <x v="26"/>
    <s v="-"/>
    <x v="1"/>
    <x v="2"/>
    <x v="13"/>
    <s v="Yamini"/>
    <s v="-"/>
    <s v="-"/>
    <d v="2017-05-11T00:00:00"/>
    <s v="Cash"/>
    <s v="-"/>
    <n v="2500"/>
    <x v="0"/>
    <s v="-"/>
    <n v="0"/>
    <s v="-"/>
    <x v="0"/>
    <x v="0"/>
  </r>
  <r>
    <n v="1481"/>
    <x v="1480"/>
    <s v="-"/>
    <x v="58"/>
    <s v="-"/>
    <x v="1356"/>
    <n v="0"/>
    <x v="0"/>
    <x v="5"/>
    <x v="8"/>
    <x v="332"/>
    <s v="-"/>
    <x v="0"/>
    <x v="2"/>
    <x v="13"/>
    <s v="B.Shailaja"/>
    <s v="-"/>
    <s v="-"/>
    <d v="2017-05-03T00:00:00"/>
    <s v="Cash"/>
    <s v="-"/>
    <n v="5000"/>
    <x v="0"/>
    <s v="-"/>
    <n v="0"/>
    <s v="-"/>
    <x v="0"/>
    <x v="0"/>
  </r>
  <r>
    <n v="1482"/>
    <x v="1481"/>
    <s v="-"/>
    <x v="119"/>
    <s v="-"/>
    <x v="1357"/>
    <n v="0"/>
    <x v="0"/>
    <x v="16"/>
    <x v="8"/>
    <x v="333"/>
    <s v="-"/>
    <x v="0"/>
    <x v="2"/>
    <x v="13"/>
    <s v="N.Shailaja"/>
    <s v="-"/>
    <s v="-"/>
    <d v="2017-05-03T00:00:00"/>
    <s v="Bank"/>
    <s v="-"/>
    <n v="15000"/>
    <x v="0"/>
    <s v="-"/>
    <n v="0"/>
    <s v="-"/>
    <x v="0"/>
    <x v="0"/>
  </r>
  <r>
    <n v="1483"/>
    <x v="1482"/>
    <s v="-"/>
    <x v="22"/>
    <s v="-"/>
    <x v="1358"/>
    <n v="0"/>
    <x v="0"/>
    <x v="2"/>
    <x v="8"/>
    <x v="32"/>
    <s v="-"/>
    <x v="0"/>
    <x v="2"/>
    <x v="15"/>
    <m/>
    <s v="-"/>
    <s v="-"/>
    <d v="2017-05-16T00:00:00"/>
    <s v="Cash"/>
    <s v="-"/>
    <n v="2000"/>
    <x v="0"/>
    <s v="-"/>
    <n v="0"/>
    <s v="-"/>
    <x v="0"/>
    <x v="0"/>
  </r>
  <r>
    <n v="1484"/>
    <x v="1483"/>
    <s v="-"/>
    <x v="22"/>
    <s v="-"/>
    <x v="1359"/>
    <n v="0"/>
    <x v="0"/>
    <x v="5"/>
    <x v="8"/>
    <x v="248"/>
    <s v="-"/>
    <x v="1"/>
    <x v="2"/>
    <x v="13"/>
    <s v="Rajini"/>
    <s v="-"/>
    <s v="-"/>
    <d v="2017-05-11T00:00:00"/>
    <s v="Cash"/>
    <s v="-"/>
    <n v="2500"/>
    <x v="0"/>
    <s v="-"/>
    <n v="0"/>
    <s v="-"/>
    <x v="0"/>
    <x v="0"/>
  </r>
  <r>
    <n v="1485"/>
    <x v="1484"/>
    <s v="-"/>
    <x v="23"/>
    <s v="-"/>
    <x v="1360"/>
    <n v="0"/>
    <x v="0"/>
    <x v="5"/>
    <x v="8"/>
    <x v="196"/>
    <s v="-"/>
    <x v="0"/>
    <x v="2"/>
    <x v="13"/>
    <s v="Leena"/>
    <s v="-"/>
    <s v="-"/>
    <d v="2017-05-01T00:00:00"/>
    <s v="Cash"/>
    <s v="-"/>
    <n v="6000"/>
    <x v="0"/>
    <s v="-"/>
    <n v="0"/>
    <s v="-"/>
    <x v="0"/>
    <x v="0"/>
  </r>
  <r>
    <n v="1486"/>
    <x v="1485"/>
    <s v="-"/>
    <x v="59"/>
    <s v="-"/>
    <x v="1361"/>
    <n v="0"/>
    <x v="0"/>
    <x v="5"/>
    <x v="8"/>
    <x v="18"/>
    <s v="-"/>
    <x v="0"/>
    <x v="2"/>
    <x v="13"/>
    <m/>
    <s v="-"/>
    <s v="-"/>
    <d v="2017-05-17T00:00:00"/>
    <s v="Bank"/>
    <s v="-"/>
    <n v="4000"/>
    <x v="0"/>
    <s v="-"/>
    <n v="0"/>
    <s v="-"/>
    <x v="0"/>
    <x v="0"/>
  </r>
  <r>
    <n v="1487"/>
    <x v="1486"/>
    <s v="-"/>
    <x v="59"/>
    <s v="-"/>
    <x v="1362"/>
    <n v="0"/>
    <x v="0"/>
    <x v="5"/>
    <x v="8"/>
    <x v="45"/>
    <s v="-"/>
    <x v="0"/>
    <x v="2"/>
    <x v="15"/>
    <s v="Madhu"/>
    <s v="-"/>
    <s v="-"/>
    <d v="2017-05-19T00:00:00"/>
    <s v="Cash"/>
    <s v="-"/>
    <n v="3000"/>
    <x v="0"/>
    <s v="-"/>
    <n v="0"/>
    <s v="-"/>
    <x v="0"/>
    <x v="0"/>
  </r>
  <r>
    <n v="1488"/>
    <x v="1487"/>
    <s v="-"/>
    <x v="59"/>
    <s v="-"/>
    <x v="1363"/>
    <n v="0"/>
    <x v="0"/>
    <x v="4"/>
    <x v="8"/>
    <x v="334"/>
    <s v="-"/>
    <x v="0"/>
    <x v="2"/>
    <x v="15"/>
    <s v="Neelima"/>
    <s v="-"/>
    <s v="-"/>
    <d v="2017-05-11T00:00:00"/>
    <s v="Cash"/>
    <s v="-"/>
    <n v="2500"/>
    <x v="0"/>
    <s v="-"/>
    <n v="0"/>
    <s v="-"/>
    <x v="0"/>
    <x v="0"/>
  </r>
  <r>
    <n v="1489"/>
    <x v="1488"/>
    <s v="-"/>
    <x v="26"/>
    <s v="-"/>
    <x v="1364"/>
    <n v="0"/>
    <x v="0"/>
    <x v="4"/>
    <x v="1"/>
    <x v="335"/>
    <s v="-"/>
    <x v="0"/>
    <x v="0"/>
    <x v="2"/>
    <s v="Sowjanya"/>
    <s v="-"/>
    <s v="-"/>
    <d v="2017-05-08T00:00:00"/>
    <s v="Bank"/>
    <s v="-"/>
    <n v="3500"/>
    <x v="0"/>
    <s v="-"/>
    <n v="0"/>
    <s v="-"/>
    <x v="0"/>
    <x v="0"/>
  </r>
  <r>
    <n v="1490"/>
    <x v="1489"/>
    <s v="-"/>
    <x v="78"/>
    <s v="-"/>
    <x v="1365"/>
    <n v="0"/>
    <x v="0"/>
    <x v="3"/>
    <x v="3"/>
    <x v="121"/>
    <s v="-"/>
    <x v="0"/>
    <x v="1"/>
    <x v="5"/>
    <s v="Usha Latha"/>
    <s v="-"/>
    <s v="-"/>
    <d v="2017-05-23T00:00:00"/>
    <s v="Bank"/>
    <s v="-"/>
    <n v="3000"/>
    <x v="0"/>
    <s v="-"/>
    <n v="0"/>
    <s v="-"/>
    <x v="0"/>
    <x v="0"/>
  </r>
  <r>
    <n v="1491"/>
    <x v="1490"/>
    <s v="-"/>
    <x v="78"/>
    <s v="-"/>
    <x v="1366"/>
    <n v="8002000"/>
    <x v="0"/>
    <x v="3"/>
    <x v="3"/>
    <x v="84"/>
    <s v="-"/>
    <x v="0"/>
    <x v="1"/>
    <x v="5"/>
    <s v="Rajeshwari"/>
    <s v="-"/>
    <s v="-"/>
    <d v="2017-05-02T00:00:00"/>
    <s v="Bank"/>
    <s v="-"/>
    <n v="2000"/>
    <x v="0"/>
    <s v="-"/>
    <n v="0"/>
    <s v="-"/>
    <x v="0"/>
    <x v="0"/>
  </r>
  <r>
    <n v="1492"/>
    <x v="1491"/>
    <s v="-"/>
    <x v="78"/>
    <s v="-"/>
    <x v="1367"/>
    <n v="8010000"/>
    <x v="0"/>
    <x v="3"/>
    <x v="3"/>
    <x v="8"/>
    <s v="-"/>
    <x v="0"/>
    <x v="1"/>
    <x v="5"/>
    <s v="Yamini"/>
    <s v="-"/>
    <s v="-"/>
    <d v="2017-05-06T00:00:00"/>
    <s v="Bank"/>
    <s v="-"/>
    <n v="3000"/>
    <x v="0"/>
    <s v="-"/>
    <n v="0"/>
    <s v="-"/>
    <x v="0"/>
    <x v="0"/>
  </r>
  <r>
    <n v="1493"/>
    <x v="1492"/>
    <s v="-"/>
    <x v="78"/>
    <s v="-"/>
    <x v="1367"/>
    <n v="7740000"/>
    <x v="0"/>
    <x v="3"/>
    <x v="3"/>
    <x v="8"/>
    <s v="-"/>
    <x v="0"/>
    <x v="1"/>
    <x v="5"/>
    <s v="B.Shailaja"/>
    <s v="-"/>
    <s v="-"/>
    <d v="2017-05-06T00:00:00"/>
    <s v="Bank"/>
    <s v="-"/>
    <n v="3000"/>
    <x v="0"/>
    <s v="-"/>
    <n v="0"/>
    <s v="-"/>
    <x v="0"/>
    <x v="0"/>
  </r>
  <r>
    <n v="1494"/>
    <x v="1493"/>
    <s v="-"/>
    <x v="78"/>
    <s v="-"/>
    <x v="1367"/>
    <n v="6660000"/>
    <x v="0"/>
    <x v="3"/>
    <x v="3"/>
    <x v="8"/>
    <s v="-"/>
    <x v="0"/>
    <x v="1"/>
    <x v="5"/>
    <s v="N.Shailaja"/>
    <s v="-"/>
    <s v="-"/>
    <d v="2017-05-06T00:00:00"/>
    <s v="Bank"/>
    <s v="-"/>
    <n v="3000"/>
    <x v="0"/>
    <s v="-"/>
    <n v="0"/>
    <s v="-"/>
    <x v="0"/>
    <x v="0"/>
  </r>
  <r>
    <n v="1495"/>
    <x v="1494"/>
    <s v="-"/>
    <x v="78"/>
    <s v="-"/>
    <x v="1368"/>
    <n v="4242000"/>
    <x v="0"/>
    <x v="5"/>
    <x v="3"/>
    <x v="336"/>
    <s v="-"/>
    <x v="0"/>
    <x v="1"/>
    <x v="6"/>
    <m/>
    <s v="-"/>
    <s v="-"/>
    <d v="2017-05-04T00:00:00"/>
    <s v="Cash"/>
    <s v="-"/>
    <n v="3000"/>
    <x v="0"/>
    <s v="-"/>
    <n v="0"/>
    <s v="-"/>
    <x v="0"/>
    <x v="0"/>
  </r>
  <r>
    <n v="1496"/>
    <x v="1495"/>
    <s v="-"/>
    <x v="78"/>
    <s v="-"/>
    <x v="1369"/>
    <n v="3858000"/>
    <x v="0"/>
    <x v="5"/>
    <x v="3"/>
    <x v="336"/>
    <s v="-"/>
    <x v="0"/>
    <x v="1"/>
    <x v="6"/>
    <s v="Rajini"/>
    <s v="-"/>
    <s v="-"/>
    <d v="2017-05-04T00:00:00"/>
    <s v="Cash"/>
    <s v="-"/>
    <n v="5000"/>
    <x v="0"/>
    <s v="-"/>
    <n v="0"/>
    <s v="-"/>
    <x v="0"/>
    <x v="0"/>
  </r>
  <r>
    <n v="1497"/>
    <x v="1496"/>
    <s v="-"/>
    <x v="24"/>
    <s v="-"/>
    <x v="320"/>
    <n v="9828000"/>
    <x v="0"/>
    <x v="5"/>
    <x v="3"/>
    <x v="26"/>
    <s v="-"/>
    <x v="0"/>
    <x v="1"/>
    <x v="6"/>
    <s v="Leena"/>
    <s v="-"/>
    <s v="Duplicate"/>
    <d v="2017-05-02T00:00:00"/>
    <s v="Cash"/>
    <s v="-"/>
    <n v="1000"/>
    <x v="8"/>
    <n v="2806"/>
    <n v="7500"/>
    <s v="Paid"/>
    <x v="2"/>
    <x v="0"/>
  </r>
  <r>
    <n v="1498"/>
    <x v="1497"/>
    <s v="-"/>
    <x v="24"/>
    <s v="-"/>
    <x v="1370"/>
    <n v="20000000"/>
    <x v="0"/>
    <x v="3"/>
    <x v="3"/>
    <x v="83"/>
    <s v="-"/>
    <x v="0"/>
    <x v="1"/>
    <x v="25"/>
    <m/>
    <s v="-"/>
    <s v="-"/>
    <d v="2017-05-16T00:00:00"/>
    <s v="Cash"/>
    <s v="-"/>
    <n v="19000"/>
    <x v="0"/>
    <s v="-"/>
    <n v="0"/>
    <s v="-"/>
    <x v="0"/>
    <x v="0"/>
  </r>
  <r>
    <n v="1499"/>
    <x v="1498"/>
    <s v="-"/>
    <x v="26"/>
    <s v="-"/>
    <x v="1371"/>
    <n v="3151000"/>
    <x v="0"/>
    <x v="3"/>
    <x v="3"/>
    <x v="84"/>
    <s v="-"/>
    <x v="0"/>
    <x v="1"/>
    <x v="5"/>
    <s v="Madhu"/>
    <s v="-"/>
    <s v="-"/>
    <d v="2017-05-12T00:00:00"/>
    <s v="Cash"/>
    <s v="-"/>
    <n v="3000"/>
    <x v="0"/>
    <s v="-"/>
    <n v="0"/>
    <s v="-"/>
    <x v="0"/>
    <x v="0"/>
  </r>
  <r>
    <n v="1500"/>
    <x v="1499"/>
    <s v="-"/>
    <x v="26"/>
    <s v="-"/>
    <x v="1372"/>
    <n v="3151000"/>
    <x v="0"/>
    <x v="3"/>
    <x v="3"/>
    <x v="84"/>
    <s v="-"/>
    <x v="0"/>
    <x v="1"/>
    <x v="5"/>
    <s v="Neelima"/>
    <s v="-"/>
    <s v="-"/>
    <d v="2017-05-12T00:00:00"/>
    <s v="Cash"/>
    <s v="-"/>
    <n v="3000"/>
    <x v="0"/>
    <s v="-"/>
    <n v="0"/>
    <s v="-"/>
    <x v="0"/>
    <x v="0"/>
  </r>
  <r>
    <n v="1501"/>
    <x v="1500"/>
    <s v="-"/>
    <x v="27"/>
    <s v="-"/>
    <x v="1373"/>
    <n v="2871000"/>
    <x v="0"/>
    <x v="5"/>
    <x v="3"/>
    <x v="84"/>
    <s v="-"/>
    <x v="0"/>
    <x v="1"/>
    <x v="6"/>
    <s v="Sowjanya"/>
    <s v="-"/>
    <s v="-"/>
    <d v="2017-05-16T00:00:00"/>
    <s v="Cash"/>
    <s v="-"/>
    <n v="4000"/>
    <x v="0"/>
    <s v="-"/>
    <n v="0"/>
    <s v="-"/>
    <x v="0"/>
    <x v="0"/>
  </r>
  <r>
    <n v="1502"/>
    <x v="1501"/>
    <s v="-"/>
    <x v="27"/>
    <s v="-"/>
    <x v="1374"/>
    <n v="2871000"/>
    <x v="0"/>
    <x v="5"/>
    <x v="3"/>
    <x v="84"/>
    <s v="-"/>
    <x v="0"/>
    <x v="1"/>
    <x v="6"/>
    <s v="Usha Latha"/>
    <s v="-"/>
    <s v="-"/>
    <d v="2017-05-16T00:00:00"/>
    <s v="Cash"/>
    <s v="-"/>
    <n v="5000"/>
    <x v="0"/>
    <s v="-"/>
    <n v="0"/>
    <s v="-"/>
    <x v="0"/>
    <x v="0"/>
  </r>
  <r>
    <n v="1503"/>
    <x v="1502"/>
    <s v="-"/>
    <x v="65"/>
    <s v="-"/>
    <x v="1265"/>
    <n v="6894000"/>
    <x v="0"/>
    <x v="3"/>
    <x v="3"/>
    <x v="66"/>
    <s v="-"/>
    <x v="0"/>
    <x v="1"/>
    <x v="5"/>
    <s v="Rajeshwari"/>
    <s v="-"/>
    <s v="-"/>
    <d v="2017-05-20T00:00:00"/>
    <s v="Cash"/>
    <s v="-"/>
    <n v="4000"/>
    <x v="0"/>
    <s v="-"/>
    <n v="0"/>
    <s v="-"/>
    <x v="0"/>
    <x v="0"/>
  </r>
  <r>
    <n v="1504"/>
    <x v="1503"/>
    <s v="-"/>
    <x v="65"/>
    <s v="-"/>
    <x v="1375"/>
    <n v="0"/>
    <x v="0"/>
    <x v="3"/>
    <x v="3"/>
    <x v="21"/>
    <s v="-"/>
    <x v="0"/>
    <x v="1"/>
    <x v="6"/>
    <s v="Yamini"/>
    <s v="-"/>
    <s v="-"/>
    <d v="2017-05-10T00:00:00"/>
    <s v="Cash"/>
    <s v="-"/>
    <n v="1000"/>
    <x v="0"/>
    <s v="-"/>
    <n v="0"/>
    <s v="-"/>
    <x v="0"/>
    <x v="0"/>
  </r>
  <r>
    <n v="1505"/>
    <x v="1504"/>
    <s v="-"/>
    <x v="65"/>
    <s v="-"/>
    <x v="1376"/>
    <n v="10767000"/>
    <x v="0"/>
    <x v="3"/>
    <x v="3"/>
    <x v="84"/>
    <s v="-"/>
    <x v="0"/>
    <x v="1"/>
    <x v="5"/>
    <s v="B.Shailaja"/>
    <s v="-"/>
    <s v="-"/>
    <d v="2017-05-19T00:00:00"/>
    <s v="Cash"/>
    <s v="-"/>
    <n v="8000"/>
    <x v="0"/>
    <s v="-"/>
    <n v="0"/>
    <s v="-"/>
    <x v="0"/>
    <x v="0"/>
  </r>
  <r>
    <n v="1506"/>
    <x v="1505"/>
    <s v="-"/>
    <x v="66"/>
    <s v="-"/>
    <x v="1377"/>
    <n v="3080000"/>
    <x v="0"/>
    <x v="4"/>
    <x v="3"/>
    <x v="84"/>
    <s v="-"/>
    <x v="0"/>
    <x v="1"/>
    <x v="5"/>
    <s v="N.Shailaja"/>
    <s v="-"/>
    <s v="-"/>
    <d v="2017-05-22T00:00:00"/>
    <s v="Bank"/>
    <s v="-"/>
    <n v="3500"/>
    <x v="0"/>
    <s v="-"/>
    <n v="0"/>
    <s v="-"/>
    <x v="0"/>
    <x v="0"/>
  </r>
  <r>
    <n v="1507"/>
    <x v="1506"/>
    <s v="-"/>
    <x v="66"/>
    <s v="-"/>
    <x v="1285"/>
    <n v="4324000"/>
    <x v="0"/>
    <x v="3"/>
    <x v="3"/>
    <x v="84"/>
    <s v="-"/>
    <x v="0"/>
    <x v="1"/>
    <x v="6"/>
    <m/>
    <s v="-"/>
    <s v="-"/>
    <d v="2017-05-18T00:00:00"/>
    <s v="Cash"/>
    <s v="-"/>
    <n v="4500"/>
    <x v="0"/>
    <s v="-"/>
    <n v="0"/>
    <s v="-"/>
    <x v="0"/>
    <x v="0"/>
  </r>
  <r>
    <n v="1508"/>
    <x v="1507"/>
    <s v="-"/>
    <x v="66"/>
    <s v="-"/>
    <x v="1378"/>
    <n v="5140000"/>
    <x v="0"/>
    <x v="3"/>
    <x v="3"/>
    <x v="337"/>
    <s v="-"/>
    <x v="0"/>
    <x v="1"/>
    <x v="5"/>
    <s v="Rajini"/>
    <s v="-"/>
    <s v="-"/>
    <d v="2017-05-12T00:00:00"/>
    <s v="Cash"/>
    <s v="-"/>
    <n v="3000"/>
    <x v="0"/>
    <s v="-"/>
    <n v="0"/>
    <s v="-"/>
    <x v="0"/>
    <x v="0"/>
  </r>
  <r>
    <n v="1509"/>
    <x v="1508"/>
    <s v="-"/>
    <x v="28"/>
    <s v="-"/>
    <x v="947"/>
    <n v="223522000"/>
    <x v="0"/>
    <x v="3"/>
    <x v="3"/>
    <x v="338"/>
    <s v="-"/>
    <x v="0"/>
    <x v="1"/>
    <x v="6"/>
    <s v="Leena"/>
    <s v="-"/>
    <s v="-"/>
    <d v="2017-05-13T00:00:00"/>
    <s v="Cash"/>
    <s v="-"/>
    <n v="77000"/>
    <x v="0"/>
    <s v="-"/>
    <n v="0"/>
    <s v="-"/>
    <x v="0"/>
    <x v="0"/>
  </r>
  <r>
    <n v="1510"/>
    <x v="1509"/>
    <s v="-"/>
    <x v="28"/>
    <s v="-"/>
    <x v="1379"/>
    <n v="3752000"/>
    <x v="0"/>
    <x v="0"/>
    <x v="3"/>
    <x v="339"/>
    <s v="-"/>
    <x v="0"/>
    <x v="1"/>
    <x v="6"/>
    <m/>
    <s v="-"/>
    <s v="-"/>
    <d v="2017-05-11T00:00:00"/>
    <s v="Cash"/>
    <s v="-"/>
    <n v="3500"/>
    <x v="0"/>
    <s v="-"/>
    <n v="0"/>
    <s v="-"/>
    <x v="0"/>
    <x v="0"/>
  </r>
  <r>
    <n v="1511"/>
    <x v="1510"/>
    <s v="-"/>
    <x v="29"/>
    <s v="-"/>
    <x v="1380"/>
    <n v="2890000"/>
    <x v="0"/>
    <x v="5"/>
    <x v="3"/>
    <x v="84"/>
    <s v="-"/>
    <x v="0"/>
    <x v="1"/>
    <x v="6"/>
    <s v="Madhu"/>
    <s v="-"/>
    <s v="-"/>
    <d v="2017-05-15T00:00:00"/>
    <s v="Cash"/>
    <s v="-"/>
    <n v="3000"/>
    <x v="0"/>
    <s v="-"/>
    <n v="0"/>
    <s v="-"/>
    <x v="0"/>
    <x v="0"/>
  </r>
  <r>
    <n v="1512"/>
    <x v="1511"/>
    <s v="-"/>
    <x v="29"/>
    <s v="-"/>
    <x v="124"/>
    <n v="0"/>
    <x v="0"/>
    <x v="5"/>
    <x v="3"/>
    <x v="84"/>
    <s v="-"/>
    <x v="0"/>
    <x v="1"/>
    <x v="5"/>
    <s v="Neelima"/>
    <s v="-"/>
    <s v="-"/>
    <d v="2017-05-22T00:00:00"/>
    <s v="Bank"/>
    <s v="-"/>
    <n v="2000"/>
    <x v="0"/>
    <s v="-"/>
    <n v="0"/>
    <s v="-"/>
    <x v="0"/>
    <x v="0"/>
  </r>
  <r>
    <n v="1513"/>
    <x v="1512"/>
    <s v="-"/>
    <x v="30"/>
    <s v="-"/>
    <x v="1381"/>
    <n v="0"/>
    <x v="0"/>
    <x v="3"/>
    <x v="3"/>
    <x v="340"/>
    <s v="-"/>
    <x v="0"/>
    <x v="1"/>
    <x v="25"/>
    <s v="Sowjanya"/>
    <s v="-"/>
    <s v="-"/>
    <d v="2017-05-24T00:00:00"/>
    <s v="Cash"/>
    <s v="-"/>
    <n v="2000"/>
    <x v="0"/>
    <s v="-"/>
    <n v="0"/>
    <s v="-"/>
    <x v="0"/>
    <x v="0"/>
  </r>
  <r>
    <n v="1514"/>
    <x v="1513"/>
    <s v="-"/>
    <x v="30"/>
    <s v="-"/>
    <x v="1382"/>
    <n v="3977000"/>
    <x v="0"/>
    <x v="3"/>
    <x v="3"/>
    <x v="84"/>
    <s v="-"/>
    <x v="0"/>
    <x v="1"/>
    <x v="5"/>
    <s v="Usha Latha"/>
    <s v="-"/>
    <s v="-"/>
    <d v="2017-05-20T00:00:00"/>
    <s v="Cash"/>
    <s v="-"/>
    <n v="4000"/>
    <x v="0"/>
    <s v="-"/>
    <n v="0"/>
    <s v="-"/>
    <x v="0"/>
    <x v="0"/>
  </r>
  <r>
    <n v="1515"/>
    <x v="1514"/>
    <s v="-"/>
    <x v="32"/>
    <s v="-"/>
    <x v="1383"/>
    <n v="5380000"/>
    <x v="0"/>
    <x v="3"/>
    <x v="3"/>
    <x v="339"/>
    <s v="-"/>
    <x v="0"/>
    <x v="1"/>
    <x v="5"/>
    <s v="Rajeshwari"/>
    <s v="-"/>
    <s v="-"/>
    <d v="2017-05-23T00:00:00"/>
    <s v="Bank"/>
    <s v="-"/>
    <n v="3000"/>
    <x v="0"/>
    <s v="-"/>
    <n v="0"/>
    <s v="-"/>
    <x v="0"/>
    <x v="0"/>
  </r>
  <r>
    <n v="1516"/>
    <x v="1515"/>
    <s v="-"/>
    <x v="70"/>
    <s v="-"/>
    <x v="327"/>
    <n v="0"/>
    <x v="0"/>
    <x v="3"/>
    <x v="3"/>
    <x v="84"/>
    <s v="-"/>
    <x v="0"/>
    <x v="1"/>
    <x v="6"/>
    <s v="Yamini"/>
    <s v="-"/>
    <s v="Duplicate"/>
    <d v="2017-05-15T00:00:00"/>
    <s v="Cash"/>
    <s v="-"/>
    <n v="2000"/>
    <x v="8"/>
    <s v="-"/>
    <n v="0"/>
    <s v="Paid"/>
    <x v="2"/>
    <x v="0"/>
  </r>
  <r>
    <n v="1517"/>
    <x v="1516"/>
    <s v="-"/>
    <x v="70"/>
    <s v="-"/>
    <x v="1384"/>
    <n v="2538000"/>
    <x v="0"/>
    <x v="3"/>
    <x v="3"/>
    <x v="26"/>
    <s v="-"/>
    <x v="0"/>
    <x v="1"/>
    <x v="25"/>
    <s v="B.Shailaja"/>
    <s v="-"/>
    <s v="-"/>
    <d v="2017-05-19T00:00:00"/>
    <s v="Cash"/>
    <s v="-"/>
    <n v="3000"/>
    <x v="0"/>
    <s v="-"/>
    <n v="0"/>
    <s v="-"/>
    <x v="0"/>
    <x v="0"/>
  </r>
  <r>
    <n v="1518"/>
    <x v="1517"/>
    <s v="-"/>
    <x v="33"/>
    <s v="-"/>
    <x v="328"/>
    <n v="0"/>
    <x v="0"/>
    <x v="3"/>
    <x v="3"/>
    <x v="84"/>
    <s v="-"/>
    <x v="0"/>
    <x v="1"/>
    <x v="25"/>
    <s v="N.Shailaja"/>
    <s v="-"/>
    <s v="Duplicate"/>
    <d v="2017-05-18T00:00:00"/>
    <s v="Cash"/>
    <s v="-"/>
    <n v="1000"/>
    <x v="8"/>
    <n v="2823"/>
    <n v="6000"/>
    <s v="Paid"/>
    <x v="2"/>
    <x v="0"/>
  </r>
  <r>
    <n v="1519"/>
    <x v="1518"/>
    <s v="-"/>
    <x v="71"/>
    <s v="-"/>
    <x v="1385"/>
    <n v="0"/>
    <x v="0"/>
    <x v="3"/>
    <x v="3"/>
    <x v="120"/>
    <s v="-"/>
    <x v="0"/>
    <x v="1"/>
    <x v="6"/>
    <m/>
    <s v="-"/>
    <s v="-"/>
    <d v="2017-05-29T00:00:00"/>
    <s v="Bank"/>
    <s v="-"/>
    <n v="2500"/>
    <x v="0"/>
    <s v="***"/>
    <n v="2500"/>
    <s v="-"/>
    <x v="0"/>
    <x v="0"/>
  </r>
  <r>
    <n v="1520"/>
    <x v="1519"/>
    <s v="-"/>
    <x v="34"/>
    <s v="-"/>
    <x v="1386"/>
    <n v="2100000"/>
    <x v="0"/>
    <x v="4"/>
    <x v="3"/>
    <x v="84"/>
    <s v="-"/>
    <x v="0"/>
    <x v="1"/>
    <x v="6"/>
    <s v="Rajini"/>
    <s v="-"/>
    <s v="-"/>
    <d v="2017-05-27T00:00:00"/>
    <s v="Cash"/>
    <s v="-"/>
    <n v="2500"/>
    <x v="0"/>
    <s v="-"/>
    <n v="0"/>
    <s v="-"/>
    <x v="0"/>
    <x v="0"/>
  </r>
  <r>
    <n v="1521"/>
    <x v="1520"/>
    <s v="-"/>
    <x v="35"/>
    <s v="-"/>
    <x v="330"/>
    <n v="0"/>
    <x v="0"/>
    <x v="3"/>
    <x v="3"/>
    <x v="84"/>
    <s v="-"/>
    <x v="0"/>
    <x v="1"/>
    <x v="6"/>
    <s v="Leena"/>
    <s v="-"/>
    <s v="Duplicate"/>
    <d v="2017-05-20T00:00:00"/>
    <s v="Cash"/>
    <s v="-"/>
    <n v="2000"/>
    <x v="8"/>
    <s v="-"/>
    <n v="0"/>
    <s v="Paid"/>
    <x v="2"/>
    <x v="0"/>
  </r>
  <r>
    <n v="1522"/>
    <x v="1521"/>
    <s v="-"/>
    <x v="35"/>
    <s v="-"/>
    <x v="331"/>
    <n v="0"/>
    <x v="0"/>
    <x v="3"/>
    <x v="3"/>
    <x v="84"/>
    <s v="-"/>
    <x v="0"/>
    <x v="1"/>
    <x v="6"/>
    <m/>
    <s v="-"/>
    <s v="Duplicate"/>
    <d v="2017-05-20T00:00:00"/>
    <s v="Cash"/>
    <s v="-"/>
    <n v="2000"/>
    <x v="8"/>
    <s v="-"/>
    <n v="0"/>
    <s v="Paid"/>
    <x v="2"/>
    <x v="0"/>
  </r>
  <r>
    <n v="1523"/>
    <x v="1522"/>
    <s v="-"/>
    <x v="35"/>
    <s v="-"/>
    <x v="332"/>
    <n v="0"/>
    <x v="0"/>
    <x v="5"/>
    <x v="3"/>
    <x v="84"/>
    <s v="-"/>
    <x v="0"/>
    <x v="1"/>
    <x v="5"/>
    <s v="Madhu"/>
    <s v="-"/>
    <s v="Duplicate"/>
    <d v="2017-05-20T00:00:00"/>
    <s v="Cash"/>
    <s v="-"/>
    <n v="2000"/>
    <x v="8"/>
    <s v="-"/>
    <n v="0"/>
    <s v="Paid"/>
    <x v="2"/>
    <x v="0"/>
  </r>
  <r>
    <n v="1524"/>
    <x v="1523"/>
    <s v="-"/>
    <x v="35"/>
    <s v="-"/>
    <x v="333"/>
    <n v="0"/>
    <x v="0"/>
    <x v="5"/>
    <x v="3"/>
    <x v="84"/>
    <s v="-"/>
    <x v="0"/>
    <x v="1"/>
    <x v="5"/>
    <s v="Neelima"/>
    <s v="-"/>
    <s v="Duplicate"/>
    <d v="2017-05-20T00:00:00"/>
    <s v="Cash"/>
    <s v="-"/>
    <n v="2000"/>
    <x v="8"/>
    <s v="-"/>
    <n v="0"/>
    <s v="Paid"/>
    <x v="2"/>
    <x v="0"/>
  </r>
  <r>
    <n v="1525"/>
    <x v="1524"/>
    <s v="-"/>
    <x v="35"/>
    <s v="-"/>
    <x v="334"/>
    <n v="0"/>
    <x v="0"/>
    <x v="5"/>
    <x v="3"/>
    <x v="84"/>
    <s v="-"/>
    <x v="0"/>
    <x v="1"/>
    <x v="5"/>
    <s v="Neelima"/>
    <s v="-"/>
    <s v="Duplicate"/>
    <d v="2017-05-20T00:00:00"/>
    <s v="Cash"/>
    <s v="-"/>
    <n v="2000"/>
    <x v="8"/>
    <s v="-"/>
    <n v="0"/>
    <s v="Paid"/>
    <x v="2"/>
    <x v="0"/>
  </r>
  <r>
    <n v="1526"/>
    <x v="1525"/>
    <s v="-"/>
    <x v="35"/>
    <s v="-"/>
    <x v="335"/>
    <n v="0"/>
    <x v="0"/>
    <x v="5"/>
    <x v="3"/>
    <x v="84"/>
    <s v="-"/>
    <x v="0"/>
    <x v="1"/>
    <x v="5"/>
    <s v="Sowjanya"/>
    <s v="-"/>
    <s v="Duplicate"/>
    <d v="2017-05-20T00:00:00"/>
    <s v="Cash"/>
    <s v="-"/>
    <n v="2000"/>
    <x v="8"/>
    <s v="-"/>
    <n v="0"/>
    <s v="Paid"/>
    <x v="2"/>
    <x v="0"/>
  </r>
  <r>
    <n v="1527"/>
    <x v="1526"/>
    <s v="-"/>
    <x v="67"/>
    <s v="-"/>
    <x v="338"/>
    <n v="0"/>
    <x v="0"/>
    <x v="3"/>
    <x v="3"/>
    <x v="84"/>
    <s v="-"/>
    <x v="0"/>
    <x v="1"/>
    <x v="6"/>
    <s v="Usha Latha"/>
    <s v="-"/>
    <s v="Duplicate"/>
    <d v="2017-05-23T00:00:00"/>
    <s v="Cash"/>
    <s v="-"/>
    <n v="1000"/>
    <x v="12"/>
    <s v="-"/>
    <n v="0"/>
    <s v="-"/>
    <x v="2"/>
    <x v="0"/>
  </r>
  <r>
    <n v="1528"/>
    <x v="1527"/>
    <s v="-"/>
    <x v="36"/>
    <s v="-"/>
    <x v="339"/>
    <n v="5904000"/>
    <x v="0"/>
    <x v="3"/>
    <x v="3"/>
    <x v="84"/>
    <s v="-"/>
    <x v="0"/>
    <x v="1"/>
    <x v="5"/>
    <s v="Rajeshwari"/>
    <s v="-"/>
    <s v="Duplicate"/>
    <d v="2017-05-24T00:00:00"/>
    <s v="Cash"/>
    <s v="-"/>
    <n v="1000"/>
    <x v="2"/>
    <n v="2824"/>
    <n v="4000"/>
    <s v="-"/>
    <x v="0"/>
    <x v="0"/>
  </r>
  <r>
    <n v="1529"/>
    <x v="1528"/>
    <s v="-"/>
    <x v="36"/>
    <s v="-"/>
    <x v="1387"/>
    <n v="6773000"/>
    <x v="0"/>
    <x v="3"/>
    <x v="3"/>
    <x v="84"/>
    <s v="-"/>
    <x v="0"/>
    <x v="1"/>
    <x v="5"/>
    <s v="Yamini"/>
    <s v="-"/>
    <s v="-"/>
    <d v="2017-05-23T00:00:00"/>
    <s v="Cash"/>
    <s v="-"/>
    <n v="4000"/>
    <x v="0"/>
    <s v="-"/>
    <n v="0"/>
    <s v="-"/>
    <x v="0"/>
    <x v="0"/>
  </r>
  <r>
    <n v="1530"/>
    <x v="1529"/>
    <s v="-"/>
    <x v="37"/>
    <s v="-"/>
    <x v="1388"/>
    <n v="0"/>
    <x v="0"/>
    <x v="3"/>
    <x v="3"/>
    <x v="339"/>
    <s v="-"/>
    <x v="0"/>
    <x v="1"/>
    <x v="6"/>
    <s v="B.Shailaja"/>
    <s v="-"/>
    <s v="-"/>
    <d v="2017-05-27T00:00:00"/>
    <s v="Cash"/>
    <s v="-"/>
    <n v="5000"/>
    <x v="0"/>
    <s v="-"/>
    <n v="0"/>
    <s v="-"/>
    <x v="0"/>
    <x v="0"/>
  </r>
  <r>
    <n v="1531"/>
    <x v="1530"/>
    <s v="-"/>
    <x v="37"/>
    <s v="-"/>
    <x v="23"/>
    <n v="0"/>
    <x v="0"/>
    <x v="3"/>
    <x v="3"/>
    <x v="84"/>
    <s v="-"/>
    <x v="0"/>
    <x v="1"/>
    <x v="25"/>
    <s v="N.Shailaja"/>
    <s v="-"/>
    <s v="-"/>
    <d v="2017-05-30T00:00:00"/>
    <s v="Cash"/>
    <s v="-"/>
    <n v="5000"/>
    <x v="0"/>
    <s v="-"/>
    <n v="0"/>
    <s v="-"/>
    <x v="0"/>
    <x v="0"/>
  </r>
  <r>
    <n v="1532"/>
    <x v="1531"/>
    <s v="-"/>
    <x v="38"/>
    <s v="-"/>
    <x v="1389"/>
    <n v="0"/>
    <x v="0"/>
    <x v="3"/>
    <x v="3"/>
    <x v="84"/>
    <s v="-"/>
    <x v="0"/>
    <x v="1"/>
    <x v="25"/>
    <m/>
    <s v="-"/>
    <s v="-"/>
    <d v="2017-05-30T00:00:00"/>
    <s v="Cash"/>
    <s v="-"/>
    <n v="5000"/>
    <x v="0"/>
    <s v="-"/>
    <n v="0"/>
    <s v="-"/>
    <x v="0"/>
    <x v="0"/>
  </r>
  <r>
    <n v="1533"/>
    <x v="1532"/>
    <s v="-"/>
    <x v="40"/>
    <s v="-"/>
    <x v="343"/>
    <n v="0"/>
    <x v="0"/>
    <x v="3"/>
    <x v="3"/>
    <x v="122"/>
    <s v="-"/>
    <x v="0"/>
    <x v="1"/>
    <x v="5"/>
    <s v="Rajini"/>
    <s v="-"/>
    <s v="Duplicate"/>
    <d v="2017-05-27T00:00:00"/>
    <s v="Cash"/>
    <s v="-"/>
    <n v="1000"/>
    <x v="8"/>
    <s v="-"/>
    <n v="0"/>
    <s v="Paid"/>
    <x v="2"/>
    <x v="0"/>
  </r>
  <r>
    <n v="1534"/>
    <x v="1533"/>
    <s v="-"/>
    <x v="68"/>
    <s v="-"/>
    <x v="345"/>
    <n v="0"/>
    <x v="0"/>
    <x v="3"/>
    <x v="3"/>
    <x v="9"/>
    <s v="-"/>
    <x v="0"/>
    <x v="1"/>
    <x v="25"/>
    <s v="Leena"/>
    <s v="-"/>
    <s v="Duplicate"/>
    <d v="2017-05-30T00:00:00"/>
    <s v="Cash"/>
    <s v="-"/>
    <n v="2000"/>
    <x v="8"/>
    <s v="-"/>
    <n v="0"/>
    <s v="Paid"/>
    <x v="2"/>
    <x v="0"/>
  </r>
  <r>
    <n v="1535"/>
    <x v="1534"/>
    <s v="-"/>
    <x v="69"/>
    <s v="-"/>
    <x v="118"/>
    <n v="0"/>
    <x v="0"/>
    <x v="3"/>
    <x v="3"/>
    <x v="26"/>
    <s v="-"/>
    <x v="0"/>
    <x v="1"/>
    <x v="6"/>
    <m/>
    <s v="-"/>
    <s v="Duplicate"/>
    <d v="2017-05-31T00:00:00"/>
    <s v="Cash"/>
    <s v="-"/>
    <n v="2000"/>
    <x v="12"/>
    <s v="-"/>
    <n v="0"/>
    <s v="No Status"/>
    <x v="2"/>
    <x v="0"/>
  </r>
  <r>
    <n v="1536"/>
    <x v="1535"/>
    <s v="-"/>
    <x v="55"/>
    <s v="-"/>
    <x v="1390"/>
    <n v="0"/>
    <x v="0"/>
    <x v="3"/>
    <x v="3"/>
    <x v="84"/>
    <s v="-"/>
    <x v="0"/>
    <x v="1"/>
    <x v="25"/>
    <s v="Madhu"/>
    <s v="-"/>
    <s v="-"/>
    <d v="2017-05-02T00:00:00"/>
    <s v="Bank"/>
    <s v="-"/>
    <n v="2000"/>
    <x v="0"/>
    <n v="3894"/>
    <n v="2000"/>
    <s v="-"/>
    <x v="0"/>
    <x v="0"/>
  </r>
  <r>
    <n v="1537"/>
    <x v="1536"/>
    <s v="-"/>
    <x v="61"/>
    <s v="-"/>
    <x v="1391"/>
    <n v="0"/>
    <x v="0"/>
    <x v="3"/>
    <x v="3"/>
    <x v="90"/>
    <s v="-"/>
    <x v="0"/>
    <x v="1"/>
    <x v="5"/>
    <s v="Neelima"/>
    <s v="-"/>
    <s v="-"/>
    <d v="2017-05-02T00:00:00"/>
    <s v="Cash"/>
    <s v="-"/>
    <n v="5000"/>
    <x v="0"/>
    <s v="-"/>
    <n v="0"/>
    <s v="-"/>
    <x v="0"/>
    <x v="0"/>
  </r>
  <r>
    <n v="1538"/>
    <x v="1537"/>
    <s v="-"/>
    <x v="17"/>
    <s v="-"/>
    <x v="1392"/>
    <n v="0"/>
    <x v="0"/>
    <x v="3"/>
    <x v="3"/>
    <x v="26"/>
    <s v="-"/>
    <x v="0"/>
    <x v="1"/>
    <x v="25"/>
    <s v="Sowjanya"/>
    <s v="-"/>
    <s v="-"/>
    <d v="2017-05-09T00:00:00"/>
    <s v="Cash"/>
    <s v="-"/>
    <n v="3000"/>
    <x v="0"/>
    <s v="-"/>
    <n v="0"/>
    <s v="-"/>
    <x v="0"/>
    <x v="0"/>
  </r>
  <r>
    <n v="1539"/>
    <x v="1538"/>
    <s v="-"/>
    <x v="56"/>
    <s v="-"/>
    <x v="1393"/>
    <n v="0"/>
    <x v="0"/>
    <x v="2"/>
    <x v="3"/>
    <x v="116"/>
    <s v="-"/>
    <x v="0"/>
    <x v="1"/>
    <x v="25"/>
    <s v="Usha Latha"/>
    <s v="-"/>
    <s v="-"/>
    <d v="2017-05-11T00:00:00"/>
    <s v="Bank"/>
    <s v="-"/>
    <n v="5000"/>
    <x v="0"/>
    <n v="3891"/>
    <n v="5000"/>
    <s v="-"/>
    <x v="0"/>
    <x v="0"/>
  </r>
  <r>
    <n v="1540"/>
    <x v="1539"/>
    <s v="-"/>
    <x v="56"/>
    <s v="-"/>
    <x v="1394"/>
    <n v="0"/>
    <x v="0"/>
    <x v="2"/>
    <x v="3"/>
    <x v="116"/>
    <s v="-"/>
    <x v="0"/>
    <x v="1"/>
    <x v="25"/>
    <s v="Rajeshwari"/>
    <s v="-"/>
    <s v="-"/>
    <d v="2017-05-11T00:00:00"/>
    <s v="Bank"/>
    <s v="-"/>
    <n v="5000"/>
    <x v="0"/>
    <n v="3890"/>
    <n v="5000"/>
    <s v="-"/>
    <x v="0"/>
    <x v="0"/>
  </r>
  <r>
    <n v="1541"/>
    <x v="1540"/>
    <s v="-"/>
    <x v="62"/>
    <s v="-"/>
    <x v="1395"/>
    <n v="0"/>
    <x v="0"/>
    <x v="5"/>
    <x v="3"/>
    <x v="84"/>
    <s v="-"/>
    <x v="0"/>
    <x v="1"/>
    <x v="5"/>
    <s v="Yamini"/>
    <s v="-"/>
    <s v="-"/>
    <d v="2017-05-02T00:00:00"/>
    <s v="Cash"/>
    <s v="-"/>
    <n v="5000"/>
    <x v="0"/>
    <s v="-"/>
    <n v="0"/>
    <s v="-"/>
    <x v="0"/>
    <x v="0"/>
  </r>
  <r>
    <n v="1542"/>
    <x v="1541"/>
    <s v="-"/>
    <x v="18"/>
    <s v="-"/>
    <x v="1396"/>
    <n v="0"/>
    <x v="0"/>
    <x v="3"/>
    <x v="3"/>
    <x v="341"/>
    <s v="-"/>
    <x v="0"/>
    <x v="1"/>
    <x v="6"/>
    <s v="B.Shailaja"/>
    <s v="-"/>
    <s v="-"/>
    <d v="2017-05-03T00:00:00"/>
    <s v="Cash"/>
    <s v="-"/>
    <n v="2500"/>
    <x v="0"/>
    <s v="-"/>
    <n v="0"/>
    <s v="-"/>
    <x v="0"/>
    <x v="0"/>
  </r>
  <r>
    <n v="1543"/>
    <x v="1542"/>
    <s v="-"/>
    <x v="58"/>
    <s v="-"/>
    <x v="1"/>
    <n v="0"/>
    <x v="0"/>
    <x v="3"/>
    <x v="3"/>
    <x v="81"/>
    <s v="-"/>
    <x v="0"/>
    <x v="1"/>
    <x v="6"/>
    <s v="N.Shailaja"/>
    <s v="-"/>
    <s v="-"/>
    <d v="2017-05-10T00:00:00"/>
    <s v="Bank"/>
    <s v="-"/>
    <n v="1000"/>
    <x v="0"/>
    <n v="3898"/>
    <n v="1000"/>
    <s v="-"/>
    <x v="0"/>
    <x v="0"/>
  </r>
  <r>
    <n v="1544"/>
    <x v="1543"/>
    <s v="-"/>
    <x v="58"/>
    <s v="-"/>
    <x v="1397"/>
    <n v="0"/>
    <x v="0"/>
    <x v="3"/>
    <x v="3"/>
    <x v="8"/>
    <s v="-"/>
    <x v="0"/>
    <x v="1"/>
    <x v="5"/>
    <m/>
    <s v="-"/>
    <s v="-"/>
    <d v="2017-05-04T00:00:00"/>
    <s v="Cash"/>
    <s v="-"/>
    <n v="20000"/>
    <x v="0"/>
    <s v="-"/>
    <n v="0"/>
    <s v="-"/>
    <x v="0"/>
    <x v="0"/>
  </r>
  <r>
    <n v="1545"/>
    <x v="1544"/>
    <s v="-"/>
    <x v="21"/>
    <s v="-"/>
    <x v="1367"/>
    <n v="0"/>
    <x v="0"/>
    <x v="3"/>
    <x v="3"/>
    <x v="8"/>
    <s v="-"/>
    <x v="0"/>
    <x v="1"/>
    <x v="5"/>
    <s v="Rajini"/>
    <s v="-"/>
    <s v="-"/>
    <d v="2017-05-06T00:00:00"/>
    <s v="Bank"/>
    <s v="-"/>
    <n v="3000"/>
    <x v="0"/>
    <s v="-"/>
    <n v="0"/>
    <s v="-"/>
    <x v="0"/>
    <x v="0"/>
  </r>
  <r>
    <n v="1546"/>
    <x v="1545"/>
    <s v="-"/>
    <x v="22"/>
    <s v="-"/>
    <x v="197"/>
    <n v="0"/>
    <x v="0"/>
    <x v="3"/>
    <x v="3"/>
    <x v="83"/>
    <s v="-"/>
    <x v="0"/>
    <x v="1"/>
    <x v="6"/>
    <s v="Leena"/>
    <s v="-"/>
    <s v="-"/>
    <d v="2017-05-16T00:00:00"/>
    <s v="Cash"/>
    <s v="-"/>
    <n v="19000"/>
    <x v="0"/>
    <s v="-"/>
    <n v="0"/>
    <s v="-"/>
    <x v="0"/>
    <x v="0"/>
  </r>
  <r>
    <n v="1547"/>
    <x v="1546"/>
    <s v="-"/>
    <x v="22"/>
    <s v="-"/>
    <x v="1398"/>
    <n v="0"/>
    <x v="0"/>
    <x v="3"/>
    <x v="3"/>
    <x v="8"/>
    <s v="-"/>
    <x v="0"/>
    <x v="1"/>
    <x v="5"/>
    <m/>
    <s v="-"/>
    <s v="-"/>
    <d v="2017-05-06T00:00:00"/>
    <s v="Bank"/>
    <s v="-"/>
    <n v="3000"/>
    <x v="0"/>
    <s v="-"/>
    <n v="0"/>
    <s v="-"/>
    <x v="0"/>
    <x v="0"/>
  </r>
  <r>
    <n v="1548"/>
    <x v="1547"/>
    <s v="-"/>
    <x v="22"/>
    <s v="-"/>
    <x v="1399"/>
    <n v="0"/>
    <x v="0"/>
    <x v="3"/>
    <x v="3"/>
    <x v="83"/>
    <s v="-"/>
    <x v="0"/>
    <x v="1"/>
    <x v="25"/>
    <s v="Madhu"/>
    <s v="-"/>
    <s v="-"/>
    <d v="2017-05-16T00:00:00"/>
    <s v="Cash"/>
    <s v="-"/>
    <n v="19000"/>
    <x v="0"/>
    <s v="-"/>
    <n v="0"/>
    <s v="-"/>
    <x v="0"/>
    <x v="0"/>
  </r>
  <r>
    <n v="1549"/>
    <x v="1548"/>
    <s v="-"/>
    <x v="22"/>
    <s v="-"/>
    <x v="1400"/>
    <n v="0"/>
    <x v="0"/>
    <x v="15"/>
    <x v="3"/>
    <x v="83"/>
    <s v="-"/>
    <x v="0"/>
    <x v="1"/>
    <x v="25"/>
    <s v="Neelima"/>
    <s v="-"/>
    <s v="-"/>
    <d v="2017-05-16T00:00:00"/>
    <s v="Cash"/>
    <s v="-"/>
    <n v="19000"/>
    <x v="0"/>
    <s v="-"/>
    <n v="0"/>
    <s v="-"/>
    <x v="0"/>
    <x v="0"/>
  </r>
  <r>
    <n v="1550"/>
    <x v="1549"/>
    <s v="-"/>
    <x v="313"/>
    <s v="-"/>
    <x v="1401"/>
    <n v="0"/>
    <x v="0"/>
    <x v="2"/>
    <x v="3"/>
    <x v="8"/>
    <s v="-"/>
    <x v="0"/>
    <x v="1"/>
    <x v="5"/>
    <s v="Sowjanya"/>
    <s v="-"/>
    <s v="-"/>
    <d v="2017-05-06T00:00:00"/>
    <s v="Bank"/>
    <s v="-"/>
    <n v="7500"/>
    <x v="0"/>
    <n v="3875"/>
    <n v="7500"/>
    <s v="-"/>
    <x v="0"/>
    <x v="0"/>
  </r>
  <r>
    <n v="1551"/>
    <x v="1550"/>
    <s v="-"/>
    <x v="314"/>
    <s v="-"/>
    <x v="1402"/>
    <n v="0"/>
    <x v="0"/>
    <x v="3"/>
    <x v="3"/>
    <x v="84"/>
    <s v="-"/>
    <x v="0"/>
    <x v="1"/>
    <x v="6"/>
    <s v="Usha Latha"/>
    <s v="-"/>
    <s v="-"/>
    <d v="2017-05-08T00:00:00"/>
    <s v="Bank"/>
    <s v="-"/>
    <n v="5000"/>
    <x v="0"/>
    <n v="3832"/>
    <n v="40000"/>
    <s v="-"/>
    <x v="0"/>
    <x v="0"/>
  </r>
  <r>
    <n v="1552"/>
    <x v="1551"/>
    <s v="-"/>
    <x v="315"/>
    <s v="-"/>
    <x v="1403"/>
    <n v="0"/>
    <x v="0"/>
    <x v="16"/>
    <x v="3"/>
    <x v="332"/>
    <s v="-"/>
    <x v="0"/>
    <x v="1"/>
    <x v="5"/>
    <s v="Rajeshwari"/>
    <s v="-"/>
    <s v="-"/>
    <d v="2017-05-04T00:00:00"/>
    <s v="Bank"/>
    <s v="-"/>
    <n v="15000"/>
    <x v="0"/>
    <n v="2870"/>
    <n v="20000"/>
    <s v="-"/>
    <x v="0"/>
    <x v="0"/>
  </r>
  <r>
    <n v="1553"/>
    <x v="1552"/>
    <s v="-"/>
    <x v="104"/>
    <s v="-"/>
    <x v="1404"/>
    <n v="0"/>
    <x v="0"/>
    <x v="3"/>
    <x v="3"/>
    <x v="84"/>
    <s v="-"/>
    <x v="0"/>
    <x v="1"/>
    <x v="6"/>
    <s v="Yamini"/>
    <s v="-"/>
    <s v="-"/>
    <d v="2017-05-04T00:00:00"/>
    <s v="Bank"/>
    <s v="-"/>
    <n v="10000"/>
    <x v="0"/>
    <n v="3845"/>
    <n v="25000"/>
    <s v="-"/>
    <x v="0"/>
    <x v="0"/>
  </r>
  <r>
    <n v="1554"/>
    <x v="1553"/>
    <s v="-"/>
    <x v="104"/>
    <s v="-"/>
    <x v="1405"/>
    <n v="0"/>
    <x v="0"/>
    <x v="3"/>
    <x v="3"/>
    <x v="84"/>
    <s v="-"/>
    <x v="0"/>
    <x v="1"/>
    <x v="6"/>
    <s v="B.Shailaja"/>
    <s v="-"/>
    <s v="-"/>
    <d v="2017-05-04T00:00:00"/>
    <s v="Bank"/>
    <s v="-"/>
    <n v="10000"/>
    <x v="0"/>
    <n v="3846"/>
    <n v="25000"/>
    <s v="-"/>
    <x v="0"/>
    <x v="0"/>
  </r>
  <r>
    <n v="1555"/>
    <x v="1554"/>
    <s v="-"/>
    <x v="121"/>
    <s v="-"/>
    <x v="1405"/>
    <n v="0"/>
    <x v="0"/>
    <x v="15"/>
    <x v="3"/>
    <x v="120"/>
    <s v="-"/>
    <x v="0"/>
    <x v="1"/>
    <x v="6"/>
    <s v="N.Shailaja"/>
    <s v="-"/>
    <s v="-"/>
    <d v="2017-05-04T00:00:00"/>
    <s v="Bank"/>
    <s v="-"/>
    <n v="10000"/>
    <x v="0"/>
    <n v="3847"/>
    <n v="25000"/>
    <s v="-"/>
    <x v="0"/>
    <x v="0"/>
  </r>
  <r>
    <n v="1556"/>
    <x v="1555"/>
    <s v="-"/>
    <x v="105"/>
    <s v="-"/>
    <x v="1406"/>
    <n v="0"/>
    <x v="0"/>
    <x v="3"/>
    <x v="3"/>
    <x v="81"/>
    <s v="-"/>
    <x v="0"/>
    <x v="1"/>
    <x v="5"/>
    <m/>
    <s v="-"/>
    <s v="-"/>
    <d v="2017-05-30T00:00:00"/>
    <s v="Bank"/>
    <s v="-"/>
    <n v="5000"/>
    <x v="0"/>
    <n v="3897"/>
    <n v="5000"/>
    <s v="-"/>
    <x v="0"/>
    <x v="0"/>
  </r>
  <r>
    <n v="1557"/>
    <x v="1556"/>
    <s v="-"/>
    <x v="110"/>
    <s v="-"/>
    <x v="1407"/>
    <n v="0"/>
    <x v="0"/>
    <x v="15"/>
    <x v="3"/>
    <x v="83"/>
    <s v="-"/>
    <x v="0"/>
    <x v="1"/>
    <x v="5"/>
    <s v="Rajini"/>
    <s v="-"/>
    <s v="-"/>
    <d v="2017-05-16T00:00:00"/>
    <s v="Cash"/>
    <s v="-"/>
    <n v="19000"/>
    <x v="0"/>
    <s v="-"/>
    <n v="0"/>
    <s v="-"/>
    <x v="0"/>
    <x v="0"/>
  </r>
  <r>
    <n v="1558"/>
    <x v="1557"/>
    <s v="-"/>
    <x v="112"/>
    <s v="-"/>
    <x v="1408"/>
    <n v="0"/>
    <x v="0"/>
    <x v="3"/>
    <x v="3"/>
    <x v="83"/>
    <s v="-"/>
    <x v="0"/>
    <x v="1"/>
    <x v="5"/>
    <s v="Leena"/>
    <s v="-"/>
    <s v="-"/>
    <d v="2017-05-02T00:00:00"/>
    <s v="Bank"/>
    <s v="-"/>
    <n v="10000"/>
    <x v="0"/>
    <n v="3867"/>
    <n v="15000"/>
    <s v="-"/>
    <x v="0"/>
    <x v="0"/>
  </r>
  <r>
    <n v="1559"/>
    <x v="1558"/>
    <s v="-"/>
    <x v="27"/>
    <s v="-"/>
    <x v="1409"/>
    <n v="0"/>
    <x v="0"/>
    <x v="2"/>
    <x v="0"/>
    <x v="31"/>
    <s v="-"/>
    <x v="0"/>
    <x v="0"/>
    <x v="2"/>
    <m/>
    <s v="-"/>
    <s v="-"/>
    <d v="2017-05-06T00:00:00"/>
    <s v="Bank"/>
    <s v="-"/>
    <n v="2000"/>
    <x v="0"/>
    <s v="-"/>
    <n v="0"/>
    <s v="-"/>
    <x v="0"/>
    <x v="0"/>
  </r>
  <r>
    <n v="1560"/>
    <x v="1559"/>
    <s v="-"/>
    <x v="66"/>
    <s v="-"/>
    <x v="1410"/>
    <n v="0"/>
    <x v="0"/>
    <x v="3"/>
    <x v="0"/>
    <x v="30"/>
    <s v="-"/>
    <x v="0"/>
    <x v="0"/>
    <x v="2"/>
    <s v="Madhu"/>
    <s v="-"/>
    <s v="-"/>
    <d v="2017-05-10T00:00:00"/>
    <s v="Bank"/>
    <s v="-"/>
    <n v="1000"/>
    <x v="0"/>
    <s v="-"/>
    <n v="0"/>
    <s v="-"/>
    <x v="0"/>
    <x v="0"/>
  </r>
  <r>
    <n v="1561"/>
    <x v="1560"/>
    <s v="-"/>
    <x v="31"/>
    <s v="-"/>
    <x v="1411"/>
    <n v="0"/>
    <x v="0"/>
    <x v="14"/>
    <x v="0"/>
    <x v="300"/>
    <s v="-"/>
    <x v="0"/>
    <x v="0"/>
    <x v="2"/>
    <s v="Neelima"/>
    <s v="-"/>
    <s v="-"/>
    <d v="2017-05-17T00:00:00"/>
    <s v="Bank"/>
    <s v="-"/>
    <n v="2000"/>
    <x v="0"/>
    <s v="-"/>
    <n v="0"/>
    <s v="-"/>
    <x v="0"/>
    <x v="0"/>
  </r>
  <r>
    <n v="1562"/>
    <x v="1561"/>
    <s v="-"/>
    <x v="32"/>
    <s v="-"/>
    <x v="1412"/>
    <n v="0"/>
    <x v="0"/>
    <x v="7"/>
    <x v="0"/>
    <x v="26"/>
    <s v="-"/>
    <x v="0"/>
    <x v="0"/>
    <x v="2"/>
    <s v="Sowjanya"/>
    <s v="-"/>
    <s v="-"/>
    <d v="2017-05-15T00:00:00"/>
    <s v="Cash"/>
    <s v="-"/>
    <n v="1000"/>
    <x v="0"/>
    <s v="-"/>
    <n v="0"/>
    <s v="-"/>
    <x v="0"/>
    <x v="0"/>
  </r>
  <r>
    <n v="1563"/>
    <x v="1562"/>
    <s v="-"/>
    <x v="33"/>
    <s v="-"/>
    <x v="1413"/>
    <n v="0"/>
    <x v="0"/>
    <x v="3"/>
    <x v="0"/>
    <x v="25"/>
    <s v="-"/>
    <x v="0"/>
    <x v="0"/>
    <x v="2"/>
    <s v="Usha Latha"/>
    <s v="-"/>
    <s v="-"/>
    <d v="2017-05-23T00:00:00"/>
    <s v="Bank"/>
    <s v="-"/>
    <n v="1000"/>
    <x v="0"/>
    <s v="-"/>
    <n v="0"/>
    <s v="-"/>
    <x v="0"/>
    <x v="0"/>
  </r>
  <r>
    <n v="1564"/>
    <x v="1563"/>
    <s v="-"/>
    <x v="34"/>
    <s v="-"/>
    <x v="1414"/>
    <n v="0"/>
    <x v="0"/>
    <x v="5"/>
    <x v="0"/>
    <x v="1"/>
    <s v="-"/>
    <x v="0"/>
    <x v="0"/>
    <x v="2"/>
    <s v="Rajeshwari"/>
    <s v="-"/>
    <s v="-"/>
    <d v="2017-05-22T00:00:00"/>
    <s v="Bank"/>
    <s v="-"/>
    <n v="5000"/>
    <x v="0"/>
    <s v="-"/>
    <n v="0"/>
    <s v="-"/>
    <x v="0"/>
    <x v="0"/>
  </r>
  <r>
    <n v="1565"/>
    <x v="1564"/>
    <s v="-"/>
    <x v="16"/>
    <s v="-"/>
    <x v="1415"/>
    <n v="0"/>
    <x v="0"/>
    <x v="5"/>
    <x v="0"/>
    <x v="3"/>
    <s v="-"/>
    <x v="0"/>
    <x v="0"/>
    <x v="2"/>
    <s v="Yamini"/>
    <s v="-"/>
    <s v="-"/>
    <d v="2017-05-16T00:00:00"/>
    <s v="Bank"/>
    <s v="-"/>
    <n v="5000"/>
    <x v="0"/>
    <s v="-"/>
    <n v="0"/>
    <s v="-"/>
    <x v="0"/>
    <x v="0"/>
  </r>
  <r>
    <n v="1566"/>
    <x v="1565"/>
    <s v="-"/>
    <x v="17"/>
    <s v="-"/>
    <x v="1416"/>
    <n v="0"/>
    <x v="0"/>
    <x v="5"/>
    <x v="0"/>
    <x v="20"/>
    <s v="-"/>
    <x v="0"/>
    <x v="0"/>
    <x v="2"/>
    <s v="B.Shailaja"/>
    <s v="-"/>
    <s v="-"/>
    <d v="2017-05-25T00:00:00"/>
    <s v="Cash"/>
    <s v="-"/>
    <n v="5000"/>
    <x v="0"/>
    <s v="-"/>
    <n v="0"/>
    <s v="-"/>
    <x v="0"/>
    <x v="0"/>
  </r>
  <r>
    <n v="1567"/>
    <x v="1566"/>
    <s v="-"/>
    <x v="19"/>
    <s v="-"/>
    <x v="1417"/>
    <n v="0"/>
    <x v="0"/>
    <x v="5"/>
    <x v="0"/>
    <x v="316"/>
    <s v="-"/>
    <x v="0"/>
    <x v="0"/>
    <x v="2"/>
    <s v="N.Shailaja"/>
    <s v="-"/>
    <s v="-"/>
    <d v="2017-05-12T00:00:00"/>
    <s v="Bank"/>
    <s v="-"/>
    <n v="12000"/>
    <x v="0"/>
    <s v="-"/>
    <n v="0"/>
    <s v="-"/>
    <x v="0"/>
    <x v="0"/>
  </r>
  <r>
    <n v="1568"/>
    <x v="1567"/>
    <s v="-"/>
    <x v="119"/>
    <s v="-"/>
    <x v="1418"/>
    <n v="0"/>
    <x v="0"/>
    <x v="3"/>
    <x v="0"/>
    <x v="316"/>
    <s v="-"/>
    <x v="0"/>
    <x v="0"/>
    <x v="2"/>
    <m/>
    <s v="-"/>
    <s v="-"/>
    <d v="2017-05-03T00:00:00"/>
    <s v="Bank"/>
    <s v="-"/>
    <n v="1000"/>
    <x v="0"/>
    <s v="-"/>
    <n v="0"/>
    <s v="-"/>
    <x v="0"/>
    <x v="0"/>
  </r>
  <r>
    <n v="1569"/>
    <x v="1568"/>
    <s v="-"/>
    <x v="21"/>
    <s v="-"/>
    <x v="1419"/>
    <n v="0"/>
    <x v="0"/>
    <x v="3"/>
    <x v="0"/>
    <x v="3"/>
    <s v="-"/>
    <x v="0"/>
    <x v="0"/>
    <x v="2"/>
    <s v="Rajini"/>
    <s v="-"/>
    <s v="-"/>
    <d v="2017-05-16T00:00:00"/>
    <s v="Bank"/>
    <s v="-"/>
    <n v="5000"/>
    <x v="0"/>
    <s v="-"/>
    <n v="0"/>
    <s v="-"/>
    <x v="0"/>
    <x v="0"/>
  </r>
  <r>
    <n v="1570"/>
    <x v="1569"/>
    <s v="-"/>
    <x v="21"/>
    <s v="-"/>
    <x v="1420"/>
    <n v="0"/>
    <x v="0"/>
    <x v="5"/>
    <x v="0"/>
    <x v="17"/>
    <s v="-"/>
    <x v="0"/>
    <x v="0"/>
    <x v="2"/>
    <s v="Leena"/>
    <s v="-"/>
    <s v="-"/>
    <d v="2017-05-17T00:00:00"/>
    <s v="Bank"/>
    <s v="-"/>
    <n v="5000"/>
    <x v="0"/>
    <s v="-"/>
    <n v="0"/>
    <s v="-"/>
    <x v="0"/>
    <x v="0"/>
  </r>
  <r>
    <n v="1571"/>
    <x v="1570"/>
    <s v="-"/>
    <x v="21"/>
    <s v="-"/>
    <x v="1421"/>
    <n v="0"/>
    <x v="0"/>
    <x v="2"/>
    <x v="0"/>
    <x v="3"/>
    <s v="-"/>
    <x v="0"/>
    <x v="0"/>
    <x v="2"/>
    <m/>
    <s v="-"/>
    <s v="-"/>
    <d v="2017-05-02T00:00:00"/>
    <s v="Bank"/>
    <s v="-"/>
    <n v="1500"/>
    <x v="0"/>
    <s v="-"/>
    <n v="0"/>
    <s v="-"/>
    <x v="0"/>
    <x v="0"/>
  </r>
  <r>
    <n v="1572"/>
    <x v="1571"/>
    <s v="-"/>
    <x v="21"/>
    <s v="-"/>
    <x v="1422"/>
    <n v="0"/>
    <x v="0"/>
    <x v="5"/>
    <x v="0"/>
    <x v="25"/>
    <s v="-"/>
    <x v="0"/>
    <x v="0"/>
    <x v="2"/>
    <s v="Madhu"/>
    <s v="-"/>
    <s v="-"/>
    <d v="2017-05-11T00:00:00"/>
    <s v="Bank"/>
    <s v="-"/>
    <n v="3500"/>
    <x v="0"/>
    <s v="-"/>
    <n v="0"/>
    <s v="-"/>
    <x v="0"/>
    <x v="0"/>
  </r>
  <r>
    <n v="1573"/>
    <x v="1572"/>
    <s v="-"/>
    <x v="39"/>
    <s v="-"/>
    <x v="1423"/>
    <n v="0"/>
    <x v="0"/>
    <x v="5"/>
    <x v="0"/>
    <x v="9"/>
    <s v="-"/>
    <x v="0"/>
    <x v="0"/>
    <x v="2"/>
    <s v="Neelima"/>
    <s v="-"/>
    <s v="Duplicate"/>
    <d v="2017-05-04T00:00:00"/>
    <s v="Bank"/>
    <s v="-"/>
    <n v="5000"/>
    <x v="0"/>
    <s v="-"/>
    <n v="0"/>
    <s v="-"/>
    <x v="0"/>
    <x v="0"/>
  </r>
  <r>
    <n v="1574"/>
    <x v="1573"/>
    <s v="-"/>
    <x v="22"/>
    <s v="-"/>
    <x v="1424"/>
    <n v="0"/>
    <x v="0"/>
    <x v="5"/>
    <x v="0"/>
    <x v="342"/>
    <s v="-"/>
    <x v="0"/>
    <x v="0"/>
    <x v="2"/>
    <s v="Sowjanya"/>
    <s v="-"/>
    <s v="-"/>
    <d v="2017-05-03T00:00:00"/>
    <s v="Bank"/>
    <s v="-"/>
    <n v="5000"/>
    <x v="0"/>
    <s v="-"/>
    <n v="0"/>
    <s v="-"/>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rintPivotTable" cacheId="2" applyNumberFormats="0" applyBorderFormats="0" applyFontFormats="0" applyPatternFormats="0" applyAlignmentFormats="0" applyWidthHeightFormats="1" dataCaption="Values" missingCaption="0" updatedVersion="6" minRefreshableVersion="5" showDrill="0" rowGrandTotals="0" colGrandTotals="0" itemPrintTitles="1" createdVersion="6" indent="0" compact="0" compactData="0" multipleFieldFilters="0" fieldListSortAscending="1">
  <location ref="B20:N258" firstHeaderRow="0" firstDataRow="1" firstDataCol="10"/>
  <pivotFields count="28">
    <pivotField compact="0" outline="0" showAll="0">
      <extLst>
        <ext xmlns:x14="http://schemas.microsoft.com/office/spreadsheetml/2009/9/main" uri="{2946ED86-A175-432a-8AC1-64E0C546D7DE}">
          <x14:pivotField fillDownLabels="1"/>
        </ext>
      </extLst>
    </pivotField>
    <pivotField axis="axisRow" compact="0" outline="0" showAll="0" defaultSubtotal="0">
      <items count="157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numFmtId="169" outline="0" showAll="0" sortType="descending" defaultSubtotal="0">
      <items count="316">
        <item x="52"/>
        <item x="51"/>
        <item x="11"/>
        <item x="10"/>
        <item x="50"/>
        <item x="54"/>
        <item x="49"/>
        <item x="9"/>
        <item x="8"/>
        <item x="7"/>
        <item x="48"/>
        <item x="80"/>
        <item x="6"/>
        <item x="5"/>
        <item x="47"/>
        <item x="4"/>
        <item x="3"/>
        <item x="46"/>
        <item x="53"/>
        <item x="79"/>
        <item x="2"/>
        <item x="45"/>
        <item x="1"/>
        <item x="0"/>
        <item x="44"/>
        <item x="43"/>
        <item x="42"/>
        <item x="69"/>
        <item x="68"/>
        <item x="41"/>
        <item x="40"/>
        <item x="39"/>
        <item x="38"/>
        <item x="37"/>
        <item x="36"/>
        <item x="67"/>
        <item x="35"/>
        <item x="115"/>
        <item x="34"/>
        <item x="71"/>
        <item x="33"/>
        <item x="70"/>
        <item x="32"/>
        <item x="31"/>
        <item x="30"/>
        <item x="29"/>
        <item x="28"/>
        <item x="66"/>
        <item x="65"/>
        <item x="27"/>
        <item x="26"/>
        <item x="25"/>
        <item x="24"/>
        <item x="78"/>
        <item x="59"/>
        <item x="23"/>
        <item x="22"/>
        <item x="21"/>
        <item x="119"/>
        <item x="58"/>
        <item x="57"/>
        <item x="20"/>
        <item x="19"/>
        <item x="63"/>
        <item x="120"/>
        <item x="18"/>
        <item x="62"/>
        <item x="114"/>
        <item x="64"/>
        <item x="56"/>
        <item x="17"/>
        <item x="61"/>
        <item x="16"/>
        <item x="55"/>
        <item x="113"/>
        <item x="15"/>
        <item x="60"/>
        <item x="14"/>
        <item x="13"/>
        <item x="12"/>
        <item x="112"/>
        <item x="111"/>
        <item x="110"/>
        <item x="109"/>
        <item x="108"/>
        <item x="107"/>
        <item x="106"/>
        <item x="105"/>
        <item x="121"/>
        <item x="104"/>
        <item x="103"/>
        <item x="302"/>
        <item x="102"/>
        <item x="101"/>
        <item x="122"/>
        <item x="100"/>
        <item x="298"/>
        <item x="301"/>
        <item x="297"/>
        <item x="99"/>
        <item x="98"/>
        <item x="97"/>
        <item x="118"/>
        <item x="96"/>
        <item x="95"/>
        <item x="312"/>
        <item x="123"/>
        <item x="124"/>
        <item x="299"/>
        <item x="94"/>
        <item x="93"/>
        <item x="315"/>
        <item x="92"/>
        <item x="296"/>
        <item x="174"/>
        <item x="91"/>
        <item x="125"/>
        <item x="90"/>
        <item x="89"/>
        <item x="88"/>
        <item x="126"/>
        <item x="127"/>
        <item x="176"/>
        <item x="87"/>
        <item x="77"/>
        <item x="295"/>
        <item x="293"/>
        <item x="306"/>
        <item x="292"/>
        <item x="294"/>
        <item x="117"/>
        <item x="128"/>
        <item x="86"/>
        <item x="129"/>
        <item x="85"/>
        <item x="130"/>
        <item x="84"/>
        <item x="314"/>
        <item x="305"/>
        <item x="76"/>
        <item x="291"/>
        <item x="131"/>
        <item x="132"/>
        <item x="83"/>
        <item x="192"/>
        <item x="75"/>
        <item x="311"/>
        <item x="191"/>
        <item x="133"/>
        <item x="300"/>
        <item x="310"/>
        <item x="309"/>
        <item x="177"/>
        <item x="288"/>
        <item x="287"/>
        <item x="134"/>
        <item x="290"/>
        <item x="286"/>
        <item x="82"/>
        <item x="190"/>
        <item x="135"/>
        <item x="136"/>
        <item x="137"/>
        <item x="289"/>
        <item x="308"/>
        <item x="189"/>
        <item x="188"/>
        <item x="187"/>
        <item x="285"/>
        <item x="138"/>
        <item x="139"/>
        <item x="140"/>
        <item x="141"/>
        <item x="142"/>
        <item x="143"/>
        <item x="307"/>
        <item x="304"/>
        <item x="144"/>
        <item x="145"/>
        <item x="146"/>
        <item x="147"/>
        <item x="303"/>
        <item x="148"/>
        <item x="81"/>
        <item x="74"/>
        <item x="284"/>
        <item x="283"/>
        <item x="282"/>
        <item x="149"/>
        <item x="281"/>
        <item x="163"/>
        <item x="164"/>
        <item x="73"/>
        <item x="278"/>
        <item x="181"/>
        <item x="179"/>
        <item x="279"/>
        <item x="150"/>
        <item x="151"/>
        <item x="180"/>
        <item x="152"/>
        <item x="280"/>
        <item x="182"/>
        <item x="153"/>
        <item x="276"/>
        <item x="154"/>
        <item x="178"/>
        <item x="277"/>
        <item x="155"/>
        <item x="275"/>
        <item x="183"/>
        <item x="271"/>
        <item x="184"/>
        <item x="156"/>
        <item x="270"/>
        <item x="185"/>
        <item x="157"/>
        <item x="274"/>
        <item x="273"/>
        <item x="272"/>
        <item x="158"/>
        <item x="186"/>
        <item x="269"/>
        <item x="193"/>
        <item x="268"/>
        <item x="165"/>
        <item x="175"/>
        <item x="72"/>
        <item x="267"/>
        <item x="116"/>
        <item x="266"/>
        <item x="198"/>
        <item x="199"/>
        <item x="200"/>
        <item x="265"/>
        <item x="264"/>
        <item x="201"/>
        <item x="263"/>
        <item x="262"/>
        <item x="194"/>
        <item x="195"/>
        <item x="166"/>
        <item x="261"/>
        <item x="167"/>
        <item x="159"/>
        <item x="160"/>
        <item x="257"/>
        <item x="259"/>
        <item x="258"/>
        <item x="256"/>
        <item x="254"/>
        <item x="255"/>
        <item x="196"/>
        <item x="161"/>
        <item x="253"/>
        <item x="252"/>
        <item x="251"/>
        <item x="173"/>
        <item x="260"/>
        <item x="249"/>
        <item x="248"/>
        <item x="172"/>
        <item x="171"/>
        <item x="250"/>
        <item x="313"/>
        <item x="197"/>
        <item x="170"/>
        <item x="169"/>
        <item x="247"/>
        <item x="245"/>
        <item x="202"/>
        <item x="203"/>
        <item x="246"/>
        <item x="244"/>
        <item x="239"/>
        <item x="238"/>
        <item x="237"/>
        <item x="236"/>
        <item x="243"/>
        <item x="240"/>
        <item x="242"/>
        <item x="241"/>
        <item x="235"/>
        <item x="234"/>
        <item x="204"/>
        <item x="233"/>
        <item x="205"/>
        <item x="206"/>
        <item x="232"/>
        <item x="230"/>
        <item x="229"/>
        <item x="231"/>
        <item x="168"/>
        <item x="228"/>
        <item x="227"/>
        <item x="226"/>
        <item x="225"/>
        <item x="207"/>
        <item x="224"/>
        <item x="223"/>
        <item x="208"/>
        <item x="222"/>
        <item x="221"/>
        <item x="220"/>
        <item x="219"/>
        <item x="218"/>
        <item x="217"/>
        <item x="216"/>
        <item x="215"/>
        <item x="214"/>
        <item x="213"/>
        <item x="212"/>
        <item x="211"/>
        <item x="210"/>
        <item x="162"/>
        <item x="209"/>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1425">
        <item x="5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369"/>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s>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28">
        <item x="3"/>
        <item x="0"/>
        <item x="1"/>
        <item x="2"/>
        <item x="4"/>
        <item x="5"/>
        <item x="6"/>
        <item x="7"/>
        <item x="8"/>
        <item x="9"/>
        <item x="10"/>
        <item x="11"/>
        <item x="12"/>
        <item x="13"/>
        <item x="14"/>
        <item x="15"/>
        <item x="16"/>
        <item x="17"/>
        <item x="18"/>
        <item x="19"/>
        <item x="20"/>
        <item x="21"/>
        <item x="22"/>
        <item x="23"/>
        <item x="24"/>
        <item x="25"/>
        <item x="26"/>
        <item x="27"/>
      </items>
      <extLst>
        <ext xmlns:x14="http://schemas.microsoft.com/office/spreadsheetml/2009/9/main" uri="{2946ED86-A175-432a-8AC1-64E0C546D7DE}">
          <x14:pivotField fillDownLabels="1"/>
        </ext>
      </extLst>
    </pivotField>
    <pivotField axis="axisRow" compact="0" outline="0" showAll="0" defaultSubtotal="0">
      <items count="15">
        <item x="0"/>
        <item x="1"/>
        <item x="2"/>
        <item x="3"/>
        <item x="4"/>
        <item x="5"/>
        <item x="6"/>
        <item x="7"/>
        <item x="8"/>
        <item x="9"/>
        <item x="10"/>
        <item x="11"/>
        <item x="12"/>
        <item x="13"/>
        <item x="14"/>
      </items>
      <extLst>
        <ext xmlns:x14="http://schemas.microsoft.com/office/spreadsheetml/2009/9/main" uri="{2946ED86-A175-432a-8AC1-64E0C546D7DE}">
          <x14:pivotField fillDownLabels="1"/>
        </ext>
      </extLst>
    </pivotField>
    <pivotField axis="axisRow" compact="0" outline="0" showAll="0" defaultSubtotal="0">
      <items count="343">
        <item x="26"/>
        <item x="0"/>
        <item x="1"/>
        <item x="2"/>
        <item x="3"/>
        <item x="4"/>
        <item x="5"/>
        <item x="6"/>
        <item x="7"/>
        <item x="8"/>
        <item x="9"/>
        <item x="10"/>
        <item x="11"/>
        <item x="12"/>
        <item x="13"/>
        <item x="14"/>
        <item x="15"/>
        <item x="16"/>
        <item x="17"/>
        <item x="18"/>
        <item x="19"/>
        <item x="20"/>
        <item x="21"/>
        <item x="22"/>
        <item x="23"/>
        <item x="24"/>
        <item x="25"/>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81"/>
        <item x="66"/>
        <item x="67"/>
        <item x="68"/>
        <item x="69"/>
        <item x="70"/>
        <item x="71"/>
        <item x="72"/>
        <item x="73"/>
        <item x="74"/>
        <item x="75"/>
        <item x="76"/>
        <item x="77"/>
        <item x="78"/>
        <item x="79"/>
        <item x="80"/>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5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s>
      <extLst>
        <ext xmlns:x14="http://schemas.microsoft.com/office/spreadsheetml/2009/9/main" uri="{2946ED86-A175-432a-8AC1-64E0C546D7DE}">
          <x14:pivotField fillDownLabels="1"/>
        </ext>
      </extLst>
    </pivotField>
    <pivotField compact="0" outline="0" showAll="0">
      <items count="6">
        <item h="1" x="0"/>
        <item h="1" x="3"/>
        <item x="1"/>
        <item h="1" x="2"/>
        <item h="1" x="4"/>
        <item t="default"/>
      </items>
      <extLst>
        <ext xmlns:x14="http://schemas.microsoft.com/office/spreadsheetml/2009/9/main" uri="{2946ED86-A175-432a-8AC1-64E0C546D7DE}">
          <x14:pivotField fillDownLabels="1"/>
        </ext>
      </extLst>
    </pivotField>
    <pivotField axis="axisRow" compact="0" outline="0" showAll="0" defaultSubtotal="0">
      <items count="26">
        <item x="0"/>
        <item x="1"/>
        <item x="2"/>
        <item x="3"/>
        <item x="4"/>
        <item x="5"/>
        <item x="6"/>
        <item x="7"/>
        <item x="8"/>
        <item x="9"/>
        <item x="10"/>
        <item x="11"/>
        <item x="12"/>
        <item x="13"/>
        <item x="14"/>
        <item x="15"/>
        <item x="16"/>
        <item x="17"/>
        <item x="18"/>
        <item x="19"/>
        <item x="20"/>
        <item x="21"/>
        <item x="22"/>
        <item x="23"/>
        <item x="24"/>
        <item x="25"/>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14">
        <item h="1" x="1"/>
        <item h="1" x="0"/>
        <item x="2"/>
        <item h="1" x="3"/>
        <item h="1" x="4"/>
        <item h="1" x="5"/>
        <item h="1" x="6"/>
        <item h="1" x="7"/>
        <item h="1" x="8"/>
        <item h="1" x="9"/>
        <item h="1" x="10"/>
        <item h="1" x="11"/>
        <item h="1" x="12"/>
        <item h="1" x="13"/>
      </items>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items count="3">
        <item x="1"/>
        <item x="2"/>
        <item x="0"/>
      </items>
      <extLst>
        <ext xmlns:x14="http://schemas.microsoft.com/office/spreadsheetml/2009/9/main" uri="{2946ED86-A175-432a-8AC1-64E0C546D7DE}">
          <x14:pivotField fillDownLabels="1"/>
        </ext>
      </extLst>
    </pivotField>
    <pivotField compact="0" outline="0" showAll="0" defaultSubtotal="0">
      <items count="1">
        <item x="0"/>
      </items>
      <extLst>
        <ext xmlns:x14="http://schemas.microsoft.com/office/spreadsheetml/2009/9/main" uri="{2946ED86-A175-432a-8AC1-64E0C546D7DE}">
          <x14:pivotField fillDownLabels="1"/>
        </ext>
      </extLst>
    </pivotField>
  </pivotFields>
  <rowFields count="10">
    <field x="3"/>
    <field x="1"/>
    <field x="5"/>
    <field x="9"/>
    <field x="10"/>
    <field x="14"/>
    <field x="22"/>
    <field x="8"/>
    <field x="7"/>
    <field x="12"/>
  </rowFields>
  <rowItems count="238">
    <i>
      <x v="1"/>
      <x v="260"/>
      <x v="247"/>
      <x v="3"/>
      <x v="94"/>
      <x/>
      <x v="2"/>
      <x/>
      <x/>
      <x/>
    </i>
    <i>
      <x v="3"/>
      <x v="181"/>
      <x v="173"/>
      <x v="2"/>
      <x v="78"/>
      <x/>
      <x v="2"/>
      <x/>
      <x/>
      <x/>
    </i>
    <i>
      <x v="4"/>
      <x v="175"/>
      <x v="167"/>
      <x v="2"/>
      <x v="40"/>
      <x v="5"/>
      <x v="2"/>
      <x v="5"/>
      <x/>
      <x/>
    </i>
    <i r="1">
      <x v="178"/>
      <x v="170"/>
      <x v="2"/>
      <x v="77"/>
      <x v="6"/>
      <x v="2"/>
      <x v="5"/>
      <x/>
      <x/>
    </i>
    <i>
      <x v="6"/>
      <x v="171"/>
      <x v="164"/>
      <x v="2"/>
      <x v="74"/>
      <x v="6"/>
      <x v="2"/>
      <x/>
      <x/>
      <x/>
    </i>
    <i>
      <x v="8"/>
      <x v="163"/>
      <x v="156"/>
      <x v="2"/>
      <x v="69"/>
      <x v="6"/>
      <x v="2"/>
      <x v="5"/>
      <x/>
      <x/>
    </i>
    <i>
      <x v="9"/>
      <x v="158"/>
      <x v="152"/>
      <x v="2"/>
      <x v="1"/>
      <x v="5"/>
      <x v="2"/>
      <x/>
      <x/>
      <x/>
    </i>
    <i>
      <x v="10"/>
      <x v="150"/>
      <x v="144"/>
      <x v="2"/>
      <x v="38"/>
      <x v="6"/>
      <x v="2"/>
      <x v="13"/>
      <x/>
      <x/>
    </i>
    <i r="1">
      <x v="151"/>
      <x v="145"/>
      <x v="2"/>
      <x v="48"/>
      <x v="6"/>
      <x v="2"/>
      <x/>
      <x/>
      <x/>
    </i>
    <i r="1">
      <x v="152"/>
      <x v="146"/>
      <x v="2"/>
      <x v="48"/>
      <x v="6"/>
      <x v="2"/>
      <x/>
      <x/>
      <x/>
    </i>
    <i r="1">
      <x v="228"/>
      <x v="217"/>
      <x v="3"/>
      <x v="87"/>
      <x v="5"/>
      <x v="2"/>
      <x v="15"/>
      <x/>
      <x/>
    </i>
    <i>
      <x v="12"/>
      <x v="147"/>
      <x v="140"/>
      <x v="2"/>
      <x v="63"/>
      <x v="6"/>
      <x v="2"/>
      <x/>
      <x/>
      <x/>
    </i>
    <i>
      <x v="13"/>
      <x v="225"/>
      <x v="214"/>
      <x v="3"/>
      <x v="84"/>
      <x v="5"/>
      <x v="2"/>
      <x/>
      <x/>
      <x/>
    </i>
    <i r="1">
      <x v="227"/>
      <x v="216"/>
      <x v="3"/>
      <x v="84"/>
      <x v="5"/>
      <x v="2"/>
      <x/>
      <x/>
      <x/>
    </i>
    <i>
      <x v="14"/>
      <x v="136"/>
      <x v="130"/>
      <x v="2"/>
      <x v="57"/>
      <x v="5"/>
      <x v="2"/>
      <x v="5"/>
      <x/>
      <x/>
    </i>
    <i r="1">
      <x v="138"/>
      <x v="129"/>
      <x v="2"/>
      <x v="57"/>
      <x v="5"/>
      <x v="2"/>
      <x v="5"/>
      <x/>
      <x/>
    </i>
    <i r="1">
      <x v="142"/>
      <x v="135"/>
      <x v="2"/>
      <x v="60"/>
      <x v="6"/>
      <x v="2"/>
      <x v="5"/>
      <x/>
      <x/>
    </i>
    <i r="1">
      <x v="143"/>
      <x v="136"/>
      <x v="2"/>
      <x v="60"/>
      <x v="6"/>
      <x v="2"/>
      <x v="5"/>
      <x/>
      <x/>
    </i>
    <i>
      <x v="16"/>
      <x v="130"/>
      <x v="124"/>
      <x v="2"/>
      <x/>
      <x v="5"/>
      <x v="2"/>
      <x/>
      <x/>
      <x/>
    </i>
    <i>
      <x v="17"/>
      <x v="127"/>
      <x v="103"/>
      <x v="2"/>
      <x v="49"/>
      <x/>
      <x v="2"/>
      <x/>
      <x/>
      <x/>
    </i>
    <i>
      <x v="18"/>
      <x v="215"/>
      <x v="205"/>
      <x v="3"/>
      <x v="87"/>
      <x v="5"/>
      <x v="2"/>
      <x/>
      <x/>
      <x/>
    </i>
    <i>
      <x v="20"/>
      <x v="120"/>
      <x v="116"/>
      <x v="2"/>
      <x v="50"/>
      <x v="6"/>
      <x v="2"/>
      <x/>
      <x/>
      <x/>
    </i>
    <i r="1">
      <x v="122"/>
      <x v="118"/>
      <x v="2"/>
      <x v="52"/>
      <x v="5"/>
      <x v="2"/>
      <x/>
      <x/>
      <x/>
    </i>
    <i r="1">
      <x v="123"/>
      <x v="119"/>
      <x v="2"/>
      <x/>
      <x/>
      <x v="2"/>
      <x/>
      <x/>
      <x/>
    </i>
    <i>
      <x v="23"/>
      <x v="115"/>
      <x/>
      <x v="2"/>
      <x v="46"/>
      <x v="5"/>
      <x v="2"/>
      <x/>
      <x/>
      <x/>
    </i>
    <i>
      <x v="24"/>
      <x v="203"/>
      <x v="194"/>
      <x v="3"/>
      <x v="84"/>
      <x v="6"/>
      <x v="2"/>
      <x/>
      <x/>
      <x/>
    </i>
    <i>
      <x v="26"/>
      <x v="102"/>
      <x v="100"/>
      <x v="2"/>
      <x v="39"/>
      <x v="5"/>
      <x v="2"/>
      <x/>
      <x/>
      <x/>
    </i>
    <i r="1">
      <x v="103"/>
      <x v="101"/>
      <x v="2"/>
      <x v="40"/>
      <x v="5"/>
      <x v="2"/>
      <x/>
      <x/>
      <x/>
    </i>
    <i r="1">
      <x v="195"/>
      <x v="186"/>
      <x v="3"/>
      <x v="83"/>
      <x v="5"/>
      <x v="2"/>
      <x/>
      <x/>
      <x/>
    </i>
    <i>
      <x v="28"/>
      <x v="334"/>
      <x v="317"/>
      <x v="2"/>
      <x v="38"/>
      <x v="6"/>
      <x v="2"/>
      <x/>
      <x/>
      <x/>
    </i>
    <i r="1">
      <x v="367"/>
      <x v="349"/>
      <x v="3"/>
      <x v="121"/>
      <x v="5"/>
      <x v="2"/>
      <x/>
      <x/>
      <x/>
    </i>
    <i r="1">
      <x v="384"/>
      <x v="361"/>
      <x v="5"/>
      <x v="108"/>
      <x v="6"/>
      <x v="2"/>
      <x/>
      <x/>
      <x/>
    </i>
    <i>
      <x v="33"/>
      <x v="322"/>
      <x v="305"/>
      <x v="2"/>
      <x v="113"/>
      <x v="5"/>
      <x v="2"/>
      <x v="5"/>
      <x/>
      <x/>
    </i>
    <i r="1">
      <x v="323"/>
      <x v="306"/>
      <x v="2"/>
      <x v="113"/>
      <x v="5"/>
      <x v="2"/>
      <x/>
      <x/>
      <x/>
    </i>
    <i r="1">
      <x v="378"/>
      <x v="358"/>
      <x v="5"/>
      <x v="108"/>
      <x v="11"/>
      <x v="2"/>
      <x/>
      <x/>
      <x/>
    </i>
    <i r="1">
      <x v="379"/>
      <x v="359"/>
      <x v="5"/>
      <x v="108"/>
      <x v="12"/>
      <x v="2"/>
      <x/>
      <x/>
      <x/>
    </i>
    <i r="1">
      <x v="380"/>
      <x v="360"/>
      <x v="5"/>
      <x v="108"/>
      <x v="11"/>
      <x v="2"/>
      <x/>
      <x/>
      <x/>
    </i>
    <i r="1">
      <x v="381"/>
      <x v="353"/>
      <x v="5"/>
      <x v="108"/>
      <x v="6"/>
      <x v="2"/>
      <x/>
      <x/>
      <x/>
    </i>
    <i r="1">
      <x v="382"/>
      <x v="354"/>
      <x v="5"/>
      <x v="108"/>
      <x/>
      <x v="2"/>
      <x/>
      <x/>
      <x/>
    </i>
    <i r="1">
      <x v="383"/>
      <x v="354"/>
      <x v="5"/>
      <x/>
      <x/>
      <x v="2"/>
      <x/>
      <x/>
      <x/>
    </i>
    <i>
      <x v="34"/>
      <x v="321"/>
      <x v="304"/>
      <x v="2"/>
      <x v="112"/>
      <x/>
      <x v="2"/>
      <x/>
      <x/>
      <x/>
    </i>
    <i r="1">
      <x v="358"/>
      <x v="340"/>
      <x v="3"/>
      <x v="84"/>
      <x v="5"/>
      <x v="2"/>
      <x/>
      <x/>
      <x/>
    </i>
    <i r="1">
      <x v="360"/>
      <x v="342"/>
      <x v="3"/>
      <x v="121"/>
      <x/>
      <x v="2"/>
      <x/>
      <x/>
      <x/>
    </i>
    <i r="1">
      <x v="1527"/>
      <x v="340"/>
      <x v="3"/>
      <x v="84"/>
      <x v="5"/>
      <x v="2"/>
      <x/>
      <x/>
      <x/>
    </i>
    <i>
      <x v="35"/>
      <x v="320"/>
      <x v="303"/>
      <x v="2"/>
      <x v="72"/>
      <x/>
      <x v="2"/>
      <x/>
      <x/>
      <x/>
    </i>
    <i>
      <x v="36"/>
      <x v="355"/>
      <x v="337"/>
      <x v="3"/>
      <x v="84"/>
      <x v="5"/>
      <x v="2"/>
      <x v="1"/>
      <x/>
      <x/>
    </i>
    <i r="1">
      <x v="356"/>
      <x v="338"/>
      <x v="3"/>
      <x v="84"/>
      <x v="6"/>
      <x v="2"/>
      <x/>
      <x/>
      <x/>
    </i>
    <i>
      <x v="39"/>
      <x v="348"/>
      <x v="330"/>
      <x v="3"/>
      <x v="120"/>
      <x v="6"/>
      <x v="2"/>
      <x/>
      <x/>
      <x/>
    </i>
    <i>
      <x v="42"/>
      <x v="344"/>
      <x v="248"/>
      <x v="3"/>
      <x v="9"/>
      <x/>
      <x v="2"/>
      <x/>
      <x/>
      <x/>
    </i>
    <i>
      <x v="43"/>
      <x v="313"/>
      <x v="296"/>
      <x v="2"/>
      <x v="80"/>
      <x/>
      <x v="2"/>
      <x/>
      <x/>
      <x/>
    </i>
    <i>
      <x v="44"/>
      <x v="309"/>
      <x v="292"/>
      <x v="2"/>
      <x v="72"/>
      <x v="5"/>
      <x v="2"/>
      <x v="5"/>
      <x/>
      <x/>
    </i>
    <i r="1">
      <x v="311"/>
      <x v="294"/>
      <x v="2"/>
      <x v="80"/>
      <x v="6"/>
      <x v="2"/>
      <x/>
      <x/>
      <x/>
    </i>
    <i r="1">
      <x v="312"/>
      <x v="295"/>
      <x v="2"/>
      <x v="80"/>
      <x/>
      <x v="2"/>
      <x/>
      <x/>
      <x/>
    </i>
    <i>
      <x v="45"/>
      <x v="375"/>
      <x v="355"/>
      <x v="5"/>
      <x v="108"/>
      <x v="9"/>
      <x v="2"/>
      <x/>
      <x/>
      <x/>
    </i>
    <i r="1">
      <x v="376"/>
      <x v="356"/>
      <x v="5"/>
      <x v="108"/>
      <x v="10"/>
      <x v="2"/>
      <x/>
      <x/>
      <x/>
    </i>
    <i r="1">
      <x v="377"/>
      <x v="357"/>
      <x v="5"/>
      <x v="108"/>
      <x v="10"/>
      <x v="2"/>
      <x/>
      <x/>
      <x/>
    </i>
    <i>
      <x v="46"/>
      <x v="343"/>
      <x v="326"/>
      <x v="3"/>
      <x v="83"/>
      <x v="6"/>
      <x v="2"/>
      <x/>
      <x/>
      <x/>
    </i>
    <i>
      <x v="47"/>
      <x v="340"/>
      <x v="323"/>
      <x v="3"/>
      <x v="119"/>
      <x v="6"/>
      <x v="2"/>
      <x/>
      <x/>
      <x/>
    </i>
    <i r="1">
      <x v="370"/>
      <x v="351"/>
      <x v="5"/>
      <x/>
      <x v="8"/>
      <x v="2"/>
      <x/>
      <x/>
      <x/>
    </i>
    <i r="1">
      <x v="371"/>
      <x v="352"/>
      <x v="5"/>
      <x v="108"/>
      <x v="9"/>
      <x v="2"/>
      <x/>
      <x/>
      <x/>
    </i>
    <i r="1">
      <x v="372"/>
      <x v="353"/>
      <x v="5"/>
      <x v="108"/>
      <x v="6"/>
      <x v="2"/>
      <x/>
      <x/>
      <x/>
    </i>
    <i r="1">
      <x v="373"/>
      <x v="354"/>
      <x v="5"/>
      <x v="108"/>
      <x v="6"/>
      <x v="2"/>
      <x/>
      <x/>
      <x/>
    </i>
    <i r="1">
      <x v="374"/>
      <x v="354"/>
      <x v="5"/>
      <x v="108"/>
      <x v="6"/>
      <x v="2"/>
      <x/>
      <x/>
      <x/>
    </i>
    <i>
      <x v="48"/>
      <x v="369"/>
      <x v="350"/>
      <x v="5"/>
      <x v="123"/>
      <x v="6"/>
      <x v="2"/>
      <x/>
      <x/>
      <x/>
    </i>
    <i>
      <x v="49"/>
      <x v="305"/>
      <x v="288"/>
      <x v="2"/>
      <x v="110"/>
      <x v="5"/>
      <x v="2"/>
      <x v="1"/>
      <x/>
      <x/>
    </i>
    <i>
      <x v="52"/>
      <x v="338"/>
      <x v="321"/>
      <x v="3"/>
      <x/>
      <x v="6"/>
      <x v="2"/>
      <x v="5"/>
      <x/>
      <x/>
    </i>
    <i>
      <x v="59"/>
      <x v="273"/>
      <x v="259"/>
      <x v="2"/>
      <x v="102"/>
      <x v="5"/>
      <x v="2"/>
      <x/>
      <x/>
      <x/>
    </i>
    <i r="1">
      <x v="286"/>
      <x v="271"/>
      <x v="3"/>
      <x v="104"/>
      <x v="6"/>
      <x v="2"/>
      <x/>
      <x/>
      <x/>
    </i>
    <i>
      <x v="61"/>
      <x v="270"/>
      <x v="256"/>
      <x v="2"/>
      <x v="101"/>
      <x v="6"/>
      <x v="2"/>
      <x/>
      <x/>
      <x/>
    </i>
    <i r="1">
      <x v="285"/>
      <x v="270"/>
      <x v="3"/>
      <x v="84"/>
      <x v="6"/>
      <x v="2"/>
      <x/>
      <x/>
      <x/>
    </i>
    <i>
      <x v="65"/>
      <x v="268"/>
      <x v="254"/>
      <x v="2"/>
      <x v="44"/>
      <x v="6"/>
      <x v="2"/>
      <x v="5"/>
      <x/>
      <x/>
    </i>
    <i r="1">
      <x v="269"/>
      <x v="255"/>
      <x v="2"/>
      <x v="100"/>
      <x v="5"/>
      <x v="2"/>
      <x/>
      <x/>
      <x/>
    </i>
    <i>
      <x v="68"/>
      <x v="292"/>
      <x v="277"/>
      <x v="5"/>
      <x v="107"/>
      <x v="6"/>
      <x v="2"/>
      <x/>
      <x/>
      <x/>
    </i>
    <i>
      <x v="69"/>
      <x v="267"/>
      <x v="253"/>
      <x v="4"/>
      <x v="99"/>
      <x/>
      <x v="2"/>
      <x/>
      <x/>
      <x/>
    </i>
    <i>
      <x v="71"/>
      <x v="281"/>
      <x v="266"/>
      <x v="3"/>
      <x v="84"/>
      <x/>
      <x v="2"/>
      <x v="1"/>
      <x/>
      <x/>
    </i>
    <i r="1">
      <x v="282"/>
      <x v="267"/>
      <x v="3"/>
      <x v="84"/>
      <x/>
      <x v="2"/>
      <x/>
      <x/>
      <x/>
    </i>
    <i>
      <x v="73"/>
      <x v="266"/>
      <x v="123"/>
      <x v="2"/>
      <x v="98"/>
      <x v="6"/>
      <x v="2"/>
      <x/>
      <x/>
      <x/>
    </i>
    <i>
      <x v="76"/>
      <x v="276"/>
      <x v="262"/>
      <x v="3"/>
      <x v="22"/>
      <x v="5"/>
      <x v="2"/>
      <x/>
      <x/>
      <x/>
    </i>
    <i>
      <x v="77"/>
      <x v="265"/>
      <x v="252"/>
      <x v="2"/>
      <x v="97"/>
      <x v="7"/>
      <x v="2"/>
      <x/>
      <x/>
      <x/>
    </i>
    <i r="1">
      <x v="275"/>
      <x v="261"/>
      <x v="3"/>
      <x v="84"/>
      <x v="6"/>
      <x v="2"/>
      <x/>
      <x/>
      <x/>
    </i>
    <i>
      <x v="80"/>
      <x v="1202"/>
      <x v="1109"/>
      <x v="5"/>
      <x/>
      <x/>
      <x v="2"/>
      <x/>
      <x/>
      <x/>
    </i>
    <i>
      <x v="85"/>
      <x v="1187"/>
      <x v="1098"/>
      <x v="13"/>
      <x v="294"/>
      <x v="6"/>
      <x v="2"/>
      <x/>
      <x/>
      <x/>
    </i>
    <i>
      <x v="87"/>
      <x v="1195"/>
      <x v="1104"/>
      <x v="3"/>
      <x v="295"/>
      <x v="23"/>
      <x v="2"/>
      <x/>
      <x/>
      <x/>
    </i>
    <i>
      <x v="88"/>
      <x v="1194"/>
      <x v="1103"/>
      <x v="3"/>
      <x v="66"/>
      <x v="6"/>
      <x v="2"/>
      <x v="7"/>
      <x/>
      <x/>
    </i>
    <i>
      <x v="89"/>
      <x v="1193"/>
      <x v="1102"/>
      <x v="3"/>
      <x v="84"/>
      <x v="6"/>
      <x v="2"/>
      <x/>
      <x/>
      <x/>
    </i>
    <i>
      <x v="93"/>
      <x v="1198"/>
      <x v="1107"/>
      <x v="5"/>
      <x v="108"/>
      <x v="6"/>
      <x v="2"/>
      <x/>
      <x/>
      <x/>
    </i>
    <i r="1">
      <x v="1199"/>
      <x v="1107"/>
      <x v="5"/>
      <x v="108"/>
      <x v="6"/>
      <x v="2"/>
      <x/>
      <x/>
      <x/>
    </i>
    <i r="1">
      <x v="1200"/>
      <x v="1107"/>
      <x v="5"/>
      <x v="108"/>
      <x v="6"/>
      <x v="2"/>
      <x/>
      <x/>
      <x/>
    </i>
    <i>
      <x v="94"/>
      <x v="1192"/>
      <x v="1101"/>
      <x v="3"/>
      <x v="84"/>
      <x/>
      <x v="2"/>
      <x/>
      <x/>
      <x/>
    </i>
    <i>
      <x v="96"/>
      <x v="1186"/>
      <x v="1097"/>
      <x v="13"/>
      <x v="293"/>
      <x v="23"/>
      <x v="2"/>
      <x v="5"/>
      <x/>
      <x/>
    </i>
    <i>
      <x v="97"/>
      <x v="1222"/>
      <x v="1128"/>
      <x v="5"/>
      <x v="108"/>
      <x/>
      <x v="2"/>
      <x/>
      <x/>
      <x/>
    </i>
    <i>
      <x v="98"/>
      <x v="1185"/>
      <x v="1096"/>
      <x v="13"/>
      <x v="292"/>
      <x v="23"/>
      <x v="2"/>
      <x/>
      <x/>
      <x/>
    </i>
    <i>
      <x v="108"/>
      <x v="1196"/>
      <x v="1105"/>
      <x v="5"/>
      <x v="108"/>
      <x v="6"/>
      <x v="2"/>
      <x/>
      <x/>
      <x/>
    </i>
    <i>
      <x v="110"/>
      <x v="1170"/>
      <x v="1083"/>
      <x v="14"/>
      <x v="205"/>
      <x v="5"/>
      <x v="2"/>
      <x/>
      <x/>
      <x/>
    </i>
    <i>
      <x v="115"/>
      <x v="1176"/>
      <x v="1089"/>
      <x v="5"/>
      <x/>
      <x v="6"/>
      <x v="2"/>
      <x/>
      <x/>
      <x/>
    </i>
    <i r="1">
      <x v="1177"/>
      <x v="1090"/>
      <x v="5"/>
      <x v="245"/>
      <x v="6"/>
      <x v="2"/>
      <x/>
      <x/>
      <x/>
    </i>
    <i>
      <x v="117"/>
      <x v="1167"/>
      <x v="1080"/>
      <x v="3"/>
      <x v="84"/>
      <x/>
      <x v="2"/>
      <x v="4"/>
      <x/>
      <x/>
    </i>
    <i r="1">
      <x v="1168"/>
      <x v="1081"/>
      <x v="4"/>
      <x v="288"/>
      <x v="5"/>
      <x v="2"/>
      <x/>
      <x/>
      <x/>
    </i>
    <i>
      <x v="122"/>
      <x v="1165"/>
      <x v="1078"/>
      <x v="13"/>
      <x v="255"/>
      <x/>
      <x v="2"/>
      <x/>
      <x/>
      <x/>
    </i>
    <i>
      <x v="124"/>
      <x v="1166"/>
      <x v="1079"/>
      <x v="3"/>
      <x v="83"/>
      <x v="6"/>
      <x v="2"/>
      <x/>
      <x/>
      <x/>
    </i>
    <i>
      <x v="125"/>
      <x v="1173"/>
      <x v="1086"/>
      <x v="5"/>
      <x v="107"/>
      <x/>
      <x v="2"/>
      <x/>
      <x/>
      <x/>
    </i>
    <i r="1">
      <x v="1174"/>
      <x v="1087"/>
      <x v="5"/>
      <x v="107"/>
      <x/>
      <x v="2"/>
      <x/>
      <x/>
      <x/>
    </i>
    <i>
      <x v="126"/>
      <x v="1163"/>
      <x v="1076"/>
      <x v="13"/>
      <x v="265"/>
      <x v="6"/>
      <x v="2"/>
      <x/>
      <x/>
      <x/>
    </i>
    <i r="1">
      <x v="1164"/>
      <x v="1077"/>
      <x v="13"/>
      <x v="275"/>
      <x v="5"/>
      <x v="2"/>
      <x/>
      <x/>
      <x/>
    </i>
    <i r="1">
      <x v="1169"/>
      <x v="1082"/>
      <x v="14"/>
      <x v="205"/>
      <x v="5"/>
      <x v="2"/>
      <x/>
      <x/>
      <x/>
    </i>
    <i>
      <x v="128"/>
      <x v="1162"/>
      <x v="1075"/>
      <x v="13"/>
      <x v="69"/>
      <x v="5"/>
      <x v="2"/>
      <x v="17"/>
      <x/>
      <x/>
    </i>
    <i r="1">
      <x v="1175"/>
      <x v="1088"/>
      <x v="5"/>
      <x v="107"/>
      <x/>
      <x v="2"/>
      <x/>
      <x/>
      <x/>
    </i>
    <i>
      <x v="131"/>
      <x v="1159"/>
      <x v="1073"/>
      <x v="13"/>
      <x v="255"/>
      <x v="5"/>
      <x v="2"/>
      <x/>
      <x/>
      <x/>
    </i>
    <i>
      <x v="134"/>
      <x v="1161"/>
      <x v="1074"/>
      <x v="3"/>
      <x v="84"/>
      <x v="6"/>
      <x v="2"/>
      <x/>
      <x/>
      <x/>
    </i>
    <i>
      <x v="140"/>
      <x v="1160"/>
      <x v="333"/>
      <x v="3"/>
      <x v="22"/>
      <x v="6"/>
      <x v="2"/>
      <x/>
      <x/>
      <x/>
    </i>
    <i>
      <x v="148"/>
      <x v="1158"/>
      <x v="138"/>
      <x v="13"/>
      <x v="37"/>
      <x v="5"/>
      <x v="2"/>
      <x/>
      <x/>
      <x/>
    </i>
    <i>
      <x v="152"/>
      <x v="1157"/>
      <x v="1072"/>
      <x v="14"/>
      <x v="205"/>
      <x/>
      <x v="2"/>
      <x/>
      <x/>
      <x/>
    </i>
    <i>
      <x v="153"/>
      <x v="1154"/>
      <x v="1069"/>
      <x v="3"/>
      <x v="84"/>
      <x v="5"/>
      <x v="2"/>
      <x/>
      <x/>
      <x/>
    </i>
    <i>
      <x v="154"/>
      <x v="1152"/>
      <x v="406"/>
      <x v="13"/>
      <x v="31"/>
      <x v="5"/>
      <x v="2"/>
      <x/>
      <x/>
      <x/>
    </i>
    <i>
      <x v="155"/>
      <x v="1151"/>
      <x v="1067"/>
      <x v="13"/>
      <x v="175"/>
      <x v="5"/>
      <x v="2"/>
      <x/>
      <x/>
      <x/>
    </i>
    <i>
      <x v="156"/>
      <x v="1156"/>
      <x v="1071"/>
      <x v="4"/>
      <x v="288"/>
      <x v="5"/>
      <x v="2"/>
      <x v="5"/>
      <x/>
      <x/>
    </i>
    <i>
      <x v="157"/>
      <x v="1150"/>
      <x v="1066"/>
      <x v="13"/>
      <x v="73"/>
      <x v="5"/>
      <x v="2"/>
      <x/>
      <x/>
      <x/>
    </i>
    <i r="1">
      <x v="1153"/>
      <x v="1068"/>
      <x v="3"/>
      <x v="84"/>
      <x v="5"/>
      <x v="2"/>
      <x v="4"/>
      <x/>
      <x/>
    </i>
    <i>
      <x v="163"/>
      <x v="1155"/>
      <x v="1070"/>
      <x v="4"/>
      <x v="288"/>
      <x v="5"/>
      <x v="2"/>
      <x/>
      <x/>
      <x/>
    </i>
    <i>
      <x v="168"/>
      <x v="1148"/>
      <x v="1064"/>
      <x v="13"/>
      <x v="57"/>
      <x v="5"/>
      <x v="2"/>
      <x v="5"/>
      <x/>
      <x/>
    </i>
    <i r="1">
      <x v="1149"/>
      <x v="1065"/>
      <x v="13"/>
      <x v="57"/>
      <x v="5"/>
      <x v="2"/>
      <x/>
      <x/>
      <x/>
    </i>
    <i>
      <x v="180"/>
      <x v="1138"/>
      <x v="1056"/>
      <x v="13"/>
      <x v="51"/>
      <x v="5"/>
      <x v="2"/>
      <x/>
      <x/>
      <x/>
    </i>
    <i r="1">
      <x v="1139"/>
      <x v="1057"/>
      <x v="13"/>
      <x v="81"/>
      <x v="5"/>
      <x v="2"/>
      <x v="15"/>
      <x/>
      <x/>
    </i>
    <i r="1">
      <x v="1140"/>
      <x v="1058"/>
      <x v="13"/>
      <x v="81"/>
      <x v="5"/>
      <x v="2"/>
      <x v="5"/>
      <x/>
      <x/>
    </i>
    <i r="1">
      <x v="1141"/>
      <x v="1059"/>
      <x v="13"/>
      <x v="81"/>
      <x v="5"/>
      <x v="2"/>
      <x v="5"/>
      <x/>
      <x/>
    </i>
    <i>
      <x v="182"/>
      <x v="1144"/>
      <x v="326"/>
      <x v="3"/>
      <x v="83"/>
      <x v="5"/>
      <x v="2"/>
      <x v="5"/>
      <x/>
      <x/>
    </i>
    <i r="1">
      <x v="1147"/>
      <x v="1063"/>
      <x v="4"/>
      <x v="226"/>
      <x v="5"/>
      <x v="2"/>
      <x v="1"/>
      <x/>
      <x/>
    </i>
    <i>
      <x v="184"/>
      <x v="1146"/>
      <x v="558"/>
      <x v="4"/>
      <x v="291"/>
      <x v="5"/>
      <x v="2"/>
      <x/>
      <x/>
      <x/>
    </i>
    <i>
      <x v="185"/>
      <x v="1145"/>
      <x v="1062"/>
      <x v="4"/>
      <x v="226"/>
      <x/>
      <x v="2"/>
      <x/>
      <x/>
      <x/>
    </i>
    <i>
      <x v="186"/>
      <x v="1143"/>
      <x v="1061"/>
      <x v="3"/>
      <x v="84"/>
      <x/>
      <x v="2"/>
      <x/>
      <x/>
      <x/>
    </i>
    <i>
      <x v="187"/>
      <x v="1142"/>
      <x v="1060"/>
      <x v="3"/>
      <x v="290"/>
      <x v="15"/>
      <x v="2"/>
      <x v="5"/>
      <x/>
      <x/>
    </i>
    <i>
      <x v="189"/>
      <x v="1137"/>
      <x v="1055"/>
      <x v="4"/>
      <x v="289"/>
      <x v="5"/>
      <x v="2"/>
      <x/>
      <x/>
      <x/>
    </i>
    <i>
      <x v="192"/>
      <x v="1134"/>
      <x v="1052"/>
      <x v="13"/>
      <x v="286"/>
      <x v="5"/>
      <x v="2"/>
      <x/>
      <x/>
      <x/>
    </i>
    <i>
      <x v="193"/>
      <x v="1132"/>
      <x v="1050"/>
      <x v="13"/>
      <x v="1"/>
      <x v="5"/>
      <x v="2"/>
      <x v="4"/>
      <x/>
      <x/>
    </i>
    <i r="1">
      <x v="1133"/>
      <x v="1051"/>
      <x v="13"/>
      <x v="100"/>
      <x v="5"/>
      <x v="2"/>
      <x/>
      <x/>
      <x/>
    </i>
    <i>
      <x v="196"/>
      <x v="1135"/>
      <x v="1053"/>
      <x v="3"/>
      <x v="287"/>
      <x v="5"/>
      <x v="2"/>
      <x v="5"/>
      <x/>
      <x/>
    </i>
    <i>
      <x v="197"/>
      <x v="1130"/>
      <x v="1048"/>
      <x v="13"/>
      <x v="277"/>
      <x/>
      <x v="2"/>
      <x v="5"/>
      <x/>
      <x/>
    </i>
    <i r="1">
      <x v="1131"/>
      <x v="1049"/>
      <x v="13"/>
      <x v="277"/>
      <x/>
      <x v="2"/>
      <x v="5"/>
      <x/>
      <x/>
    </i>
    <i>
      <x v="198"/>
      <x v="1129"/>
      <x v="1047"/>
      <x v="13"/>
      <x v="57"/>
      <x v="21"/>
      <x v="2"/>
      <x v="5"/>
      <x/>
      <x/>
    </i>
    <i>
      <x v="201"/>
      <x v="1136"/>
      <x v="1054"/>
      <x v="4"/>
      <x v="288"/>
      <x v="5"/>
      <x v="2"/>
      <x/>
      <x/>
      <x/>
    </i>
    <i>
      <x v="204"/>
      <x v="1127"/>
      <x v="1045"/>
      <x v="13"/>
      <x v="259"/>
      <x v="5"/>
      <x v="2"/>
      <x/>
      <x/>
      <x/>
    </i>
    <i>
      <x v="207"/>
      <x v="1128"/>
      <x v="1046"/>
      <x v="4"/>
      <x v="285"/>
      <x v="5"/>
      <x v="2"/>
      <x v="17"/>
      <x/>
      <x/>
    </i>
    <i>
      <x v="209"/>
      <x v="1126"/>
      <x v="1044"/>
      <x v="13"/>
      <x v="284"/>
      <x v="5"/>
      <x v="2"/>
      <x/>
      <x/>
      <x/>
    </i>
    <i>
      <x v="211"/>
      <x v="1120"/>
      <x v="1038"/>
      <x v="13"/>
      <x v="283"/>
      <x/>
      <x v="2"/>
      <x v="5"/>
      <x/>
      <x/>
    </i>
    <i r="1">
      <x v="1121"/>
      <x v="1039"/>
      <x v="13"/>
      <x v="269"/>
      <x v="5"/>
      <x v="2"/>
      <x/>
      <x/>
      <x/>
    </i>
    <i>
      <x v="214"/>
      <x v="1119"/>
      <x v="1037"/>
      <x v="13"/>
      <x v="267"/>
      <x v="5"/>
      <x v="2"/>
      <x/>
      <x/>
      <x/>
    </i>
    <i>
      <x v="217"/>
      <x v="1124"/>
      <x v="1042"/>
      <x v="14"/>
      <x v="205"/>
      <x/>
      <x v="2"/>
      <x/>
      <x/>
      <x/>
    </i>
    <i r="1">
      <x v="1125"/>
      <x v="1043"/>
      <x v="14"/>
      <x v="205"/>
      <x/>
      <x v="2"/>
      <x/>
      <x/>
      <x/>
    </i>
    <i>
      <x v="218"/>
      <x v="1123"/>
      <x v="1041"/>
      <x v="3"/>
      <x v="84"/>
      <x v="5"/>
      <x v="2"/>
      <x v="5"/>
      <x/>
      <x/>
    </i>
    <i>
      <x v="219"/>
      <x v="1122"/>
      <x v="1040"/>
      <x v="3"/>
      <x v="84"/>
      <x v="5"/>
      <x v="2"/>
      <x/>
      <x/>
      <x/>
    </i>
    <i>
      <x v="221"/>
      <x v="1117"/>
      <x v="1035"/>
      <x v="13"/>
      <x v="277"/>
      <x v="5"/>
      <x v="2"/>
      <x v="5"/>
      <x/>
      <x/>
    </i>
    <i r="1">
      <x v="1118"/>
      <x v="1036"/>
      <x v="13"/>
      <x v="277"/>
      <x v="2"/>
      <x v="2"/>
      <x v="5"/>
      <x/>
      <x/>
    </i>
    <i>
      <x v="222"/>
      <x v="1116"/>
      <x v="1034"/>
      <x v="13"/>
      <x v="259"/>
      <x v="5"/>
      <x v="2"/>
      <x/>
      <x/>
      <x/>
    </i>
    <i>
      <x v="224"/>
      <x v="1115"/>
      <x v="1033"/>
      <x v="13"/>
      <x v="161"/>
      <x v="5"/>
      <x v="2"/>
      <x/>
      <x/>
      <x/>
    </i>
    <i>
      <x v="225"/>
      <x v="1114"/>
      <x v="1032"/>
      <x v="13"/>
      <x v="282"/>
      <x v="5"/>
      <x v="2"/>
      <x/>
      <x/>
      <x/>
    </i>
    <i>
      <x v="228"/>
      <x v="1113"/>
      <x v="1031"/>
      <x v="13"/>
      <x v="265"/>
      <x v="5"/>
      <x v="2"/>
      <x v="5"/>
      <x/>
      <x/>
    </i>
    <i>
      <x v="230"/>
      <x v="1112"/>
      <x v="1030"/>
      <x v="13"/>
      <x v="69"/>
      <x v="5"/>
      <x v="2"/>
      <x/>
      <x/>
      <x/>
    </i>
    <i>
      <x v="234"/>
      <x v="1111"/>
      <x v="1029"/>
      <x v="13"/>
      <x v="56"/>
      <x/>
      <x v="2"/>
      <x v="5"/>
      <x/>
      <x/>
    </i>
    <i>
      <x v="235"/>
      <x v="1108"/>
      <x v="35"/>
      <x v="13"/>
      <x v="277"/>
      <x v="5"/>
      <x v="2"/>
      <x/>
      <x/>
      <x/>
    </i>
    <i r="1">
      <x v="1109"/>
      <x v="1027"/>
      <x v="13"/>
      <x v="277"/>
      <x v="5"/>
      <x v="2"/>
      <x/>
      <x/>
      <x/>
    </i>
    <i>
      <x v="237"/>
      <x v="1107"/>
      <x v="1026"/>
      <x v="13"/>
      <x v="281"/>
      <x v="5"/>
      <x v="2"/>
      <x v="13"/>
      <x/>
      <x/>
    </i>
    <i>
      <x v="238"/>
      <x v="1106"/>
      <x v="1025"/>
      <x v="13"/>
      <x v="280"/>
      <x v="20"/>
      <x v="2"/>
      <x v="7"/>
      <x/>
      <x/>
    </i>
    <i>
      <x v="239"/>
      <x v="1105"/>
      <x v="1024"/>
      <x v="13"/>
      <x v="279"/>
      <x v="5"/>
      <x v="2"/>
      <x v="1"/>
      <x/>
      <x/>
    </i>
    <i>
      <x v="242"/>
      <x v="1102"/>
      <x v="1021"/>
      <x v="13"/>
      <x v="277"/>
      <x v="2"/>
      <x v="2"/>
      <x v="5"/>
      <x/>
      <x/>
    </i>
    <i r="1">
      <x v="1103"/>
      <x v="1022"/>
      <x v="13"/>
      <x v="277"/>
      <x v="2"/>
      <x v="2"/>
      <x/>
      <x/>
      <x/>
    </i>
    <i r="1">
      <x v="1104"/>
      <x v="1023"/>
      <x v="13"/>
      <x v="278"/>
      <x v="5"/>
      <x v="2"/>
      <x v="5"/>
      <x/>
      <x/>
    </i>
    <i>
      <x v="243"/>
      <x v="1110"/>
      <x v="1028"/>
      <x v="4"/>
      <x v="1"/>
      <x v="5"/>
      <x v="2"/>
      <x/>
      <x/>
      <x/>
    </i>
    <i>
      <x v="246"/>
      <x v="1098"/>
      <x v="1017"/>
      <x v="13"/>
      <x v="76"/>
      <x v="2"/>
      <x v="2"/>
      <x v="5"/>
      <x/>
      <x/>
    </i>
    <i>
      <x v="247"/>
      <x v="1100"/>
      <x v="1019"/>
      <x v="3"/>
      <x v="276"/>
      <x v="5"/>
      <x v="2"/>
      <x/>
      <x/>
      <x/>
    </i>
    <i>
      <x v="248"/>
      <x v="1099"/>
      <x v="1018"/>
      <x v="3"/>
      <x v="22"/>
      <x v="5"/>
      <x v="2"/>
      <x/>
      <x/>
      <x/>
    </i>
    <i>
      <x v="249"/>
      <x v="1097"/>
      <x v="1016"/>
      <x v="13"/>
      <x v="275"/>
      <x v="2"/>
      <x v="2"/>
      <x/>
      <x/>
      <x/>
    </i>
    <i>
      <x v="250"/>
      <x v="1095"/>
      <x v="1014"/>
      <x v="13"/>
      <x v="57"/>
      <x v="5"/>
      <x v="2"/>
      <x/>
      <x/>
      <x/>
    </i>
    <i>
      <x v="251"/>
      <x v="1096"/>
      <x v="1015"/>
      <x v="13"/>
      <x v="274"/>
      <x/>
      <x v="2"/>
      <x/>
      <x/>
      <x/>
    </i>
    <i>
      <x v="254"/>
      <x v="1094"/>
      <x v="1013"/>
      <x v="13"/>
      <x v="31"/>
      <x v="5"/>
      <x v="2"/>
      <x/>
      <x/>
      <x/>
    </i>
    <i>
      <x v="255"/>
      <x v="1093"/>
      <x v="1012"/>
      <x v="13"/>
      <x v="56"/>
      <x/>
      <x v="2"/>
      <x/>
      <x/>
      <x/>
    </i>
    <i>
      <x v="256"/>
      <x v="1092"/>
      <x v="1011"/>
      <x v="13"/>
      <x v="263"/>
      <x v="5"/>
      <x v="2"/>
      <x/>
      <x/>
      <x/>
    </i>
    <i>
      <x v="258"/>
      <x v="1101"/>
      <x v="1020"/>
      <x v="4"/>
      <x v="99"/>
      <x v="2"/>
      <x v="2"/>
      <x/>
      <x/>
      <x/>
    </i>
    <i>
      <x v="259"/>
      <x v="1090"/>
      <x v="1009"/>
      <x v="4"/>
      <x v="272"/>
      <x v="2"/>
      <x v="2"/>
      <x v="13"/>
      <x/>
      <x/>
    </i>
    <i>
      <x v="260"/>
      <x v="1089"/>
      <x v="1008"/>
      <x v="4"/>
      <x v="99"/>
      <x v="2"/>
      <x v="2"/>
      <x v="4"/>
      <x/>
      <x/>
    </i>
    <i>
      <x v="262"/>
      <x v="1088"/>
      <x v="1007"/>
      <x v="4"/>
      <x v="24"/>
      <x v="5"/>
      <x v="2"/>
      <x/>
      <x/>
      <x/>
    </i>
    <i>
      <x v="263"/>
      <x v="1091"/>
      <x v="1010"/>
      <x v="3"/>
      <x v="273"/>
      <x v="2"/>
      <x v="2"/>
      <x/>
      <x/>
      <x/>
    </i>
    <i>
      <x v="265"/>
      <x v="1083"/>
      <x v="1002"/>
      <x v="13"/>
      <x v="40"/>
      <x v="5"/>
      <x v="2"/>
      <x/>
      <x/>
      <x/>
    </i>
    <i>
      <x v="267"/>
      <x v="1087"/>
      <x v="1006"/>
      <x v="4"/>
      <x v="24"/>
      <x v="19"/>
      <x v="2"/>
      <x/>
      <x/>
      <x/>
    </i>
    <i>
      <x v="268"/>
      <x v="1086"/>
      <x v="1005"/>
      <x v="4"/>
      <x v="22"/>
      <x v="19"/>
      <x v="2"/>
      <x/>
      <x/>
      <x/>
    </i>
    <i>
      <x v="269"/>
      <x v="1082"/>
      <x v="1001"/>
      <x v="13"/>
      <x v="73"/>
      <x v="5"/>
      <x v="2"/>
      <x v="5"/>
      <x/>
      <x/>
    </i>
    <i>
      <x v="271"/>
      <x v="1084"/>
      <x v="1003"/>
      <x v="3"/>
      <x v="84"/>
      <x v="2"/>
      <x v="2"/>
      <x/>
      <x/>
      <x/>
    </i>
    <i>
      <x v="272"/>
      <x v="1085"/>
      <x v="1004"/>
      <x v="4"/>
      <x v="1"/>
      <x v="19"/>
      <x v="2"/>
      <x/>
      <x/>
      <x/>
    </i>
    <i>
      <x v="273"/>
      <x v="1080"/>
      <x v="999"/>
      <x v="13"/>
      <x v="148"/>
      <x v="19"/>
      <x v="2"/>
      <x v="5"/>
      <x/>
      <x/>
    </i>
    <i r="1">
      <x v="1081"/>
      <x v="1000"/>
      <x v="13"/>
      <x v="271"/>
      <x v="19"/>
      <x v="2"/>
      <x v="5"/>
      <x/>
      <x/>
    </i>
    <i>
      <x v="274"/>
      <x v="1072"/>
      <x v="992"/>
      <x v="13"/>
      <x v="271"/>
      <x v="19"/>
      <x v="2"/>
      <x/>
      <x/>
      <x/>
    </i>
    <i r="1">
      <x v="1073"/>
      <x v="993"/>
      <x v="13"/>
      <x v="270"/>
      <x v="19"/>
      <x v="2"/>
      <x/>
      <x/>
      <x/>
    </i>
    <i>
      <x v="275"/>
      <x v="1070"/>
      <x v="990"/>
      <x v="13"/>
      <x v="148"/>
      <x v="19"/>
      <x v="2"/>
      <x/>
      <x/>
      <x/>
    </i>
    <i r="1">
      <x v="1071"/>
      <x v="991"/>
      <x v="13"/>
      <x v="53"/>
      <x v="2"/>
      <x v="2"/>
      <x/>
      <x/>
      <x/>
    </i>
    <i>
      <x v="276"/>
      <x v="1069"/>
      <x v="989"/>
      <x v="13"/>
      <x v="270"/>
      <x v="19"/>
      <x v="2"/>
      <x/>
      <x/>
      <x/>
    </i>
    <i>
      <x v="277"/>
      <x v="1068"/>
      <x v="988"/>
      <x v="13"/>
      <x v="269"/>
      <x v="19"/>
      <x v="2"/>
      <x/>
      <x/>
      <x/>
    </i>
    <i>
      <x v="278"/>
      <x v="1079"/>
      <x v="998"/>
      <x v="4"/>
      <x v="22"/>
      <x/>
      <x v="2"/>
      <x/>
      <x/>
      <x/>
    </i>
    <i>
      <x v="279"/>
      <x v="1074"/>
      <x v="994"/>
      <x v="3"/>
      <x v="84"/>
      <x/>
      <x v="2"/>
      <x/>
      <x/>
      <x/>
    </i>
    <i r="1">
      <x v="1078"/>
      <x v="997"/>
      <x v="4"/>
      <x v="272"/>
      <x/>
      <x v="2"/>
      <x/>
      <x/>
      <x/>
    </i>
    <i>
      <x v="280"/>
      <x v="1077"/>
      <x v="996"/>
      <x v="4"/>
      <x v="24"/>
      <x/>
      <x v="2"/>
      <x/>
      <x/>
      <x/>
    </i>
    <i>
      <x v="281"/>
      <x v="1076"/>
      <x v="247"/>
      <x v="4"/>
      <x v="24"/>
      <x/>
      <x v="2"/>
      <x/>
      <x/>
      <x/>
    </i>
    <i>
      <x v="282"/>
      <x v="1064"/>
      <x v="984"/>
      <x v="13"/>
      <x v="268"/>
      <x v="2"/>
      <x v="2"/>
      <x/>
      <x/>
      <x/>
    </i>
    <i r="1">
      <x v="1065"/>
      <x v="985"/>
      <x v="13"/>
      <x v="22"/>
      <x v="19"/>
      <x v="2"/>
      <x/>
      <x/>
      <x/>
    </i>
    <i r="1">
      <x v="1066"/>
      <x v="986"/>
      <x v="13"/>
      <x v="22"/>
      <x v="2"/>
      <x v="2"/>
      <x/>
      <x/>
      <x/>
    </i>
    <i r="1">
      <x v="1067"/>
      <x v="987"/>
      <x v="13"/>
      <x v="22"/>
      <x v="19"/>
      <x v="2"/>
      <x/>
      <x/>
      <x/>
    </i>
    <i>
      <x v="283"/>
      <x v="1063"/>
      <x v="983"/>
      <x v="13"/>
      <x v="195"/>
      <x v="5"/>
      <x v="2"/>
      <x/>
      <x/>
      <x/>
    </i>
    <i r="1">
      <x v="1075"/>
      <x v="995"/>
      <x v="4"/>
      <x v="169"/>
      <x/>
      <x v="2"/>
      <x/>
      <x/>
      <x/>
    </i>
    <i>
      <x v="285"/>
      <x v="1062"/>
      <x v="982"/>
      <x v="13"/>
      <x v="267"/>
      <x v="2"/>
      <x v="2"/>
      <x/>
      <x/>
      <x/>
    </i>
    <i>
      <x v="288"/>
      <x v="1061"/>
      <x v="981"/>
      <x v="3"/>
      <x v="84"/>
      <x/>
      <x v="2"/>
      <x/>
      <x/>
      <x/>
    </i>
    <i>
      <x v="289"/>
      <x v="1056"/>
      <x v="977"/>
      <x v="13"/>
      <x v="266"/>
      <x v="19"/>
      <x v="2"/>
      <x/>
      <x/>
      <x/>
    </i>
    <i>
      <x v="290"/>
      <x v="1055"/>
      <x v="976"/>
      <x v="13"/>
      <x v="265"/>
      <x/>
      <x v="2"/>
      <x/>
      <x/>
      <x/>
    </i>
    <i r="1">
      <x v="1060"/>
      <x v="124"/>
      <x v="3"/>
      <x v="84"/>
      <x/>
      <x v="2"/>
      <x/>
      <x/>
      <x/>
    </i>
    <i>
      <x v="291"/>
      <x v="1057"/>
      <x v="978"/>
      <x v="3"/>
      <x v="84"/>
      <x/>
      <x v="2"/>
      <x/>
      <x/>
      <x/>
    </i>
    <i r="1">
      <x v="1058"/>
      <x v="979"/>
      <x v="3"/>
      <x v="84"/>
      <x/>
      <x v="2"/>
      <x/>
      <x/>
      <x/>
    </i>
    <i r="1">
      <x v="1059"/>
      <x v="980"/>
      <x v="3"/>
      <x v="84"/>
      <x/>
      <x v="2"/>
      <x/>
      <x/>
      <x/>
    </i>
    <i>
      <x v="293"/>
      <x v="1054"/>
      <x v="975"/>
      <x v="13"/>
      <x v="264"/>
      <x v="19"/>
      <x v="2"/>
      <x/>
      <x/>
      <x/>
    </i>
    <i>
      <x v="294"/>
      <x v="1053"/>
      <x v="974"/>
      <x v="13"/>
      <x v="263"/>
      <x/>
      <x v="2"/>
      <x/>
      <x/>
      <x/>
    </i>
    <i>
      <x v="295"/>
      <x v="1052"/>
      <x v="973"/>
      <x v="13"/>
      <x v="262"/>
      <x/>
      <x v="2"/>
      <x/>
      <x/>
      <x/>
    </i>
    <i>
      <x v="296"/>
      <x v="1051"/>
      <x v="972"/>
      <x v="13"/>
      <x v="261"/>
      <x/>
      <x v="2"/>
      <x/>
      <x/>
      <x/>
    </i>
    <i>
      <x v="297"/>
      <x v="1050"/>
      <x v="971"/>
      <x v="13"/>
      <x v="255"/>
      <x v="19"/>
      <x v="2"/>
      <x/>
      <x/>
      <x/>
    </i>
    <i>
      <x v="298"/>
      <x v="1049"/>
      <x v="970"/>
      <x v="13"/>
      <x v="148"/>
      <x v="19"/>
      <x v="2"/>
      <x/>
      <x/>
      <x/>
    </i>
    <i>
      <x v="299"/>
      <x v="1048"/>
      <x v="381"/>
      <x v="13"/>
      <x v="260"/>
      <x v="20"/>
      <x v="2"/>
      <x/>
      <x/>
      <x/>
    </i>
    <i>
      <x v="300"/>
      <x v="1047"/>
      <x v="969"/>
      <x v="13"/>
      <x v="68"/>
      <x v="19"/>
      <x v="2"/>
      <x/>
      <x/>
      <x/>
    </i>
    <i>
      <x v="301"/>
      <x v="1046"/>
      <x v="968"/>
      <x v="13"/>
      <x v="259"/>
      <x v="20"/>
      <x v="2"/>
      <x/>
      <x/>
      <x/>
    </i>
    <i>
      <x v="302"/>
      <x v="1043"/>
      <x v="965"/>
      <x v="13"/>
      <x v="148"/>
      <x v="19"/>
      <x v="2"/>
      <x/>
      <x/>
      <x/>
    </i>
    <i r="1">
      <x v="1044"/>
      <x v="966"/>
      <x v="13"/>
      <x v="148"/>
      <x v="19"/>
      <x v="2"/>
      <x/>
      <x/>
      <x/>
    </i>
    <i r="1">
      <x v="1045"/>
      <x v="967"/>
      <x v="13"/>
      <x v="259"/>
      <x v="20"/>
      <x v="2"/>
      <x/>
      <x/>
      <x/>
    </i>
    <i>
      <x v="303"/>
      <x v="1042"/>
      <x v="964"/>
      <x v="13"/>
      <x v="147"/>
      <x v="20"/>
      <x v="2"/>
      <x/>
      <x/>
      <x/>
    </i>
    <i>
      <x v="304"/>
      <x v="1041"/>
      <x v="963"/>
      <x v="13"/>
      <x v="148"/>
      <x v="19"/>
      <x v="2"/>
      <x/>
      <x/>
      <x/>
    </i>
    <i>
      <x v="305"/>
      <x v="1040"/>
      <x v="962"/>
      <x v="13"/>
      <x v="73"/>
      <x v="5"/>
      <x v="2"/>
      <x/>
      <x/>
      <x/>
    </i>
    <i>
      <x v="306"/>
      <x v="1039"/>
      <x v="961"/>
      <x v="13"/>
      <x v="258"/>
      <x v="2"/>
      <x v="2"/>
      <x/>
      <x/>
      <x/>
    </i>
    <i>
      <x v="307"/>
      <x v="1038"/>
      <x v="960"/>
      <x v="3"/>
      <x v="121"/>
      <x v="2"/>
      <x v="2"/>
      <x/>
      <x/>
      <x/>
    </i>
    <i>
      <x v="308"/>
      <x v="1037"/>
      <x v="959"/>
      <x v="13"/>
      <x v="257"/>
      <x v="19"/>
      <x v="2"/>
      <x/>
      <x/>
      <x/>
    </i>
    <i>
      <x v="309"/>
      <x v="1036"/>
      <x v="958"/>
      <x v="13"/>
      <x v="31"/>
      <x v="5"/>
      <x v="2"/>
      <x/>
      <x/>
      <x/>
    </i>
    <i>
      <x v="310"/>
      <x v="1034"/>
      <x v="956"/>
      <x v="13"/>
      <x v="256"/>
      <x v="5"/>
      <x v="2"/>
      <x/>
      <x/>
      <x/>
    </i>
    <i r="1">
      <x v="1035"/>
      <x v="957"/>
      <x v="13"/>
      <x v="148"/>
      <x v="2"/>
      <x v="2"/>
      <x/>
      <x/>
      <x/>
    </i>
    <i>
      <x v="311"/>
      <x v="1033"/>
      <x v="955"/>
      <x v="13"/>
      <x v="255"/>
      <x v="19"/>
      <x v="2"/>
      <x/>
      <x/>
      <x/>
    </i>
    <i>
      <x v="312"/>
      <x v="1032"/>
      <x v="954"/>
      <x v="13"/>
      <x v="169"/>
      <x v="19"/>
      <x v="2"/>
      <x/>
      <x/>
      <x/>
    </i>
    <i>
      <x v="313"/>
      <x v="1031"/>
      <x v="953"/>
      <x v="13"/>
      <x v="255"/>
      <x v="2"/>
      <x v="2"/>
      <x/>
      <x/>
      <x/>
    </i>
  </rowItems>
  <colFields count="1">
    <field x="-2"/>
  </colFields>
  <colItems count="3">
    <i>
      <x/>
    </i>
    <i i="1">
      <x v="1"/>
    </i>
    <i i="2">
      <x v="2"/>
    </i>
  </colItems>
  <dataFields count="3">
    <dataField name="Val. Amt. " fld="6" baseField="12" baseItem="54" numFmtId="3"/>
    <dataField name="Inward " fld="23" baseField="12" baseItem="54" numFmtId="3"/>
    <dataField name="Fee Amt. " fld="24" baseField="12" baseItem="54" numFmtId="3"/>
  </dataFields>
  <formats count="13">
    <format dxfId="12">
      <pivotArea field="3" type="button" dataOnly="0" labelOnly="1" outline="0" axis="axisRow" fieldPosition="0"/>
    </format>
    <format dxfId="11">
      <pivotArea field="1" type="button" dataOnly="0" labelOnly="1" outline="0" axis="axisRow" fieldPosition="1"/>
    </format>
    <format dxfId="10">
      <pivotArea field="5" type="button" dataOnly="0" labelOnly="1" outline="0" axis="axisRow" fieldPosition="2"/>
    </format>
    <format dxfId="9">
      <pivotArea field="9" type="button" dataOnly="0" labelOnly="1" outline="0" axis="axisRow" fieldPosition="3"/>
    </format>
    <format dxfId="8">
      <pivotArea field="10" type="button" dataOnly="0" labelOnly="1" outline="0" axis="axisRow" fieldPosition="4"/>
    </format>
    <format dxfId="7">
      <pivotArea field="14" type="button" dataOnly="0" labelOnly="1" outline="0" axis="axisRow" fieldPosition="5"/>
    </format>
    <format dxfId="6">
      <pivotArea field="22" type="button" dataOnly="0" labelOnly="1" outline="0" axis="axisRow" fieldPosition="6"/>
    </format>
    <format dxfId="5">
      <pivotArea field="8" type="button" dataOnly="0" labelOnly="1" outline="0" axis="axisRow" fieldPosition="7"/>
    </format>
    <format dxfId="4">
      <pivotArea field="7" type="button" dataOnly="0" labelOnly="1" outline="0" axis="axisRow" fieldPosition="8"/>
    </format>
    <format dxfId="3">
      <pivotArea field="12" type="button" dataOnly="0" labelOnly="1" outline="0" axis="axisRow" fieldPosition="9"/>
    </format>
    <format dxfId="2">
      <pivotArea dataOnly="0" labelOnly="1" outline="0" fieldPosition="0">
        <references count="1">
          <reference field="4294967294" count="3">
            <x v="0"/>
            <x v="1"/>
            <x v="2"/>
          </reference>
        </references>
      </pivotArea>
    </format>
    <format dxfId="1">
      <pivotArea dataOnly="0" labelOnly="1" outline="0" fieldPosition="0">
        <references count="1">
          <reference field="3" count="0"/>
        </references>
      </pivotArea>
    </format>
    <format dxfId="0">
      <pivotArea dataOnly="0" labelOnly="1" outline="0" fieldPosition="0">
        <references count="1">
          <reference field="3" count="0"/>
        </references>
      </pivotArea>
    </format>
  </formats>
  <pivotTableStyleInfo name="PivotStyleLight22 2"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Executive" sourceName="Executive">
  <pivotTables>
    <pivotTable tabId="9" name="PrintPivotTable"/>
  </pivotTables>
  <data>
    <tabular pivotCacheId="3">
      <items count="5">
        <i x="0"/>
        <i x="3"/>
        <i x="1" s="1"/>
        <i x="2"/>
        <i x="4"/>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Pay._Status" sourceName="Pay. Status">
  <pivotTables>
    <pivotTable tabId="9" name="PrintPivotTable"/>
  </pivotTables>
  <data>
    <tabular pivotCacheId="3">
      <items count="14">
        <i x="1"/>
        <i x="8"/>
        <i x="12"/>
        <i x="11"/>
        <i x="9"/>
        <i x="5"/>
        <i x="2" s="1"/>
        <i x="4"/>
        <i x="6"/>
        <i x="0"/>
        <i x="3"/>
        <i x="7"/>
        <i x="10"/>
        <i x="13"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Colours" sourceName="Colours">
  <pivotTables>
    <pivotTable tabId="9" name="PrintPivotTable"/>
  </pivotTables>
  <data>
    <tabular pivotCacheId="3">
      <items count="1">
        <i x="0" s="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Signature" sourceName="Signature">
  <pivotTables>
    <pivotTable tabId="9" name="PrintPivotTable"/>
  </pivotTables>
  <data>
    <tabular pivotCacheId="3" sortOrder="descending">
      <items count="3">
        <i x="0" s="1"/>
        <i x="2" s="1" nd="1"/>
        <i x="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Executive" cache="Slicer_Executive" caption="Executive" columnCount="2" style="SlicerStyleLight2" rowHeight="241300"/>
  <slicer name="Pay. Status" cache="Slicer_Pay._Status" caption="Pay. Status" columnCount="5" style="SlicerStyleLight6" rowHeight="241300"/>
  <slicer name="Colours" cache="Slicer_Colours" caption="Colours" columnCount="3" style="SlicerStyleLight4" rowHeight="241300"/>
  <slicer name="Signature" cache="Slicer_Signature" caption="Signature" columnCount="3" rowHeight="241300"/>
</slicers>
</file>

<file path=xl/tables/table1.xml><?xml version="1.0" encoding="utf-8"?>
<table xmlns="http://schemas.openxmlformats.org/spreadsheetml/2006/main" id="1" name="Loan_Type" displayName="Loan_Type" ref="G1:G26" totalsRowShown="0">
  <autoFilter ref="G1:G26"/>
  <tableColumns count="1">
    <tableColumn id="1" name="Loan_Type"/>
  </tableColumns>
  <tableStyleInfo name="TableStyleMedium2" showFirstColumn="0" showLastColumn="0" showRowStripes="1" showColumnStripes="0"/>
</table>
</file>

<file path=xl/tables/table2.xml><?xml version="1.0" encoding="utf-8"?>
<table xmlns="http://schemas.openxmlformats.org/spreadsheetml/2006/main" id="2" name="Banks" displayName="Banks" ref="H1:H18" totalsRowShown="0">
  <autoFilter ref="H1:H18"/>
  <sortState ref="H2:I18">
    <sortCondition ref="H1:H18"/>
  </sortState>
  <tableColumns count="1">
    <tableColumn id="1" name="Banks"/>
  </tableColumns>
  <tableStyleInfo name="TableStyleMedium2" showFirstColumn="0" showLastColumn="0" showRowStripes="1" showColumnStripes="0"/>
</table>
</file>

<file path=xl/tables/table3.xml><?xml version="1.0" encoding="utf-8"?>
<table xmlns="http://schemas.openxmlformats.org/spreadsheetml/2006/main" id="3" name="Mediator" displayName="Mediator" ref="K1:K6" totalsRowShown="0">
  <autoFilter ref="K1:K6"/>
  <tableColumns count="1">
    <tableColumn id="1" name="Mediator"/>
  </tableColumns>
  <tableStyleInfo name="TableStyleMedium2" showFirstColumn="0" showLastColumn="0" showRowStripes="1" showColumnStripes="0"/>
</table>
</file>

<file path=xl/tables/table4.xml><?xml version="1.0" encoding="utf-8"?>
<table xmlns="http://schemas.openxmlformats.org/spreadsheetml/2006/main" id="4" name="Exec" displayName="Exec" ref="L1:L8" totalsRowShown="0">
  <autoFilter ref="L1:L8"/>
  <tableColumns count="1">
    <tableColumn id="1" name="Exec"/>
  </tableColumns>
  <tableStyleInfo name="TableStyleMedium2" showFirstColumn="0" showLastColumn="0" showRowStripes="1" showColumnStripes="0"/>
</table>
</file>

<file path=xl/tables/table5.xml><?xml version="1.0" encoding="utf-8"?>
<table xmlns="http://schemas.openxmlformats.org/spreadsheetml/2006/main" id="5" name="Inspected" displayName="Inspected" ref="N1:N16" totalsRowShown="0">
  <autoFilter ref="N1:N16"/>
  <tableColumns count="1">
    <tableColumn id="1" name="Inspected"/>
  </tableColumns>
  <tableStyleInfo name="TableStyleMedium2" showFirstColumn="0" showLastColumn="0" showRowStripes="1" showColumnStripes="0"/>
</table>
</file>

<file path=xl/tables/table6.xml><?xml version="1.0" encoding="utf-8"?>
<table xmlns="http://schemas.openxmlformats.org/spreadsheetml/2006/main" id="6" name="Operator" displayName="Operator" ref="P1:P13" totalsRowShown="0">
  <autoFilter ref="P1:P13"/>
  <tableColumns count="1">
    <tableColumn id="1" name="Operator"/>
  </tableColumns>
  <tableStyleInfo name="TableStyleMedium2" showFirstColumn="0" showLastColumn="0" showRowStripes="1" showColumnStripes="0"/>
</table>
</file>

<file path=xl/tables/table7.xml><?xml version="1.0" encoding="utf-8"?>
<table xmlns="http://schemas.openxmlformats.org/spreadsheetml/2006/main" id="7" name="Form_Status" displayName="Form_Status" ref="R1:R4" totalsRowShown="0">
  <autoFilter ref="R1:R4"/>
  <tableColumns count="1">
    <tableColumn id="1" name="Form_Status"/>
  </tableColumns>
  <tableStyleInfo name="TableStyleMedium2" showFirstColumn="0" showLastColumn="0" showRowStripes="1" showColumnStripes="0"/>
</table>
</file>

<file path=xl/tables/table8.xml><?xml version="1.0" encoding="utf-8"?>
<table xmlns="http://schemas.openxmlformats.org/spreadsheetml/2006/main" id="8" name="Pay_Status" displayName="Pay_Status" ref="S1:S16" totalsRowShown="0">
  <autoFilter ref="S1:S16"/>
  <tableColumns count="1">
    <tableColumn id="1" name="Payment_Status"/>
  </tableColumns>
  <tableStyleInfo name="TableStyleMedium2" showFirstColumn="0" showLastColumn="0" showRowStripes="1" showColumnStripes="0"/>
</table>
</file>

<file path=xl/tables/table9.xml><?xml version="1.0" encoding="utf-8"?>
<table xmlns="http://schemas.openxmlformats.org/spreadsheetml/2006/main" id="9" name="Pay_Type" displayName="Pay_Type" ref="T1:T4" totalsRowShown="0">
  <autoFilter ref="T1:T4"/>
  <tableColumns count="1">
    <tableColumn id="1" name="Payment_Type"/>
  </tableColumns>
  <tableStyleInfo name="TableStyleMedium2" showFirstColumn="0" showLastColumn="0" showRowStripes="1" showColumnStripes="0"/>
</table>
</file>

<file path=xl/tables/table10.xml><?xml version="1.0" encoding="utf-8"?>
<table xmlns="http://schemas.openxmlformats.org/spreadsheetml/2006/main" id="10" name="Months" displayName="Months" ref="U1:U14" totalsRowShown="0">
  <autoFilter ref="U1:U14"/>
  <tableColumns count="1">
    <tableColumn id="1" name="Month"/>
  </tableColumns>
  <tableStyleInfo name="TableStyleMedium2" showFirstColumn="0" showLastColumn="0" showRowStripes="1" showColumnStripes="0"/>
</table>
</file>

<file path=xl/tables/table11.xml><?xml version="1.0" encoding="utf-8"?>
<table xmlns="http://schemas.openxmlformats.org/spreadsheetml/2006/main" id="11" name="DateFilters" displayName="DateFilters" ref="W1:W11" totalsRowShown="0">
  <autoFilter ref="W1:W11"/>
  <tableColumns count="1">
    <tableColumn id="1" name="DateFilters"/>
  </tableColumns>
  <tableStyleInfo name="TableStyleMedium2" showFirstColumn="0" showLastColumn="0" showRowStripes="1" showColumnStripes="0"/>
</table>
</file>

<file path=xl/tables/table12.xml><?xml version="1.0" encoding="utf-8"?>
<table xmlns="http://schemas.openxmlformats.org/spreadsheetml/2006/main" id="12" name="Categories" displayName="Categories" ref="X1:X9" totalsRowShown="0" headerRowDxfId="24" headerRowBorderDxfId="23">
  <autoFilter ref="X1:X9"/>
  <tableColumns count="1">
    <tableColumn id="1" name="Categories"/>
  </tableColumns>
  <tableStyleInfo name="TableStyleMedium2" showFirstColumn="0" showLastColumn="0" showRowStripes="1" showColumnStripes="0"/>
</table>
</file>

<file path=xl/tables/table13.xml><?xml version="1.0" encoding="utf-8"?>
<table xmlns="http://schemas.openxmlformats.org/spreadsheetml/2006/main" id="13" name="Persons" displayName="Persons" ref="Y1:Y22" totalsRowShown="0">
  <autoFilter ref="Y1:Y22"/>
  <tableColumns count="1">
    <tableColumn id="1" name="Persons"/>
  </tableColumns>
  <tableStyleInfo name="TableStyleMedium2" showFirstColumn="0" showLastColumn="0" showRowStripes="1" showColumnStripes="0"/>
</table>
</file>

<file path=xl/tables/table14.xml><?xml version="1.0" encoding="utf-8"?>
<table xmlns="http://schemas.openxmlformats.org/spreadsheetml/2006/main" id="15" name="BankBranchs" displayName="BankBranchs" ref="J1:J305" totalsRowShown="0">
  <autoFilter ref="J1:J305"/>
  <sortState ref="J2:J308">
    <sortCondition ref="J1:J308"/>
  </sortState>
  <tableColumns count="1">
    <tableColumn id="1" name="BankBranchs"/>
  </tableColumns>
  <tableStyleInfo name="TableStyleMedium2" showFirstColumn="0" showLastColumn="0" showRowStripes="1" showColumnStripes="0"/>
</table>
</file>

<file path=xl/tables/table15.xml><?xml version="1.0" encoding="utf-8"?>
<table xmlns="http://schemas.openxmlformats.org/spreadsheetml/2006/main" id="14" name="UserID" displayName="UserID" ref="AD2:AD7" totalsRowShown="0" headerRowDxfId="22" dataDxfId="20" headerRowBorderDxfId="21" tableBorderDxfId="19">
  <autoFilter ref="AD2:AD7"/>
  <tableColumns count="1">
    <tableColumn id="1" name="User ID" dataDxfId="1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name="NativeTimeline_Rec._Date" sourceName="Rec. Date">
  <pivotTables>
    <pivotTable tabId="9" name="PrintPivotTable"/>
  </pivotTables>
  <state minimalRefreshVersion="6" lastRefreshVersion="6" pivotCacheId="3" filterType="unknown">
    <bounds startDate="2008-01-01T00:00:00" endDate="2018-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mc:Ignorable="x">
  <timeline name="Rec. Date" cache="NativeTimeline_Rec._Date" caption="Rec. Date" showSelectionLabel="0" showTimeLevel="0" level="2" selectionLevel="2" scrollPosition="2015-12-03T00:00:00" style="TimeSlicerStyleDark3"/>
</timeline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2" Type="http://schemas.openxmlformats.org/officeDocument/2006/relationships/table" Target="../tables/table1.xml"/><Relationship Id="rId16" Type="http://schemas.openxmlformats.org/officeDocument/2006/relationships/table" Target="../tables/table15.xml"/><Relationship Id="rId1" Type="http://schemas.openxmlformats.org/officeDocument/2006/relationships/printerSettings" Target="../printerSettings/printerSettings3.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ntrol" Target="../activeX/activeX4.xml"/><Relationship Id="rId2" Type="http://schemas.openxmlformats.org/officeDocument/2006/relationships/drawing" Target="../drawings/drawing4.xml"/><Relationship Id="rId1" Type="http://schemas.openxmlformats.org/officeDocument/2006/relationships/printerSettings" Target="../printerSettings/printerSettings9.bin"/><Relationship Id="rId6" Type="http://schemas.openxmlformats.org/officeDocument/2006/relationships/control" Target="../activeX/activeX3.xml"/><Relationship Id="rId5" Type="http://schemas.openxmlformats.org/officeDocument/2006/relationships/control" Target="../activeX/activeX2.xml"/><Relationship Id="rId4" Type="http://schemas.openxmlformats.org/officeDocument/2006/relationships/control" Target="../activeX/activeX1.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8.xml"/><Relationship Id="rId13" Type="http://schemas.openxmlformats.org/officeDocument/2006/relationships/control" Target="../activeX/activeX13.xml"/><Relationship Id="rId26" Type="http://schemas.microsoft.com/office/2011/relationships/timeline" Target="../timelines/timeline1.xml"/><Relationship Id="rId3" Type="http://schemas.openxmlformats.org/officeDocument/2006/relationships/drawing" Target="../drawings/drawing5.xml"/><Relationship Id="rId7" Type="http://schemas.openxmlformats.org/officeDocument/2006/relationships/control" Target="../activeX/activeX7.xml"/><Relationship Id="rId12" Type="http://schemas.openxmlformats.org/officeDocument/2006/relationships/control" Target="../activeX/activeX12.xml"/><Relationship Id="rId25" Type="http://schemas.microsoft.com/office/2007/relationships/slicer" Target="../slicers/slicer1.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 Id="rId6" Type="http://schemas.openxmlformats.org/officeDocument/2006/relationships/control" Target="../activeX/activeX6.xml"/><Relationship Id="rId11" Type="http://schemas.openxmlformats.org/officeDocument/2006/relationships/control" Target="../activeX/activeX11.xml"/><Relationship Id="rId5" Type="http://schemas.openxmlformats.org/officeDocument/2006/relationships/control" Target="../activeX/activeX5.xml"/><Relationship Id="rId10" Type="http://schemas.openxmlformats.org/officeDocument/2006/relationships/control" Target="../activeX/activeX10.xml"/><Relationship Id="rId4" Type="http://schemas.openxmlformats.org/officeDocument/2006/relationships/vmlDrawing" Target="../drawings/vmlDrawing3.vml"/><Relationship Id="rId9" Type="http://schemas.openxmlformats.org/officeDocument/2006/relationships/control" Target="../activeX/activeX9.xml"/><Relationship Id="rId14" Type="http://schemas.openxmlformats.org/officeDocument/2006/relationships/control" Target="../activeX/activeX14.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sheetPr codeName="Sheet11"/>
  <dimension ref="A21:A56"/>
  <sheetViews>
    <sheetView showGridLines="0" showRowColHeaders="0" zoomScale="75" zoomScaleNormal="75" workbookViewId="0"/>
  </sheetViews>
  <sheetFormatPr defaultRowHeight="15"/>
  <cols>
    <col min="1" max="16384" width="9.140625" style="163"/>
  </cols>
  <sheetData>
    <row r="21" spans="1:1" ht="37.5">
      <c r="A21" s="164" t="s">
        <v>588</v>
      </c>
    </row>
    <row r="22" spans="1:1" ht="20.25">
      <c r="A22" s="165" t="s">
        <v>589</v>
      </c>
    </row>
    <row r="24" spans="1:1" ht="20.25">
      <c r="A24" s="165" t="s">
        <v>590</v>
      </c>
    </row>
    <row r="25" spans="1:1" ht="20.25">
      <c r="A25" s="165"/>
    </row>
    <row r="26" spans="1:1" ht="20.25">
      <c r="A26" s="165"/>
    </row>
    <row r="27" spans="1:1" ht="20.25">
      <c r="A27" s="165"/>
    </row>
    <row r="28" spans="1:1" ht="20.25">
      <c r="A28" s="165"/>
    </row>
    <row r="29" spans="1:1" ht="20.25">
      <c r="A29" s="165"/>
    </row>
    <row r="30" spans="1:1" ht="20.25">
      <c r="A30" s="165"/>
    </row>
    <row r="31" spans="1:1" ht="20.25">
      <c r="A31" s="166"/>
    </row>
    <row r="32" spans="1:1" ht="20.25">
      <c r="A32" s="165" t="s">
        <v>591</v>
      </c>
    </row>
    <row r="33" spans="1:1" ht="20.25">
      <c r="A33" s="165"/>
    </row>
    <row r="35" spans="1:1" ht="37.5">
      <c r="A35" s="164" t="s">
        <v>592</v>
      </c>
    </row>
    <row r="36" spans="1:1" ht="20.25">
      <c r="A36" s="165" t="s">
        <v>593</v>
      </c>
    </row>
    <row r="37" spans="1:1">
      <c r="A37" s="167"/>
    </row>
    <row r="38" spans="1:1" ht="18">
      <c r="A38" s="168" t="s">
        <v>594</v>
      </c>
    </row>
    <row r="39" spans="1:1" ht="20.25">
      <c r="A39" s="169"/>
    </row>
    <row r="40" spans="1:1" ht="20.25">
      <c r="A40" s="169"/>
    </row>
    <row r="41" spans="1:1" ht="20.25">
      <c r="A41" s="169"/>
    </row>
    <row r="42" spans="1:1" ht="20.25">
      <c r="A42" s="169"/>
    </row>
    <row r="43" spans="1:1" ht="20.25">
      <c r="A43" s="169"/>
    </row>
    <row r="44" spans="1:1" ht="20.25">
      <c r="A44" s="170"/>
    </row>
    <row r="45" spans="1:1">
      <c r="A45" s="171"/>
    </row>
    <row r="46" spans="1:1" ht="18">
      <c r="A46" s="168" t="s">
        <v>595</v>
      </c>
    </row>
    <row r="47" spans="1:1" ht="20.25">
      <c r="A47" s="169"/>
    </row>
    <row r="48" spans="1:1" ht="20.25">
      <c r="A48" s="169"/>
    </row>
    <row r="49" spans="1:1" ht="20.25">
      <c r="A49" s="169"/>
    </row>
    <row r="50" spans="1:1" ht="20.25">
      <c r="A50" s="169"/>
    </row>
    <row r="51" spans="1:1" ht="20.25">
      <c r="A51" s="169"/>
    </row>
    <row r="52" spans="1:1" ht="20.25">
      <c r="A52" s="169"/>
    </row>
    <row r="53" spans="1:1" ht="20.25">
      <c r="A53" s="170"/>
    </row>
    <row r="54" spans="1:1" ht="18">
      <c r="A54" s="168" t="s">
        <v>596</v>
      </c>
    </row>
    <row r="55" spans="1:1" ht="18">
      <c r="A55" s="168" t="s">
        <v>597</v>
      </c>
    </row>
    <row r="56" spans="1:1" ht="20.25">
      <c r="A56" s="166"/>
    </row>
  </sheetData>
  <sheetProtection sheet="1" objects="1" scenarios="1" selectLockedCells="1"/>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sheetPr codeName="Sheet1"/>
  <dimension ref="C2:N25"/>
  <sheetViews>
    <sheetView showGridLines="0" showRowColHeaders="0" zoomScale="75" zoomScaleNormal="75" workbookViewId="0">
      <selection activeCell="C15" sqref="C15"/>
    </sheetView>
  </sheetViews>
  <sheetFormatPr defaultRowHeight="15"/>
  <cols>
    <col min="1" max="1" width="2.28515625" customWidth="1"/>
    <col min="2" max="2" width="2.140625" customWidth="1"/>
    <col min="3" max="4" width="9.140625" customWidth="1"/>
    <col min="5" max="5" width="2.140625" customWidth="1"/>
    <col min="6" max="7" width="11" customWidth="1"/>
    <col min="8" max="13" width="9.140625" customWidth="1"/>
  </cols>
  <sheetData>
    <row r="2" spans="3:14" ht="15.75" customHeight="1">
      <c r="G2" s="1"/>
      <c r="H2" s="1"/>
      <c r="I2" s="1"/>
      <c r="J2" s="1"/>
      <c r="K2" s="1"/>
      <c r="L2" s="1"/>
      <c r="M2" s="1"/>
      <c r="N2" s="1"/>
    </row>
    <row r="3" spans="3:14">
      <c r="G3" s="2">
        <v>9</v>
      </c>
      <c r="J3" s="3"/>
      <c r="M3" s="1"/>
      <c r="N3" s="1"/>
    </row>
    <row r="4" spans="3:14">
      <c r="E4" s="5"/>
      <c r="G4" s="1"/>
      <c r="J4" s="6"/>
      <c r="M4" s="31">
        <f ca="1">NOW()</f>
        <v>43382.503044444442</v>
      </c>
      <c r="N4" s="1"/>
    </row>
    <row r="5" spans="3:14">
      <c r="G5" s="1"/>
      <c r="H5" s="1"/>
      <c r="I5" s="1"/>
      <c r="J5" s="1"/>
      <c r="K5" s="1"/>
      <c r="L5" s="1"/>
      <c r="M5" s="1"/>
      <c r="N5" s="1"/>
    </row>
    <row r="6" spans="3:14">
      <c r="G6" s="1"/>
      <c r="H6" s="1"/>
      <c r="I6" s="1"/>
      <c r="J6" s="1"/>
      <c r="M6" s="1"/>
      <c r="N6" s="1"/>
    </row>
    <row r="7" spans="3:14">
      <c r="G7" s="1"/>
      <c r="H7" s="1"/>
      <c r="I7" s="1"/>
      <c r="J7" s="1"/>
      <c r="M7" s="1"/>
      <c r="N7" s="1"/>
    </row>
    <row r="8" spans="3:14">
      <c r="G8" s="1"/>
      <c r="H8" s="1"/>
      <c r="I8" s="1"/>
      <c r="J8" s="1"/>
      <c r="M8" s="1"/>
      <c r="N8" s="1"/>
    </row>
    <row r="9" spans="3:14" ht="15" customHeight="1">
      <c r="G9" s="1"/>
      <c r="H9" s="1"/>
      <c r="I9" s="1"/>
      <c r="J9" s="1"/>
      <c r="K9" s="1"/>
      <c r="L9" s="1"/>
      <c r="M9" s="1"/>
      <c r="N9" s="1"/>
    </row>
    <row r="10" spans="3:14" ht="15" customHeight="1">
      <c r="G10" s="1"/>
      <c r="H10" s="1"/>
      <c r="I10" s="1"/>
      <c r="N10" s="1"/>
    </row>
    <row r="11" spans="3:14" ht="15" customHeight="1">
      <c r="G11" s="1"/>
      <c r="H11" s="1"/>
      <c r="I11" s="1"/>
      <c r="J11" s="1"/>
      <c r="M11" s="1"/>
      <c r="N11" s="1"/>
    </row>
    <row r="12" spans="3:14" ht="15" customHeight="1">
      <c r="G12" s="1"/>
      <c r="H12" s="1"/>
      <c r="I12" s="1"/>
      <c r="J12" s="1"/>
      <c r="M12" s="1"/>
      <c r="N12" s="1"/>
    </row>
    <row r="13" spans="3:14">
      <c r="G13" s="1"/>
      <c r="H13" s="1"/>
      <c r="I13" s="1"/>
      <c r="J13" s="1"/>
      <c r="K13" s="1"/>
      <c r="L13" s="1"/>
      <c r="M13" s="1"/>
      <c r="N13" s="1"/>
    </row>
    <row r="15" spans="3:14">
      <c r="C15" s="150">
        <v>7</v>
      </c>
    </row>
    <row r="16" spans="3:14">
      <c r="C16" s="195" t="s">
        <v>0</v>
      </c>
      <c r="D16" s="195"/>
      <c r="F16" s="4" t="s">
        <v>1</v>
      </c>
      <c r="G16" s="4" t="s">
        <v>2</v>
      </c>
    </row>
    <row r="17" spans="3:7">
      <c r="C17" s="196" t="str">
        <f>INDEX('List Boxs'!W2:W11,Main!C15)</f>
        <v>This Year</v>
      </c>
      <c r="D17" s="196"/>
      <c r="F17" s="134">
        <f ca="1">IF(C17="Today",TODAY(),IF(C17="Yesterday",TODAY(),IF(AND(C17="This Week",WEEKDAY(M4)=1),M4-(7-WEEKDAY(M4,2)),IF(AND(C17="This Week",WEEKDAY(M4)&lt;&gt;1),M4-WEEKDAY(M4,2),IF(AND(C17="Last Week",WEEKDAY(M4)=1),M4-WEEKDAY(M4,2),IF(AND(C17="Last Week",WEEKDAY(M4)&lt;&gt;1),M4-(7+WEEKDAY(M4,2)),IF(C17="This Month",DATE(YEAR(NOW()),MONTH(NOW()),1),IF(C17="Last Month",EOMONTH(TODAY(),-2)+1,IF(C17="This Year",DATE(YEAR(NOW()),1,1),IF(C17="Last Year",DATE(YEAR(TODAY())-1,1,1),IF(C17="Between",DATE(YEAR(F25),MONTH(F25),DAY(F25)),IF(AND(C17="Year (or) Month",G21=""),DATE(F21,1,1),DATE(F21,G21,1)))))))))))))</f>
        <v>43101</v>
      </c>
      <c r="G17" s="134">
        <f ca="1">IF(C17="Today",TODAY(),IF(C17="Yesterday",TODAY()-1,IF(C17="This Week",M4+(7-WEEKDAY(M4)),IF(C17="Last Week",M4-WEEKDAY(M4),IF(C17="This Month",TODAY(),IF(C17="Last Month",EOMONTH(TODAY(),-1),IF(C17="This Year",TODAY(),IF(C17="Last Year",EOMONTH(F17,11),IF(C17="Between",DATE(YEAR(G25),MONTH(G25),DAY(G25)),IF(AND(C17="Year (or) Month",G21=""),EOMONTH(F17,11),EOMONTH(F17,0)))))))))))</f>
        <v>43382</v>
      </c>
    </row>
    <row r="19" spans="3:7" hidden="1">
      <c r="F19" s="7" t="s">
        <v>3</v>
      </c>
      <c r="G19" s="8"/>
    </row>
    <row r="20" spans="3:7" hidden="1">
      <c r="F20" s="9" t="s">
        <v>4</v>
      </c>
      <c r="G20" s="9" t="s">
        <v>5</v>
      </c>
    </row>
    <row r="21" spans="3:7" hidden="1">
      <c r="F21" s="147">
        <v>2017</v>
      </c>
      <c r="G21" s="148">
        <v>5</v>
      </c>
    </row>
    <row r="22" spans="3:7" hidden="1"/>
    <row r="23" spans="3:7" hidden="1">
      <c r="F23" s="197" t="s">
        <v>581</v>
      </c>
      <c r="G23" s="197"/>
    </row>
    <row r="24" spans="3:7" hidden="1">
      <c r="F24" s="10" t="s">
        <v>6</v>
      </c>
      <c r="G24" s="11" t="s">
        <v>7</v>
      </c>
    </row>
    <row r="25" spans="3:7" hidden="1">
      <c r="F25" s="149">
        <v>42887</v>
      </c>
      <c r="G25" s="149">
        <v>42893</v>
      </c>
    </row>
  </sheetData>
  <sheetProtection selectLockedCells="1"/>
  <mergeCells count="3">
    <mergeCell ref="C16:D16"/>
    <mergeCell ref="C17:D17"/>
    <mergeCell ref="F23:G23"/>
  </mergeCells>
  <pageMargins left="0.7" right="0.7" top="0.75" bottom="0.75" header="0.3" footer="0.3"/>
  <pageSetup orientation="portrait" r:id="rId1"/>
  <ignoredErrors>
    <ignoredError sqref="C17" unlockedFormula="1"/>
  </ignoredErrors>
  <drawing r:id="rId2"/>
  <legacyDrawing r:id="rId3"/>
</worksheet>
</file>

<file path=xl/worksheets/sheet3.xml><?xml version="1.0" encoding="utf-8"?>
<worksheet xmlns="http://schemas.openxmlformats.org/spreadsheetml/2006/main" xmlns:r="http://schemas.openxmlformats.org/officeDocument/2006/relationships">
  <sheetPr codeName="Sheet2"/>
  <dimension ref="B1:AF305"/>
  <sheetViews>
    <sheetView showGridLines="0" zoomScaleNormal="100" workbookViewId="0"/>
  </sheetViews>
  <sheetFormatPr defaultRowHeight="15"/>
  <cols>
    <col min="2" max="2" width="12.5703125" bestFit="1" customWidth="1"/>
    <col min="3" max="3" width="14.42578125" bestFit="1" customWidth="1"/>
    <col min="4" max="5" width="30" style="172" customWidth="1"/>
    <col min="7" max="7" width="20.5703125" bestFit="1" customWidth="1"/>
    <col min="8" max="8" width="14" bestFit="1" customWidth="1"/>
    <col min="9" max="9" width="7.42578125" bestFit="1" customWidth="1"/>
    <col min="10" max="10" width="31" bestFit="1" customWidth="1"/>
    <col min="11" max="11" width="15.5703125" bestFit="1" customWidth="1"/>
    <col min="12" max="12" width="12.42578125" bestFit="1" customWidth="1"/>
    <col min="13" max="13" width="8.140625" bestFit="1" customWidth="1"/>
    <col min="14" max="14" width="12.42578125" bestFit="1" customWidth="1"/>
    <col min="15" max="15" width="12.85546875" bestFit="1" customWidth="1"/>
    <col min="16" max="16" width="11.140625" customWidth="1"/>
    <col min="18" max="18" width="14.140625" customWidth="1"/>
    <col min="19" max="19" width="23.7109375" bestFit="1" customWidth="1"/>
    <col min="20" max="20" width="16.28515625" customWidth="1"/>
    <col min="21" max="21" width="9.140625" customWidth="1"/>
    <col min="22" max="22" width="6.85546875" customWidth="1"/>
    <col min="23" max="23" width="15.7109375" bestFit="1" customWidth="1"/>
    <col min="24" max="24" width="22.85546875" bestFit="1" customWidth="1"/>
    <col min="25" max="25" width="12.42578125" bestFit="1" customWidth="1"/>
    <col min="29" max="29" width="9.140625" customWidth="1"/>
    <col min="30" max="30" width="13.85546875" hidden="1" customWidth="1"/>
    <col min="31" max="31" width="12.140625" hidden="1" customWidth="1"/>
    <col min="32" max="32" width="14.42578125" hidden="1" customWidth="1"/>
  </cols>
  <sheetData>
    <row r="1" spans="2:32" ht="22.5" customHeight="1">
      <c r="B1" s="198" t="s">
        <v>8</v>
      </c>
      <c r="C1" s="199"/>
      <c r="D1" s="199"/>
      <c r="E1" s="200"/>
      <c r="G1" t="s">
        <v>9</v>
      </c>
      <c r="H1" t="s">
        <v>331</v>
      </c>
      <c r="I1" t="s">
        <v>11</v>
      </c>
      <c r="J1" t="s">
        <v>473</v>
      </c>
      <c r="K1" t="s">
        <v>13</v>
      </c>
      <c r="L1" t="s">
        <v>14</v>
      </c>
      <c r="M1" t="s">
        <v>15</v>
      </c>
      <c r="N1" t="s">
        <v>16</v>
      </c>
      <c r="O1" t="s">
        <v>17</v>
      </c>
      <c r="P1" t="s">
        <v>18</v>
      </c>
      <c r="R1" t="s">
        <v>19</v>
      </c>
      <c r="S1" t="s">
        <v>20</v>
      </c>
      <c r="T1" t="s">
        <v>21</v>
      </c>
      <c r="U1" t="s">
        <v>5</v>
      </c>
      <c r="W1" t="s">
        <v>22</v>
      </c>
      <c r="X1" s="33" t="s">
        <v>318</v>
      </c>
      <c r="Y1" t="s">
        <v>319</v>
      </c>
      <c r="AD1" s="201" t="s">
        <v>553</v>
      </c>
      <c r="AE1" s="201"/>
      <c r="AF1" s="201"/>
    </row>
    <row r="2" spans="2:32" ht="18.75">
      <c r="B2" s="12" t="s">
        <v>23</v>
      </c>
      <c r="C2" s="12" t="s">
        <v>24</v>
      </c>
      <c r="D2" s="174" t="s">
        <v>25</v>
      </c>
      <c r="E2" s="174" t="s">
        <v>587</v>
      </c>
      <c r="G2" t="s">
        <v>136</v>
      </c>
      <c r="H2" t="s">
        <v>26</v>
      </c>
      <c r="I2" t="s">
        <v>27</v>
      </c>
      <c r="J2" t="s">
        <v>456</v>
      </c>
      <c r="K2" t="s">
        <v>29</v>
      </c>
      <c r="L2" t="s">
        <v>30</v>
      </c>
      <c r="M2" t="s">
        <v>31</v>
      </c>
      <c r="N2" t="s">
        <v>30</v>
      </c>
      <c r="O2" t="s">
        <v>31</v>
      </c>
      <c r="P2" s="182" t="s">
        <v>601</v>
      </c>
      <c r="R2" t="s">
        <v>33</v>
      </c>
      <c r="S2" s="101" t="s">
        <v>493</v>
      </c>
      <c r="T2" t="s">
        <v>34</v>
      </c>
      <c r="U2" t="s">
        <v>35</v>
      </c>
      <c r="V2" s="13">
        <v>1</v>
      </c>
      <c r="W2" t="s">
        <v>36</v>
      </c>
      <c r="X2" t="s">
        <v>320</v>
      </c>
      <c r="Y2" t="s">
        <v>325</v>
      </c>
      <c r="AD2" s="125" t="s">
        <v>23</v>
      </c>
      <c r="AE2" s="12" t="s">
        <v>554</v>
      </c>
      <c r="AF2" s="12" t="s">
        <v>24</v>
      </c>
    </row>
    <row r="3" spans="2:32">
      <c r="B3" t="s">
        <v>552</v>
      </c>
      <c r="C3" t="s">
        <v>555</v>
      </c>
      <c r="D3" s="172">
        <v>43000.319444444445</v>
      </c>
      <c r="E3" s="172">
        <v>43000.322106481479</v>
      </c>
      <c r="G3" t="s">
        <v>37</v>
      </c>
      <c r="H3" t="s">
        <v>38</v>
      </c>
      <c r="I3" t="s">
        <v>39</v>
      </c>
      <c r="J3" t="s">
        <v>435</v>
      </c>
      <c r="K3" t="s">
        <v>41</v>
      </c>
      <c r="L3" t="s">
        <v>42</v>
      </c>
      <c r="M3" t="s">
        <v>43</v>
      </c>
      <c r="N3" t="s">
        <v>42</v>
      </c>
      <c r="O3" t="s">
        <v>43</v>
      </c>
      <c r="P3" s="182" t="s">
        <v>32</v>
      </c>
      <c r="R3" t="s">
        <v>45</v>
      </c>
      <c r="S3" s="101" t="s">
        <v>485</v>
      </c>
      <c r="T3" t="s">
        <v>10</v>
      </c>
      <c r="U3" t="s">
        <v>46</v>
      </c>
      <c r="V3" s="13">
        <v>2</v>
      </c>
      <c r="W3" t="s">
        <v>47</v>
      </c>
      <c r="X3" t="s">
        <v>322</v>
      </c>
      <c r="Y3" t="s">
        <v>30</v>
      </c>
      <c r="AD3" t="s">
        <v>586</v>
      </c>
      <c r="AE3">
        <v>4916</v>
      </c>
      <c r="AF3" t="s">
        <v>555</v>
      </c>
    </row>
    <row r="4" spans="2:32">
      <c r="B4" t="s">
        <v>552</v>
      </c>
      <c r="C4" t="s">
        <v>555</v>
      </c>
      <c r="D4" s="172">
        <v>43000.438194444447</v>
      </c>
      <c r="E4" s="172">
        <v>43000.438252314816</v>
      </c>
      <c r="G4" t="s">
        <v>48</v>
      </c>
      <c r="H4" t="s">
        <v>49</v>
      </c>
      <c r="I4" t="s">
        <v>49</v>
      </c>
      <c r="J4" t="s">
        <v>40</v>
      </c>
      <c r="K4" t="s">
        <v>50</v>
      </c>
      <c r="L4" t="s">
        <v>51</v>
      </c>
      <c r="M4" t="s">
        <v>52</v>
      </c>
      <c r="N4" t="s">
        <v>51</v>
      </c>
      <c r="O4" t="s">
        <v>52</v>
      </c>
      <c r="P4" s="182" t="s">
        <v>53</v>
      </c>
      <c r="R4" t="s">
        <v>54</v>
      </c>
      <c r="S4" s="157" t="s">
        <v>574</v>
      </c>
      <c r="T4" t="s">
        <v>486</v>
      </c>
      <c r="U4" t="s">
        <v>56</v>
      </c>
      <c r="V4" s="13">
        <v>3</v>
      </c>
      <c r="W4" t="s">
        <v>57</v>
      </c>
      <c r="X4" t="s">
        <v>323</v>
      </c>
      <c r="Y4" t="s">
        <v>324</v>
      </c>
      <c r="AD4" s="98" t="s">
        <v>552</v>
      </c>
      <c r="AE4">
        <v>1152</v>
      </c>
      <c r="AF4" t="s">
        <v>555</v>
      </c>
    </row>
    <row r="5" spans="2:32">
      <c r="B5" t="s">
        <v>552</v>
      </c>
      <c r="C5" t="s">
        <v>555</v>
      </c>
      <c r="D5" s="172">
        <v>43001.543541666666</v>
      </c>
      <c r="E5" s="172">
        <v>43001.545428240737</v>
      </c>
      <c r="G5" t="s">
        <v>58</v>
      </c>
      <c r="H5" t="s">
        <v>59</v>
      </c>
      <c r="I5" t="s">
        <v>60</v>
      </c>
      <c r="J5" t="s">
        <v>190</v>
      </c>
      <c r="K5" t="s">
        <v>62</v>
      </c>
      <c r="L5" t="s">
        <v>63</v>
      </c>
      <c r="M5" t="s">
        <v>64</v>
      </c>
      <c r="N5" t="s">
        <v>65</v>
      </c>
      <c r="O5" t="s">
        <v>66</v>
      </c>
      <c r="P5" s="182" t="s">
        <v>44</v>
      </c>
      <c r="S5" s="101" t="s">
        <v>558</v>
      </c>
      <c r="U5" t="s">
        <v>68</v>
      </c>
      <c r="V5" s="13">
        <v>4</v>
      </c>
      <c r="W5" t="s">
        <v>69</v>
      </c>
      <c r="X5" t="s">
        <v>545</v>
      </c>
      <c r="Y5" t="s">
        <v>42</v>
      </c>
      <c r="AD5" s="98" t="s">
        <v>98</v>
      </c>
      <c r="AE5">
        <v>6984</v>
      </c>
      <c r="AF5" t="s">
        <v>556</v>
      </c>
    </row>
    <row r="6" spans="2:32">
      <c r="B6" t="s">
        <v>552</v>
      </c>
      <c r="C6" t="s">
        <v>555</v>
      </c>
      <c r="D6" s="172">
        <v>43001.631620370368</v>
      </c>
      <c r="E6" s="172">
        <v>43002.556608796294</v>
      </c>
      <c r="G6" t="s">
        <v>132</v>
      </c>
      <c r="H6" t="s">
        <v>70</v>
      </c>
      <c r="I6" t="s">
        <v>71</v>
      </c>
      <c r="J6" t="s">
        <v>270</v>
      </c>
      <c r="K6" t="s">
        <v>72</v>
      </c>
      <c r="L6" t="s">
        <v>73</v>
      </c>
      <c r="M6" t="s">
        <v>74</v>
      </c>
      <c r="N6" t="s">
        <v>73</v>
      </c>
      <c r="O6" t="s">
        <v>74</v>
      </c>
      <c r="P6" s="182" t="s">
        <v>67</v>
      </c>
      <c r="S6" s="101" t="s">
        <v>492</v>
      </c>
      <c r="U6" t="s">
        <v>75</v>
      </c>
      <c r="V6" s="13">
        <v>5</v>
      </c>
      <c r="W6" t="s">
        <v>76</v>
      </c>
      <c r="X6" t="s">
        <v>326</v>
      </c>
      <c r="Y6" t="s">
        <v>51</v>
      </c>
      <c r="AD6" s="98" t="s">
        <v>582</v>
      </c>
      <c r="AE6">
        <v>5426</v>
      </c>
      <c r="AF6" t="s">
        <v>556</v>
      </c>
    </row>
    <row r="7" spans="2:32">
      <c r="B7" t="s">
        <v>552</v>
      </c>
      <c r="C7" t="s">
        <v>555</v>
      </c>
      <c r="D7" s="172">
        <v>43002.721921296295</v>
      </c>
      <c r="E7" s="172">
        <v>43002.747835648152</v>
      </c>
      <c r="G7" t="s">
        <v>133</v>
      </c>
      <c r="H7" t="s">
        <v>77</v>
      </c>
      <c r="I7" t="s">
        <v>78</v>
      </c>
      <c r="J7" t="s">
        <v>348</v>
      </c>
      <c r="L7" t="s">
        <v>79</v>
      </c>
      <c r="M7" t="s">
        <v>80</v>
      </c>
      <c r="N7" t="s">
        <v>63</v>
      </c>
      <c r="O7" t="s">
        <v>64</v>
      </c>
      <c r="P7" s="182" t="s">
        <v>602</v>
      </c>
      <c r="S7" s="101" t="s">
        <v>576</v>
      </c>
      <c r="U7" t="s">
        <v>81</v>
      </c>
      <c r="V7" s="13">
        <v>6</v>
      </c>
      <c r="W7" t="s">
        <v>82</v>
      </c>
      <c r="X7" t="s">
        <v>328</v>
      </c>
      <c r="Y7" t="s">
        <v>65</v>
      </c>
      <c r="AD7" s="98" t="s">
        <v>305</v>
      </c>
      <c r="AE7">
        <v>8512</v>
      </c>
      <c r="AF7" t="s">
        <v>556</v>
      </c>
    </row>
    <row r="8" spans="2:32">
      <c r="B8" t="s">
        <v>552</v>
      </c>
      <c r="C8" t="s">
        <v>555</v>
      </c>
      <c r="D8" s="172">
        <v>43003.219398148147</v>
      </c>
      <c r="E8" s="172">
        <v>43003.308206018519</v>
      </c>
      <c r="G8" t="s">
        <v>83</v>
      </c>
      <c r="H8" t="s">
        <v>138</v>
      </c>
      <c r="I8" t="s">
        <v>124</v>
      </c>
      <c r="J8" t="s">
        <v>260</v>
      </c>
      <c r="L8" t="s">
        <v>85</v>
      </c>
      <c r="M8" t="s">
        <v>62</v>
      </c>
      <c r="N8" t="s">
        <v>86</v>
      </c>
      <c r="O8" t="s">
        <v>87</v>
      </c>
      <c r="P8" s="182" t="s">
        <v>603</v>
      </c>
      <c r="S8" s="101" t="s">
        <v>549</v>
      </c>
      <c r="U8" t="s">
        <v>90</v>
      </c>
      <c r="V8" s="13">
        <v>7</v>
      </c>
      <c r="W8" t="s">
        <v>91</v>
      </c>
      <c r="X8" t="s">
        <v>329</v>
      </c>
      <c r="Y8" t="s">
        <v>73</v>
      </c>
    </row>
    <row r="9" spans="2:32">
      <c r="B9" t="s">
        <v>552</v>
      </c>
      <c r="C9" t="s">
        <v>555</v>
      </c>
      <c r="D9" s="172">
        <v>43003.319826388892</v>
      </c>
      <c r="E9" s="172">
        <v>43003.323333333334</v>
      </c>
      <c r="G9" t="s">
        <v>134</v>
      </c>
      <c r="H9" t="s">
        <v>121</v>
      </c>
      <c r="I9" t="s">
        <v>121</v>
      </c>
      <c r="J9" t="s">
        <v>210</v>
      </c>
      <c r="N9" t="s">
        <v>79</v>
      </c>
      <c r="O9" t="s">
        <v>80</v>
      </c>
      <c r="P9" s="182" t="s">
        <v>604</v>
      </c>
      <c r="S9" s="101" t="s">
        <v>572</v>
      </c>
      <c r="U9" t="s">
        <v>94</v>
      </c>
      <c r="V9" s="13">
        <v>8</v>
      </c>
      <c r="W9" t="s">
        <v>95</v>
      </c>
      <c r="X9" t="s">
        <v>275</v>
      </c>
      <c r="Y9" t="s">
        <v>63</v>
      </c>
    </row>
    <row r="10" spans="2:32">
      <c r="B10" t="s">
        <v>552</v>
      </c>
      <c r="C10" t="s">
        <v>555</v>
      </c>
      <c r="D10" s="172">
        <v>43003.382488425923</v>
      </c>
      <c r="E10" s="172">
        <v>43003.387303240743</v>
      </c>
      <c r="G10" t="s">
        <v>96</v>
      </c>
      <c r="H10" t="s">
        <v>84</v>
      </c>
      <c r="I10" t="s">
        <v>84</v>
      </c>
      <c r="J10" t="s">
        <v>286</v>
      </c>
      <c r="N10" t="s">
        <v>98</v>
      </c>
      <c r="O10" t="s">
        <v>99</v>
      </c>
      <c r="P10" s="182" t="s">
        <v>605</v>
      </c>
      <c r="S10" s="101" t="s">
        <v>557</v>
      </c>
      <c r="U10" t="s">
        <v>100</v>
      </c>
      <c r="V10" s="13">
        <v>9</v>
      </c>
      <c r="W10" t="s">
        <v>101</v>
      </c>
      <c r="Y10" t="s">
        <v>327</v>
      </c>
    </row>
    <row r="11" spans="2:32">
      <c r="B11" t="s">
        <v>552</v>
      </c>
      <c r="C11" t="s">
        <v>555</v>
      </c>
      <c r="D11" s="172">
        <v>43003.395196759258</v>
      </c>
      <c r="E11" s="172">
        <v>43003.397905092592</v>
      </c>
      <c r="G11" t="s">
        <v>135</v>
      </c>
      <c r="H11" t="s">
        <v>551</v>
      </c>
      <c r="I11" t="s">
        <v>239</v>
      </c>
      <c r="J11" t="s">
        <v>264</v>
      </c>
      <c r="N11" t="s">
        <v>103</v>
      </c>
      <c r="O11" t="s">
        <v>104</v>
      </c>
      <c r="P11" s="182" t="s">
        <v>606</v>
      </c>
      <c r="S11" s="101" t="s">
        <v>573</v>
      </c>
      <c r="U11" t="s">
        <v>105</v>
      </c>
      <c r="V11" s="13">
        <v>10</v>
      </c>
      <c r="W11" t="s">
        <v>106</v>
      </c>
      <c r="Y11" t="s">
        <v>86</v>
      </c>
    </row>
    <row r="12" spans="2:32">
      <c r="B12" t="s">
        <v>98</v>
      </c>
      <c r="C12" t="s">
        <v>556</v>
      </c>
      <c r="D12" s="172">
        <v>43003.398136574076</v>
      </c>
      <c r="E12" s="172">
        <v>43003.399664351855</v>
      </c>
      <c r="G12" t="s">
        <v>107</v>
      </c>
      <c r="H12" t="s">
        <v>111</v>
      </c>
      <c r="I12" t="s">
        <v>111</v>
      </c>
      <c r="J12" t="s">
        <v>482</v>
      </c>
      <c r="N12" t="s">
        <v>85</v>
      </c>
      <c r="O12" t="s">
        <v>62</v>
      </c>
      <c r="P12" s="182" t="s">
        <v>607</v>
      </c>
      <c r="S12" s="101" t="s">
        <v>89</v>
      </c>
      <c r="U12" t="s">
        <v>110</v>
      </c>
      <c r="V12" s="13">
        <v>11</v>
      </c>
      <c r="Y12" t="s">
        <v>79</v>
      </c>
    </row>
    <row r="13" spans="2:32">
      <c r="B13" t="s">
        <v>98</v>
      </c>
      <c r="C13" t="s">
        <v>556</v>
      </c>
      <c r="D13" s="172">
        <v>43003.401550925926</v>
      </c>
      <c r="E13" s="172">
        <v>43003.401643518519</v>
      </c>
      <c r="G13" t="s">
        <v>137</v>
      </c>
      <c r="H13" t="s">
        <v>116</v>
      </c>
      <c r="I13" t="s">
        <v>116</v>
      </c>
      <c r="J13" t="s">
        <v>182</v>
      </c>
      <c r="N13" t="s">
        <v>112</v>
      </c>
      <c r="O13" t="s">
        <v>113</v>
      </c>
      <c r="P13" s="182" t="s">
        <v>73</v>
      </c>
      <c r="S13" s="101" t="s">
        <v>550</v>
      </c>
      <c r="U13" t="s">
        <v>114</v>
      </c>
      <c r="V13" s="13">
        <v>12</v>
      </c>
      <c r="Y13" t="s">
        <v>98</v>
      </c>
    </row>
    <row r="14" spans="2:32">
      <c r="B14" t="s">
        <v>552</v>
      </c>
      <c r="C14" t="s">
        <v>555</v>
      </c>
      <c r="D14" s="172">
        <v>43003.401921296296</v>
      </c>
      <c r="E14" s="172">
        <v>43003.402615740742</v>
      </c>
      <c r="G14" t="s">
        <v>115</v>
      </c>
      <c r="H14" t="s">
        <v>119</v>
      </c>
      <c r="I14" t="s">
        <v>119</v>
      </c>
      <c r="J14" t="s">
        <v>367</v>
      </c>
      <c r="N14" t="s">
        <v>73</v>
      </c>
      <c r="S14" s="101" t="s">
        <v>33</v>
      </c>
      <c r="U14" t="s">
        <v>117</v>
      </c>
      <c r="Y14" t="s">
        <v>176</v>
      </c>
    </row>
    <row r="15" spans="2:32">
      <c r="B15" t="s">
        <v>98</v>
      </c>
      <c r="C15" t="s">
        <v>556</v>
      </c>
      <c r="D15" s="172">
        <v>43003.402800925927</v>
      </c>
      <c r="E15" s="172">
        <v>43003.408194444448</v>
      </c>
      <c r="G15" t="s">
        <v>118</v>
      </c>
      <c r="H15" t="s">
        <v>92</v>
      </c>
      <c r="I15" t="s">
        <v>93</v>
      </c>
      <c r="J15" t="s">
        <v>359</v>
      </c>
      <c r="N15" t="s">
        <v>63</v>
      </c>
      <c r="S15" s="101" t="s">
        <v>491</v>
      </c>
      <c r="Y15" t="s">
        <v>88</v>
      </c>
    </row>
    <row r="16" spans="2:32">
      <c r="B16" t="s">
        <v>98</v>
      </c>
      <c r="C16" t="s">
        <v>556</v>
      </c>
      <c r="D16" s="172">
        <v>43003.423796296294</v>
      </c>
      <c r="E16" s="172">
        <v>43003.42392361111</v>
      </c>
      <c r="G16" t="s">
        <v>120</v>
      </c>
      <c r="H16" t="s">
        <v>97</v>
      </c>
      <c r="I16" t="s">
        <v>97</v>
      </c>
      <c r="J16" t="s">
        <v>172</v>
      </c>
      <c r="N16" t="s">
        <v>176</v>
      </c>
      <c r="S16" s="101" t="s">
        <v>55</v>
      </c>
      <c r="Y16" t="s">
        <v>305</v>
      </c>
    </row>
    <row r="17" spans="2:25">
      <c r="B17" t="s">
        <v>98</v>
      </c>
      <c r="C17" t="s">
        <v>556</v>
      </c>
      <c r="D17" s="172">
        <v>43003.495150462964</v>
      </c>
      <c r="E17" s="172">
        <v>43003.514618055553</v>
      </c>
      <c r="G17" t="s">
        <v>122</v>
      </c>
      <c r="H17" t="s">
        <v>102</v>
      </c>
      <c r="I17" t="s">
        <v>102</v>
      </c>
      <c r="J17" t="s">
        <v>261</v>
      </c>
      <c r="Y17" t="s">
        <v>85</v>
      </c>
    </row>
    <row r="18" spans="2:25">
      <c r="B18" t="s">
        <v>552</v>
      </c>
      <c r="C18" t="s">
        <v>555</v>
      </c>
      <c r="D18" s="172">
        <v>43003.5153125</v>
      </c>
      <c r="E18" s="172">
        <v>43003.515914351854</v>
      </c>
      <c r="G18" t="s">
        <v>123</v>
      </c>
      <c r="H18" t="s">
        <v>108</v>
      </c>
      <c r="I18" t="s">
        <v>109</v>
      </c>
      <c r="J18" t="s">
        <v>463</v>
      </c>
      <c r="Y18" t="s">
        <v>112</v>
      </c>
    </row>
    <row r="19" spans="2:25">
      <c r="B19" t="s">
        <v>98</v>
      </c>
      <c r="C19" t="s">
        <v>556</v>
      </c>
      <c r="D19" s="172">
        <v>43011.452094907407</v>
      </c>
      <c r="E19" s="172">
        <v>43011.452141203707</v>
      </c>
      <c r="G19" t="s">
        <v>125</v>
      </c>
      <c r="J19" t="s">
        <v>196</v>
      </c>
      <c r="P19" s="178"/>
      <c r="Y19" t="s">
        <v>178</v>
      </c>
    </row>
    <row r="20" spans="2:25">
      <c r="B20" t="s">
        <v>98</v>
      </c>
      <c r="C20" t="s">
        <v>556</v>
      </c>
      <c r="D20" s="172">
        <v>43013.581608796296</v>
      </c>
      <c r="E20" s="172">
        <v>43013.585300925923</v>
      </c>
      <c r="G20" t="s">
        <v>126</v>
      </c>
      <c r="J20" t="s">
        <v>267</v>
      </c>
      <c r="Y20" t="s">
        <v>321</v>
      </c>
    </row>
    <row r="21" spans="2:25">
      <c r="B21" t="s">
        <v>98</v>
      </c>
      <c r="C21" t="s">
        <v>556</v>
      </c>
      <c r="D21" s="172">
        <v>43013.585486111115</v>
      </c>
      <c r="E21" s="172">
        <v>43013.588738425926</v>
      </c>
      <c r="G21" t="s">
        <v>127</v>
      </c>
      <c r="J21" t="s">
        <v>287</v>
      </c>
      <c r="Y21" t="s">
        <v>548</v>
      </c>
    </row>
    <row r="22" spans="2:25">
      <c r="B22" t="s">
        <v>98</v>
      </c>
      <c r="C22" t="s">
        <v>556</v>
      </c>
      <c r="D22" s="172">
        <v>43019.234143518515</v>
      </c>
      <c r="E22" s="172">
        <v>43019.247291666667</v>
      </c>
      <c r="G22" t="s">
        <v>128</v>
      </c>
      <c r="J22" t="s">
        <v>266</v>
      </c>
      <c r="Y22" t="s">
        <v>490</v>
      </c>
    </row>
    <row r="23" spans="2:25">
      <c r="B23" t="s">
        <v>98</v>
      </c>
      <c r="C23" t="s">
        <v>556</v>
      </c>
      <c r="D23" s="172">
        <v>43019.247546296298</v>
      </c>
      <c r="E23" s="172">
        <v>43019.2496875</v>
      </c>
      <c r="G23" t="s">
        <v>50</v>
      </c>
      <c r="J23" t="s">
        <v>255</v>
      </c>
    </row>
    <row r="24" spans="2:25">
      <c r="B24" t="s">
        <v>98</v>
      </c>
      <c r="C24" t="s">
        <v>556</v>
      </c>
      <c r="D24" s="172">
        <v>43019.25277777778</v>
      </c>
      <c r="E24" s="172">
        <v>43019.264432870368</v>
      </c>
      <c r="G24" t="s">
        <v>129</v>
      </c>
      <c r="J24" t="s">
        <v>402</v>
      </c>
    </row>
    <row r="25" spans="2:25">
      <c r="B25" t="s">
        <v>98</v>
      </c>
      <c r="C25" t="s">
        <v>556</v>
      </c>
      <c r="D25" s="172">
        <v>43019.28634259259</v>
      </c>
      <c r="E25" s="172">
        <v>43019.286458333336</v>
      </c>
      <c r="G25" t="s">
        <v>130</v>
      </c>
      <c r="J25" t="s">
        <v>205</v>
      </c>
    </row>
    <row r="26" spans="2:25">
      <c r="B26" t="s">
        <v>98</v>
      </c>
      <c r="C26" t="s">
        <v>556</v>
      </c>
      <c r="D26" s="172">
        <v>43019.290717592594</v>
      </c>
      <c r="E26" s="172">
        <v>43019.303356481483</v>
      </c>
      <c r="G26" t="s">
        <v>131</v>
      </c>
      <c r="J26" t="s">
        <v>434</v>
      </c>
    </row>
    <row r="27" spans="2:25">
      <c r="B27" t="s">
        <v>98</v>
      </c>
      <c r="C27" t="s">
        <v>556</v>
      </c>
      <c r="D27" s="172">
        <v>43019.303518518522</v>
      </c>
      <c r="E27" s="172">
        <v>43019.312685185185</v>
      </c>
      <c r="J27" t="s">
        <v>162</v>
      </c>
    </row>
    <row r="28" spans="2:25">
      <c r="B28" t="s">
        <v>552</v>
      </c>
      <c r="C28" t="s">
        <v>555</v>
      </c>
      <c r="D28" s="172">
        <v>43019.31287037037</v>
      </c>
      <c r="E28" s="172">
        <v>43019.315740740742</v>
      </c>
      <c r="J28" t="s">
        <v>181</v>
      </c>
    </row>
    <row r="29" spans="2:25">
      <c r="B29" t="s">
        <v>552</v>
      </c>
      <c r="C29" t="s">
        <v>555</v>
      </c>
      <c r="D29" s="172">
        <v>43019.319293981483</v>
      </c>
      <c r="E29" s="172">
        <v>43019.320462962962</v>
      </c>
      <c r="J29" t="s">
        <v>296</v>
      </c>
    </row>
    <row r="30" spans="2:25">
      <c r="B30" t="s">
        <v>98</v>
      </c>
      <c r="C30" t="s">
        <v>556</v>
      </c>
      <c r="D30" s="172">
        <v>43019.320671296293</v>
      </c>
      <c r="E30" s="172">
        <v>43019.321087962962</v>
      </c>
      <c r="J30" t="s">
        <v>265</v>
      </c>
    </row>
    <row r="31" spans="2:25">
      <c r="B31" t="s">
        <v>552</v>
      </c>
      <c r="C31" t="s">
        <v>555</v>
      </c>
      <c r="D31" s="172">
        <v>43019.321250000001</v>
      </c>
      <c r="E31" s="172">
        <v>43019.321851851855</v>
      </c>
      <c r="J31" t="s">
        <v>180</v>
      </c>
    </row>
    <row r="32" spans="2:25">
      <c r="B32" t="s">
        <v>98</v>
      </c>
      <c r="C32" t="s">
        <v>556</v>
      </c>
      <c r="D32" s="172">
        <v>43019.32199074074</v>
      </c>
      <c r="E32" s="172">
        <v>43019.322488425925</v>
      </c>
      <c r="J32" t="s">
        <v>280</v>
      </c>
    </row>
    <row r="33" spans="2:10">
      <c r="B33" t="s">
        <v>552</v>
      </c>
      <c r="C33" t="s">
        <v>555</v>
      </c>
      <c r="D33" s="172">
        <v>43019.322627314818</v>
      </c>
      <c r="E33" s="172">
        <v>43019.32371527778</v>
      </c>
      <c r="J33" t="s">
        <v>346</v>
      </c>
    </row>
    <row r="34" spans="2:10">
      <c r="B34" t="s">
        <v>98</v>
      </c>
      <c r="C34" t="s">
        <v>556</v>
      </c>
      <c r="D34" s="172">
        <v>43019.323877314811</v>
      </c>
      <c r="E34" s="172">
        <v>43019.32402777778</v>
      </c>
      <c r="J34" t="s">
        <v>404</v>
      </c>
    </row>
    <row r="35" spans="2:10">
      <c r="B35" t="s">
        <v>552</v>
      </c>
      <c r="C35" t="s">
        <v>555</v>
      </c>
      <c r="D35" s="172">
        <v>43019.324178240742</v>
      </c>
      <c r="E35" s="172">
        <v>43019.324872685182</v>
      </c>
      <c r="J35" t="s">
        <v>187</v>
      </c>
    </row>
    <row r="36" spans="2:10">
      <c r="B36" t="s">
        <v>98</v>
      </c>
      <c r="C36" t="s">
        <v>556</v>
      </c>
      <c r="D36" s="172">
        <v>43019.32503472222</v>
      </c>
      <c r="E36" s="172">
        <v>43019.327662037038</v>
      </c>
      <c r="J36" t="s">
        <v>443</v>
      </c>
    </row>
    <row r="37" spans="2:10">
      <c r="B37" t="s">
        <v>98</v>
      </c>
      <c r="C37" t="s">
        <v>556</v>
      </c>
      <c r="D37" s="172">
        <v>43019.3278587963</v>
      </c>
      <c r="E37" s="172">
        <v>43019.330300925925</v>
      </c>
      <c r="J37" t="s">
        <v>374</v>
      </c>
    </row>
    <row r="38" spans="2:10">
      <c r="B38" t="s">
        <v>98</v>
      </c>
      <c r="C38" t="s">
        <v>556</v>
      </c>
      <c r="D38" s="172">
        <v>43019.330416666664</v>
      </c>
      <c r="E38" s="172">
        <v>43019.332881944443</v>
      </c>
      <c r="J38" t="s">
        <v>433</v>
      </c>
    </row>
    <row r="39" spans="2:10">
      <c r="B39" t="s">
        <v>98</v>
      </c>
      <c r="C39" t="s">
        <v>556</v>
      </c>
      <c r="D39" s="172">
        <v>43019.333124999997</v>
      </c>
      <c r="E39" s="172">
        <v>43019.34915509259</v>
      </c>
      <c r="J39" t="s">
        <v>396</v>
      </c>
    </row>
    <row r="40" spans="2:10">
      <c r="B40" t="s">
        <v>98</v>
      </c>
      <c r="C40" t="s">
        <v>556</v>
      </c>
      <c r="D40" s="172">
        <v>43019.349340277775</v>
      </c>
      <c r="E40" s="172">
        <v>43019.350960648146</v>
      </c>
      <c r="J40" t="s">
        <v>204</v>
      </c>
    </row>
    <row r="41" spans="2:10">
      <c r="B41" t="s">
        <v>98</v>
      </c>
      <c r="C41" t="s">
        <v>556</v>
      </c>
      <c r="D41" s="172">
        <v>43019.351099537038</v>
      </c>
      <c r="E41" s="172">
        <v>43019.353252314817</v>
      </c>
      <c r="J41" t="s">
        <v>354</v>
      </c>
    </row>
    <row r="42" spans="2:10">
      <c r="B42" t="s">
        <v>98</v>
      </c>
      <c r="C42" t="s">
        <v>556</v>
      </c>
      <c r="D42" s="172">
        <v>43019.353402777779</v>
      </c>
      <c r="E42" s="172">
        <v>43019.353807870371</v>
      </c>
      <c r="J42" t="s">
        <v>375</v>
      </c>
    </row>
    <row r="43" spans="2:10">
      <c r="B43" t="s">
        <v>98</v>
      </c>
      <c r="C43" t="s">
        <v>556</v>
      </c>
      <c r="D43" s="172">
        <v>43019.354016203702</v>
      </c>
      <c r="E43" s="172">
        <v>43019.35423611111</v>
      </c>
      <c r="J43" t="s">
        <v>465</v>
      </c>
    </row>
    <row r="44" spans="2:10">
      <c r="B44" t="s">
        <v>552</v>
      </c>
      <c r="C44" t="s">
        <v>555</v>
      </c>
      <c r="D44" s="172">
        <v>43019.377303240741</v>
      </c>
      <c r="E44" s="172">
        <v>43019.377997685187</v>
      </c>
      <c r="J44" t="s">
        <v>364</v>
      </c>
    </row>
    <row r="45" spans="2:10">
      <c r="B45" t="s">
        <v>98</v>
      </c>
      <c r="C45" t="s">
        <v>556</v>
      </c>
      <c r="D45" s="172">
        <v>43019.378275462965</v>
      </c>
      <c r="E45" s="172">
        <v>43019.379340277781</v>
      </c>
      <c r="J45" t="s">
        <v>174</v>
      </c>
    </row>
    <row r="46" spans="2:10">
      <c r="B46" t="s">
        <v>98</v>
      </c>
      <c r="C46" t="s">
        <v>556</v>
      </c>
      <c r="D46" s="172">
        <v>43019.37945601852</v>
      </c>
      <c r="E46" s="172">
        <v>43019.381192129629</v>
      </c>
      <c r="J46" t="s">
        <v>400</v>
      </c>
    </row>
    <row r="47" spans="2:10">
      <c r="B47" t="s">
        <v>98</v>
      </c>
      <c r="C47" t="s">
        <v>556</v>
      </c>
      <c r="D47" s="172">
        <v>43019.381319444445</v>
      </c>
      <c r="E47" s="172">
        <v>43019.382048611114</v>
      </c>
      <c r="J47" t="s">
        <v>278</v>
      </c>
    </row>
    <row r="48" spans="2:10">
      <c r="B48" t="s">
        <v>98</v>
      </c>
      <c r="C48" t="s">
        <v>556</v>
      </c>
      <c r="D48" s="172">
        <v>43019.382233796299</v>
      </c>
      <c r="E48" s="172">
        <v>43019.383159722223</v>
      </c>
      <c r="J48" t="s">
        <v>245</v>
      </c>
    </row>
    <row r="49" spans="2:10">
      <c r="B49" t="s">
        <v>552</v>
      </c>
      <c r="C49" t="s">
        <v>555</v>
      </c>
      <c r="D49" s="172">
        <v>43019.383379629631</v>
      </c>
      <c r="E49" s="172">
        <v>43019.384687500002</v>
      </c>
      <c r="J49" t="s">
        <v>284</v>
      </c>
    </row>
    <row r="50" spans="2:10">
      <c r="B50" t="s">
        <v>98</v>
      </c>
      <c r="C50" t="s">
        <v>556</v>
      </c>
      <c r="D50" s="172">
        <v>43019.38480324074</v>
      </c>
      <c r="E50" s="172">
        <v>43019.386203703703</v>
      </c>
      <c r="J50" t="s">
        <v>362</v>
      </c>
    </row>
    <row r="51" spans="2:10">
      <c r="B51" t="s">
        <v>98</v>
      </c>
      <c r="C51" t="s">
        <v>556</v>
      </c>
      <c r="D51" s="172">
        <v>43019.386446759258</v>
      </c>
      <c r="E51" s="172">
        <v>43019.388240740744</v>
      </c>
      <c r="J51" t="s">
        <v>126</v>
      </c>
    </row>
    <row r="52" spans="2:10">
      <c r="B52" t="s">
        <v>98</v>
      </c>
      <c r="C52" t="s">
        <v>556</v>
      </c>
      <c r="D52" s="172">
        <v>43019.388414351852</v>
      </c>
      <c r="E52" s="172">
        <v>43019.388981481483</v>
      </c>
      <c r="J52" t="s">
        <v>382</v>
      </c>
    </row>
    <row r="53" spans="2:10">
      <c r="B53" t="s">
        <v>552</v>
      </c>
      <c r="C53" t="s">
        <v>555</v>
      </c>
      <c r="D53" s="172">
        <v>43019.389224537037</v>
      </c>
      <c r="E53" s="172">
        <v>43019.392013888886</v>
      </c>
      <c r="J53" t="s">
        <v>274</v>
      </c>
    </row>
    <row r="54" spans="2:10">
      <c r="B54" t="s">
        <v>98</v>
      </c>
      <c r="C54" t="s">
        <v>556</v>
      </c>
      <c r="D54" s="172">
        <v>43021.490393518521</v>
      </c>
      <c r="E54" s="172">
        <v>43021.506527777776</v>
      </c>
      <c r="J54" t="s">
        <v>467</v>
      </c>
    </row>
    <row r="55" spans="2:10">
      <c r="B55" t="s">
        <v>552</v>
      </c>
      <c r="C55" t="s">
        <v>555</v>
      </c>
      <c r="D55" s="172">
        <v>43021.507002314815</v>
      </c>
      <c r="E55" s="172">
        <v>43021.514178240737</v>
      </c>
      <c r="J55" t="s">
        <v>208</v>
      </c>
    </row>
    <row r="56" spans="2:10">
      <c r="B56" t="s">
        <v>552</v>
      </c>
      <c r="C56" t="s">
        <v>555</v>
      </c>
      <c r="D56" s="172">
        <v>43028.604768518519</v>
      </c>
      <c r="E56" s="172">
        <v>43028.60533564815</v>
      </c>
      <c r="J56" t="s">
        <v>184</v>
      </c>
    </row>
    <row r="57" spans="2:10">
      <c r="B57" t="s">
        <v>552</v>
      </c>
      <c r="C57" t="s">
        <v>555</v>
      </c>
      <c r="D57" s="172">
        <v>43028.605763888889</v>
      </c>
      <c r="E57" s="172">
        <v>43028.6172337963</v>
      </c>
      <c r="J57" t="s">
        <v>273</v>
      </c>
    </row>
    <row r="58" spans="2:10">
      <c r="B58" t="s">
        <v>98</v>
      </c>
      <c r="C58" t="s">
        <v>556</v>
      </c>
      <c r="D58" s="172">
        <v>43028.617581018516</v>
      </c>
      <c r="E58" s="172">
        <v>43028.618078703701</v>
      </c>
      <c r="J58" t="s">
        <v>431</v>
      </c>
    </row>
    <row r="59" spans="2:10">
      <c r="B59" t="s">
        <v>552</v>
      </c>
      <c r="C59" t="s">
        <v>555</v>
      </c>
      <c r="D59" s="172">
        <v>43028.621180555558</v>
      </c>
      <c r="E59" s="172">
        <v>43028.62164351852</v>
      </c>
      <c r="J59" t="s">
        <v>412</v>
      </c>
    </row>
    <row r="60" spans="2:10">
      <c r="B60" t="s">
        <v>98</v>
      </c>
      <c r="C60" t="s">
        <v>556</v>
      </c>
      <c r="D60" s="172">
        <v>43028.62195601852</v>
      </c>
      <c r="E60" s="172">
        <v>43028.622013888889</v>
      </c>
      <c r="J60" t="s">
        <v>335</v>
      </c>
    </row>
    <row r="61" spans="2:10">
      <c r="B61" t="s">
        <v>552</v>
      </c>
      <c r="C61" t="s">
        <v>555</v>
      </c>
      <c r="D61" s="172">
        <v>43042.520740740743</v>
      </c>
      <c r="E61" s="172">
        <v>43042.64570601852</v>
      </c>
      <c r="J61" t="s">
        <v>300</v>
      </c>
    </row>
    <row r="62" spans="2:10">
      <c r="B62" t="s">
        <v>552</v>
      </c>
      <c r="C62" t="s">
        <v>555</v>
      </c>
      <c r="D62" s="172">
        <v>43045.458761574075</v>
      </c>
      <c r="E62" s="172">
        <v>43045.459074074075</v>
      </c>
      <c r="J62" t="s">
        <v>194</v>
      </c>
    </row>
    <row r="63" spans="2:10">
      <c r="B63" t="s">
        <v>552</v>
      </c>
      <c r="C63" t="s">
        <v>555</v>
      </c>
      <c r="D63" s="172">
        <v>43045.465208333335</v>
      </c>
      <c r="E63" s="172">
        <v>43045.486956018518</v>
      </c>
      <c r="J63" t="s">
        <v>177</v>
      </c>
    </row>
    <row r="64" spans="2:10">
      <c r="B64" t="s">
        <v>552</v>
      </c>
      <c r="C64" t="s">
        <v>555</v>
      </c>
      <c r="D64" s="172">
        <v>43045.495671296296</v>
      </c>
      <c r="E64" s="172">
        <v>43045.501840277779</v>
      </c>
      <c r="J64" t="s">
        <v>228</v>
      </c>
    </row>
    <row r="65" spans="2:10">
      <c r="B65" t="s">
        <v>552</v>
      </c>
      <c r="C65" t="s">
        <v>555</v>
      </c>
      <c r="D65" s="172">
        <v>43048.273634259262</v>
      </c>
      <c r="J65" t="s">
        <v>405</v>
      </c>
    </row>
    <row r="66" spans="2:10">
      <c r="J66" t="s">
        <v>171</v>
      </c>
    </row>
    <row r="67" spans="2:10">
      <c r="J67" t="s">
        <v>358</v>
      </c>
    </row>
    <row r="68" spans="2:10">
      <c r="J68" t="s">
        <v>215</v>
      </c>
    </row>
    <row r="69" spans="2:10">
      <c r="J69" t="s">
        <v>214</v>
      </c>
    </row>
    <row r="70" spans="2:10">
      <c r="J70" t="s">
        <v>217</v>
      </c>
    </row>
    <row r="71" spans="2:10">
      <c r="J71" t="s">
        <v>389</v>
      </c>
    </row>
    <row r="72" spans="2:10">
      <c r="J72" t="s">
        <v>380</v>
      </c>
    </row>
    <row r="73" spans="2:10">
      <c r="J73" t="s">
        <v>271</v>
      </c>
    </row>
    <row r="74" spans="2:10">
      <c r="J74" t="s">
        <v>419</v>
      </c>
    </row>
    <row r="75" spans="2:10">
      <c r="J75" t="s">
        <v>225</v>
      </c>
    </row>
    <row r="76" spans="2:10">
      <c r="J76" t="s">
        <v>420</v>
      </c>
    </row>
    <row r="77" spans="2:10">
      <c r="J77" t="s">
        <v>185</v>
      </c>
    </row>
    <row r="78" spans="2:10">
      <c r="J78" t="s">
        <v>168</v>
      </c>
    </row>
    <row r="79" spans="2:10">
      <c r="J79" t="s">
        <v>195</v>
      </c>
    </row>
    <row r="80" spans="2:10">
      <c r="J80" t="s">
        <v>369</v>
      </c>
    </row>
    <row r="81" spans="10:10">
      <c r="J81" t="s">
        <v>449</v>
      </c>
    </row>
    <row r="82" spans="10:10">
      <c r="J82" t="s">
        <v>392</v>
      </c>
    </row>
    <row r="83" spans="10:10">
      <c r="J83" t="s">
        <v>294</v>
      </c>
    </row>
    <row r="84" spans="10:10">
      <c r="J84" t="s">
        <v>381</v>
      </c>
    </row>
    <row r="85" spans="10:10">
      <c r="J85" t="s">
        <v>336</v>
      </c>
    </row>
    <row r="86" spans="10:10">
      <c r="J86" t="s">
        <v>455</v>
      </c>
    </row>
    <row r="87" spans="10:10">
      <c r="J87" t="s">
        <v>383</v>
      </c>
    </row>
    <row r="88" spans="10:10">
      <c r="J88" t="s">
        <v>414</v>
      </c>
    </row>
    <row r="89" spans="10:10">
      <c r="J89" t="s">
        <v>474</v>
      </c>
    </row>
    <row r="90" spans="10:10">
      <c r="J90" t="s">
        <v>422</v>
      </c>
    </row>
    <row r="91" spans="10:10">
      <c r="J91" t="s">
        <v>254</v>
      </c>
    </row>
    <row r="92" spans="10:10">
      <c r="J92" t="s">
        <v>248</v>
      </c>
    </row>
    <row r="93" spans="10:10">
      <c r="J93" t="s">
        <v>219</v>
      </c>
    </row>
    <row r="94" spans="10:10">
      <c r="J94" t="s">
        <v>200</v>
      </c>
    </row>
    <row r="95" spans="10:10">
      <c r="J95" t="s">
        <v>310</v>
      </c>
    </row>
    <row r="96" spans="10:10">
      <c r="J96" t="s">
        <v>373</v>
      </c>
    </row>
    <row r="97" spans="10:10">
      <c r="J97" t="s">
        <v>309</v>
      </c>
    </row>
    <row r="98" spans="10:10">
      <c r="J98" t="s">
        <v>218</v>
      </c>
    </row>
    <row r="99" spans="10:10">
      <c r="J99" t="s">
        <v>169</v>
      </c>
    </row>
    <row r="100" spans="10:10">
      <c r="J100" t="s">
        <v>249</v>
      </c>
    </row>
    <row r="101" spans="10:10">
      <c r="J101" t="s">
        <v>242</v>
      </c>
    </row>
    <row r="102" spans="10:10">
      <c r="J102" t="s">
        <v>226</v>
      </c>
    </row>
    <row r="103" spans="10:10">
      <c r="J103" t="s">
        <v>251</v>
      </c>
    </row>
    <row r="104" spans="10:10">
      <c r="J104" t="s">
        <v>175</v>
      </c>
    </row>
    <row r="105" spans="10:10">
      <c r="J105" t="s">
        <v>229</v>
      </c>
    </row>
    <row r="106" spans="10:10">
      <c r="J106" t="s">
        <v>430</v>
      </c>
    </row>
    <row r="107" spans="10:10">
      <c r="J107" t="s">
        <v>385</v>
      </c>
    </row>
    <row r="108" spans="10:10">
      <c r="J108" t="s">
        <v>247</v>
      </c>
    </row>
    <row r="109" spans="10:10">
      <c r="J109" t="s">
        <v>365</v>
      </c>
    </row>
    <row r="110" spans="10:10">
      <c r="J110" t="s">
        <v>272</v>
      </c>
    </row>
    <row r="111" spans="10:10">
      <c r="J111" t="s">
        <v>403</v>
      </c>
    </row>
    <row r="112" spans="10:10">
      <c r="J112" t="s">
        <v>466</v>
      </c>
    </row>
    <row r="113" spans="10:10">
      <c r="J113" t="s">
        <v>28</v>
      </c>
    </row>
    <row r="114" spans="10:10">
      <c r="J114" t="s">
        <v>283</v>
      </c>
    </row>
    <row r="115" spans="10:10">
      <c r="J115" t="s">
        <v>413</v>
      </c>
    </row>
    <row r="116" spans="10:10">
      <c r="J116" t="s">
        <v>246</v>
      </c>
    </row>
    <row r="117" spans="10:10">
      <c r="J117" t="s">
        <v>183</v>
      </c>
    </row>
    <row r="118" spans="10:10">
      <c r="J118" t="s">
        <v>445</v>
      </c>
    </row>
    <row r="119" spans="10:10">
      <c r="J119" t="s">
        <v>415</v>
      </c>
    </row>
    <row r="120" spans="10:10">
      <c r="J120" t="s">
        <v>250</v>
      </c>
    </row>
    <row r="121" spans="10:10">
      <c r="J121" t="s">
        <v>437</v>
      </c>
    </row>
    <row r="122" spans="10:10">
      <c r="J122" t="s">
        <v>391</v>
      </c>
    </row>
    <row r="123" spans="10:10">
      <c r="J123" t="s">
        <v>316</v>
      </c>
    </row>
    <row r="124" spans="10:10">
      <c r="J124" t="s">
        <v>233</v>
      </c>
    </row>
    <row r="125" spans="10:10">
      <c r="J125" t="s">
        <v>234</v>
      </c>
    </row>
    <row r="126" spans="10:10">
      <c r="J126" t="s">
        <v>483</v>
      </c>
    </row>
    <row r="127" spans="10:10">
      <c r="J127" t="s">
        <v>237</v>
      </c>
    </row>
    <row r="128" spans="10:10">
      <c r="J128" t="s">
        <v>231</v>
      </c>
    </row>
    <row r="129" spans="10:10">
      <c r="J129" t="s">
        <v>202</v>
      </c>
    </row>
    <row r="130" spans="10:10">
      <c r="J130" t="s">
        <v>379</v>
      </c>
    </row>
    <row r="131" spans="10:10">
      <c r="J131" t="s">
        <v>212</v>
      </c>
    </row>
    <row r="132" spans="10:10">
      <c r="J132" t="s">
        <v>304</v>
      </c>
    </row>
    <row r="133" spans="10:10">
      <c r="J133" t="s">
        <v>339</v>
      </c>
    </row>
    <row r="134" spans="10:10">
      <c r="J134" t="s">
        <v>191</v>
      </c>
    </row>
    <row r="135" spans="10:10">
      <c r="J135" t="s">
        <v>170</v>
      </c>
    </row>
    <row r="136" spans="10:10">
      <c r="J136" t="s">
        <v>427</v>
      </c>
    </row>
    <row r="137" spans="10:10">
      <c r="J137" t="s">
        <v>458</v>
      </c>
    </row>
    <row r="138" spans="10:10">
      <c r="J138" t="s">
        <v>244</v>
      </c>
    </row>
    <row r="139" spans="10:10">
      <c r="J139" t="s">
        <v>186</v>
      </c>
    </row>
    <row r="140" spans="10:10">
      <c r="J140" t="s">
        <v>290</v>
      </c>
    </row>
    <row r="141" spans="10:10">
      <c r="J141" t="s">
        <v>292</v>
      </c>
    </row>
    <row r="142" spans="10:10">
      <c r="J142" t="s">
        <v>468</v>
      </c>
    </row>
    <row r="143" spans="10:10">
      <c r="J143" t="s">
        <v>439</v>
      </c>
    </row>
    <row r="144" spans="10:10">
      <c r="J144" t="s">
        <v>338</v>
      </c>
    </row>
    <row r="145" spans="10:10">
      <c r="J145" t="s">
        <v>472</v>
      </c>
    </row>
    <row r="146" spans="10:10">
      <c r="J146" t="s">
        <v>426</v>
      </c>
    </row>
    <row r="147" spans="10:10">
      <c r="J147" t="s">
        <v>447</v>
      </c>
    </row>
    <row r="148" spans="10:10">
      <c r="J148" t="s">
        <v>384</v>
      </c>
    </row>
    <row r="149" spans="10:10">
      <c r="J149" t="s">
        <v>407</v>
      </c>
    </row>
    <row r="150" spans="10:10">
      <c r="J150" t="s">
        <v>163</v>
      </c>
    </row>
    <row r="151" spans="10:10">
      <c r="J151" t="s">
        <v>417</v>
      </c>
    </row>
    <row r="152" spans="10:10">
      <c r="J152" t="s">
        <v>285</v>
      </c>
    </row>
    <row r="153" spans="10:10">
      <c r="J153" t="s">
        <v>282</v>
      </c>
    </row>
    <row r="154" spans="10:10">
      <c r="J154" t="s">
        <v>262</v>
      </c>
    </row>
    <row r="155" spans="10:10">
      <c r="J155" t="s">
        <v>410</v>
      </c>
    </row>
    <row r="156" spans="10:10">
      <c r="J156" t="s">
        <v>444</v>
      </c>
    </row>
    <row r="157" spans="10:10">
      <c r="J157" t="s">
        <v>263</v>
      </c>
    </row>
    <row r="158" spans="10:10">
      <c r="J158" t="s">
        <v>167</v>
      </c>
    </row>
    <row r="159" spans="10:10">
      <c r="J159" t="s">
        <v>416</v>
      </c>
    </row>
    <row r="160" spans="10:10">
      <c r="J160" t="s">
        <v>173</v>
      </c>
    </row>
    <row r="161" spans="10:10">
      <c r="J161" t="s">
        <v>377</v>
      </c>
    </row>
    <row r="162" spans="10:10">
      <c r="J162" t="s">
        <v>220</v>
      </c>
    </row>
    <row r="163" spans="10:10">
      <c r="J163" t="s">
        <v>295</v>
      </c>
    </row>
    <row r="164" spans="10:10">
      <c r="J164" t="s">
        <v>165</v>
      </c>
    </row>
    <row r="165" spans="10:10">
      <c r="J165" t="s">
        <v>337</v>
      </c>
    </row>
    <row r="166" spans="10:10">
      <c r="J166" t="s">
        <v>425</v>
      </c>
    </row>
    <row r="167" spans="10:10">
      <c r="J167" t="s">
        <v>469</v>
      </c>
    </row>
    <row r="168" spans="10:10">
      <c r="J168" t="s">
        <v>376</v>
      </c>
    </row>
    <row r="169" spans="10:10">
      <c r="J169" t="s">
        <v>356</v>
      </c>
    </row>
    <row r="170" spans="10:10">
      <c r="J170" t="s">
        <v>256</v>
      </c>
    </row>
    <row r="171" spans="10:10">
      <c r="J171" t="s">
        <v>461</v>
      </c>
    </row>
    <row r="172" spans="10:10">
      <c r="J172" t="s">
        <v>221</v>
      </c>
    </row>
    <row r="173" spans="10:10">
      <c r="J173" t="s">
        <v>363</v>
      </c>
    </row>
    <row r="174" spans="10:10">
      <c r="J174" t="s">
        <v>257</v>
      </c>
    </row>
    <row r="175" spans="10:10">
      <c r="J175" t="s">
        <v>343</v>
      </c>
    </row>
    <row r="176" spans="10:10">
      <c r="J176" t="s">
        <v>428</v>
      </c>
    </row>
    <row r="177" spans="10:10">
      <c r="J177" t="s">
        <v>279</v>
      </c>
    </row>
    <row r="178" spans="10:10">
      <c r="J178" t="s">
        <v>452</v>
      </c>
    </row>
    <row r="179" spans="10:10">
      <c r="J179" t="s">
        <v>432</v>
      </c>
    </row>
    <row r="180" spans="10:10">
      <c r="J180" t="s">
        <v>203</v>
      </c>
    </row>
    <row r="181" spans="10:10">
      <c r="J181" t="s">
        <v>378</v>
      </c>
    </row>
    <row r="182" spans="10:10">
      <c r="J182" t="s">
        <v>301</v>
      </c>
    </row>
    <row r="183" spans="10:10">
      <c r="J183" t="s">
        <v>393</v>
      </c>
    </row>
    <row r="184" spans="10:10">
      <c r="J184" t="s">
        <v>193</v>
      </c>
    </row>
    <row r="185" spans="10:10">
      <c r="J185" t="s">
        <v>436</v>
      </c>
    </row>
    <row r="186" spans="10:10">
      <c r="J186" t="s">
        <v>464</v>
      </c>
    </row>
    <row r="187" spans="10:10">
      <c r="J187" t="s">
        <v>223</v>
      </c>
    </row>
    <row r="188" spans="10:10">
      <c r="J188" t="s">
        <v>387</v>
      </c>
    </row>
    <row r="189" spans="10:10">
      <c r="J189" t="s">
        <v>297</v>
      </c>
    </row>
    <row r="190" spans="10:10">
      <c r="J190" t="s">
        <v>390</v>
      </c>
    </row>
    <row r="191" spans="10:10">
      <c r="J191" t="s">
        <v>481</v>
      </c>
    </row>
    <row r="192" spans="10:10">
      <c r="J192" t="s">
        <v>395</v>
      </c>
    </row>
    <row r="193" spans="10:10">
      <c r="J193" t="s">
        <v>312</v>
      </c>
    </row>
    <row r="194" spans="10:10">
      <c r="J194" t="s">
        <v>397</v>
      </c>
    </row>
    <row r="195" spans="10:10">
      <c r="J195" t="s">
        <v>291</v>
      </c>
    </row>
    <row r="196" spans="10:10">
      <c r="J196" t="s">
        <v>235</v>
      </c>
    </row>
    <row r="197" spans="10:10">
      <c r="J197" t="s">
        <v>201</v>
      </c>
    </row>
    <row r="198" spans="10:10">
      <c r="J198" t="s">
        <v>199</v>
      </c>
    </row>
    <row r="199" spans="10:10">
      <c r="J199" t="s">
        <v>440</v>
      </c>
    </row>
    <row r="200" spans="10:10">
      <c r="J200" t="s">
        <v>475</v>
      </c>
    </row>
    <row r="201" spans="10:10">
      <c r="J201" t="s">
        <v>289</v>
      </c>
    </row>
    <row r="202" spans="10:10">
      <c r="J202" t="s">
        <v>277</v>
      </c>
    </row>
    <row r="203" spans="10:10">
      <c r="J203" t="s">
        <v>189</v>
      </c>
    </row>
    <row r="204" spans="10:10">
      <c r="J204" t="s">
        <v>259</v>
      </c>
    </row>
    <row r="205" spans="10:10">
      <c r="J205" t="s">
        <v>207</v>
      </c>
    </row>
    <row r="206" spans="10:10">
      <c r="J206" t="s">
        <v>480</v>
      </c>
    </row>
    <row r="207" spans="10:10">
      <c r="J207" t="s">
        <v>276</v>
      </c>
    </row>
    <row r="208" spans="10:10">
      <c r="J208" t="s">
        <v>303</v>
      </c>
    </row>
    <row r="209" spans="10:10">
      <c r="J209" t="s">
        <v>281</v>
      </c>
    </row>
    <row r="210" spans="10:10">
      <c r="J210" t="s">
        <v>394</v>
      </c>
    </row>
    <row r="211" spans="10:10">
      <c r="J211" t="s">
        <v>192</v>
      </c>
    </row>
    <row r="212" spans="10:10">
      <c r="J212" t="s">
        <v>293</v>
      </c>
    </row>
    <row r="213" spans="10:10">
      <c r="J213" t="s">
        <v>206</v>
      </c>
    </row>
    <row r="214" spans="10:10">
      <c r="J214" t="s">
        <v>408</v>
      </c>
    </row>
    <row r="215" spans="10:10">
      <c r="J215" t="s">
        <v>357</v>
      </c>
    </row>
    <row r="216" spans="10:10">
      <c r="J216" t="s">
        <v>349</v>
      </c>
    </row>
    <row r="217" spans="10:10">
      <c r="J217" t="s">
        <v>253</v>
      </c>
    </row>
    <row r="218" spans="10:10">
      <c r="J218" t="s">
        <v>243</v>
      </c>
    </row>
    <row r="219" spans="10:10">
      <c r="J219" t="s">
        <v>241</v>
      </c>
    </row>
    <row r="220" spans="10:10">
      <c r="J220" t="s">
        <v>216</v>
      </c>
    </row>
    <row r="221" spans="10:10">
      <c r="J221" t="s">
        <v>350</v>
      </c>
    </row>
    <row r="222" spans="10:10">
      <c r="J222" t="s">
        <v>476</v>
      </c>
    </row>
    <row r="223" spans="10:10">
      <c r="J223" t="s">
        <v>61</v>
      </c>
    </row>
    <row r="224" spans="10:10">
      <c r="J224" t="s">
        <v>372</v>
      </c>
    </row>
    <row r="225" spans="10:10">
      <c r="J225" t="s">
        <v>298</v>
      </c>
    </row>
    <row r="226" spans="10:10">
      <c r="J226" t="s">
        <v>446</v>
      </c>
    </row>
    <row r="227" spans="10:10">
      <c r="J227" t="s">
        <v>198</v>
      </c>
    </row>
    <row r="228" spans="10:10">
      <c r="J228" t="s">
        <v>345</v>
      </c>
    </row>
    <row r="229" spans="10:10">
      <c r="J229" t="s">
        <v>236</v>
      </c>
    </row>
    <row r="230" spans="10:10">
      <c r="J230" t="s">
        <v>252</v>
      </c>
    </row>
    <row r="231" spans="10:10">
      <c r="J231" t="s">
        <v>441</v>
      </c>
    </row>
    <row r="232" spans="10:10">
      <c r="J232" t="s">
        <v>479</v>
      </c>
    </row>
    <row r="233" spans="10:10">
      <c r="J233" t="s">
        <v>429</v>
      </c>
    </row>
    <row r="234" spans="10:10">
      <c r="J234" t="s">
        <v>232</v>
      </c>
    </row>
    <row r="235" spans="10:10">
      <c r="J235" t="s">
        <v>164</v>
      </c>
    </row>
    <row r="236" spans="10:10">
      <c r="J236" t="s">
        <v>421</v>
      </c>
    </row>
    <row r="237" spans="10:10">
      <c r="J237" t="s">
        <v>399</v>
      </c>
    </row>
    <row r="238" spans="10:10">
      <c r="J238" t="s">
        <v>460</v>
      </c>
    </row>
    <row r="239" spans="10:10">
      <c r="J239" t="s">
        <v>477</v>
      </c>
    </row>
    <row r="240" spans="10:10">
      <c r="J240" t="s">
        <v>188</v>
      </c>
    </row>
    <row r="241" spans="10:10">
      <c r="J241" t="s">
        <v>258</v>
      </c>
    </row>
    <row r="242" spans="10:10">
      <c r="J242" t="s">
        <v>299</v>
      </c>
    </row>
    <row r="243" spans="10:10">
      <c r="J243" t="s">
        <v>451</v>
      </c>
    </row>
    <row r="244" spans="10:10">
      <c r="J244" t="s">
        <v>302</v>
      </c>
    </row>
    <row r="245" spans="10:10">
      <c r="J245" t="s">
        <v>230</v>
      </c>
    </row>
    <row r="246" spans="10:10">
      <c r="J246" t="s">
        <v>240</v>
      </c>
    </row>
    <row r="247" spans="10:10">
      <c r="J247" t="s">
        <v>411</v>
      </c>
    </row>
    <row r="248" spans="10:10">
      <c r="J248" t="s">
        <v>438</v>
      </c>
    </row>
    <row r="249" spans="10:10">
      <c r="J249" t="s">
        <v>224</v>
      </c>
    </row>
    <row r="250" spans="10:10">
      <c r="J250" t="s">
        <v>478</v>
      </c>
    </row>
    <row r="251" spans="10:10">
      <c r="J251" t="s">
        <v>360</v>
      </c>
    </row>
    <row r="252" spans="10:10">
      <c r="J252" t="s">
        <v>457</v>
      </c>
    </row>
    <row r="253" spans="10:10">
      <c r="J253" t="s">
        <v>471</v>
      </c>
    </row>
    <row r="254" spans="10:10">
      <c r="J254" t="s">
        <v>351</v>
      </c>
    </row>
    <row r="255" spans="10:10">
      <c r="J255" t="s">
        <v>368</v>
      </c>
    </row>
    <row r="256" spans="10:10">
      <c r="J256" t="s">
        <v>370</v>
      </c>
    </row>
    <row r="257" spans="10:10">
      <c r="J257" t="s">
        <v>288</v>
      </c>
    </row>
    <row r="258" spans="10:10">
      <c r="J258" t="s">
        <v>211</v>
      </c>
    </row>
    <row r="259" spans="10:10">
      <c r="J259" t="s">
        <v>239</v>
      </c>
    </row>
    <row r="260" spans="10:10">
      <c r="J260" t="s">
        <v>307</v>
      </c>
    </row>
    <row r="261" spans="10:10">
      <c r="J261" t="s">
        <v>442</v>
      </c>
    </row>
    <row r="262" spans="10:10">
      <c r="J262" t="s">
        <v>315</v>
      </c>
    </row>
    <row r="263" spans="10:10">
      <c r="J263" t="s">
        <v>484</v>
      </c>
    </row>
    <row r="264" spans="10:10">
      <c r="J264" t="s">
        <v>398</v>
      </c>
    </row>
    <row r="265" spans="10:10">
      <c r="J265" t="s">
        <v>308</v>
      </c>
    </row>
    <row r="266" spans="10:10">
      <c r="J266" t="s">
        <v>314</v>
      </c>
    </row>
    <row r="267" spans="10:10">
      <c r="J267" t="s">
        <v>355</v>
      </c>
    </row>
    <row r="268" spans="10:10">
      <c r="J268" t="s">
        <v>311</v>
      </c>
    </row>
    <row r="269" spans="10:10">
      <c r="J269" t="s">
        <v>406</v>
      </c>
    </row>
    <row r="270" spans="10:10">
      <c r="J270" t="s">
        <v>306</v>
      </c>
    </row>
    <row r="271" spans="10:10">
      <c r="J271" t="s">
        <v>401</v>
      </c>
    </row>
    <row r="272" spans="10:10">
      <c r="J272" t="s">
        <v>352</v>
      </c>
    </row>
    <row r="273" spans="10:10">
      <c r="J273" t="s">
        <v>361</v>
      </c>
    </row>
    <row r="274" spans="10:10">
      <c r="J274" t="s">
        <v>353</v>
      </c>
    </row>
    <row r="275" spans="10:10">
      <c r="J275" t="s">
        <v>424</v>
      </c>
    </row>
    <row r="276" spans="10:10">
      <c r="J276" t="s">
        <v>344</v>
      </c>
    </row>
    <row r="277" spans="10:10">
      <c r="J277" t="s">
        <v>342</v>
      </c>
    </row>
    <row r="278" spans="10:10">
      <c r="J278" t="s">
        <v>366</v>
      </c>
    </row>
    <row r="279" spans="10:10">
      <c r="J279" t="s">
        <v>238</v>
      </c>
    </row>
    <row r="280" spans="10:10">
      <c r="J280" t="s">
        <v>418</v>
      </c>
    </row>
    <row r="281" spans="10:10">
      <c r="J281" t="s">
        <v>268</v>
      </c>
    </row>
    <row r="282" spans="10:10">
      <c r="J282" t="s">
        <v>470</v>
      </c>
    </row>
    <row r="283" spans="10:10">
      <c r="J283" t="s">
        <v>459</v>
      </c>
    </row>
    <row r="284" spans="10:10">
      <c r="J284" t="s">
        <v>166</v>
      </c>
    </row>
    <row r="285" spans="10:10">
      <c r="J285" t="s">
        <v>269</v>
      </c>
    </row>
    <row r="286" spans="10:10">
      <c r="J286" t="s">
        <v>179</v>
      </c>
    </row>
    <row r="287" spans="10:10">
      <c r="J287" t="s">
        <v>462</v>
      </c>
    </row>
    <row r="288" spans="10:10">
      <c r="J288" t="s">
        <v>197</v>
      </c>
    </row>
    <row r="289" spans="10:10">
      <c r="J289" t="s">
        <v>448</v>
      </c>
    </row>
    <row r="290" spans="10:10">
      <c r="J290" t="s">
        <v>409</v>
      </c>
    </row>
    <row r="291" spans="10:10">
      <c r="J291" t="s">
        <v>340</v>
      </c>
    </row>
    <row r="292" spans="10:10">
      <c r="J292" t="s">
        <v>227</v>
      </c>
    </row>
    <row r="293" spans="10:10">
      <c r="J293" t="s">
        <v>450</v>
      </c>
    </row>
    <row r="294" spans="10:10">
      <c r="J294" t="s">
        <v>454</v>
      </c>
    </row>
    <row r="295" spans="10:10">
      <c r="J295" t="s">
        <v>341</v>
      </c>
    </row>
    <row r="296" spans="10:10">
      <c r="J296" t="s">
        <v>371</v>
      </c>
    </row>
    <row r="297" spans="10:10">
      <c r="J297" t="s">
        <v>313</v>
      </c>
    </row>
    <row r="298" spans="10:10">
      <c r="J298" t="s">
        <v>423</v>
      </c>
    </row>
    <row r="299" spans="10:10">
      <c r="J299" t="s">
        <v>213</v>
      </c>
    </row>
    <row r="300" spans="10:10">
      <c r="J300" t="s">
        <v>453</v>
      </c>
    </row>
    <row r="301" spans="10:10">
      <c r="J301" t="s">
        <v>222</v>
      </c>
    </row>
    <row r="302" spans="10:10">
      <c r="J302" t="s">
        <v>209</v>
      </c>
    </row>
    <row r="303" spans="10:10">
      <c r="J303" t="s">
        <v>386</v>
      </c>
    </row>
    <row r="304" spans="10:10">
      <c r="J304" t="s">
        <v>388</v>
      </c>
    </row>
    <row r="305" spans="10:10">
      <c r="J305" t="s">
        <v>347</v>
      </c>
    </row>
  </sheetData>
  <sortState ref="Y2:Y21">
    <sortCondition ref="Y2"/>
  </sortState>
  <mergeCells count="2">
    <mergeCell ref="B1:E1"/>
    <mergeCell ref="AD1:AF1"/>
  </mergeCells>
  <pageMargins left="0.7" right="0.7" top="0.75" bottom="0.75" header="0.3" footer="0.3"/>
  <pageSetup orientation="portrait" r:id="rId1"/>
  <tableParts count="1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s>
</worksheet>
</file>

<file path=xl/worksheets/sheet4.xml><?xml version="1.0" encoding="utf-8"?>
<worksheet xmlns="http://schemas.openxmlformats.org/spreadsheetml/2006/main" xmlns:r="http://schemas.openxmlformats.org/officeDocument/2006/relationships">
  <sheetPr codeName="Sheet3"/>
  <dimension ref="A1:AD1577"/>
  <sheetViews>
    <sheetView topLeftCell="I1" zoomScale="70" zoomScaleNormal="70" workbookViewId="0">
      <pane ySplit="1" topLeftCell="A1466" activePane="bottomLeft" state="frozen"/>
      <selection pane="bottomLeft" activeCell="P996" sqref="P996"/>
    </sheetView>
  </sheetViews>
  <sheetFormatPr defaultRowHeight="15"/>
  <cols>
    <col min="1" max="1" width="6.140625" bestFit="1" customWidth="1"/>
    <col min="2" max="2" width="22.42578125" bestFit="1" customWidth="1"/>
    <col min="3" max="3" width="12.85546875" customWidth="1"/>
    <col min="4" max="4" width="13.7109375" style="127" bestFit="1" customWidth="1"/>
    <col min="5" max="5" width="12" style="127" customWidth="1"/>
    <col min="6" max="6" width="19" bestFit="1" customWidth="1"/>
    <col min="7" max="7" width="14.42578125" style="177" customWidth="1"/>
    <col min="8" max="8" width="14.42578125" bestFit="1" customWidth="1"/>
    <col min="9" max="9" width="16.42578125" customWidth="1"/>
    <col min="10" max="10" width="17.85546875" customWidth="1"/>
    <col min="11" max="11" width="30.28515625" customWidth="1"/>
    <col min="12" max="12" width="12" customWidth="1"/>
    <col min="13" max="13" width="18.140625" customWidth="1"/>
    <col min="14" max="14" width="9.5703125" customWidth="1"/>
    <col min="15" max="15" width="16.85546875" customWidth="1"/>
    <col min="16" max="16" width="11.7109375" bestFit="1" customWidth="1"/>
    <col min="17" max="17" width="11.42578125" customWidth="1"/>
    <col min="18" max="18" width="10.140625" customWidth="1"/>
    <col min="19" max="19" width="13.85546875" style="127" bestFit="1" customWidth="1"/>
    <col min="20" max="20" width="9.42578125" bestFit="1" customWidth="1"/>
    <col min="21" max="21" width="16.140625" bestFit="1" customWidth="1"/>
    <col min="22" max="22" width="9.42578125" style="177" bestFit="1" customWidth="1"/>
    <col min="23" max="23" width="18.7109375" bestFit="1" customWidth="1"/>
    <col min="24" max="24" width="17.5703125" bestFit="1" customWidth="1"/>
    <col min="25" max="25" width="9" style="177" bestFit="1" customWidth="1"/>
    <col min="26" max="26" width="18.7109375" bestFit="1" customWidth="1"/>
    <col min="27" max="27" width="12" style="21" customWidth="1"/>
    <col min="29" max="29" width="31" style="172" customWidth="1"/>
    <col min="30" max="30" width="17.7109375" style="32" bestFit="1" customWidth="1"/>
  </cols>
  <sheetData>
    <row r="1" spans="1:30">
      <c r="A1" s="14" t="s">
        <v>139</v>
      </c>
      <c r="B1" s="14" t="s">
        <v>140</v>
      </c>
      <c r="C1" s="15" t="s">
        <v>141</v>
      </c>
      <c r="D1" s="126" t="s">
        <v>142</v>
      </c>
      <c r="E1" s="126" t="s">
        <v>143</v>
      </c>
      <c r="F1" s="18" t="s">
        <v>144</v>
      </c>
      <c r="G1" s="129" t="s">
        <v>145</v>
      </c>
      <c r="H1" s="18" t="s">
        <v>146</v>
      </c>
      <c r="I1" s="18" t="s">
        <v>147</v>
      </c>
      <c r="J1" s="18" t="s">
        <v>10</v>
      </c>
      <c r="K1" s="18" t="s">
        <v>12</v>
      </c>
      <c r="L1" s="18" t="s">
        <v>148</v>
      </c>
      <c r="M1" s="18" t="s">
        <v>13</v>
      </c>
      <c r="N1" s="18" t="s">
        <v>149</v>
      </c>
      <c r="O1" s="18" t="s">
        <v>16</v>
      </c>
      <c r="P1" s="18" t="s">
        <v>18</v>
      </c>
      <c r="Q1" s="18" t="s">
        <v>150</v>
      </c>
      <c r="R1" s="18" t="s">
        <v>151</v>
      </c>
      <c r="S1" s="128" t="s">
        <v>152</v>
      </c>
      <c r="T1" s="19" t="s">
        <v>153</v>
      </c>
      <c r="U1" s="19" t="s">
        <v>154</v>
      </c>
      <c r="V1" s="130" t="s">
        <v>155</v>
      </c>
      <c r="W1" s="19" t="s">
        <v>156</v>
      </c>
      <c r="X1" s="19" t="s">
        <v>157</v>
      </c>
      <c r="Y1" s="130" t="s">
        <v>158</v>
      </c>
      <c r="Z1" s="19" t="s">
        <v>160</v>
      </c>
      <c r="AA1" s="20" t="s">
        <v>330</v>
      </c>
      <c r="AB1" s="20" t="s">
        <v>161</v>
      </c>
      <c r="AC1" s="173" t="s">
        <v>334</v>
      </c>
      <c r="AD1" s="29" t="s">
        <v>333</v>
      </c>
    </row>
    <row r="2" spans="1:30">
      <c r="A2" s="184">
        <v>1</v>
      </c>
      <c r="B2" s="184" t="s">
        <v>608</v>
      </c>
      <c r="C2" s="184" t="s">
        <v>598</v>
      </c>
      <c r="D2" s="127">
        <v>42891</v>
      </c>
      <c r="E2" s="127" t="s">
        <v>598</v>
      </c>
      <c r="F2" s="184" t="s">
        <v>609</v>
      </c>
      <c r="G2" s="185">
        <v>0</v>
      </c>
      <c r="H2" s="184" t="s">
        <v>598</v>
      </c>
      <c r="I2" s="184" t="s">
        <v>132</v>
      </c>
      <c r="J2" s="184" t="s">
        <v>108</v>
      </c>
      <c r="K2" s="184" t="s">
        <v>162</v>
      </c>
      <c r="L2" s="184" t="s">
        <v>598</v>
      </c>
      <c r="M2" s="184" t="s">
        <v>598</v>
      </c>
      <c r="N2" s="184" t="s">
        <v>30</v>
      </c>
      <c r="O2" s="184" t="s">
        <v>598</v>
      </c>
      <c r="P2" s="184" t="s">
        <v>601</v>
      </c>
      <c r="Q2" s="184" t="s">
        <v>598</v>
      </c>
      <c r="R2" s="184" t="s">
        <v>598</v>
      </c>
      <c r="S2" s="127">
        <v>42893</v>
      </c>
      <c r="T2" s="184" t="s">
        <v>10</v>
      </c>
      <c r="U2" s="184" t="s">
        <v>598</v>
      </c>
      <c r="V2" s="185">
        <v>3000</v>
      </c>
      <c r="W2" s="184" t="s">
        <v>493</v>
      </c>
      <c r="X2" s="184" t="s">
        <v>598</v>
      </c>
      <c r="Y2" s="185">
        <v>0</v>
      </c>
      <c r="Z2" s="184" t="s">
        <v>598</v>
      </c>
      <c r="AA2" s="21" t="s">
        <v>610</v>
      </c>
      <c r="AB2" s="176" t="s">
        <v>489</v>
      </c>
      <c r="AC2" s="172">
        <v>42996.328472222223</v>
      </c>
      <c r="AD2" s="32" t="s">
        <v>552</v>
      </c>
    </row>
    <row r="3" spans="1:30">
      <c r="A3" s="184">
        <v>2</v>
      </c>
      <c r="B3" s="184" t="s">
        <v>611</v>
      </c>
      <c r="C3" s="184" t="s">
        <v>598</v>
      </c>
      <c r="D3" s="127">
        <v>42891</v>
      </c>
      <c r="E3" s="127" t="s">
        <v>598</v>
      </c>
      <c r="F3" s="184" t="s">
        <v>612</v>
      </c>
      <c r="G3" s="185">
        <v>0</v>
      </c>
      <c r="H3" s="184" t="s">
        <v>598</v>
      </c>
      <c r="I3" s="184" t="s">
        <v>107</v>
      </c>
      <c r="J3" s="184" t="s">
        <v>108</v>
      </c>
      <c r="K3" s="184" t="s">
        <v>163</v>
      </c>
      <c r="L3" s="184" t="s">
        <v>598</v>
      </c>
      <c r="M3" s="184" t="s">
        <v>598</v>
      </c>
      <c r="N3" s="184" t="s">
        <v>30</v>
      </c>
      <c r="O3" s="184" t="s">
        <v>598</v>
      </c>
      <c r="P3" s="184" t="s">
        <v>32</v>
      </c>
      <c r="Q3" s="184" t="s">
        <v>598</v>
      </c>
      <c r="R3" s="184" t="s">
        <v>598</v>
      </c>
      <c r="S3" s="127" t="s">
        <v>598</v>
      </c>
      <c r="T3" s="184" t="s">
        <v>598</v>
      </c>
      <c r="U3" s="184" t="s">
        <v>598</v>
      </c>
      <c r="V3" s="185">
        <v>0</v>
      </c>
      <c r="W3" s="184" t="s">
        <v>598</v>
      </c>
      <c r="X3" s="184" t="s">
        <v>598</v>
      </c>
      <c r="Y3" s="185">
        <v>0</v>
      </c>
      <c r="Z3" s="184" t="s">
        <v>598</v>
      </c>
      <c r="AA3" s="21" t="s">
        <v>598</v>
      </c>
      <c r="AB3" s="176" t="s">
        <v>489</v>
      </c>
      <c r="AC3" s="172">
        <v>42996.328472222223</v>
      </c>
      <c r="AD3" s="32" t="s">
        <v>552</v>
      </c>
    </row>
    <row r="4" spans="1:30">
      <c r="A4" s="184">
        <v>3</v>
      </c>
      <c r="B4" s="184" t="s">
        <v>613</v>
      </c>
      <c r="C4" s="184" t="s">
        <v>598</v>
      </c>
      <c r="D4" s="127">
        <v>42892</v>
      </c>
      <c r="E4" s="127" t="s">
        <v>598</v>
      </c>
      <c r="F4" s="184" t="s">
        <v>614</v>
      </c>
      <c r="G4" s="185">
        <v>0</v>
      </c>
      <c r="H4" s="184" t="s">
        <v>598</v>
      </c>
      <c r="I4" s="184" t="s">
        <v>118</v>
      </c>
      <c r="J4" s="184" t="s">
        <v>108</v>
      </c>
      <c r="K4" s="184" t="s">
        <v>164</v>
      </c>
      <c r="L4" s="184" t="s">
        <v>598</v>
      </c>
      <c r="M4" s="184" t="s">
        <v>598</v>
      </c>
      <c r="N4" s="184" t="s">
        <v>30</v>
      </c>
      <c r="O4" s="184" t="s">
        <v>598</v>
      </c>
      <c r="P4" s="184" t="s">
        <v>53</v>
      </c>
      <c r="Q4" s="184" t="s">
        <v>598</v>
      </c>
      <c r="R4" s="184" t="s">
        <v>598</v>
      </c>
      <c r="S4" s="127">
        <v>42906</v>
      </c>
      <c r="T4" s="184" t="s">
        <v>10</v>
      </c>
      <c r="U4" s="184" t="s">
        <v>598</v>
      </c>
      <c r="V4" s="185">
        <v>2000</v>
      </c>
      <c r="W4" s="184" t="s">
        <v>493</v>
      </c>
      <c r="X4" s="184" t="s">
        <v>598</v>
      </c>
      <c r="Y4" s="185">
        <v>0</v>
      </c>
      <c r="Z4" s="184" t="s">
        <v>598</v>
      </c>
      <c r="AA4" s="21" t="s">
        <v>610</v>
      </c>
      <c r="AB4" s="176" t="s">
        <v>489</v>
      </c>
      <c r="AC4" s="172">
        <v>42996.328472222223</v>
      </c>
      <c r="AD4" s="32" t="s">
        <v>552</v>
      </c>
    </row>
    <row r="5" spans="1:30">
      <c r="A5" s="184">
        <v>4</v>
      </c>
      <c r="B5" s="184" t="s">
        <v>615</v>
      </c>
      <c r="C5" s="184" t="s">
        <v>598</v>
      </c>
      <c r="D5" s="127">
        <v>42892</v>
      </c>
      <c r="E5" s="127" t="s">
        <v>598</v>
      </c>
      <c r="F5" s="184" t="s">
        <v>616</v>
      </c>
      <c r="G5" s="185">
        <v>0</v>
      </c>
      <c r="H5" s="184" t="s">
        <v>598</v>
      </c>
      <c r="I5" s="184" t="s">
        <v>118</v>
      </c>
      <c r="J5" s="184" t="s">
        <v>108</v>
      </c>
      <c r="K5" s="184" t="s">
        <v>164</v>
      </c>
      <c r="L5" s="184" t="s">
        <v>598</v>
      </c>
      <c r="M5" s="184" t="s">
        <v>598</v>
      </c>
      <c r="N5" s="184" t="s">
        <v>30</v>
      </c>
      <c r="O5" s="184" t="s">
        <v>598</v>
      </c>
      <c r="P5" s="184" t="s">
        <v>44</v>
      </c>
      <c r="Q5" s="184" t="s">
        <v>598</v>
      </c>
      <c r="R5" s="184" t="s">
        <v>598</v>
      </c>
      <c r="S5" s="127">
        <v>42906</v>
      </c>
      <c r="T5" s="184" t="s">
        <v>10</v>
      </c>
      <c r="U5" s="184" t="s">
        <v>598</v>
      </c>
      <c r="V5" s="185">
        <v>2000</v>
      </c>
      <c r="W5" s="184" t="s">
        <v>493</v>
      </c>
      <c r="X5" s="184" t="s">
        <v>598</v>
      </c>
      <c r="Y5" s="185">
        <v>0</v>
      </c>
      <c r="Z5" s="184" t="s">
        <v>598</v>
      </c>
      <c r="AA5" s="21" t="s">
        <v>610</v>
      </c>
      <c r="AB5" s="176" t="s">
        <v>489</v>
      </c>
      <c r="AC5" s="172">
        <v>42996.328472222223</v>
      </c>
      <c r="AD5" s="32" t="s">
        <v>552</v>
      </c>
    </row>
    <row r="6" spans="1:30">
      <c r="A6" s="184">
        <v>5</v>
      </c>
      <c r="B6" s="184" t="s">
        <v>617</v>
      </c>
      <c r="C6" s="184" t="s">
        <v>598</v>
      </c>
      <c r="D6" s="127">
        <v>42892</v>
      </c>
      <c r="E6" s="127" t="s">
        <v>598</v>
      </c>
      <c r="F6" s="184" t="s">
        <v>618</v>
      </c>
      <c r="G6" s="185">
        <v>0</v>
      </c>
      <c r="H6" s="184" t="s">
        <v>598</v>
      </c>
      <c r="I6" s="184" t="s">
        <v>118</v>
      </c>
      <c r="J6" s="184" t="s">
        <v>108</v>
      </c>
      <c r="K6" s="184" t="s">
        <v>164</v>
      </c>
      <c r="L6" s="184" t="s">
        <v>598</v>
      </c>
      <c r="M6" s="184" t="s">
        <v>598</v>
      </c>
      <c r="N6" s="184" t="s">
        <v>30</v>
      </c>
      <c r="O6" s="184" t="s">
        <v>598</v>
      </c>
      <c r="P6" s="184" t="s">
        <v>67</v>
      </c>
      <c r="Q6" s="184" t="s">
        <v>598</v>
      </c>
      <c r="R6" s="184" t="s">
        <v>598</v>
      </c>
      <c r="S6" s="127">
        <v>42906</v>
      </c>
      <c r="T6" s="184" t="s">
        <v>10</v>
      </c>
      <c r="U6" s="184" t="s">
        <v>598</v>
      </c>
      <c r="V6" s="185">
        <v>2000</v>
      </c>
      <c r="W6" s="184" t="s">
        <v>493</v>
      </c>
      <c r="X6" s="184" t="s">
        <v>598</v>
      </c>
      <c r="Y6" s="185">
        <v>0</v>
      </c>
      <c r="Z6" s="184" t="s">
        <v>598</v>
      </c>
      <c r="AA6" s="21" t="s">
        <v>610</v>
      </c>
      <c r="AB6" s="176" t="s">
        <v>489</v>
      </c>
      <c r="AC6" s="172">
        <v>42996.328472222223</v>
      </c>
      <c r="AD6" s="32" t="s">
        <v>552</v>
      </c>
    </row>
    <row r="7" spans="1:30">
      <c r="A7" s="184">
        <v>6</v>
      </c>
      <c r="B7" s="184" t="s">
        <v>619</v>
      </c>
      <c r="C7" s="184" t="s">
        <v>598</v>
      </c>
      <c r="D7" s="127">
        <v>42892</v>
      </c>
      <c r="E7" s="127" t="s">
        <v>598</v>
      </c>
      <c r="F7" s="184" t="s">
        <v>620</v>
      </c>
      <c r="G7" s="185">
        <v>0</v>
      </c>
      <c r="H7" s="184" t="s">
        <v>598</v>
      </c>
      <c r="I7" s="184" t="s">
        <v>598</v>
      </c>
      <c r="J7" s="184" t="s">
        <v>108</v>
      </c>
      <c r="K7" s="184" t="s">
        <v>165</v>
      </c>
      <c r="L7" s="184" t="s">
        <v>598</v>
      </c>
      <c r="M7" s="184" t="s">
        <v>598</v>
      </c>
      <c r="N7" s="184" t="s">
        <v>30</v>
      </c>
      <c r="O7" s="184" t="s">
        <v>98</v>
      </c>
      <c r="P7" s="184" t="s">
        <v>602</v>
      </c>
      <c r="Q7" s="184" t="s">
        <v>598</v>
      </c>
      <c r="R7" s="184" t="s">
        <v>598</v>
      </c>
      <c r="S7" s="127" t="s">
        <v>598</v>
      </c>
      <c r="T7" s="184" t="s">
        <v>598</v>
      </c>
      <c r="U7" s="184" t="s">
        <v>598</v>
      </c>
      <c r="V7" s="185">
        <v>0</v>
      </c>
      <c r="W7" s="184" t="s">
        <v>598</v>
      </c>
      <c r="X7" s="184" t="s">
        <v>598</v>
      </c>
      <c r="Y7" s="185">
        <v>0</v>
      </c>
      <c r="Z7" s="184" t="s">
        <v>598</v>
      </c>
      <c r="AA7" s="21" t="s">
        <v>598</v>
      </c>
      <c r="AB7" s="176" t="s">
        <v>489</v>
      </c>
      <c r="AC7" s="172">
        <v>42996.328472222223</v>
      </c>
      <c r="AD7" s="32" t="s">
        <v>552</v>
      </c>
    </row>
    <row r="8" spans="1:30">
      <c r="A8" s="184">
        <v>7</v>
      </c>
      <c r="B8" s="184" t="s">
        <v>621</v>
      </c>
      <c r="C8" s="184" t="s">
        <v>598</v>
      </c>
      <c r="D8" s="127">
        <v>42892</v>
      </c>
      <c r="E8" s="127" t="s">
        <v>598</v>
      </c>
      <c r="F8" s="184" t="s">
        <v>622</v>
      </c>
      <c r="G8" s="185">
        <v>0</v>
      </c>
      <c r="H8" s="184" t="s">
        <v>598</v>
      </c>
      <c r="I8" s="184" t="s">
        <v>598</v>
      </c>
      <c r="J8" s="184" t="s">
        <v>108</v>
      </c>
      <c r="K8" s="184" t="s">
        <v>165</v>
      </c>
      <c r="L8" s="184" t="s">
        <v>598</v>
      </c>
      <c r="M8" s="184" t="s">
        <v>598</v>
      </c>
      <c r="N8" s="184" t="s">
        <v>30</v>
      </c>
      <c r="O8" s="184" t="s">
        <v>98</v>
      </c>
      <c r="P8" s="184" t="s">
        <v>603</v>
      </c>
      <c r="Q8" s="184" t="s">
        <v>598</v>
      </c>
      <c r="R8" s="184" t="s">
        <v>598</v>
      </c>
      <c r="S8" s="127" t="s">
        <v>598</v>
      </c>
      <c r="T8" s="184" t="s">
        <v>598</v>
      </c>
      <c r="U8" s="184" t="s">
        <v>598</v>
      </c>
      <c r="V8" s="185">
        <v>0</v>
      </c>
      <c r="W8" s="184" t="s">
        <v>598</v>
      </c>
      <c r="X8" s="184" t="s">
        <v>598</v>
      </c>
      <c r="Y8" s="185">
        <v>0</v>
      </c>
      <c r="Z8" s="184" t="s">
        <v>598</v>
      </c>
      <c r="AA8" s="21" t="s">
        <v>598</v>
      </c>
      <c r="AB8" s="176" t="s">
        <v>489</v>
      </c>
      <c r="AC8" s="172">
        <v>42996.328472222223</v>
      </c>
      <c r="AD8" s="32" t="s">
        <v>552</v>
      </c>
    </row>
    <row r="9" spans="1:30">
      <c r="A9" s="184">
        <v>8</v>
      </c>
      <c r="B9" s="184" t="s">
        <v>623</v>
      </c>
      <c r="C9" s="184" t="s">
        <v>598</v>
      </c>
      <c r="D9" s="127">
        <v>42891</v>
      </c>
      <c r="E9" s="127" t="s">
        <v>598</v>
      </c>
      <c r="F9" s="184" t="s">
        <v>624</v>
      </c>
      <c r="G9" s="185">
        <v>0</v>
      </c>
      <c r="H9" s="184" t="s">
        <v>598</v>
      </c>
      <c r="I9" s="184" t="s">
        <v>135</v>
      </c>
      <c r="J9" s="184" t="s">
        <v>108</v>
      </c>
      <c r="K9" s="184" t="s">
        <v>166</v>
      </c>
      <c r="L9" s="184" t="s">
        <v>598</v>
      </c>
      <c r="M9" s="184" t="s">
        <v>598</v>
      </c>
      <c r="N9" s="184" t="s">
        <v>30</v>
      </c>
      <c r="O9" s="184" t="s">
        <v>30</v>
      </c>
      <c r="P9" s="184" t="s">
        <v>604</v>
      </c>
      <c r="Q9" s="184" t="s">
        <v>598</v>
      </c>
      <c r="R9" s="184" t="s">
        <v>598</v>
      </c>
      <c r="S9" s="127">
        <v>42916</v>
      </c>
      <c r="T9" s="184" t="s">
        <v>10</v>
      </c>
      <c r="U9" s="184" t="s">
        <v>598</v>
      </c>
      <c r="V9" s="185">
        <v>3000</v>
      </c>
      <c r="W9" s="184" t="s">
        <v>493</v>
      </c>
      <c r="X9" s="184" t="s">
        <v>598</v>
      </c>
      <c r="Y9" s="185">
        <v>0</v>
      </c>
      <c r="Z9" s="184" t="s">
        <v>598</v>
      </c>
      <c r="AA9" s="21" t="s">
        <v>610</v>
      </c>
      <c r="AB9" s="176" t="s">
        <v>489</v>
      </c>
      <c r="AC9" s="172">
        <v>42996.328472222223</v>
      </c>
      <c r="AD9" s="32" t="s">
        <v>552</v>
      </c>
    </row>
    <row r="10" spans="1:30">
      <c r="A10" s="184">
        <v>9</v>
      </c>
      <c r="B10" s="184" t="s">
        <v>625</v>
      </c>
      <c r="C10" s="184" t="s">
        <v>598</v>
      </c>
      <c r="D10" s="127">
        <v>42891</v>
      </c>
      <c r="E10" s="127" t="s">
        <v>598</v>
      </c>
      <c r="F10" s="184" t="s">
        <v>626</v>
      </c>
      <c r="G10" s="185">
        <v>0</v>
      </c>
      <c r="H10" s="184" t="s">
        <v>598</v>
      </c>
      <c r="I10" s="184" t="s">
        <v>134</v>
      </c>
      <c r="J10" s="184" t="s">
        <v>108</v>
      </c>
      <c r="K10" s="184" t="s">
        <v>166</v>
      </c>
      <c r="L10" s="184" t="s">
        <v>598</v>
      </c>
      <c r="M10" s="184" t="s">
        <v>598</v>
      </c>
      <c r="N10" s="184" t="s">
        <v>30</v>
      </c>
      <c r="O10" s="184" t="s">
        <v>30</v>
      </c>
      <c r="P10" s="184" t="s">
        <v>605</v>
      </c>
      <c r="Q10" s="184" t="s">
        <v>598</v>
      </c>
      <c r="R10" s="184" t="s">
        <v>598</v>
      </c>
      <c r="S10" s="127" t="s">
        <v>598</v>
      </c>
      <c r="T10" s="184" t="s">
        <v>598</v>
      </c>
      <c r="U10" s="184" t="s">
        <v>598</v>
      </c>
      <c r="V10" s="185">
        <v>0</v>
      </c>
      <c r="W10" s="184" t="s">
        <v>598</v>
      </c>
      <c r="X10" s="184" t="s">
        <v>598</v>
      </c>
      <c r="Y10" s="185">
        <v>0</v>
      </c>
      <c r="Z10" s="184" t="s">
        <v>598</v>
      </c>
      <c r="AA10" s="21" t="s">
        <v>598</v>
      </c>
      <c r="AB10" s="176" t="s">
        <v>489</v>
      </c>
      <c r="AC10" s="172">
        <v>42996.328472222223</v>
      </c>
      <c r="AD10" s="32" t="s">
        <v>552</v>
      </c>
    </row>
    <row r="11" spans="1:30">
      <c r="A11" s="184">
        <v>10</v>
      </c>
      <c r="B11" s="184" t="s">
        <v>627</v>
      </c>
      <c r="C11" s="184" t="s">
        <v>598</v>
      </c>
      <c r="D11" s="127">
        <v>42891</v>
      </c>
      <c r="E11" s="127" t="s">
        <v>598</v>
      </c>
      <c r="F11" s="184" t="s">
        <v>628</v>
      </c>
      <c r="G11" s="185">
        <v>0</v>
      </c>
      <c r="H11" s="184" t="s">
        <v>598</v>
      </c>
      <c r="I11" s="184" t="s">
        <v>134</v>
      </c>
      <c r="J11" s="184" t="s">
        <v>108</v>
      </c>
      <c r="K11" s="184" t="s">
        <v>166</v>
      </c>
      <c r="L11" s="184" t="s">
        <v>598</v>
      </c>
      <c r="M11" s="184" t="s">
        <v>598</v>
      </c>
      <c r="N11" s="184" t="s">
        <v>30</v>
      </c>
      <c r="O11" s="184" t="s">
        <v>30</v>
      </c>
      <c r="P11" s="184" t="s">
        <v>606</v>
      </c>
      <c r="Q11" s="184" t="s">
        <v>598</v>
      </c>
      <c r="R11" s="184" t="s">
        <v>598</v>
      </c>
      <c r="S11" s="127">
        <v>42916</v>
      </c>
      <c r="T11" s="184" t="s">
        <v>10</v>
      </c>
      <c r="U11" s="184" t="s">
        <v>598</v>
      </c>
      <c r="V11" s="185">
        <v>6000</v>
      </c>
      <c r="W11" s="184" t="s">
        <v>493</v>
      </c>
      <c r="X11" s="184" t="s">
        <v>598</v>
      </c>
      <c r="Y11" s="185">
        <v>0</v>
      </c>
      <c r="Z11" s="184" t="s">
        <v>598</v>
      </c>
      <c r="AA11" s="21" t="s">
        <v>610</v>
      </c>
      <c r="AB11" s="176" t="s">
        <v>489</v>
      </c>
      <c r="AC11" s="172">
        <v>42996.328472222223</v>
      </c>
      <c r="AD11" s="32" t="s">
        <v>552</v>
      </c>
    </row>
    <row r="12" spans="1:30">
      <c r="A12" s="184">
        <v>11</v>
      </c>
      <c r="B12" s="184" t="s">
        <v>629</v>
      </c>
      <c r="C12" s="184" t="s">
        <v>598</v>
      </c>
      <c r="D12" s="127">
        <v>42894</v>
      </c>
      <c r="E12" s="127" t="s">
        <v>598</v>
      </c>
      <c r="F12" s="184" t="s">
        <v>630</v>
      </c>
      <c r="G12" s="185">
        <v>0</v>
      </c>
      <c r="H12" s="184" t="s">
        <v>598</v>
      </c>
      <c r="I12" s="184" t="s">
        <v>118</v>
      </c>
      <c r="J12" s="184" t="s">
        <v>108</v>
      </c>
      <c r="K12" s="184" t="s">
        <v>631</v>
      </c>
      <c r="L12" s="184" t="s">
        <v>598</v>
      </c>
      <c r="M12" s="184" t="s">
        <v>598</v>
      </c>
      <c r="N12" s="184" t="s">
        <v>30</v>
      </c>
      <c r="O12" s="184" t="s">
        <v>30</v>
      </c>
      <c r="P12" s="184" t="s">
        <v>607</v>
      </c>
      <c r="Q12" s="184" t="s">
        <v>598</v>
      </c>
      <c r="R12" s="184" t="s">
        <v>598</v>
      </c>
      <c r="S12" s="127">
        <v>42909</v>
      </c>
      <c r="T12" s="184" t="s">
        <v>10</v>
      </c>
      <c r="U12" s="184" t="s">
        <v>598</v>
      </c>
      <c r="V12" s="185">
        <v>5000</v>
      </c>
      <c r="W12" s="184" t="s">
        <v>493</v>
      </c>
      <c r="X12" s="184" t="s">
        <v>598</v>
      </c>
      <c r="Y12" s="185">
        <v>0</v>
      </c>
      <c r="Z12" s="184" t="s">
        <v>598</v>
      </c>
      <c r="AA12" s="21" t="s">
        <v>610</v>
      </c>
      <c r="AB12" s="176" t="s">
        <v>489</v>
      </c>
      <c r="AC12" s="172">
        <v>42996.328472222223</v>
      </c>
      <c r="AD12" s="32" t="s">
        <v>552</v>
      </c>
    </row>
    <row r="13" spans="1:30">
      <c r="A13" s="184">
        <v>12</v>
      </c>
      <c r="B13" s="184" t="s">
        <v>632</v>
      </c>
      <c r="C13" s="184" t="s">
        <v>598</v>
      </c>
      <c r="D13" s="127">
        <v>42894</v>
      </c>
      <c r="E13" s="127" t="s">
        <v>598</v>
      </c>
      <c r="F13" s="184" t="s">
        <v>633</v>
      </c>
      <c r="G13" s="185">
        <v>0</v>
      </c>
      <c r="H13" s="184" t="s">
        <v>598</v>
      </c>
      <c r="I13" s="184" t="s">
        <v>132</v>
      </c>
      <c r="J13" s="184" t="s">
        <v>108</v>
      </c>
      <c r="K13" s="184" t="s">
        <v>165</v>
      </c>
      <c r="L13" s="184" t="s">
        <v>598</v>
      </c>
      <c r="M13" s="184" t="s">
        <v>598</v>
      </c>
      <c r="N13" s="184" t="s">
        <v>30</v>
      </c>
      <c r="O13" s="184" t="s">
        <v>30</v>
      </c>
      <c r="P13" s="184" t="s">
        <v>73</v>
      </c>
      <c r="Q13" s="184" t="s">
        <v>598</v>
      </c>
      <c r="R13" s="184" t="s">
        <v>598</v>
      </c>
      <c r="S13" s="127">
        <v>42906</v>
      </c>
      <c r="T13" s="184" t="s">
        <v>10</v>
      </c>
      <c r="U13" s="184" t="s">
        <v>598</v>
      </c>
      <c r="V13" s="185">
        <v>4000</v>
      </c>
      <c r="W13" s="184" t="s">
        <v>493</v>
      </c>
      <c r="X13" s="184" t="s">
        <v>598</v>
      </c>
      <c r="Y13" s="185">
        <v>0</v>
      </c>
      <c r="Z13" s="184" t="s">
        <v>598</v>
      </c>
      <c r="AA13" s="21" t="s">
        <v>610</v>
      </c>
      <c r="AB13" s="176" t="s">
        <v>489</v>
      </c>
      <c r="AC13" s="172">
        <v>42996.328472222223</v>
      </c>
      <c r="AD13" s="32" t="s">
        <v>552</v>
      </c>
    </row>
    <row r="14" spans="1:30">
      <c r="A14" s="184">
        <v>13</v>
      </c>
      <c r="B14" s="184" t="s">
        <v>634</v>
      </c>
      <c r="C14" s="184" t="s">
        <v>598</v>
      </c>
      <c r="D14" s="127">
        <v>42894</v>
      </c>
      <c r="E14" s="127" t="s">
        <v>598</v>
      </c>
      <c r="F14" s="184" t="s">
        <v>635</v>
      </c>
      <c r="G14" s="185">
        <v>0</v>
      </c>
      <c r="H14" s="184" t="s">
        <v>598</v>
      </c>
      <c r="I14" s="184" t="s">
        <v>83</v>
      </c>
      <c r="J14" s="184" t="s">
        <v>108</v>
      </c>
      <c r="K14" s="184" t="s">
        <v>167</v>
      </c>
      <c r="L14" s="184" t="s">
        <v>598</v>
      </c>
      <c r="M14" s="184" t="s">
        <v>598</v>
      </c>
      <c r="N14" s="184" t="s">
        <v>30</v>
      </c>
      <c r="O14" s="184" t="s">
        <v>598</v>
      </c>
      <c r="P14" s="186" t="s">
        <v>601</v>
      </c>
      <c r="Q14" s="184" t="s">
        <v>598</v>
      </c>
      <c r="R14" s="184" t="s">
        <v>598</v>
      </c>
      <c r="S14" s="127" t="s">
        <v>598</v>
      </c>
      <c r="T14" s="184" t="s">
        <v>598</v>
      </c>
      <c r="U14" s="184" t="s">
        <v>598</v>
      </c>
      <c r="V14" s="185">
        <v>0</v>
      </c>
      <c r="W14" s="184" t="s">
        <v>598</v>
      </c>
      <c r="X14" s="184" t="s">
        <v>598</v>
      </c>
      <c r="Y14" s="185">
        <v>0</v>
      </c>
      <c r="Z14" s="184" t="s">
        <v>598</v>
      </c>
      <c r="AA14" s="21" t="s">
        <v>598</v>
      </c>
      <c r="AB14" s="176" t="s">
        <v>489</v>
      </c>
      <c r="AC14" s="172">
        <v>42996.328472222223</v>
      </c>
      <c r="AD14" s="32" t="s">
        <v>552</v>
      </c>
    </row>
    <row r="15" spans="1:30">
      <c r="A15" s="184">
        <v>14</v>
      </c>
      <c r="B15" s="184" t="s">
        <v>636</v>
      </c>
      <c r="C15" s="184" t="s">
        <v>598</v>
      </c>
      <c r="D15" s="127">
        <v>42894</v>
      </c>
      <c r="E15" s="127" t="s">
        <v>598</v>
      </c>
      <c r="F15" s="184" t="s">
        <v>637</v>
      </c>
      <c r="G15" s="185">
        <v>0</v>
      </c>
      <c r="H15" s="184" t="s">
        <v>598</v>
      </c>
      <c r="I15" s="184" t="s">
        <v>134</v>
      </c>
      <c r="J15" s="184" t="s">
        <v>108</v>
      </c>
      <c r="K15" s="184" t="s">
        <v>168</v>
      </c>
      <c r="L15" s="184" t="s">
        <v>598</v>
      </c>
      <c r="M15" s="184" t="s">
        <v>598</v>
      </c>
      <c r="N15" s="184" t="s">
        <v>30</v>
      </c>
      <c r="O15" s="184" t="s">
        <v>30</v>
      </c>
      <c r="P15" s="186" t="s">
        <v>32</v>
      </c>
      <c r="Q15" s="184" t="s">
        <v>598</v>
      </c>
      <c r="R15" s="184" t="s">
        <v>598</v>
      </c>
      <c r="S15" s="127">
        <v>42898</v>
      </c>
      <c r="T15" s="184" t="s">
        <v>34</v>
      </c>
      <c r="U15" s="184" t="s">
        <v>598</v>
      </c>
      <c r="V15" s="185">
        <v>3500</v>
      </c>
      <c r="W15" s="184" t="s">
        <v>493</v>
      </c>
      <c r="X15" s="184" t="s">
        <v>598</v>
      </c>
      <c r="Y15" s="185">
        <v>0</v>
      </c>
      <c r="Z15" s="184" t="s">
        <v>598</v>
      </c>
      <c r="AA15" s="21" t="s">
        <v>610</v>
      </c>
      <c r="AB15" s="176" t="s">
        <v>489</v>
      </c>
      <c r="AC15" s="172">
        <v>42996.328472222223</v>
      </c>
      <c r="AD15" s="32" t="s">
        <v>552</v>
      </c>
    </row>
    <row r="16" spans="1:30">
      <c r="A16" s="184">
        <v>15</v>
      </c>
      <c r="B16" s="184" t="s">
        <v>638</v>
      </c>
      <c r="C16" s="184" t="s">
        <v>598</v>
      </c>
      <c r="D16" s="127">
        <v>42899</v>
      </c>
      <c r="E16" s="127" t="s">
        <v>598</v>
      </c>
      <c r="F16" s="184" t="s">
        <v>639</v>
      </c>
      <c r="G16" s="185">
        <v>0</v>
      </c>
      <c r="H16" s="184" t="s">
        <v>598</v>
      </c>
      <c r="I16" s="184" t="s">
        <v>134</v>
      </c>
      <c r="J16" s="184" t="s">
        <v>108</v>
      </c>
      <c r="K16" s="184" t="s">
        <v>169</v>
      </c>
      <c r="L16" s="184" t="s">
        <v>598</v>
      </c>
      <c r="M16" s="184" t="s">
        <v>598</v>
      </c>
      <c r="N16" s="184" t="s">
        <v>30</v>
      </c>
      <c r="O16" s="184" t="s">
        <v>30</v>
      </c>
      <c r="P16" s="186" t="s">
        <v>53</v>
      </c>
      <c r="Q16" s="184" t="s">
        <v>598</v>
      </c>
      <c r="R16" s="184" t="s">
        <v>598</v>
      </c>
      <c r="S16" s="127" t="s">
        <v>598</v>
      </c>
      <c r="T16" s="184" t="s">
        <v>598</v>
      </c>
      <c r="U16" s="184" t="s">
        <v>598</v>
      </c>
      <c r="V16" s="185">
        <v>0</v>
      </c>
      <c r="W16" s="184" t="s">
        <v>598</v>
      </c>
      <c r="X16" s="184" t="s">
        <v>598</v>
      </c>
      <c r="Y16" s="185">
        <v>0</v>
      </c>
      <c r="Z16" s="184" t="s">
        <v>598</v>
      </c>
      <c r="AA16" s="21" t="s">
        <v>598</v>
      </c>
      <c r="AB16" s="176" t="s">
        <v>489</v>
      </c>
      <c r="AC16" s="172">
        <v>42996.328472222223</v>
      </c>
      <c r="AD16" s="32" t="s">
        <v>552</v>
      </c>
    </row>
    <row r="17" spans="1:30">
      <c r="A17" s="184">
        <v>16</v>
      </c>
      <c r="B17" s="184" t="s">
        <v>640</v>
      </c>
      <c r="C17" s="184" t="s">
        <v>598</v>
      </c>
      <c r="D17" s="127">
        <v>42899</v>
      </c>
      <c r="E17" s="127" t="s">
        <v>598</v>
      </c>
      <c r="F17" s="184" t="s">
        <v>635</v>
      </c>
      <c r="G17" s="185">
        <v>0</v>
      </c>
      <c r="H17" s="184" t="s">
        <v>598</v>
      </c>
      <c r="I17" s="184" t="s">
        <v>134</v>
      </c>
      <c r="J17" s="184" t="s">
        <v>108</v>
      </c>
      <c r="K17" s="184" t="s">
        <v>167</v>
      </c>
      <c r="L17" s="184" t="s">
        <v>598</v>
      </c>
      <c r="M17" s="184" t="s">
        <v>598</v>
      </c>
      <c r="N17" s="184" t="s">
        <v>30</v>
      </c>
      <c r="O17" s="184" t="s">
        <v>30</v>
      </c>
      <c r="P17" s="186" t="s">
        <v>44</v>
      </c>
      <c r="Q17" s="184" t="s">
        <v>598</v>
      </c>
      <c r="R17" s="184" t="s">
        <v>598</v>
      </c>
      <c r="S17" s="127" t="s">
        <v>598</v>
      </c>
      <c r="T17" s="184" t="s">
        <v>598</v>
      </c>
      <c r="U17" s="184" t="s">
        <v>598</v>
      </c>
      <c r="V17" s="185">
        <v>0</v>
      </c>
      <c r="W17" s="184" t="s">
        <v>598</v>
      </c>
      <c r="X17" s="184" t="s">
        <v>598</v>
      </c>
      <c r="Y17" s="185">
        <v>0</v>
      </c>
      <c r="Z17" s="184" t="s">
        <v>598</v>
      </c>
      <c r="AA17" s="21" t="s">
        <v>598</v>
      </c>
      <c r="AB17" s="176" t="s">
        <v>489</v>
      </c>
      <c r="AC17" s="172">
        <v>42996.328472222223</v>
      </c>
      <c r="AD17" s="32" t="s">
        <v>552</v>
      </c>
    </row>
    <row r="18" spans="1:30">
      <c r="A18" s="184">
        <v>17</v>
      </c>
      <c r="B18" s="184" t="s">
        <v>641</v>
      </c>
      <c r="C18" s="184" t="s">
        <v>598</v>
      </c>
      <c r="D18" s="127">
        <v>42900</v>
      </c>
      <c r="E18" s="127" t="s">
        <v>598</v>
      </c>
      <c r="F18" s="184" t="s">
        <v>642</v>
      </c>
      <c r="G18" s="185">
        <v>0</v>
      </c>
      <c r="H18" s="184" t="s">
        <v>598</v>
      </c>
      <c r="I18" s="184" t="s">
        <v>120</v>
      </c>
      <c r="J18" s="184" t="s">
        <v>108</v>
      </c>
      <c r="K18" s="184" t="s">
        <v>170</v>
      </c>
      <c r="L18" s="184" t="s">
        <v>598</v>
      </c>
      <c r="M18" s="184" t="s">
        <v>598</v>
      </c>
      <c r="N18" s="184" t="s">
        <v>30</v>
      </c>
      <c r="O18" s="184" t="s">
        <v>30</v>
      </c>
      <c r="P18" s="186" t="s">
        <v>67</v>
      </c>
      <c r="Q18" s="184" t="s">
        <v>598</v>
      </c>
      <c r="R18" s="184" t="s">
        <v>598</v>
      </c>
      <c r="S18" s="127" t="s">
        <v>598</v>
      </c>
      <c r="T18" s="184" t="s">
        <v>598</v>
      </c>
      <c r="U18" s="184" t="s">
        <v>598</v>
      </c>
      <c r="V18" s="185">
        <v>0</v>
      </c>
      <c r="W18" s="184" t="s">
        <v>598</v>
      </c>
      <c r="X18" s="184" t="s">
        <v>598</v>
      </c>
      <c r="Y18" s="185">
        <v>0</v>
      </c>
      <c r="Z18" s="184" t="s">
        <v>598</v>
      </c>
      <c r="AA18" s="21" t="s">
        <v>598</v>
      </c>
      <c r="AB18" s="176" t="s">
        <v>489</v>
      </c>
      <c r="AC18" s="172">
        <v>42996.328472222223</v>
      </c>
      <c r="AD18" s="32" t="s">
        <v>552</v>
      </c>
    </row>
    <row r="19" spans="1:30">
      <c r="A19" s="184">
        <v>18</v>
      </c>
      <c r="B19" s="184" t="s">
        <v>643</v>
      </c>
      <c r="C19" s="184" t="s">
        <v>598</v>
      </c>
      <c r="D19" s="127">
        <v>42900</v>
      </c>
      <c r="E19" s="127" t="s">
        <v>598</v>
      </c>
      <c r="F19" s="184" t="s">
        <v>644</v>
      </c>
      <c r="G19" s="185">
        <v>0</v>
      </c>
      <c r="H19" s="184" t="s">
        <v>598</v>
      </c>
      <c r="I19" s="184" t="s">
        <v>118</v>
      </c>
      <c r="J19" s="184" t="s">
        <v>108</v>
      </c>
      <c r="K19" s="184" t="s">
        <v>170</v>
      </c>
      <c r="L19" s="184" t="s">
        <v>598</v>
      </c>
      <c r="M19" s="184" t="s">
        <v>598</v>
      </c>
      <c r="N19" s="184" t="s">
        <v>30</v>
      </c>
      <c r="O19" s="184" t="s">
        <v>30</v>
      </c>
      <c r="P19" s="186" t="s">
        <v>602</v>
      </c>
      <c r="Q19" s="184" t="s">
        <v>598</v>
      </c>
      <c r="R19" s="184" t="s">
        <v>598</v>
      </c>
      <c r="S19" s="127" t="s">
        <v>598</v>
      </c>
      <c r="T19" s="184" t="s">
        <v>598</v>
      </c>
      <c r="U19" s="184" t="s">
        <v>598</v>
      </c>
      <c r="V19" s="185">
        <v>0</v>
      </c>
      <c r="W19" s="184" t="s">
        <v>598</v>
      </c>
      <c r="X19" s="184" t="s">
        <v>598</v>
      </c>
      <c r="Y19" s="185">
        <v>0</v>
      </c>
      <c r="Z19" s="184" t="s">
        <v>598</v>
      </c>
      <c r="AA19" s="21" t="s">
        <v>598</v>
      </c>
      <c r="AB19" s="176" t="s">
        <v>489</v>
      </c>
      <c r="AC19" s="172">
        <v>42996.328472222223</v>
      </c>
      <c r="AD19" s="32" t="s">
        <v>552</v>
      </c>
    </row>
    <row r="20" spans="1:30">
      <c r="A20" s="184">
        <v>19</v>
      </c>
      <c r="B20" s="184" t="s">
        <v>645</v>
      </c>
      <c r="C20" s="184" t="s">
        <v>598</v>
      </c>
      <c r="D20" s="127">
        <v>42902</v>
      </c>
      <c r="E20" s="127" t="s">
        <v>598</v>
      </c>
      <c r="F20" s="184" t="s">
        <v>646</v>
      </c>
      <c r="G20" s="185">
        <v>0</v>
      </c>
      <c r="H20" s="184" t="s">
        <v>598</v>
      </c>
      <c r="I20" s="184" t="s">
        <v>132</v>
      </c>
      <c r="J20" s="184" t="s">
        <v>108</v>
      </c>
      <c r="K20" s="184" t="s">
        <v>171</v>
      </c>
      <c r="L20" s="184" t="s">
        <v>598</v>
      </c>
      <c r="M20" s="184" t="s">
        <v>598</v>
      </c>
      <c r="N20" s="184" t="s">
        <v>30</v>
      </c>
      <c r="O20" s="184" t="s">
        <v>30</v>
      </c>
      <c r="P20" s="186" t="s">
        <v>603</v>
      </c>
      <c r="Q20" s="184" t="s">
        <v>598</v>
      </c>
      <c r="R20" s="184" t="s">
        <v>598</v>
      </c>
      <c r="S20" s="127" t="s">
        <v>598</v>
      </c>
      <c r="T20" s="184" t="s">
        <v>598</v>
      </c>
      <c r="U20" s="184" t="s">
        <v>598</v>
      </c>
      <c r="V20" s="185">
        <v>0</v>
      </c>
      <c r="W20" s="184" t="s">
        <v>598</v>
      </c>
      <c r="X20" s="184" t="s">
        <v>598</v>
      </c>
      <c r="Y20" s="185">
        <v>0</v>
      </c>
      <c r="Z20" s="184" t="s">
        <v>598</v>
      </c>
      <c r="AA20" s="21" t="s">
        <v>598</v>
      </c>
      <c r="AB20" s="176" t="s">
        <v>489</v>
      </c>
      <c r="AC20" s="172">
        <v>42996.328472222223</v>
      </c>
      <c r="AD20" s="32" t="s">
        <v>552</v>
      </c>
    </row>
    <row r="21" spans="1:30">
      <c r="A21" s="184">
        <v>20</v>
      </c>
      <c r="B21" s="184" t="s">
        <v>647</v>
      </c>
      <c r="C21" s="184" t="s">
        <v>598</v>
      </c>
      <c r="D21" s="127">
        <v>42902</v>
      </c>
      <c r="E21" s="127" t="s">
        <v>598</v>
      </c>
      <c r="F21" s="184" t="s">
        <v>648</v>
      </c>
      <c r="G21" s="185">
        <v>0</v>
      </c>
      <c r="H21" s="184" t="s">
        <v>598</v>
      </c>
      <c r="I21" s="184" t="s">
        <v>598</v>
      </c>
      <c r="J21" s="184" t="s">
        <v>108</v>
      </c>
      <c r="K21" s="184" t="s">
        <v>172</v>
      </c>
      <c r="L21" s="184" t="s">
        <v>598</v>
      </c>
      <c r="M21" s="184" t="s">
        <v>598</v>
      </c>
      <c r="N21" s="184" t="s">
        <v>30</v>
      </c>
      <c r="O21" s="184" t="s">
        <v>30</v>
      </c>
      <c r="P21" s="186" t="s">
        <v>604</v>
      </c>
      <c r="Q21" s="184" t="s">
        <v>598</v>
      </c>
      <c r="R21" s="184" t="s">
        <v>598</v>
      </c>
      <c r="S21" s="127">
        <v>42913</v>
      </c>
      <c r="T21" s="184" t="s">
        <v>10</v>
      </c>
      <c r="U21" s="184" t="s">
        <v>598</v>
      </c>
      <c r="V21" s="185">
        <v>1350</v>
      </c>
      <c r="W21" s="184" t="s">
        <v>493</v>
      </c>
      <c r="X21" s="184" t="s">
        <v>598</v>
      </c>
      <c r="Y21" s="185">
        <v>0</v>
      </c>
      <c r="Z21" s="184" t="s">
        <v>598</v>
      </c>
      <c r="AA21" s="21" t="s">
        <v>610</v>
      </c>
      <c r="AB21" s="176" t="s">
        <v>489</v>
      </c>
      <c r="AC21" s="172">
        <v>42996.328472222223</v>
      </c>
      <c r="AD21" s="32" t="s">
        <v>552</v>
      </c>
    </row>
    <row r="22" spans="1:30">
      <c r="A22" s="184">
        <v>21</v>
      </c>
      <c r="B22" s="184" t="s">
        <v>649</v>
      </c>
      <c r="C22" s="184" t="s">
        <v>598</v>
      </c>
      <c r="D22" s="127">
        <v>42902</v>
      </c>
      <c r="E22" s="127" t="s">
        <v>598</v>
      </c>
      <c r="F22" s="184" t="s">
        <v>650</v>
      </c>
      <c r="G22" s="185">
        <v>0</v>
      </c>
      <c r="H22" s="184" t="s">
        <v>598</v>
      </c>
      <c r="I22" s="184" t="s">
        <v>598</v>
      </c>
      <c r="J22" s="184" t="s">
        <v>108</v>
      </c>
      <c r="K22" s="184" t="s">
        <v>172</v>
      </c>
      <c r="L22" s="184" t="s">
        <v>598</v>
      </c>
      <c r="M22" s="184" t="s">
        <v>598</v>
      </c>
      <c r="N22" s="184" t="s">
        <v>30</v>
      </c>
      <c r="O22" s="184" t="s">
        <v>30</v>
      </c>
      <c r="P22" s="186" t="s">
        <v>605</v>
      </c>
      <c r="Q22" s="184" t="s">
        <v>598</v>
      </c>
      <c r="R22" s="184" t="s">
        <v>598</v>
      </c>
      <c r="S22" s="127">
        <v>42913</v>
      </c>
      <c r="T22" s="184" t="s">
        <v>10</v>
      </c>
      <c r="U22" s="184" t="s">
        <v>598</v>
      </c>
      <c r="V22" s="185">
        <v>1350</v>
      </c>
      <c r="W22" s="184" t="s">
        <v>493</v>
      </c>
      <c r="X22" s="184" t="s">
        <v>598</v>
      </c>
      <c r="Y22" s="185">
        <v>0</v>
      </c>
      <c r="Z22" s="184" t="s">
        <v>598</v>
      </c>
      <c r="AA22" s="21" t="s">
        <v>610</v>
      </c>
      <c r="AB22" s="176" t="s">
        <v>489</v>
      </c>
      <c r="AC22" s="172">
        <v>42996.328472222223</v>
      </c>
      <c r="AD22" s="32" t="s">
        <v>552</v>
      </c>
    </row>
    <row r="23" spans="1:30">
      <c r="A23" s="184">
        <v>22</v>
      </c>
      <c r="B23" s="184" t="s">
        <v>651</v>
      </c>
      <c r="C23" s="184" t="s">
        <v>598</v>
      </c>
      <c r="D23" s="127">
        <v>42902</v>
      </c>
      <c r="E23" s="127" t="s">
        <v>598</v>
      </c>
      <c r="F23" s="184" t="s">
        <v>652</v>
      </c>
      <c r="G23" s="185">
        <v>0</v>
      </c>
      <c r="H23" s="184" t="s">
        <v>598</v>
      </c>
      <c r="I23" s="184" t="s">
        <v>127</v>
      </c>
      <c r="J23" s="184" t="s">
        <v>108</v>
      </c>
      <c r="K23" s="184" t="s">
        <v>653</v>
      </c>
      <c r="L23" s="184" t="s">
        <v>598</v>
      </c>
      <c r="M23" s="184" t="s">
        <v>598</v>
      </c>
      <c r="N23" s="184" t="s">
        <v>30</v>
      </c>
      <c r="O23" s="184" t="s">
        <v>30</v>
      </c>
      <c r="P23" s="186" t="s">
        <v>606</v>
      </c>
      <c r="Q23" s="184" t="s">
        <v>598</v>
      </c>
      <c r="R23" s="184" t="s">
        <v>598</v>
      </c>
      <c r="S23" s="127">
        <v>42903</v>
      </c>
      <c r="T23" s="184" t="s">
        <v>10</v>
      </c>
      <c r="U23" s="184" t="s">
        <v>598</v>
      </c>
      <c r="V23" s="185">
        <v>1500</v>
      </c>
      <c r="W23" s="184" t="s">
        <v>493</v>
      </c>
      <c r="X23" s="184" t="s">
        <v>598</v>
      </c>
      <c r="Y23" s="185">
        <v>0</v>
      </c>
      <c r="Z23" s="184" t="s">
        <v>598</v>
      </c>
      <c r="AA23" s="21" t="s">
        <v>610</v>
      </c>
      <c r="AB23" s="176" t="s">
        <v>489</v>
      </c>
      <c r="AC23" s="172">
        <v>42996.328472222223</v>
      </c>
      <c r="AD23" s="32" t="s">
        <v>552</v>
      </c>
    </row>
    <row r="24" spans="1:30">
      <c r="A24" s="184">
        <v>23</v>
      </c>
      <c r="B24" s="184" t="s">
        <v>654</v>
      </c>
      <c r="C24" s="184" t="s">
        <v>598</v>
      </c>
      <c r="D24" s="127">
        <v>42903</v>
      </c>
      <c r="E24" s="127" t="s">
        <v>598</v>
      </c>
      <c r="F24" s="184" t="s">
        <v>655</v>
      </c>
      <c r="G24" s="185">
        <v>0</v>
      </c>
      <c r="H24" s="184" t="s">
        <v>598</v>
      </c>
      <c r="I24" s="184" t="s">
        <v>598</v>
      </c>
      <c r="J24" s="184" t="s">
        <v>108</v>
      </c>
      <c r="K24" s="184" t="s">
        <v>162</v>
      </c>
      <c r="L24" s="184" t="s">
        <v>598</v>
      </c>
      <c r="M24" s="184" t="s">
        <v>598</v>
      </c>
      <c r="N24" s="184" t="s">
        <v>30</v>
      </c>
      <c r="O24" s="184" t="s">
        <v>30</v>
      </c>
      <c r="P24" s="186" t="s">
        <v>607</v>
      </c>
      <c r="Q24" s="184" t="s">
        <v>598</v>
      </c>
      <c r="R24" s="184" t="s">
        <v>598</v>
      </c>
      <c r="S24" s="127" t="s">
        <v>598</v>
      </c>
      <c r="T24" s="184" t="s">
        <v>598</v>
      </c>
      <c r="U24" s="184" t="s">
        <v>598</v>
      </c>
      <c r="V24" s="185">
        <v>0</v>
      </c>
      <c r="W24" s="184" t="s">
        <v>598</v>
      </c>
      <c r="X24" s="184" t="s">
        <v>598</v>
      </c>
      <c r="Y24" s="185">
        <v>0</v>
      </c>
      <c r="Z24" s="184" t="s">
        <v>598</v>
      </c>
      <c r="AA24" s="21" t="s">
        <v>598</v>
      </c>
      <c r="AB24" s="176" t="s">
        <v>489</v>
      </c>
      <c r="AC24" s="172">
        <v>42996.328472222223</v>
      </c>
      <c r="AD24" s="32" t="s">
        <v>552</v>
      </c>
    </row>
    <row r="25" spans="1:30">
      <c r="A25" s="184">
        <v>24</v>
      </c>
      <c r="B25" s="184" t="s">
        <v>656</v>
      </c>
      <c r="C25" s="184" t="s">
        <v>598</v>
      </c>
      <c r="D25" s="127">
        <v>42903</v>
      </c>
      <c r="E25" s="127" t="s">
        <v>598</v>
      </c>
      <c r="F25" s="184" t="s">
        <v>657</v>
      </c>
      <c r="G25" s="185">
        <v>0</v>
      </c>
      <c r="H25" s="184" t="s">
        <v>598</v>
      </c>
      <c r="I25" s="184" t="s">
        <v>120</v>
      </c>
      <c r="J25" s="184" t="s">
        <v>108</v>
      </c>
      <c r="K25" s="184" t="s">
        <v>171</v>
      </c>
      <c r="L25" s="184" t="s">
        <v>598</v>
      </c>
      <c r="M25" s="184" t="s">
        <v>598</v>
      </c>
      <c r="N25" s="184" t="s">
        <v>30</v>
      </c>
      <c r="O25" s="184" t="s">
        <v>98</v>
      </c>
      <c r="P25" s="186" t="s">
        <v>73</v>
      </c>
      <c r="Q25" s="184" t="s">
        <v>598</v>
      </c>
      <c r="R25" s="184" t="s">
        <v>598</v>
      </c>
      <c r="S25" s="127" t="s">
        <v>598</v>
      </c>
      <c r="T25" s="184" t="s">
        <v>598</v>
      </c>
      <c r="U25" s="184" t="s">
        <v>598</v>
      </c>
      <c r="V25" s="185">
        <v>0</v>
      </c>
      <c r="W25" s="184" t="s">
        <v>598</v>
      </c>
      <c r="X25" s="184" t="s">
        <v>598</v>
      </c>
      <c r="Y25" s="185">
        <v>0</v>
      </c>
      <c r="Z25" s="184" t="s">
        <v>598</v>
      </c>
      <c r="AA25" s="21" t="s">
        <v>598</v>
      </c>
      <c r="AB25" s="176" t="s">
        <v>489</v>
      </c>
      <c r="AC25" s="172">
        <v>42996.328472222223</v>
      </c>
      <c r="AD25" s="32" t="s">
        <v>552</v>
      </c>
    </row>
    <row r="26" spans="1:30">
      <c r="A26" s="184">
        <v>25</v>
      </c>
      <c r="B26" s="184" t="s">
        <v>658</v>
      </c>
      <c r="C26" s="184" t="s">
        <v>598</v>
      </c>
      <c r="D26" s="127">
        <v>42906</v>
      </c>
      <c r="E26" s="127" t="s">
        <v>598</v>
      </c>
      <c r="F26" s="184" t="s">
        <v>659</v>
      </c>
      <c r="G26" s="185">
        <v>0</v>
      </c>
      <c r="H26" s="184" t="s">
        <v>598</v>
      </c>
      <c r="I26" s="184" t="s">
        <v>134</v>
      </c>
      <c r="J26" s="184" t="s">
        <v>108</v>
      </c>
      <c r="K26" s="184" t="s">
        <v>173</v>
      </c>
      <c r="L26" s="184" t="s">
        <v>598</v>
      </c>
      <c r="M26" s="184" t="s">
        <v>598</v>
      </c>
      <c r="N26" s="184" t="s">
        <v>30</v>
      </c>
      <c r="O26" s="184" t="s">
        <v>30</v>
      </c>
      <c r="P26" s="186" t="s">
        <v>601</v>
      </c>
      <c r="Q26" s="184" t="s">
        <v>598</v>
      </c>
      <c r="R26" s="184" t="s">
        <v>598</v>
      </c>
      <c r="S26" s="127">
        <v>42913</v>
      </c>
      <c r="T26" s="184" t="s">
        <v>10</v>
      </c>
      <c r="U26" s="184" t="s">
        <v>598</v>
      </c>
      <c r="V26" s="185">
        <v>4500</v>
      </c>
      <c r="W26" s="184" t="s">
        <v>493</v>
      </c>
      <c r="X26" s="184" t="s">
        <v>598</v>
      </c>
      <c r="Y26" s="185">
        <v>0</v>
      </c>
      <c r="Z26" s="184" t="s">
        <v>598</v>
      </c>
      <c r="AA26" s="21" t="s">
        <v>610</v>
      </c>
      <c r="AB26" s="176" t="s">
        <v>489</v>
      </c>
      <c r="AC26" s="172">
        <v>42996.328472222223</v>
      </c>
      <c r="AD26" s="32" t="s">
        <v>552</v>
      </c>
    </row>
    <row r="27" spans="1:30">
      <c r="A27" s="184">
        <v>26</v>
      </c>
      <c r="B27" s="184" t="s">
        <v>660</v>
      </c>
      <c r="C27" s="184" t="s">
        <v>598</v>
      </c>
      <c r="D27" s="127">
        <v>42906</v>
      </c>
      <c r="E27" s="127" t="s">
        <v>598</v>
      </c>
      <c r="F27" s="184" t="s">
        <v>661</v>
      </c>
      <c r="G27" s="185">
        <v>0</v>
      </c>
      <c r="H27" s="184" t="s">
        <v>598</v>
      </c>
      <c r="I27" s="184" t="s">
        <v>134</v>
      </c>
      <c r="J27" s="184" t="s">
        <v>108</v>
      </c>
      <c r="K27" s="184" t="s">
        <v>174</v>
      </c>
      <c r="L27" s="184" t="s">
        <v>598</v>
      </c>
      <c r="M27" s="184" t="s">
        <v>598</v>
      </c>
      <c r="N27" s="184" t="s">
        <v>30</v>
      </c>
      <c r="O27" s="184" t="s">
        <v>30</v>
      </c>
      <c r="P27" s="186" t="s">
        <v>32</v>
      </c>
      <c r="Q27" s="184" t="s">
        <v>598</v>
      </c>
      <c r="R27" s="184" t="s">
        <v>598</v>
      </c>
      <c r="S27" s="127" t="s">
        <v>598</v>
      </c>
      <c r="T27" s="184" t="s">
        <v>598</v>
      </c>
      <c r="U27" s="184" t="s">
        <v>598</v>
      </c>
      <c r="V27" s="185">
        <v>0</v>
      </c>
      <c r="W27" s="184" t="s">
        <v>598</v>
      </c>
      <c r="X27" s="184" t="s">
        <v>598</v>
      </c>
      <c r="Y27" s="185">
        <v>0</v>
      </c>
      <c r="Z27" s="184" t="s">
        <v>598</v>
      </c>
      <c r="AA27" s="21" t="s">
        <v>598</v>
      </c>
      <c r="AB27" s="176" t="s">
        <v>489</v>
      </c>
      <c r="AC27" s="172">
        <v>42996.328472222223</v>
      </c>
      <c r="AD27" s="32" t="s">
        <v>552</v>
      </c>
    </row>
    <row r="28" spans="1:30">
      <c r="A28" s="184">
        <v>27</v>
      </c>
      <c r="B28" s="184" t="s">
        <v>662</v>
      </c>
      <c r="C28" s="184" t="s">
        <v>598</v>
      </c>
      <c r="D28" s="127">
        <v>42906</v>
      </c>
      <c r="E28" s="127" t="s">
        <v>598</v>
      </c>
      <c r="F28" s="184" t="s">
        <v>663</v>
      </c>
      <c r="G28" s="185">
        <v>0</v>
      </c>
      <c r="H28" s="184" t="s">
        <v>598</v>
      </c>
      <c r="I28" s="184" t="s">
        <v>134</v>
      </c>
      <c r="J28" s="184" t="s">
        <v>108</v>
      </c>
      <c r="K28" s="184" t="s">
        <v>175</v>
      </c>
      <c r="L28" s="184" t="s">
        <v>598</v>
      </c>
      <c r="M28" s="184" t="s">
        <v>598</v>
      </c>
      <c r="N28" s="184" t="s">
        <v>30</v>
      </c>
      <c r="O28" s="184" t="s">
        <v>30</v>
      </c>
      <c r="P28" s="186" t="s">
        <v>53</v>
      </c>
      <c r="Q28" s="184" t="s">
        <v>598</v>
      </c>
      <c r="R28" s="184" t="s">
        <v>598</v>
      </c>
      <c r="S28" s="127" t="s">
        <v>598</v>
      </c>
      <c r="T28" s="184" t="s">
        <v>598</v>
      </c>
      <c r="U28" s="184" t="s">
        <v>598</v>
      </c>
      <c r="V28" s="185">
        <v>0</v>
      </c>
      <c r="W28" s="184" t="s">
        <v>598</v>
      </c>
      <c r="X28" s="184" t="s">
        <v>598</v>
      </c>
      <c r="Y28" s="185">
        <v>0</v>
      </c>
      <c r="Z28" s="184" t="s">
        <v>598</v>
      </c>
      <c r="AA28" s="21" t="s">
        <v>598</v>
      </c>
      <c r="AB28" s="176" t="s">
        <v>489</v>
      </c>
      <c r="AC28" s="172">
        <v>42996.328472222223</v>
      </c>
      <c r="AD28" s="32" t="s">
        <v>552</v>
      </c>
    </row>
    <row r="29" spans="1:30">
      <c r="A29" s="184">
        <v>28</v>
      </c>
      <c r="B29" s="184" t="s">
        <v>664</v>
      </c>
      <c r="C29" s="184" t="s">
        <v>598</v>
      </c>
      <c r="D29" s="127">
        <v>42906</v>
      </c>
      <c r="E29" s="127" t="s">
        <v>598</v>
      </c>
      <c r="F29" s="184" t="s">
        <v>665</v>
      </c>
      <c r="G29" s="185">
        <v>0</v>
      </c>
      <c r="H29" s="184" t="s">
        <v>598</v>
      </c>
      <c r="I29" s="184" t="s">
        <v>118</v>
      </c>
      <c r="J29" s="184" t="s">
        <v>108</v>
      </c>
      <c r="K29" s="184" t="s">
        <v>167</v>
      </c>
      <c r="L29" s="184" t="s">
        <v>598</v>
      </c>
      <c r="M29" s="184" t="s">
        <v>598</v>
      </c>
      <c r="N29" s="184" t="s">
        <v>30</v>
      </c>
      <c r="O29" s="184" t="s">
        <v>176</v>
      </c>
      <c r="P29" s="186" t="s">
        <v>44</v>
      </c>
      <c r="Q29" s="184" t="s">
        <v>598</v>
      </c>
      <c r="R29" s="184" t="s">
        <v>598</v>
      </c>
      <c r="S29" s="127" t="s">
        <v>598</v>
      </c>
      <c r="T29" s="184" t="s">
        <v>598</v>
      </c>
      <c r="U29" s="184" t="s">
        <v>598</v>
      </c>
      <c r="V29" s="185">
        <v>0</v>
      </c>
      <c r="W29" s="184" t="s">
        <v>598</v>
      </c>
      <c r="X29" s="184" t="s">
        <v>598</v>
      </c>
      <c r="Y29" s="185">
        <v>0</v>
      </c>
      <c r="Z29" s="184" t="s">
        <v>598</v>
      </c>
      <c r="AA29" s="21" t="s">
        <v>598</v>
      </c>
      <c r="AB29" s="176" t="s">
        <v>489</v>
      </c>
      <c r="AC29" s="172">
        <v>42996.328472222223</v>
      </c>
      <c r="AD29" s="32" t="s">
        <v>552</v>
      </c>
    </row>
    <row r="30" spans="1:30">
      <c r="A30" s="184">
        <v>29</v>
      </c>
      <c r="B30" s="184" t="s">
        <v>666</v>
      </c>
      <c r="C30" s="184" t="s">
        <v>598</v>
      </c>
      <c r="D30" s="127">
        <v>42907</v>
      </c>
      <c r="E30" s="127" t="s">
        <v>598</v>
      </c>
      <c r="F30" s="184" t="s">
        <v>667</v>
      </c>
      <c r="G30" s="185">
        <v>0</v>
      </c>
      <c r="H30" s="184" t="s">
        <v>598</v>
      </c>
      <c r="I30" s="184" t="s">
        <v>668</v>
      </c>
      <c r="J30" s="184" t="s">
        <v>108</v>
      </c>
      <c r="K30" s="184" t="s">
        <v>177</v>
      </c>
      <c r="L30" s="184" t="s">
        <v>598</v>
      </c>
      <c r="M30" s="184" t="s">
        <v>598</v>
      </c>
      <c r="N30" s="184" t="s">
        <v>30</v>
      </c>
      <c r="O30" s="184" t="s">
        <v>30</v>
      </c>
      <c r="P30" s="186" t="s">
        <v>67</v>
      </c>
      <c r="Q30" s="184" t="s">
        <v>598</v>
      </c>
      <c r="R30" s="184" t="s">
        <v>598</v>
      </c>
      <c r="S30" s="127" t="s">
        <v>598</v>
      </c>
      <c r="T30" s="184" t="s">
        <v>598</v>
      </c>
      <c r="U30" s="184" t="s">
        <v>598</v>
      </c>
      <c r="V30" s="185">
        <v>0</v>
      </c>
      <c r="W30" s="184" t="s">
        <v>598</v>
      </c>
      <c r="X30" s="184" t="s">
        <v>598</v>
      </c>
      <c r="Y30" s="185">
        <v>0</v>
      </c>
      <c r="Z30" s="184" t="s">
        <v>598</v>
      </c>
      <c r="AA30" s="21" t="s">
        <v>598</v>
      </c>
      <c r="AB30" s="176" t="s">
        <v>489</v>
      </c>
      <c r="AC30" s="172">
        <v>42996.328472222223</v>
      </c>
      <c r="AD30" s="32" t="s">
        <v>552</v>
      </c>
    </row>
    <row r="31" spans="1:30">
      <c r="A31" s="184">
        <v>30</v>
      </c>
      <c r="B31" s="184" t="s">
        <v>669</v>
      </c>
      <c r="C31" s="184" t="s">
        <v>598</v>
      </c>
      <c r="D31" s="127">
        <v>42907</v>
      </c>
      <c r="E31" s="127" t="s">
        <v>598</v>
      </c>
      <c r="F31" s="184" t="s">
        <v>670</v>
      </c>
      <c r="G31" s="185">
        <v>0</v>
      </c>
      <c r="H31" s="184" t="s">
        <v>598</v>
      </c>
      <c r="I31" s="184" t="s">
        <v>134</v>
      </c>
      <c r="J31" s="184" t="s">
        <v>108</v>
      </c>
      <c r="K31" s="184" t="s">
        <v>653</v>
      </c>
      <c r="L31" s="184" t="s">
        <v>598</v>
      </c>
      <c r="M31" s="184" t="s">
        <v>598</v>
      </c>
      <c r="N31" s="184" t="s">
        <v>30</v>
      </c>
      <c r="O31" s="184" t="s">
        <v>30</v>
      </c>
      <c r="P31" s="186" t="s">
        <v>602</v>
      </c>
      <c r="Q31" s="184" t="s">
        <v>598</v>
      </c>
      <c r="R31" s="184" t="s">
        <v>598</v>
      </c>
      <c r="S31" s="127" t="s">
        <v>598</v>
      </c>
      <c r="T31" s="184" t="s">
        <v>598</v>
      </c>
      <c r="U31" s="184" t="s">
        <v>598</v>
      </c>
      <c r="V31" s="185">
        <v>0</v>
      </c>
      <c r="W31" s="184" t="s">
        <v>598</v>
      </c>
      <c r="X31" s="184" t="s">
        <v>598</v>
      </c>
      <c r="Y31" s="185">
        <v>0</v>
      </c>
      <c r="Z31" s="184" t="s">
        <v>598</v>
      </c>
      <c r="AA31" s="21" t="s">
        <v>598</v>
      </c>
      <c r="AB31" s="176" t="s">
        <v>489</v>
      </c>
      <c r="AC31" s="172">
        <v>42996.328472222223</v>
      </c>
      <c r="AD31" s="32" t="s">
        <v>552</v>
      </c>
    </row>
    <row r="32" spans="1:30">
      <c r="A32" s="184">
        <v>31</v>
      </c>
      <c r="B32" s="184" t="s">
        <v>671</v>
      </c>
      <c r="C32" s="184" t="s">
        <v>598</v>
      </c>
      <c r="D32" s="127">
        <v>42907</v>
      </c>
      <c r="E32" s="127" t="s">
        <v>598</v>
      </c>
      <c r="F32" s="184" t="s">
        <v>672</v>
      </c>
      <c r="G32" s="185">
        <v>0</v>
      </c>
      <c r="H32" s="184" t="s">
        <v>598</v>
      </c>
      <c r="I32" s="184" t="s">
        <v>118</v>
      </c>
      <c r="J32" s="184" t="s">
        <v>108</v>
      </c>
      <c r="K32" s="184" t="s">
        <v>167</v>
      </c>
      <c r="L32" s="184" t="s">
        <v>598</v>
      </c>
      <c r="M32" s="184" t="s">
        <v>598</v>
      </c>
      <c r="N32" s="184" t="s">
        <v>30</v>
      </c>
      <c r="O32" s="184" t="s">
        <v>178</v>
      </c>
      <c r="P32" s="186" t="s">
        <v>603</v>
      </c>
      <c r="Q32" s="184" t="s">
        <v>598</v>
      </c>
      <c r="R32" s="184" t="s">
        <v>598</v>
      </c>
      <c r="S32" s="127" t="s">
        <v>598</v>
      </c>
      <c r="T32" s="184" t="s">
        <v>598</v>
      </c>
      <c r="U32" s="184" t="s">
        <v>598</v>
      </c>
      <c r="V32" s="185">
        <v>0</v>
      </c>
      <c r="W32" s="184" t="s">
        <v>598</v>
      </c>
      <c r="X32" s="184" t="s">
        <v>598</v>
      </c>
      <c r="Y32" s="185">
        <v>0</v>
      </c>
      <c r="Z32" s="184" t="s">
        <v>598</v>
      </c>
      <c r="AA32" s="21" t="s">
        <v>598</v>
      </c>
      <c r="AB32" s="176" t="s">
        <v>489</v>
      </c>
      <c r="AC32" s="172">
        <v>42996.328472222223</v>
      </c>
      <c r="AD32" s="32" t="s">
        <v>552</v>
      </c>
    </row>
    <row r="33" spans="1:30">
      <c r="A33" s="184">
        <v>32</v>
      </c>
      <c r="B33" s="184" t="s">
        <v>673</v>
      </c>
      <c r="C33" s="184" t="s">
        <v>598</v>
      </c>
      <c r="D33" s="127">
        <v>42907</v>
      </c>
      <c r="E33" s="127" t="s">
        <v>598</v>
      </c>
      <c r="F33" s="184" t="s">
        <v>674</v>
      </c>
      <c r="G33" s="185">
        <v>0</v>
      </c>
      <c r="H33" s="184" t="s">
        <v>598</v>
      </c>
      <c r="I33" s="184" t="s">
        <v>107</v>
      </c>
      <c r="J33" s="184" t="s">
        <v>108</v>
      </c>
      <c r="K33" s="184" t="s">
        <v>167</v>
      </c>
      <c r="L33" s="184" t="s">
        <v>598</v>
      </c>
      <c r="M33" s="184" t="s">
        <v>598</v>
      </c>
      <c r="N33" s="184" t="s">
        <v>30</v>
      </c>
      <c r="O33" s="184" t="s">
        <v>178</v>
      </c>
      <c r="P33" s="186" t="s">
        <v>604</v>
      </c>
      <c r="Q33" s="184" t="s">
        <v>598</v>
      </c>
      <c r="R33" s="184" t="s">
        <v>598</v>
      </c>
      <c r="S33" s="127" t="s">
        <v>598</v>
      </c>
      <c r="T33" s="184" t="s">
        <v>598</v>
      </c>
      <c r="U33" s="184" t="s">
        <v>598</v>
      </c>
      <c r="V33" s="185">
        <v>0</v>
      </c>
      <c r="W33" s="184" t="s">
        <v>598</v>
      </c>
      <c r="X33" s="184" t="s">
        <v>598</v>
      </c>
      <c r="Y33" s="185">
        <v>0</v>
      </c>
      <c r="Z33" s="184" t="s">
        <v>598</v>
      </c>
      <c r="AA33" s="21" t="s">
        <v>598</v>
      </c>
      <c r="AB33" s="176" t="s">
        <v>489</v>
      </c>
      <c r="AC33" s="172">
        <v>42996.328472222223</v>
      </c>
      <c r="AD33" s="32" t="s">
        <v>552</v>
      </c>
    </row>
    <row r="34" spans="1:30">
      <c r="A34" s="184">
        <v>33</v>
      </c>
      <c r="B34" s="184" t="s">
        <v>675</v>
      </c>
      <c r="C34" s="184" t="s">
        <v>598</v>
      </c>
      <c r="D34" s="127">
        <v>42908</v>
      </c>
      <c r="E34" s="127" t="s">
        <v>598</v>
      </c>
      <c r="F34" s="184" t="s">
        <v>676</v>
      </c>
      <c r="G34" s="185">
        <v>0</v>
      </c>
      <c r="H34" s="184" t="s">
        <v>598</v>
      </c>
      <c r="I34" s="184" t="s">
        <v>118</v>
      </c>
      <c r="J34" s="184" t="s">
        <v>108</v>
      </c>
      <c r="K34" s="184" t="s">
        <v>171</v>
      </c>
      <c r="L34" s="184" t="s">
        <v>598</v>
      </c>
      <c r="M34" s="184" t="s">
        <v>598</v>
      </c>
      <c r="N34" s="184" t="s">
        <v>30</v>
      </c>
      <c r="O34" s="184" t="s">
        <v>178</v>
      </c>
      <c r="P34" s="186" t="s">
        <v>605</v>
      </c>
      <c r="Q34" s="184" t="s">
        <v>598</v>
      </c>
      <c r="R34" s="184" t="s">
        <v>598</v>
      </c>
      <c r="S34" s="127">
        <v>42915</v>
      </c>
      <c r="T34" s="184" t="s">
        <v>10</v>
      </c>
      <c r="U34" s="184" t="s">
        <v>598</v>
      </c>
      <c r="V34" s="185">
        <v>2000</v>
      </c>
      <c r="W34" s="184" t="s">
        <v>493</v>
      </c>
      <c r="X34" s="184" t="s">
        <v>598</v>
      </c>
      <c r="Y34" s="185">
        <v>0</v>
      </c>
      <c r="Z34" s="184" t="s">
        <v>598</v>
      </c>
      <c r="AA34" s="21" t="s">
        <v>610</v>
      </c>
      <c r="AB34" s="176" t="s">
        <v>489</v>
      </c>
      <c r="AC34" s="172">
        <v>42996.328472222223</v>
      </c>
      <c r="AD34" s="32" t="s">
        <v>552</v>
      </c>
    </row>
    <row r="35" spans="1:30">
      <c r="A35" s="184">
        <v>34</v>
      </c>
      <c r="B35" s="184" t="s">
        <v>677</v>
      </c>
      <c r="C35" s="184" t="s">
        <v>598</v>
      </c>
      <c r="D35" s="127">
        <v>42908</v>
      </c>
      <c r="E35" s="127" t="s">
        <v>598</v>
      </c>
      <c r="F35" s="184" t="s">
        <v>678</v>
      </c>
      <c r="G35" s="185">
        <v>0</v>
      </c>
      <c r="H35" s="184" t="s">
        <v>598</v>
      </c>
      <c r="I35" s="184" t="s">
        <v>134</v>
      </c>
      <c r="J35" s="184" t="s">
        <v>108</v>
      </c>
      <c r="K35" s="184" t="s">
        <v>179</v>
      </c>
      <c r="L35" s="184" t="s">
        <v>598</v>
      </c>
      <c r="M35" s="184" t="s">
        <v>598</v>
      </c>
      <c r="N35" s="184" t="s">
        <v>30</v>
      </c>
      <c r="O35" s="184" t="s">
        <v>30</v>
      </c>
      <c r="P35" s="186" t="s">
        <v>606</v>
      </c>
      <c r="Q35" s="184" t="s">
        <v>598</v>
      </c>
      <c r="R35" s="184" t="s">
        <v>598</v>
      </c>
      <c r="S35" s="127" t="s">
        <v>598</v>
      </c>
      <c r="T35" s="184" t="s">
        <v>598</v>
      </c>
      <c r="U35" s="184" t="s">
        <v>598</v>
      </c>
      <c r="V35" s="185">
        <v>0</v>
      </c>
      <c r="W35" s="184" t="s">
        <v>598</v>
      </c>
      <c r="X35" s="184" t="s">
        <v>598</v>
      </c>
      <c r="Y35" s="185">
        <v>0</v>
      </c>
      <c r="Z35" s="184" t="s">
        <v>598</v>
      </c>
      <c r="AA35" s="21" t="s">
        <v>598</v>
      </c>
      <c r="AB35" s="176" t="s">
        <v>489</v>
      </c>
      <c r="AC35" s="172">
        <v>42996.328472222223</v>
      </c>
      <c r="AD35" s="32" t="s">
        <v>552</v>
      </c>
    </row>
    <row r="36" spans="1:30">
      <c r="A36" s="184">
        <v>35</v>
      </c>
      <c r="B36" s="184" t="s">
        <v>679</v>
      </c>
      <c r="C36" s="184" t="s">
        <v>598</v>
      </c>
      <c r="D36" s="127">
        <v>42908</v>
      </c>
      <c r="E36" s="127" t="s">
        <v>598</v>
      </c>
      <c r="F36" s="184" t="s">
        <v>680</v>
      </c>
      <c r="G36" s="185">
        <v>0</v>
      </c>
      <c r="H36" s="184" t="s">
        <v>598</v>
      </c>
      <c r="I36" s="184" t="s">
        <v>134</v>
      </c>
      <c r="J36" s="184" t="s">
        <v>108</v>
      </c>
      <c r="K36" s="184" t="s">
        <v>179</v>
      </c>
      <c r="L36" s="184" t="s">
        <v>598</v>
      </c>
      <c r="M36" s="184" t="s">
        <v>598</v>
      </c>
      <c r="N36" s="184" t="s">
        <v>30</v>
      </c>
      <c r="O36" s="184" t="s">
        <v>30</v>
      </c>
      <c r="P36" s="186" t="s">
        <v>607</v>
      </c>
      <c r="Q36" s="184" t="s">
        <v>598</v>
      </c>
      <c r="R36" s="184" t="s">
        <v>598</v>
      </c>
      <c r="S36" s="127" t="s">
        <v>598</v>
      </c>
      <c r="T36" s="184" t="s">
        <v>598</v>
      </c>
      <c r="U36" s="184" t="s">
        <v>598</v>
      </c>
      <c r="V36" s="185">
        <v>0</v>
      </c>
      <c r="W36" s="184" t="s">
        <v>598</v>
      </c>
      <c r="X36" s="184" t="s">
        <v>598</v>
      </c>
      <c r="Y36" s="185">
        <v>0</v>
      </c>
      <c r="Z36" s="184" t="s">
        <v>598</v>
      </c>
      <c r="AA36" s="21" t="s">
        <v>598</v>
      </c>
      <c r="AB36" s="176" t="s">
        <v>489</v>
      </c>
      <c r="AC36" s="172">
        <v>42996.328472222223</v>
      </c>
      <c r="AD36" s="32" t="s">
        <v>552</v>
      </c>
    </row>
    <row r="37" spans="1:30">
      <c r="A37" s="184">
        <v>36</v>
      </c>
      <c r="B37" s="184" t="s">
        <v>681</v>
      </c>
      <c r="C37" s="184" t="s">
        <v>598</v>
      </c>
      <c r="D37" s="127">
        <v>42913</v>
      </c>
      <c r="E37" s="127" t="s">
        <v>598</v>
      </c>
      <c r="F37" s="184" t="s">
        <v>682</v>
      </c>
      <c r="G37" s="185">
        <v>0</v>
      </c>
      <c r="H37" s="184" t="s">
        <v>598</v>
      </c>
      <c r="I37" s="184" t="s">
        <v>107</v>
      </c>
      <c r="J37" s="184" t="s">
        <v>108</v>
      </c>
      <c r="K37" s="184" t="s">
        <v>180</v>
      </c>
      <c r="L37" s="184" t="s">
        <v>598</v>
      </c>
      <c r="M37" s="184" t="s">
        <v>598</v>
      </c>
      <c r="N37" s="184" t="s">
        <v>30</v>
      </c>
      <c r="O37" s="184" t="s">
        <v>30</v>
      </c>
      <c r="P37" s="186" t="s">
        <v>73</v>
      </c>
      <c r="Q37" s="184" t="s">
        <v>598</v>
      </c>
      <c r="R37" s="184" t="s">
        <v>598</v>
      </c>
      <c r="S37" s="127">
        <v>42916</v>
      </c>
      <c r="T37" s="184" t="s">
        <v>10</v>
      </c>
      <c r="U37" s="184" t="s">
        <v>598</v>
      </c>
      <c r="V37" s="185">
        <v>7000</v>
      </c>
      <c r="W37" s="184" t="s">
        <v>493</v>
      </c>
      <c r="X37" s="184" t="s">
        <v>598</v>
      </c>
      <c r="Y37" s="185">
        <v>0</v>
      </c>
      <c r="Z37" s="184" t="s">
        <v>598</v>
      </c>
      <c r="AA37" s="21" t="s">
        <v>610</v>
      </c>
      <c r="AB37" s="176" t="s">
        <v>489</v>
      </c>
      <c r="AC37" s="172">
        <v>42996.328472222223</v>
      </c>
      <c r="AD37" s="32" t="s">
        <v>552</v>
      </c>
    </row>
    <row r="38" spans="1:30">
      <c r="A38" s="184">
        <v>37</v>
      </c>
      <c r="B38" s="184" t="s">
        <v>683</v>
      </c>
      <c r="C38" s="184" t="s">
        <v>598</v>
      </c>
      <c r="D38" s="127">
        <v>42913</v>
      </c>
      <c r="E38" s="127" t="s">
        <v>598</v>
      </c>
      <c r="F38" s="184" t="s">
        <v>684</v>
      </c>
      <c r="G38" s="185">
        <v>0</v>
      </c>
      <c r="H38" s="184" t="s">
        <v>598</v>
      </c>
      <c r="I38" s="184" t="s">
        <v>134</v>
      </c>
      <c r="J38" s="184" t="s">
        <v>108</v>
      </c>
      <c r="K38" s="184" t="s">
        <v>180</v>
      </c>
      <c r="L38" s="184" t="s">
        <v>598</v>
      </c>
      <c r="M38" s="184" t="s">
        <v>598</v>
      </c>
      <c r="N38" s="184" t="s">
        <v>30</v>
      </c>
      <c r="O38" s="184" t="s">
        <v>178</v>
      </c>
      <c r="P38" s="186" t="s">
        <v>601</v>
      </c>
      <c r="Q38" s="184" t="s">
        <v>598</v>
      </c>
      <c r="R38" s="184" t="s">
        <v>598</v>
      </c>
      <c r="S38" s="127" t="s">
        <v>598</v>
      </c>
      <c r="T38" s="184" t="s">
        <v>598</v>
      </c>
      <c r="U38" s="184" t="s">
        <v>598</v>
      </c>
      <c r="V38" s="185">
        <v>0</v>
      </c>
      <c r="W38" s="184" t="s">
        <v>598</v>
      </c>
      <c r="X38" s="184" t="s">
        <v>598</v>
      </c>
      <c r="Y38" s="185">
        <v>0</v>
      </c>
      <c r="Z38" s="184" t="s">
        <v>598</v>
      </c>
      <c r="AA38" s="21" t="s">
        <v>598</v>
      </c>
      <c r="AB38" s="176" t="s">
        <v>489</v>
      </c>
      <c r="AC38" s="172">
        <v>42996.328472222223</v>
      </c>
      <c r="AD38" s="32" t="s">
        <v>552</v>
      </c>
    </row>
    <row r="39" spans="1:30">
      <c r="A39" s="184">
        <v>38</v>
      </c>
      <c r="B39" s="184" t="s">
        <v>685</v>
      </c>
      <c r="C39" s="184" t="s">
        <v>598</v>
      </c>
      <c r="D39" s="127">
        <v>42914</v>
      </c>
      <c r="E39" s="127" t="s">
        <v>598</v>
      </c>
      <c r="F39" s="184" t="s">
        <v>686</v>
      </c>
      <c r="G39" s="185">
        <v>0</v>
      </c>
      <c r="H39" s="184" t="s">
        <v>598</v>
      </c>
      <c r="I39" s="184" t="s">
        <v>118</v>
      </c>
      <c r="J39" s="184" t="s">
        <v>108</v>
      </c>
      <c r="K39" s="184" t="s">
        <v>167</v>
      </c>
      <c r="L39" s="184" t="s">
        <v>598</v>
      </c>
      <c r="M39" s="184" t="s">
        <v>598</v>
      </c>
      <c r="N39" s="184" t="s">
        <v>30</v>
      </c>
      <c r="O39" s="184" t="s">
        <v>178</v>
      </c>
      <c r="P39" s="186" t="s">
        <v>32</v>
      </c>
      <c r="Q39" s="184" t="s">
        <v>598</v>
      </c>
      <c r="R39" s="184" t="s">
        <v>598</v>
      </c>
      <c r="S39" s="127" t="s">
        <v>598</v>
      </c>
      <c r="T39" s="184" t="s">
        <v>598</v>
      </c>
      <c r="U39" s="184" t="s">
        <v>598</v>
      </c>
      <c r="V39" s="185">
        <v>0</v>
      </c>
      <c r="W39" s="184" t="s">
        <v>598</v>
      </c>
      <c r="X39" s="184" t="s">
        <v>598</v>
      </c>
      <c r="Y39" s="185">
        <v>0</v>
      </c>
      <c r="Z39" s="184" t="s">
        <v>598</v>
      </c>
      <c r="AA39" s="21" t="s">
        <v>598</v>
      </c>
      <c r="AB39" s="176" t="s">
        <v>489</v>
      </c>
      <c r="AC39" s="172">
        <v>42996.328472222223</v>
      </c>
      <c r="AD39" s="32" t="s">
        <v>552</v>
      </c>
    </row>
    <row r="40" spans="1:30">
      <c r="A40" s="184">
        <v>39</v>
      </c>
      <c r="B40" s="184" t="s">
        <v>687</v>
      </c>
      <c r="C40" s="184" t="s">
        <v>598</v>
      </c>
      <c r="D40" s="127">
        <v>42914</v>
      </c>
      <c r="E40" s="127" t="s">
        <v>598</v>
      </c>
      <c r="F40" s="184" t="s">
        <v>688</v>
      </c>
      <c r="G40" s="185">
        <v>0</v>
      </c>
      <c r="H40" s="184" t="s">
        <v>598</v>
      </c>
      <c r="I40" s="184" t="s">
        <v>598</v>
      </c>
      <c r="J40" s="184" t="s">
        <v>108</v>
      </c>
      <c r="K40" s="184" t="s">
        <v>165</v>
      </c>
      <c r="L40" s="184" t="s">
        <v>598</v>
      </c>
      <c r="M40" s="184" t="s">
        <v>598</v>
      </c>
      <c r="N40" s="184" t="s">
        <v>30</v>
      </c>
      <c r="O40" s="184" t="s">
        <v>30</v>
      </c>
      <c r="P40" s="186" t="s">
        <v>53</v>
      </c>
      <c r="Q40" s="184" t="s">
        <v>598</v>
      </c>
      <c r="R40" s="184" t="s">
        <v>598</v>
      </c>
      <c r="S40" s="127" t="s">
        <v>598</v>
      </c>
      <c r="T40" s="184" t="s">
        <v>598</v>
      </c>
      <c r="U40" s="184" t="s">
        <v>598</v>
      </c>
      <c r="V40" s="185">
        <v>0</v>
      </c>
      <c r="W40" s="184" t="s">
        <v>598</v>
      </c>
      <c r="X40" s="184" t="s">
        <v>598</v>
      </c>
      <c r="Y40" s="185">
        <v>0</v>
      </c>
      <c r="Z40" s="184" t="s">
        <v>598</v>
      </c>
      <c r="AA40" s="21" t="s">
        <v>598</v>
      </c>
      <c r="AB40" s="176" t="s">
        <v>489</v>
      </c>
      <c r="AC40" s="172">
        <v>42996.328472222223</v>
      </c>
      <c r="AD40" s="32" t="s">
        <v>552</v>
      </c>
    </row>
    <row r="41" spans="1:30">
      <c r="A41" s="184">
        <v>40</v>
      </c>
      <c r="B41" s="184" t="s">
        <v>689</v>
      </c>
      <c r="C41" s="184" t="s">
        <v>598</v>
      </c>
      <c r="D41" s="127">
        <v>42914</v>
      </c>
      <c r="E41" s="127" t="s">
        <v>598</v>
      </c>
      <c r="F41" s="184" t="s">
        <v>690</v>
      </c>
      <c r="G41" s="185">
        <v>0</v>
      </c>
      <c r="H41" s="184" t="s">
        <v>598</v>
      </c>
      <c r="I41" s="184" t="s">
        <v>126</v>
      </c>
      <c r="J41" s="184" t="s">
        <v>108</v>
      </c>
      <c r="K41" s="184" t="s">
        <v>653</v>
      </c>
      <c r="L41" s="184" t="s">
        <v>598</v>
      </c>
      <c r="M41" s="184" t="s">
        <v>598</v>
      </c>
      <c r="N41" s="184" t="s">
        <v>30</v>
      </c>
      <c r="O41" s="184" t="s">
        <v>598</v>
      </c>
      <c r="P41" s="186" t="s">
        <v>44</v>
      </c>
      <c r="Q41" s="184" t="s">
        <v>598</v>
      </c>
      <c r="R41" s="184" t="s">
        <v>598</v>
      </c>
      <c r="S41" s="127" t="s">
        <v>598</v>
      </c>
      <c r="T41" s="184" t="s">
        <v>598</v>
      </c>
      <c r="U41" s="184" t="s">
        <v>598</v>
      </c>
      <c r="V41" s="185">
        <v>0</v>
      </c>
      <c r="W41" s="184" t="s">
        <v>598</v>
      </c>
      <c r="X41" s="184" t="s">
        <v>598</v>
      </c>
      <c r="Y41" s="185">
        <v>0</v>
      </c>
      <c r="Z41" s="184" t="s">
        <v>598</v>
      </c>
      <c r="AA41" s="21" t="s">
        <v>598</v>
      </c>
      <c r="AB41" s="176" t="s">
        <v>489</v>
      </c>
      <c r="AC41" s="172">
        <v>42996.328472222223</v>
      </c>
      <c r="AD41" s="32" t="s">
        <v>552</v>
      </c>
    </row>
    <row r="42" spans="1:30">
      <c r="A42" s="184">
        <v>41</v>
      </c>
      <c r="B42" s="184" t="s">
        <v>691</v>
      </c>
      <c r="C42" s="184" t="s">
        <v>598</v>
      </c>
      <c r="D42" s="127">
        <v>42826</v>
      </c>
      <c r="E42" s="127" t="s">
        <v>598</v>
      </c>
      <c r="F42" s="184" t="s">
        <v>692</v>
      </c>
      <c r="G42" s="185">
        <v>0</v>
      </c>
      <c r="H42" s="184" t="s">
        <v>598</v>
      </c>
      <c r="I42" s="184" t="s">
        <v>118</v>
      </c>
      <c r="J42" s="184" t="s">
        <v>108</v>
      </c>
      <c r="K42" s="184" t="s">
        <v>181</v>
      </c>
      <c r="L42" s="184" t="s">
        <v>598</v>
      </c>
      <c r="M42" s="184" t="s">
        <v>598</v>
      </c>
      <c r="N42" s="184" t="s">
        <v>30</v>
      </c>
      <c r="O42" s="184" t="s">
        <v>30</v>
      </c>
      <c r="P42" s="186" t="s">
        <v>67</v>
      </c>
      <c r="Q42" s="184" t="s">
        <v>598</v>
      </c>
      <c r="R42" s="184" t="s">
        <v>598</v>
      </c>
      <c r="S42" s="127" t="s">
        <v>598</v>
      </c>
      <c r="T42" s="184" t="s">
        <v>598</v>
      </c>
      <c r="U42" s="184" t="s">
        <v>598</v>
      </c>
      <c r="V42" s="185">
        <v>0</v>
      </c>
      <c r="W42" s="184" t="s">
        <v>485</v>
      </c>
      <c r="X42" s="184" t="s">
        <v>598</v>
      </c>
      <c r="Y42" s="185">
        <v>0</v>
      </c>
      <c r="Z42" s="184" t="s">
        <v>598</v>
      </c>
      <c r="AA42" s="21" t="s">
        <v>610</v>
      </c>
      <c r="AB42" s="176" t="s">
        <v>489</v>
      </c>
      <c r="AC42" s="172">
        <v>42996.328472222223</v>
      </c>
      <c r="AD42" s="32" t="s">
        <v>552</v>
      </c>
    </row>
    <row r="43" spans="1:30">
      <c r="A43" s="184">
        <v>42</v>
      </c>
      <c r="B43" s="184" t="s">
        <v>693</v>
      </c>
      <c r="C43" s="184" t="s">
        <v>598</v>
      </c>
      <c r="D43" s="127">
        <v>42826</v>
      </c>
      <c r="E43" s="127" t="s">
        <v>598</v>
      </c>
      <c r="F43" s="184" t="s">
        <v>694</v>
      </c>
      <c r="G43" s="185">
        <v>0</v>
      </c>
      <c r="H43" s="184" t="s">
        <v>598</v>
      </c>
      <c r="I43" s="184" t="s">
        <v>134</v>
      </c>
      <c r="J43" s="184" t="s">
        <v>108</v>
      </c>
      <c r="K43" s="184" t="s">
        <v>182</v>
      </c>
      <c r="L43" s="184" t="s">
        <v>598</v>
      </c>
      <c r="M43" s="184" t="s">
        <v>598</v>
      </c>
      <c r="N43" s="184" t="s">
        <v>30</v>
      </c>
      <c r="O43" s="184" t="s">
        <v>30</v>
      </c>
      <c r="P43" s="186" t="s">
        <v>602</v>
      </c>
      <c r="Q43" s="184" t="s">
        <v>598</v>
      </c>
      <c r="R43" s="184" t="s">
        <v>598</v>
      </c>
      <c r="S43" s="127" t="s">
        <v>598</v>
      </c>
      <c r="T43" s="184" t="s">
        <v>598</v>
      </c>
      <c r="U43" s="184" t="s">
        <v>598</v>
      </c>
      <c r="V43" s="185">
        <v>0</v>
      </c>
      <c r="W43" s="184" t="s">
        <v>485</v>
      </c>
      <c r="X43" s="184" t="s">
        <v>598</v>
      </c>
      <c r="Y43" s="185">
        <v>0</v>
      </c>
      <c r="Z43" s="184" t="s">
        <v>598</v>
      </c>
      <c r="AA43" s="21" t="s">
        <v>610</v>
      </c>
      <c r="AB43" s="176" t="s">
        <v>489</v>
      </c>
      <c r="AC43" s="172">
        <v>42996.328472222223</v>
      </c>
      <c r="AD43" s="32" t="s">
        <v>552</v>
      </c>
    </row>
    <row r="44" spans="1:30">
      <c r="A44" s="184">
        <v>43</v>
      </c>
      <c r="B44" s="184" t="s">
        <v>695</v>
      </c>
      <c r="C44" s="184" t="s">
        <v>598</v>
      </c>
      <c r="D44" s="127">
        <v>42826</v>
      </c>
      <c r="E44" s="127" t="s">
        <v>598</v>
      </c>
      <c r="F44" s="184" t="s">
        <v>696</v>
      </c>
      <c r="G44" s="185">
        <v>0</v>
      </c>
      <c r="H44" s="184" t="s">
        <v>598</v>
      </c>
      <c r="I44" s="184" t="s">
        <v>126</v>
      </c>
      <c r="J44" s="184" t="s">
        <v>108</v>
      </c>
      <c r="K44" s="184" t="s">
        <v>164</v>
      </c>
      <c r="L44" s="184" t="s">
        <v>598</v>
      </c>
      <c r="M44" s="184" t="s">
        <v>598</v>
      </c>
      <c r="N44" s="184" t="s">
        <v>30</v>
      </c>
      <c r="O44" s="184" t="s">
        <v>30</v>
      </c>
      <c r="P44" s="186" t="s">
        <v>603</v>
      </c>
      <c r="Q44" s="184" t="s">
        <v>598</v>
      </c>
      <c r="R44" s="184" t="s">
        <v>598</v>
      </c>
      <c r="S44" s="127" t="s">
        <v>598</v>
      </c>
      <c r="T44" s="184" t="s">
        <v>598</v>
      </c>
      <c r="U44" s="184" t="s">
        <v>598</v>
      </c>
      <c r="V44" s="185">
        <v>0</v>
      </c>
      <c r="W44" s="184" t="s">
        <v>485</v>
      </c>
      <c r="X44" s="184" t="s">
        <v>598</v>
      </c>
      <c r="Y44" s="185">
        <v>0</v>
      </c>
      <c r="Z44" s="184" t="s">
        <v>598</v>
      </c>
      <c r="AA44" s="21" t="s">
        <v>610</v>
      </c>
      <c r="AB44" s="176" t="s">
        <v>489</v>
      </c>
      <c r="AC44" s="172">
        <v>42996.328472222223</v>
      </c>
      <c r="AD44" s="32" t="s">
        <v>552</v>
      </c>
    </row>
    <row r="45" spans="1:30">
      <c r="A45" s="184">
        <v>44</v>
      </c>
      <c r="B45" s="184" t="s">
        <v>697</v>
      </c>
      <c r="C45" s="184" t="s">
        <v>598</v>
      </c>
      <c r="D45" s="127">
        <v>42828</v>
      </c>
      <c r="E45" s="127" t="s">
        <v>598</v>
      </c>
      <c r="F45" s="184" t="s">
        <v>698</v>
      </c>
      <c r="G45" s="185">
        <v>0</v>
      </c>
      <c r="H45" s="184" t="s">
        <v>598</v>
      </c>
      <c r="I45" s="184" t="s">
        <v>598</v>
      </c>
      <c r="J45" s="184" t="s">
        <v>108</v>
      </c>
      <c r="K45" s="184" t="s">
        <v>183</v>
      </c>
      <c r="L45" s="184" t="s">
        <v>598</v>
      </c>
      <c r="M45" s="184" t="s">
        <v>598</v>
      </c>
      <c r="N45" s="184" t="s">
        <v>30</v>
      </c>
      <c r="O45" s="184" t="s">
        <v>30</v>
      </c>
      <c r="P45" s="186" t="s">
        <v>604</v>
      </c>
      <c r="Q45" s="184" t="s">
        <v>598</v>
      </c>
      <c r="R45" s="184" t="s">
        <v>598</v>
      </c>
      <c r="S45" s="127" t="s">
        <v>598</v>
      </c>
      <c r="T45" s="184" t="s">
        <v>598</v>
      </c>
      <c r="U45" s="184" t="s">
        <v>598</v>
      </c>
      <c r="V45" s="185">
        <v>0</v>
      </c>
      <c r="W45" s="184" t="s">
        <v>485</v>
      </c>
      <c r="X45" s="184" t="s">
        <v>598</v>
      </c>
      <c r="Y45" s="185">
        <v>0</v>
      </c>
      <c r="Z45" s="184" t="s">
        <v>598</v>
      </c>
      <c r="AA45" s="21" t="s">
        <v>610</v>
      </c>
      <c r="AB45" s="176" t="s">
        <v>489</v>
      </c>
      <c r="AC45" s="172">
        <v>42996.328472222223</v>
      </c>
      <c r="AD45" s="32" t="s">
        <v>552</v>
      </c>
    </row>
    <row r="46" spans="1:30">
      <c r="A46" s="184">
        <v>45</v>
      </c>
      <c r="B46" s="184" t="s">
        <v>699</v>
      </c>
      <c r="C46" s="184" t="s">
        <v>598</v>
      </c>
      <c r="D46" s="127">
        <v>42829</v>
      </c>
      <c r="E46" s="127" t="s">
        <v>598</v>
      </c>
      <c r="F46" s="184" t="s">
        <v>700</v>
      </c>
      <c r="G46" s="185">
        <v>0</v>
      </c>
      <c r="H46" s="184" t="s">
        <v>598</v>
      </c>
      <c r="I46" s="184" t="s">
        <v>118</v>
      </c>
      <c r="J46" s="184" t="s">
        <v>108</v>
      </c>
      <c r="K46" s="184" t="s">
        <v>181</v>
      </c>
      <c r="L46" s="184" t="s">
        <v>598</v>
      </c>
      <c r="M46" s="184" t="s">
        <v>598</v>
      </c>
      <c r="N46" s="184" t="s">
        <v>30</v>
      </c>
      <c r="O46" s="184" t="s">
        <v>30</v>
      </c>
      <c r="P46" s="186" t="s">
        <v>605</v>
      </c>
      <c r="Q46" s="184" t="s">
        <v>598</v>
      </c>
      <c r="R46" s="184" t="s">
        <v>598</v>
      </c>
      <c r="S46" s="127" t="s">
        <v>598</v>
      </c>
      <c r="T46" s="184" t="s">
        <v>598</v>
      </c>
      <c r="U46" s="184" t="s">
        <v>598</v>
      </c>
      <c r="V46" s="185">
        <v>0</v>
      </c>
      <c r="W46" s="184" t="s">
        <v>485</v>
      </c>
      <c r="X46" s="184" t="s">
        <v>598</v>
      </c>
      <c r="Y46" s="185">
        <v>0</v>
      </c>
      <c r="Z46" s="184" t="s">
        <v>598</v>
      </c>
      <c r="AA46" s="21" t="s">
        <v>610</v>
      </c>
      <c r="AB46" s="176" t="s">
        <v>489</v>
      </c>
      <c r="AC46" s="172">
        <v>42996.328472222223</v>
      </c>
      <c r="AD46" s="32" t="s">
        <v>552</v>
      </c>
    </row>
    <row r="47" spans="1:30">
      <c r="A47" s="184">
        <v>46</v>
      </c>
      <c r="B47" s="184" t="s">
        <v>701</v>
      </c>
      <c r="C47" s="184" t="s">
        <v>598</v>
      </c>
      <c r="D47" s="127">
        <v>42831</v>
      </c>
      <c r="E47" s="127" t="s">
        <v>598</v>
      </c>
      <c r="F47" s="184" t="s">
        <v>702</v>
      </c>
      <c r="G47" s="185">
        <v>0</v>
      </c>
      <c r="H47" s="184" t="s">
        <v>598</v>
      </c>
      <c r="I47" s="184" t="s">
        <v>134</v>
      </c>
      <c r="J47" s="184" t="s">
        <v>108</v>
      </c>
      <c r="K47" s="184" t="s">
        <v>165</v>
      </c>
      <c r="L47" s="184" t="s">
        <v>598</v>
      </c>
      <c r="M47" s="184" t="s">
        <v>598</v>
      </c>
      <c r="N47" s="184" t="s">
        <v>30</v>
      </c>
      <c r="O47" s="184" t="s">
        <v>30</v>
      </c>
      <c r="P47" s="186" t="s">
        <v>606</v>
      </c>
      <c r="Q47" s="184" t="s">
        <v>598</v>
      </c>
      <c r="R47" s="184" t="s">
        <v>598</v>
      </c>
      <c r="S47" s="127" t="s">
        <v>598</v>
      </c>
      <c r="T47" s="184" t="s">
        <v>598</v>
      </c>
      <c r="U47" s="184" t="s">
        <v>598</v>
      </c>
      <c r="V47" s="185">
        <v>0</v>
      </c>
      <c r="W47" s="184" t="s">
        <v>485</v>
      </c>
      <c r="X47" s="184" t="s">
        <v>598</v>
      </c>
      <c r="Y47" s="185">
        <v>0</v>
      </c>
      <c r="Z47" s="184" t="s">
        <v>598</v>
      </c>
      <c r="AA47" s="21" t="s">
        <v>610</v>
      </c>
      <c r="AB47" s="176" t="s">
        <v>489</v>
      </c>
      <c r="AC47" s="172">
        <v>42996.328472222223</v>
      </c>
      <c r="AD47" s="32" t="s">
        <v>552</v>
      </c>
    </row>
    <row r="48" spans="1:30">
      <c r="A48" s="184">
        <v>47</v>
      </c>
      <c r="B48" s="184" t="s">
        <v>703</v>
      </c>
      <c r="C48" s="184" t="s">
        <v>598</v>
      </c>
      <c r="D48" s="127">
        <v>42835</v>
      </c>
      <c r="E48" s="127" t="s">
        <v>598</v>
      </c>
      <c r="F48" s="184" t="s">
        <v>704</v>
      </c>
      <c r="G48" s="185">
        <v>0</v>
      </c>
      <c r="H48" s="184" t="s">
        <v>598</v>
      </c>
      <c r="I48" s="184" t="s">
        <v>134</v>
      </c>
      <c r="J48" s="184" t="s">
        <v>108</v>
      </c>
      <c r="K48" s="184" t="s">
        <v>335</v>
      </c>
      <c r="L48" s="184" t="s">
        <v>598</v>
      </c>
      <c r="M48" s="184" t="s">
        <v>598</v>
      </c>
      <c r="N48" s="184" t="s">
        <v>30</v>
      </c>
      <c r="O48" s="184" t="s">
        <v>30</v>
      </c>
      <c r="P48" s="186" t="s">
        <v>607</v>
      </c>
      <c r="Q48" s="184" t="s">
        <v>598</v>
      </c>
      <c r="R48" s="184" t="s">
        <v>598</v>
      </c>
      <c r="S48" s="127" t="s">
        <v>598</v>
      </c>
      <c r="T48" s="184" t="s">
        <v>598</v>
      </c>
      <c r="U48" s="184" t="s">
        <v>598</v>
      </c>
      <c r="V48" s="185">
        <v>0</v>
      </c>
      <c r="W48" s="184" t="s">
        <v>485</v>
      </c>
      <c r="X48" s="184" t="s">
        <v>598</v>
      </c>
      <c r="Y48" s="185">
        <v>0</v>
      </c>
      <c r="Z48" s="184" t="s">
        <v>598</v>
      </c>
      <c r="AA48" s="21" t="s">
        <v>610</v>
      </c>
      <c r="AB48" s="176" t="s">
        <v>489</v>
      </c>
      <c r="AC48" s="172">
        <v>42996.328472222223</v>
      </c>
      <c r="AD48" s="32" t="s">
        <v>552</v>
      </c>
    </row>
    <row r="49" spans="1:30">
      <c r="A49" s="184">
        <v>48</v>
      </c>
      <c r="B49" s="184" t="s">
        <v>705</v>
      </c>
      <c r="C49" s="184" t="s">
        <v>598</v>
      </c>
      <c r="D49" s="127">
        <v>42835</v>
      </c>
      <c r="E49" s="127" t="s">
        <v>598</v>
      </c>
      <c r="F49" s="184" t="s">
        <v>706</v>
      </c>
      <c r="G49" s="185">
        <v>0</v>
      </c>
      <c r="H49" s="184" t="s">
        <v>598</v>
      </c>
      <c r="I49" s="184" t="s">
        <v>107</v>
      </c>
      <c r="J49" s="184" t="s">
        <v>108</v>
      </c>
      <c r="K49" s="184" t="s">
        <v>183</v>
      </c>
      <c r="L49" s="184" t="s">
        <v>598</v>
      </c>
      <c r="M49" s="184" t="s">
        <v>598</v>
      </c>
      <c r="N49" s="184" t="s">
        <v>30</v>
      </c>
      <c r="O49" s="184" t="s">
        <v>30</v>
      </c>
      <c r="P49" s="186" t="s">
        <v>73</v>
      </c>
      <c r="Q49" s="184" t="s">
        <v>598</v>
      </c>
      <c r="R49" s="184" t="s">
        <v>598</v>
      </c>
      <c r="S49" s="127" t="s">
        <v>598</v>
      </c>
      <c r="T49" s="184" t="s">
        <v>598</v>
      </c>
      <c r="U49" s="184" t="s">
        <v>598</v>
      </c>
      <c r="V49" s="185">
        <v>0</v>
      </c>
      <c r="W49" s="184" t="s">
        <v>485</v>
      </c>
      <c r="X49" s="184" t="s">
        <v>598</v>
      </c>
      <c r="Y49" s="185">
        <v>0</v>
      </c>
      <c r="Z49" s="184" t="s">
        <v>598</v>
      </c>
      <c r="AA49" s="21" t="s">
        <v>610</v>
      </c>
      <c r="AB49" s="176" t="s">
        <v>489</v>
      </c>
      <c r="AC49" s="172">
        <v>42996.328472222223</v>
      </c>
      <c r="AD49" s="32" t="s">
        <v>552</v>
      </c>
    </row>
    <row r="50" spans="1:30">
      <c r="A50" s="184">
        <v>49</v>
      </c>
      <c r="B50" s="184" t="s">
        <v>707</v>
      </c>
      <c r="C50" s="184" t="s">
        <v>598</v>
      </c>
      <c r="D50" s="127">
        <v>42837</v>
      </c>
      <c r="E50" s="127" t="s">
        <v>598</v>
      </c>
      <c r="F50" s="184" t="s">
        <v>708</v>
      </c>
      <c r="G50" s="185">
        <v>0</v>
      </c>
      <c r="H50" s="184" t="s">
        <v>598</v>
      </c>
      <c r="I50" s="184" t="s">
        <v>134</v>
      </c>
      <c r="J50" s="184" t="s">
        <v>108</v>
      </c>
      <c r="K50" s="184" t="s">
        <v>181</v>
      </c>
      <c r="L50" s="184" t="s">
        <v>598</v>
      </c>
      <c r="M50" s="184" t="s">
        <v>598</v>
      </c>
      <c r="N50" s="184" t="s">
        <v>30</v>
      </c>
      <c r="O50" s="184" t="s">
        <v>30</v>
      </c>
      <c r="P50" s="186" t="s">
        <v>601</v>
      </c>
      <c r="Q50" s="184" t="s">
        <v>598</v>
      </c>
      <c r="R50" s="184" t="s">
        <v>598</v>
      </c>
      <c r="S50" s="127" t="s">
        <v>598</v>
      </c>
      <c r="T50" s="184" t="s">
        <v>598</v>
      </c>
      <c r="U50" s="184" t="s">
        <v>598</v>
      </c>
      <c r="V50" s="185">
        <v>0</v>
      </c>
      <c r="W50" s="184" t="s">
        <v>485</v>
      </c>
      <c r="X50" s="184" t="s">
        <v>598</v>
      </c>
      <c r="Y50" s="185">
        <v>0</v>
      </c>
      <c r="Z50" s="184" t="s">
        <v>598</v>
      </c>
      <c r="AA50" s="21" t="s">
        <v>610</v>
      </c>
      <c r="AB50" s="176" t="s">
        <v>489</v>
      </c>
      <c r="AC50" s="172">
        <v>42996.328472222223</v>
      </c>
      <c r="AD50" s="32" t="s">
        <v>552</v>
      </c>
    </row>
    <row r="51" spans="1:30">
      <c r="A51" s="184">
        <v>50</v>
      </c>
      <c r="B51" s="184" t="s">
        <v>709</v>
      </c>
      <c r="C51" s="184" t="s">
        <v>598</v>
      </c>
      <c r="D51" s="127">
        <v>42843</v>
      </c>
      <c r="E51" s="127" t="s">
        <v>598</v>
      </c>
      <c r="F51" s="184" t="s">
        <v>710</v>
      </c>
      <c r="G51" s="185">
        <v>0</v>
      </c>
      <c r="H51" s="184" t="s">
        <v>598</v>
      </c>
      <c r="I51" s="184" t="s">
        <v>134</v>
      </c>
      <c r="J51" s="184" t="s">
        <v>108</v>
      </c>
      <c r="K51" s="184" t="s">
        <v>182</v>
      </c>
      <c r="L51" s="184" t="s">
        <v>598</v>
      </c>
      <c r="M51" s="184" t="s">
        <v>598</v>
      </c>
      <c r="N51" s="184" t="s">
        <v>30</v>
      </c>
      <c r="O51" s="184" t="s">
        <v>30</v>
      </c>
      <c r="P51" s="186" t="s">
        <v>32</v>
      </c>
      <c r="Q51" s="184" t="s">
        <v>598</v>
      </c>
      <c r="R51" s="184" t="s">
        <v>598</v>
      </c>
      <c r="S51" s="127" t="s">
        <v>598</v>
      </c>
      <c r="T51" s="184" t="s">
        <v>598</v>
      </c>
      <c r="U51" s="184" t="s">
        <v>598</v>
      </c>
      <c r="V51" s="185">
        <v>0</v>
      </c>
      <c r="W51" s="184" t="s">
        <v>485</v>
      </c>
      <c r="X51" s="184" t="s">
        <v>598</v>
      </c>
      <c r="Y51" s="185">
        <v>0</v>
      </c>
      <c r="Z51" s="184" t="s">
        <v>598</v>
      </c>
      <c r="AA51" s="21" t="s">
        <v>610</v>
      </c>
      <c r="AB51" s="176" t="s">
        <v>489</v>
      </c>
      <c r="AC51" s="172">
        <v>42996.328472222223</v>
      </c>
      <c r="AD51" s="32" t="s">
        <v>552</v>
      </c>
    </row>
    <row r="52" spans="1:30">
      <c r="A52" s="184">
        <v>51</v>
      </c>
      <c r="B52" s="184" t="s">
        <v>711</v>
      </c>
      <c r="C52" s="184" t="s">
        <v>598</v>
      </c>
      <c r="D52" s="127">
        <v>42843</v>
      </c>
      <c r="E52" s="127" t="s">
        <v>598</v>
      </c>
      <c r="F52" s="184" t="s">
        <v>712</v>
      </c>
      <c r="G52" s="185">
        <v>0</v>
      </c>
      <c r="H52" s="184" t="s">
        <v>598</v>
      </c>
      <c r="I52" s="184" t="s">
        <v>134</v>
      </c>
      <c r="J52" s="184" t="s">
        <v>108</v>
      </c>
      <c r="K52" s="184" t="s">
        <v>182</v>
      </c>
      <c r="L52" s="184" t="s">
        <v>598</v>
      </c>
      <c r="M52" s="184" t="s">
        <v>598</v>
      </c>
      <c r="N52" s="184" t="s">
        <v>30</v>
      </c>
      <c r="O52" s="184" t="s">
        <v>30</v>
      </c>
      <c r="P52" s="186" t="s">
        <v>53</v>
      </c>
      <c r="Q52" s="184" t="s">
        <v>598</v>
      </c>
      <c r="R52" s="184" t="s">
        <v>598</v>
      </c>
      <c r="S52" s="127" t="s">
        <v>598</v>
      </c>
      <c r="T52" s="184" t="s">
        <v>598</v>
      </c>
      <c r="U52" s="184" t="s">
        <v>598</v>
      </c>
      <c r="V52" s="185">
        <v>0</v>
      </c>
      <c r="W52" s="184" t="s">
        <v>485</v>
      </c>
      <c r="X52" s="184" t="s">
        <v>598</v>
      </c>
      <c r="Y52" s="185">
        <v>0</v>
      </c>
      <c r="Z52" s="184" t="s">
        <v>598</v>
      </c>
      <c r="AA52" s="21" t="s">
        <v>610</v>
      </c>
      <c r="AB52" s="176" t="s">
        <v>489</v>
      </c>
      <c r="AC52" s="172">
        <v>42996.328472222223</v>
      </c>
      <c r="AD52" s="32" t="s">
        <v>552</v>
      </c>
    </row>
    <row r="53" spans="1:30">
      <c r="A53" s="184">
        <v>52</v>
      </c>
      <c r="B53" s="184" t="s">
        <v>713</v>
      </c>
      <c r="C53" s="184" t="s">
        <v>598</v>
      </c>
      <c r="D53" s="127">
        <v>42843</v>
      </c>
      <c r="E53" s="127" t="s">
        <v>598</v>
      </c>
      <c r="F53" s="184" t="s">
        <v>714</v>
      </c>
      <c r="G53" s="185">
        <v>0</v>
      </c>
      <c r="H53" s="184" t="s">
        <v>598</v>
      </c>
      <c r="I53" s="184" t="s">
        <v>134</v>
      </c>
      <c r="J53" s="184" t="s">
        <v>108</v>
      </c>
      <c r="K53" s="184" t="s">
        <v>182</v>
      </c>
      <c r="L53" s="184" t="s">
        <v>598</v>
      </c>
      <c r="M53" s="184" t="s">
        <v>598</v>
      </c>
      <c r="N53" s="184" t="s">
        <v>30</v>
      </c>
      <c r="O53" s="184" t="s">
        <v>30</v>
      </c>
      <c r="P53" s="186" t="s">
        <v>44</v>
      </c>
      <c r="Q53" s="184" t="s">
        <v>598</v>
      </c>
      <c r="R53" s="184" t="s">
        <v>598</v>
      </c>
      <c r="S53" s="127" t="s">
        <v>598</v>
      </c>
      <c r="T53" s="184" t="s">
        <v>598</v>
      </c>
      <c r="U53" s="184" t="s">
        <v>598</v>
      </c>
      <c r="V53" s="185">
        <v>0</v>
      </c>
      <c r="W53" s="184" t="s">
        <v>485</v>
      </c>
      <c r="X53" s="184" t="s">
        <v>598</v>
      </c>
      <c r="Y53" s="185">
        <v>0</v>
      </c>
      <c r="Z53" s="184" t="s">
        <v>598</v>
      </c>
      <c r="AA53" s="21" t="s">
        <v>610</v>
      </c>
      <c r="AB53" s="176" t="s">
        <v>489</v>
      </c>
      <c r="AC53" s="172">
        <v>42996.328472222223</v>
      </c>
      <c r="AD53" s="32" t="s">
        <v>552</v>
      </c>
    </row>
    <row r="54" spans="1:30">
      <c r="A54" s="184">
        <v>53</v>
      </c>
      <c r="B54" s="184" t="s">
        <v>715</v>
      </c>
      <c r="C54" s="184" t="s">
        <v>598</v>
      </c>
      <c r="D54" s="127">
        <v>42846</v>
      </c>
      <c r="E54" s="127" t="s">
        <v>598</v>
      </c>
      <c r="F54" s="184" t="s">
        <v>716</v>
      </c>
      <c r="G54" s="185">
        <v>0</v>
      </c>
      <c r="H54" s="184" t="s">
        <v>598</v>
      </c>
      <c r="I54" s="184" t="s">
        <v>118</v>
      </c>
      <c r="J54" s="184" t="s">
        <v>108</v>
      </c>
      <c r="K54" s="184" t="s">
        <v>171</v>
      </c>
      <c r="L54" s="184" t="s">
        <v>598</v>
      </c>
      <c r="M54" s="184" t="s">
        <v>598</v>
      </c>
      <c r="N54" s="184" t="s">
        <v>30</v>
      </c>
      <c r="O54" s="184" t="s">
        <v>176</v>
      </c>
      <c r="P54" s="186" t="s">
        <v>67</v>
      </c>
      <c r="Q54" s="184" t="s">
        <v>598</v>
      </c>
      <c r="R54" s="184" t="s">
        <v>598</v>
      </c>
      <c r="S54" s="127" t="s">
        <v>598</v>
      </c>
      <c r="T54" s="184" t="s">
        <v>598</v>
      </c>
      <c r="U54" s="184" t="s">
        <v>598</v>
      </c>
      <c r="V54" s="185">
        <v>0</v>
      </c>
      <c r="W54" s="184" t="s">
        <v>485</v>
      </c>
      <c r="X54" s="184" t="s">
        <v>598</v>
      </c>
      <c r="Y54" s="185">
        <v>0</v>
      </c>
      <c r="Z54" s="184" t="s">
        <v>598</v>
      </c>
      <c r="AA54" s="21" t="s">
        <v>610</v>
      </c>
      <c r="AB54" s="176" t="s">
        <v>489</v>
      </c>
      <c r="AC54" s="172">
        <v>42996.328472222223</v>
      </c>
      <c r="AD54" s="32" t="s">
        <v>552</v>
      </c>
    </row>
    <row r="55" spans="1:30">
      <c r="A55" s="184">
        <v>54</v>
      </c>
      <c r="B55" s="184" t="s">
        <v>717</v>
      </c>
      <c r="C55" s="184" t="s">
        <v>598</v>
      </c>
      <c r="D55" s="127">
        <v>42846</v>
      </c>
      <c r="E55" s="127" t="s">
        <v>598</v>
      </c>
      <c r="F55" s="184" t="s">
        <v>718</v>
      </c>
      <c r="G55" s="185">
        <v>0</v>
      </c>
      <c r="H55" s="184" t="s">
        <v>598</v>
      </c>
      <c r="I55" s="184" t="s">
        <v>118</v>
      </c>
      <c r="J55" s="184" t="s">
        <v>108</v>
      </c>
      <c r="K55" s="184" t="s">
        <v>179</v>
      </c>
      <c r="L55" s="184" t="s">
        <v>598</v>
      </c>
      <c r="M55" s="184" t="s">
        <v>598</v>
      </c>
      <c r="N55" s="184" t="s">
        <v>30</v>
      </c>
      <c r="O55" s="184" t="s">
        <v>30</v>
      </c>
      <c r="P55" s="186" t="s">
        <v>602</v>
      </c>
      <c r="Q55" s="184" t="s">
        <v>598</v>
      </c>
      <c r="R55" s="184" t="s">
        <v>598</v>
      </c>
      <c r="S55" s="127" t="s">
        <v>598</v>
      </c>
      <c r="T55" s="184" t="s">
        <v>598</v>
      </c>
      <c r="U55" s="184" t="s">
        <v>598</v>
      </c>
      <c r="V55" s="185">
        <v>0</v>
      </c>
      <c r="W55" s="184" t="s">
        <v>485</v>
      </c>
      <c r="X55" s="184" t="s">
        <v>598</v>
      </c>
      <c r="Y55" s="185">
        <v>0</v>
      </c>
      <c r="Z55" s="184" t="s">
        <v>598</v>
      </c>
      <c r="AA55" s="21" t="s">
        <v>610</v>
      </c>
      <c r="AB55" s="176" t="s">
        <v>489</v>
      </c>
      <c r="AC55" s="172">
        <v>42996.328472222223</v>
      </c>
      <c r="AD55" s="32" t="s">
        <v>552</v>
      </c>
    </row>
    <row r="56" spans="1:30">
      <c r="A56" s="184">
        <v>55</v>
      </c>
      <c r="B56" s="184" t="s">
        <v>719</v>
      </c>
      <c r="C56" s="184" t="s">
        <v>598</v>
      </c>
      <c r="D56" s="127">
        <v>42846</v>
      </c>
      <c r="E56" s="127" t="s">
        <v>598</v>
      </c>
      <c r="F56" s="184" t="s">
        <v>720</v>
      </c>
      <c r="G56" s="185">
        <v>0</v>
      </c>
      <c r="H56" s="184" t="s">
        <v>598</v>
      </c>
      <c r="I56" s="184" t="s">
        <v>134</v>
      </c>
      <c r="J56" s="184" t="s">
        <v>108</v>
      </c>
      <c r="K56" s="184" t="s">
        <v>165</v>
      </c>
      <c r="L56" s="184" t="s">
        <v>598</v>
      </c>
      <c r="M56" s="184" t="s">
        <v>598</v>
      </c>
      <c r="N56" s="184" t="s">
        <v>30</v>
      </c>
      <c r="O56" s="184" t="s">
        <v>30</v>
      </c>
      <c r="P56" s="186" t="s">
        <v>603</v>
      </c>
      <c r="Q56" s="184" t="s">
        <v>598</v>
      </c>
      <c r="R56" s="184" t="s">
        <v>598</v>
      </c>
      <c r="S56" s="127" t="s">
        <v>598</v>
      </c>
      <c r="T56" s="184" t="s">
        <v>598</v>
      </c>
      <c r="U56" s="184" t="s">
        <v>598</v>
      </c>
      <c r="V56" s="185">
        <v>0</v>
      </c>
      <c r="W56" s="184" t="s">
        <v>485</v>
      </c>
      <c r="X56" s="184" t="s">
        <v>598</v>
      </c>
      <c r="Y56" s="185">
        <v>0</v>
      </c>
      <c r="Z56" s="184" t="s">
        <v>598</v>
      </c>
      <c r="AA56" s="21" t="s">
        <v>610</v>
      </c>
      <c r="AB56" s="176" t="s">
        <v>489</v>
      </c>
      <c r="AC56" s="172">
        <v>42996.328472222223</v>
      </c>
      <c r="AD56" s="32" t="s">
        <v>552</v>
      </c>
    </row>
    <row r="57" spans="1:30">
      <c r="A57" s="184">
        <v>56</v>
      </c>
      <c r="B57" s="184" t="s">
        <v>721</v>
      </c>
      <c r="C57" s="184" t="s">
        <v>598</v>
      </c>
      <c r="D57" s="127">
        <v>42847</v>
      </c>
      <c r="E57" s="127" t="s">
        <v>598</v>
      </c>
      <c r="F57" s="184" t="s">
        <v>722</v>
      </c>
      <c r="G57" s="185">
        <v>0</v>
      </c>
      <c r="H57" s="184" t="s">
        <v>598</v>
      </c>
      <c r="I57" s="184" t="s">
        <v>134</v>
      </c>
      <c r="J57" s="184" t="s">
        <v>108</v>
      </c>
      <c r="K57" s="184" t="s">
        <v>170</v>
      </c>
      <c r="L57" s="184" t="s">
        <v>598</v>
      </c>
      <c r="M57" s="184" t="s">
        <v>598</v>
      </c>
      <c r="N57" s="184" t="s">
        <v>30</v>
      </c>
      <c r="O57" s="184" t="s">
        <v>30</v>
      </c>
      <c r="P57" s="186" t="s">
        <v>604</v>
      </c>
      <c r="Q57" s="184" t="s">
        <v>598</v>
      </c>
      <c r="R57" s="184" t="s">
        <v>598</v>
      </c>
      <c r="S57" s="127" t="s">
        <v>598</v>
      </c>
      <c r="T57" s="184" t="s">
        <v>598</v>
      </c>
      <c r="U57" s="184" t="s">
        <v>598</v>
      </c>
      <c r="V57" s="185">
        <v>0</v>
      </c>
      <c r="W57" s="184" t="s">
        <v>485</v>
      </c>
      <c r="X57" s="184" t="s">
        <v>598</v>
      </c>
      <c r="Y57" s="185">
        <v>0</v>
      </c>
      <c r="Z57" s="184" t="s">
        <v>598</v>
      </c>
      <c r="AA57" s="21" t="s">
        <v>610</v>
      </c>
      <c r="AB57" s="176" t="s">
        <v>489</v>
      </c>
      <c r="AC57" s="172">
        <v>42996.328472222223</v>
      </c>
      <c r="AD57" s="32" t="s">
        <v>552</v>
      </c>
    </row>
    <row r="58" spans="1:30">
      <c r="A58" s="184">
        <v>57</v>
      </c>
      <c r="B58" s="184" t="s">
        <v>723</v>
      </c>
      <c r="C58" s="184" t="s">
        <v>598</v>
      </c>
      <c r="D58" s="127">
        <v>42851</v>
      </c>
      <c r="E58" s="127" t="s">
        <v>598</v>
      </c>
      <c r="F58" s="184" t="s">
        <v>724</v>
      </c>
      <c r="G58" s="185">
        <v>0</v>
      </c>
      <c r="H58" s="184" t="s">
        <v>598</v>
      </c>
      <c r="I58" s="184" t="s">
        <v>134</v>
      </c>
      <c r="J58" s="184" t="s">
        <v>108</v>
      </c>
      <c r="K58" s="184" t="s">
        <v>182</v>
      </c>
      <c r="L58" s="184" t="s">
        <v>598</v>
      </c>
      <c r="M58" s="184" t="s">
        <v>598</v>
      </c>
      <c r="N58" s="184" t="s">
        <v>30</v>
      </c>
      <c r="O58" s="184" t="s">
        <v>30</v>
      </c>
      <c r="P58" s="186" t="s">
        <v>605</v>
      </c>
      <c r="Q58" s="184" t="s">
        <v>598</v>
      </c>
      <c r="R58" s="184" t="s">
        <v>598</v>
      </c>
      <c r="S58" s="127" t="s">
        <v>598</v>
      </c>
      <c r="T58" s="184" t="s">
        <v>598</v>
      </c>
      <c r="U58" s="184" t="s">
        <v>598</v>
      </c>
      <c r="V58" s="185">
        <v>0</v>
      </c>
      <c r="W58" s="184" t="s">
        <v>485</v>
      </c>
      <c r="X58" s="184" t="s">
        <v>598</v>
      </c>
      <c r="Y58" s="185">
        <v>0</v>
      </c>
      <c r="Z58" s="184" t="s">
        <v>598</v>
      </c>
      <c r="AA58" s="21" t="s">
        <v>610</v>
      </c>
      <c r="AB58" s="176" t="s">
        <v>489</v>
      </c>
      <c r="AC58" s="172">
        <v>42996.328472222223</v>
      </c>
      <c r="AD58" s="32" t="s">
        <v>552</v>
      </c>
    </row>
    <row r="59" spans="1:30">
      <c r="A59" s="184">
        <v>58</v>
      </c>
      <c r="B59" s="184" t="s">
        <v>725</v>
      </c>
      <c r="C59" s="184" t="s">
        <v>598</v>
      </c>
      <c r="D59" s="127">
        <v>42852</v>
      </c>
      <c r="E59" s="127" t="s">
        <v>598</v>
      </c>
      <c r="F59" s="184" t="s">
        <v>598</v>
      </c>
      <c r="G59" s="185">
        <v>0</v>
      </c>
      <c r="H59" s="184" t="s">
        <v>598</v>
      </c>
      <c r="I59" s="184" t="s">
        <v>134</v>
      </c>
      <c r="J59" s="184" t="s">
        <v>108</v>
      </c>
      <c r="K59" s="184" t="s">
        <v>163</v>
      </c>
      <c r="L59" s="184" t="s">
        <v>598</v>
      </c>
      <c r="M59" s="184" t="s">
        <v>598</v>
      </c>
      <c r="N59" s="184" t="s">
        <v>30</v>
      </c>
      <c r="O59" s="184" t="s">
        <v>30</v>
      </c>
      <c r="P59" s="186" t="s">
        <v>606</v>
      </c>
      <c r="Q59" s="184" t="s">
        <v>598</v>
      </c>
      <c r="R59" s="184" t="s">
        <v>598</v>
      </c>
      <c r="S59" s="127" t="s">
        <v>598</v>
      </c>
      <c r="T59" s="184" t="s">
        <v>598</v>
      </c>
      <c r="U59" s="184" t="s">
        <v>598</v>
      </c>
      <c r="V59" s="185">
        <v>0</v>
      </c>
      <c r="W59" s="184" t="s">
        <v>598</v>
      </c>
      <c r="X59" s="184" t="s">
        <v>598</v>
      </c>
      <c r="Y59" s="185">
        <v>0</v>
      </c>
      <c r="Z59" s="184" t="s">
        <v>598</v>
      </c>
      <c r="AA59" s="21" t="s">
        <v>598</v>
      </c>
      <c r="AB59" s="176" t="s">
        <v>489</v>
      </c>
      <c r="AC59" s="172">
        <v>42996.328472222223</v>
      </c>
      <c r="AD59" s="32" t="s">
        <v>552</v>
      </c>
    </row>
    <row r="60" spans="1:30">
      <c r="A60" s="184">
        <v>59</v>
      </c>
      <c r="B60" s="184" t="s">
        <v>726</v>
      </c>
      <c r="C60" s="184" t="s">
        <v>598</v>
      </c>
      <c r="D60" s="127">
        <v>42853</v>
      </c>
      <c r="E60" s="127" t="s">
        <v>598</v>
      </c>
      <c r="F60" s="184" t="s">
        <v>727</v>
      </c>
      <c r="G60" s="185">
        <v>0</v>
      </c>
      <c r="H60" s="184" t="s">
        <v>598</v>
      </c>
      <c r="I60" s="184" t="s">
        <v>132</v>
      </c>
      <c r="J60" s="184" t="s">
        <v>108</v>
      </c>
      <c r="K60" s="184" t="s">
        <v>184</v>
      </c>
      <c r="L60" s="184" t="s">
        <v>598</v>
      </c>
      <c r="M60" s="184" t="s">
        <v>598</v>
      </c>
      <c r="N60" s="184" t="s">
        <v>30</v>
      </c>
      <c r="O60" s="184" t="s">
        <v>98</v>
      </c>
      <c r="P60" s="186" t="s">
        <v>607</v>
      </c>
      <c r="Q60" s="184" t="s">
        <v>598</v>
      </c>
      <c r="R60" s="184" t="s">
        <v>598</v>
      </c>
      <c r="S60" s="127" t="s">
        <v>598</v>
      </c>
      <c r="T60" s="184" t="s">
        <v>598</v>
      </c>
      <c r="U60" s="184" t="s">
        <v>598</v>
      </c>
      <c r="V60" s="185">
        <v>0</v>
      </c>
      <c r="W60" s="184" t="s">
        <v>485</v>
      </c>
      <c r="X60" s="184" t="s">
        <v>598</v>
      </c>
      <c r="Y60" s="185">
        <v>0</v>
      </c>
      <c r="Z60" s="184" t="s">
        <v>598</v>
      </c>
      <c r="AA60" s="21" t="s">
        <v>610</v>
      </c>
      <c r="AB60" s="176" t="s">
        <v>489</v>
      </c>
      <c r="AC60" s="172">
        <v>42996.328472222223</v>
      </c>
      <c r="AD60" s="32" t="s">
        <v>552</v>
      </c>
    </row>
    <row r="61" spans="1:30">
      <c r="A61" s="184">
        <v>60</v>
      </c>
      <c r="B61" s="184" t="s">
        <v>728</v>
      </c>
      <c r="C61" s="184" t="s">
        <v>598</v>
      </c>
      <c r="D61" s="127">
        <v>42857</v>
      </c>
      <c r="E61" s="127" t="s">
        <v>598</v>
      </c>
      <c r="F61" s="184" t="s">
        <v>729</v>
      </c>
      <c r="G61" s="185">
        <v>0</v>
      </c>
      <c r="H61" s="184" t="s">
        <v>598</v>
      </c>
      <c r="I61" s="184" t="s">
        <v>134</v>
      </c>
      <c r="J61" s="184" t="s">
        <v>108</v>
      </c>
      <c r="K61" s="184" t="s">
        <v>179</v>
      </c>
      <c r="L61" s="184" t="s">
        <v>598</v>
      </c>
      <c r="M61" s="184" t="s">
        <v>598</v>
      </c>
      <c r="N61" s="184" t="s">
        <v>30</v>
      </c>
      <c r="O61" s="184" t="s">
        <v>30</v>
      </c>
      <c r="P61" s="186" t="s">
        <v>73</v>
      </c>
      <c r="Q61" s="184" t="s">
        <v>598</v>
      </c>
      <c r="R61" s="184" t="s">
        <v>598</v>
      </c>
      <c r="S61" s="127">
        <v>42892</v>
      </c>
      <c r="T61" s="184" t="s">
        <v>10</v>
      </c>
      <c r="U61" s="184" t="s">
        <v>598</v>
      </c>
      <c r="V61" s="185">
        <v>6000</v>
      </c>
      <c r="W61" s="184" t="s">
        <v>493</v>
      </c>
      <c r="X61" s="184" t="s">
        <v>598</v>
      </c>
      <c r="Y61" s="185">
        <v>0</v>
      </c>
      <c r="Z61" s="184" t="s">
        <v>598</v>
      </c>
      <c r="AA61" s="21" t="s">
        <v>610</v>
      </c>
      <c r="AB61" s="176" t="s">
        <v>489</v>
      </c>
      <c r="AC61" s="172">
        <v>42996.328472222223</v>
      </c>
      <c r="AD61" s="32" t="s">
        <v>552</v>
      </c>
    </row>
    <row r="62" spans="1:30">
      <c r="A62" s="184">
        <v>61</v>
      </c>
      <c r="B62" s="184" t="s">
        <v>730</v>
      </c>
      <c r="C62" s="184" t="s">
        <v>598</v>
      </c>
      <c r="D62" s="127">
        <v>42857</v>
      </c>
      <c r="E62" s="127" t="s">
        <v>598</v>
      </c>
      <c r="F62" s="184" t="s">
        <v>731</v>
      </c>
      <c r="G62" s="185">
        <v>0</v>
      </c>
      <c r="H62" s="184" t="s">
        <v>598</v>
      </c>
      <c r="I62" s="184" t="s">
        <v>134</v>
      </c>
      <c r="J62" s="184" t="s">
        <v>108</v>
      </c>
      <c r="K62" s="184" t="s">
        <v>336</v>
      </c>
      <c r="L62" s="184" t="s">
        <v>598</v>
      </c>
      <c r="M62" s="184" t="s">
        <v>598</v>
      </c>
      <c r="N62" s="184" t="s">
        <v>30</v>
      </c>
      <c r="O62" s="184" t="s">
        <v>30</v>
      </c>
      <c r="P62" s="186" t="s">
        <v>601</v>
      </c>
      <c r="Q62" s="184" t="s">
        <v>598</v>
      </c>
      <c r="R62" s="184" t="s">
        <v>598</v>
      </c>
      <c r="S62" s="127" t="s">
        <v>598</v>
      </c>
      <c r="T62" s="184" t="s">
        <v>598</v>
      </c>
      <c r="U62" s="184" t="s">
        <v>598</v>
      </c>
      <c r="V62" s="185">
        <v>0</v>
      </c>
      <c r="W62" s="184" t="s">
        <v>485</v>
      </c>
      <c r="X62" s="184" t="s">
        <v>598</v>
      </c>
      <c r="Y62" s="185">
        <v>0</v>
      </c>
      <c r="Z62" s="184" t="s">
        <v>598</v>
      </c>
      <c r="AA62" s="21" t="s">
        <v>610</v>
      </c>
      <c r="AB62" s="176" t="s">
        <v>489</v>
      </c>
      <c r="AC62" s="172">
        <v>42996.328472222223</v>
      </c>
      <c r="AD62" s="32" t="s">
        <v>552</v>
      </c>
    </row>
    <row r="63" spans="1:30">
      <c r="A63" s="184">
        <v>62</v>
      </c>
      <c r="B63" s="184" t="s">
        <v>732</v>
      </c>
      <c r="C63" s="184" t="s">
        <v>598</v>
      </c>
      <c r="D63" s="127">
        <v>42858</v>
      </c>
      <c r="E63" s="127" t="s">
        <v>598</v>
      </c>
      <c r="F63" s="184" t="s">
        <v>733</v>
      </c>
      <c r="G63" s="185">
        <v>0</v>
      </c>
      <c r="H63" s="184" t="s">
        <v>598</v>
      </c>
      <c r="I63" s="184" t="s">
        <v>132</v>
      </c>
      <c r="J63" s="184" t="s">
        <v>108</v>
      </c>
      <c r="K63" s="184" t="s">
        <v>164</v>
      </c>
      <c r="L63" s="184" t="s">
        <v>598</v>
      </c>
      <c r="M63" s="184" t="s">
        <v>598</v>
      </c>
      <c r="N63" s="184" t="s">
        <v>30</v>
      </c>
      <c r="O63" s="184" t="s">
        <v>30</v>
      </c>
      <c r="P63" s="186" t="s">
        <v>601</v>
      </c>
      <c r="Q63" s="184" t="s">
        <v>598</v>
      </c>
      <c r="R63" s="184" t="s">
        <v>598</v>
      </c>
      <c r="S63" s="127" t="s">
        <v>598</v>
      </c>
      <c r="T63" s="184" t="s">
        <v>598</v>
      </c>
      <c r="U63" s="184" t="s">
        <v>598</v>
      </c>
      <c r="V63" s="185">
        <v>0</v>
      </c>
      <c r="W63" s="184" t="s">
        <v>485</v>
      </c>
      <c r="X63" s="184" t="s">
        <v>598</v>
      </c>
      <c r="Y63" s="185">
        <v>0</v>
      </c>
      <c r="Z63" s="184" t="s">
        <v>598</v>
      </c>
      <c r="AA63" s="21" t="s">
        <v>610</v>
      </c>
      <c r="AB63" s="176" t="s">
        <v>489</v>
      </c>
      <c r="AC63" s="172">
        <v>42996.328472222223</v>
      </c>
      <c r="AD63" s="32" t="s">
        <v>552</v>
      </c>
    </row>
    <row r="64" spans="1:30">
      <c r="A64" s="184">
        <v>63</v>
      </c>
      <c r="B64" s="184" t="s">
        <v>734</v>
      </c>
      <c r="C64" s="184" t="s">
        <v>598</v>
      </c>
      <c r="D64" s="127">
        <v>42858</v>
      </c>
      <c r="E64" s="127" t="s">
        <v>598</v>
      </c>
      <c r="F64" s="184" t="s">
        <v>735</v>
      </c>
      <c r="G64" s="185">
        <v>0</v>
      </c>
      <c r="H64" s="184" t="s">
        <v>598</v>
      </c>
      <c r="I64" s="184" t="s">
        <v>134</v>
      </c>
      <c r="J64" s="184" t="s">
        <v>108</v>
      </c>
      <c r="K64" s="184" t="s">
        <v>164</v>
      </c>
      <c r="L64" s="184" t="s">
        <v>598</v>
      </c>
      <c r="M64" s="184" t="s">
        <v>598</v>
      </c>
      <c r="N64" s="184" t="s">
        <v>30</v>
      </c>
      <c r="O64" s="184" t="s">
        <v>30</v>
      </c>
      <c r="P64" s="186" t="s">
        <v>32</v>
      </c>
      <c r="Q64" s="184" t="s">
        <v>598</v>
      </c>
      <c r="R64" s="184" t="s">
        <v>598</v>
      </c>
      <c r="S64" s="127" t="s">
        <v>598</v>
      </c>
      <c r="T64" s="184" t="s">
        <v>598</v>
      </c>
      <c r="U64" s="184" t="s">
        <v>598</v>
      </c>
      <c r="V64" s="185">
        <v>0</v>
      </c>
      <c r="W64" s="184" t="s">
        <v>485</v>
      </c>
      <c r="X64" s="184" t="s">
        <v>598</v>
      </c>
      <c r="Y64" s="185">
        <v>0</v>
      </c>
      <c r="Z64" s="184" t="s">
        <v>598</v>
      </c>
      <c r="AA64" s="21" t="s">
        <v>610</v>
      </c>
      <c r="AB64" s="176" t="s">
        <v>489</v>
      </c>
      <c r="AC64" s="172">
        <v>42996.328472222223</v>
      </c>
      <c r="AD64" s="32" t="s">
        <v>552</v>
      </c>
    </row>
    <row r="65" spans="1:30">
      <c r="A65" s="184">
        <v>64</v>
      </c>
      <c r="B65" s="184" t="s">
        <v>736</v>
      </c>
      <c r="C65" s="184" t="s">
        <v>598</v>
      </c>
      <c r="D65" s="127">
        <v>42859</v>
      </c>
      <c r="E65" s="127" t="s">
        <v>598</v>
      </c>
      <c r="F65" s="184" t="s">
        <v>737</v>
      </c>
      <c r="G65" s="185">
        <v>0</v>
      </c>
      <c r="H65" s="184" t="s">
        <v>598</v>
      </c>
      <c r="I65" s="184" t="s">
        <v>134</v>
      </c>
      <c r="J65" s="184" t="s">
        <v>108</v>
      </c>
      <c r="K65" s="184" t="s">
        <v>163</v>
      </c>
      <c r="L65" s="184" t="s">
        <v>598</v>
      </c>
      <c r="M65" s="184" t="s">
        <v>598</v>
      </c>
      <c r="N65" s="184" t="s">
        <v>30</v>
      </c>
      <c r="O65" s="184" t="s">
        <v>30</v>
      </c>
      <c r="P65" s="186" t="s">
        <v>53</v>
      </c>
      <c r="Q65" s="184" t="s">
        <v>598</v>
      </c>
      <c r="R65" s="184" t="s">
        <v>598</v>
      </c>
      <c r="S65" s="127" t="s">
        <v>598</v>
      </c>
      <c r="T65" s="184" t="s">
        <v>598</v>
      </c>
      <c r="U65" s="184" t="s">
        <v>598</v>
      </c>
      <c r="V65" s="185">
        <v>0</v>
      </c>
      <c r="W65" s="184" t="s">
        <v>485</v>
      </c>
      <c r="X65" s="184" t="s">
        <v>598</v>
      </c>
      <c r="Y65" s="185">
        <v>0</v>
      </c>
      <c r="Z65" s="184" t="s">
        <v>598</v>
      </c>
      <c r="AA65" s="21" t="s">
        <v>610</v>
      </c>
      <c r="AB65" s="176" t="s">
        <v>489</v>
      </c>
      <c r="AC65" s="172">
        <v>42996.328472222223</v>
      </c>
      <c r="AD65" s="32" t="s">
        <v>552</v>
      </c>
    </row>
    <row r="66" spans="1:30">
      <c r="A66" s="184">
        <v>65</v>
      </c>
      <c r="B66" s="184" t="s">
        <v>738</v>
      </c>
      <c r="C66" s="184" t="s">
        <v>598</v>
      </c>
      <c r="D66" s="127">
        <v>42860</v>
      </c>
      <c r="E66" s="127" t="s">
        <v>598</v>
      </c>
      <c r="F66" s="184" t="s">
        <v>739</v>
      </c>
      <c r="G66" s="185">
        <v>0</v>
      </c>
      <c r="H66" s="184" t="s">
        <v>598</v>
      </c>
      <c r="I66" s="184" t="s">
        <v>118</v>
      </c>
      <c r="J66" s="184" t="s">
        <v>108</v>
      </c>
      <c r="K66" s="184" t="s">
        <v>167</v>
      </c>
      <c r="L66" s="184" t="s">
        <v>598</v>
      </c>
      <c r="M66" s="184" t="s">
        <v>598</v>
      </c>
      <c r="N66" s="184" t="s">
        <v>30</v>
      </c>
      <c r="O66" s="184" t="s">
        <v>30</v>
      </c>
      <c r="P66" s="186" t="s">
        <v>44</v>
      </c>
      <c r="Q66" s="184" t="s">
        <v>598</v>
      </c>
      <c r="R66" s="184" t="s">
        <v>598</v>
      </c>
      <c r="S66" s="127">
        <v>42902</v>
      </c>
      <c r="T66" s="184" t="s">
        <v>10</v>
      </c>
      <c r="U66" s="184" t="s">
        <v>598</v>
      </c>
      <c r="V66" s="185">
        <v>5000</v>
      </c>
      <c r="W66" s="184" t="s">
        <v>493</v>
      </c>
      <c r="X66" s="184" t="s">
        <v>598</v>
      </c>
      <c r="Y66" s="185">
        <v>0</v>
      </c>
      <c r="Z66" s="184" t="s">
        <v>598</v>
      </c>
      <c r="AA66" s="21" t="s">
        <v>610</v>
      </c>
      <c r="AB66" s="176" t="s">
        <v>489</v>
      </c>
      <c r="AC66" s="172">
        <v>42996.328472222223</v>
      </c>
      <c r="AD66" s="32" t="s">
        <v>552</v>
      </c>
    </row>
    <row r="67" spans="1:30">
      <c r="A67" s="184">
        <v>66</v>
      </c>
      <c r="B67" s="184" t="s">
        <v>740</v>
      </c>
      <c r="C67" s="184" t="s">
        <v>598</v>
      </c>
      <c r="D67" s="127">
        <v>42860</v>
      </c>
      <c r="E67" s="127" t="s">
        <v>598</v>
      </c>
      <c r="F67" s="184" t="s">
        <v>741</v>
      </c>
      <c r="G67" s="185">
        <v>0</v>
      </c>
      <c r="H67" s="184" t="s">
        <v>598</v>
      </c>
      <c r="I67" s="184" t="s">
        <v>118</v>
      </c>
      <c r="J67" s="184" t="s">
        <v>108</v>
      </c>
      <c r="K67" s="184" t="s">
        <v>167</v>
      </c>
      <c r="L67" s="184" t="s">
        <v>598</v>
      </c>
      <c r="M67" s="184" t="s">
        <v>598</v>
      </c>
      <c r="N67" s="184" t="s">
        <v>30</v>
      </c>
      <c r="O67" s="184" t="s">
        <v>30</v>
      </c>
      <c r="P67" s="186" t="s">
        <v>67</v>
      </c>
      <c r="Q67" s="184" t="s">
        <v>598</v>
      </c>
      <c r="R67" s="184" t="s">
        <v>598</v>
      </c>
      <c r="S67" s="127" t="s">
        <v>598</v>
      </c>
      <c r="T67" s="184" t="s">
        <v>598</v>
      </c>
      <c r="U67" s="184" t="s">
        <v>598</v>
      </c>
      <c r="V67" s="185">
        <v>0</v>
      </c>
      <c r="W67" s="184" t="s">
        <v>485</v>
      </c>
      <c r="X67" s="184" t="s">
        <v>598</v>
      </c>
      <c r="Y67" s="185">
        <v>0</v>
      </c>
      <c r="Z67" s="184" t="s">
        <v>598</v>
      </c>
      <c r="AA67" s="21" t="s">
        <v>610</v>
      </c>
      <c r="AB67" s="176" t="s">
        <v>489</v>
      </c>
      <c r="AC67" s="172">
        <v>42996.328472222223</v>
      </c>
      <c r="AD67" s="32" t="s">
        <v>552</v>
      </c>
    </row>
    <row r="68" spans="1:30">
      <c r="A68" s="184">
        <v>67</v>
      </c>
      <c r="B68" s="184" t="s">
        <v>742</v>
      </c>
      <c r="C68" s="184" t="s">
        <v>598</v>
      </c>
      <c r="D68" s="127">
        <v>42864</v>
      </c>
      <c r="E68" s="127" t="s">
        <v>598</v>
      </c>
      <c r="F68" s="184" t="s">
        <v>743</v>
      </c>
      <c r="G68" s="185">
        <v>0</v>
      </c>
      <c r="H68" s="184" t="s">
        <v>598</v>
      </c>
      <c r="I68" s="184" t="s">
        <v>134</v>
      </c>
      <c r="J68" s="184" t="s">
        <v>108</v>
      </c>
      <c r="K68" s="184" t="s">
        <v>181</v>
      </c>
      <c r="L68" s="184" t="s">
        <v>598</v>
      </c>
      <c r="M68" s="184" t="s">
        <v>598</v>
      </c>
      <c r="N68" s="184" t="s">
        <v>30</v>
      </c>
      <c r="O68" s="184" t="s">
        <v>30</v>
      </c>
      <c r="P68" s="186" t="s">
        <v>602</v>
      </c>
      <c r="Q68" s="184" t="s">
        <v>598</v>
      </c>
      <c r="R68" s="184" t="s">
        <v>598</v>
      </c>
      <c r="S68" s="127" t="s">
        <v>598</v>
      </c>
      <c r="T68" s="184" t="s">
        <v>598</v>
      </c>
      <c r="U68" s="184" t="s">
        <v>598</v>
      </c>
      <c r="V68" s="185">
        <v>0</v>
      </c>
      <c r="W68" s="184" t="s">
        <v>485</v>
      </c>
      <c r="X68" s="184" t="s">
        <v>598</v>
      </c>
      <c r="Y68" s="185">
        <v>0</v>
      </c>
      <c r="Z68" s="184" t="s">
        <v>598</v>
      </c>
      <c r="AA68" s="21" t="s">
        <v>610</v>
      </c>
      <c r="AB68" s="176" t="s">
        <v>489</v>
      </c>
      <c r="AC68" s="172">
        <v>42996.328472222223</v>
      </c>
      <c r="AD68" s="32" t="s">
        <v>552</v>
      </c>
    </row>
    <row r="69" spans="1:30">
      <c r="A69" s="184">
        <v>68</v>
      </c>
      <c r="B69" s="184" t="s">
        <v>744</v>
      </c>
      <c r="C69" s="184" t="s">
        <v>598</v>
      </c>
      <c r="D69" s="127">
        <v>42864</v>
      </c>
      <c r="E69" s="127" t="s">
        <v>598</v>
      </c>
      <c r="F69" s="184" t="s">
        <v>745</v>
      </c>
      <c r="G69" s="185">
        <v>0</v>
      </c>
      <c r="H69" s="184" t="s">
        <v>598</v>
      </c>
      <c r="I69" s="184" t="s">
        <v>132</v>
      </c>
      <c r="J69" s="184" t="s">
        <v>108</v>
      </c>
      <c r="K69" s="184" t="s">
        <v>181</v>
      </c>
      <c r="L69" s="184" t="s">
        <v>598</v>
      </c>
      <c r="M69" s="184" t="s">
        <v>598</v>
      </c>
      <c r="N69" s="184" t="s">
        <v>30</v>
      </c>
      <c r="O69" s="184" t="s">
        <v>30</v>
      </c>
      <c r="P69" s="186" t="s">
        <v>603</v>
      </c>
      <c r="Q69" s="184" t="s">
        <v>598</v>
      </c>
      <c r="R69" s="184" t="s">
        <v>598</v>
      </c>
      <c r="S69" s="127">
        <v>42892</v>
      </c>
      <c r="T69" s="184" t="s">
        <v>10</v>
      </c>
      <c r="U69" s="184" t="s">
        <v>598</v>
      </c>
      <c r="V69" s="185">
        <v>4000</v>
      </c>
      <c r="W69" s="184" t="s">
        <v>493</v>
      </c>
      <c r="X69" s="184" t="s">
        <v>598</v>
      </c>
      <c r="Y69" s="185">
        <v>0</v>
      </c>
      <c r="Z69" s="184" t="s">
        <v>598</v>
      </c>
      <c r="AA69" s="21" t="s">
        <v>610</v>
      </c>
      <c r="AB69" s="176" t="s">
        <v>489</v>
      </c>
      <c r="AC69" s="172">
        <v>42996.328472222223</v>
      </c>
      <c r="AD69" s="32" t="s">
        <v>552</v>
      </c>
    </row>
    <row r="70" spans="1:30">
      <c r="A70" s="184">
        <v>69</v>
      </c>
      <c r="B70" s="184" t="s">
        <v>746</v>
      </c>
      <c r="C70" s="184" t="s">
        <v>598</v>
      </c>
      <c r="D70" s="127">
        <v>42864</v>
      </c>
      <c r="E70" s="127" t="s">
        <v>598</v>
      </c>
      <c r="F70" s="184" t="s">
        <v>747</v>
      </c>
      <c r="G70" s="185">
        <v>0</v>
      </c>
      <c r="H70" s="184" t="s">
        <v>598</v>
      </c>
      <c r="I70" s="184" t="s">
        <v>107</v>
      </c>
      <c r="J70" s="184" t="s">
        <v>108</v>
      </c>
      <c r="K70" s="184" t="s">
        <v>181</v>
      </c>
      <c r="L70" s="184" t="s">
        <v>598</v>
      </c>
      <c r="M70" s="184" t="s">
        <v>598</v>
      </c>
      <c r="N70" s="184" t="s">
        <v>30</v>
      </c>
      <c r="O70" s="184" t="s">
        <v>30</v>
      </c>
      <c r="P70" s="186" t="s">
        <v>604</v>
      </c>
      <c r="Q70" s="184" t="s">
        <v>598</v>
      </c>
      <c r="R70" s="184" t="s">
        <v>598</v>
      </c>
      <c r="S70" s="127">
        <v>42893</v>
      </c>
      <c r="T70" s="184" t="s">
        <v>10</v>
      </c>
      <c r="U70" s="184" t="s">
        <v>598</v>
      </c>
      <c r="V70" s="185">
        <v>10000</v>
      </c>
      <c r="W70" s="184" t="s">
        <v>493</v>
      </c>
      <c r="X70" s="184" t="s">
        <v>598</v>
      </c>
      <c r="Y70" s="185">
        <v>0</v>
      </c>
      <c r="Z70" s="184" t="s">
        <v>598</v>
      </c>
      <c r="AA70" s="21" t="s">
        <v>610</v>
      </c>
      <c r="AB70" s="176" t="s">
        <v>489</v>
      </c>
      <c r="AC70" s="172">
        <v>42996.328472222223</v>
      </c>
      <c r="AD70" s="32" t="s">
        <v>552</v>
      </c>
    </row>
    <row r="71" spans="1:30">
      <c r="A71" s="184">
        <v>70</v>
      </c>
      <c r="B71" s="184" t="s">
        <v>748</v>
      </c>
      <c r="C71" s="184" t="s">
        <v>598</v>
      </c>
      <c r="D71" s="127">
        <v>42865</v>
      </c>
      <c r="E71" s="127" t="s">
        <v>598</v>
      </c>
      <c r="F71" s="184" t="s">
        <v>749</v>
      </c>
      <c r="G71" s="185">
        <v>0</v>
      </c>
      <c r="H71" s="184" t="s">
        <v>598</v>
      </c>
      <c r="I71" s="184" t="s">
        <v>135</v>
      </c>
      <c r="J71" s="184" t="s">
        <v>108</v>
      </c>
      <c r="K71" s="184" t="s">
        <v>337</v>
      </c>
      <c r="L71" s="184" t="s">
        <v>598</v>
      </c>
      <c r="M71" s="184" t="s">
        <v>598</v>
      </c>
      <c r="N71" s="184" t="s">
        <v>30</v>
      </c>
      <c r="O71" s="184" t="s">
        <v>30</v>
      </c>
      <c r="P71" s="186" t="s">
        <v>605</v>
      </c>
      <c r="Q71" s="184" t="s">
        <v>598</v>
      </c>
      <c r="R71" s="184" t="s">
        <v>598</v>
      </c>
      <c r="S71" s="127" t="s">
        <v>598</v>
      </c>
      <c r="T71" s="184" t="s">
        <v>598</v>
      </c>
      <c r="U71" s="184" t="s">
        <v>598</v>
      </c>
      <c r="V71" s="185">
        <v>0</v>
      </c>
      <c r="W71" s="184" t="s">
        <v>485</v>
      </c>
      <c r="X71" s="184" t="s">
        <v>598</v>
      </c>
      <c r="Y71" s="185">
        <v>0</v>
      </c>
      <c r="Z71" s="184" t="s">
        <v>598</v>
      </c>
      <c r="AA71" s="21" t="s">
        <v>610</v>
      </c>
      <c r="AB71" s="176" t="s">
        <v>489</v>
      </c>
      <c r="AC71" s="172">
        <v>42996.328472222223</v>
      </c>
      <c r="AD71" s="32" t="s">
        <v>552</v>
      </c>
    </row>
    <row r="72" spans="1:30">
      <c r="A72" s="184">
        <v>71</v>
      </c>
      <c r="B72" s="184" t="s">
        <v>750</v>
      </c>
      <c r="C72" s="184" t="s">
        <v>598</v>
      </c>
      <c r="D72" s="127">
        <v>42865</v>
      </c>
      <c r="E72" s="127" t="s">
        <v>598</v>
      </c>
      <c r="F72" s="184" t="s">
        <v>751</v>
      </c>
      <c r="G72" s="185">
        <v>0</v>
      </c>
      <c r="H72" s="184" t="s">
        <v>598</v>
      </c>
      <c r="I72" s="184" t="s">
        <v>134</v>
      </c>
      <c r="J72" s="184" t="s">
        <v>108</v>
      </c>
      <c r="K72" s="184" t="s">
        <v>598</v>
      </c>
      <c r="L72" s="184" t="s">
        <v>598</v>
      </c>
      <c r="M72" s="184" t="s">
        <v>598</v>
      </c>
      <c r="N72" s="184" t="s">
        <v>30</v>
      </c>
      <c r="O72" s="184" t="s">
        <v>30</v>
      </c>
      <c r="P72" s="186" t="s">
        <v>606</v>
      </c>
      <c r="Q72" s="184" t="s">
        <v>598</v>
      </c>
      <c r="R72" s="184" t="s">
        <v>598</v>
      </c>
      <c r="S72" s="127" t="s">
        <v>598</v>
      </c>
      <c r="T72" s="184" t="s">
        <v>598</v>
      </c>
      <c r="U72" s="184" t="s">
        <v>598</v>
      </c>
      <c r="V72" s="185">
        <v>0</v>
      </c>
      <c r="W72" s="184" t="s">
        <v>485</v>
      </c>
      <c r="X72" s="184" t="s">
        <v>598</v>
      </c>
      <c r="Y72" s="185">
        <v>0</v>
      </c>
      <c r="Z72" s="184" t="s">
        <v>598</v>
      </c>
      <c r="AA72" s="21" t="s">
        <v>610</v>
      </c>
      <c r="AB72" s="176" t="s">
        <v>489</v>
      </c>
      <c r="AC72" s="172">
        <v>42996.328472222223</v>
      </c>
      <c r="AD72" s="32" t="s">
        <v>552</v>
      </c>
    </row>
    <row r="73" spans="1:30">
      <c r="A73" s="184">
        <v>72</v>
      </c>
      <c r="B73" s="184" t="s">
        <v>752</v>
      </c>
      <c r="C73" s="184" t="s">
        <v>598</v>
      </c>
      <c r="D73" s="127">
        <v>42866</v>
      </c>
      <c r="E73" s="127" t="s">
        <v>598</v>
      </c>
      <c r="F73" s="184" t="s">
        <v>753</v>
      </c>
      <c r="G73" s="185">
        <v>0</v>
      </c>
      <c r="H73" s="184" t="s">
        <v>598</v>
      </c>
      <c r="I73" s="184" t="s">
        <v>83</v>
      </c>
      <c r="J73" s="184" t="s">
        <v>108</v>
      </c>
      <c r="K73" s="184" t="s">
        <v>171</v>
      </c>
      <c r="L73" s="184" t="s">
        <v>598</v>
      </c>
      <c r="M73" s="184" t="s">
        <v>598</v>
      </c>
      <c r="N73" s="184" t="s">
        <v>30</v>
      </c>
      <c r="O73" s="184" t="s">
        <v>30</v>
      </c>
      <c r="P73" s="186" t="s">
        <v>607</v>
      </c>
      <c r="Q73" s="184" t="s">
        <v>598</v>
      </c>
      <c r="R73" s="184" t="s">
        <v>598</v>
      </c>
      <c r="S73" s="127" t="s">
        <v>598</v>
      </c>
      <c r="T73" s="184" t="s">
        <v>598</v>
      </c>
      <c r="U73" s="184" t="s">
        <v>598</v>
      </c>
      <c r="V73" s="185">
        <v>0</v>
      </c>
      <c r="W73" s="184" t="s">
        <v>485</v>
      </c>
      <c r="X73" s="184" t="s">
        <v>598</v>
      </c>
      <c r="Y73" s="185">
        <v>0</v>
      </c>
      <c r="Z73" s="184" t="s">
        <v>598</v>
      </c>
      <c r="AA73" s="21" t="s">
        <v>610</v>
      </c>
      <c r="AB73" s="176" t="s">
        <v>489</v>
      </c>
      <c r="AC73" s="172">
        <v>42996.328472222223</v>
      </c>
      <c r="AD73" s="32" t="s">
        <v>552</v>
      </c>
    </row>
    <row r="74" spans="1:30">
      <c r="A74" s="184">
        <v>73</v>
      </c>
      <c r="B74" s="184" t="s">
        <v>754</v>
      </c>
      <c r="C74" s="184" t="s">
        <v>598</v>
      </c>
      <c r="D74" s="127">
        <v>42867</v>
      </c>
      <c r="E74" s="127" t="s">
        <v>598</v>
      </c>
      <c r="F74" s="184" t="s">
        <v>755</v>
      </c>
      <c r="G74" s="185">
        <v>0</v>
      </c>
      <c r="H74" s="184" t="s">
        <v>598</v>
      </c>
      <c r="I74" s="184" t="s">
        <v>134</v>
      </c>
      <c r="J74" s="184" t="s">
        <v>108</v>
      </c>
      <c r="K74" s="184" t="s">
        <v>338</v>
      </c>
      <c r="L74" s="184" t="s">
        <v>598</v>
      </c>
      <c r="M74" s="184" t="s">
        <v>598</v>
      </c>
      <c r="N74" s="184" t="s">
        <v>30</v>
      </c>
      <c r="O74" s="184" t="s">
        <v>30</v>
      </c>
      <c r="P74" s="186" t="s">
        <v>73</v>
      </c>
      <c r="Q74" s="184" t="s">
        <v>598</v>
      </c>
      <c r="R74" s="184" t="s">
        <v>598</v>
      </c>
      <c r="S74" s="127" t="s">
        <v>598</v>
      </c>
      <c r="T74" s="184" t="s">
        <v>598</v>
      </c>
      <c r="U74" s="184" t="s">
        <v>598</v>
      </c>
      <c r="V74" s="185">
        <v>0</v>
      </c>
      <c r="W74" s="184" t="s">
        <v>485</v>
      </c>
      <c r="X74" s="184" t="s">
        <v>598</v>
      </c>
      <c r="Y74" s="185">
        <v>0</v>
      </c>
      <c r="Z74" s="184" t="s">
        <v>598</v>
      </c>
      <c r="AA74" s="21" t="s">
        <v>610</v>
      </c>
      <c r="AB74" s="176" t="s">
        <v>489</v>
      </c>
      <c r="AC74" s="172">
        <v>42996.328472222223</v>
      </c>
      <c r="AD74" s="32" t="s">
        <v>552</v>
      </c>
    </row>
    <row r="75" spans="1:30">
      <c r="A75" s="184">
        <v>74</v>
      </c>
      <c r="B75" s="184" t="s">
        <v>756</v>
      </c>
      <c r="C75" s="184" t="s">
        <v>598</v>
      </c>
      <c r="D75" s="127">
        <v>42867</v>
      </c>
      <c r="E75" s="127" t="s">
        <v>598</v>
      </c>
      <c r="F75" s="184" t="s">
        <v>757</v>
      </c>
      <c r="G75" s="185">
        <v>0</v>
      </c>
      <c r="H75" s="184" t="s">
        <v>598</v>
      </c>
      <c r="I75" s="184" t="s">
        <v>107</v>
      </c>
      <c r="J75" s="184" t="s">
        <v>108</v>
      </c>
      <c r="K75" s="184" t="s">
        <v>339</v>
      </c>
      <c r="L75" s="184" t="s">
        <v>598</v>
      </c>
      <c r="M75" s="184" t="s">
        <v>598</v>
      </c>
      <c r="N75" s="184" t="s">
        <v>30</v>
      </c>
      <c r="O75" s="184" t="s">
        <v>30</v>
      </c>
      <c r="P75" s="186" t="s">
        <v>601</v>
      </c>
      <c r="Q75" s="184" t="s">
        <v>598</v>
      </c>
      <c r="R75" s="184" t="s">
        <v>598</v>
      </c>
      <c r="S75" s="127" t="s">
        <v>598</v>
      </c>
      <c r="T75" s="184" t="s">
        <v>598</v>
      </c>
      <c r="U75" s="184" t="s">
        <v>598</v>
      </c>
      <c r="V75" s="185">
        <v>0</v>
      </c>
      <c r="W75" s="184" t="s">
        <v>485</v>
      </c>
      <c r="X75" s="184" t="s">
        <v>598</v>
      </c>
      <c r="Y75" s="185">
        <v>0</v>
      </c>
      <c r="Z75" s="184" t="s">
        <v>598</v>
      </c>
      <c r="AA75" s="21" t="s">
        <v>610</v>
      </c>
      <c r="AB75" s="176" t="s">
        <v>489</v>
      </c>
      <c r="AC75" s="172">
        <v>42996.328472222223</v>
      </c>
      <c r="AD75" s="32" t="s">
        <v>552</v>
      </c>
    </row>
    <row r="76" spans="1:30">
      <c r="A76" s="184">
        <v>75</v>
      </c>
      <c r="B76" s="184" t="s">
        <v>758</v>
      </c>
      <c r="C76" s="184" t="s">
        <v>598</v>
      </c>
      <c r="D76" s="127">
        <v>42867</v>
      </c>
      <c r="E76" s="127" t="s">
        <v>598</v>
      </c>
      <c r="F76" s="184" t="s">
        <v>759</v>
      </c>
      <c r="G76" s="185">
        <v>0</v>
      </c>
      <c r="H76" s="184" t="s">
        <v>598</v>
      </c>
      <c r="I76" s="184" t="s">
        <v>134</v>
      </c>
      <c r="J76" s="184" t="s">
        <v>108</v>
      </c>
      <c r="K76" s="184" t="s">
        <v>175</v>
      </c>
      <c r="L76" s="184" t="s">
        <v>598</v>
      </c>
      <c r="M76" s="184" t="s">
        <v>598</v>
      </c>
      <c r="N76" s="184" t="s">
        <v>30</v>
      </c>
      <c r="O76" s="184" t="s">
        <v>30</v>
      </c>
      <c r="P76" s="186" t="s">
        <v>32</v>
      </c>
      <c r="Q76" s="184" t="s">
        <v>598</v>
      </c>
      <c r="R76" s="184" t="s">
        <v>598</v>
      </c>
      <c r="S76" s="127">
        <v>42893</v>
      </c>
      <c r="T76" s="184" t="s">
        <v>10</v>
      </c>
      <c r="U76" s="184" t="s">
        <v>598</v>
      </c>
      <c r="V76" s="185">
        <v>4000</v>
      </c>
      <c r="W76" s="184" t="s">
        <v>493</v>
      </c>
      <c r="X76" s="184" t="s">
        <v>598</v>
      </c>
      <c r="Y76" s="185">
        <v>0</v>
      </c>
      <c r="Z76" s="184" t="s">
        <v>598</v>
      </c>
      <c r="AA76" s="21" t="s">
        <v>610</v>
      </c>
      <c r="AB76" s="176" t="s">
        <v>489</v>
      </c>
      <c r="AC76" s="172">
        <v>42996.328472222223</v>
      </c>
      <c r="AD76" s="32" t="s">
        <v>552</v>
      </c>
    </row>
    <row r="77" spans="1:30">
      <c r="A77" s="184">
        <v>76</v>
      </c>
      <c r="B77" s="184" t="s">
        <v>760</v>
      </c>
      <c r="C77" s="184" t="s">
        <v>598</v>
      </c>
      <c r="D77" s="127">
        <v>42868</v>
      </c>
      <c r="E77" s="127" t="s">
        <v>598</v>
      </c>
      <c r="F77" s="184" t="s">
        <v>761</v>
      </c>
      <c r="G77" s="185">
        <v>0</v>
      </c>
      <c r="H77" s="184" t="s">
        <v>598</v>
      </c>
      <c r="I77" s="184" t="s">
        <v>118</v>
      </c>
      <c r="J77" s="184" t="s">
        <v>108</v>
      </c>
      <c r="K77" s="184" t="s">
        <v>340</v>
      </c>
      <c r="L77" s="184" t="s">
        <v>598</v>
      </c>
      <c r="M77" s="184" t="s">
        <v>598</v>
      </c>
      <c r="N77" s="184" t="s">
        <v>30</v>
      </c>
      <c r="O77" s="184" t="s">
        <v>30</v>
      </c>
      <c r="P77" s="186" t="s">
        <v>53</v>
      </c>
      <c r="Q77" s="184" t="s">
        <v>598</v>
      </c>
      <c r="R77" s="184" t="s">
        <v>598</v>
      </c>
      <c r="S77" s="127" t="s">
        <v>598</v>
      </c>
      <c r="T77" s="184" t="s">
        <v>598</v>
      </c>
      <c r="U77" s="184" t="s">
        <v>598</v>
      </c>
      <c r="V77" s="185">
        <v>0</v>
      </c>
      <c r="W77" s="184" t="s">
        <v>485</v>
      </c>
      <c r="X77" s="184" t="s">
        <v>598</v>
      </c>
      <c r="Y77" s="185">
        <v>0</v>
      </c>
      <c r="Z77" s="184" t="s">
        <v>598</v>
      </c>
      <c r="AA77" s="21" t="s">
        <v>610</v>
      </c>
      <c r="AB77" s="176" t="s">
        <v>489</v>
      </c>
      <c r="AC77" s="172">
        <v>42996.328472222223</v>
      </c>
      <c r="AD77" s="32" t="s">
        <v>552</v>
      </c>
    </row>
    <row r="78" spans="1:30">
      <c r="A78" s="184">
        <v>77</v>
      </c>
      <c r="B78" s="184" t="s">
        <v>762</v>
      </c>
      <c r="C78" s="184" t="s">
        <v>598</v>
      </c>
      <c r="D78" s="127">
        <v>42871</v>
      </c>
      <c r="E78" s="127" t="s">
        <v>598</v>
      </c>
      <c r="F78" s="184" t="s">
        <v>763</v>
      </c>
      <c r="G78" s="185">
        <v>0</v>
      </c>
      <c r="H78" s="184" t="s">
        <v>598</v>
      </c>
      <c r="I78" s="184" t="s">
        <v>134</v>
      </c>
      <c r="J78" s="184" t="s">
        <v>108</v>
      </c>
      <c r="K78" s="184" t="s">
        <v>164</v>
      </c>
      <c r="L78" s="184" t="s">
        <v>598</v>
      </c>
      <c r="M78" s="184" t="s">
        <v>598</v>
      </c>
      <c r="N78" s="184" t="s">
        <v>30</v>
      </c>
      <c r="O78" s="184" t="s">
        <v>30</v>
      </c>
      <c r="P78" s="186" t="s">
        <v>44</v>
      </c>
      <c r="Q78" s="184" t="s">
        <v>598</v>
      </c>
      <c r="R78" s="184" t="s">
        <v>598</v>
      </c>
      <c r="S78" s="127">
        <v>42895</v>
      </c>
      <c r="T78" s="184" t="s">
        <v>10</v>
      </c>
      <c r="U78" s="184" t="s">
        <v>598</v>
      </c>
      <c r="V78" s="185">
        <v>5000</v>
      </c>
      <c r="W78" s="184" t="s">
        <v>493</v>
      </c>
      <c r="X78" s="184" t="s">
        <v>598</v>
      </c>
      <c r="Y78" s="185">
        <v>0</v>
      </c>
      <c r="Z78" s="184" t="s">
        <v>598</v>
      </c>
      <c r="AA78" s="21" t="s">
        <v>610</v>
      </c>
      <c r="AB78" s="176" t="s">
        <v>489</v>
      </c>
      <c r="AC78" s="172">
        <v>42996.328472222223</v>
      </c>
      <c r="AD78" s="32" t="s">
        <v>552</v>
      </c>
    </row>
    <row r="79" spans="1:30">
      <c r="A79" s="184">
        <v>78</v>
      </c>
      <c r="B79" s="184" t="s">
        <v>764</v>
      </c>
      <c r="C79" s="184" t="s">
        <v>598</v>
      </c>
      <c r="D79" s="127">
        <v>42873</v>
      </c>
      <c r="E79" s="127" t="s">
        <v>598</v>
      </c>
      <c r="F79" s="184" t="s">
        <v>765</v>
      </c>
      <c r="G79" s="185">
        <v>0</v>
      </c>
      <c r="H79" s="184" t="s">
        <v>598</v>
      </c>
      <c r="I79" s="184" t="s">
        <v>134</v>
      </c>
      <c r="J79" s="184" t="s">
        <v>108</v>
      </c>
      <c r="K79" s="184" t="s">
        <v>163</v>
      </c>
      <c r="L79" s="184" t="s">
        <v>598</v>
      </c>
      <c r="M79" s="184" t="s">
        <v>598</v>
      </c>
      <c r="N79" s="184" t="s">
        <v>30</v>
      </c>
      <c r="O79" s="184" t="s">
        <v>30</v>
      </c>
      <c r="P79" s="186" t="s">
        <v>67</v>
      </c>
      <c r="Q79" s="184" t="s">
        <v>598</v>
      </c>
      <c r="R79" s="184" t="s">
        <v>598</v>
      </c>
      <c r="S79" s="127" t="s">
        <v>598</v>
      </c>
      <c r="T79" s="184" t="s">
        <v>598</v>
      </c>
      <c r="U79" s="184" t="s">
        <v>598</v>
      </c>
      <c r="V79" s="185">
        <v>0</v>
      </c>
      <c r="W79" s="184" t="s">
        <v>485</v>
      </c>
      <c r="X79" s="184" t="s">
        <v>598</v>
      </c>
      <c r="Y79" s="185">
        <v>0</v>
      </c>
      <c r="Z79" s="184" t="s">
        <v>598</v>
      </c>
      <c r="AA79" s="21" t="s">
        <v>610</v>
      </c>
      <c r="AB79" s="176" t="s">
        <v>489</v>
      </c>
      <c r="AC79" s="172">
        <v>42996.328472222223</v>
      </c>
      <c r="AD79" s="32" t="s">
        <v>552</v>
      </c>
    </row>
    <row r="80" spans="1:30">
      <c r="A80" s="184">
        <v>79</v>
      </c>
      <c r="B80" s="184" t="s">
        <v>766</v>
      </c>
      <c r="C80" s="184" t="s">
        <v>598</v>
      </c>
      <c r="D80" s="127">
        <v>42873</v>
      </c>
      <c r="E80" s="127" t="s">
        <v>598</v>
      </c>
      <c r="F80" s="184" t="s">
        <v>767</v>
      </c>
      <c r="G80" s="185">
        <v>0</v>
      </c>
      <c r="H80" s="184" t="s">
        <v>598</v>
      </c>
      <c r="I80" s="184" t="s">
        <v>598</v>
      </c>
      <c r="J80" s="184" t="s">
        <v>108</v>
      </c>
      <c r="K80" s="184" t="s">
        <v>163</v>
      </c>
      <c r="L80" s="184" t="s">
        <v>598</v>
      </c>
      <c r="M80" s="184" t="s">
        <v>598</v>
      </c>
      <c r="N80" s="184" t="s">
        <v>30</v>
      </c>
      <c r="O80" s="184" t="s">
        <v>30</v>
      </c>
      <c r="P80" s="186" t="s">
        <v>602</v>
      </c>
      <c r="Q80" s="184" t="s">
        <v>598</v>
      </c>
      <c r="R80" s="184" t="s">
        <v>598</v>
      </c>
      <c r="S80" s="127" t="s">
        <v>598</v>
      </c>
      <c r="T80" s="184" t="s">
        <v>598</v>
      </c>
      <c r="U80" s="184" t="s">
        <v>598</v>
      </c>
      <c r="V80" s="185">
        <v>0</v>
      </c>
      <c r="W80" s="184" t="s">
        <v>485</v>
      </c>
      <c r="X80" s="184" t="s">
        <v>598</v>
      </c>
      <c r="Y80" s="185">
        <v>0</v>
      </c>
      <c r="Z80" s="184" t="s">
        <v>598</v>
      </c>
      <c r="AA80" s="21" t="s">
        <v>610</v>
      </c>
      <c r="AB80" s="176" t="s">
        <v>489</v>
      </c>
      <c r="AC80" s="172">
        <v>42996.328472222223</v>
      </c>
      <c r="AD80" s="32" t="s">
        <v>552</v>
      </c>
    </row>
    <row r="81" spans="1:30">
      <c r="A81" s="184">
        <v>80</v>
      </c>
      <c r="B81" s="184" t="s">
        <v>768</v>
      </c>
      <c r="C81" s="184" t="s">
        <v>598</v>
      </c>
      <c r="D81" s="127">
        <v>42873</v>
      </c>
      <c r="E81" s="127" t="s">
        <v>598</v>
      </c>
      <c r="F81" s="184" t="s">
        <v>769</v>
      </c>
      <c r="G81" s="185">
        <v>0</v>
      </c>
      <c r="H81" s="184" t="s">
        <v>598</v>
      </c>
      <c r="I81" s="184" t="s">
        <v>134</v>
      </c>
      <c r="J81" s="184" t="s">
        <v>108</v>
      </c>
      <c r="K81" s="184" t="s">
        <v>185</v>
      </c>
      <c r="L81" s="184" t="s">
        <v>598</v>
      </c>
      <c r="M81" s="184" t="s">
        <v>598</v>
      </c>
      <c r="N81" s="184" t="s">
        <v>30</v>
      </c>
      <c r="O81" s="184" t="s">
        <v>30</v>
      </c>
      <c r="P81" s="186" t="s">
        <v>603</v>
      </c>
      <c r="Q81" s="184" t="s">
        <v>598</v>
      </c>
      <c r="R81" s="184" t="s">
        <v>598</v>
      </c>
      <c r="S81" s="127">
        <v>42887</v>
      </c>
      <c r="T81" s="184" t="s">
        <v>10</v>
      </c>
      <c r="U81" s="184" t="s">
        <v>598</v>
      </c>
      <c r="V81" s="185">
        <v>4000</v>
      </c>
      <c r="W81" s="184" t="s">
        <v>493</v>
      </c>
      <c r="X81" s="184" t="s">
        <v>598</v>
      </c>
      <c r="Y81" s="185">
        <v>0</v>
      </c>
      <c r="Z81" s="184" t="s">
        <v>598</v>
      </c>
      <c r="AA81" s="21" t="s">
        <v>610</v>
      </c>
      <c r="AB81" s="176" t="s">
        <v>489</v>
      </c>
      <c r="AC81" s="172">
        <v>42996.328472222223</v>
      </c>
      <c r="AD81" s="32" t="s">
        <v>552</v>
      </c>
    </row>
    <row r="82" spans="1:30">
      <c r="A82" s="184">
        <v>81</v>
      </c>
      <c r="B82" s="184" t="s">
        <v>770</v>
      </c>
      <c r="C82" s="184" t="s">
        <v>598</v>
      </c>
      <c r="D82" s="127">
        <v>42875</v>
      </c>
      <c r="E82" s="127" t="s">
        <v>598</v>
      </c>
      <c r="F82" s="184" t="s">
        <v>771</v>
      </c>
      <c r="G82" s="185">
        <v>0</v>
      </c>
      <c r="H82" s="184" t="s">
        <v>598</v>
      </c>
      <c r="I82" s="184" t="s">
        <v>132</v>
      </c>
      <c r="J82" s="184" t="s">
        <v>108</v>
      </c>
      <c r="K82" s="184" t="s">
        <v>341</v>
      </c>
      <c r="L82" s="184" t="s">
        <v>598</v>
      </c>
      <c r="M82" s="184" t="s">
        <v>598</v>
      </c>
      <c r="N82" s="184" t="s">
        <v>30</v>
      </c>
      <c r="O82" s="184" t="s">
        <v>30</v>
      </c>
      <c r="P82" s="186" t="s">
        <v>604</v>
      </c>
      <c r="Q82" s="184" t="s">
        <v>598</v>
      </c>
      <c r="R82" s="184" t="s">
        <v>598</v>
      </c>
      <c r="S82" s="127" t="s">
        <v>598</v>
      </c>
      <c r="T82" s="184" t="s">
        <v>598</v>
      </c>
      <c r="U82" s="184" t="s">
        <v>598</v>
      </c>
      <c r="V82" s="185">
        <v>0</v>
      </c>
      <c r="W82" s="184" t="s">
        <v>485</v>
      </c>
      <c r="X82" s="184" t="s">
        <v>598</v>
      </c>
      <c r="Y82" s="185">
        <v>0</v>
      </c>
      <c r="Z82" s="184" t="s">
        <v>598</v>
      </c>
      <c r="AA82" s="21" t="s">
        <v>610</v>
      </c>
      <c r="AB82" s="176" t="s">
        <v>489</v>
      </c>
      <c r="AC82" s="172">
        <v>42996.328472222223</v>
      </c>
      <c r="AD82" s="32" t="s">
        <v>552</v>
      </c>
    </row>
    <row r="83" spans="1:30">
      <c r="A83" s="184">
        <v>82</v>
      </c>
      <c r="B83" s="184" t="s">
        <v>772</v>
      </c>
      <c r="C83" s="184" t="s">
        <v>598</v>
      </c>
      <c r="D83" s="127">
        <v>42875</v>
      </c>
      <c r="E83" s="127" t="s">
        <v>598</v>
      </c>
      <c r="F83" s="184" t="s">
        <v>773</v>
      </c>
      <c r="G83" s="185">
        <v>0</v>
      </c>
      <c r="H83" s="184" t="s">
        <v>598</v>
      </c>
      <c r="I83" s="184" t="s">
        <v>134</v>
      </c>
      <c r="J83" s="184" t="s">
        <v>108</v>
      </c>
      <c r="K83" s="184" t="s">
        <v>175</v>
      </c>
      <c r="L83" s="184" t="s">
        <v>598</v>
      </c>
      <c r="M83" s="184" t="s">
        <v>598</v>
      </c>
      <c r="N83" s="184" t="s">
        <v>30</v>
      </c>
      <c r="O83" s="184" t="s">
        <v>30</v>
      </c>
      <c r="P83" s="186" t="s">
        <v>605</v>
      </c>
      <c r="Q83" s="184" t="s">
        <v>598</v>
      </c>
      <c r="R83" s="184" t="s">
        <v>598</v>
      </c>
      <c r="S83" s="127">
        <v>42902</v>
      </c>
      <c r="T83" s="184" t="s">
        <v>10</v>
      </c>
      <c r="U83" s="184" t="s">
        <v>598</v>
      </c>
      <c r="V83" s="185">
        <v>4000</v>
      </c>
      <c r="W83" s="184" t="s">
        <v>493</v>
      </c>
      <c r="X83" s="184" t="s">
        <v>598</v>
      </c>
      <c r="Y83" s="185">
        <v>0</v>
      </c>
      <c r="Z83" s="184" t="s">
        <v>598</v>
      </c>
      <c r="AA83" s="21" t="s">
        <v>610</v>
      </c>
      <c r="AB83" s="176" t="s">
        <v>489</v>
      </c>
      <c r="AC83" s="172">
        <v>42996.328472222223</v>
      </c>
      <c r="AD83" s="32" t="s">
        <v>552</v>
      </c>
    </row>
    <row r="84" spans="1:30">
      <c r="A84" s="184">
        <v>83</v>
      </c>
      <c r="B84" s="184" t="s">
        <v>774</v>
      </c>
      <c r="C84" s="184" t="s">
        <v>598</v>
      </c>
      <c r="D84" s="127">
        <v>42878</v>
      </c>
      <c r="E84" s="127" t="s">
        <v>598</v>
      </c>
      <c r="F84" s="184" t="s">
        <v>775</v>
      </c>
      <c r="G84" s="185">
        <v>0</v>
      </c>
      <c r="H84" s="184" t="s">
        <v>598</v>
      </c>
      <c r="I84" s="184" t="s">
        <v>134</v>
      </c>
      <c r="J84" s="184" t="s">
        <v>108</v>
      </c>
      <c r="K84" s="184" t="s">
        <v>186</v>
      </c>
      <c r="L84" s="184" t="s">
        <v>598</v>
      </c>
      <c r="M84" s="184" t="s">
        <v>598</v>
      </c>
      <c r="N84" s="184" t="s">
        <v>30</v>
      </c>
      <c r="O84" s="184" t="s">
        <v>30</v>
      </c>
      <c r="P84" s="186" t="s">
        <v>606</v>
      </c>
      <c r="Q84" s="184" t="s">
        <v>598</v>
      </c>
      <c r="R84" s="184" t="s">
        <v>598</v>
      </c>
      <c r="S84" s="127" t="s">
        <v>598</v>
      </c>
      <c r="T84" s="184" t="s">
        <v>598</v>
      </c>
      <c r="U84" s="184" t="s">
        <v>598</v>
      </c>
      <c r="V84" s="185">
        <v>0</v>
      </c>
      <c r="W84" s="184" t="s">
        <v>485</v>
      </c>
      <c r="X84" s="184" t="s">
        <v>598</v>
      </c>
      <c r="Y84" s="185">
        <v>0</v>
      </c>
      <c r="Z84" s="184" t="s">
        <v>598</v>
      </c>
      <c r="AA84" s="21" t="s">
        <v>610</v>
      </c>
      <c r="AB84" s="176" t="s">
        <v>489</v>
      </c>
      <c r="AC84" s="172">
        <v>42996.328472222223</v>
      </c>
      <c r="AD84" s="32" t="s">
        <v>552</v>
      </c>
    </row>
    <row r="85" spans="1:30">
      <c r="A85" s="184">
        <v>84</v>
      </c>
      <c r="B85" s="184" t="s">
        <v>776</v>
      </c>
      <c r="C85" s="184" t="s">
        <v>598</v>
      </c>
      <c r="D85" s="127">
        <v>42878</v>
      </c>
      <c r="E85" s="127" t="s">
        <v>598</v>
      </c>
      <c r="F85" s="184" t="s">
        <v>777</v>
      </c>
      <c r="G85" s="185">
        <v>0</v>
      </c>
      <c r="H85" s="184" t="s">
        <v>598</v>
      </c>
      <c r="I85" s="184" t="s">
        <v>134</v>
      </c>
      <c r="J85" s="184" t="s">
        <v>108</v>
      </c>
      <c r="K85" s="184" t="s">
        <v>342</v>
      </c>
      <c r="L85" s="184" t="s">
        <v>598</v>
      </c>
      <c r="M85" s="184" t="s">
        <v>598</v>
      </c>
      <c r="N85" s="184" t="s">
        <v>30</v>
      </c>
      <c r="O85" s="184" t="s">
        <v>30</v>
      </c>
      <c r="P85" s="186" t="s">
        <v>607</v>
      </c>
      <c r="Q85" s="184" t="s">
        <v>598</v>
      </c>
      <c r="R85" s="184" t="s">
        <v>598</v>
      </c>
      <c r="S85" s="127" t="s">
        <v>598</v>
      </c>
      <c r="T85" s="184" t="s">
        <v>598</v>
      </c>
      <c r="U85" s="184" t="s">
        <v>598</v>
      </c>
      <c r="V85" s="185">
        <v>0</v>
      </c>
      <c r="W85" s="184" t="s">
        <v>485</v>
      </c>
      <c r="X85" s="184" t="s">
        <v>598</v>
      </c>
      <c r="Y85" s="185">
        <v>0</v>
      </c>
      <c r="Z85" s="184" t="s">
        <v>598</v>
      </c>
      <c r="AA85" s="21" t="s">
        <v>610</v>
      </c>
      <c r="AB85" s="176" t="s">
        <v>489</v>
      </c>
      <c r="AC85" s="172">
        <v>42996.328472222223</v>
      </c>
      <c r="AD85" s="32" t="s">
        <v>552</v>
      </c>
    </row>
    <row r="86" spans="1:30">
      <c r="A86" s="184">
        <v>85</v>
      </c>
      <c r="B86" s="184" t="s">
        <v>778</v>
      </c>
      <c r="C86" s="184" t="s">
        <v>598</v>
      </c>
      <c r="D86" s="127">
        <v>42878</v>
      </c>
      <c r="E86" s="127" t="s">
        <v>598</v>
      </c>
      <c r="F86" s="184" t="s">
        <v>779</v>
      </c>
      <c r="G86" s="185">
        <v>0</v>
      </c>
      <c r="H86" s="184" t="s">
        <v>598</v>
      </c>
      <c r="I86" s="184" t="s">
        <v>83</v>
      </c>
      <c r="J86" s="184" t="s">
        <v>108</v>
      </c>
      <c r="K86" s="184" t="s">
        <v>165</v>
      </c>
      <c r="L86" s="184" t="s">
        <v>598</v>
      </c>
      <c r="M86" s="184" t="s">
        <v>598</v>
      </c>
      <c r="N86" s="184" t="s">
        <v>30</v>
      </c>
      <c r="O86" s="184" t="s">
        <v>30</v>
      </c>
      <c r="P86" s="186" t="s">
        <v>73</v>
      </c>
      <c r="Q86" s="184" t="s">
        <v>598</v>
      </c>
      <c r="R86" s="184" t="s">
        <v>598</v>
      </c>
      <c r="S86" s="127" t="s">
        <v>598</v>
      </c>
      <c r="T86" s="184" t="s">
        <v>598</v>
      </c>
      <c r="U86" s="184" t="s">
        <v>598</v>
      </c>
      <c r="V86" s="185">
        <v>0</v>
      </c>
      <c r="W86" s="184" t="s">
        <v>485</v>
      </c>
      <c r="X86" s="184" t="s">
        <v>598</v>
      </c>
      <c r="Y86" s="185">
        <v>0</v>
      </c>
      <c r="Z86" s="184" t="s">
        <v>598</v>
      </c>
      <c r="AA86" s="21" t="s">
        <v>610</v>
      </c>
      <c r="AB86" s="176" t="s">
        <v>489</v>
      </c>
      <c r="AC86" s="172">
        <v>42996.328472222223</v>
      </c>
      <c r="AD86" s="32" t="s">
        <v>552</v>
      </c>
    </row>
    <row r="87" spans="1:30">
      <c r="A87" s="184">
        <v>86</v>
      </c>
      <c r="B87" s="184" t="s">
        <v>780</v>
      </c>
      <c r="C87" s="184" t="s">
        <v>598</v>
      </c>
      <c r="D87" s="127">
        <v>42879</v>
      </c>
      <c r="E87" s="127" t="s">
        <v>598</v>
      </c>
      <c r="F87" s="184" t="s">
        <v>781</v>
      </c>
      <c r="G87" s="185">
        <v>0</v>
      </c>
      <c r="H87" s="184" t="s">
        <v>598</v>
      </c>
      <c r="I87" s="184" t="s">
        <v>134</v>
      </c>
      <c r="J87" s="184" t="s">
        <v>108</v>
      </c>
      <c r="K87" s="184" t="s">
        <v>187</v>
      </c>
      <c r="L87" s="184" t="s">
        <v>598</v>
      </c>
      <c r="M87" s="184" t="s">
        <v>598</v>
      </c>
      <c r="N87" s="184" t="s">
        <v>30</v>
      </c>
      <c r="O87" s="184" t="s">
        <v>30</v>
      </c>
      <c r="P87" s="186" t="s">
        <v>601</v>
      </c>
      <c r="Q87" s="184" t="s">
        <v>598</v>
      </c>
      <c r="R87" s="184" t="s">
        <v>598</v>
      </c>
      <c r="S87" s="127">
        <v>42902</v>
      </c>
      <c r="T87" s="184" t="s">
        <v>10</v>
      </c>
      <c r="U87" s="184" t="s">
        <v>598</v>
      </c>
      <c r="V87" s="185">
        <v>3500</v>
      </c>
      <c r="W87" s="184" t="s">
        <v>493</v>
      </c>
      <c r="X87" s="184" t="s">
        <v>598</v>
      </c>
      <c r="Y87" s="185">
        <v>0</v>
      </c>
      <c r="Z87" s="184" t="s">
        <v>598</v>
      </c>
      <c r="AA87" s="21" t="s">
        <v>610</v>
      </c>
      <c r="AB87" s="176" t="s">
        <v>489</v>
      </c>
      <c r="AC87" s="172">
        <v>42996.328472222223</v>
      </c>
      <c r="AD87" s="32" t="s">
        <v>552</v>
      </c>
    </row>
    <row r="88" spans="1:30">
      <c r="A88" s="184">
        <v>87</v>
      </c>
      <c r="B88" s="184" t="s">
        <v>782</v>
      </c>
      <c r="C88" s="184" t="s">
        <v>598</v>
      </c>
      <c r="D88" s="127">
        <v>42880</v>
      </c>
      <c r="E88" s="127" t="s">
        <v>598</v>
      </c>
      <c r="F88" s="184" t="s">
        <v>783</v>
      </c>
      <c r="G88" s="185">
        <v>0</v>
      </c>
      <c r="H88" s="184" t="s">
        <v>598</v>
      </c>
      <c r="I88" s="184" t="s">
        <v>132</v>
      </c>
      <c r="J88" s="184" t="s">
        <v>108</v>
      </c>
      <c r="K88" s="184" t="s">
        <v>186</v>
      </c>
      <c r="L88" s="184" t="s">
        <v>598</v>
      </c>
      <c r="M88" s="184" t="s">
        <v>598</v>
      </c>
      <c r="N88" s="184" t="s">
        <v>30</v>
      </c>
      <c r="O88" s="184" t="s">
        <v>30</v>
      </c>
      <c r="P88" s="186" t="s">
        <v>32</v>
      </c>
      <c r="Q88" s="184" t="s">
        <v>598</v>
      </c>
      <c r="R88" s="184" t="s">
        <v>598</v>
      </c>
      <c r="S88" s="127" t="s">
        <v>598</v>
      </c>
      <c r="T88" s="184" t="s">
        <v>598</v>
      </c>
      <c r="U88" s="184" t="s">
        <v>598</v>
      </c>
      <c r="V88" s="185">
        <v>0</v>
      </c>
      <c r="W88" s="184" t="s">
        <v>485</v>
      </c>
      <c r="X88" s="184" t="s">
        <v>598</v>
      </c>
      <c r="Y88" s="185">
        <v>0</v>
      </c>
      <c r="Z88" s="184" t="s">
        <v>598</v>
      </c>
      <c r="AA88" s="21" t="s">
        <v>610</v>
      </c>
      <c r="AB88" s="176" t="s">
        <v>489</v>
      </c>
      <c r="AC88" s="172">
        <v>42996.328472222223</v>
      </c>
      <c r="AD88" s="32" t="s">
        <v>552</v>
      </c>
    </row>
    <row r="89" spans="1:30">
      <c r="A89" s="184">
        <v>88</v>
      </c>
      <c r="B89" s="184" t="s">
        <v>784</v>
      </c>
      <c r="C89" s="184" t="s">
        <v>598</v>
      </c>
      <c r="D89" s="127">
        <v>42880</v>
      </c>
      <c r="E89" s="127" t="s">
        <v>598</v>
      </c>
      <c r="F89" s="184" t="s">
        <v>785</v>
      </c>
      <c r="G89" s="185">
        <v>0</v>
      </c>
      <c r="H89" s="184" t="s">
        <v>598</v>
      </c>
      <c r="I89" s="184" t="s">
        <v>118</v>
      </c>
      <c r="J89" s="184" t="s">
        <v>108</v>
      </c>
      <c r="K89" s="184" t="s">
        <v>188</v>
      </c>
      <c r="L89" s="184" t="s">
        <v>598</v>
      </c>
      <c r="M89" s="184" t="s">
        <v>598</v>
      </c>
      <c r="N89" s="184" t="s">
        <v>30</v>
      </c>
      <c r="O89" s="184" t="s">
        <v>30</v>
      </c>
      <c r="P89" s="186" t="s">
        <v>53</v>
      </c>
      <c r="Q89" s="184" t="s">
        <v>598</v>
      </c>
      <c r="R89" s="184" t="s">
        <v>598</v>
      </c>
      <c r="S89" s="127">
        <v>42887</v>
      </c>
      <c r="T89" s="184" t="s">
        <v>10</v>
      </c>
      <c r="U89" s="184" t="s">
        <v>598</v>
      </c>
      <c r="V89" s="185">
        <v>2000</v>
      </c>
      <c r="W89" s="184" t="s">
        <v>493</v>
      </c>
      <c r="X89" s="184" t="s">
        <v>598</v>
      </c>
      <c r="Y89" s="185">
        <v>0</v>
      </c>
      <c r="Z89" s="184" t="s">
        <v>598</v>
      </c>
      <c r="AA89" s="21" t="s">
        <v>610</v>
      </c>
      <c r="AB89" s="176" t="s">
        <v>489</v>
      </c>
      <c r="AC89" s="172">
        <v>42996.328472222223</v>
      </c>
      <c r="AD89" s="32" t="s">
        <v>552</v>
      </c>
    </row>
    <row r="90" spans="1:30">
      <c r="A90" s="184">
        <v>89</v>
      </c>
      <c r="B90" s="184" t="s">
        <v>786</v>
      </c>
      <c r="C90" s="184" t="s">
        <v>598</v>
      </c>
      <c r="D90" s="127">
        <v>42880</v>
      </c>
      <c r="E90" s="127" t="s">
        <v>598</v>
      </c>
      <c r="F90" s="184" t="s">
        <v>787</v>
      </c>
      <c r="G90" s="185">
        <v>0</v>
      </c>
      <c r="H90" s="184" t="s">
        <v>598</v>
      </c>
      <c r="I90" s="184" t="s">
        <v>118</v>
      </c>
      <c r="J90" s="184" t="s">
        <v>108</v>
      </c>
      <c r="K90" s="184" t="s">
        <v>188</v>
      </c>
      <c r="L90" s="184" t="s">
        <v>598</v>
      </c>
      <c r="M90" s="184" t="s">
        <v>598</v>
      </c>
      <c r="N90" s="184" t="s">
        <v>30</v>
      </c>
      <c r="O90" s="184" t="s">
        <v>30</v>
      </c>
      <c r="P90" s="186" t="s">
        <v>44</v>
      </c>
      <c r="Q90" s="184" t="s">
        <v>598</v>
      </c>
      <c r="R90" s="184" t="s">
        <v>598</v>
      </c>
      <c r="S90" s="127">
        <v>42887</v>
      </c>
      <c r="T90" s="184" t="s">
        <v>10</v>
      </c>
      <c r="U90" s="184" t="s">
        <v>598</v>
      </c>
      <c r="V90" s="185">
        <v>2000</v>
      </c>
      <c r="W90" s="184" t="s">
        <v>493</v>
      </c>
      <c r="X90" s="184" t="s">
        <v>598</v>
      </c>
      <c r="Y90" s="185">
        <v>0</v>
      </c>
      <c r="Z90" s="184" t="s">
        <v>598</v>
      </c>
      <c r="AA90" s="21" t="s">
        <v>610</v>
      </c>
      <c r="AB90" s="176" t="s">
        <v>489</v>
      </c>
      <c r="AC90" s="172">
        <v>42996.328472222223</v>
      </c>
      <c r="AD90" s="32" t="s">
        <v>552</v>
      </c>
    </row>
    <row r="91" spans="1:30">
      <c r="A91" s="184">
        <v>90</v>
      </c>
      <c r="B91" s="184" t="s">
        <v>788</v>
      </c>
      <c r="C91" s="184" t="s">
        <v>598</v>
      </c>
      <c r="D91" s="127">
        <v>42880</v>
      </c>
      <c r="E91" s="127" t="s">
        <v>598</v>
      </c>
      <c r="F91" s="184" t="s">
        <v>789</v>
      </c>
      <c r="G91" s="185">
        <v>0</v>
      </c>
      <c r="H91" s="184" t="s">
        <v>598</v>
      </c>
      <c r="I91" s="184" t="s">
        <v>134</v>
      </c>
      <c r="J91" s="184" t="s">
        <v>108</v>
      </c>
      <c r="K91" s="184" t="s">
        <v>187</v>
      </c>
      <c r="L91" s="184" t="s">
        <v>598</v>
      </c>
      <c r="M91" s="184" t="s">
        <v>598</v>
      </c>
      <c r="N91" s="184" t="s">
        <v>30</v>
      </c>
      <c r="O91" s="184" t="s">
        <v>30</v>
      </c>
      <c r="P91" s="186" t="s">
        <v>67</v>
      </c>
      <c r="Q91" s="184" t="s">
        <v>598</v>
      </c>
      <c r="R91" s="184" t="s">
        <v>598</v>
      </c>
      <c r="S91" s="127" t="s">
        <v>598</v>
      </c>
      <c r="T91" s="184" t="s">
        <v>598</v>
      </c>
      <c r="U91" s="184" t="s">
        <v>598</v>
      </c>
      <c r="V91" s="185">
        <v>0</v>
      </c>
      <c r="W91" s="184" t="s">
        <v>485</v>
      </c>
      <c r="X91" s="184" t="s">
        <v>598</v>
      </c>
      <c r="Y91" s="185">
        <v>0</v>
      </c>
      <c r="Z91" s="184" t="s">
        <v>598</v>
      </c>
      <c r="AA91" s="21" t="s">
        <v>610</v>
      </c>
      <c r="AB91" s="176" t="s">
        <v>489</v>
      </c>
      <c r="AC91" s="172">
        <v>42996.328472222223</v>
      </c>
      <c r="AD91" s="32" t="s">
        <v>552</v>
      </c>
    </row>
    <row r="92" spans="1:30">
      <c r="A92" s="184">
        <v>91</v>
      </c>
      <c r="B92" s="184" t="s">
        <v>790</v>
      </c>
      <c r="C92" s="184" t="s">
        <v>598</v>
      </c>
      <c r="D92" s="127">
        <v>42881</v>
      </c>
      <c r="E92" s="127" t="s">
        <v>598</v>
      </c>
      <c r="F92" s="184" t="s">
        <v>791</v>
      </c>
      <c r="G92" s="185">
        <v>0</v>
      </c>
      <c r="H92" s="184" t="s">
        <v>598</v>
      </c>
      <c r="I92" s="184" t="s">
        <v>118</v>
      </c>
      <c r="J92" s="184" t="s">
        <v>108</v>
      </c>
      <c r="K92" s="184" t="s">
        <v>188</v>
      </c>
      <c r="L92" s="184" t="s">
        <v>598</v>
      </c>
      <c r="M92" s="184" t="s">
        <v>598</v>
      </c>
      <c r="N92" s="184" t="s">
        <v>30</v>
      </c>
      <c r="O92" s="184" t="s">
        <v>30</v>
      </c>
      <c r="P92" s="186" t="s">
        <v>602</v>
      </c>
      <c r="Q92" s="184" t="s">
        <v>598</v>
      </c>
      <c r="R92" s="184" t="s">
        <v>598</v>
      </c>
      <c r="S92" s="127">
        <v>42891</v>
      </c>
      <c r="T92" s="184" t="s">
        <v>10</v>
      </c>
      <c r="U92" s="184" t="s">
        <v>598</v>
      </c>
      <c r="V92" s="185">
        <v>2000</v>
      </c>
      <c r="W92" s="184" t="s">
        <v>493</v>
      </c>
      <c r="X92" s="184" t="s">
        <v>598</v>
      </c>
      <c r="Y92" s="185">
        <v>0</v>
      </c>
      <c r="Z92" s="184" t="s">
        <v>598</v>
      </c>
      <c r="AA92" s="21" t="s">
        <v>610</v>
      </c>
      <c r="AB92" s="176" t="s">
        <v>489</v>
      </c>
      <c r="AC92" s="172">
        <v>42996.328472222223</v>
      </c>
      <c r="AD92" s="32" t="s">
        <v>552</v>
      </c>
    </row>
    <row r="93" spans="1:30">
      <c r="A93" s="184">
        <v>92</v>
      </c>
      <c r="B93" s="184" t="s">
        <v>792</v>
      </c>
      <c r="C93" s="184" t="s">
        <v>598</v>
      </c>
      <c r="D93" s="127">
        <v>42881</v>
      </c>
      <c r="E93" s="127" t="s">
        <v>598</v>
      </c>
      <c r="F93" s="184" t="s">
        <v>793</v>
      </c>
      <c r="G93" s="185">
        <v>0</v>
      </c>
      <c r="H93" s="184" t="s">
        <v>598</v>
      </c>
      <c r="I93" s="184" t="s">
        <v>120</v>
      </c>
      <c r="J93" s="184" t="s">
        <v>108</v>
      </c>
      <c r="K93" s="184" t="s">
        <v>343</v>
      </c>
      <c r="L93" s="184" t="s">
        <v>598</v>
      </c>
      <c r="M93" s="184" t="s">
        <v>598</v>
      </c>
      <c r="N93" s="184" t="s">
        <v>30</v>
      </c>
      <c r="O93" s="184" t="s">
        <v>30</v>
      </c>
      <c r="P93" s="186" t="s">
        <v>603</v>
      </c>
      <c r="Q93" s="184" t="s">
        <v>598</v>
      </c>
      <c r="R93" s="184" t="s">
        <v>598</v>
      </c>
      <c r="S93" s="127" t="s">
        <v>598</v>
      </c>
      <c r="T93" s="184" t="s">
        <v>598</v>
      </c>
      <c r="U93" s="184" t="s">
        <v>598</v>
      </c>
      <c r="V93" s="185">
        <v>0</v>
      </c>
      <c r="W93" s="184" t="s">
        <v>485</v>
      </c>
      <c r="X93" s="184" t="s">
        <v>598</v>
      </c>
      <c r="Y93" s="185">
        <v>0</v>
      </c>
      <c r="Z93" s="184" t="s">
        <v>598</v>
      </c>
      <c r="AA93" s="21" t="s">
        <v>610</v>
      </c>
      <c r="AB93" s="176" t="s">
        <v>489</v>
      </c>
      <c r="AC93" s="172">
        <v>42996.328472222223</v>
      </c>
      <c r="AD93" s="32" t="s">
        <v>552</v>
      </c>
    </row>
    <row r="94" spans="1:30">
      <c r="A94" s="184">
        <v>93</v>
      </c>
      <c r="B94" s="184" t="s">
        <v>794</v>
      </c>
      <c r="C94" s="184" t="s">
        <v>598</v>
      </c>
      <c r="D94" s="127">
        <v>42881</v>
      </c>
      <c r="E94" s="127" t="s">
        <v>598</v>
      </c>
      <c r="F94" s="184" t="s">
        <v>795</v>
      </c>
      <c r="G94" s="185">
        <v>0</v>
      </c>
      <c r="H94" s="184" t="s">
        <v>598</v>
      </c>
      <c r="I94" s="184" t="s">
        <v>134</v>
      </c>
      <c r="J94" s="184" t="s">
        <v>108</v>
      </c>
      <c r="K94" s="184" t="s">
        <v>163</v>
      </c>
      <c r="L94" s="184" t="s">
        <v>598</v>
      </c>
      <c r="M94" s="184" t="s">
        <v>598</v>
      </c>
      <c r="N94" s="184" t="s">
        <v>30</v>
      </c>
      <c r="O94" s="184" t="s">
        <v>30</v>
      </c>
      <c r="P94" s="186" t="s">
        <v>604</v>
      </c>
      <c r="Q94" s="184" t="s">
        <v>598</v>
      </c>
      <c r="R94" s="184" t="s">
        <v>598</v>
      </c>
      <c r="S94" s="127" t="s">
        <v>598</v>
      </c>
      <c r="T94" s="184" t="s">
        <v>598</v>
      </c>
      <c r="U94" s="184" t="s">
        <v>598</v>
      </c>
      <c r="V94" s="185">
        <v>0</v>
      </c>
      <c r="W94" s="184" t="s">
        <v>485</v>
      </c>
      <c r="X94" s="184" t="s">
        <v>598</v>
      </c>
      <c r="Y94" s="185">
        <v>0</v>
      </c>
      <c r="Z94" s="184" t="s">
        <v>598</v>
      </c>
      <c r="AA94" s="21" t="s">
        <v>610</v>
      </c>
      <c r="AB94" s="176" t="s">
        <v>489</v>
      </c>
      <c r="AC94" s="172">
        <v>42996.328472222223</v>
      </c>
      <c r="AD94" s="32" t="s">
        <v>552</v>
      </c>
    </row>
    <row r="95" spans="1:30">
      <c r="A95" s="184">
        <v>94</v>
      </c>
      <c r="B95" s="184" t="s">
        <v>796</v>
      </c>
      <c r="C95" s="184" t="s">
        <v>598</v>
      </c>
      <c r="D95" s="127">
        <v>42881</v>
      </c>
      <c r="E95" s="127" t="s">
        <v>598</v>
      </c>
      <c r="F95" s="184" t="s">
        <v>797</v>
      </c>
      <c r="G95" s="185">
        <v>0</v>
      </c>
      <c r="H95" s="184" t="s">
        <v>598</v>
      </c>
      <c r="I95" s="184" t="s">
        <v>134</v>
      </c>
      <c r="J95" s="184" t="s">
        <v>108</v>
      </c>
      <c r="K95" s="184" t="s">
        <v>163</v>
      </c>
      <c r="L95" s="184" t="s">
        <v>598</v>
      </c>
      <c r="M95" s="184" t="s">
        <v>598</v>
      </c>
      <c r="N95" s="184" t="s">
        <v>30</v>
      </c>
      <c r="O95" s="184" t="s">
        <v>30</v>
      </c>
      <c r="P95" s="186" t="s">
        <v>605</v>
      </c>
      <c r="Q95" s="184" t="s">
        <v>598</v>
      </c>
      <c r="R95" s="184" t="s">
        <v>598</v>
      </c>
      <c r="S95" s="127" t="s">
        <v>598</v>
      </c>
      <c r="T95" s="184" t="s">
        <v>598</v>
      </c>
      <c r="U95" s="184" t="s">
        <v>598</v>
      </c>
      <c r="V95" s="185">
        <v>0</v>
      </c>
      <c r="W95" s="184" t="s">
        <v>485</v>
      </c>
      <c r="X95" s="184" t="s">
        <v>598</v>
      </c>
      <c r="Y95" s="185">
        <v>0</v>
      </c>
      <c r="Z95" s="184" t="s">
        <v>598</v>
      </c>
      <c r="AA95" s="21" t="s">
        <v>610</v>
      </c>
      <c r="AB95" s="176" t="s">
        <v>489</v>
      </c>
      <c r="AC95" s="172">
        <v>42996.328472222223</v>
      </c>
      <c r="AD95" s="32" t="s">
        <v>552</v>
      </c>
    </row>
    <row r="96" spans="1:30">
      <c r="A96" s="184">
        <v>95</v>
      </c>
      <c r="B96" s="184" t="s">
        <v>798</v>
      </c>
      <c r="C96" s="184" t="s">
        <v>598</v>
      </c>
      <c r="D96" s="127">
        <v>42881</v>
      </c>
      <c r="E96" s="127" t="s">
        <v>598</v>
      </c>
      <c r="F96" s="184" t="s">
        <v>799</v>
      </c>
      <c r="G96" s="185">
        <v>0</v>
      </c>
      <c r="H96" s="184" t="s">
        <v>598</v>
      </c>
      <c r="I96" s="184" t="s">
        <v>118</v>
      </c>
      <c r="J96" s="184" t="s">
        <v>108</v>
      </c>
      <c r="K96" s="184" t="s">
        <v>171</v>
      </c>
      <c r="L96" s="184" t="s">
        <v>598</v>
      </c>
      <c r="M96" s="184" t="s">
        <v>598</v>
      </c>
      <c r="N96" s="184" t="s">
        <v>30</v>
      </c>
      <c r="O96" s="184" t="s">
        <v>30</v>
      </c>
      <c r="P96" s="186" t="s">
        <v>606</v>
      </c>
      <c r="Q96" s="184" t="s">
        <v>598</v>
      </c>
      <c r="R96" s="184" t="s">
        <v>598</v>
      </c>
      <c r="S96" s="127">
        <v>42887</v>
      </c>
      <c r="T96" s="184" t="s">
        <v>10</v>
      </c>
      <c r="U96" s="184" t="s">
        <v>598</v>
      </c>
      <c r="V96" s="185">
        <v>2000</v>
      </c>
      <c r="W96" s="184" t="s">
        <v>493</v>
      </c>
      <c r="X96" s="184" t="s">
        <v>598</v>
      </c>
      <c r="Y96" s="185">
        <v>0</v>
      </c>
      <c r="Z96" s="184" t="s">
        <v>598</v>
      </c>
      <c r="AA96" s="21" t="s">
        <v>610</v>
      </c>
      <c r="AB96" s="176" t="s">
        <v>489</v>
      </c>
      <c r="AC96" s="172">
        <v>42996.328472222223</v>
      </c>
      <c r="AD96" s="32" t="s">
        <v>552</v>
      </c>
    </row>
    <row r="97" spans="1:30">
      <c r="A97" s="184">
        <v>96</v>
      </c>
      <c r="B97" s="184" t="s">
        <v>800</v>
      </c>
      <c r="C97" s="184" t="s">
        <v>598</v>
      </c>
      <c r="D97" s="127">
        <v>42881</v>
      </c>
      <c r="E97" s="127" t="s">
        <v>598</v>
      </c>
      <c r="F97" s="184" t="s">
        <v>801</v>
      </c>
      <c r="G97" s="185">
        <v>0</v>
      </c>
      <c r="H97" s="184" t="s">
        <v>598</v>
      </c>
      <c r="I97" s="184" t="s">
        <v>132</v>
      </c>
      <c r="J97" s="184" t="s">
        <v>108</v>
      </c>
      <c r="K97" s="184" t="s">
        <v>171</v>
      </c>
      <c r="L97" s="184" t="s">
        <v>598</v>
      </c>
      <c r="M97" s="184" t="s">
        <v>598</v>
      </c>
      <c r="N97" s="184" t="s">
        <v>30</v>
      </c>
      <c r="O97" s="184" t="s">
        <v>30</v>
      </c>
      <c r="P97" s="186" t="s">
        <v>607</v>
      </c>
      <c r="Q97" s="184" t="s">
        <v>598</v>
      </c>
      <c r="R97" s="184" t="s">
        <v>598</v>
      </c>
      <c r="S97" s="127" t="s">
        <v>598</v>
      </c>
      <c r="T97" s="184" t="s">
        <v>598</v>
      </c>
      <c r="U97" s="184" t="s">
        <v>598</v>
      </c>
      <c r="V97" s="185">
        <v>0</v>
      </c>
      <c r="W97" s="184" t="s">
        <v>485</v>
      </c>
      <c r="X97" s="184" t="s">
        <v>598</v>
      </c>
      <c r="Y97" s="185">
        <v>0</v>
      </c>
      <c r="Z97" s="184" t="s">
        <v>598</v>
      </c>
      <c r="AA97" s="21" t="s">
        <v>610</v>
      </c>
      <c r="AB97" s="176" t="s">
        <v>489</v>
      </c>
      <c r="AC97" s="172">
        <v>42996.328472222223</v>
      </c>
      <c r="AD97" s="32" t="s">
        <v>552</v>
      </c>
    </row>
    <row r="98" spans="1:30">
      <c r="A98" s="184">
        <v>97</v>
      </c>
      <c r="B98" s="184" t="s">
        <v>802</v>
      </c>
      <c r="C98" s="184" t="s">
        <v>598</v>
      </c>
      <c r="D98" s="127">
        <v>42882</v>
      </c>
      <c r="E98" s="127" t="s">
        <v>598</v>
      </c>
      <c r="F98" s="184" t="s">
        <v>803</v>
      </c>
      <c r="G98" s="185">
        <v>0</v>
      </c>
      <c r="H98" s="184" t="s">
        <v>598</v>
      </c>
      <c r="I98" s="184" t="s">
        <v>118</v>
      </c>
      <c r="J98" s="184" t="s">
        <v>108</v>
      </c>
      <c r="K98" s="184" t="s">
        <v>186</v>
      </c>
      <c r="L98" s="184" t="s">
        <v>598</v>
      </c>
      <c r="M98" s="184" t="s">
        <v>598</v>
      </c>
      <c r="N98" s="184" t="s">
        <v>30</v>
      </c>
      <c r="O98" s="184" t="s">
        <v>30</v>
      </c>
      <c r="P98" s="186" t="s">
        <v>73</v>
      </c>
      <c r="Q98" s="184" t="s">
        <v>598</v>
      </c>
      <c r="R98" s="184" t="s">
        <v>804</v>
      </c>
      <c r="S98" s="127">
        <v>42888</v>
      </c>
      <c r="T98" s="184" t="s">
        <v>10</v>
      </c>
      <c r="U98" s="184" t="s">
        <v>598</v>
      </c>
      <c r="V98" s="185">
        <v>1500</v>
      </c>
      <c r="W98" s="184" t="s">
        <v>493</v>
      </c>
      <c r="X98" s="184" t="s">
        <v>598</v>
      </c>
      <c r="Y98" s="185">
        <v>0</v>
      </c>
      <c r="Z98" s="184" t="s">
        <v>598</v>
      </c>
      <c r="AA98" s="21" t="s">
        <v>610</v>
      </c>
      <c r="AB98" s="176" t="s">
        <v>489</v>
      </c>
      <c r="AC98" s="172">
        <v>42996.328472222223</v>
      </c>
      <c r="AD98" s="32" t="s">
        <v>552</v>
      </c>
    </row>
    <row r="99" spans="1:30">
      <c r="A99" s="184">
        <v>98</v>
      </c>
      <c r="B99" s="184" t="s">
        <v>805</v>
      </c>
      <c r="C99" s="184" t="s">
        <v>598</v>
      </c>
      <c r="D99" s="127">
        <v>42882</v>
      </c>
      <c r="E99" s="127" t="s">
        <v>598</v>
      </c>
      <c r="F99" s="184" t="s">
        <v>806</v>
      </c>
      <c r="G99" s="185">
        <v>0</v>
      </c>
      <c r="H99" s="184" t="s">
        <v>598</v>
      </c>
      <c r="I99" s="184" t="s">
        <v>118</v>
      </c>
      <c r="J99" s="184" t="s">
        <v>108</v>
      </c>
      <c r="K99" s="184" t="s">
        <v>184</v>
      </c>
      <c r="L99" s="184" t="s">
        <v>598</v>
      </c>
      <c r="M99" s="184" t="s">
        <v>598</v>
      </c>
      <c r="N99" s="184" t="s">
        <v>30</v>
      </c>
      <c r="O99" s="184" t="s">
        <v>30</v>
      </c>
      <c r="P99" s="186" t="s">
        <v>601</v>
      </c>
      <c r="Q99" s="184" t="s">
        <v>598</v>
      </c>
      <c r="R99" s="184" t="s">
        <v>598</v>
      </c>
      <c r="S99" s="127" t="s">
        <v>598</v>
      </c>
      <c r="T99" s="184" t="s">
        <v>598</v>
      </c>
      <c r="U99" s="184" t="s">
        <v>598</v>
      </c>
      <c r="V99" s="185">
        <v>0</v>
      </c>
      <c r="W99" s="184" t="s">
        <v>485</v>
      </c>
      <c r="X99" s="184" t="s">
        <v>598</v>
      </c>
      <c r="Y99" s="185">
        <v>0</v>
      </c>
      <c r="Z99" s="184" t="s">
        <v>598</v>
      </c>
      <c r="AA99" s="21" t="s">
        <v>610</v>
      </c>
      <c r="AB99" s="176" t="s">
        <v>489</v>
      </c>
      <c r="AC99" s="172">
        <v>42996.328472222223</v>
      </c>
      <c r="AD99" s="32" t="s">
        <v>552</v>
      </c>
    </row>
    <row r="100" spans="1:30">
      <c r="A100" s="184">
        <v>99</v>
      </c>
      <c r="B100" s="184" t="s">
        <v>807</v>
      </c>
      <c r="C100" s="184" t="s">
        <v>598</v>
      </c>
      <c r="D100" s="127">
        <v>42882</v>
      </c>
      <c r="E100" s="127" t="s">
        <v>598</v>
      </c>
      <c r="F100" s="184" t="s">
        <v>808</v>
      </c>
      <c r="G100" s="185">
        <v>0</v>
      </c>
      <c r="H100" s="184" t="s">
        <v>598</v>
      </c>
      <c r="I100" s="184" t="s">
        <v>118</v>
      </c>
      <c r="J100" s="184" t="s">
        <v>108</v>
      </c>
      <c r="K100" s="184" t="s">
        <v>188</v>
      </c>
      <c r="L100" s="184" t="s">
        <v>598</v>
      </c>
      <c r="M100" s="184" t="s">
        <v>598</v>
      </c>
      <c r="N100" s="184" t="s">
        <v>30</v>
      </c>
      <c r="O100" s="184" t="s">
        <v>30</v>
      </c>
      <c r="P100" s="186" t="s">
        <v>32</v>
      </c>
      <c r="Q100" s="184" t="s">
        <v>598</v>
      </c>
      <c r="R100" s="184" t="s">
        <v>598</v>
      </c>
      <c r="S100" s="127">
        <v>42891</v>
      </c>
      <c r="T100" s="184" t="s">
        <v>10</v>
      </c>
      <c r="U100" s="184" t="s">
        <v>598</v>
      </c>
      <c r="V100" s="185">
        <v>2000</v>
      </c>
      <c r="W100" s="184" t="s">
        <v>493</v>
      </c>
      <c r="X100" s="184" t="s">
        <v>598</v>
      </c>
      <c r="Y100" s="185">
        <v>0</v>
      </c>
      <c r="Z100" s="184" t="s">
        <v>598</v>
      </c>
      <c r="AA100" s="21" t="s">
        <v>610</v>
      </c>
      <c r="AB100" s="176" t="s">
        <v>489</v>
      </c>
      <c r="AC100" s="172">
        <v>42996.328472222223</v>
      </c>
      <c r="AD100" s="32" t="s">
        <v>552</v>
      </c>
    </row>
    <row r="101" spans="1:30">
      <c r="A101" s="184">
        <v>100</v>
      </c>
      <c r="B101" s="184" t="s">
        <v>809</v>
      </c>
      <c r="C101" s="184" t="s">
        <v>598</v>
      </c>
      <c r="D101" s="127">
        <v>42884</v>
      </c>
      <c r="E101" s="127" t="s">
        <v>598</v>
      </c>
      <c r="F101" s="184" t="s">
        <v>810</v>
      </c>
      <c r="G101" s="185">
        <v>0</v>
      </c>
      <c r="H101" s="184" t="s">
        <v>598</v>
      </c>
      <c r="I101" s="184" t="s">
        <v>598</v>
      </c>
      <c r="J101" s="184" t="s">
        <v>108</v>
      </c>
      <c r="K101" s="184" t="s">
        <v>170</v>
      </c>
      <c r="L101" s="184" t="s">
        <v>598</v>
      </c>
      <c r="M101" s="184" t="s">
        <v>598</v>
      </c>
      <c r="N101" s="184" t="s">
        <v>30</v>
      </c>
      <c r="O101" s="184" t="s">
        <v>30</v>
      </c>
      <c r="P101" s="186" t="s">
        <v>53</v>
      </c>
      <c r="Q101" s="184" t="s">
        <v>598</v>
      </c>
      <c r="R101" s="184" t="s">
        <v>598</v>
      </c>
      <c r="S101" s="127" t="s">
        <v>598</v>
      </c>
      <c r="T101" s="184" t="s">
        <v>598</v>
      </c>
      <c r="U101" s="184" t="s">
        <v>598</v>
      </c>
      <c r="V101" s="185">
        <v>0</v>
      </c>
      <c r="W101" s="184" t="s">
        <v>485</v>
      </c>
      <c r="X101" s="184" t="s">
        <v>598</v>
      </c>
      <c r="Y101" s="185">
        <v>0</v>
      </c>
      <c r="Z101" s="184" t="s">
        <v>598</v>
      </c>
      <c r="AA101" s="21" t="s">
        <v>610</v>
      </c>
      <c r="AB101" s="176" t="s">
        <v>489</v>
      </c>
      <c r="AC101" s="172">
        <v>42996.328472222223</v>
      </c>
      <c r="AD101" s="32" t="s">
        <v>552</v>
      </c>
    </row>
    <row r="102" spans="1:30">
      <c r="A102" s="184">
        <v>101</v>
      </c>
      <c r="B102" s="184" t="s">
        <v>811</v>
      </c>
      <c r="C102" s="184" t="s">
        <v>598</v>
      </c>
      <c r="D102" s="127">
        <v>42864</v>
      </c>
      <c r="E102" s="127" t="s">
        <v>598</v>
      </c>
      <c r="F102" s="184" t="s">
        <v>812</v>
      </c>
      <c r="G102" s="185">
        <v>0</v>
      </c>
      <c r="H102" s="184" t="s">
        <v>598</v>
      </c>
      <c r="I102" s="184" t="s">
        <v>134</v>
      </c>
      <c r="J102" s="184" t="s">
        <v>97</v>
      </c>
      <c r="K102" s="184" t="s">
        <v>344</v>
      </c>
      <c r="L102" s="184" t="s">
        <v>598</v>
      </c>
      <c r="M102" s="184" t="s">
        <v>598</v>
      </c>
      <c r="N102" s="184" t="s">
        <v>30</v>
      </c>
      <c r="O102" s="184" t="s">
        <v>30</v>
      </c>
      <c r="P102" s="186" t="s">
        <v>44</v>
      </c>
      <c r="Q102" s="184" t="s">
        <v>598</v>
      </c>
      <c r="R102" s="184" t="s">
        <v>598</v>
      </c>
      <c r="S102" s="127" t="s">
        <v>598</v>
      </c>
      <c r="T102" s="184" t="s">
        <v>598</v>
      </c>
      <c r="U102" s="184" t="s">
        <v>598</v>
      </c>
      <c r="V102" s="185">
        <v>0</v>
      </c>
      <c r="W102" s="184" t="s">
        <v>485</v>
      </c>
      <c r="X102" s="184" t="s">
        <v>598</v>
      </c>
      <c r="Y102" s="185">
        <v>0</v>
      </c>
      <c r="Z102" s="184" t="s">
        <v>598</v>
      </c>
      <c r="AA102" s="21" t="s">
        <v>610</v>
      </c>
      <c r="AB102" s="176" t="s">
        <v>489</v>
      </c>
      <c r="AC102" s="172">
        <v>42996.328472222223</v>
      </c>
      <c r="AD102" s="32" t="s">
        <v>552</v>
      </c>
    </row>
    <row r="103" spans="1:30">
      <c r="A103" s="184">
        <v>102</v>
      </c>
      <c r="B103" s="184" t="s">
        <v>813</v>
      </c>
      <c r="C103" s="184" t="s">
        <v>598</v>
      </c>
      <c r="D103" s="127">
        <v>42887</v>
      </c>
      <c r="E103" s="127" t="s">
        <v>598</v>
      </c>
      <c r="F103" s="184" t="s">
        <v>814</v>
      </c>
      <c r="G103" s="185">
        <v>0</v>
      </c>
      <c r="H103" s="184" t="s">
        <v>598</v>
      </c>
      <c r="I103" s="184" t="s">
        <v>598</v>
      </c>
      <c r="J103" s="184" t="s">
        <v>84</v>
      </c>
      <c r="K103" s="184" t="s">
        <v>189</v>
      </c>
      <c r="L103" s="184" t="s">
        <v>598</v>
      </c>
      <c r="M103" s="184" t="s">
        <v>598</v>
      </c>
      <c r="N103" s="184" t="s">
        <v>63</v>
      </c>
      <c r="O103" s="184" t="s">
        <v>63</v>
      </c>
      <c r="P103" s="186" t="s">
        <v>67</v>
      </c>
      <c r="Q103" s="184" t="s">
        <v>598</v>
      </c>
      <c r="R103" s="184" t="s">
        <v>598</v>
      </c>
      <c r="S103" s="127">
        <v>42888</v>
      </c>
      <c r="T103" s="184" t="s">
        <v>10</v>
      </c>
      <c r="U103" s="184" t="s">
        <v>598</v>
      </c>
      <c r="V103" s="185">
        <v>5000</v>
      </c>
      <c r="W103" s="184" t="s">
        <v>493</v>
      </c>
      <c r="X103" s="184" t="s">
        <v>598</v>
      </c>
      <c r="Y103" s="185">
        <v>0</v>
      </c>
      <c r="Z103" s="184" t="s">
        <v>598</v>
      </c>
      <c r="AA103" s="21" t="s">
        <v>610</v>
      </c>
      <c r="AB103" s="176" t="s">
        <v>489</v>
      </c>
      <c r="AC103" s="172">
        <v>42996.328472222223</v>
      </c>
      <c r="AD103" s="32" t="s">
        <v>552</v>
      </c>
    </row>
    <row r="104" spans="1:30">
      <c r="A104" s="184">
        <v>103</v>
      </c>
      <c r="B104" s="184" t="s">
        <v>815</v>
      </c>
      <c r="C104" s="184" t="s">
        <v>598</v>
      </c>
      <c r="D104" s="127">
        <v>42887</v>
      </c>
      <c r="E104" s="127" t="s">
        <v>598</v>
      </c>
      <c r="F104" s="184" t="s">
        <v>816</v>
      </c>
      <c r="G104" s="185">
        <v>0</v>
      </c>
      <c r="H104" s="184" t="s">
        <v>598</v>
      </c>
      <c r="I104" s="184" t="s">
        <v>598</v>
      </c>
      <c r="J104" s="184" t="s">
        <v>84</v>
      </c>
      <c r="K104" s="184" t="s">
        <v>190</v>
      </c>
      <c r="L104" s="184" t="s">
        <v>598</v>
      </c>
      <c r="M104" s="184" t="s">
        <v>598</v>
      </c>
      <c r="N104" s="184" t="s">
        <v>63</v>
      </c>
      <c r="O104" s="184" t="s">
        <v>63</v>
      </c>
      <c r="P104" s="186" t="s">
        <v>602</v>
      </c>
      <c r="Q104" s="184" t="s">
        <v>598</v>
      </c>
      <c r="R104" s="184" t="s">
        <v>598</v>
      </c>
      <c r="S104" s="127" t="s">
        <v>598</v>
      </c>
      <c r="T104" s="184" t="s">
        <v>598</v>
      </c>
      <c r="U104" s="184" t="s">
        <v>598</v>
      </c>
      <c r="V104" s="185">
        <v>0</v>
      </c>
      <c r="W104" s="184" t="s">
        <v>485</v>
      </c>
      <c r="X104" s="184" t="s">
        <v>598</v>
      </c>
      <c r="Y104" s="185">
        <v>0</v>
      </c>
      <c r="Z104" s="184" t="s">
        <v>598</v>
      </c>
      <c r="AA104" s="21" t="s">
        <v>610</v>
      </c>
      <c r="AB104" s="176" t="s">
        <v>489</v>
      </c>
      <c r="AC104" s="172">
        <v>42996.328472222223</v>
      </c>
      <c r="AD104" s="32" t="s">
        <v>552</v>
      </c>
    </row>
    <row r="105" spans="1:30">
      <c r="A105" s="184">
        <v>104</v>
      </c>
      <c r="B105" s="184" t="s">
        <v>817</v>
      </c>
      <c r="C105" s="184" t="s">
        <v>598</v>
      </c>
      <c r="D105" s="127">
        <v>42887</v>
      </c>
      <c r="E105" s="127" t="s">
        <v>598</v>
      </c>
      <c r="F105" s="184" t="s">
        <v>818</v>
      </c>
      <c r="G105" s="185">
        <v>0</v>
      </c>
      <c r="H105" s="184" t="s">
        <v>598</v>
      </c>
      <c r="I105" s="184" t="s">
        <v>598</v>
      </c>
      <c r="J105" s="184" t="s">
        <v>84</v>
      </c>
      <c r="K105" s="184" t="s">
        <v>191</v>
      </c>
      <c r="L105" s="184" t="s">
        <v>598</v>
      </c>
      <c r="M105" s="184" t="s">
        <v>598</v>
      </c>
      <c r="N105" s="184" t="s">
        <v>63</v>
      </c>
      <c r="O105" s="184" t="s">
        <v>63</v>
      </c>
      <c r="P105" s="186" t="s">
        <v>603</v>
      </c>
      <c r="Q105" s="184" t="s">
        <v>598</v>
      </c>
      <c r="R105" s="184" t="s">
        <v>598</v>
      </c>
      <c r="S105" s="127" t="s">
        <v>598</v>
      </c>
      <c r="T105" s="184" t="s">
        <v>598</v>
      </c>
      <c r="U105" s="184" t="s">
        <v>598</v>
      </c>
      <c r="V105" s="185">
        <v>0</v>
      </c>
      <c r="W105" s="184" t="s">
        <v>485</v>
      </c>
      <c r="X105" s="184" t="s">
        <v>598</v>
      </c>
      <c r="Y105" s="185">
        <v>0</v>
      </c>
      <c r="Z105" s="184" t="s">
        <v>598</v>
      </c>
      <c r="AA105" s="21" t="s">
        <v>610</v>
      </c>
      <c r="AB105" s="176" t="s">
        <v>489</v>
      </c>
      <c r="AC105" s="172">
        <v>42996.328472222223</v>
      </c>
      <c r="AD105" s="32" t="s">
        <v>552</v>
      </c>
    </row>
    <row r="106" spans="1:30">
      <c r="A106" s="184">
        <v>105</v>
      </c>
      <c r="B106" s="184" t="s">
        <v>819</v>
      </c>
      <c r="C106" s="184" t="s">
        <v>598</v>
      </c>
      <c r="D106" s="127">
        <v>42887</v>
      </c>
      <c r="E106" s="127" t="s">
        <v>598</v>
      </c>
      <c r="F106" s="184" t="s">
        <v>820</v>
      </c>
      <c r="G106" s="185">
        <v>0</v>
      </c>
      <c r="H106" s="184" t="s">
        <v>598</v>
      </c>
      <c r="I106" s="184" t="s">
        <v>598</v>
      </c>
      <c r="J106" s="184" t="s">
        <v>84</v>
      </c>
      <c r="K106" s="184" t="s">
        <v>192</v>
      </c>
      <c r="L106" s="184" t="s">
        <v>598</v>
      </c>
      <c r="M106" s="184" t="s">
        <v>598</v>
      </c>
      <c r="N106" s="184" t="s">
        <v>63</v>
      </c>
      <c r="O106" s="184" t="s">
        <v>63</v>
      </c>
      <c r="P106" s="186" t="s">
        <v>604</v>
      </c>
      <c r="Q106" s="184" t="s">
        <v>598</v>
      </c>
      <c r="R106" s="184" t="s">
        <v>598</v>
      </c>
      <c r="S106" s="127" t="s">
        <v>598</v>
      </c>
      <c r="T106" s="184" t="s">
        <v>598</v>
      </c>
      <c r="U106" s="184" t="s">
        <v>598</v>
      </c>
      <c r="V106" s="185">
        <v>0</v>
      </c>
      <c r="W106" s="184" t="s">
        <v>33</v>
      </c>
      <c r="X106" s="184" t="s">
        <v>598</v>
      </c>
      <c r="Y106" s="185">
        <v>0</v>
      </c>
      <c r="Z106" s="184" t="s">
        <v>821</v>
      </c>
      <c r="AA106" s="21" t="s">
        <v>822</v>
      </c>
      <c r="AB106" s="176" t="s">
        <v>489</v>
      </c>
      <c r="AC106" s="172">
        <v>42996.328472222223</v>
      </c>
      <c r="AD106" s="32" t="s">
        <v>552</v>
      </c>
    </row>
    <row r="107" spans="1:30">
      <c r="A107" s="184">
        <v>106</v>
      </c>
      <c r="B107" s="184" t="s">
        <v>823</v>
      </c>
      <c r="C107" s="184" t="s">
        <v>598</v>
      </c>
      <c r="D107" s="127">
        <v>42887</v>
      </c>
      <c r="E107" s="127" t="s">
        <v>598</v>
      </c>
      <c r="F107" s="184" t="s">
        <v>824</v>
      </c>
      <c r="G107" s="185">
        <v>0</v>
      </c>
      <c r="H107" s="184" t="s">
        <v>598</v>
      </c>
      <c r="I107" s="184" t="s">
        <v>598</v>
      </c>
      <c r="J107" s="184" t="s">
        <v>84</v>
      </c>
      <c r="K107" s="184" t="s">
        <v>598</v>
      </c>
      <c r="L107" s="184" t="s">
        <v>598</v>
      </c>
      <c r="M107" s="184" t="s">
        <v>598</v>
      </c>
      <c r="N107" s="184" t="s">
        <v>63</v>
      </c>
      <c r="O107" s="184" t="s">
        <v>63</v>
      </c>
      <c r="P107" s="186" t="s">
        <v>605</v>
      </c>
      <c r="Q107" s="184" t="s">
        <v>598</v>
      </c>
      <c r="R107" s="184" t="s">
        <v>598</v>
      </c>
      <c r="S107" s="127">
        <v>42913</v>
      </c>
      <c r="T107" s="184" t="s">
        <v>34</v>
      </c>
      <c r="U107" s="184" t="s">
        <v>598</v>
      </c>
      <c r="V107" s="185">
        <v>4000</v>
      </c>
      <c r="W107" s="184" t="s">
        <v>493</v>
      </c>
      <c r="X107" s="184" t="s">
        <v>598</v>
      </c>
      <c r="Y107" s="185">
        <v>0</v>
      </c>
      <c r="Z107" s="184" t="s">
        <v>598</v>
      </c>
      <c r="AA107" s="21" t="s">
        <v>610</v>
      </c>
      <c r="AB107" s="176" t="s">
        <v>489</v>
      </c>
      <c r="AC107" s="172">
        <v>42996.328472222223</v>
      </c>
      <c r="AD107" s="32" t="s">
        <v>552</v>
      </c>
    </row>
    <row r="108" spans="1:30">
      <c r="A108" s="184">
        <v>107</v>
      </c>
      <c r="B108" s="184" t="s">
        <v>825</v>
      </c>
      <c r="C108" s="184" t="s">
        <v>598</v>
      </c>
      <c r="D108" s="127">
        <v>42887</v>
      </c>
      <c r="E108" s="127" t="s">
        <v>598</v>
      </c>
      <c r="F108" s="184" t="s">
        <v>826</v>
      </c>
      <c r="G108" s="185">
        <v>0</v>
      </c>
      <c r="H108" s="184" t="s">
        <v>598</v>
      </c>
      <c r="I108" s="184" t="s">
        <v>598</v>
      </c>
      <c r="J108" s="184" t="s">
        <v>84</v>
      </c>
      <c r="K108" s="184" t="s">
        <v>193</v>
      </c>
      <c r="L108" s="184" t="s">
        <v>598</v>
      </c>
      <c r="M108" s="184" t="s">
        <v>598</v>
      </c>
      <c r="N108" s="184" t="s">
        <v>63</v>
      </c>
      <c r="O108" s="184" t="s">
        <v>63</v>
      </c>
      <c r="P108" s="186" t="s">
        <v>606</v>
      </c>
      <c r="Q108" s="184" t="s">
        <v>598</v>
      </c>
      <c r="R108" s="184" t="s">
        <v>598</v>
      </c>
      <c r="S108" s="127" t="s">
        <v>598</v>
      </c>
      <c r="T108" s="184" t="s">
        <v>598</v>
      </c>
      <c r="U108" s="184" t="s">
        <v>598</v>
      </c>
      <c r="V108" s="185">
        <v>0</v>
      </c>
      <c r="W108" s="184" t="s">
        <v>827</v>
      </c>
      <c r="X108" s="184" t="s">
        <v>598</v>
      </c>
      <c r="Y108" s="185">
        <v>0</v>
      </c>
      <c r="Z108" s="184" t="s">
        <v>598</v>
      </c>
      <c r="AA108" s="21" t="s">
        <v>610</v>
      </c>
      <c r="AB108" s="176" t="s">
        <v>489</v>
      </c>
      <c r="AC108" s="172">
        <v>42996.328472222223</v>
      </c>
      <c r="AD108" s="32" t="s">
        <v>552</v>
      </c>
    </row>
    <row r="109" spans="1:30">
      <c r="A109" s="184">
        <v>108</v>
      </c>
      <c r="B109" s="184" t="s">
        <v>828</v>
      </c>
      <c r="C109" s="184" t="s">
        <v>598</v>
      </c>
      <c r="D109" s="127">
        <v>42887</v>
      </c>
      <c r="E109" s="127" t="s">
        <v>598</v>
      </c>
      <c r="F109" s="184" t="s">
        <v>829</v>
      </c>
      <c r="G109" s="185">
        <v>0</v>
      </c>
      <c r="H109" s="184" t="s">
        <v>598</v>
      </c>
      <c r="I109" s="184" t="s">
        <v>598</v>
      </c>
      <c r="J109" s="184" t="s">
        <v>84</v>
      </c>
      <c r="K109" s="184" t="s">
        <v>598</v>
      </c>
      <c r="L109" s="184" t="s">
        <v>598</v>
      </c>
      <c r="M109" s="184" t="s">
        <v>598</v>
      </c>
      <c r="N109" s="184" t="s">
        <v>63</v>
      </c>
      <c r="O109" s="184" t="s">
        <v>598</v>
      </c>
      <c r="P109" s="186" t="s">
        <v>607</v>
      </c>
      <c r="Q109" s="184" t="s">
        <v>598</v>
      </c>
      <c r="R109" s="184" t="s">
        <v>598</v>
      </c>
      <c r="S109" s="127" t="s">
        <v>598</v>
      </c>
      <c r="T109" s="184" t="s">
        <v>598</v>
      </c>
      <c r="U109" s="184" t="s">
        <v>598</v>
      </c>
      <c r="V109" s="185">
        <v>0</v>
      </c>
      <c r="W109" s="184" t="s">
        <v>55</v>
      </c>
      <c r="X109" s="184" t="s">
        <v>598</v>
      </c>
      <c r="Y109" s="185">
        <v>0</v>
      </c>
      <c r="Z109" s="184" t="s">
        <v>598</v>
      </c>
      <c r="AA109" s="21" t="s">
        <v>822</v>
      </c>
      <c r="AB109" s="176" t="s">
        <v>489</v>
      </c>
      <c r="AC109" s="172">
        <v>42996.328472222223</v>
      </c>
      <c r="AD109" s="32" t="s">
        <v>552</v>
      </c>
    </row>
    <row r="110" spans="1:30">
      <c r="A110" s="184">
        <v>109</v>
      </c>
      <c r="B110" s="184" t="s">
        <v>830</v>
      </c>
      <c r="C110" s="184" t="s">
        <v>598</v>
      </c>
      <c r="D110" s="127">
        <v>42887</v>
      </c>
      <c r="E110" s="127" t="s">
        <v>598</v>
      </c>
      <c r="F110" s="184" t="s">
        <v>829</v>
      </c>
      <c r="G110" s="185">
        <v>0</v>
      </c>
      <c r="H110" s="184" t="s">
        <v>598</v>
      </c>
      <c r="I110" s="184" t="s">
        <v>598</v>
      </c>
      <c r="J110" s="184" t="s">
        <v>84</v>
      </c>
      <c r="K110" s="184" t="s">
        <v>189</v>
      </c>
      <c r="L110" s="184" t="s">
        <v>598</v>
      </c>
      <c r="M110" s="184" t="s">
        <v>598</v>
      </c>
      <c r="N110" s="184" t="s">
        <v>63</v>
      </c>
      <c r="O110" s="184" t="s">
        <v>63</v>
      </c>
      <c r="P110" s="186" t="s">
        <v>73</v>
      </c>
      <c r="Q110" s="184" t="s">
        <v>598</v>
      </c>
      <c r="R110" s="184" t="s">
        <v>598</v>
      </c>
      <c r="S110" s="127" t="s">
        <v>598</v>
      </c>
      <c r="T110" s="184" t="s">
        <v>598</v>
      </c>
      <c r="U110" s="184" t="s">
        <v>598</v>
      </c>
      <c r="V110" s="185">
        <v>0</v>
      </c>
      <c r="W110" s="184" t="s">
        <v>89</v>
      </c>
      <c r="X110" s="184" t="s">
        <v>598</v>
      </c>
      <c r="Y110" s="185">
        <v>0</v>
      </c>
      <c r="Z110" s="184" t="s">
        <v>598</v>
      </c>
      <c r="AA110" s="21" t="s">
        <v>822</v>
      </c>
      <c r="AB110" s="176" t="s">
        <v>489</v>
      </c>
      <c r="AC110" s="172">
        <v>42996.328472222223</v>
      </c>
      <c r="AD110" s="32" t="s">
        <v>552</v>
      </c>
    </row>
    <row r="111" spans="1:30">
      <c r="A111" s="184">
        <v>110</v>
      </c>
      <c r="B111" s="184" t="s">
        <v>831</v>
      </c>
      <c r="C111" s="184" t="s">
        <v>598</v>
      </c>
      <c r="D111" s="127">
        <v>42887</v>
      </c>
      <c r="E111" s="127" t="s">
        <v>598</v>
      </c>
      <c r="F111" s="184" t="s">
        <v>832</v>
      </c>
      <c r="G111" s="185">
        <v>0</v>
      </c>
      <c r="H111" s="184" t="s">
        <v>598</v>
      </c>
      <c r="I111" s="184" t="s">
        <v>598</v>
      </c>
      <c r="J111" s="184" t="s">
        <v>84</v>
      </c>
      <c r="K111" s="184" t="s">
        <v>194</v>
      </c>
      <c r="L111" s="184" t="s">
        <v>598</v>
      </c>
      <c r="M111" s="184" t="s">
        <v>598</v>
      </c>
      <c r="N111" s="184" t="s">
        <v>63</v>
      </c>
      <c r="O111" s="184" t="s">
        <v>63</v>
      </c>
      <c r="P111" s="186" t="s">
        <v>601</v>
      </c>
      <c r="Q111" s="184" t="s">
        <v>598</v>
      </c>
      <c r="R111" s="184" t="s">
        <v>598</v>
      </c>
      <c r="S111" s="127" t="s">
        <v>598</v>
      </c>
      <c r="T111" s="184" t="s">
        <v>598</v>
      </c>
      <c r="U111" s="184" t="s">
        <v>598</v>
      </c>
      <c r="V111" s="185">
        <v>0</v>
      </c>
      <c r="W111" s="184" t="s">
        <v>557</v>
      </c>
      <c r="X111" s="184" t="s">
        <v>598</v>
      </c>
      <c r="Y111" s="185">
        <v>0</v>
      </c>
      <c r="Z111" s="184" t="s">
        <v>598</v>
      </c>
      <c r="AA111" s="21" t="s">
        <v>822</v>
      </c>
      <c r="AB111" s="176" t="s">
        <v>489</v>
      </c>
      <c r="AC111" s="172">
        <v>42996.328472222223</v>
      </c>
      <c r="AD111" s="32" t="s">
        <v>552</v>
      </c>
    </row>
    <row r="112" spans="1:30">
      <c r="A112" s="184">
        <v>111</v>
      </c>
      <c r="B112" s="184" t="s">
        <v>833</v>
      </c>
      <c r="C112" s="184" t="s">
        <v>598</v>
      </c>
      <c r="D112" s="127">
        <v>42888</v>
      </c>
      <c r="E112" s="127" t="s">
        <v>598</v>
      </c>
      <c r="F112" s="184" t="s">
        <v>834</v>
      </c>
      <c r="G112" s="185">
        <v>0</v>
      </c>
      <c r="H112" s="184" t="s">
        <v>598</v>
      </c>
      <c r="I112" s="184" t="s">
        <v>598</v>
      </c>
      <c r="J112" s="184" t="s">
        <v>84</v>
      </c>
      <c r="K112" s="184" t="s">
        <v>189</v>
      </c>
      <c r="L112" s="184" t="s">
        <v>598</v>
      </c>
      <c r="M112" s="184" t="s">
        <v>598</v>
      </c>
      <c r="N112" s="184" t="s">
        <v>63</v>
      </c>
      <c r="O112" s="184" t="s">
        <v>63</v>
      </c>
      <c r="P112" s="186" t="s">
        <v>32</v>
      </c>
      <c r="Q112" s="184" t="s">
        <v>598</v>
      </c>
      <c r="R112" s="184" t="s">
        <v>598</v>
      </c>
      <c r="S112" s="127" t="s">
        <v>598</v>
      </c>
      <c r="T112" s="184" t="s">
        <v>598</v>
      </c>
      <c r="U112" s="184" t="s">
        <v>598</v>
      </c>
      <c r="V112" s="185">
        <v>0</v>
      </c>
      <c r="W112" s="184" t="s">
        <v>557</v>
      </c>
      <c r="X112" s="184" t="s">
        <v>598</v>
      </c>
      <c r="Y112" s="185">
        <v>0</v>
      </c>
      <c r="Z112" s="184" t="s">
        <v>598</v>
      </c>
      <c r="AA112" s="21" t="s">
        <v>822</v>
      </c>
      <c r="AB112" s="176" t="s">
        <v>489</v>
      </c>
      <c r="AC112" s="172">
        <v>42996.328472222223</v>
      </c>
      <c r="AD112" s="32" t="s">
        <v>552</v>
      </c>
    </row>
    <row r="113" spans="1:30">
      <c r="A113" s="184">
        <v>112</v>
      </c>
      <c r="B113" s="184" t="s">
        <v>835</v>
      </c>
      <c r="C113" s="184" t="s">
        <v>598</v>
      </c>
      <c r="D113" s="127">
        <v>42889</v>
      </c>
      <c r="E113" s="127" t="s">
        <v>598</v>
      </c>
      <c r="F113" s="184" t="s">
        <v>836</v>
      </c>
      <c r="G113" s="185">
        <v>0</v>
      </c>
      <c r="H113" s="184" t="s">
        <v>598</v>
      </c>
      <c r="I113" s="184" t="s">
        <v>134</v>
      </c>
      <c r="J113" s="184" t="s">
        <v>84</v>
      </c>
      <c r="K113" s="184" t="s">
        <v>195</v>
      </c>
      <c r="L113" s="184" t="s">
        <v>598</v>
      </c>
      <c r="M113" s="184" t="s">
        <v>598</v>
      </c>
      <c r="N113" s="184" t="s">
        <v>63</v>
      </c>
      <c r="O113" s="184" t="s">
        <v>86</v>
      </c>
      <c r="P113" s="186" t="s">
        <v>53</v>
      </c>
      <c r="Q113" s="184" t="s">
        <v>598</v>
      </c>
      <c r="R113" s="184" t="s">
        <v>598</v>
      </c>
      <c r="S113" s="127" t="s">
        <v>598</v>
      </c>
      <c r="T113" s="184" t="s">
        <v>598</v>
      </c>
      <c r="U113" s="184" t="s">
        <v>598</v>
      </c>
      <c r="V113" s="185">
        <v>0</v>
      </c>
      <c r="W113" s="184" t="s">
        <v>89</v>
      </c>
      <c r="X113" s="184" t="s">
        <v>598</v>
      </c>
      <c r="Y113" s="185">
        <v>0</v>
      </c>
      <c r="Z113" s="184" t="s">
        <v>598</v>
      </c>
      <c r="AA113" s="21" t="s">
        <v>822</v>
      </c>
      <c r="AB113" s="176" t="s">
        <v>489</v>
      </c>
      <c r="AC113" s="172">
        <v>42996.328472222223</v>
      </c>
      <c r="AD113" s="32" t="s">
        <v>552</v>
      </c>
    </row>
    <row r="114" spans="1:30">
      <c r="A114" s="184">
        <v>113</v>
      </c>
      <c r="B114" s="184" t="s">
        <v>837</v>
      </c>
      <c r="C114" s="184" t="s">
        <v>598</v>
      </c>
      <c r="D114" s="127">
        <v>42891</v>
      </c>
      <c r="E114" s="127" t="s">
        <v>598</v>
      </c>
      <c r="F114" s="184" t="s">
        <v>838</v>
      </c>
      <c r="G114" s="185">
        <v>0</v>
      </c>
      <c r="H114" s="184" t="s">
        <v>598</v>
      </c>
      <c r="I114" s="184" t="s">
        <v>132</v>
      </c>
      <c r="J114" s="184" t="s">
        <v>84</v>
      </c>
      <c r="K114" s="184" t="s">
        <v>196</v>
      </c>
      <c r="L114" s="184" t="s">
        <v>598</v>
      </c>
      <c r="M114" s="184" t="s">
        <v>598</v>
      </c>
      <c r="N114" s="184" t="s">
        <v>63</v>
      </c>
      <c r="O114" s="184" t="s">
        <v>86</v>
      </c>
      <c r="P114" s="186" t="s">
        <v>44</v>
      </c>
      <c r="Q114" s="184" t="s">
        <v>598</v>
      </c>
      <c r="R114" s="184" t="s">
        <v>598</v>
      </c>
      <c r="S114" s="127">
        <v>42892</v>
      </c>
      <c r="T114" s="184" t="s">
        <v>34</v>
      </c>
      <c r="U114" s="184" t="s">
        <v>598</v>
      </c>
      <c r="V114" s="185">
        <v>3000</v>
      </c>
      <c r="W114" s="184" t="s">
        <v>493</v>
      </c>
      <c r="X114" s="184" t="s">
        <v>598</v>
      </c>
      <c r="Y114" s="185">
        <v>0</v>
      </c>
      <c r="Z114" s="184" t="s">
        <v>598</v>
      </c>
      <c r="AA114" s="21" t="s">
        <v>610</v>
      </c>
      <c r="AB114" s="176" t="s">
        <v>489</v>
      </c>
      <c r="AC114" s="172">
        <v>42996.328472222223</v>
      </c>
      <c r="AD114" s="32" t="s">
        <v>552</v>
      </c>
    </row>
    <row r="115" spans="1:30">
      <c r="A115" s="184">
        <v>114</v>
      </c>
      <c r="B115" s="184" t="s">
        <v>839</v>
      </c>
      <c r="C115" s="184" t="s">
        <v>598</v>
      </c>
      <c r="D115" s="127">
        <v>42891</v>
      </c>
      <c r="E115" s="127" t="s">
        <v>598</v>
      </c>
      <c r="F115" s="184" t="s">
        <v>840</v>
      </c>
      <c r="G115" s="185">
        <v>0</v>
      </c>
      <c r="H115" s="184" t="s">
        <v>598</v>
      </c>
      <c r="I115" s="184" t="s">
        <v>134</v>
      </c>
      <c r="J115" s="184" t="s">
        <v>84</v>
      </c>
      <c r="K115" s="184" t="s">
        <v>195</v>
      </c>
      <c r="L115" s="184" t="s">
        <v>598</v>
      </c>
      <c r="M115" s="184" t="s">
        <v>598</v>
      </c>
      <c r="N115" s="184" t="s">
        <v>63</v>
      </c>
      <c r="O115" s="184" t="s">
        <v>63</v>
      </c>
      <c r="P115" s="186" t="s">
        <v>67</v>
      </c>
      <c r="Q115" s="184" t="s">
        <v>598</v>
      </c>
      <c r="R115" s="184" t="s">
        <v>598</v>
      </c>
      <c r="S115" s="127">
        <v>42895</v>
      </c>
      <c r="T115" s="184" t="s">
        <v>34</v>
      </c>
      <c r="U115" s="184" t="s">
        <v>598</v>
      </c>
      <c r="V115" s="185">
        <v>3500</v>
      </c>
      <c r="W115" s="184" t="s">
        <v>493</v>
      </c>
      <c r="X115" s="184" t="s">
        <v>598</v>
      </c>
      <c r="Y115" s="185">
        <v>0</v>
      </c>
      <c r="Z115" s="184" t="s">
        <v>598</v>
      </c>
      <c r="AA115" s="21" t="s">
        <v>610</v>
      </c>
      <c r="AB115" s="176" t="s">
        <v>489</v>
      </c>
      <c r="AC115" s="172">
        <v>42996.328472222223</v>
      </c>
      <c r="AD115" s="32" t="s">
        <v>552</v>
      </c>
    </row>
    <row r="116" spans="1:30">
      <c r="A116" s="184">
        <v>115</v>
      </c>
      <c r="B116" s="184" t="s">
        <v>841</v>
      </c>
      <c r="C116" s="184" t="s">
        <v>598</v>
      </c>
      <c r="D116" s="127">
        <v>42891</v>
      </c>
      <c r="E116" s="127" t="s">
        <v>598</v>
      </c>
      <c r="F116" s="184" t="s">
        <v>842</v>
      </c>
      <c r="G116" s="185">
        <v>0</v>
      </c>
      <c r="H116" s="184" t="s">
        <v>598</v>
      </c>
      <c r="I116" s="184" t="s">
        <v>598</v>
      </c>
      <c r="J116" s="184" t="s">
        <v>84</v>
      </c>
      <c r="K116" s="184" t="s">
        <v>195</v>
      </c>
      <c r="L116" s="184" t="s">
        <v>598</v>
      </c>
      <c r="M116" s="184" t="s">
        <v>598</v>
      </c>
      <c r="N116" s="184" t="s">
        <v>63</v>
      </c>
      <c r="O116" s="184" t="s">
        <v>63</v>
      </c>
      <c r="P116" s="186" t="s">
        <v>602</v>
      </c>
      <c r="Q116" s="184" t="s">
        <v>598</v>
      </c>
      <c r="R116" s="184" t="s">
        <v>598</v>
      </c>
      <c r="S116" s="127" t="s">
        <v>598</v>
      </c>
      <c r="T116" s="184" t="s">
        <v>598</v>
      </c>
      <c r="U116" s="184" t="s">
        <v>598</v>
      </c>
      <c r="V116" s="185">
        <v>0</v>
      </c>
      <c r="W116" s="184" t="s">
        <v>89</v>
      </c>
      <c r="X116" s="184" t="s">
        <v>598</v>
      </c>
      <c r="Y116" s="185">
        <v>0</v>
      </c>
      <c r="Z116" s="184" t="s">
        <v>598</v>
      </c>
      <c r="AA116" s="21" t="s">
        <v>822</v>
      </c>
      <c r="AB116" s="176" t="s">
        <v>489</v>
      </c>
      <c r="AC116" s="172">
        <v>42996.328472222223</v>
      </c>
      <c r="AD116" s="32" t="s">
        <v>552</v>
      </c>
    </row>
    <row r="117" spans="1:30">
      <c r="A117" s="184">
        <v>116</v>
      </c>
      <c r="B117" s="184" t="s">
        <v>843</v>
      </c>
      <c r="C117" s="184" t="s">
        <v>598</v>
      </c>
      <c r="D117" s="127">
        <v>42891</v>
      </c>
      <c r="E117" s="127" t="s">
        <v>598</v>
      </c>
      <c r="F117" s="184" t="s">
        <v>598</v>
      </c>
      <c r="G117" s="185">
        <v>0</v>
      </c>
      <c r="H117" s="184" t="s">
        <v>598</v>
      </c>
      <c r="I117" s="184" t="s">
        <v>598</v>
      </c>
      <c r="J117" s="184" t="s">
        <v>84</v>
      </c>
      <c r="K117" s="184" t="s">
        <v>197</v>
      </c>
      <c r="L117" s="184" t="s">
        <v>598</v>
      </c>
      <c r="M117" s="184" t="s">
        <v>598</v>
      </c>
      <c r="N117" s="184" t="s">
        <v>63</v>
      </c>
      <c r="O117" s="184" t="s">
        <v>63</v>
      </c>
      <c r="P117" s="186" t="s">
        <v>603</v>
      </c>
      <c r="Q117" s="184" t="s">
        <v>598</v>
      </c>
      <c r="R117" s="184" t="s">
        <v>598</v>
      </c>
      <c r="S117" s="127" t="s">
        <v>598</v>
      </c>
      <c r="T117" s="184" t="s">
        <v>598</v>
      </c>
      <c r="U117" s="184" t="s">
        <v>598</v>
      </c>
      <c r="V117" s="185">
        <v>0</v>
      </c>
      <c r="W117" s="184" t="s">
        <v>485</v>
      </c>
      <c r="X117" s="184" t="s">
        <v>598</v>
      </c>
      <c r="Y117" s="185">
        <v>0</v>
      </c>
      <c r="Z117" s="184" t="s">
        <v>598</v>
      </c>
      <c r="AA117" s="21" t="s">
        <v>610</v>
      </c>
      <c r="AB117" s="176" t="s">
        <v>489</v>
      </c>
      <c r="AC117" s="172">
        <v>42996.328472222223</v>
      </c>
      <c r="AD117" s="32" t="s">
        <v>552</v>
      </c>
    </row>
    <row r="118" spans="1:30">
      <c r="A118" s="184">
        <v>117</v>
      </c>
      <c r="B118" s="184" t="s">
        <v>844</v>
      </c>
      <c r="C118" s="184" t="s">
        <v>598</v>
      </c>
      <c r="D118" s="127">
        <v>42892</v>
      </c>
      <c r="E118" s="127" t="s">
        <v>598</v>
      </c>
      <c r="F118" s="184" t="s">
        <v>845</v>
      </c>
      <c r="G118" s="185">
        <v>0</v>
      </c>
      <c r="H118" s="184" t="s">
        <v>598</v>
      </c>
      <c r="I118" s="184" t="s">
        <v>598</v>
      </c>
      <c r="J118" s="184" t="s">
        <v>84</v>
      </c>
      <c r="K118" s="184" t="s">
        <v>198</v>
      </c>
      <c r="L118" s="184" t="s">
        <v>598</v>
      </c>
      <c r="M118" s="184" t="s">
        <v>598</v>
      </c>
      <c r="N118" s="184" t="s">
        <v>63</v>
      </c>
      <c r="O118" s="184" t="s">
        <v>86</v>
      </c>
      <c r="P118" s="186" t="s">
        <v>604</v>
      </c>
      <c r="Q118" s="184" t="s">
        <v>598</v>
      </c>
      <c r="R118" s="184" t="s">
        <v>598</v>
      </c>
      <c r="S118" s="127">
        <v>42892</v>
      </c>
      <c r="T118" s="184" t="s">
        <v>34</v>
      </c>
      <c r="U118" s="184" t="s">
        <v>598</v>
      </c>
      <c r="V118" s="185">
        <v>1000</v>
      </c>
      <c r="W118" s="184" t="s">
        <v>549</v>
      </c>
      <c r="X118" s="184" t="s">
        <v>598</v>
      </c>
      <c r="Y118" s="185">
        <v>0</v>
      </c>
      <c r="Z118" s="184" t="s">
        <v>493</v>
      </c>
      <c r="AA118" s="21" t="s">
        <v>822</v>
      </c>
      <c r="AB118" s="176" t="s">
        <v>489</v>
      </c>
      <c r="AC118" s="172">
        <v>42996.328472222223</v>
      </c>
      <c r="AD118" s="32" t="s">
        <v>552</v>
      </c>
    </row>
    <row r="119" spans="1:30">
      <c r="A119" s="184">
        <v>118</v>
      </c>
      <c r="B119" s="184" t="s">
        <v>846</v>
      </c>
      <c r="C119" s="184" t="s">
        <v>598</v>
      </c>
      <c r="D119" s="127">
        <v>42892</v>
      </c>
      <c r="E119" s="127" t="s">
        <v>598</v>
      </c>
      <c r="F119" s="184" t="s">
        <v>847</v>
      </c>
      <c r="G119" s="185">
        <v>0</v>
      </c>
      <c r="H119" s="184" t="s">
        <v>598</v>
      </c>
      <c r="I119" s="184" t="s">
        <v>134</v>
      </c>
      <c r="J119" s="184" t="s">
        <v>84</v>
      </c>
      <c r="K119" s="184" t="s">
        <v>199</v>
      </c>
      <c r="L119" s="184" t="s">
        <v>598</v>
      </c>
      <c r="M119" s="184" t="s">
        <v>598</v>
      </c>
      <c r="N119" s="184" t="s">
        <v>63</v>
      </c>
      <c r="O119" s="184" t="s">
        <v>598</v>
      </c>
      <c r="P119" s="186" t="s">
        <v>605</v>
      </c>
      <c r="Q119" s="184" t="s">
        <v>598</v>
      </c>
      <c r="R119" s="184" t="s">
        <v>598</v>
      </c>
      <c r="S119" s="127" t="s">
        <v>598</v>
      </c>
      <c r="T119" s="184" t="s">
        <v>598</v>
      </c>
      <c r="U119" s="184" t="s">
        <v>598</v>
      </c>
      <c r="V119" s="185">
        <v>0</v>
      </c>
      <c r="W119" s="184" t="s">
        <v>89</v>
      </c>
      <c r="X119" s="184" t="s">
        <v>598</v>
      </c>
      <c r="Y119" s="185">
        <v>0</v>
      </c>
      <c r="Z119" s="184" t="s">
        <v>598</v>
      </c>
      <c r="AA119" s="21" t="s">
        <v>822</v>
      </c>
      <c r="AB119" s="176" t="s">
        <v>489</v>
      </c>
      <c r="AC119" s="172">
        <v>42996.328472222223</v>
      </c>
      <c r="AD119" s="32" t="s">
        <v>552</v>
      </c>
    </row>
    <row r="120" spans="1:30">
      <c r="A120" s="184">
        <v>119</v>
      </c>
      <c r="B120" s="184" t="s">
        <v>848</v>
      </c>
      <c r="C120" s="184" t="s">
        <v>598</v>
      </c>
      <c r="D120" s="127">
        <v>42893</v>
      </c>
      <c r="E120" s="127" t="s">
        <v>598</v>
      </c>
      <c r="F120" s="184" t="s">
        <v>849</v>
      </c>
      <c r="G120" s="185">
        <v>0</v>
      </c>
      <c r="H120" s="184" t="s">
        <v>598</v>
      </c>
      <c r="I120" s="184" t="s">
        <v>598</v>
      </c>
      <c r="J120" s="184" t="s">
        <v>84</v>
      </c>
      <c r="K120" s="184" t="s">
        <v>200</v>
      </c>
      <c r="L120" s="184" t="s">
        <v>598</v>
      </c>
      <c r="M120" s="184" t="s">
        <v>598</v>
      </c>
      <c r="N120" s="184" t="s">
        <v>63</v>
      </c>
      <c r="O120" s="184" t="s">
        <v>63</v>
      </c>
      <c r="P120" s="186" t="s">
        <v>606</v>
      </c>
      <c r="Q120" s="184" t="s">
        <v>598</v>
      </c>
      <c r="R120" s="184" t="s">
        <v>598</v>
      </c>
      <c r="S120" s="127">
        <v>42907</v>
      </c>
      <c r="T120" s="184" t="s">
        <v>34</v>
      </c>
      <c r="U120" s="184" t="s">
        <v>598</v>
      </c>
      <c r="V120" s="185">
        <v>6500</v>
      </c>
      <c r="W120" s="184" t="s">
        <v>493</v>
      </c>
      <c r="X120" s="184" t="s">
        <v>598</v>
      </c>
      <c r="Y120" s="185">
        <v>0</v>
      </c>
      <c r="Z120" s="184" t="s">
        <v>598</v>
      </c>
      <c r="AA120" s="21" t="s">
        <v>610</v>
      </c>
      <c r="AB120" s="176" t="s">
        <v>489</v>
      </c>
      <c r="AC120" s="172">
        <v>42996.328472222223</v>
      </c>
      <c r="AD120" s="32" t="s">
        <v>552</v>
      </c>
    </row>
    <row r="121" spans="1:30">
      <c r="A121" s="184">
        <v>120</v>
      </c>
      <c r="B121" s="184" t="s">
        <v>850</v>
      </c>
      <c r="C121" s="184" t="s">
        <v>598</v>
      </c>
      <c r="D121" s="127">
        <v>42893</v>
      </c>
      <c r="E121" s="127" t="s">
        <v>598</v>
      </c>
      <c r="F121" s="184" t="s">
        <v>851</v>
      </c>
      <c r="G121" s="185">
        <v>0</v>
      </c>
      <c r="H121" s="184" t="s">
        <v>598</v>
      </c>
      <c r="I121" s="184" t="s">
        <v>598</v>
      </c>
      <c r="J121" s="184" t="s">
        <v>84</v>
      </c>
      <c r="K121" s="184" t="s">
        <v>200</v>
      </c>
      <c r="L121" s="184" t="s">
        <v>598</v>
      </c>
      <c r="M121" s="184" t="s">
        <v>598</v>
      </c>
      <c r="N121" s="184" t="s">
        <v>63</v>
      </c>
      <c r="O121" s="184" t="s">
        <v>63</v>
      </c>
      <c r="P121" s="186" t="s">
        <v>607</v>
      </c>
      <c r="Q121" s="184" t="s">
        <v>598</v>
      </c>
      <c r="R121" s="184" t="s">
        <v>598</v>
      </c>
      <c r="S121" s="127">
        <v>42902</v>
      </c>
      <c r="T121" s="184" t="s">
        <v>10</v>
      </c>
      <c r="U121" s="184" t="s">
        <v>598</v>
      </c>
      <c r="V121" s="185">
        <v>3000</v>
      </c>
      <c r="W121" s="184" t="s">
        <v>493</v>
      </c>
      <c r="X121" s="184" t="s">
        <v>598</v>
      </c>
      <c r="Y121" s="185">
        <v>0</v>
      </c>
      <c r="Z121" s="184" t="s">
        <v>598</v>
      </c>
      <c r="AA121" s="21" t="s">
        <v>610</v>
      </c>
      <c r="AB121" s="176" t="s">
        <v>489</v>
      </c>
      <c r="AC121" s="172">
        <v>42996.328472222223</v>
      </c>
      <c r="AD121" s="32" t="s">
        <v>552</v>
      </c>
    </row>
    <row r="122" spans="1:30">
      <c r="A122" s="184">
        <v>121</v>
      </c>
      <c r="B122" s="184" t="s">
        <v>852</v>
      </c>
      <c r="C122" s="184" t="s">
        <v>598</v>
      </c>
      <c r="D122" s="127">
        <v>42894</v>
      </c>
      <c r="E122" s="127" t="s">
        <v>598</v>
      </c>
      <c r="F122" s="184" t="s">
        <v>853</v>
      </c>
      <c r="G122" s="185">
        <v>0</v>
      </c>
      <c r="H122" s="184" t="s">
        <v>598</v>
      </c>
      <c r="I122" s="184" t="s">
        <v>598</v>
      </c>
      <c r="J122" s="184" t="s">
        <v>84</v>
      </c>
      <c r="K122" s="184" t="s">
        <v>201</v>
      </c>
      <c r="L122" s="184" t="s">
        <v>598</v>
      </c>
      <c r="M122" s="184" t="s">
        <v>598</v>
      </c>
      <c r="N122" s="184" t="s">
        <v>63</v>
      </c>
      <c r="O122" s="184" t="s">
        <v>86</v>
      </c>
      <c r="P122" s="186" t="s">
        <v>73</v>
      </c>
      <c r="Q122" s="184" t="s">
        <v>598</v>
      </c>
      <c r="R122" s="184" t="s">
        <v>598</v>
      </c>
      <c r="S122" s="127" t="s">
        <v>598</v>
      </c>
      <c r="T122" s="184" t="s">
        <v>598</v>
      </c>
      <c r="U122" s="184" t="s">
        <v>598</v>
      </c>
      <c r="V122" s="185">
        <v>0</v>
      </c>
      <c r="W122" s="184" t="s">
        <v>485</v>
      </c>
      <c r="X122" s="184" t="s">
        <v>598</v>
      </c>
      <c r="Y122" s="185">
        <v>0</v>
      </c>
      <c r="Z122" s="184" t="s">
        <v>598</v>
      </c>
      <c r="AA122" s="21" t="s">
        <v>610</v>
      </c>
      <c r="AB122" s="176" t="s">
        <v>489</v>
      </c>
      <c r="AC122" s="172">
        <v>42996.328472222223</v>
      </c>
      <c r="AD122" s="32" t="s">
        <v>552</v>
      </c>
    </row>
    <row r="123" spans="1:30">
      <c r="A123" s="184">
        <v>122</v>
      </c>
      <c r="B123" s="184" t="s">
        <v>854</v>
      </c>
      <c r="C123" s="184" t="s">
        <v>598</v>
      </c>
      <c r="D123" s="127">
        <v>42894</v>
      </c>
      <c r="E123" s="127" t="s">
        <v>598</v>
      </c>
      <c r="F123" s="184" t="s">
        <v>855</v>
      </c>
      <c r="G123" s="185">
        <v>0</v>
      </c>
      <c r="H123" s="184" t="s">
        <v>598</v>
      </c>
      <c r="I123" s="184" t="s">
        <v>598</v>
      </c>
      <c r="J123" s="184" t="s">
        <v>84</v>
      </c>
      <c r="K123" s="184" t="s">
        <v>202</v>
      </c>
      <c r="L123" s="184" t="s">
        <v>598</v>
      </c>
      <c r="M123" s="184" t="s">
        <v>598</v>
      </c>
      <c r="N123" s="184" t="s">
        <v>63</v>
      </c>
      <c r="O123" s="184" t="s">
        <v>63</v>
      </c>
      <c r="P123" s="186" t="s">
        <v>601</v>
      </c>
      <c r="Q123" s="184" t="s">
        <v>598</v>
      </c>
      <c r="R123" s="184" t="s">
        <v>598</v>
      </c>
      <c r="S123" s="127">
        <v>42907</v>
      </c>
      <c r="T123" s="184" t="s">
        <v>34</v>
      </c>
      <c r="U123" s="184" t="s">
        <v>598</v>
      </c>
      <c r="V123" s="185">
        <v>4000</v>
      </c>
      <c r="W123" s="184" t="s">
        <v>493</v>
      </c>
      <c r="X123" s="184" t="s">
        <v>598</v>
      </c>
      <c r="Y123" s="185">
        <v>0</v>
      </c>
      <c r="Z123" s="184" t="s">
        <v>598</v>
      </c>
      <c r="AA123" s="21" t="s">
        <v>610</v>
      </c>
      <c r="AB123" s="176" t="s">
        <v>489</v>
      </c>
      <c r="AC123" s="172">
        <v>42996.328472222223</v>
      </c>
      <c r="AD123" s="32" t="s">
        <v>552</v>
      </c>
    </row>
    <row r="124" spans="1:30">
      <c r="A124" s="184">
        <v>123</v>
      </c>
      <c r="B124" s="184" t="s">
        <v>856</v>
      </c>
      <c r="C124" s="184" t="s">
        <v>598</v>
      </c>
      <c r="D124" s="127">
        <v>42894</v>
      </c>
      <c r="E124" s="127" t="s">
        <v>598</v>
      </c>
      <c r="F124" s="184" t="s">
        <v>857</v>
      </c>
      <c r="G124" s="185">
        <v>0</v>
      </c>
      <c r="H124" s="184" t="s">
        <v>598</v>
      </c>
      <c r="I124" s="184" t="s">
        <v>598</v>
      </c>
      <c r="J124" s="184" t="s">
        <v>84</v>
      </c>
      <c r="K124" s="184" t="s">
        <v>203</v>
      </c>
      <c r="L124" s="184" t="s">
        <v>598</v>
      </c>
      <c r="M124" s="184" t="s">
        <v>598</v>
      </c>
      <c r="N124" s="184" t="s">
        <v>63</v>
      </c>
      <c r="O124" s="184" t="s">
        <v>63</v>
      </c>
      <c r="P124" s="186" t="s">
        <v>601</v>
      </c>
      <c r="Q124" s="184" t="s">
        <v>598</v>
      </c>
      <c r="R124" s="184" t="s">
        <v>598</v>
      </c>
      <c r="S124" s="127" t="s">
        <v>598</v>
      </c>
      <c r="T124" s="184" t="s">
        <v>598</v>
      </c>
      <c r="U124" s="184" t="s">
        <v>598</v>
      </c>
      <c r="V124" s="185">
        <v>0</v>
      </c>
      <c r="W124" s="184" t="s">
        <v>485</v>
      </c>
      <c r="X124" s="184" t="s">
        <v>598</v>
      </c>
      <c r="Y124" s="185">
        <v>0</v>
      </c>
      <c r="Z124" s="184" t="s">
        <v>598</v>
      </c>
      <c r="AA124" s="21" t="s">
        <v>610</v>
      </c>
      <c r="AB124" s="176" t="s">
        <v>489</v>
      </c>
      <c r="AC124" s="172">
        <v>42996.328472222223</v>
      </c>
      <c r="AD124" s="32" t="s">
        <v>552</v>
      </c>
    </row>
    <row r="125" spans="1:30">
      <c r="A125" s="184">
        <v>124</v>
      </c>
      <c r="B125" s="184" t="s">
        <v>858</v>
      </c>
      <c r="C125" s="184" t="s">
        <v>598</v>
      </c>
      <c r="D125" s="127">
        <v>42894</v>
      </c>
      <c r="E125" s="127" t="s">
        <v>598</v>
      </c>
      <c r="F125" s="184" t="s">
        <v>859</v>
      </c>
      <c r="G125" s="185">
        <v>0</v>
      </c>
      <c r="H125" s="184" t="s">
        <v>598</v>
      </c>
      <c r="I125" s="184" t="s">
        <v>598</v>
      </c>
      <c r="J125" s="184" t="s">
        <v>84</v>
      </c>
      <c r="K125" s="184" t="s">
        <v>598</v>
      </c>
      <c r="L125" s="184" t="s">
        <v>598</v>
      </c>
      <c r="M125" s="184" t="s">
        <v>598</v>
      </c>
      <c r="N125" s="184" t="s">
        <v>63</v>
      </c>
      <c r="O125" s="184" t="s">
        <v>598</v>
      </c>
      <c r="P125" s="186" t="s">
        <v>32</v>
      </c>
      <c r="Q125" s="184" t="s">
        <v>598</v>
      </c>
      <c r="R125" s="184" t="s">
        <v>598</v>
      </c>
      <c r="S125" s="127" t="s">
        <v>598</v>
      </c>
      <c r="T125" s="184" t="s">
        <v>598</v>
      </c>
      <c r="U125" s="184" t="s">
        <v>598</v>
      </c>
      <c r="V125" s="185">
        <v>0</v>
      </c>
      <c r="W125" s="184" t="s">
        <v>485</v>
      </c>
      <c r="X125" s="184" t="s">
        <v>598</v>
      </c>
      <c r="Y125" s="185">
        <v>0</v>
      </c>
      <c r="Z125" s="184" t="s">
        <v>598</v>
      </c>
      <c r="AA125" s="21" t="s">
        <v>610</v>
      </c>
      <c r="AB125" s="176" t="s">
        <v>489</v>
      </c>
      <c r="AC125" s="172">
        <v>42996.328472222223</v>
      </c>
      <c r="AD125" s="32" t="s">
        <v>552</v>
      </c>
    </row>
    <row r="126" spans="1:30">
      <c r="A126" s="184">
        <v>125</v>
      </c>
      <c r="B126" s="184" t="s">
        <v>860</v>
      </c>
      <c r="C126" s="184" t="s">
        <v>598</v>
      </c>
      <c r="D126" s="127">
        <v>42894</v>
      </c>
      <c r="E126" s="127" t="s">
        <v>598</v>
      </c>
      <c r="F126" s="184" t="s">
        <v>861</v>
      </c>
      <c r="G126" s="185">
        <v>0</v>
      </c>
      <c r="H126" s="184" t="s">
        <v>598</v>
      </c>
      <c r="I126" s="184" t="s">
        <v>598</v>
      </c>
      <c r="J126" s="184" t="s">
        <v>84</v>
      </c>
      <c r="K126" s="184" t="s">
        <v>204</v>
      </c>
      <c r="L126" s="184" t="s">
        <v>598</v>
      </c>
      <c r="M126" s="184" t="s">
        <v>598</v>
      </c>
      <c r="N126" s="184" t="s">
        <v>63</v>
      </c>
      <c r="O126" s="184" t="s">
        <v>86</v>
      </c>
      <c r="P126" s="186" t="s">
        <v>53</v>
      </c>
      <c r="Q126" s="184" t="s">
        <v>598</v>
      </c>
      <c r="R126" s="184" t="s">
        <v>598</v>
      </c>
      <c r="S126" s="127">
        <v>42901</v>
      </c>
      <c r="T126" s="184" t="s">
        <v>34</v>
      </c>
      <c r="U126" s="184" t="s">
        <v>598</v>
      </c>
      <c r="V126" s="185">
        <v>1500</v>
      </c>
      <c r="W126" s="184" t="s">
        <v>493</v>
      </c>
      <c r="X126" s="184" t="s">
        <v>598</v>
      </c>
      <c r="Y126" s="185">
        <v>0</v>
      </c>
      <c r="Z126" s="184" t="s">
        <v>598</v>
      </c>
      <c r="AA126" s="21" t="s">
        <v>610</v>
      </c>
      <c r="AB126" s="176" t="s">
        <v>489</v>
      </c>
      <c r="AC126" s="172">
        <v>42996.328472222223</v>
      </c>
      <c r="AD126" s="32" t="s">
        <v>552</v>
      </c>
    </row>
    <row r="127" spans="1:30">
      <c r="A127" s="184">
        <v>126</v>
      </c>
      <c r="B127" s="184" t="s">
        <v>862</v>
      </c>
      <c r="C127" s="184" t="s">
        <v>598</v>
      </c>
      <c r="D127" s="127">
        <v>42898</v>
      </c>
      <c r="E127" s="127" t="s">
        <v>598</v>
      </c>
      <c r="F127" s="184" t="s">
        <v>863</v>
      </c>
      <c r="G127" s="185">
        <v>0</v>
      </c>
      <c r="H127" s="184" t="s">
        <v>598</v>
      </c>
      <c r="I127" s="184" t="s">
        <v>864</v>
      </c>
      <c r="J127" s="184" t="s">
        <v>84</v>
      </c>
      <c r="K127" s="184" t="s">
        <v>598</v>
      </c>
      <c r="L127" s="184" t="s">
        <v>598</v>
      </c>
      <c r="M127" s="184" t="s">
        <v>598</v>
      </c>
      <c r="N127" s="184" t="s">
        <v>63</v>
      </c>
      <c r="O127" s="184" t="s">
        <v>598</v>
      </c>
      <c r="P127" s="186" t="s">
        <v>44</v>
      </c>
      <c r="Q127" s="184" t="s">
        <v>598</v>
      </c>
      <c r="R127" s="184" t="s">
        <v>598</v>
      </c>
      <c r="S127" s="127">
        <v>42898</v>
      </c>
      <c r="T127" s="184" t="s">
        <v>34</v>
      </c>
      <c r="U127" s="184" t="s">
        <v>598</v>
      </c>
      <c r="V127" s="185">
        <v>2000</v>
      </c>
      <c r="W127" s="184" t="s">
        <v>493</v>
      </c>
      <c r="X127" s="184" t="s">
        <v>598</v>
      </c>
      <c r="Y127" s="185">
        <v>0</v>
      </c>
      <c r="Z127" s="184" t="s">
        <v>598</v>
      </c>
      <c r="AA127" s="21" t="s">
        <v>610</v>
      </c>
      <c r="AB127" s="176" t="s">
        <v>489</v>
      </c>
      <c r="AC127" s="172">
        <v>42996.328472222223</v>
      </c>
      <c r="AD127" s="32" t="s">
        <v>552</v>
      </c>
    </row>
    <row r="128" spans="1:30">
      <c r="A128" s="184">
        <v>127</v>
      </c>
      <c r="B128" s="184" t="s">
        <v>865</v>
      </c>
      <c r="C128" s="184" t="s">
        <v>598</v>
      </c>
      <c r="D128" s="127">
        <v>42898</v>
      </c>
      <c r="E128" s="127" t="s">
        <v>598</v>
      </c>
      <c r="F128" s="184" t="s">
        <v>866</v>
      </c>
      <c r="G128" s="185">
        <v>0</v>
      </c>
      <c r="H128" s="184" t="s">
        <v>598</v>
      </c>
      <c r="I128" s="184" t="s">
        <v>134</v>
      </c>
      <c r="J128" s="184" t="s">
        <v>84</v>
      </c>
      <c r="K128" s="184" t="s">
        <v>205</v>
      </c>
      <c r="L128" s="184" t="s">
        <v>598</v>
      </c>
      <c r="M128" s="184" t="s">
        <v>598</v>
      </c>
      <c r="N128" s="184" t="s">
        <v>63</v>
      </c>
      <c r="O128" s="184" t="s">
        <v>598</v>
      </c>
      <c r="P128" s="186" t="s">
        <v>67</v>
      </c>
      <c r="Q128" s="184" t="s">
        <v>598</v>
      </c>
      <c r="R128" s="184" t="s">
        <v>598</v>
      </c>
      <c r="S128" s="127">
        <v>42900</v>
      </c>
      <c r="T128" s="184" t="s">
        <v>34</v>
      </c>
      <c r="U128" s="184" t="s">
        <v>598</v>
      </c>
      <c r="V128" s="185">
        <v>1000</v>
      </c>
      <c r="W128" s="184" t="s">
        <v>549</v>
      </c>
      <c r="X128" s="184" t="s">
        <v>598</v>
      </c>
      <c r="Y128" s="185">
        <v>0</v>
      </c>
      <c r="Z128" s="184" t="s">
        <v>493</v>
      </c>
      <c r="AA128" s="21" t="s">
        <v>822</v>
      </c>
      <c r="AB128" s="176" t="s">
        <v>489</v>
      </c>
      <c r="AC128" s="172">
        <v>42996.328472222223</v>
      </c>
      <c r="AD128" s="32" t="s">
        <v>552</v>
      </c>
    </row>
    <row r="129" spans="1:30">
      <c r="A129" s="184">
        <v>128</v>
      </c>
      <c r="B129" s="184" t="s">
        <v>867</v>
      </c>
      <c r="C129" s="184" t="s">
        <v>598</v>
      </c>
      <c r="D129" s="127">
        <v>42898</v>
      </c>
      <c r="E129" s="127" t="s">
        <v>598</v>
      </c>
      <c r="F129" s="184" t="s">
        <v>824</v>
      </c>
      <c r="G129" s="185">
        <v>0</v>
      </c>
      <c r="H129" s="184" t="s">
        <v>598</v>
      </c>
      <c r="I129" s="184" t="s">
        <v>598</v>
      </c>
      <c r="J129" s="184" t="s">
        <v>84</v>
      </c>
      <c r="K129" s="184" t="s">
        <v>200</v>
      </c>
      <c r="L129" s="184" t="s">
        <v>598</v>
      </c>
      <c r="M129" s="184" t="s">
        <v>598</v>
      </c>
      <c r="N129" s="184" t="s">
        <v>63</v>
      </c>
      <c r="O129" s="184" t="s">
        <v>598</v>
      </c>
      <c r="P129" s="186" t="s">
        <v>602</v>
      </c>
      <c r="Q129" s="184" t="s">
        <v>598</v>
      </c>
      <c r="R129" s="184" t="s">
        <v>598</v>
      </c>
      <c r="S129" s="127" t="s">
        <v>598</v>
      </c>
      <c r="T129" s="184" t="s">
        <v>598</v>
      </c>
      <c r="U129" s="184" t="s">
        <v>598</v>
      </c>
      <c r="V129" s="185">
        <v>0</v>
      </c>
      <c r="W129" s="184" t="s">
        <v>485</v>
      </c>
      <c r="X129" s="184" t="s">
        <v>598</v>
      </c>
      <c r="Y129" s="185">
        <v>0</v>
      </c>
      <c r="Z129" s="184" t="s">
        <v>598</v>
      </c>
      <c r="AA129" s="21" t="s">
        <v>610</v>
      </c>
      <c r="AB129" s="176" t="s">
        <v>489</v>
      </c>
      <c r="AC129" s="172">
        <v>42996.328472222223</v>
      </c>
      <c r="AD129" s="32" t="s">
        <v>552</v>
      </c>
    </row>
    <row r="130" spans="1:30">
      <c r="A130" s="184">
        <v>129</v>
      </c>
      <c r="B130" s="184" t="s">
        <v>868</v>
      </c>
      <c r="C130" s="184" t="s">
        <v>598</v>
      </c>
      <c r="D130" s="127">
        <v>42898</v>
      </c>
      <c r="E130" s="127" t="s">
        <v>598</v>
      </c>
      <c r="F130" s="184" t="s">
        <v>824</v>
      </c>
      <c r="G130" s="185">
        <v>0</v>
      </c>
      <c r="H130" s="184" t="s">
        <v>598</v>
      </c>
      <c r="I130" s="184" t="s">
        <v>598</v>
      </c>
      <c r="J130" s="184" t="s">
        <v>84</v>
      </c>
      <c r="K130" s="184" t="s">
        <v>189</v>
      </c>
      <c r="L130" s="184" t="s">
        <v>598</v>
      </c>
      <c r="M130" s="184" t="s">
        <v>598</v>
      </c>
      <c r="N130" s="184" t="s">
        <v>63</v>
      </c>
      <c r="O130" s="184" t="s">
        <v>598</v>
      </c>
      <c r="P130" s="186" t="s">
        <v>603</v>
      </c>
      <c r="Q130" s="184" t="s">
        <v>598</v>
      </c>
      <c r="R130" s="184" t="s">
        <v>598</v>
      </c>
      <c r="S130" s="127" t="s">
        <v>598</v>
      </c>
      <c r="T130" s="184" t="s">
        <v>598</v>
      </c>
      <c r="U130" s="184" t="s">
        <v>598</v>
      </c>
      <c r="V130" s="185">
        <v>0</v>
      </c>
      <c r="W130" s="184" t="s">
        <v>557</v>
      </c>
      <c r="X130" s="184" t="s">
        <v>598</v>
      </c>
      <c r="Y130" s="185">
        <v>0</v>
      </c>
      <c r="Z130" s="184" t="s">
        <v>598</v>
      </c>
      <c r="AA130" s="21" t="s">
        <v>822</v>
      </c>
      <c r="AB130" s="176" t="s">
        <v>489</v>
      </c>
      <c r="AC130" s="172">
        <v>42996.328472222223</v>
      </c>
      <c r="AD130" s="32" t="s">
        <v>552</v>
      </c>
    </row>
    <row r="131" spans="1:30">
      <c r="A131" s="184">
        <v>130</v>
      </c>
      <c r="B131" s="184" t="s">
        <v>869</v>
      </c>
      <c r="C131" s="184" t="s">
        <v>598</v>
      </c>
      <c r="D131" s="127">
        <v>42898</v>
      </c>
      <c r="E131" s="127" t="s">
        <v>598</v>
      </c>
      <c r="F131" s="184" t="s">
        <v>85</v>
      </c>
      <c r="G131" s="185">
        <v>0</v>
      </c>
      <c r="H131" s="184" t="s">
        <v>598</v>
      </c>
      <c r="I131" s="184" t="s">
        <v>134</v>
      </c>
      <c r="J131" s="184" t="s">
        <v>84</v>
      </c>
      <c r="K131" s="184" t="s">
        <v>174</v>
      </c>
      <c r="L131" s="184" t="s">
        <v>598</v>
      </c>
      <c r="M131" s="184" t="s">
        <v>598</v>
      </c>
      <c r="N131" s="184" t="s">
        <v>63</v>
      </c>
      <c r="O131" s="184" t="s">
        <v>598</v>
      </c>
      <c r="P131" s="186" t="s">
        <v>604</v>
      </c>
      <c r="Q131" s="184" t="s">
        <v>598</v>
      </c>
      <c r="R131" s="184" t="s">
        <v>598</v>
      </c>
      <c r="S131" s="127">
        <v>42906</v>
      </c>
      <c r="T131" s="184" t="s">
        <v>34</v>
      </c>
      <c r="U131" s="184" t="s">
        <v>598</v>
      </c>
      <c r="V131" s="185">
        <v>5500</v>
      </c>
      <c r="W131" s="184" t="s">
        <v>493</v>
      </c>
      <c r="X131" s="184" t="s">
        <v>598</v>
      </c>
      <c r="Y131" s="185">
        <v>0</v>
      </c>
      <c r="Z131" s="184" t="s">
        <v>598</v>
      </c>
      <c r="AA131" s="21" t="s">
        <v>610</v>
      </c>
      <c r="AB131" s="176" t="s">
        <v>489</v>
      </c>
      <c r="AC131" s="172">
        <v>42996.328472222223</v>
      </c>
      <c r="AD131" s="32" t="s">
        <v>552</v>
      </c>
    </row>
    <row r="132" spans="1:30">
      <c r="A132" s="184">
        <v>131</v>
      </c>
      <c r="B132" s="184" t="s">
        <v>870</v>
      </c>
      <c r="C132" s="184" t="s">
        <v>598</v>
      </c>
      <c r="D132" s="127">
        <v>42899</v>
      </c>
      <c r="E132" s="127" t="s">
        <v>598</v>
      </c>
      <c r="F132" s="184" t="s">
        <v>871</v>
      </c>
      <c r="G132" s="185">
        <v>0</v>
      </c>
      <c r="H132" s="184" t="s">
        <v>598</v>
      </c>
      <c r="I132" s="184" t="s">
        <v>598</v>
      </c>
      <c r="J132" s="184" t="s">
        <v>84</v>
      </c>
      <c r="K132" s="184" t="s">
        <v>598</v>
      </c>
      <c r="L132" s="184" t="s">
        <v>598</v>
      </c>
      <c r="M132" s="184" t="s">
        <v>598</v>
      </c>
      <c r="N132" s="184" t="s">
        <v>63</v>
      </c>
      <c r="O132" s="184" t="s">
        <v>63</v>
      </c>
      <c r="P132" s="186" t="s">
        <v>605</v>
      </c>
      <c r="Q132" s="184" t="s">
        <v>598</v>
      </c>
      <c r="R132" s="184" t="s">
        <v>598</v>
      </c>
      <c r="S132" s="127" t="s">
        <v>598</v>
      </c>
      <c r="T132" s="184" t="s">
        <v>598</v>
      </c>
      <c r="U132" s="184" t="s">
        <v>598</v>
      </c>
      <c r="V132" s="185">
        <v>0</v>
      </c>
      <c r="W132" s="184" t="s">
        <v>485</v>
      </c>
      <c r="X132" s="184" t="s">
        <v>598</v>
      </c>
      <c r="Y132" s="185">
        <v>0</v>
      </c>
      <c r="Z132" s="184" t="s">
        <v>598</v>
      </c>
      <c r="AA132" s="21" t="s">
        <v>610</v>
      </c>
      <c r="AB132" s="176" t="s">
        <v>489</v>
      </c>
      <c r="AC132" s="172">
        <v>42996.328472222223</v>
      </c>
      <c r="AD132" s="32" t="s">
        <v>552</v>
      </c>
    </row>
    <row r="133" spans="1:30">
      <c r="A133" s="184">
        <v>132</v>
      </c>
      <c r="B133" s="184" t="s">
        <v>872</v>
      </c>
      <c r="C133" s="184" t="s">
        <v>598</v>
      </c>
      <c r="D133" s="127">
        <v>42899</v>
      </c>
      <c r="E133" s="127" t="s">
        <v>598</v>
      </c>
      <c r="F133" s="184" t="s">
        <v>873</v>
      </c>
      <c r="G133" s="185">
        <v>0</v>
      </c>
      <c r="H133" s="184" t="s">
        <v>598</v>
      </c>
      <c r="I133" s="184" t="s">
        <v>598</v>
      </c>
      <c r="J133" s="184" t="s">
        <v>84</v>
      </c>
      <c r="K133" s="184" t="s">
        <v>206</v>
      </c>
      <c r="L133" s="184" t="s">
        <v>598</v>
      </c>
      <c r="M133" s="184" t="s">
        <v>598</v>
      </c>
      <c r="N133" s="184" t="s">
        <v>63</v>
      </c>
      <c r="O133" s="184" t="s">
        <v>86</v>
      </c>
      <c r="P133" s="186" t="s">
        <v>606</v>
      </c>
      <c r="Q133" s="184" t="s">
        <v>598</v>
      </c>
      <c r="R133" s="184" t="s">
        <v>598</v>
      </c>
      <c r="S133" s="127" t="s">
        <v>598</v>
      </c>
      <c r="T133" s="184" t="s">
        <v>598</v>
      </c>
      <c r="U133" s="184" t="s">
        <v>598</v>
      </c>
      <c r="V133" s="185">
        <v>0</v>
      </c>
      <c r="W133" s="184" t="s">
        <v>89</v>
      </c>
      <c r="X133" s="184" t="s">
        <v>598</v>
      </c>
      <c r="Y133" s="185">
        <v>0</v>
      </c>
      <c r="Z133" s="184" t="s">
        <v>598</v>
      </c>
      <c r="AA133" s="21" t="s">
        <v>822</v>
      </c>
      <c r="AB133" s="176" t="s">
        <v>489</v>
      </c>
      <c r="AC133" s="172">
        <v>42996.328472222223</v>
      </c>
      <c r="AD133" s="32" t="s">
        <v>552</v>
      </c>
    </row>
    <row r="134" spans="1:30">
      <c r="A134" s="184">
        <v>133</v>
      </c>
      <c r="B134" s="184" t="s">
        <v>874</v>
      </c>
      <c r="C134" s="184" t="s">
        <v>598</v>
      </c>
      <c r="D134" s="127">
        <v>42899</v>
      </c>
      <c r="E134" s="127" t="s">
        <v>598</v>
      </c>
      <c r="F134" s="184" t="s">
        <v>875</v>
      </c>
      <c r="G134" s="185">
        <v>0</v>
      </c>
      <c r="H134" s="184" t="s">
        <v>598</v>
      </c>
      <c r="I134" s="184" t="s">
        <v>598</v>
      </c>
      <c r="J134" s="184" t="s">
        <v>84</v>
      </c>
      <c r="K134" s="184" t="s">
        <v>207</v>
      </c>
      <c r="L134" s="184" t="s">
        <v>598</v>
      </c>
      <c r="M134" s="184" t="s">
        <v>598</v>
      </c>
      <c r="N134" s="184" t="s">
        <v>63</v>
      </c>
      <c r="O134" s="184" t="s">
        <v>86</v>
      </c>
      <c r="P134" s="186" t="s">
        <v>607</v>
      </c>
      <c r="Q134" s="184" t="s">
        <v>598</v>
      </c>
      <c r="R134" s="184" t="s">
        <v>598</v>
      </c>
      <c r="S134" s="127">
        <v>42900</v>
      </c>
      <c r="T134" s="184" t="s">
        <v>34</v>
      </c>
      <c r="U134" s="184" t="s">
        <v>598</v>
      </c>
      <c r="V134" s="185">
        <v>3000</v>
      </c>
      <c r="W134" s="184" t="s">
        <v>493</v>
      </c>
      <c r="X134" s="184" t="s">
        <v>598</v>
      </c>
      <c r="Y134" s="185">
        <v>0</v>
      </c>
      <c r="Z134" s="184" t="s">
        <v>598</v>
      </c>
      <c r="AA134" s="21" t="s">
        <v>610</v>
      </c>
      <c r="AB134" s="176" t="s">
        <v>489</v>
      </c>
      <c r="AC134" s="172">
        <v>42996.328472222223</v>
      </c>
      <c r="AD134" s="32" t="s">
        <v>552</v>
      </c>
    </row>
    <row r="135" spans="1:30">
      <c r="A135" s="184">
        <v>134</v>
      </c>
      <c r="B135" s="184" t="s">
        <v>876</v>
      </c>
      <c r="C135" s="184" t="s">
        <v>598</v>
      </c>
      <c r="D135" s="127">
        <v>42899</v>
      </c>
      <c r="E135" s="127" t="s">
        <v>598</v>
      </c>
      <c r="F135" s="184" t="s">
        <v>877</v>
      </c>
      <c r="G135" s="185">
        <v>0</v>
      </c>
      <c r="H135" s="184" t="s">
        <v>598</v>
      </c>
      <c r="I135" s="184" t="s">
        <v>598</v>
      </c>
      <c r="J135" s="184" t="s">
        <v>84</v>
      </c>
      <c r="K135" s="184" t="s">
        <v>206</v>
      </c>
      <c r="L135" s="184" t="s">
        <v>598</v>
      </c>
      <c r="M135" s="184" t="s">
        <v>598</v>
      </c>
      <c r="N135" s="184" t="s">
        <v>63</v>
      </c>
      <c r="O135" s="184" t="s">
        <v>63</v>
      </c>
      <c r="P135" s="186" t="s">
        <v>73</v>
      </c>
      <c r="Q135" s="184" t="s">
        <v>598</v>
      </c>
      <c r="R135" s="184" t="s">
        <v>598</v>
      </c>
      <c r="S135" s="127" t="s">
        <v>598</v>
      </c>
      <c r="T135" s="184" t="s">
        <v>598</v>
      </c>
      <c r="U135" s="184" t="s">
        <v>598</v>
      </c>
      <c r="V135" s="185">
        <v>0</v>
      </c>
      <c r="W135" s="184" t="s">
        <v>89</v>
      </c>
      <c r="X135" s="184" t="s">
        <v>598</v>
      </c>
      <c r="Y135" s="185">
        <v>0</v>
      </c>
      <c r="Z135" s="184" t="s">
        <v>598</v>
      </c>
      <c r="AA135" s="21" t="s">
        <v>822</v>
      </c>
      <c r="AB135" s="176" t="s">
        <v>489</v>
      </c>
      <c r="AC135" s="172">
        <v>42996.328472222223</v>
      </c>
      <c r="AD135" s="32" t="s">
        <v>552</v>
      </c>
    </row>
    <row r="136" spans="1:30">
      <c r="A136" s="184">
        <v>135</v>
      </c>
      <c r="B136" s="184" t="s">
        <v>878</v>
      </c>
      <c r="C136" s="184" t="s">
        <v>598</v>
      </c>
      <c r="D136" s="127">
        <v>42900</v>
      </c>
      <c r="E136" s="127" t="s">
        <v>598</v>
      </c>
      <c r="F136" s="184" t="s">
        <v>879</v>
      </c>
      <c r="G136" s="185">
        <v>0</v>
      </c>
      <c r="H136" s="184" t="s">
        <v>598</v>
      </c>
      <c r="I136" s="184" t="s">
        <v>598</v>
      </c>
      <c r="J136" s="184" t="s">
        <v>84</v>
      </c>
      <c r="K136" s="184" t="s">
        <v>191</v>
      </c>
      <c r="L136" s="184" t="s">
        <v>598</v>
      </c>
      <c r="M136" s="184" t="s">
        <v>598</v>
      </c>
      <c r="N136" s="184" t="s">
        <v>63</v>
      </c>
      <c r="O136" s="184" t="s">
        <v>63</v>
      </c>
      <c r="P136" s="186" t="s">
        <v>601</v>
      </c>
      <c r="Q136" s="184" t="s">
        <v>598</v>
      </c>
      <c r="R136" s="184" t="s">
        <v>598</v>
      </c>
      <c r="S136" s="127" t="s">
        <v>598</v>
      </c>
      <c r="T136" s="184" t="s">
        <v>598</v>
      </c>
      <c r="U136" s="184" t="s">
        <v>598</v>
      </c>
      <c r="V136" s="185">
        <v>0</v>
      </c>
      <c r="W136" s="184" t="s">
        <v>55</v>
      </c>
      <c r="X136" s="184" t="s">
        <v>598</v>
      </c>
      <c r="Y136" s="185">
        <v>0</v>
      </c>
      <c r="Z136" s="184" t="s">
        <v>598</v>
      </c>
      <c r="AA136" s="21" t="s">
        <v>822</v>
      </c>
      <c r="AB136" s="176" t="s">
        <v>489</v>
      </c>
      <c r="AC136" s="172">
        <v>42996.328472222223</v>
      </c>
      <c r="AD136" s="32" t="s">
        <v>552</v>
      </c>
    </row>
    <row r="137" spans="1:30">
      <c r="A137" s="184">
        <v>136</v>
      </c>
      <c r="B137" s="184" t="s">
        <v>880</v>
      </c>
      <c r="C137" s="184" t="s">
        <v>598</v>
      </c>
      <c r="D137" s="127">
        <v>42900</v>
      </c>
      <c r="E137" s="127" t="s">
        <v>598</v>
      </c>
      <c r="F137" s="184" t="s">
        <v>881</v>
      </c>
      <c r="G137" s="185">
        <v>0</v>
      </c>
      <c r="H137" s="184" t="s">
        <v>598</v>
      </c>
      <c r="I137" s="184" t="s">
        <v>598</v>
      </c>
      <c r="J137" s="184" t="s">
        <v>84</v>
      </c>
      <c r="K137" s="184" t="s">
        <v>208</v>
      </c>
      <c r="L137" s="184" t="s">
        <v>598</v>
      </c>
      <c r="M137" s="184" t="s">
        <v>598</v>
      </c>
      <c r="N137" s="184" t="s">
        <v>63</v>
      </c>
      <c r="O137" s="184" t="s">
        <v>63</v>
      </c>
      <c r="P137" s="186" t="s">
        <v>32</v>
      </c>
      <c r="Q137" s="184" t="s">
        <v>598</v>
      </c>
      <c r="R137" s="184" t="s">
        <v>598</v>
      </c>
      <c r="S137" s="127" t="s">
        <v>598</v>
      </c>
      <c r="T137" s="184" t="s">
        <v>598</v>
      </c>
      <c r="U137" s="184" t="s">
        <v>598</v>
      </c>
      <c r="V137" s="185">
        <v>0</v>
      </c>
      <c r="W137" s="184" t="s">
        <v>55</v>
      </c>
      <c r="X137" s="184" t="s">
        <v>598</v>
      </c>
      <c r="Y137" s="185">
        <v>0</v>
      </c>
      <c r="Z137" s="184" t="s">
        <v>598</v>
      </c>
      <c r="AA137" s="21" t="s">
        <v>822</v>
      </c>
      <c r="AB137" s="176" t="s">
        <v>489</v>
      </c>
      <c r="AC137" s="172">
        <v>42996.328472222223</v>
      </c>
      <c r="AD137" s="32" t="s">
        <v>552</v>
      </c>
    </row>
    <row r="138" spans="1:30">
      <c r="A138" s="184">
        <v>137</v>
      </c>
      <c r="B138" s="184" t="s">
        <v>882</v>
      </c>
      <c r="C138" s="184" t="s">
        <v>598</v>
      </c>
      <c r="D138" s="127">
        <v>42901</v>
      </c>
      <c r="E138" s="127" t="s">
        <v>598</v>
      </c>
      <c r="F138" s="184" t="s">
        <v>883</v>
      </c>
      <c r="G138" s="185">
        <v>0</v>
      </c>
      <c r="H138" s="184" t="s">
        <v>598</v>
      </c>
      <c r="I138" s="184" t="s">
        <v>134</v>
      </c>
      <c r="J138" s="184" t="s">
        <v>84</v>
      </c>
      <c r="K138" s="184" t="s">
        <v>208</v>
      </c>
      <c r="L138" s="184" t="s">
        <v>598</v>
      </c>
      <c r="M138" s="184" t="s">
        <v>598</v>
      </c>
      <c r="N138" s="184" t="s">
        <v>63</v>
      </c>
      <c r="O138" s="184" t="s">
        <v>63</v>
      </c>
      <c r="P138" s="186" t="s">
        <v>53</v>
      </c>
      <c r="Q138" s="184" t="s">
        <v>598</v>
      </c>
      <c r="R138" s="184" t="s">
        <v>598</v>
      </c>
      <c r="S138" s="127" t="s">
        <v>598</v>
      </c>
      <c r="T138" s="184" t="s">
        <v>598</v>
      </c>
      <c r="U138" s="184" t="s">
        <v>598</v>
      </c>
      <c r="V138" s="185">
        <v>0</v>
      </c>
      <c r="W138" s="184" t="s">
        <v>485</v>
      </c>
      <c r="X138" s="184" t="s">
        <v>598</v>
      </c>
      <c r="Y138" s="185">
        <v>0</v>
      </c>
      <c r="Z138" s="184" t="s">
        <v>598</v>
      </c>
      <c r="AA138" s="21" t="s">
        <v>610</v>
      </c>
      <c r="AB138" s="176" t="s">
        <v>489</v>
      </c>
      <c r="AC138" s="172">
        <v>42996.328472222223</v>
      </c>
      <c r="AD138" s="32" t="s">
        <v>552</v>
      </c>
    </row>
    <row r="139" spans="1:30">
      <c r="A139" s="184">
        <v>138</v>
      </c>
      <c r="B139" s="184" t="s">
        <v>884</v>
      </c>
      <c r="C139" s="184" t="s">
        <v>598</v>
      </c>
      <c r="D139" s="127">
        <v>42901</v>
      </c>
      <c r="E139" s="127" t="s">
        <v>598</v>
      </c>
      <c r="F139" s="184" t="s">
        <v>885</v>
      </c>
      <c r="G139" s="185">
        <v>0</v>
      </c>
      <c r="H139" s="184" t="s">
        <v>598</v>
      </c>
      <c r="I139" s="184" t="s">
        <v>135</v>
      </c>
      <c r="J139" s="184" t="s">
        <v>84</v>
      </c>
      <c r="K139" s="184" t="s">
        <v>598</v>
      </c>
      <c r="L139" s="184" t="s">
        <v>598</v>
      </c>
      <c r="M139" s="184" t="s">
        <v>598</v>
      </c>
      <c r="N139" s="184" t="s">
        <v>63</v>
      </c>
      <c r="O139" s="184" t="s">
        <v>63</v>
      </c>
      <c r="P139" s="186" t="s">
        <v>44</v>
      </c>
      <c r="Q139" s="184" t="s">
        <v>598</v>
      </c>
      <c r="R139" s="184" t="s">
        <v>598</v>
      </c>
      <c r="S139" s="127" t="s">
        <v>598</v>
      </c>
      <c r="T139" s="184" t="s">
        <v>598</v>
      </c>
      <c r="U139" s="184" t="s">
        <v>598</v>
      </c>
      <c r="V139" s="185">
        <v>0</v>
      </c>
      <c r="W139" s="184" t="s">
        <v>827</v>
      </c>
      <c r="X139" s="184" t="s">
        <v>598</v>
      </c>
      <c r="Y139" s="185">
        <v>0</v>
      </c>
      <c r="Z139" s="184" t="s">
        <v>598</v>
      </c>
      <c r="AA139" s="21" t="s">
        <v>610</v>
      </c>
      <c r="AB139" s="176" t="s">
        <v>489</v>
      </c>
      <c r="AC139" s="172">
        <v>42996.328472222223</v>
      </c>
      <c r="AD139" s="32" t="s">
        <v>552</v>
      </c>
    </row>
    <row r="140" spans="1:30">
      <c r="A140" s="184">
        <v>139</v>
      </c>
      <c r="B140" s="184" t="s">
        <v>886</v>
      </c>
      <c r="C140" s="184" t="s">
        <v>598</v>
      </c>
      <c r="D140" s="127">
        <v>42901</v>
      </c>
      <c r="E140" s="127" t="s">
        <v>598</v>
      </c>
      <c r="F140" s="184" t="s">
        <v>881</v>
      </c>
      <c r="G140" s="185">
        <v>0</v>
      </c>
      <c r="H140" s="184" t="s">
        <v>598</v>
      </c>
      <c r="I140" s="184" t="s">
        <v>134</v>
      </c>
      <c r="J140" s="184" t="s">
        <v>84</v>
      </c>
      <c r="K140" s="184" t="s">
        <v>208</v>
      </c>
      <c r="L140" s="184" t="s">
        <v>598</v>
      </c>
      <c r="M140" s="184" t="s">
        <v>598</v>
      </c>
      <c r="N140" s="184" t="s">
        <v>63</v>
      </c>
      <c r="O140" s="184" t="s">
        <v>63</v>
      </c>
      <c r="P140" s="186" t="s">
        <v>67</v>
      </c>
      <c r="Q140" s="184" t="s">
        <v>598</v>
      </c>
      <c r="R140" s="184" t="s">
        <v>598</v>
      </c>
      <c r="S140" s="127" t="s">
        <v>598</v>
      </c>
      <c r="T140" s="184" t="s">
        <v>598</v>
      </c>
      <c r="U140" s="184" t="s">
        <v>598</v>
      </c>
      <c r="V140" s="185">
        <v>0</v>
      </c>
      <c r="W140" s="184" t="s">
        <v>485</v>
      </c>
      <c r="X140" s="184" t="s">
        <v>598</v>
      </c>
      <c r="Y140" s="185">
        <v>0</v>
      </c>
      <c r="Z140" s="184" t="s">
        <v>598</v>
      </c>
      <c r="AA140" s="21" t="s">
        <v>610</v>
      </c>
      <c r="AB140" s="176" t="s">
        <v>489</v>
      </c>
      <c r="AC140" s="172">
        <v>42996.328472222223</v>
      </c>
      <c r="AD140" s="32" t="s">
        <v>552</v>
      </c>
    </row>
    <row r="141" spans="1:30">
      <c r="A141" s="184">
        <v>140</v>
      </c>
      <c r="B141" s="184" t="s">
        <v>887</v>
      </c>
      <c r="C141" s="184" t="s">
        <v>598</v>
      </c>
      <c r="D141" s="127">
        <v>42901</v>
      </c>
      <c r="E141" s="127" t="s">
        <v>598</v>
      </c>
      <c r="F141" s="184" t="s">
        <v>888</v>
      </c>
      <c r="G141" s="185">
        <v>0</v>
      </c>
      <c r="H141" s="184" t="s">
        <v>598</v>
      </c>
      <c r="I141" s="184" t="s">
        <v>134</v>
      </c>
      <c r="J141" s="184" t="s">
        <v>84</v>
      </c>
      <c r="K141" s="184" t="s">
        <v>209</v>
      </c>
      <c r="L141" s="184" t="s">
        <v>598</v>
      </c>
      <c r="M141" s="184" t="s">
        <v>598</v>
      </c>
      <c r="N141" s="184" t="s">
        <v>63</v>
      </c>
      <c r="O141" s="184" t="s">
        <v>63</v>
      </c>
      <c r="P141" s="186" t="s">
        <v>602</v>
      </c>
      <c r="Q141" s="184" t="s">
        <v>598</v>
      </c>
      <c r="R141" s="184" t="s">
        <v>598</v>
      </c>
      <c r="S141" s="127">
        <v>42906</v>
      </c>
      <c r="T141" s="184" t="s">
        <v>10</v>
      </c>
      <c r="U141" s="184" t="s">
        <v>598</v>
      </c>
      <c r="V141" s="185">
        <v>3000</v>
      </c>
      <c r="W141" s="184" t="s">
        <v>493</v>
      </c>
      <c r="X141" s="184" t="s">
        <v>598</v>
      </c>
      <c r="Y141" s="185">
        <v>0</v>
      </c>
      <c r="Z141" s="184" t="s">
        <v>598</v>
      </c>
      <c r="AA141" s="21" t="s">
        <v>610</v>
      </c>
      <c r="AB141" s="176" t="s">
        <v>489</v>
      </c>
      <c r="AC141" s="172">
        <v>42996.328472222223</v>
      </c>
      <c r="AD141" s="32" t="s">
        <v>552</v>
      </c>
    </row>
    <row r="142" spans="1:30">
      <c r="A142" s="184">
        <v>141</v>
      </c>
      <c r="B142" s="184" t="s">
        <v>889</v>
      </c>
      <c r="C142" s="184" t="s">
        <v>598</v>
      </c>
      <c r="D142" s="127">
        <v>42901</v>
      </c>
      <c r="E142" s="127" t="s">
        <v>598</v>
      </c>
      <c r="F142" s="184" t="s">
        <v>890</v>
      </c>
      <c r="G142" s="185">
        <v>0</v>
      </c>
      <c r="H142" s="184" t="s">
        <v>598</v>
      </c>
      <c r="I142" s="184" t="s">
        <v>598</v>
      </c>
      <c r="J142" s="184" t="s">
        <v>84</v>
      </c>
      <c r="K142" s="184" t="s">
        <v>209</v>
      </c>
      <c r="L142" s="184" t="s">
        <v>598</v>
      </c>
      <c r="M142" s="184" t="s">
        <v>598</v>
      </c>
      <c r="N142" s="184" t="s">
        <v>63</v>
      </c>
      <c r="O142" s="184" t="s">
        <v>63</v>
      </c>
      <c r="P142" s="186" t="s">
        <v>603</v>
      </c>
      <c r="Q142" s="184" t="s">
        <v>598</v>
      </c>
      <c r="R142" s="184" t="s">
        <v>598</v>
      </c>
      <c r="S142" s="127">
        <v>42908</v>
      </c>
      <c r="T142" s="184" t="s">
        <v>10</v>
      </c>
      <c r="U142" s="184" t="s">
        <v>598</v>
      </c>
      <c r="V142" s="185">
        <v>6000</v>
      </c>
      <c r="W142" s="184" t="s">
        <v>493</v>
      </c>
      <c r="X142" s="184" t="s">
        <v>598</v>
      </c>
      <c r="Y142" s="185">
        <v>0</v>
      </c>
      <c r="Z142" s="184" t="s">
        <v>598</v>
      </c>
      <c r="AA142" s="21" t="s">
        <v>610</v>
      </c>
      <c r="AB142" s="176" t="s">
        <v>489</v>
      </c>
      <c r="AC142" s="172">
        <v>42996.328472222223</v>
      </c>
      <c r="AD142" s="32" t="s">
        <v>552</v>
      </c>
    </row>
    <row r="143" spans="1:30">
      <c r="A143" s="184">
        <v>142</v>
      </c>
      <c r="B143" s="184" t="s">
        <v>891</v>
      </c>
      <c r="C143" s="184" t="s">
        <v>598</v>
      </c>
      <c r="D143" s="127">
        <v>42901</v>
      </c>
      <c r="E143" s="127" t="s">
        <v>598</v>
      </c>
      <c r="F143" s="184" t="s">
        <v>892</v>
      </c>
      <c r="G143" s="185">
        <v>0</v>
      </c>
      <c r="H143" s="184" t="s">
        <v>598</v>
      </c>
      <c r="I143" s="184" t="s">
        <v>598</v>
      </c>
      <c r="J143" s="184" t="s">
        <v>84</v>
      </c>
      <c r="K143" s="184" t="s">
        <v>210</v>
      </c>
      <c r="L143" s="184" t="s">
        <v>598</v>
      </c>
      <c r="M143" s="184" t="s">
        <v>598</v>
      </c>
      <c r="N143" s="184" t="s">
        <v>63</v>
      </c>
      <c r="O143" s="184" t="s">
        <v>86</v>
      </c>
      <c r="P143" s="186" t="s">
        <v>604</v>
      </c>
      <c r="Q143" s="184" t="s">
        <v>598</v>
      </c>
      <c r="R143" s="184" t="s">
        <v>598</v>
      </c>
      <c r="S143" s="127">
        <v>42905</v>
      </c>
      <c r="T143" s="184" t="s">
        <v>34</v>
      </c>
      <c r="U143" s="184" t="s">
        <v>598</v>
      </c>
      <c r="V143" s="185">
        <v>1000</v>
      </c>
      <c r="W143" s="184" t="s">
        <v>549</v>
      </c>
      <c r="X143" s="184" t="s">
        <v>598</v>
      </c>
      <c r="Y143" s="185">
        <v>0</v>
      </c>
      <c r="Z143" s="184" t="s">
        <v>493</v>
      </c>
      <c r="AA143" s="21" t="s">
        <v>822</v>
      </c>
      <c r="AB143" s="176" t="s">
        <v>489</v>
      </c>
      <c r="AC143" s="172">
        <v>42996.328472222223</v>
      </c>
      <c r="AD143" s="32" t="s">
        <v>552</v>
      </c>
    </row>
    <row r="144" spans="1:30">
      <c r="A144" s="184">
        <v>143</v>
      </c>
      <c r="B144" s="184" t="s">
        <v>893</v>
      </c>
      <c r="C144" s="184" t="s">
        <v>598</v>
      </c>
      <c r="D144" s="127">
        <v>42901</v>
      </c>
      <c r="E144" s="127" t="s">
        <v>598</v>
      </c>
      <c r="F144" s="184" t="s">
        <v>894</v>
      </c>
      <c r="G144" s="185">
        <v>0</v>
      </c>
      <c r="H144" s="184" t="s">
        <v>598</v>
      </c>
      <c r="I144" s="184" t="s">
        <v>134</v>
      </c>
      <c r="J144" s="184" t="s">
        <v>84</v>
      </c>
      <c r="K144" s="184" t="s">
        <v>895</v>
      </c>
      <c r="L144" s="184" t="s">
        <v>598</v>
      </c>
      <c r="M144" s="184" t="s">
        <v>598</v>
      </c>
      <c r="N144" s="184" t="s">
        <v>63</v>
      </c>
      <c r="O144" s="184" t="s">
        <v>86</v>
      </c>
      <c r="P144" s="186" t="s">
        <v>605</v>
      </c>
      <c r="Q144" s="184" t="s">
        <v>598</v>
      </c>
      <c r="R144" s="184" t="s">
        <v>598</v>
      </c>
      <c r="S144" s="127" t="s">
        <v>598</v>
      </c>
      <c r="T144" s="184" t="s">
        <v>598</v>
      </c>
      <c r="U144" s="184" t="s">
        <v>598</v>
      </c>
      <c r="V144" s="185">
        <v>0</v>
      </c>
      <c r="W144" s="184" t="s">
        <v>485</v>
      </c>
      <c r="X144" s="184" t="s">
        <v>598</v>
      </c>
      <c r="Y144" s="185">
        <v>0</v>
      </c>
      <c r="Z144" s="184" t="s">
        <v>598</v>
      </c>
      <c r="AA144" s="21" t="s">
        <v>610</v>
      </c>
      <c r="AB144" s="176" t="s">
        <v>489</v>
      </c>
      <c r="AC144" s="172">
        <v>42996.328472222223</v>
      </c>
      <c r="AD144" s="32" t="s">
        <v>552</v>
      </c>
    </row>
    <row r="145" spans="1:30">
      <c r="A145" s="184">
        <v>144</v>
      </c>
      <c r="B145" s="184" t="s">
        <v>896</v>
      </c>
      <c r="C145" s="184" t="s">
        <v>598</v>
      </c>
      <c r="D145" s="127">
        <v>42901</v>
      </c>
      <c r="E145" s="127" t="s">
        <v>598</v>
      </c>
      <c r="F145" s="184" t="s">
        <v>897</v>
      </c>
      <c r="G145" s="185">
        <v>0</v>
      </c>
      <c r="H145" s="184" t="s">
        <v>598</v>
      </c>
      <c r="I145" s="184" t="s">
        <v>134</v>
      </c>
      <c r="J145" s="184" t="s">
        <v>84</v>
      </c>
      <c r="K145" s="184" t="s">
        <v>895</v>
      </c>
      <c r="L145" s="184" t="s">
        <v>598</v>
      </c>
      <c r="M145" s="184" t="s">
        <v>598</v>
      </c>
      <c r="N145" s="184" t="s">
        <v>63</v>
      </c>
      <c r="O145" s="184" t="s">
        <v>86</v>
      </c>
      <c r="P145" s="186" t="s">
        <v>606</v>
      </c>
      <c r="Q145" s="184" t="s">
        <v>598</v>
      </c>
      <c r="R145" s="184" t="s">
        <v>598</v>
      </c>
      <c r="S145" s="127" t="s">
        <v>598</v>
      </c>
      <c r="T145" s="184" t="s">
        <v>598</v>
      </c>
      <c r="U145" s="184" t="s">
        <v>598</v>
      </c>
      <c r="V145" s="185">
        <v>0</v>
      </c>
      <c r="W145" s="184" t="s">
        <v>485</v>
      </c>
      <c r="X145" s="184" t="s">
        <v>598</v>
      </c>
      <c r="Y145" s="185">
        <v>0</v>
      </c>
      <c r="Z145" s="184" t="s">
        <v>598</v>
      </c>
      <c r="AA145" s="21" t="s">
        <v>610</v>
      </c>
      <c r="AB145" s="176" t="s">
        <v>489</v>
      </c>
      <c r="AC145" s="172">
        <v>42996.328472222223</v>
      </c>
      <c r="AD145" s="32" t="s">
        <v>552</v>
      </c>
    </row>
    <row r="146" spans="1:30">
      <c r="A146" s="184">
        <v>145</v>
      </c>
      <c r="B146" s="184" t="s">
        <v>898</v>
      </c>
      <c r="C146" s="184" t="s">
        <v>598</v>
      </c>
      <c r="D146" s="127">
        <v>42902</v>
      </c>
      <c r="E146" s="127" t="s">
        <v>598</v>
      </c>
      <c r="F146" s="184" t="s">
        <v>899</v>
      </c>
      <c r="G146" s="185">
        <v>0</v>
      </c>
      <c r="H146" s="184" t="s">
        <v>598</v>
      </c>
      <c r="I146" s="184" t="s">
        <v>900</v>
      </c>
      <c r="J146" s="184" t="s">
        <v>84</v>
      </c>
      <c r="K146" s="184" t="s">
        <v>598</v>
      </c>
      <c r="L146" s="184" t="s">
        <v>598</v>
      </c>
      <c r="M146" s="184" t="s">
        <v>598</v>
      </c>
      <c r="N146" s="184" t="s">
        <v>63</v>
      </c>
      <c r="O146" s="184" t="s">
        <v>598</v>
      </c>
      <c r="P146" s="186" t="s">
        <v>607</v>
      </c>
      <c r="Q146" s="184" t="s">
        <v>598</v>
      </c>
      <c r="R146" s="184" t="s">
        <v>598</v>
      </c>
      <c r="S146" s="127" t="s">
        <v>598</v>
      </c>
      <c r="T146" s="184" t="s">
        <v>598</v>
      </c>
      <c r="U146" s="184" t="s">
        <v>598</v>
      </c>
      <c r="V146" s="185">
        <v>0</v>
      </c>
      <c r="W146" s="184" t="s">
        <v>33</v>
      </c>
      <c r="X146" s="184" t="s">
        <v>598</v>
      </c>
      <c r="Y146" s="185">
        <v>0</v>
      </c>
      <c r="Z146" s="184" t="s">
        <v>598</v>
      </c>
      <c r="AA146" s="21" t="s">
        <v>822</v>
      </c>
      <c r="AB146" s="176" t="s">
        <v>489</v>
      </c>
      <c r="AC146" s="172">
        <v>42996.328472222223</v>
      </c>
      <c r="AD146" s="32" t="s">
        <v>552</v>
      </c>
    </row>
    <row r="147" spans="1:30">
      <c r="A147" s="184">
        <v>146</v>
      </c>
      <c r="B147" s="184" t="s">
        <v>901</v>
      </c>
      <c r="C147" s="184" t="s">
        <v>598</v>
      </c>
      <c r="D147" s="127">
        <v>42902</v>
      </c>
      <c r="E147" s="127" t="s">
        <v>598</v>
      </c>
      <c r="F147" s="184" t="s">
        <v>902</v>
      </c>
      <c r="G147" s="185">
        <v>0</v>
      </c>
      <c r="H147" s="184" t="s">
        <v>598</v>
      </c>
      <c r="I147" s="184" t="s">
        <v>598</v>
      </c>
      <c r="J147" s="184" t="s">
        <v>84</v>
      </c>
      <c r="K147" s="184" t="s">
        <v>211</v>
      </c>
      <c r="L147" s="184" t="s">
        <v>598</v>
      </c>
      <c r="M147" s="184" t="s">
        <v>598</v>
      </c>
      <c r="N147" s="184" t="s">
        <v>63</v>
      </c>
      <c r="O147" s="184" t="s">
        <v>598</v>
      </c>
      <c r="P147" s="186" t="s">
        <v>73</v>
      </c>
      <c r="Q147" s="184" t="s">
        <v>598</v>
      </c>
      <c r="R147" s="184" t="s">
        <v>598</v>
      </c>
      <c r="S147" s="127" t="s">
        <v>598</v>
      </c>
      <c r="T147" s="184" t="s">
        <v>598</v>
      </c>
      <c r="U147" s="184" t="s">
        <v>598</v>
      </c>
      <c r="V147" s="185">
        <v>0</v>
      </c>
      <c r="W147" s="184" t="s">
        <v>557</v>
      </c>
      <c r="X147" s="184" t="s">
        <v>598</v>
      </c>
      <c r="Y147" s="185">
        <v>0</v>
      </c>
      <c r="Z147" s="184" t="s">
        <v>598</v>
      </c>
      <c r="AA147" s="21" t="s">
        <v>822</v>
      </c>
      <c r="AB147" s="176" t="s">
        <v>489</v>
      </c>
      <c r="AC147" s="172">
        <v>42996.328472222223</v>
      </c>
      <c r="AD147" s="32" t="s">
        <v>552</v>
      </c>
    </row>
    <row r="148" spans="1:30">
      <c r="A148" s="184">
        <v>147</v>
      </c>
      <c r="B148" s="184" t="s">
        <v>903</v>
      </c>
      <c r="C148" s="184" t="s">
        <v>598</v>
      </c>
      <c r="D148" s="127">
        <v>42903</v>
      </c>
      <c r="E148" s="127" t="s">
        <v>598</v>
      </c>
      <c r="F148" s="184" t="s">
        <v>904</v>
      </c>
      <c r="G148" s="185">
        <v>0</v>
      </c>
      <c r="H148" s="184" t="s">
        <v>598</v>
      </c>
      <c r="I148" s="184" t="s">
        <v>598</v>
      </c>
      <c r="J148" s="184" t="s">
        <v>84</v>
      </c>
      <c r="K148" s="184" t="s">
        <v>212</v>
      </c>
      <c r="L148" s="184" t="s">
        <v>598</v>
      </c>
      <c r="M148" s="184" t="s">
        <v>598</v>
      </c>
      <c r="N148" s="184" t="s">
        <v>63</v>
      </c>
      <c r="O148" s="184" t="s">
        <v>86</v>
      </c>
      <c r="P148" s="186" t="s">
        <v>601</v>
      </c>
      <c r="Q148" s="184" t="s">
        <v>598</v>
      </c>
      <c r="R148" s="184" t="s">
        <v>598</v>
      </c>
      <c r="S148" s="127">
        <v>42905</v>
      </c>
      <c r="T148" s="184" t="s">
        <v>34</v>
      </c>
      <c r="U148" s="184" t="s">
        <v>598</v>
      </c>
      <c r="V148" s="185">
        <v>1000</v>
      </c>
      <c r="W148" s="184" t="s">
        <v>549</v>
      </c>
      <c r="X148" s="184" t="s">
        <v>598</v>
      </c>
      <c r="Y148" s="185">
        <v>0</v>
      </c>
      <c r="Z148" s="184" t="s">
        <v>493</v>
      </c>
      <c r="AA148" s="21" t="s">
        <v>822</v>
      </c>
      <c r="AB148" s="176" t="s">
        <v>489</v>
      </c>
      <c r="AC148" s="172">
        <v>42996.328472222223</v>
      </c>
      <c r="AD148" s="32" t="s">
        <v>552</v>
      </c>
    </row>
    <row r="149" spans="1:30">
      <c r="A149" s="184">
        <v>148</v>
      </c>
      <c r="B149" s="184" t="s">
        <v>905</v>
      </c>
      <c r="C149" s="184" t="s">
        <v>598</v>
      </c>
      <c r="D149" s="127">
        <v>42903</v>
      </c>
      <c r="E149" s="127" t="s">
        <v>598</v>
      </c>
      <c r="F149" s="184" t="s">
        <v>906</v>
      </c>
      <c r="G149" s="185">
        <v>0</v>
      </c>
      <c r="H149" s="184" t="s">
        <v>598</v>
      </c>
      <c r="I149" s="184" t="s">
        <v>598</v>
      </c>
      <c r="J149" s="184" t="s">
        <v>84</v>
      </c>
      <c r="K149" s="184" t="s">
        <v>213</v>
      </c>
      <c r="L149" s="184" t="s">
        <v>598</v>
      </c>
      <c r="M149" s="184" t="s">
        <v>598</v>
      </c>
      <c r="N149" s="184" t="s">
        <v>63</v>
      </c>
      <c r="O149" s="184" t="s">
        <v>86</v>
      </c>
      <c r="P149" s="186" t="s">
        <v>32</v>
      </c>
      <c r="Q149" s="184" t="s">
        <v>598</v>
      </c>
      <c r="R149" s="184" t="s">
        <v>598</v>
      </c>
      <c r="S149" s="127" t="s">
        <v>598</v>
      </c>
      <c r="T149" s="184" t="s">
        <v>598</v>
      </c>
      <c r="U149" s="184" t="s">
        <v>598</v>
      </c>
      <c r="V149" s="185">
        <v>0</v>
      </c>
      <c r="W149" s="184" t="s">
        <v>485</v>
      </c>
      <c r="X149" s="184" t="s">
        <v>598</v>
      </c>
      <c r="Y149" s="185">
        <v>0</v>
      </c>
      <c r="Z149" s="184" t="s">
        <v>598</v>
      </c>
      <c r="AA149" s="21" t="s">
        <v>610</v>
      </c>
      <c r="AB149" s="176" t="s">
        <v>489</v>
      </c>
      <c r="AC149" s="172">
        <v>42996.328472222223</v>
      </c>
      <c r="AD149" s="32" t="s">
        <v>552</v>
      </c>
    </row>
    <row r="150" spans="1:30">
      <c r="A150" s="184">
        <v>149</v>
      </c>
      <c r="B150" s="184" t="s">
        <v>907</v>
      </c>
      <c r="C150" s="184" t="s">
        <v>598</v>
      </c>
      <c r="D150" s="127">
        <v>42903</v>
      </c>
      <c r="E150" s="127" t="s">
        <v>598</v>
      </c>
      <c r="F150" s="184" t="s">
        <v>908</v>
      </c>
      <c r="G150" s="185">
        <v>0</v>
      </c>
      <c r="H150" s="184" t="s">
        <v>598</v>
      </c>
      <c r="I150" s="184" t="s">
        <v>598</v>
      </c>
      <c r="J150" s="184" t="s">
        <v>84</v>
      </c>
      <c r="K150" s="184" t="s">
        <v>214</v>
      </c>
      <c r="L150" s="184" t="s">
        <v>598</v>
      </c>
      <c r="M150" s="184" t="s">
        <v>598</v>
      </c>
      <c r="N150" s="184" t="s">
        <v>63</v>
      </c>
      <c r="O150" s="184" t="s">
        <v>598</v>
      </c>
      <c r="P150" s="186" t="s">
        <v>53</v>
      </c>
      <c r="Q150" s="184" t="s">
        <v>598</v>
      </c>
      <c r="R150" s="184" t="s">
        <v>598</v>
      </c>
      <c r="S150" s="127" t="s">
        <v>598</v>
      </c>
      <c r="T150" s="184" t="s">
        <v>598</v>
      </c>
      <c r="U150" s="184" t="s">
        <v>598</v>
      </c>
      <c r="V150" s="185">
        <v>0</v>
      </c>
      <c r="W150" s="184" t="s">
        <v>55</v>
      </c>
      <c r="X150" s="184" t="s">
        <v>598</v>
      </c>
      <c r="Y150" s="185">
        <v>0</v>
      </c>
      <c r="Z150" s="184" t="s">
        <v>598</v>
      </c>
      <c r="AA150" s="21" t="s">
        <v>822</v>
      </c>
      <c r="AB150" s="176" t="s">
        <v>489</v>
      </c>
      <c r="AC150" s="172">
        <v>42996.328472222223</v>
      </c>
      <c r="AD150" s="32" t="s">
        <v>552</v>
      </c>
    </row>
    <row r="151" spans="1:30">
      <c r="A151" s="184">
        <v>150</v>
      </c>
      <c r="B151" s="184" t="s">
        <v>909</v>
      </c>
      <c r="C151" s="184" t="s">
        <v>598</v>
      </c>
      <c r="D151" s="127">
        <v>42903</v>
      </c>
      <c r="E151" s="127" t="s">
        <v>598</v>
      </c>
      <c r="F151" s="184" t="s">
        <v>910</v>
      </c>
      <c r="G151" s="185">
        <v>0</v>
      </c>
      <c r="H151" s="184" t="s">
        <v>598</v>
      </c>
      <c r="I151" s="184" t="s">
        <v>598</v>
      </c>
      <c r="J151" s="184" t="s">
        <v>84</v>
      </c>
      <c r="K151" s="184" t="s">
        <v>215</v>
      </c>
      <c r="L151" s="184" t="s">
        <v>598</v>
      </c>
      <c r="M151" s="184" t="s">
        <v>598</v>
      </c>
      <c r="N151" s="184" t="s">
        <v>63</v>
      </c>
      <c r="O151" s="184" t="s">
        <v>86</v>
      </c>
      <c r="P151" s="186" t="s">
        <v>44</v>
      </c>
      <c r="Q151" s="184" t="s">
        <v>598</v>
      </c>
      <c r="R151" s="184" t="s">
        <v>598</v>
      </c>
      <c r="S151" s="127">
        <v>42905</v>
      </c>
      <c r="T151" s="184" t="s">
        <v>34</v>
      </c>
      <c r="U151" s="184" t="s">
        <v>598</v>
      </c>
      <c r="V151" s="185">
        <v>3000</v>
      </c>
      <c r="W151" s="184" t="s">
        <v>493</v>
      </c>
      <c r="X151" s="184" t="s">
        <v>598</v>
      </c>
      <c r="Y151" s="185">
        <v>0</v>
      </c>
      <c r="Z151" s="184" t="s">
        <v>598</v>
      </c>
      <c r="AA151" s="21" t="s">
        <v>610</v>
      </c>
      <c r="AB151" s="176" t="s">
        <v>489</v>
      </c>
      <c r="AC151" s="172">
        <v>42996.328472222223</v>
      </c>
      <c r="AD151" s="32" t="s">
        <v>552</v>
      </c>
    </row>
    <row r="152" spans="1:30">
      <c r="A152" s="184">
        <v>151</v>
      </c>
      <c r="B152" s="184" t="s">
        <v>913</v>
      </c>
      <c r="C152" s="184" t="s">
        <v>598</v>
      </c>
      <c r="D152" s="127">
        <v>42905</v>
      </c>
      <c r="E152" s="127" t="s">
        <v>598</v>
      </c>
      <c r="F152" s="184" t="s">
        <v>914</v>
      </c>
      <c r="G152" s="185">
        <v>0</v>
      </c>
      <c r="H152" s="184" t="s">
        <v>598</v>
      </c>
      <c r="I152" s="184" t="s">
        <v>125</v>
      </c>
      <c r="J152" s="184" t="s">
        <v>84</v>
      </c>
      <c r="K152" s="184" t="s">
        <v>189</v>
      </c>
      <c r="L152" s="184" t="s">
        <v>598</v>
      </c>
      <c r="M152" s="184" t="s">
        <v>598</v>
      </c>
      <c r="N152" s="184" t="s">
        <v>63</v>
      </c>
      <c r="O152" s="184" t="s">
        <v>86</v>
      </c>
      <c r="P152" s="186" t="s">
        <v>602</v>
      </c>
      <c r="Q152" s="184" t="s">
        <v>598</v>
      </c>
      <c r="R152" s="184" t="s">
        <v>598</v>
      </c>
      <c r="S152" s="127" t="s">
        <v>598</v>
      </c>
      <c r="T152" s="184" t="s">
        <v>598</v>
      </c>
      <c r="U152" s="184" t="s">
        <v>598</v>
      </c>
      <c r="V152" s="185">
        <v>0</v>
      </c>
      <c r="W152" s="184" t="s">
        <v>485</v>
      </c>
      <c r="X152" s="184" t="s">
        <v>598</v>
      </c>
      <c r="Y152" s="185">
        <v>0</v>
      </c>
      <c r="Z152" s="184" t="s">
        <v>598</v>
      </c>
      <c r="AA152" s="21" t="s">
        <v>610</v>
      </c>
      <c r="AB152" s="176" t="s">
        <v>489</v>
      </c>
      <c r="AC152" s="172">
        <v>42996.328472222223</v>
      </c>
      <c r="AD152" s="32" t="s">
        <v>552</v>
      </c>
    </row>
    <row r="153" spans="1:30">
      <c r="A153" s="184">
        <v>152</v>
      </c>
      <c r="B153" s="184" t="s">
        <v>915</v>
      </c>
      <c r="C153" s="184" t="s">
        <v>598</v>
      </c>
      <c r="D153" s="127">
        <v>42905</v>
      </c>
      <c r="E153" s="127" t="s">
        <v>598</v>
      </c>
      <c r="F153" s="184" t="s">
        <v>916</v>
      </c>
      <c r="G153" s="185">
        <v>0</v>
      </c>
      <c r="H153" s="184" t="s">
        <v>598</v>
      </c>
      <c r="I153" s="184" t="s">
        <v>598</v>
      </c>
      <c r="J153" s="184" t="s">
        <v>84</v>
      </c>
      <c r="K153" s="184" t="s">
        <v>199</v>
      </c>
      <c r="L153" s="184" t="s">
        <v>598</v>
      </c>
      <c r="M153" s="184" t="s">
        <v>598</v>
      </c>
      <c r="N153" s="184" t="s">
        <v>63</v>
      </c>
      <c r="O153" s="184" t="s">
        <v>86</v>
      </c>
      <c r="P153" s="186" t="s">
        <v>603</v>
      </c>
      <c r="Q153" s="184" t="s">
        <v>598</v>
      </c>
      <c r="R153" s="184" t="s">
        <v>598</v>
      </c>
      <c r="S153" s="127" t="s">
        <v>598</v>
      </c>
      <c r="T153" s="184" t="s">
        <v>598</v>
      </c>
      <c r="U153" s="184" t="s">
        <v>598</v>
      </c>
      <c r="V153" s="185">
        <v>0</v>
      </c>
      <c r="W153" s="184" t="s">
        <v>485</v>
      </c>
      <c r="X153" s="184" t="s">
        <v>598</v>
      </c>
      <c r="Y153" s="185">
        <v>0</v>
      </c>
      <c r="Z153" s="184" t="s">
        <v>598</v>
      </c>
      <c r="AA153" s="21" t="s">
        <v>610</v>
      </c>
      <c r="AB153" s="176" t="s">
        <v>489</v>
      </c>
      <c r="AC153" s="172">
        <v>42996.328472222223</v>
      </c>
      <c r="AD153" s="32" t="s">
        <v>552</v>
      </c>
    </row>
    <row r="154" spans="1:30">
      <c r="A154" s="184">
        <v>153</v>
      </c>
      <c r="B154" s="184" t="s">
        <v>917</v>
      </c>
      <c r="C154" s="184" t="s">
        <v>598</v>
      </c>
      <c r="D154" s="127">
        <v>42905</v>
      </c>
      <c r="E154" s="127" t="s">
        <v>598</v>
      </c>
      <c r="F154" s="184" t="s">
        <v>918</v>
      </c>
      <c r="G154" s="185">
        <v>0</v>
      </c>
      <c r="H154" s="184" t="s">
        <v>598</v>
      </c>
      <c r="I154" s="184" t="s">
        <v>598</v>
      </c>
      <c r="J154" s="184" t="s">
        <v>84</v>
      </c>
      <c r="K154" s="184" t="s">
        <v>199</v>
      </c>
      <c r="L154" s="184" t="s">
        <v>598</v>
      </c>
      <c r="M154" s="184" t="s">
        <v>598</v>
      </c>
      <c r="N154" s="184" t="s">
        <v>63</v>
      </c>
      <c r="O154" s="184" t="s">
        <v>86</v>
      </c>
      <c r="P154" s="186" t="s">
        <v>604</v>
      </c>
      <c r="Q154" s="184" t="s">
        <v>598</v>
      </c>
      <c r="R154" s="184" t="s">
        <v>598</v>
      </c>
      <c r="S154" s="127" t="s">
        <v>598</v>
      </c>
      <c r="T154" s="184" t="s">
        <v>598</v>
      </c>
      <c r="U154" s="184" t="s">
        <v>598</v>
      </c>
      <c r="V154" s="185">
        <v>0</v>
      </c>
      <c r="W154" s="184" t="s">
        <v>485</v>
      </c>
      <c r="X154" s="184" t="s">
        <v>598</v>
      </c>
      <c r="Y154" s="185">
        <v>0</v>
      </c>
      <c r="Z154" s="184" t="s">
        <v>598</v>
      </c>
      <c r="AA154" s="21" t="s">
        <v>610</v>
      </c>
      <c r="AB154" s="176" t="s">
        <v>489</v>
      </c>
      <c r="AC154" s="172">
        <v>42996.328472222223</v>
      </c>
      <c r="AD154" s="32" t="s">
        <v>552</v>
      </c>
    </row>
    <row r="155" spans="1:30">
      <c r="A155" s="184">
        <v>154</v>
      </c>
      <c r="B155" s="184" t="s">
        <v>919</v>
      </c>
      <c r="C155" s="184" t="s">
        <v>598</v>
      </c>
      <c r="D155" s="127">
        <v>42905</v>
      </c>
      <c r="E155" s="127" t="s">
        <v>598</v>
      </c>
      <c r="F155" s="184" t="s">
        <v>920</v>
      </c>
      <c r="G155" s="185">
        <v>0</v>
      </c>
      <c r="H155" s="184" t="s">
        <v>598</v>
      </c>
      <c r="I155" s="184" t="s">
        <v>598</v>
      </c>
      <c r="J155" s="184" t="s">
        <v>84</v>
      </c>
      <c r="K155" s="184" t="s">
        <v>217</v>
      </c>
      <c r="L155" s="184" t="s">
        <v>598</v>
      </c>
      <c r="M155" s="184" t="s">
        <v>598</v>
      </c>
      <c r="N155" s="184" t="s">
        <v>63</v>
      </c>
      <c r="O155" s="184" t="s">
        <v>63</v>
      </c>
      <c r="P155" s="186" t="s">
        <v>605</v>
      </c>
      <c r="Q155" s="184" t="s">
        <v>598</v>
      </c>
      <c r="R155" s="184" t="s">
        <v>598</v>
      </c>
      <c r="S155" s="127">
        <v>42906</v>
      </c>
      <c r="T155" s="184" t="s">
        <v>34</v>
      </c>
      <c r="U155" s="184" t="s">
        <v>598</v>
      </c>
      <c r="V155" s="185">
        <v>3500</v>
      </c>
      <c r="W155" s="184" t="s">
        <v>493</v>
      </c>
      <c r="X155" s="184" t="s">
        <v>598</v>
      </c>
      <c r="Y155" s="185">
        <v>0</v>
      </c>
      <c r="Z155" s="184" t="s">
        <v>598</v>
      </c>
      <c r="AA155" s="21" t="s">
        <v>610</v>
      </c>
      <c r="AB155" s="176" t="s">
        <v>489</v>
      </c>
      <c r="AC155" s="172">
        <v>42996.328472222223</v>
      </c>
      <c r="AD155" s="32" t="s">
        <v>552</v>
      </c>
    </row>
    <row r="156" spans="1:30">
      <c r="A156" s="184">
        <v>155</v>
      </c>
      <c r="B156" s="184" t="s">
        <v>921</v>
      </c>
      <c r="C156" s="184" t="s">
        <v>598</v>
      </c>
      <c r="D156" s="127">
        <v>42905</v>
      </c>
      <c r="E156" s="127" t="s">
        <v>598</v>
      </c>
      <c r="F156" s="184" t="s">
        <v>922</v>
      </c>
      <c r="G156" s="185">
        <v>0</v>
      </c>
      <c r="H156" s="184" t="s">
        <v>598</v>
      </c>
      <c r="I156" s="184" t="s">
        <v>132</v>
      </c>
      <c r="J156" s="184" t="s">
        <v>84</v>
      </c>
      <c r="K156" s="184" t="s">
        <v>189</v>
      </c>
      <c r="L156" s="184" t="s">
        <v>598</v>
      </c>
      <c r="M156" s="184" t="s">
        <v>598</v>
      </c>
      <c r="N156" s="184" t="s">
        <v>63</v>
      </c>
      <c r="O156" s="184" t="s">
        <v>63</v>
      </c>
      <c r="P156" s="186" t="s">
        <v>606</v>
      </c>
      <c r="Q156" s="184" t="s">
        <v>598</v>
      </c>
      <c r="R156" s="184" t="s">
        <v>598</v>
      </c>
      <c r="S156" s="127" t="s">
        <v>598</v>
      </c>
      <c r="T156" s="184" t="s">
        <v>598</v>
      </c>
      <c r="U156" s="184" t="s">
        <v>598</v>
      </c>
      <c r="V156" s="185">
        <v>0</v>
      </c>
      <c r="W156" s="184" t="s">
        <v>557</v>
      </c>
      <c r="X156" s="184" t="s">
        <v>598</v>
      </c>
      <c r="Y156" s="185">
        <v>0</v>
      </c>
      <c r="Z156" s="184" t="s">
        <v>598</v>
      </c>
      <c r="AA156" s="21" t="s">
        <v>822</v>
      </c>
      <c r="AB156" s="176" t="s">
        <v>489</v>
      </c>
      <c r="AC156" s="172">
        <v>42996.328472222223</v>
      </c>
      <c r="AD156" s="32" t="s">
        <v>552</v>
      </c>
    </row>
    <row r="157" spans="1:30">
      <c r="A157" s="184">
        <v>156</v>
      </c>
      <c r="B157" s="184" t="s">
        <v>923</v>
      </c>
      <c r="C157" s="184" t="s">
        <v>598</v>
      </c>
      <c r="D157" s="127">
        <v>42905</v>
      </c>
      <c r="E157" s="127" t="s">
        <v>598</v>
      </c>
      <c r="F157" s="184" t="s">
        <v>924</v>
      </c>
      <c r="G157" s="185">
        <v>0</v>
      </c>
      <c r="H157" s="184" t="s">
        <v>598</v>
      </c>
      <c r="I157" s="184" t="s">
        <v>120</v>
      </c>
      <c r="J157" s="184" t="s">
        <v>84</v>
      </c>
      <c r="K157" s="184" t="s">
        <v>199</v>
      </c>
      <c r="L157" s="184" t="s">
        <v>598</v>
      </c>
      <c r="M157" s="184" t="s">
        <v>598</v>
      </c>
      <c r="N157" s="184" t="s">
        <v>63</v>
      </c>
      <c r="O157" s="184" t="s">
        <v>63</v>
      </c>
      <c r="P157" s="186" t="s">
        <v>607</v>
      </c>
      <c r="Q157" s="184" t="s">
        <v>598</v>
      </c>
      <c r="R157" s="184" t="s">
        <v>598</v>
      </c>
      <c r="S157" s="127" t="s">
        <v>598</v>
      </c>
      <c r="T157" s="184" t="s">
        <v>598</v>
      </c>
      <c r="U157" s="184" t="s">
        <v>598</v>
      </c>
      <c r="V157" s="185">
        <v>0</v>
      </c>
      <c r="W157" s="184" t="s">
        <v>89</v>
      </c>
      <c r="X157" s="184" t="s">
        <v>598</v>
      </c>
      <c r="Y157" s="185">
        <v>0</v>
      </c>
      <c r="Z157" s="184" t="s">
        <v>598</v>
      </c>
      <c r="AA157" s="21" t="s">
        <v>822</v>
      </c>
      <c r="AB157" s="176" t="s">
        <v>489</v>
      </c>
      <c r="AC157" s="172">
        <v>42996.328472222223</v>
      </c>
      <c r="AD157" s="32" t="s">
        <v>552</v>
      </c>
    </row>
    <row r="158" spans="1:30">
      <c r="A158" s="184">
        <v>157</v>
      </c>
      <c r="B158" s="184" t="s">
        <v>925</v>
      </c>
      <c r="C158" s="184" t="s">
        <v>598</v>
      </c>
      <c r="D158" s="127">
        <v>42906</v>
      </c>
      <c r="E158" s="127" t="s">
        <v>598</v>
      </c>
      <c r="F158" s="184" t="s">
        <v>926</v>
      </c>
      <c r="G158" s="185">
        <v>0</v>
      </c>
      <c r="H158" s="184" t="s">
        <v>598</v>
      </c>
      <c r="I158" s="184" t="s">
        <v>598</v>
      </c>
      <c r="J158" s="184" t="s">
        <v>84</v>
      </c>
      <c r="K158" s="184" t="s">
        <v>218</v>
      </c>
      <c r="L158" s="184" t="s">
        <v>598</v>
      </c>
      <c r="M158" s="184" t="s">
        <v>598</v>
      </c>
      <c r="N158" s="184" t="s">
        <v>63</v>
      </c>
      <c r="O158" s="184" t="s">
        <v>598</v>
      </c>
      <c r="P158" s="186" t="s">
        <v>73</v>
      </c>
      <c r="Q158" s="184" t="s">
        <v>598</v>
      </c>
      <c r="R158" s="184" t="s">
        <v>598</v>
      </c>
      <c r="S158" s="127">
        <v>42907</v>
      </c>
      <c r="T158" s="184" t="s">
        <v>34</v>
      </c>
      <c r="U158" s="184" t="s">
        <v>598</v>
      </c>
      <c r="V158" s="185">
        <v>1000</v>
      </c>
      <c r="W158" s="184" t="s">
        <v>549</v>
      </c>
      <c r="X158" s="184" t="s">
        <v>598</v>
      </c>
      <c r="Y158" s="185">
        <v>0</v>
      </c>
      <c r="Z158" s="184" t="s">
        <v>493</v>
      </c>
      <c r="AA158" s="21" t="s">
        <v>822</v>
      </c>
      <c r="AB158" s="176" t="s">
        <v>489</v>
      </c>
      <c r="AC158" s="172">
        <v>42996.328472222223</v>
      </c>
      <c r="AD158" s="32" t="s">
        <v>552</v>
      </c>
    </row>
    <row r="159" spans="1:30">
      <c r="A159" s="184">
        <v>158</v>
      </c>
      <c r="B159" s="184" t="s">
        <v>927</v>
      </c>
      <c r="C159" s="184" t="s">
        <v>598</v>
      </c>
      <c r="D159" s="127">
        <v>42906</v>
      </c>
      <c r="E159" s="127" t="s">
        <v>598</v>
      </c>
      <c r="F159" s="184" t="s">
        <v>928</v>
      </c>
      <c r="G159" s="185">
        <v>0</v>
      </c>
      <c r="H159" s="184" t="s">
        <v>598</v>
      </c>
      <c r="I159" s="184" t="s">
        <v>598</v>
      </c>
      <c r="J159" s="184" t="s">
        <v>84</v>
      </c>
      <c r="K159" s="184" t="s">
        <v>598</v>
      </c>
      <c r="L159" s="184" t="s">
        <v>598</v>
      </c>
      <c r="M159" s="184" t="s">
        <v>598</v>
      </c>
      <c r="N159" s="184" t="s">
        <v>63</v>
      </c>
      <c r="O159" s="184" t="s">
        <v>86</v>
      </c>
      <c r="P159" s="186" t="s">
        <v>601</v>
      </c>
      <c r="Q159" s="184" t="s">
        <v>598</v>
      </c>
      <c r="R159" s="184" t="s">
        <v>598</v>
      </c>
      <c r="S159" s="127">
        <v>42909</v>
      </c>
      <c r="T159" s="184" t="s">
        <v>10</v>
      </c>
      <c r="U159" s="184" t="s">
        <v>598</v>
      </c>
      <c r="V159" s="185">
        <v>2000</v>
      </c>
      <c r="W159" s="184" t="s">
        <v>493</v>
      </c>
      <c r="X159" s="184" t="s">
        <v>598</v>
      </c>
      <c r="Y159" s="185">
        <v>0</v>
      </c>
      <c r="Z159" s="184" t="s">
        <v>598</v>
      </c>
      <c r="AA159" s="21" t="s">
        <v>610</v>
      </c>
      <c r="AB159" s="176" t="s">
        <v>489</v>
      </c>
      <c r="AC159" s="172">
        <v>42996.328472222223</v>
      </c>
      <c r="AD159" s="32" t="s">
        <v>552</v>
      </c>
    </row>
    <row r="160" spans="1:30">
      <c r="A160" s="184">
        <v>159</v>
      </c>
      <c r="B160" s="184" t="s">
        <v>929</v>
      </c>
      <c r="C160" s="184" t="s">
        <v>598</v>
      </c>
      <c r="D160" s="127">
        <v>42906</v>
      </c>
      <c r="E160" s="127" t="s">
        <v>598</v>
      </c>
      <c r="F160" s="184" t="s">
        <v>930</v>
      </c>
      <c r="G160" s="185">
        <v>0</v>
      </c>
      <c r="H160" s="184" t="s">
        <v>598</v>
      </c>
      <c r="I160" s="184" t="s">
        <v>598</v>
      </c>
      <c r="J160" s="184" t="s">
        <v>84</v>
      </c>
      <c r="K160" s="184" t="s">
        <v>162</v>
      </c>
      <c r="L160" s="184" t="s">
        <v>598</v>
      </c>
      <c r="M160" s="184" t="s">
        <v>598</v>
      </c>
      <c r="N160" s="184" t="s">
        <v>63</v>
      </c>
      <c r="O160" s="184" t="s">
        <v>63</v>
      </c>
      <c r="P160" s="186" t="s">
        <v>32</v>
      </c>
      <c r="Q160" s="184" t="s">
        <v>598</v>
      </c>
      <c r="R160" s="184" t="s">
        <v>598</v>
      </c>
      <c r="S160" s="127" t="s">
        <v>598</v>
      </c>
      <c r="T160" s="184" t="s">
        <v>598</v>
      </c>
      <c r="U160" s="184" t="s">
        <v>598</v>
      </c>
      <c r="V160" s="185">
        <v>0</v>
      </c>
      <c r="W160" s="184" t="s">
        <v>485</v>
      </c>
      <c r="X160" s="184" t="s">
        <v>598</v>
      </c>
      <c r="Y160" s="185">
        <v>0</v>
      </c>
      <c r="Z160" s="184" t="s">
        <v>598</v>
      </c>
      <c r="AA160" s="21" t="s">
        <v>610</v>
      </c>
      <c r="AB160" s="176" t="s">
        <v>489</v>
      </c>
      <c r="AC160" s="172">
        <v>42996.328472222223</v>
      </c>
      <c r="AD160" s="32" t="s">
        <v>552</v>
      </c>
    </row>
    <row r="161" spans="1:30">
      <c r="A161" s="184">
        <v>160</v>
      </c>
      <c r="B161" s="184" t="s">
        <v>931</v>
      </c>
      <c r="C161" s="184" t="s">
        <v>598</v>
      </c>
      <c r="D161" s="127">
        <v>42907</v>
      </c>
      <c r="E161" s="127" t="s">
        <v>598</v>
      </c>
      <c r="F161" s="184" t="s">
        <v>932</v>
      </c>
      <c r="G161" s="185">
        <v>0</v>
      </c>
      <c r="H161" s="184" t="s">
        <v>598</v>
      </c>
      <c r="I161" s="184" t="s">
        <v>900</v>
      </c>
      <c r="J161" s="184" t="s">
        <v>84</v>
      </c>
      <c r="K161" s="184" t="s">
        <v>598</v>
      </c>
      <c r="L161" s="184" t="s">
        <v>598</v>
      </c>
      <c r="M161" s="184" t="s">
        <v>598</v>
      </c>
      <c r="N161" s="184" t="s">
        <v>63</v>
      </c>
      <c r="O161" s="184" t="s">
        <v>598</v>
      </c>
      <c r="P161" s="186" t="s">
        <v>53</v>
      </c>
      <c r="Q161" s="184" t="s">
        <v>598</v>
      </c>
      <c r="R161" s="184" t="s">
        <v>598</v>
      </c>
      <c r="S161" s="127">
        <v>42907</v>
      </c>
      <c r="T161" s="184" t="s">
        <v>34</v>
      </c>
      <c r="U161" s="184" t="s">
        <v>598</v>
      </c>
      <c r="V161" s="185">
        <v>2500</v>
      </c>
      <c r="W161" s="184" t="s">
        <v>493</v>
      </c>
      <c r="X161" s="184" t="s">
        <v>598</v>
      </c>
      <c r="Y161" s="185">
        <v>0</v>
      </c>
      <c r="Z161" s="184" t="s">
        <v>598</v>
      </c>
      <c r="AA161" s="21" t="s">
        <v>610</v>
      </c>
      <c r="AB161" s="176" t="s">
        <v>489</v>
      </c>
      <c r="AC161" s="172">
        <v>42996.328472222223</v>
      </c>
      <c r="AD161" s="32" t="s">
        <v>552</v>
      </c>
    </row>
    <row r="162" spans="1:30">
      <c r="A162" s="184">
        <v>161</v>
      </c>
      <c r="B162" s="184" t="s">
        <v>933</v>
      </c>
      <c r="C162" s="184" t="s">
        <v>598</v>
      </c>
      <c r="D162" s="127">
        <v>42907</v>
      </c>
      <c r="E162" s="127" t="s">
        <v>598</v>
      </c>
      <c r="F162" s="184" t="s">
        <v>934</v>
      </c>
      <c r="G162" s="185">
        <v>0</v>
      </c>
      <c r="H162" s="184" t="s">
        <v>598</v>
      </c>
      <c r="I162" s="184" t="s">
        <v>598</v>
      </c>
      <c r="J162" s="184" t="s">
        <v>84</v>
      </c>
      <c r="K162" s="184" t="s">
        <v>598</v>
      </c>
      <c r="L162" s="184" t="s">
        <v>598</v>
      </c>
      <c r="M162" s="184" t="s">
        <v>598</v>
      </c>
      <c r="N162" s="184" t="s">
        <v>63</v>
      </c>
      <c r="O162" s="184" t="s">
        <v>63</v>
      </c>
      <c r="P162" s="186" t="s">
        <v>44</v>
      </c>
      <c r="Q162" s="184" t="s">
        <v>598</v>
      </c>
      <c r="R162" s="184" t="s">
        <v>598</v>
      </c>
      <c r="S162" s="127" t="s">
        <v>598</v>
      </c>
      <c r="T162" s="184" t="s">
        <v>598</v>
      </c>
      <c r="U162" s="184" t="s">
        <v>598</v>
      </c>
      <c r="V162" s="185">
        <v>0</v>
      </c>
      <c r="W162" s="184" t="s">
        <v>89</v>
      </c>
      <c r="X162" s="184" t="s">
        <v>598</v>
      </c>
      <c r="Y162" s="185">
        <v>0</v>
      </c>
      <c r="Z162" s="184" t="s">
        <v>598</v>
      </c>
      <c r="AA162" s="21" t="s">
        <v>822</v>
      </c>
      <c r="AB162" s="176" t="s">
        <v>489</v>
      </c>
      <c r="AC162" s="172">
        <v>42996.328472222223</v>
      </c>
      <c r="AD162" s="32" t="s">
        <v>552</v>
      </c>
    </row>
    <row r="163" spans="1:30">
      <c r="A163" s="184">
        <v>162</v>
      </c>
      <c r="B163" s="184" t="s">
        <v>935</v>
      </c>
      <c r="C163" s="184" t="s">
        <v>598</v>
      </c>
      <c r="D163" s="127">
        <v>42907</v>
      </c>
      <c r="E163" s="127" t="s">
        <v>598</v>
      </c>
      <c r="F163" s="184" t="s">
        <v>85</v>
      </c>
      <c r="G163" s="185">
        <v>0</v>
      </c>
      <c r="H163" s="184" t="s">
        <v>598</v>
      </c>
      <c r="I163" s="184" t="s">
        <v>122</v>
      </c>
      <c r="J163" s="184" t="s">
        <v>84</v>
      </c>
      <c r="K163" s="184" t="s">
        <v>895</v>
      </c>
      <c r="L163" s="184" t="s">
        <v>598</v>
      </c>
      <c r="M163" s="184" t="s">
        <v>598</v>
      </c>
      <c r="N163" s="184" t="s">
        <v>63</v>
      </c>
      <c r="O163" s="184" t="s">
        <v>598</v>
      </c>
      <c r="P163" s="186" t="s">
        <v>67</v>
      </c>
      <c r="Q163" s="184" t="s">
        <v>598</v>
      </c>
      <c r="R163" s="184" t="s">
        <v>598</v>
      </c>
      <c r="S163" s="127" t="s">
        <v>598</v>
      </c>
      <c r="T163" s="184" t="s">
        <v>598</v>
      </c>
      <c r="U163" s="184" t="s">
        <v>598</v>
      </c>
      <c r="V163" s="185">
        <v>0</v>
      </c>
      <c r="W163" s="184" t="s">
        <v>89</v>
      </c>
      <c r="X163" s="184" t="s">
        <v>598</v>
      </c>
      <c r="Y163" s="185">
        <v>0</v>
      </c>
      <c r="Z163" s="184" t="s">
        <v>598</v>
      </c>
      <c r="AA163" s="21" t="s">
        <v>822</v>
      </c>
      <c r="AB163" s="176" t="s">
        <v>489</v>
      </c>
      <c r="AC163" s="172">
        <v>42996.328472222223</v>
      </c>
      <c r="AD163" s="32" t="s">
        <v>552</v>
      </c>
    </row>
    <row r="164" spans="1:30">
      <c r="A164" s="184">
        <v>163</v>
      </c>
      <c r="B164" s="184" t="s">
        <v>936</v>
      </c>
      <c r="C164" s="184" t="s">
        <v>598</v>
      </c>
      <c r="D164" s="127">
        <v>42907</v>
      </c>
      <c r="E164" s="127" t="s">
        <v>598</v>
      </c>
      <c r="F164" s="184" t="s">
        <v>937</v>
      </c>
      <c r="G164" s="185">
        <v>0</v>
      </c>
      <c r="H164" s="184" t="s">
        <v>598</v>
      </c>
      <c r="I164" s="184" t="s">
        <v>134</v>
      </c>
      <c r="J164" s="184" t="s">
        <v>84</v>
      </c>
      <c r="K164" s="184" t="s">
        <v>219</v>
      </c>
      <c r="L164" s="184" t="s">
        <v>598</v>
      </c>
      <c r="M164" s="184" t="s">
        <v>598</v>
      </c>
      <c r="N164" s="184" t="s">
        <v>63</v>
      </c>
      <c r="O164" s="184" t="s">
        <v>86</v>
      </c>
      <c r="P164" s="186" t="s">
        <v>602</v>
      </c>
      <c r="Q164" s="184" t="s">
        <v>598</v>
      </c>
      <c r="R164" s="184" t="s">
        <v>598</v>
      </c>
      <c r="S164" s="127" t="s">
        <v>598</v>
      </c>
      <c r="T164" s="184" t="s">
        <v>598</v>
      </c>
      <c r="U164" s="184" t="s">
        <v>598</v>
      </c>
      <c r="V164" s="185">
        <v>0</v>
      </c>
      <c r="W164" s="184" t="s">
        <v>89</v>
      </c>
      <c r="X164" s="184" t="s">
        <v>598</v>
      </c>
      <c r="Y164" s="185">
        <v>0</v>
      </c>
      <c r="Z164" s="184" t="s">
        <v>598</v>
      </c>
      <c r="AA164" s="21" t="s">
        <v>822</v>
      </c>
      <c r="AB164" s="176" t="s">
        <v>489</v>
      </c>
      <c r="AC164" s="172">
        <v>42996.328472222223</v>
      </c>
      <c r="AD164" s="32" t="s">
        <v>552</v>
      </c>
    </row>
    <row r="165" spans="1:30">
      <c r="A165" s="184">
        <v>164</v>
      </c>
      <c r="B165" s="184" t="s">
        <v>938</v>
      </c>
      <c r="C165" s="184" t="s">
        <v>598</v>
      </c>
      <c r="D165" s="127">
        <v>42907</v>
      </c>
      <c r="E165" s="127" t="s">
        <v>598</v>
      </c>
      <c r="F165" s="184" t="s">
        <v>939</v>
      </c>
      <c r="G165" s="185">
        <v>0</v>
      </c>
      <c r="H165" s="184" t="s">
        <v>598</v>
      </c>
      <c r="I165" s="184" t="s">
        <v>134</v>
      </c>
      <c r="J165" s="184" t="s">
        <v>84</v>
      </c>
      <c r="K165" s="184" t="s">
        <v>219</v>
      </c>
      <c r="L165" s="184" t="s">
        <v>598</v>
      </c>
      <c r="M165" s="184" t="s">
        <v>598</v>
      </c>
      <c r="N165" s="184" t="s">
        <v>63</v>
      </c>
      <c r="O165" s="184" t="s">
        <v>86</v>
      </c>
      <c r="P165" s="186" t="s">
        <v>603</v>
      </c>
      <c r="Q165" s="184" t="s">
        <v>598</v>
      </c>
      <c r="R165" s="184" t="s">
        <v>598</v>
      </c>
      <c r="S165" s="127" t="s">
        <v>598</v>
      </c>
      <c r="T165" s="184" t="s">
        <v>598</v>
      </c>
      <c r="U165" s="184" t="s">
        <v>598</v>
      </c>
      <c r="V165" s="185">
        <v>0</v>
      </c>
      <c r="W165" s="184" t="s">
        <v>485</v>
      </c>
      <c r="X165" s="184" t="s">
        <v>598</v>
      </c>
      <c r="Y165" s="185">
        <v>0</v>
      </c>
      <c r="Z165" s="184" t="s">
        <v>598</v>
      </c>
      <c r="AA165" s="21" t="s">
        <v>610</v>
      </c>
      <c r="AB165" s="176" t="s">
        <v>489</v>
      </c>
      <c r="AC165" s="172">
        <v>42996.328472222223</v>
      </c>
      <c r="AD165" s="32" t="s">
        <v>552</v>
      </c>
    </row>
    <row r="166" spans="1:30">
      <c r="A166" s="184">
        <v>165</v>
      </c>
      <c r="B166" s="184" t="s">
        <v>940</v>
      </c>
      <c r="C166" s="184" t="s">
        <v>598</v>
      </c>
      <c r="D166" s="127">
        <v>42907</v>
      </c>
      <c r="E166" s="127" t="s">
        <v>598</v>
      </c>
      <c r="F166" s="184" t="s">
        <v>941</v>
      </c>
      <c r="G166" s="185">
        <v>0</v>
      </c>
      <c r="H166" s="184" t="s">
        <v>598</v>
      </c>
      <c r="I166" s="184" t="s">
        <v>120</v>
      </c>
      <c r="J166" s="184" t="s">
        <v>84</v>
      </c>
      <c r="K166" s="184" t="s">
        <v>220</v>
      </c>
      <c r="L166" s="184" t="s">
        <v>598</v>
      </c>
      <c r="M166" s="184" t="s">
        <v>598</v>
      </c>
      <c r="N166" s="184" t="s">
        <v>63</v>
      </c>
      <c r="O166" s="184" t="s">
        <v>86</v>
      </c>
      <c r="P166" s="186" t="s">
        <v>604</v>
      </c>
      <c r="Q166" s="184" t="s">
        <v>598</v>
      </c>
      <c r="R166" s="184" t="s">
        <v>598</v>
      </c>
      <c r="S166" s="127">
        <v>42907</v>
      </c>
      <c r="T166" s="184" t="s">
        <v>34</v>
      </c>
      <c r="U166" s="184" t="s">
        <v>598</v>
      </c>
      <c r="V166" s="185">
        <v>1000</v>
      </c>
      <c r="W166" s="184" t="s">
        <v>549</v>
      </c>
      <c r="X166" s="184" t="s">
        <v>598</v>
      </c>
      <c r="Y166" s="185">
        <v>0</v>
      </c>
      <c r="Z166" s="184" t="s">
        <v>493</v>
      </c>
      <c r="AA166" s="21" t="s">
        <v>822</v>
      </c>
      <c r="AB166" s="176" t="s">
        <v>489</v>
      </c>
      <c r="AC166" s="172">
        <v>42996.328472222223</v>
      </c>
      <c r="AD166" s="32" t="s">
        <v>552</v>
      </c>
    </row>
    <row r="167" spans="1:30">
      <c r="A167" s="184">
        <v>166</v>
      </c>
      <c r="B167" s="184" t="s">
        <v>942</v>
      </c>
      <c r="C167" s="184" t="s">
        <v>598</v>
      </c>
      <c r="D167" s="127">
        <v>42907</v>
      </c>
      <c r="E167" s="127" t="s">
        <v>598</v>
      </c>
      <c r="F167" s="184" t="s">
        <v>943</v>
      </c>
      <c r="G167" s="185">
        <v>0</v>
      </c>
      <c r="H167" s="184" t="s">
        <v>598</v>
      </c>
      <c r="I167" s="184" t="s">
        <v>134</v>
      </c>
      <c r="J167" s="184" t="s">
        <v>84</v>
      </c>
      <c r="K167" s="184" t="s">
        <v>944</v>
      </c>
      <c r="L167" s="184" t="s">
        <v>598</v>
      </c>
      <c r="M167" s="184" t="s">
        <v>598</v>
      </c>
      <c r="N167" s="184" t="s">
        <v>63</v>
      </c>
      <c r="O167" s="184" t="s">
        <v>86</v>
      </c>
      <c r="P167" s="186" t="s">
        <v>605</v>
      </c>
      <c r="Q167" s="184" t="s">
        <v>598</v>
      </c>
      <c r="R167" s="184" t="s">
        <v>598</v>
      </c>
      <c r="S167" s="127">
        <v>42907</v>
      </c>
      <c r="T167" s="184" t="s">
        <v>34</v>
      </c>
      <c r="U167" s="184" t="s">
        <v>598</v>
      </c>
      <c r="V167" s="185">
        <v>4500</v>
      </c>
      <c r="W167" s="184" t="s">
        <v>493</v>
      </c>
      <c r="X167" s="184" t="s">
        <v>598</v>
      </c>
      <c r="Y167" s="185">
        <v>0</v>
      </c>
      <c r="Z167" s="184" t="s">
        <v>598</v>
      </c>
      <c r="AA167" s="21" t="s">
        <v>610</v>
      </c>
      <c r="AB167" s="176" t="s">
        <v>489</v>
      </c>
      <c r="AC167" s="172">
        <v>42996.328472222223</v>
      </c>
      <c r="AD167" s="32" t="s">
        <v>552</v>
      </c>
    </row>
    <row r="168" spans="1:30">
      <c r="A168" s="184">
        <v>167</v>
      </c>
      <c r="B168" s="184" t="s">
        <v>945</v>
      </c>
      <c r="C168" s="184" t="s">
        <v>598</v>
      </c>
      <c r="D168" s="127">
        <v>42908</v>
      </c>
      <c r="E168" s="127" t="s">
        <v>598</v>
      </c>
      <c r="F168" s="184" t="s">
        <v>946</v>
      </c>
      <c r="G168" s="185">
        <v>0</v>
      </c>
      <c r="H168" s="184" t="s">
        <v>598</v>
      </c>
      <c r="I168" s="184" t="s">
        <v>132</v>
      </c>
      <c r="J168" s="184" t="s">
        <v>84</v>
      </c>
      <c r="K168" s="184" t="s">
        <v>191</v>
      </c>
      <c r="L168" s="184" t="s">
        <v>598</v>
      </c>
      <c r="M168" s="184" t="s">
        <v>598</v>
      </c>
      <c r="N168" s="184" t="s">
        <v>63</v>
      </c>
      <c r="O168" s="184" t="s">
        <v>63</v>
      </c>
      <c r="P168" s="186" t="s">
        <v>606</v>
      </c>
      <c r="Q168" s="184" t="s">
        <v>598</v>
      </c>
      <c r="R168" s="184" t="s">
        <v>598</v>
      </c>
      <c r="S168" s="127">
        <v>42908</v>
      </c>
      <c r="T168" s="184" t="s">
        <v>34</v>
      </c>
      <c r="U168" s="184" t="s">
        <v>598</v>
      </c>
      <c r="V168" s="185">
        <v>3000</v>
      </c>
      <c r="W168" s="184" t="s">
        <v>493</v>
      </c>
      <c r="X168" s="184" t="s">
        <v>598</v>
      </c>
      <c r="Y168" s="185">
        <v>0</v>
      </c>
      <c r="Z168" s="184" t="s">
        <v>598</v>
      </c>
      <c r="AA168" s="21" t="s">
        <v>610</v>
      </c>
      <c r="AB168" s="176" t="s">
        <v>489</v>
      </c>
      <c r="AC168" s="172">
        <v>42996.328472222223</v>
      </c>
      <c r="AD168" s="32" t="s">
        <v>552</v>
      </c>
    </row>
    <row r="169" spans="1:30">
      <c r="A169" s="184">
        <v>168</v>
      </c>
      <c r="B169" s="184" t="s">
        <v>947</v>
      </c>
      <c r="C169" s="184" t="s">
        <v>598</v>
      </c>
      <c r="D169" s="127">
        <v>42908</v>
      </c>
      <c r="E169" s="127" t="s">
        <v>598</v>
      </c>
      <c r="F169" s="184" t="s">
        <v>948</v>
      </c>
      <c r="G169" s="185">
        <v>0</v>
      </c>
      <c r="H169" s="184" t="s">
        <v>598</v>
      </c>
      <c r="I169" s="184" t="s">
        <v>134</v>
      </c>
      <c r="J169" s="184" t="s">
        <v>84</v>
      </c>
      <c r="K169" s="184" t="s">
        <v>218</v>
      </c>
      <c r="L169" s="184" t="s">
        <v>598</v>
      </c>
      <c r="M169" s="184" t="s">
        <v>598</v>
      </c>
      <c r="N169" s="184" t="s">
        <v>63</v>
      </c>
      <c r="O169" s="184" t="s">
        <v>86</v>
      </c>
      <c r="P169" s="186" t="s">
        <v>607</v>
      </c>
      <c r="Q169" s="184" t="s">
        <v>598</v>
      </c>
      <c r="R169" s="184" t="s">
        <v>598</v>
      </c>
      <c r="S169" s="127">
        <v>42915</v>
      </c>
      <c r="T169" s="184" t="s">
        <v>34</v>
      </c>
      <c r="U169" s="184" t="s">
        <v>598</v>
      </c>
      <c r="V169" s="185">
        <v>3000</v>
      </c>
      <c r="W169" s="184" t="s">
        <v>493</v>
      </c>
      <c r="X169" s="184" t="s">
        <v>598</v>
      </c>
      <c r="Y169" s="185">
        <v>0</v>
      </c>
      <c r="Z169" s="184" t="s">
        <v>598</v>
      </c>
      <c r="AA169" s="21" t="s">
        <v>610</v>
      </c>
      <c r="AB169" s="176" t="s">
        <v>489</v>
      </c>
      <c r="AC169" s="172">
        <v>42996.328472222223</v>
      </c>
      <c r="AD169" s="32" t="s">
        <v>552</v>
      </c>
    </row>
    <row r="170" spans="1:30">
      <c r="A170" s="184">
        <v>169</v>
      </c>
      <c r="B170" s="184" t="s">
        <v>949</v>
      </c>
      <c r="C170" s="184" t="s">
        <v>598</v>
      </c>
      <c r="D170" s="127">
        <v>42908</v>
      </c>
      <c r="E170" s="127" t="s">
        <v>598</v>
      </c>
      <c r="F170" s="184" t="s">
        <v>950</v>
      </c>
      <c r="G170" s="185">
        <v>0</v>
      </c>
      <c r="H170" s="184" t="s">
        <v>598</v>
      </c>
      <c r="I170" s="184" t="s">
        <v>598</v>
      </c>
      <c r="J170" s="184" t="s">
        <v>84</v>
      </c>
      <c r="K170" s="184" t="s">
        <v>195</v>
      </c>
      <c r="L170" s="184" t="s">
        <v>598</v>
      </c>
      <c r="M170" s="184" t="s">
        <v>598</v>
      </c>
      <c r="N170" s="184" t="s">
        <v>63</v>
      </c>
      <c r="O170" s="184" t="s">
        <v>86</v>
      </c>
      <c r="P170" s="186" t="s">
        <v>73</v>
      </c>
      <c r="Q170" s="184" t="s">
        <v>598</v>
      </c>
      <c r="R170" s="184" t="s">
        <v>598</v>
      </c>
      <c r="S170" s="127">
        <v>42910</v>
      </c>
      <c r="T170" s="184" t="s">
        <v>34</v>
      </c>
      <c r="U170" s="184" t="s">
        <v>598</v>
      </c>
      <c r="V170" s="185">
        <v>1000</v>
      </c>
      <c r="W170" s="184" t="s">
        <v>549</v>
      </c>
      <c r="X170" s="184" t="s">
        <v>598</v>
      </c>
      <c r="Y170" s="185">
        <v>0</v>
      </c>
      <c r="Z170" s="184" t="s">
        <v>493</v>
      </c>
      <c r="AA170" s="21" t="s">
        <v>822</v>
      </c>
      <c r="AB170" s="176" t="s">
        <v>489</v>
      </c>
      <c r="AC170" s="172">
        <v>42996.328472222223</v>
      </c>
      <c r="AD170" s="32" t="s">
        <v>552</v>
      </c>
    </row>
    <row r="171" spans="1:30">
      <c r="A171" s="184">
        <v>170</v>
      </c>
      <c r="B171" s="184" t="s">
        <v>951</v>
      </c>
      <c r="C171" s="184" t="s">
        <v>598</v>
      </c>
      <c r="D171" s="127">
        <v>42908</v>
      </c>
      <c r="E171" s="127" t="s">
        <v>598</v>
      </c>
      <c r="F171" s="184" t="s">
        <v>112</v>
      </c>
      <c r="G171" s="185">
        <v>0</v>
      </c>
      <c r="H171" s="184" t="s">
        <v>598</v>
      </c>
      <c r="I171" s="184" t="s">
        <v>598</v>
      </c>
      <c r="J171" s="184" t="s">
        <v>84</v>
      </c>
      <c r="K171" s="184" t="s">
        <v>221</v>
      </c>
      <c r="L171" s="184" t="s">
        <v>598</v>
      </c>
      <c r="M171" s="184" t="s">
        <v>598</v>
      </c>
      <c r="N171" s="184" t="s">
        <v>63</v>
      </c>
      <c r="O171" s="184" t="s">
        <v>86</v>
      </c>
      <c r="P171" s="186" t="s">
        <v>601</v>
      </c>
      <c r="Q171" s="184" t="s">
        <v>598</v>
      </c>
      <c r="R171" s="184" t="s">
        <v>598</v>
      </c>
      <c r="S171" s="127" t="s">
        <v>598</v>
      </c>
      <c r="T171" s="184" t="s">
        <v>598</v>
      </c>
      <c r="U171" s="184" t="s">
        <v>598</v>
      </c>
      <c r="V171" s="185">
        <v>0</v>
      </c>
      <c r="W171" s="184" t="s">
        <v>89</v>
      </c>
      <c r="X171" s="184" t="s">
        <v>598</v>
      </c>
      <c r="Y171" s="185">
        <v>0</v>
      </c>
      <c r="Z171" s="184" t="s">
        <v>598</v>
      </c>
      <c r="AA171" s="21" t="s">
        <v>822</v>
      </c>
      <c r="AB171" s="176" t="s">
        <v>489</v>
      </c>
      <c r="AC171" s="172">
        <v>42996.328472222223</v>
      </c>
      <c r="AD171" s="32" t="s">
        <v>552</v>
      </c>
    </row>
    <row r="172" spans="1:30">
      <c r="A172" s="184">
        <v>171</v>
      </c>
      <c r="B172" s="184" t="s">
        <v>952</v>
      </c>
      <c r="C172" s="184" t="s">
        <v>598</v>
      </c>
      <c r="D172" s="127">
        <v>42908</v>
      </c>
      <c r="E172" s="127" t="s">
        <v>598</v>
      </c>
      <c r="F172" s="184" t="s">
        <v>953</v>
      </c>
      <c r="G172" s="185">
        <v>0</v>
      </c>
      <c r="H172" s="184" t="s">
        <v>598</v>
      </c>
      <c r="I172" s="184" t="s">
        <v>132</v>
      </c>
      <c r="J172" s="184" t="s">
        <v>84</v>
      </c>
      <c r="K172" s="184" t="s">
        <v>222</v>
      </c>
      <c r="L172" s="184" t="s">
        <v>598</v>
      </c>
      <c r="M172" s="184" t="s">
        <v>598</v>
      </c>
      <c r="N172" s="184" t="s">
        <v>63</v>
      </c>
      <c r="O172" s="184" t="s">
        <v>63</v>
      </c>
      <c r="P172" s="186" t="s">
        <v>32</v>
      </c>
      <c r="Q172" s="184" t="s">
        <v>598</v>
      </c>
      <c r="R172" s="184" t="s">
        <v>598</v>
      </c>
      <c r="S172" s="127">
        <v>42910</v>
      </c>
      <c r="T172" s="184" t="s">
        <v>34</v>
      </c>
      <c r="U172" s="184" t="s">
        <v>598</v>
      </c>
      <c r="V172" s="185">
        <v>3000</v>
      </c>
      <c r="W172" s="184" t="s">
        <v>493</v>
      </c>
      <c r="X172" s="184" t="s">
        <v>598</v>
      </c>
      <c r="Y172" s="185">
        <v>0</v>
      </c>
      <c r="Z172" s="184" t="s">
        <v>598</v>
      </c>
      <c r="AA172" s="21" t="s">
        <v>610</v>
      </c>
      <c r="AB172" s="176" t="s">
        <v>489</v>
      </c>
      <c r="AC172" s="172">
        <v>42996.328472222223</v>
      </c>
      <c r="AD172" s="32" t="s">
        <v>552</v>
      </c>
    </row>
    <row r="173" spans="1:30">
      <c r="A173" s="184">
        <v>172</v>
      </c>
      <c r="B173" s="184" t="s">
        <v>954</v>
      </c>
      <c r="C173" s="184" t="s">
        <v>598</v>
      </c>
      <c r="D173" s="127">
        <v>42909</v>
      </c>
      <c r="E173" s="127" t="s">
        <v>598</v>
      </c>
      <c r="F173" s="184" t="s">
        <v>955</v>
      </c>
      <c r="G173" s="185">
        <v>0</v>
      </c>
      <c r="H173" s="184" t="s">
        <v>598</v>
      </c>
      <c r="I173" s="184" t="s">
        <v>598</v>
      </c>
      <c r="J173" s="184" t="s">
        <v>84</v>
      </c>
      <c r="K173" s="184" t="s">
        <v>223</v>
      </c>
      <c r="L173" s="184" t="s">
        <v>598</v>
      </c>
      <c r="M173" s="184" t="s">
        <v>598</v>
      </c>
      <c r="N173" s="184" t="s">
        <v>63</v>
      </c>
      <c r="O173" s="184" t="s">
        <v>86</v>
      </c>
      <c r="P173" s="186" t="s">
        <v>53</v>
      </c>
      <c r="Q173" s="184" t="s">
        <v>598</v>
      </c>
      <c r="R173" s="184" t="s">
        <v>598</v>
      </c>
      <c r="S173" s="127" t="s">
        <v>598</v>
      </c>
      <c r="T173" s="184" t="s">
        <v>598</v>
      </c>
      <c r="U173" s="184" t="s">
        <v>598</v>
      </c>
      <c r="V173" s="185">
        <v>0</v>
      </c>
      <c r="W173" s="184" t="s">
        <v>485</v>
      </c>
      <c r="X173" s="184" t="s">
        <v>598</v>
      </c>
      <c r="Y173" s="185">
        <v>0</v>
      </c>
      <c r="Z173" s="184" t="s">
        <v>598</v>
      </c>
      <c r="AA173" s="21" t="s">
        <v>610</v>
      </c>
      <c r="AB173" s="176" t="s">
        <v>489</v>
      </c>
      <c r="AC173" s="172">
        <v>42996.328472222223</v>
      </c>
      <c r="AD173" s="32" t="s">
        <v>552</v>
      </c>
    </row>
    <row r="174" spans="1:30">
      <c r="A174" s="184">
        <v>173</v>
      </c>
      <c r="B174" s="184" t="s">
        <v>956</v>
      </c>
      <c r="C174" s="184" t="s">
        <v>598</v>
      </c>
      <c r="D174" s="127">
        <v>42909</v>
      </c>
      <c r="E174" s="127" t="s">
        <v>598</v>
      </c>
      <c r="F174" s="184" t="s">
        <v>957</v>
      </c>
      <c r="G174" s="185">
        <v>0</v>
      </c>
      <c r="H174" s="184" t="s">
        <v>598</v>
      </c>
      <c r="I174" s="184" t="s">
        <v>120</v>
      </c>
      <c r="J174" s="184" t="s">
        <v>84</v>
      </c>
      <c r="K174" s="184" t="s">
        <v>205</v>
      </c>
      <c r="L174" s="184" t="s">
        <v>598</v>
      </c>
      <c r="M174" s="184" t="s">
        <v>598</v>
      </c>
      <c r="N174" s="184" t="s">
        <v>63</v>
      </c>
      <c r="O174" s="184" t="s">
        <v>86</v>
      </c>
      <c r="P174" s="186" t="s">
        <v>44</v>
      </c>
      <c r="Q174" s="184" t="s">
        <v>598</v>
      </c>
      <c r="R174" s="184" t="s">
        <v>598</v>
      </c>
      <c r="S174" s="127" t="s">
        <v>598</v>
      </c>
      <c r="T174" s="184" t="s">
        <v>598</v>
      </c>
      <c r="U174" s="184" t="s">
        <v>598</v>
      </c>
      <c r="V174" s="185">
        <v>0</v>
      </c>
      <c r="W174" s="184" t="s">
        <v>89</v>
      </c>
      <c r="X174" s="184" t="s">
        <v>598</v>
      </c>
      <c r="Y174" s="185">
        <v>0</v>
      </c>
      <c r="Z174" s="184" t="s">
        <v>598</v>
      </c>
      <c r="AA174" s="21" t="s">
        <v>822</v>
      </c>
      <c r="AB174" s="176" t="s">
        <v>489</v>
      </c>
      <c r="AC174" s="172">
        <v>42996.328472222223</v>
      </c>
      <c r="AD174" s="32" t="s">
        <v>552</v>
      </c>
    </row>
    <row r="175" spans="1:30">
      <c r="A175" s="184">
        <v>174</v>
      </c>
      <c r="B175" s="184" t="s">
        <v>958</v>
      </c>
      <c r="C175" s="184" t="s">
        <v>598</v>
      </c>
      <c r="D175" s="127">
        <v>42909</v>
      </c>
      <c r="E175" s="127" t="s">
        <v>598</v>
      </c>
      <c r="F175" s="184" t="s">
        <v>959</v>
      </c>
      <c r="G175" s="185">
        <v>0</v>
      </c>
      <c r="H175" s="184" t="s">
        <v>598</v>
      </c>
      <c r="I175" s="184" t="s">
        <v>598</v>
      </c>
      <c r="J175" s="184" t="s">
        <v>84</v>
      </c>
      <c r="K175" s="184" t="s">
        <v>214</v>
      </c>
      <c r="L175" s="184" t="s">
        <v>598</v>
      </c>
      <c r="M175" s="184" t="s">
        <v>598</v>
      </c>
      <c r="N175" s="184" t="s">
        <v>63</v>
      </c>
      <c r="O175" s="184" t="s">
        <v>63</v>
      </c>
      <c r="P175" s="186" t="s">
        <v>67</v>
      </c>
      <c r="Q175" s="184" t="s">
        <v>598</v>
      </c>
      <c r="R175" s="184" t="s">
        <v>598</v>
      </c>
      <c r="S175" s="127" t="s">
        <v>598</v>
      </c>
      <c r="T175" s="184" t="s">
        <v>598</v>
      </c>
      <c r="U175" s="184" t="s">
        <v>598</v>
      </c>
      <c r="V175" s="185">
        <v>0</v>
      </c>
      <c r="W175" s="184" t="s">
        <v>89</v>
      </c>
      <c r="X175" s="184" t="s">
        <v>598</v>
      </c>
      <c r="Y175" s="185">
        <v>0</v>
      </c>
      <c r="Z175" s="184" t="s">
        <v>598</v>
      </c>
      <c r="AA175" s="21" t="s">
        <v>822</v>
      </c>
      <c r="AB175" s="176" t="s">
        <v>489</v>
      </c>
      <c r="AC175" s="172">
        <v>42996.328472222223</v>
      </c>
      <c r="AD175" s="32" t="s">
        <v>552</v>
      </c>
    </row>
    <row r="176" spans="1:30">
      <c r="A176" s="184">
        <v>175</v>
      </c>
      <c r="B176" s="184" t="s">
        <v>960</v>
      </c>
      <c r="C176" s="184" t="s">
        <v>598</v>
      </c>
      <c r="D176" s="127">
        <v>42909</v>
      </c>
      <c r="E176" s="127" t="s">
        <v>598</v>
      </c>
      <c r="F176" s="184" t="s">
        <v>85</v>
      </c>
      <c r="G176" s="185">
        <v>0</v>
      </c>
      <c r="H176" s="184" t="s">
        <v>598</v>
      </c>
      <c r="I176" s="184" t="s">
        <v>134</v>
      </c>
      <c r="J176" s="184" t="s">
        <v>84</v>
      </c>
      <c r="K176" s="184" t="s">
        <v>224</v>
      </c>
      <c r="L176" s="184" t="s">
        <v>598</v>
      </c>
      <c r="M176" s="184" t="s">
        <v>598</v>
      </c>
      <c r="N176" s="184" t="s">
        <v>63</v>
      </c>
      <c r="O176" s="184" t="s">
        <v>86</v>
      </c>
      <c r="P176" s="186" t="s">
        <v>602</v>
      </c>
      <c r="Q176" s="184" t="s">
        <v>598</v>
      </c>
      <c r="R176" s="184" t="s">
        <v>598</v>
      </c>
      <c r="S176" s="127">
        <v>42910</v>
      </c>
      <c r="T176" s="184" t="s">
        <v>34</v>
      </c>
      <c r="U176" s="184" t="s">
        <v>598</v>
      </c>
      <c r="V176" s="185">
        <v>3000</v>
      </c>
      <c r="W176" s="184" t="s">
        <v>493</v>
      </c>
      <c r="X176" s="184" t="s">
        <v>598</v>
      </c>
      <c r="Y176" s="185">
        <v>0</v>
      </c>
      <c r="Z176" s="184" t="s">
        <v>598</v>
      </c>
      <c r="AA176" s="21" t="s">
        <v>610</v>
      </c>
      <c r="AB176" s="176" t="s">
        <v>489</v>
      </c>
      <c r="AC176" s="172">
        <v>42996.328472222223</v>
      </c>
      <c r="AD176" s="32" t="s">
        <v>552</v>
      </c>
    </row>
    <row r="177" spans="1:30">
      <c r="A177" s="184">
        <v>176</v>
      </c>
      <c r="B177" s="184" t="s">
        <v>961</v>
      </c>
      <c r="C177" s="184" t="s">
        <v>598</v>
      </c>
      <c r="D177" s="127">
        <v>42912</v>
      </c>
      <c r="E177" s="127" t="s">
        <v>598</v>
      </c>
      <c r="F177" s="184" t="s">
        <v>962</v>
      </c>
      <c r="G177" s="185">
        <v>0</v>
      </c>
      <c r="H177" s="184" t="s">
        <v>598</v>
      </c>
      <c r="I177" s="184" t="s">
        <v>134</v>
      </c>
      <c r="J177" s="184" t="s">
        <v>84</v>
      </c>
      <c r="K177" s="184" t="s">
        <v>191</v>
      </c>
      <c r="L177" s="184" t="s">
        <v>598</v>
      </c>
      <c r="M177" s="184" t="s">
        <v>598</v>
      </c>
      <c r="N177" s="184" t="s">
        <v>63</v>
      </c>
      <c r="O177" s="184" t="s">
        <v>63</v>
      </c>
      <c r="P177" s="186" t="s">
        <v>603</v>
      </c>
      <c r="Q177" s="184" t="s">
        <v>598</v>
      </c>
      <c r="R177" s="184" t="s">
        <v>598</v>
      </c>
      <c r="S177" s="127" t="s">
        <v>598</v>
      </c>
      <c r="T177" s="184" t="s">
        <v>598</v>
      </c>
      <c r="U177" s="184" t="s">
        <v>598</v>
      </c>
      <c r="V177" s="185">
        <v>0</v>
      </c>
      <c r="W177" s="184" t="s">
        <v>485</v>
      </c>
      <c r="X177" s="184" t="s">
        <v>598</v>
      </c>
      <c r="Y177" s="185">
        <v>0</v>
      </c>
      <c r="Z177" s="184" t="s">
        <v>598</v>
      </c>
      <c r="AA177" s="21" t="s">
        <v>610</v>
      </c>
      <c r="AB177" s="176" t="s">
        <v>489</v>
      </c>
      <c r="AC177" s="172">
        <v>42996.328472222223</v>
      </c>
      <c r="AD177" s="32" t="s">
        <v>552</v>
      </c>
    </row>
    <row r="178" spans="1:30">
      <c r="A178" s="184">
        <v>177</v>
      </c>
      <c r="B178" s="184" t="s">
        <v>963</v>
      </c>
      <c r="C178" s="184" t="s">
        <v>598</v>
      </c>
      <c r="D178" s="127">
        <v>42913</v>
      </c>
      <c r="E178" s="127" t="s">
        <v>598</v>
      </c>
      <c r="F178" s="184" t="s">
        <v>964</v>
      </c>
      <c r="G178" s="185">
        <v>0</v>
      </c>
      <c r="H178" s="184" t="s">
        <v>598</v>
      </c>
      <c r="I178" s="184" t="s">
        <v>134</v>
      </c>
      <c r="J178" s="184" t="s">
        <v>84</v>
      </c>
      <c r="K178" s="184" t="s">
        <v>225</v>
      </c>
      <c r="L178" s="184" t="s">
        <v>598</v>
      </c>
      <c r="M178" s="184" t="s">
        <v>598</v>
      </c>
      <c r="N178" s="184" t="s">
        <v>63</v>
      </c>
      <c r="O178" s="184" t="s">
        <v>63</v>
      </c>
      <c r="P178" s="186" t="s">
        <v>604</v>
      </c>
      <c r="Q178" s="184" t="s">
        <v>598</v>
      </c>
      <c r="R178" s="184" t="s">
        <v>598</v>
      </c>
      <c r="S178" s="127" t="s">
        <v>598</v>
      </c>
      <c r="T178" s="184" t="s">
        <v>598</v>
      </c>
      <c r="U178" s="184" t="s">
        <v>598</v>
      </c>
      <c r="V178" s="185">
        <v>0</v>
      </c>
      <c r="W178" s="184" t="s">
        <v>827</v>
      </c>
      <c r="X178" s="184" t="s">
        <v>598</v>
      </c>
      <c r="Y178" s="185">
        <v>0</v>
      </c>
      <c r="Z178" s="184" t="s">
        <v>598</v>
      </c>
      <c r="AA178" s="21" t="s">
        <v>610</v>
      </c>
      <c r="AB178" s="176" t="s">
        <v>489</v>
      </c>
      <c r="AC178" s="172">
        <v>42996.328472222223</v>
      </c>
      <c r="AD178" s="32" t="s">
        <v>552</v>
      </c>
    </row>
    <row r="179" spans="1:30">
      <c r="A179" s="184">
        <v>178</v>
      </c>
      <c r="B179" s="184" t="s">
        <v>965</v>
      </c>
      <c r="C179" s="184" t="s">
        <v>598</v>
      </c>
      <c r="D179" s="127">
        <v>42912</v>
      </c>
      <c r="E179" s="127" t="s">
        <v>598</v>
      </c>
      <c r="F179" s="184" t="s">
        <v>966</v>
      </c>
      <c r="G179" s="185">
        <v>0</v>
      </c>
      <c r="H179" s="184" t="s">
        <v>598</v>
      </c>
      <c r="I179" s="184" t="s">
        <v>134</v>
      </c>
      <c r="J179" s="184" t="s">
        <v>84</v>
      </c>
      <c r="K179" s="184" t="s">
        <v>598</v>
      </c>
      <c r="L179" s="184" t="s">
        <v>598</v>
      </c>
      <c r="M179" s="184" t="s">
        <v>598</v>
      </c>
      <c r="N179" s="184" t="s">
        <v>63</v>
      </c>
      <c r="O179" s="184" t="s">
        <v>63</v>
      </c>
      <c r="P179" s="186" t="s">
        <v>605</v>
      </c>
      <c r="Q179" s="184" t="s">
        <v>598</v>
      </c>
      <c r="R179" s="184" t="s">
        <v>598</v>
      </c>
      <c r="S179" s="127" t="s">
        <v>598</v>
      </c>
      <c r="T179" s="184" t="s">
        <v>598</v>
      </c>
      <c r="U179" s="184" t="s">
        <v>598</v>
      </c>
      <c r="V179" s="185">
        <v>0</v>
      </c>
      <c r="W179" s="184" t="s">
        <v>89</v>
      </c>
      <c r="X179" s="184" t="s">
        <v>598</v>
      </c>
      <c r="Y179" s="185">
        <v>0</v>
      </c>
      <c r="Z179" s="184" t="s">
        <v>598</v>
      </c>
      <c r="AA179" s="21" t="s">
        <v>822</v>
      </c>
      <c r="AB179" s="176" t="s">
        <v>489</v>
      </c>
      <c r="AC179" s="172">
        <v>42996.328472222223</v>
      </c>
      <c r="AD179" s="32" t="s">
        <v>552</v>
      </c>
    </row>
    <row r="180" spans="1:30">
      <c r="A180" s="184">
        <v>179</v>
      </c>
      <c r="B180" s="184" t="s">
        <v>967</v>
      </c>
      <c r="C180" s="184" t="s">
        <v>598</v>
      </c>
      <c r="D180" s="127">
        <v>42912</v>
      </c>
      <c r="E180" s="127" t="s">
        <v>598</v>
      </c>
      <c r="F180" s="184" t="s">
        <v>968</v>
      </c>
      <c r="G180" s="185">
        <v>0</v>
      </c>
      <c r="H180" s="184" t="s">
        <v>598</v>
      </c>
      <c r="I180" s="184" t="s">
        <v>134</v>
      </c>
      <c r="J180" s="184" t="s">
        <v>84</v>
      </c>
      <c r="K180" s="184" t="s">
        <v>226</v>
      </c>
      <c r="L180" s="184" t="s">
        <v>598</v>
      </c>
      <c r="M180" s="184" t="s">
        <v>598</v>
      </c>
      <c r="N180" s="184" t="s">
        <v>63</v>
      </c>
      <c r="O180" s="184" t="s">
        <v>86</v>
      </c>
      <c r="P180" s="186" t="s">
        <v>606</v>
      </c>
      <c r="Q180" s="184" t="s">
        <v>598</v>
      </c>
      <c r="R180" s="184" t="s">
        <v>598</v>
      </c>
      <c r="S180" s="127" t="s">
        <v>598</v>
      </c>
      <c r="T180" s="184" t="s">
        <v>598</v>
      </c>
      <c r="U180" s="184" t="s">
        <v>598</v>
      </c>
      <c r="V180" s="185">
        <v>0</v>
      </c>
      <c r="W180" s="184" t="s">
        <v>485</v>
      </c>
      <c r="X180" s="184" t="s">
        <v>598</v>
      </c>
      <c r="Y180" s="185">
        <v>0</v>
      </c>
      <c r="Z180" s="184" t="s">
        <v>598</v>
      </c>
      <c r="AA180" s="21" t="s">
        <v>610</v>
      </c>
      <c r="AB180" s="176" t="s">
        <v>489</v>
      </c>
      <c r="AC180" s="172">
        <v>42996.328472222223</v>
      </c>
      <c r="AD180" s="32" t="s">
        <v>552</v>
      </c>
    </row>
    <row r="181" spans="1:30">
      <c r="A181" s="184">
        <v>180</v>
      </c>
      <c r="B181" s="184" t="s">
        <v>969</v>
      </c>
      <c r="C181" s="184" t="s">
        <v>598</v>
      </c>
      <c r="D181" s="127">
        <v>42912</v>
      </c>
      <c r="E181" s="127" t="s">
        <v>598</v>
      </c>
      <c r="F181" s="184" t="s">
        <v>970</v>
      </c>
      <c r="G181" s="185">
        <v>0</v>
      </c>
      <c r="H181" s="184" t="s">
        <v>598</v>
      </c>
      <c r="I181" s="184" t="s">
        <v>598</v>
      </c>
      <c r="J181" s="184" t="s">
        <v>84</v>
      </c>
      <c r="K181" s="184" t="s">
        <v>195</v>
      </c>
      <c r="L181" s="184" t="s">
        <v>598</v>
      </c>
      <c r="M181" s="184" t="s">
        <v>598</v>
      </c>
      <c r="N181" s="184" t="s">
        <v>63</v>
      </c>
      <c r="O181" s="184" t="s">
        <v>86</v>
      </c>
      <c r="P181" s="186" t="s">
        <v>607</v>
      </c>
      <c r="Q181" s="184" t="s">
        <v>598</v>
      </c>
      <c r="R181" s="184" t="s">
        <v>598</v>
      </c>
      <c r="S181" s="127">
        <v>42916</v>
      </c>
      <c r="T181" s="184" t="s">
        <v>10</v>
      </c>
      <c r="U181" s="184" t="s">
        <v>598</v>
      </c>
      <c r="V181" s="185">
        <v>4000</v>
      </c>
      <c r="W181" s="184" t="s">
        <v>493</v>
      </c>
      <c r="X181" s="184" t="s">
        <v>598</v>
      </c>
      <c r="Y181" s="185">
        <v>0</v>
      </c>
      <c r="Z181" s="184" t="s">
        <v>598</v>
      </c>
      <c r="AA181" s="21" t="s">
        <v>610</v>
      </c>
      <c r="AB181" s="176" t="s">
        <v>489</v>
      </c>
      <c r="AC181" s="172">
        <v>42996.328472222223</v>
      </c>
      <c r="AD181" s="32" t="s">
        <v>552</v>
      </c>
    </row>
    <row r="182" spans="1:30">
      <c r="A182" s="184">
        <v>181</v>
      </c>
      <c r="B182" s="184" t="s">
        <v>971</v>
      </c>
      <c r="C182" s="184" t="s">
        <v>598</v>
      </c>
      <c r="D182" s="127">
        <v>42913</v>
      </c>
      <c r="E182" s="127" t="s">
        <v>598</v>
      </c>
      <c r="F182" s="184" t="s">
        <v>176</v>
      </c>
      <c r="G182" s="185">
        <v>0</v>
      </c>
      <c r="H182" s="184" t="s">
        <v>598</v>
      </c>
      <c r="I182" s="184" t="s">
        <v>598</v>
      </c>
      <c r="J182" s="184" t="s">
        <v>84</v>
      </c>
      <c r="K182" s="184" t="s">
        <v>227</v>
      </c>
      <c r="L182" s="184" t="s">
        <v>598</v>
      </c>
      <c r="M182" s="184" t="s">
        <v>598</v>
      </c>
      <c r="N182" s="184" t="s">
        <v>63</v>
      </c>
      <c r="O182" s="184" t="s">
        <v>598</v>
      </c>
      <c r="P182" s="186" t="s">
        <v>73</v>
      </c>
      <c r="Q182" s="184" t="s">
        <v>598</v>
      </c>
      <c r="R182" s="184" t="s">
        <v>598</v>
      </c>
      <c r="S182" s="127" t="s">
        <v>598</v>
      </c>
      <c r="T182" s="184" t="s">
        <v>598</v>
      </c>
      <c r="U182" s="184" t="s">
        <v>598</v>
      </c>
      <c r="V182" s="185">
        <v>0</v>
      </c>
      <c r="W182" s="184" t="s">
        <v>89</v>
      </c>
      <c r="X182" s="184" t="s">
        <v>598</v>
      </c>
      <c r="Y182" s="185">
        <v>0</v>
      </c>
      <c r="Z182" s="184" t="s">
        <v>598</v>
      </c>
      <c r="AA182" s="21" t="s">
        <v>822</v>
      </c>
      <c r="AB182" s="176" t="s">
        <v>489</v>
      </c>
      <c r="AC182" s="172">
        <v>42996.328472222223</v>
      </c>
      <c r="AD182" s="32" t="s">
        <v>552</v>
      </c>
    </row>
    <row r="183" spans="1:30">
      <c r="A183" s="184">
        <v>182</v>
      </c>
      <c r="B183" s="184" t="s">
        <v>972</v>
      </c>
      <c r="C183" s="184" t="s">
        <v>598</v>
      </c>
      <c r="D183" s="127">
        <v>42913</v>
      </c>
      <c r="E183" s="127" t="s">
        <v>598</v>
      </c>
      <c r="F183" s="184" t="s">
        <v>973</v>
      </c>
      <c r="G183" s="185">
        <v>0</v>
      </c>
      <c r="H183" s="184" t="s">
        <v>598</v>
      </c>
      <c r="I183" s="184" t="s">
        <v>598</v>
      </c>
      <c r="J183" s="184" t="s">
        <v>84</v>
      </c>
      <c r="K183" s="184" t="s">
        <v>227</v>
      </c>
      <c r="L183" s="184" t="s">
        <v>598</v>
      </c>
      <c r="M183" s="184" t="s">
        <v>598</v>
      </c>
      <c r="N183" s="184" t="s">
        <v>63</v>
      </c>
      <c r="O183" s="184" t="s">
        <v>598</v>
      </c>
      <c r="P183" s="186" t="s">
        <v>601</v>
      </c>
      <c r="Q183" s="184" t="s">
        <v>598</v>
      </c>
      <c r="R183" s="184" t="s">
        <v>598</v>
      </c>
      <c r="S183" s="127" t="s">
        <v>598</v>
      </c>
      <c r="T183" s="184" t="s">
        <v>598</v>
      </c>
      <c r="U183" s="184" t="s">
        <v>598</v>
      </c>
      <c r="V183" s="185">
        <v>0</v>
      </c>
      <c r="W183" s="184" t="s">
        <v>485</v>
      </c>
      <c r="X183" s="184" t="s">
        <v>598</v>
      </c>
      <c r="Y183" s="185">
        <v>0</v>
      </c>
      <c r="Z183" s="184" t="s">
        <v>598</v>
      </c>
      <c r="AA183" s="21" t="s">
        <v>610</v>
      </c>
      <c r="AB183" s="176" t="s">
        <v>489</v>
      </c>
      <c r="AC183" s="172">
        <v>42996.328472222223</v>
      </c>
      <c r="AD183" s="32" t="s">
        <v>552</v>
      </c>
    </row>
    <row r="184" spans="1:30">
      <c r="A184" s="184">
        <v>183</v>
      </c>
      <c r="B184" s="184" t="s">
        <v>974</v>
      </c>
      <c r="C184" s="184" t="s">
        <v>598</v>
      </c>
      <c r="D184" s="127">
        <v>42914</v>
      </c>
      <c r="E184" s="127" t="s">
        <v>598</v>
      </c>
      <c r="F184" s="184" t="s">
        <v>975</v>
      </c>
      <c r="G184" s="185">
        <v>0</v>
      </c>
      <c r="H184" s="184" t="s">
        <v>598</v>
      </c>
      <c r="I184" s="184" t="s">
        <v>598</v>
      </c>
      <c r="J184" s="184" t="s">
        <v>84</v>
      </c>
      <c r="K184" s="184" t="s">
        <v>209</v>
      </c>
      <c r="L184" s="184" t="s">
        <v>598</v>
      </c>
      <c r="M184" s="184" t="s">
        <v>598</v>
      </c>
      <c r="N184" s="184" t="s">
        <v>63</v>
      </c>
      <c r="O184" s="184" t="s">
        <v>598</v>
      </c>
      <c r="P184" s="186" t="s">
        <v>601</v>
      </c>
      <c r="Q184" s="184" t="s">
        <v>598</v>
      </c>
      <c r="R184" s="184" t="s">
        <v>598</v>
      </c>
      <c r="S184" s="127" t="s">
        <v>598</v>
      </c>
      <c r="T184" s="184" t="s">
        <v>598</v>
      </c>
      <c r="U184" s="184" t="s">
        <v>598</v>
      </c>
      <c r="V184" s="185">
        <v>0</v>
      </c>
      <c r="W184" s="184" t="s">
        <v>89</v>
      </c>
      <c r="X184" s="184" t="s">
        <v>598</v>
      </c>
      <c r="Y184" s="185">
        <v>0</v>
      </c>
      <c r="Z184" s="184" t="s">
        <v>598</v>
      </c>
      <c r="AA184" s="21" t="s">
        <v>822</v>
      </c>
      <c r="AB184" s="176" t="s">
        <v>489</v>
      </c>
      <c r="AC184" s="172">
        <v>42996.328472222223</v>
      </c>
      <c r="AD184" s="32" t="s">
        <v>552</v>
      </c>
    </row>
    <row r="185" spans="1:30">
      <c r="A185" s="184">
        <v>184</v>
      </c>
      <c r="B185" s="184" t="s">
        <v>976</v>
      </c>
      <c r="C185" s="184" t="s">
        <v>598</v>
      </c>
      <c r="D185" s="127">
        <v>42914</v>
      </c>
      <c r="E185" s="127" t="s">
        <v>598</v>
      </c>
      <c r="F185" s="184" t="s">
        <v>977</v>
      </c>
      <c r="G185" s="185">
        <v>0</v>
      </c>
      <c r="H185" s="184" t="s">
        <v>598</v>
      </c>
      <c r="I185" s="184" t="s">
        <v>134</v>
      </c>
      <c r="J185" s="184" t="s">
        <v>84</v>
      </c>
      <c r="K185" s="184" t="s">
        <v>228</v>
      </c>
      <c r="L185" s="184" t="s">
        <v>598</v>
      </c>
      <c r="M185" s="184" t="s">
        <v>598</v>
      </c>
      <c r="N185" s="184" t="s">
        <v>63</v>
      </c>
      <c r="O185" s="184" t="s">
        <v>598</v>
      </c>
      <c r="P185" s="186" t="s">
        <v>32</v>
      </c>
      <c r="Q185" s="184" t="s">
        <v>598</v>
      </c>
      <c r="R185" s="184" t="s">
        <v>598</v>
      </c>
      <c r="S185" s="127">
        <v>42915</v>
      </c>
      <c r="T185" s="184" t="s">
        <v>34</v>
      </c>
      <c r="U185" s="184" t="s">
        <v>598</v>
      </c>
      <c r="V185" s="185">
        <v>3000</v>
      </c>
      <c r="W185" s="184" t="s">
        <v>493</v>
      </c>
      <c r="X185" s="184" t="s">
        <v>598</v>
      </c>
      <c r="Y185" s="185">
        <v>0</v>
      </c>
      <c r="Z185" s="184" t="s">
        <v>598</v>
      </c>
      <c r="AA185" s="21" t="s">
        <v>610</v>
      </c>
      <c r="AB185" s="176" t="s">
        <v>489</v>
      </c>
      <c r="AC185" s="172">
        <v>42996.328472222223</v>
      </c>
      <c r="AD185" s="32" t="s">
        <v>552</v>
      </c>
    </row>
    <row r="186" spans="1:30">
      <c r="A186" s="184">
        <v>185</v>
      </c>
      <c r="B186" s="184" t="s">
        <v>978</v>
      </c>
      <c r="C186" s="184" t="s">
        <v>598</v>
      </c>
      <c r="D186" s="127">
        <v>42914</v>
      </c>
      <c r="E186" s="127" t="s">
        <v>598</v>
      </c>
      <c r="F186" s="184" t="s">
        <v>979</v>
      </c>
      <c r="G186" s="185">
        <v>0</v>
      </c>
      <c r="H186" s="184" t="s">
        <v>598</v>
      </c>
      <c r="I186" s="184" t="s">
        <v>598</v>
      </c>
      <c r="J186" s="184" t="s">
        <v>84</v>
      </c>
      <c r="K186" s="184" t="s">
        <v>191</v>
      </c>
      <c r="L186" s="184" t="s">
        <v>598</v>
      </c>
      <c r="M186" s="184" t="s">
        <v>598</v>
      </c>
      <c r="N186" s="184" t="s">
        <v>63</v>
      </c>
      <c r="O186" s="184" t="s">
        <v>598</v>
      </c>
      <c r="P186" s="186" t="s">
        <v>53</v>
      </c>
      <c r="Q186" s="184" t="s">
        <v>598</v>
      </c>
      <c r="R186" s="184" t="s">
        <v>598</v>
      </c>
      <c r="S186" s="127" t="s">
        <v>598</v>
      </c>
      <c r="T186" s="184" t="s">
        <v>598</v>
      </c>
      <c r="U186" s="184" t="s">
        <v>598</v>
      </c>
      <c r="V186" s="185">
        <v>0</v>
      </c>
      <c r="W186" s="184" t="s">
        <v>89</v>
      </c>
      <c r="X186" s="184" t="s">
        <v>598</v>
      </c>
      <c r="Y186" s="185">
        <v>0</v>
      </c>
      <c r="Z186" s="184" t="s">
        <v>598</v>
      </c>
      <c r="AA186" s="21" t="s">
        <v>822</v>
      </c>
      <c r="AB186" s="176" t="s">
        <v>489</v>
      </c>
      <c r="AC186" s="172">
        <v>42996.328472222223</v>
      </c>
      <c r="AD186" s="32" t="s">
        <v>552</v>
      </c>
    </row>
    <row r="187" spans="1:30">
      <c r="A187" s="184">
        <v>186</v>
      </c>
      <c r="B187" s="184" t="s">
        <v>980</v>
      </c>
      <c r="C187" s="184" t="s">
        <v>598</v>
      </c>
      <c r="D187" s="127">
        <v>42914</v>
      </c>
      <c r="E187" s="127" t="s">
        <v>598</v>
      </c>
      <c r="F187" s="184" t="s">
        <v>981</v>
      </c>
      <c r="G187" s="185">
        <v>0</v>
      </c>
      <c r="H187" s="184" t="s">
        <v>598</v>
      </c>
      <c r="I187" s="184" t="s">
        <v>134</v>
      </c>
      <c r="J187" s="184" t="s">
        <v>84</v>
      </c>
      <c r="K187" s="184" t="s">
        <v>217</v>
      </c>
      <c r="L187" s="184" t="s">
        <v>598</v>
      </c>
      <c r="M187" s="184" t="s">
        <v>598</v>
      </c>
      <c r="N187" s="184" t="s">
        <v>63</v>
      </c>
      <c r="O187" s="184" t="s">
        <v>598</v>
      </c>
      <c r="P187" s="186" t="s">
        <v>44</v>
      </c>
      <c r="Q187" s="184" t="s">
        <v>598</v>
      </c>
      <c r="R187" s="184" t="s">
        <v>598</v>
      </c>
      <c r="S187" s="127" t="s">
        <v>598</v>
      </c>
      <c r="T187" s="184" t="s">
        <v>598</v>
      </c>
      <c r="U187" s="184" t="s">
        <v>598</v>
      </c>
      <c r="V187" s="185">
        <v>0</v>
      </c>
      <c r="W187" s="184" t="s">
        <v>89</v>
      </c>
      <c r="X187" s="184" t="s">
        <v>598</v>
      </c>
      <c r="Y187" s="185">
        <v>0</v>
      </c>
      <c r="Z187" s="184" t="s">
        <v>598</v>
      </c>
      <c r="AA187" s="21" t="s">
        <v>822</v>
      </c>
      <c r="AB187" s="176" t="s">
        <v>489</v>
      </c>
      <c r="AC187" s="172">
        <v>42996.328472222223</v>
      </c>
      <c r="AD187" s="32" t="s">
        <v>552</v>
      </c>
    </row>
    <row r="188" spans="1:30">
      <c r="A188" s="184">
        <v>187</v>
      </c>
      <c r="B188" s="184" t="s">
        <v>982</v>
      </c>
      <c r="C188" s="184" t="s">
        <v>598</v>
      </c>
      <c r="D188" s="127">
        <v>42915</v>
      </c>
      <c r="E188" s="127" t="s">
        <v>598</v>
      </c>
      <c r="F188" s="184" t="s">
        <v>983</v>
      </c>
      <c r="G188" s="185">
        <v>0</v>
      </c>
      <c r="H188" s="184" t="s">
        <v>598</v>
      </c>
      <c r="I188" s="184" t="s">
        <v>598</v>
      </c>
      <c r="J188" s="184" t="s">
        <v>84</v>
      </c>
      <c r="K188" s="184" t="s">
        <v>196</v>
      </c>
      <c r="L188" s="184" t="s">
        <v>598</v>
      </c>
      <c r="M188" s="184" t="s">
        <v>598</v>
      </c>
      <c r="N188" s="184" t="s">
        <v>63</v>
      </c>
      <c r="O188" s="184" t="s">
        <v>598</v>
      </c>
      <c r="P188" s="186" t="s">
        <v>67</v>
      </c>
      <c r="Q188" s="184" t="s">
        <v>598</v>
      </c>
      <c r="R188" s="184" t="s">
        <v>598</v>
      </c>
      <c r="S188" s="127">
        <v>42916</v>
      </c>
      <c r="T188" s="184" t="s">
        <v>34</v>
      </c>
      <c r="U188" s="184" t="s">
        <v>598</v>
      </c>
      <c r="V188" s="185">
        <v>3000</v>
      </c>
      <c r="W188" s="184" t="s">
        <v>493</v>
      </c>
      <c r="X188" s="184" t="s">
        <v>598</v>
      </c>
      <c r="Y188" s="185">
        <v>0</v>
      </c>
      <c r="Z188" s="184" t="s">
        <v>598</v>
      </c>
      <c r="AA188" s="21" t="s">
        <v>610</v>
      </c>
      <c r="AB188" s="176" t="s">
        <v>489</v>
      </c>
      <c r="AC188" s="172">
        <v>42996.328472222223</v>
      </c>
      <c r="AD188" s="32" t="s">
        <v>552</v>
      </c>
    </row>
    <row r="189" spans="1:30">
      <c r="A189" s="184">
        <v>188</v>
      </c>
      <c r="B189" s="184" t="s">
        <v>984</v>
      </c>
      <c r="C189" s="184" t="s">
        <v>598</v>
      </c>
      <c r="D189" s="127">
        <v>42915</v>
      </c>
      <c r="E189" s="127" t="s">
        <v>598</v>
      </c>
      <c r="F189" s="184" t="s">
        <v>985</v>
      </c>
      <c r="G189" s="185">
        <v>0</v>
      </c>
      <c r="H189" s="184" t="s">
        <v>598</v>
      </c>
      <c r="I189" s="184" t="s">
        <v>598</v>
      </c>
      <c r="J189" s="184" t="s">
        <v>84</v>
      </c>
      <c r="K189" s="184" t="s">
        <v>162</v>
      </c>
      <c r="L189" s="184" t="s">
        <v>598</v>
      </c>
      <c r="M189" s="184" t="s">
        <v>598</v>
      </c>
      <c r="N189" s="184" t="s">
        <v>63</v>
      </c>
      <c r="O189" s="184" t="s">
        <v>86</v>
      </c>
      <c r="P189" s="186" t="s">
        <v>602</v>
      </c>
      <c r="Q189" s="184" t="s">
        <v>598</v>
      </c>
      <c r="R189" s="184" t="s">
        <v>598</v>
      </c>
      <c r="S189" s="127" t="s">
        <v>598</v>
      </c>
      <c r="T189" s="184" t="s">
        <v>598</v>
      </c>
      <c r="U189" s="184" t="s">
        <v>598</v>
      </c>
      <c r="V189" s="185">
        <v>0</v>
      </c>
      <c r="W189" s="184" t="s">
        <v>89</v>
      </c>
      <c r="X189" s="184" t="s">
        <v>598</v>
      </c>
      <c r="Y189" s="185">
        <v>0</v>
      </c>
      <c r="Z189" s="184" t="s">
        <v>598</v>
      </c>
      <c r="AA189" s="21" t="s">
        <v>822</v>
      </c>
      <c r="AB189" s="176" t="s">
        <v>489</v>
      </c>
      <c r="AC189" s="172">
        <v>42996.328472222223</v>
      </c>
      <c r="AD189" s="32" t="s">
        <v>552</v>
      </c>
    </row>
    <row r="190" spans="1:30">
      <c r="A190" s="184">
        <v>189</v>
      </c>
      <c r="B190" s="184" t="s">
        <v>986</v>
      </c>
      <c r="C190" s="184" t="s">
        <v>598</v>
      </c>
      <c r="D190" s="127">
        <v>42916</v>
      </c>
      <c r="E190" s="127" t="s">
        <v>598</v>
      </c>
      <c r="F190" s="184" t="s">
        <v>987</v>
      </c>
      <c r="G190" s="185">
        <v>0</v>
      </c>
      <c r="H190" s="184" t="s">
        <v>598</v>
      </c>
      <c r="I190" s="184" t="s">
        <v>132</v>
      </c>
      <c r="J190" s="184" t="s">
        <v>84</v>
      </c>
      <c r="K190" s="184" t="s">
        <v>229</v>
      </c>
      <c r="L190" s="184" t="s">
        <v>598</v>
      </c>
      <c r="M190" s="184" t="s">
        <v>598</v>
      </c>
      <c r="N190" s="184" t="s">
        <v>63</v>
      </c>
      <c r="O190" s="184" t="s">
        <v>598</v>
      </c>
      <c r="P190" s="186" t="s">
        <v>603</v>
      </c>
      <c r="Q190" s="184" t="s">
        <v>598</v>
      </c>
      <c r="R190" s="184" t="s">
        <v>598</v>
      </c>
      <c r="S190" s="127" t="s">
        <v>598</v>
      </c>
      <c r="T190" s="184" t="s">
        <v>598</v>
      </c>
      <c r="U190" s="184" t="s">
        <v>598</v>
      </c>
      <c r="V190" s="185">
        <v>0</v>
      </c>
      <c r="W190" s="184" t="s">
        <v>598</v>
      </c>
      <c r="X190" s="184" t="s">
        <v>598</v>
      </c>
      <c r="Y190" s="185">
        <v>0</v>
      </c>
      <c r="Z190" s="184" t="s">
        <v>598</v>
      </c>
      <c r="AA190" s="21" t="s">
        <v>598</v>
      </c>
      <c r="AB190" s="176" t="s">
        <v>489</v>
      </c>
      <c r="AC190" s="172">
        <v>42996.328472222223</v>
      </c>
      <c r="AD190" s="32" t="s">
        <v>552</v>
      </c>
    </row>
    <row r="191" spans="1:30">
      <c r="A191" s="184">
        <v>190</v>
      </c>
      <c r="B191" s="184" t="s">
        <v>988</v>
      </c>
      <c r="C191" s="184" t="s">
        <v>598</v>
      </c>
      <c r="D191" s="127">
        <v>42916</v>
      </c>
      <c r="E191" s="127" t="s">
        <v>598</v>
      </c>
      <c r="F191" s="184" t="s">
        <v>926</v>
      </c>
      <c r="G191" s="185">
        <v>0</v>
      </c>
      <c r="H191" s="184" t="s">
        <v>598</v>
      </c>
      <c r="I191" s="184" t="s">
        <v>134</v>
      </c>
      <c r="J191" s="184" t="s">
        <v>84</v>
      </c>
      <c r="K191" s="184" t="s">
        <v>230</v>
      </c>
      <c r="L191" s="184" t="s">
        <v>598</v>
      </c>
      <c r="M191" s="184" t="s">
        <v>598</v>
      </c>
      <c r="N191" s="184" t="s">
        <v>63</v>
      </c>
      <c r="O191" s="184" t="s">
        <v>63</v>
      </c>
      <c r="P191" s="186" t="s">
        <v>604</v>
      </c>
      <c r="Q191" s="184" t="s">
        <v>598</v>
      </c>
      <c r="R191" s="184" t="s">
        <v>598</v>
      </c>
      <c r="S191" s="127">
        <v>42916</v>
      </c>
      <c r="T191" s="184" t="s">
        <v>34</v>
      </c>
      <c r="U191" s="184" t="s">
        <v>598</v>
      </c>
      <c r="V191" s="185">
        <v>1000</v>
      </c>
      <c r="W191" s="184" t="s">
        <v>549</v>
      </c>
      <c r="X191" s="184" t="s">
        <v>598</v>
      </c>
      <c r="Y191" s="185">
        <v>0</v>
      </c>
      <c r="Z191" s="184" t="s">
        <v>598</v>
      </c>
      <c r="AA191" s="21" t="s">
        <v>822</v>
      </c>
      <c r="AB191" s="176" t="s">
        <v>489</v>
      </c>
      <c r="AC191" s="172">
        <v>42996.328472222223</v>
      </c>
      <c r="AD191" s="32" t="s">
        <v>552</v>
      </c>
    </row>
    <row r="192" spans="1:30">
      <c r="A192" s="184">
        <v>191</v>
      </c>
      <c r="B192" s="184" t="s">
        <v>989</v>
      </c>
      <c r="C192" s="184" t="s">
        <v>598</v>
      </c>
      <c r="D192" s="127">
        <v>42916</v>
      </c>
      <c r="E192" s="127" t="s">
        <v>598</v>
      </c>
      <c r="F192" s="184" t="s">
        <v>990</v>
      </c>
      <c r="G192" s="185">
        <v>0</v>
      </c>
      <c r="H192" s="184" t="s">
        <v>598</v>
      </c>
      <c r="I192" s="184" t="s">
        <v>134</v>
      </c>
      <c r="J192" s="184" t="s">
        <v>84</v>
      </c>
      <c r="K192" s="184" t="s">
        <v>230</v>
      </c>
      <c r="L192" s="184" t="s">
        <v>598</v>
      </c>
      <c r="M192" s="184" t="s">
        <v>598</v>
      </c>
      <c r="N192" s="184" t="s">
        <v>63</v>
      </c>
      <c r="O192" s="184" t="s">
        <v>598</v>
      </c>
      <c r="P192" s="186" t="s">
        <v>605</v>
      </c>
      <c r="Q192" s="184" t="s">
        <v>598</v>
      </c>
      <c r="R192" s="184" t="s">
        <v>598</v>
      </c>
      <c r="S192" s="127">
        <v>42916</v>
      </c>
      <c r="T192" s="184" t="s">
        <v>34</v>
      </c>
      <c r="U192" s="184" t="s">
        <v>598</v>
      </c>
      <c r="V192" s="185">
        <v>4000</v>
      </c>
      <c r="W192" s="184" t="s">
        <v>493</v>
      </c>
      <c r="X192" s="184" t="s">
        <v>598</v>
      </c>
      <c r="Y192" s="185">
        <v>0</v>
      </c>
      <c r="Z192" s="184" t="s">
        <v>598</v>
      </c>
      <c r="AA192" s="21" t="s">
        <v>610</v>
      </c>
      <c r="AB192" s="176" t="s">
        <v>489</v>
      </c>
      <c r="AC192" s="172">
        <v>42996.328472222223</v>
      </c>
      <c r="AD192" s="32" t="s">
        <v>552</v>
      </c>
    </row>
    <row r="193" spans="1:30">
      <c r="A193" s="184">
        <v>192</v>
      </c>
      <c r="B193" s="184" t="s">
        <v>991</v>
      </c>
      <c r="C193" s="184" t="s">
        <v>598</v>
      </c>
      <c r="D193" s="127">
        <v>42887</v>
      </c>
      <c r="E193" s="127" t="s">
        <v>598</v>
      </c>
      <c r="F193" s="184" t="s">
        <v>992</v>
      </c>
      <c r="G193" s="185">
        <v>0</v>
      </c>
      <c r="H193" s="184" t="s">
        <v>598</v>
      </c>
      <c r="I193" s="184" t="s">
        <v>132</v>
      </c>
      <c r="J193" s="184" t="s">
        <v>102</v>
      </c>
      <c r="K193" s="184" t="s">
        <v>169</v>
      </c>
      <c r="L193" s="184" t="s">
        <v>598</v>
      </c>
      <c r="M193" s="184" t="s">
        <v>598</v>
      </c>
      <c r="N193" s="184" t="s">
        <v>63</v>
      </c>
      <c r="O193" s="184" t="s">
        <v>63</v>
      </c>
      <c r="P193" s="186" t="s">
        <v>606</v>
      </c>
      <c r="Q193" s="184" t="s">
        <v>598</v>
      </c>
      <c r="R193" s="184" t="s">
        <v>598</v>
      </c>
      <c r="S193" s="127">
        <v>42889</v>
      </c>
      <c r="T193" s="184" t="s">
        <v>10</v>
      </c>
      <c r="U193" s="184" t="s">
        <v>598</v>
      </c>
      <c r="V193" s="185">
        <v>3000</v>
      </c>
      <c r="W193" s="184" t="s">
        <v>493</v>
      </c>
      <c r="X193" s="184" t="s">
        <v>598</v>
      </c>
      <c r="Y193" s="185">
        <v>0</v>
      </c>
      <c r="Z193" s="184" t="s">
        <v>598</v>
      </c>
      <c r="AA193" s="21" t="s">
        <v>610</v>
      </c>
      <c r="AB193" s="176" t="s">
        <v>489</v>
      </c>
      <c r="AC193" s="172">
        <v>42996.328472222223</v>
      </c>
      <c r="AD193" s="32" t="s">
        <v>552</v>
      </c>
    </row>
    <row r="194" spans="1:30">
      <c r="A194" s="184">
        <v>193</v>
      </c>
      <c r="B194" s="184" t="s">
        <v>993</v>
      </c>
      <c r="C194" s="184" t="s">
        <v>598</v>
      </c>
      <c r="D194" s="127">
        <v>42887</v>
      </c>
      <c r="E194" s="127" t="s">
        <v>598</v>
      </c>
      <c r="F194" s="184" t="s">
        <v>994</v>
      </c>
      <c r="G194" s="185">
        <v>0</v>
      </c>
      <c r="H194" s="184" t="s">
        <v>598</v>
      </c>
      <c r="I194" s="184" t="s">
        <v>126</v>
      </c>
      <c r="J194" s="184" t="s">
        <v>102</v>
      </c>
      <c r="K194" s="184" t="s">
        <v>598</v>
      </c>
      <c r="L194" s="184" t="s">
        <v>598</v>
      </c>
      <c r="M194" s="184" t="s">
        <v>598</v>
      </c>
      <c r="N194" s="184" t="s">
        <v>63</v>
      </c>
      <c r="O194" s="184" t="s">
        <v>86</v>
      </c>
      <c r="P194" s="186" t="s">
        <v>607</v>
      </c>
      <c r="Q194" s="184" t="s">
        <v>598</v>
      </c>
      <c r="R194" s="184" t="s">
        <v>598</v>
      </c>
      <c r="S194" s="127">
        <v>42887</v>
      </c>
      <c r="T194" s="184" t="s">
        <v>34</v>
      </c>
      <c r="U194" s="184" t="s">
        <v>598</v>
      </c>
      <c r="V194" s="185">
        <v>1500</v>
      </c>
      <c r="W194" s="184" t="s">
        <v>493</v>
      </c>
      <c r="X194" s="184" t="s">
        <v>598</v>
      </c>
      <c r="Y194" s="185">
        <v>0</v>
      </c>
      <c r="Z194" s="184" t="s">
        <v>598</v>
      </c>
      <c r="AA194" s="21" t="s">
        <v>610</v>
      </c>
      <c r="AB194" s="176" t="s">
        <v>489</v>
      </c>
      <c r="AC194" s="172">
        <v>42996.328472222223</v>
      </c>
      <c r="AD194" s="32" t="s">
        <v>552</v>
      </c>
    </row>
    <row r="195" spans="1:30">
      <c r="A195" s="184">
        <v>194</v>
      </c>
      <c r="B195" s="184" t="s">
        <v>995</v>
      </c>
      <c r="C195" s="184" t="s">
        <v>598</v>
      </c>
      <c r="D195" s="127">
        <v>42887</v>
      </c>
      <c r="E195" s="127" t="s">
        <v>598</v>
      </c>
      <c r="F195" s="184" t="s">
        <v>996</v>
      </c>
      <c r="G195" s="185">
        <v>0</v>
      </c>
      <c r="H195" s="184" t="s">
        <v>598</v>
      </c>
      <c r="I195" s="184" t="s">
        <v>126</v>
      </c>
      <c r="J195" s="184" t="s">
        <v>102</v>
      </c>
      <c r="K195" s="184" t="s">
        <v>216</v>
      </c>
      <c r="L195" s="184" t="s">
        <v>598</v>
      </c>
      <c r="M195" s="184" t="s">
        <v>598</v>
      </c>
      <c r="N195" s="184" t="s">
        <v>63</v>
      </c>
      <c r="O195" s="184" t="s">
        <v>86</v>
      </c>
      <c r="P195" s="186" t="s">
        <v>73</v>
      </c>
      <c r="Q195" s="184" t="s">
        <v>598</v>
      </c>
      <c r="R195" s="184" t="s">
        <v>598</v>
      </c>
      <c r="S195" s="127">
        <v>42887</v>
      </c>
      <c r="T195" s="184" t="s">
        <v>34</v>
      </c>
      <c r="U195" s="184" t="s">
        <v>598</v>
      </c>
      <c r="V195" s="185">
        <v>1000</v>
      </c>
      <c r="W195" s="184" t="s">
        <v>493</v>
      </c>
      <c r="X195" s="184" t="s">
        <v>598</v>
      </c>
      <c r="Y195" s="185">
        <v>0</v>
      </c>
      <c r="Z195" s="184" t="s">
        <v>598</v>
      </c>
      <c r="AA195" s="21" t="s">
        <v>610</v>
      </c>
      <c r="AB195" s="176" t="s">
        <v>489</v>
      </c>
      <c r="AC195" s="172">
        <v>42996.328472222223</v>
      </c>
      <c r="AD195" s="32" t="s">
        <v>552</v>
      </c>
    </row>
    <row r="196" spans="1:30">
      <c r="A196" s="184">
        <v>195</v>
      </c>
      <c r="B196" s="184" t="s">
        <v>997</v>
      </c>
      <c r="C196" s="184" t="s">
        <v>598</v>
      </c>
      <c r="D196" s="127">
        <v>42887</v>
      </c>
      <c r="E196" s="127" t="s">
        <v>598</v>
      </c>
      <c r="F196" s="184" t="s">
        <v>490</v>
      </c>
      <c r="G196" s="185">
        <v>0</v>
      </c>
      <c r="H196" s="184" t="s">
        <v>598</v>
      </c>
      <c r="I196" s="184" t="s">
        <v>135</v>
      </c>
      <c r="J196" s="184" t="s">
        <v>102</v>
      </c>
      <c r="K196" s="184" t="s">
        <v>231</v>
      </c>
      <c r="L196" s="184" t="s">
        <v>598</v>
      </c>
      <c r="M196" s="184" t="s">
        <v>598</v>
      </c>
      <c r="N196" s="184" t="s">
        <v>63</v>
      </c>
      <c r="O196" s="184" t="s">
        <v>86</v>
      </c>
      <c r="P196" s="186" t="s">
        <v>601</v>
      </c>
      <c r="Q196" s="184" t="s">
        <v>598</v>
      </c>
      <c r="R196" s="184" t="s">
        <v>598</v>
      </c>
      <c r="S196" s="127">
        <v>42889</v>
      </c>
      <c r="T196" s="184" t="s">
        <v>34</v>
      </c>
      <c r="U196" s="184" t="s">
        <v>598</v>
      </c>
      <c r="V196" s="185">
        <v>4000</v>
      </c>
      <c r="W196" s="184" t="s">
        <v>493</v>
      </c>
      <c r="X196" s="184" t="s">
        <v>598</v>
      </c>
      <c r="Y196" s="185">
        <v>0</v>
      </c>
      <c r="Z196" s="184" t="s">
        <v>598</v>
      </c>
      <c r="AA196" s="21" t="s">
        <v>610</v>
      </c>
      <c r="AB196" s="176" t="s">
        <v>489</v>
      </c>
      <c r="AC196" s="172">
        <v>42996.328472222223</v>
      </c>
      <c r="AD196" s="32" t="s">
        <v>552</v>
      </c>
    </row>
    <row r="197" spans="1:30">
      <c r="A197" s="184">
        <v>196</v>
      </c>
      <c r="B197" s="184" t="s">
        <v>998</v>
      </c>
      <c r="C197" s="184" t="s">
        <v>598</v>
      </c>
      <c r="D197" s="127">
        <v>42887</v>
      </c>
      <c r="E197" s="127" t="s">
        <v>598</v>
      </c>
      <c r="F197" s="184" t="s">
        <v>999</v>
      </c>
      <c r="G197" s="185">
        <v>0</v>
      </c>
      <c r="H197" s="184" t="s">
        <v>598</v>
      </c>
      <c r="I197" s="184" t="s">
        <v>598</v>
      </c>
      <c r="J197" s="184" t="s">
        <v>102</v>
      </c>
      <c r="K197" s="184" t="s">
        <v>232</v>
      </c>
      <c r="L197" s="184" t="s">
        <v>598</v>
      </c>
      <c r="M197" s="184" t="s">
        <v>598</v>
      </c>
      <c r="N197" s="184" t="s">
        <v>63</v>
      </c>
      <c r="O197" s="184" t="s">
        <v>63</v>
      </c>
      <c r="P197" s="186" t="s">
        <v>32</v>
      </c>
      <c r="Q197" s="184" t="s">
        <v>598</v>
      </c>
      <c r="R197" s="184" t="s">
        <v>598</v>
      </c>
      <c r="S197" s="127" t="s">
        <v>598</v>
      </c>
      <c r="T197" s="184" t="s">
        <v>598</v>
      </c>
      <c r="U197" s="184" t="s">
        <v>598</v>
      </c>
      <c r="V197" s="185">
        <v>0</v>
      </c>
      <c r="W197" s="184" t="s">
        <v>485</v>
      </c>
      <c r="X197" s="184" t="s">
        <v>598</v>
      </c>
      <c r="Y197" s="185">
        <v>0</v>
      </c>
      <c r="Z197" s="184" t="s">
        <v>598</v>
      </c>
      <c r="AA197" s="21" t="s">
        <v>610</v>
      </c>
      <c r="AB197" s="176" t="s">
        <v>489</v>
      </c>
      <c r="AC197" s="172">
        <v>42996.328472222223</v>
      </c>
      <c r="AD197" s="32" t="s">
        <v>552</v>
      </c>
    </row>
    <row r="198" spans="1:30">
      <c r="A198" s="184">
        <v>197</v>
      </c>
      <c r="B198" s="184" t="s">
        <v>1000</v>
      </c>
      <c r="C198" s="184" t="s">
        <v>598</v>
      </c>
      <c r="D198" s="127">
        <v>42889</v>
      </c>
      <c r="E198" s="127" t="s">
        <v>598</v>
      </c>
      <c r="F198" s="184" t="s">
        <v>1001</v>
      </c>
      <c r="G198" s="185">
        <v>0</v>
      </c>
      <c r="H198" s="184" t="s">
        <v>598</v>
      </c>
      <c r="I198" s="184" t="s">
        <v>598</v>
      </c>
      <c r="J198" s="184" t="s">
        <v>102</v>
      </c>
      <c r="K198" s="184" t="s">
        <v>170</v>
      </c>
      <c r="L198" s="184" t="s">
        <v>598</v>
      </c>
      <c r="M198" s="184" t="s">
        <v>598</v>
      </c>
      <c r="N198" s="184" t="s">
        <v>63</v>
      </c>
      <c r="O198" s="184" t="s">
        <v>86</v>
      </c>
      <c r="P198" s="186" t="s">
        <v>53</v>
      </c>
      <c r="Q198" s="184" t="s">
        <v>598</v>
      </c>
      <c r="R198" s="184" t="s">
        <v>598</v>
      </c>
      <c r="S198" s="127" t="s">
        <v>598</v>
      </c>
      <c r="T198" s="184" t="s">
        <v>598</v>
      </c>
      <c r="U198" s="184" t="s">
        <v>598</v>
      </c>
      <c r="V198" s="185">
        <v>0</v>
      </c>
      <c r="W198" s="184" t="s">
        <v>33</v>
      </c>
      <c r="X198" s="184" t="s">
        <v>598</v>
      </c>
      <c r="Y198" s="185">
        <v>0</v>
      </c>
      <c r="Z198" s="184" t="s">
        <v>598</v>
      </c>
      <c r="AA198" s="21" t="s">
        <v>822</v>
      </c>
      <c r="AB198" s="176" t="s">
        <v>489</v>
      </c>
      <c r="AC198" s="172">
        <v>42996.328472222223</v>
      </c>
      <c r="AD198" s="32" t="s">
        <v>552</v>
      </c>
    </row>
    <row r="199" spans="1:30">
      <c r="A199" s="184">
        <v>198</v>
      </c>
      <c r="B199" s="184" t="s">
        <v>1002</v>
      </c>
      <c r="C199" s="184" t="s">
        <v>598</v>
      </c>
      <c r="D199" s="127">
        <v>42889</v>
      </c>
      <c r="E199" s="127" t="s">
        <v>598</v>
      </c>
      <c r="F199" s="184" t="s">
        <v>1003</v>
      </c>
      <c r="G199" s="185">
        <v>0</v>
      </c>
      <c r="H199" s="184" t="s">
        <v>598</v>
      </c>
      <c r="I199" s="184" t="s">
        <v>598</v>
      </c>
      <c r="J199" s="184" t="s">
        <v>102</v>
      </c>
      <c r="K199" s="184" t="s">
        <v>217</v>
      </c>
      <c r="L199" s="184" t="s">
        <v>598</v>
      </c>
      <c r="M199" s="184" t="s">
        <v>598</v>
      </c>
      <c r="N199" s="184" t="s">
        <v>63</v>
      </c>
      <c r="O199" s="184" t="s">
        <v>86</v>
      </c>
      <c r="P199" s="186" t="s">
        <v>44</v>
      </c>
      <c r="Q199" s="184" t="s">
        <v>598</v>
      </c>
      <c r="R199" s="184" t="s">
        <v>598</v>
      </c>
      <c r="S199" s="127">
        <v>42895</v>
      </c>
      <c r="T199" s="184" t="s">
        <v>10</v>
      </c>
      <c r="U199" s="184" t="s">
        <v>598</v>
      </c>
      <c r="V199" s="185">
        <v>2500</v>
      </c>
      <c r="W199" s="184" t="s">
        <v>493</v>
      </c>
      <c r="X199" s="184" t="s">
        <v>598</v>
      </c>
      <c r="Y199" s="185">
        <v>0</v>
      </c>
      <c r="Z199" s="184" t="s">
        <v>598</v>
      </c>
      <c r="AA199" s="21" t="s">
        <v>610</v>
      </c>
      <c r="AB199" s="176" t="s">
        <v>489</v>
      </c>
      <c r="AC199" s="172">
        <v>42996.328472222223</v>
      </c>
      <c r="AD199" s="32" t="s">
        <v>552</v>
      </c>
    </row>
    <row r="200" spans="1:30">
      <c r="A200" s="184">
        <v>199</v>
      </c>
      <c r="B200" s="184" t="s">
        <v>1004</v>
      </c>
      <c r="C200" s="184" t="s">
        <v>598</v>
      </c>
      <c r="D200" s="127">
        <v>42889</v>
      </c>
      <c r="E200" s="127" t="s">
        <v>598</v>
      </c>
      <c r="F200" s="184" t="s">
        <v>1005</v>
      </c>
      <c r="G200" s="185">
        <v>0</v>
      </c>
      <c r="H200" s="184" t="s">
        <v>598</v>
      </c>
      <c r="I200" s="184" t="s">
        <v>598</v>
      </c>
      <c r="J200" s="184" t="s">
        <v>102</v>
      </c>
      <c r="K200" s="184" t="s">
        <v>217</v>
      </c>
      <c r="L200" s="184" t="s">
        <v>598</v>
      </c>
      <c r="M200" s="184" t="s">
        <v>598</v>
      </c>
      <c r="N200" s="184" t="s">
        <v>63</v>
      </c>
      <c r="O200" s="184" t="s">
        <v>86</v>
      </c>
      <c r="P200" s="186" t="s">
        <v>67</v>
      </c>
      <c r="Q200" s="184" t="s">
        <v>598</v>
      </c>
      <c r="R200" s="184" t="s">
        <v>598</v>
      </c>
      <c r="S200" s="127">
        <v>42895</v>
      </c>
      <c r="T200" s="184" t="s">
        <v>10</v>
      </c>
      <c r="U200" s="184" t="s">
        <v>598</v>
      </c>
      <c r="V200" s="185">
        <v>2500</v>
      </c>
      <c r="W200" s="184" t="s">
        <v>493</v>
      </c>
      <c r="X200" s="184" t="s">
        <v>598</v>
      </c>
      <c r="Y200" s="185">
        <v>0</v>
      </c>
      <c r="Z200" s="184" t="s">
        <v>598</v>
      </c>
      <c r="AA200" s="21" t="s">
        <v>610</v>
      </c>
      <c r="AB200" s="176" t="s">
        <v>489</v>
      </c>
      <c r="AC200" s="172">
        <v>42996.328472222223</v>
      </c>
      <c r="AD200" s="32" t="s">
        <v>552</v>
      </c>
    </row>
    <row r="201" spans="1:30">
      <c r="A201" s="184">
        <v>200</v>
      </c>
      <c r="B201" s="184" t="s">
        <v>1006</v>
      </c>
      <c r="C201" s="184" t="s">
        <v>598</v>
      </c>
      <c r="D201" s="127">
        <v>42889</v>
      </c>
      <c r="E201" s="127" t="s">
        <v>598</v>
      </c>
      <c r="F201" s="184" t="s">
        <v>1007</v>
      </c>
      <c r="G201" s="185">
        <v>0</v>
      </c>
      <c r="H201" s="184" t="s">
        <v>598</v>
      </c>
      <c r="I201" s="184" t="s">
        <v>598</v>
      </c>
      <c r="J201" s="184" t="s">
        <v>102</v>
      </c>
      <c r="K201" s="184" t="s">
        <v>217</v>
      </c>
      <c r="L201" s="184" t="s">
        <v>598</v>
      </c>
      <c r="M201" s="184" t="s">
        <v>598</v>
      </c>
      <c r="N201" s="184" t="s">
        <v>63</v>
      </c>
      <c r="O201" s="184" t="s">
        <v>86</v>
      </c>
      <c r="P201" s="186" t="s">
        <v>602</v>
      </c>
      <c r="Q201" s="184" t="s">
        <v>598</v>
      </c>
      <c r="R201" s="184" t="s">
        <v>598</v>
      </c>
      <c r="S201" s="127">
        <v>42895</v>
      </c>
      <c r="T201" s="184" t="s">
        <v>10</v>
      </c>
      <c r="U201" s="184" t="s">
        <v>598</v>
      </c>
      <c r="V201" s="185">
        <v>2500</v>
      </c>
      <c r="W201" s="184" t="s">
        <v>493</v>
      </c>
      <c r="X201" s="184" t="s">
        <v>598</v>
      </c>
      <c r="Y201" s="185">
        <v>0</v>
      </c>
      <c r="Z201" s="184" t="s">
        <v>598</v>
      </c>
      <c r="AA201" s="21" t="s">
        <v>610</v>
      </c>
      <c r="AB201" s="176" t="s">
        <v>489</v>
      </c>
      <c r="AC201" s="172">
        <v>42996.328472222223</v>
      </c>
      <c r="AD201" s="32" t="s">
        <v>552</v>
      </c>
    </row>
    <row r="202" spans="1:30">
      <c r="A202" s="184">
        <v>201</v>
      </c>
      <c r="B202" s="184" t="s">
        <v>1008</v>
      </c>
      <c r="C202" s="184" t="s">
        <v>598</v>
      </c>
      <c r="D202" s="127">
        <v>42889</v>
      </c>
      <c r="E202" s="127" t="s">
        <v>598</v>
      </c>
      <c r="F202" s="184" t="s">
        <v>1009</v>
      </c>
      <c r="G202" s="185">
        <v>0</v>
      </c>
      <c r="H202" s="184" t="s">
        <v>598</v>
      </c>
      <c r="I202" s="184" t="s">
        <v>598</v>
      </c>
      <c r="J202" s="184" t="s">
        <v>102</v>
      </c>
      <c r="K202" s="184" t="s">
        <v>217</v>
      </c>
      <c r="L202" s="184" t="s">
        <v>598</v>
      </c>
      <c r="M202" s="184" t="s">
        <v>598</v>
      </c>
      <c r="N202" s="184" t="s">
        <v>63</v>
      </c>
      <c r="O202" s="184" t="s">
        <v>86</v>
      </c>
      <c r="P202" s="186" t="s">
        <v>603</v>
      </c>
      <c r="Q202" s="184" t="s">
        <v>598</v>
      </c>
      <c r="R202" s="184" t="s">
        <v>598</v>
      </c>
      <c r="S202" s="127">
        <v>42895</v>
      </c>
      <c r="T202" s="184" t="s">
        <v>10</v>
      </c>
      <c r="U202" s="184" t="s">
        <v>598</v>
      </c>
      <c r="V202" s="185">
        <v>2500</v>
      </c>
      <c r="W202" s="184" t="s">
        <v>493</v>
      </c>
      <c r="X202" s="184" t="s">
        <v>598</v>
      </c>
      <c r="Y202" s="185">
        <v>0</v>
      </c>
      <c r="Z202" s="184" t="s">
        <v>598</v>
      </c>
      <c r="AA202" s="21" t="s">
        <v>610</v>
      </c>
      <c r="AB202" s="176" t="s">
        <v>489</v>
      </c>
      <c r="AC202" s="172">
        <v>42996.328472222223</v>
      </c>
      <c r="AD202" s="32" t="s">
        <v>552</v>
      </c>
    </row>
    <row r="203" spans="1:30">
      <c r="A203" s="184">
        <v>202</v>
      </c>
      <c r="B203" s="184" t="s">
        <v>1010</v>
      </c>
      <c r="C203" s="184" t="s">
        <v>598</v>
      </c>
      <c r="D203" s="127">
        <v>42889</v>
      </c>
      <c r="E203" s="127" t="s">
        <v>598</v>
      </c>
      <c r="F203" s="184" t="s">
        <v>1011</v>
      </c>
      <c r="G203" s="185">
        <v>0</v>
      </c>
      <c r="H203" s="184" t="s">
        <v>598</v>
      </c>
      <c r="I203" s="184" t="s">
        <v>598</v>
      </c>
      <c r="J203" s="184" t="s">
        <v>102</v>
      </c>
      <c r="K203" s="184" t="s">
        <v>217</v>
      </c>
      <c r="L203" s="184" t="s">
        <v>598</v>
      </c>
      <c r="M203" s="184" t="s">
        <v>598</v>
      </c>
      <c r="N203" s="184" t="s">
        <v>63</v>
      </c>
      <c r="O203" s="184" t="s">
        <v>86</v>
      </c>
      <c r="P203" s="186" t="s">
        <v>604</v>
      </c>
      <c r="Q203" s="184" t="s">
        <v>598</v>
      </c>
      <c r="R203" s="184" t="s">
        <v>598</v>
      </c>
      <c r="S203" s="127">
        <v>42895</v>
      </c>
      <c r="T203" s="184" t="s">
        <v>10</v>
      </c>
      <c r="U203" s="184" t="s">
        <v>598</v>
      </c>
      <c r="V203" s="185">
        <v>2500</v>
      </c>
      <c r="W203" s="184" t="s">
        <v>493</v>
      </c>
      <c r="X203" s="184" t="s">
        <v>598</v>
      </c>
      <c r="Y203" s="185">
        <v>0</v>
      </c>
      <c r="Z203" s="184" t="s">
        <v>598</v>
      </c>
      <c r="AA203" s="21" t="s">
        <v>610</v>
      </c>
      <c r="AB203" s="176" t="s">
        <v>489</v>
      </c>
      <c r="AC203" s="172">
        <v>42996.328472222223</v>
      </c>
      <c r="AD203" s="32" t="s">
        <v>552</v>
      </c>
    </row>
    <row r="204" spans="1:30">
      <c r="A204" s="184">
        <v>203</v>
      </c>
      <c r="B204" s="184" t="s">
        <v>1012</v>
      </c>
      <c r="C204" s="184" t="s">
        <v>598</v>
      </c>
      <c r="D204" s="127">
        <v>42889</v>
      </c>
      <c r="E204" s="127" t="s">
        <v>598</v>
      </c>
      <c r="F204" s="184" t="s">
        <v>1013</v>
      </c>
      <c r="G204" s="185">
        <v>0</v>
      </c>
      <c r="H204" s="184" t="s">
        <v>598</v>
      </c>
      <c r="I204" s="184" t="s">
        <v>598</v>
      </c>
      <c r="J204" s="184" t="s">
        <v>102</v>
      </c>
      <c r="K204" s="184" t="s">
        <v>233</v>
      </c>
      <c r="L204" s="184" t="s">
        <v>598</v>
      </c>
      <c r="M204" s="184" t="s">
        <v>598</v>
      </c>
      <c r="N204" s="184" t="s">
        <v>63</v>
      </c>
      <c r="O204" s="184" t="s">
        <v>63</v>
      </c>
      <c r="P204" s="186" t="s">
        <v>605</v>
      </c>
      <c r="Q204" s="184" t="s">
        <v>598</v>
      </c>
      <c r="R204" s="184" t="s">
        <v>598</v>
      </c>
      <c r="S204" s="127">
        <v>42892</v>
      </c>
      <c r="T204" s="184" t="s">
        <v>34</v>
      </c>
      <c r="U204" s="184" t="s">
        <v>598</v>
      </c>
      <c r="V204" s="185">
        <v>3000</v>
      </c>
      <c r="W204" s="184" t="s">
        <v>493</v>
      </c>
      <c r="X204" s="184" t="s">
        <v>598</v>
      </c>
      <c r="Y204" s="185">
        <v>0</v>
      </c>
      <c r="Z204" s="184" t="s">
        <v>598</v>
      </c>
      <c r="AA204" s="21" t="s">
        <v>610</v>
      </c>
      <c r="AB204" s="176" t="s">
        <v>489</v>
      </c>
      <c r="AC204" s="172">
        <v>42996.328472222223</v>
      </c>
      <c r="AD204" s="32" t="s">
        <v>552</v>
      </c>
    </row>
    <row r="205" spans="1:30">
      <c r="A205" s="184">
        <v>204</v>
      </c>
      <c r="B205" s="184" t="s">
        <v>1014</v>
      </c>
      <c r="C205" s="184" t="s">
        <v>598</v>
      </c>
      <c r="D205" s="127">
        <v>42889</v>
      </c>
      <c r="E205" s="127" t="s">
        <v>598</v>
      </c>
      <c r="F205" s="184" t="s">
        <v>1015</v>
      </c>
      <c r="G205" s="185">
        <v>0</v>
      </c>
      <c r="H205" s="184" t="s">
        <v>598</v>
      </c>
      <c r="I205" s="184" t="s">
        <v>598</v>
      </c>
      <c r="J205" s="184" t="s">
        <v>102</v>
      </c>
      <c r="K205" s="184" t="s">
        <v>233</v>
      </c>
      <c r="L205" s="184" t="s">
        <v>598</v>
      </c>
      <c r="M205" s="184" t="s">
        <v>598</v>
      </c>
      <c r="N205" s="184" t="s">
        <v>63</v>
      </c>
      <c r="O205" s="184" t="s">
        <v>86</v>
      </c>
      <c r="P205" s="186" t="s">
        <v>606</v>
      </c>
      <c r="Q205" s="184" t="s">
        <v>598</v>
      </c>
      <c r="R205" s="184" t="s">
        <v>598</v>
      </c>
      <c r="S205" s="127" t="s">
        <v>598</v>
      </c>
      <c r="T205" s="184" t="s">
        <v>598</v>
      </c>
      <c r="U205" s="184" t="s">
        <v>598</v>
      </c>
      <c r="V205" s="185">
        <v>0</v>
      </c>
      <c r="W205" s="184" t="s">
        <v>485</v>
      </c>
      <c r="X205" s="184" t="s">
        <v>598</v>
      </c>
      <c r="Y205" s="185">
        <v>0</v>
      </c>
      <c r="Z205" s="184" t="s">
        <v>598</v>
      </c>
      <c r="AA205" s="21" t="s">
        <v>610</v>
      </c>
      <c r="AB205" s="176" t="s">
        <v>489</v>
      </c>
      <c r="AC205" s="172">
        <v>42996.328472222223</v>
      </c>
      <c r="AD205" s="32" t="s">
        <v>552</v>
      </c>
    </row>
    <row r="206" spans="1:30">
      <c r="A206" s="184">
        <v>205</v>
      </c>
      <c r="B206" s="184" t="s">
        <v>1016</v>
      </c>
      <c r="C206" s="184" t="s">
        <v>598</v>
      </c>
      <c r="D206" s="127">
        <v>42889</v>
      </c>
      <c r="E206" s="127" t="s">
        <v>598</v>
      </c>
      <c r="F206" s="184" t="s">
        <v>1017</v>
      </c>
      <c r="G206" s="185">
        <v>0</v>
      </c>
      <c r="H206" s="184" t="s">
        <v>598</v>
      </c>
      <c r="I206" s="184" t="s">
        <v>598</v>
      </c>
      <c r="J206" s="184" t="s">
        <v>102</v>
      </c>
      <c r="K206" s="184" t="s">
        <v>234</v>
      </c>
      <c r="L206" s="184" t="s">
        <v>598</v>
      </c>
      <c r="M206" s="184" t="s">
        <v>598</v>
      </c>
      <c r="N206" s="184" t="s">
        <v>63</v>
      </c>
      <c r="O206" s="184" t="s">
        <v>63</v>
      </c>
      <c r="P206" s="186" t="s">
        <v>607</v>
      </c>
      <c r="Q206" s="184" t="s">
        <v>598</v>
      </c>
      <c r="R206" s="184" t="s">
        <v>598</v>
      </c>
      <c r="S206" s="127">
        <v>42891</v>
      </c>
      <c r="T206" s="184" t="s">
        <v>10</v>
      </c>
      <c r="U206" s="184" t="s">
        <v>598</v>
      </c>
      <c r="V206" s="185">
        <v>4000</v>
      </c>
      <c r="W206" s="184" t="s">
        <v>493</v>
      </c>
      <c r="X206" s="184" t="s">
        <v>598</v>
      </c>
      <c r="Y206" s="185">
        <v>0</v>
      </c>
      <c r="Z206" s="184" t="s">
        <v>598</v>
      </c>
      <c r="AA206" s="21" t="s">
        <v>610</v>
      </c>
      <c r="AB206" s="176" t="s">
        <v>489</v>
      </c>
      <c r="AC206" s="172">
        <v>42996.328472222223</v>
      </c>
      <c r="AD206" s="32" t="s">
        <v>552</v>
      </c>
    </row>
    <row r="207" spans="1:30">
      <c r="A207" s="184">
        <v>206</v>
      </c>
      <c r="B207" s="184" t="s">
        <v>1018</v>
      </c>
      <c r="C207" s="184" t="s">
        <v>598</v>
      </c>
      <c r="D207" s="127">
        <v>42891</v>
      </c>
      <c r="E207" s="127" t="s">
        <v>598</v>
      </c>
      <c r="F207" s="184" t="s">
        <v>1019</v>
      </c>
      <c r="G207" s="185">
        <v>0</v>
      </c>
      <c r="H207" s="184" t="s">
        <v>598</v>
      </c>
      <c r="I207" s="184" t="s">
        <v>598</v>
      </c>
      <c r="J207" s="184" t="s">
        <v>102</v>
      </c>
      <c r="K207" s="184" t="s">
        <v>234</v>
      </c>
      <c r="L207" s="184" t="s">
        <v>598</v>
      </c>
      <c r="M207" s="184" t="s">
        <v>598</v>
      </c>
      <c r="N207" s="184" t="s">
        <v>63</v>
      </c>
      <c r="O207" s="184" t="s">
        <v>63</v>
      </c>
      <c r="P207" s="186" t="s">
        <v>73</v>
      </c>
      <c r="Q207" s="184" t="s">
        <v>598</v>
      </c>
      <c r="R207" s="184" t="s">
        <v>598</v>
      </c>
      <c r="S207" s="127">
        <v>42892</v>
      </c>
      <c r="T207" s="184" t="s">
        <v>34</v>
      </c>
      <c r="U207" s="184" t="s">
        <v>598</v>
      </c>
      <c r="V207" s="185">
        <v>1000</v>
      </c>
      <c r="W207" s="184" t="s">
        <v>572</v>
      </c>
      <c r="X207" s="184" t="s">
        <v>598</v>
      </c>
      <c r="Y207" s="185">
        <v>0</v>
      </c>
      <c r="Z207" s="184" t="s">
        <v>54</v>
      </c>
      <c r="AA207" s="21" t="s">
        <v>822</v>
      </c>
      <c r="AB207" s="176" t="s">
        <v>489</v>
      </c>
      <c r="AC207" s="172">
        <v>42996.328472222223</v>
      </c>
      <c r="AD207" s="32" t="s">
        <v>552</v>
      </c>
    </row>
    <row r="208" spans="1:30">
      <c r="A208" s="184">
        <v>207</v>
      </c>
      <c r="B208" s="184" t="s">
        <v>1020</v>
      </c>
      <c r="C208" s="184" t="s">
        <v>598</v>
      </c>
      <c r="D208" s="127">
        <v>42892</v>
      </c>
      <c r="E208" s="127" t="s">
        <v>598</v>
      </c>
      <c r="F208" s="184" t="s">
        <v>1021</v>
      </c>
      <c r="G208" s="185">
        <v>0</v>
      </c>
      <c r="H208" s="184" t="s">
        <v>598</v>
      </c>
      <c r="I208" s="184" t="s">
        <v>598</v>
      </c>
      <c r="J208" s="184" t="s">
        <v>102</v>
      </c>
      <c r="K208" s="184" t="s">
        <v>233</v>
      </c>
      <c r="L208" s="184" t="s">
        <v>598</v>
      </c>
      <c r="M208" s="184" t="s">
        <v>598</v>
      </c>
      <c r="N208" s="184" t="s">
        <v>63</v>
      </c>
      <c r="O208" s="184" t="s">
        <v>86</v>
      </c>
      <c r="P208" s="186" t="s">
        <v>601</v>
      </c>
      <c r="Q208" s="184" t="s">
        <v>598</v>
      </c>
      <c r="R208" s="184" t="s">
        <v>598</v>
      </c>
      <c r="S208" s="127">
        <v>42893</v>
      </c>
      <c r="T208" s="184" t="s">
        <v>34</v>
      </c>
      <c r="U208" s="184" t="s">
        <v>598</v>
      </c>
      <c r="V208" s="185">
        <v>1000</v>
      </c>
      <c r="W208" s="184" t="s">
        <v>493</v>
      </c>
      <c r="X208" s="184" t="s">
        <v>598</v>
      </c>
      <c r="Y208" s="185">
        <v>0</v>
      </c>
      <c r="Z208" s="184" t="s">
        <v>598</v>
      </c>
      <c r="AA208" s="21" t="s">
        <v>610</v>
      </c>
      <c r="AB208" s="176" t="s">
        <v>489</v>
      </c>
      <c r="AC208" s="172">
        <v>42996.328472222223</v>
      </c>
      <c r="AD208" s="32" t="s">
        <v>552</v>
      </c>
    </row>
    <row r="209" spans="1:30">
      <c r="A209" s="184">
        <v>208</v>
      </c>
      <c r="B209" s="184" t="s">
        <v>1022</v>
      </c>
      <c r="C209" s="184" t="s">
        <v>598</v>
      </c>
      <c r="D209" s="127">
        <v>42893</v>
      </c>
      <c r="E209" s="127" t="s">
        <v>598</v>
      </c>
      <c r="F209" s="184" t="s">
        <v>1023</v>
      </c>
      <c r="G209" s="185">
        <v>0</v>
      </c>
      <c r="H209" s="184" t="s">
        <v>598</v>
      </c>
      <c r="I209" s="184" t="s">
        <v>134</v>
      </c>
      <c r="J209" s="184" t="s">
        <v>102</v>
      </c>
      <c r="K209" s="184" t="s">
        <v>235</v>
      </c>
      <c r="L209" s="184" t="s">
        <v>598</v>
      </c>
      <c r="M209" s="184" t="s">
        <v>598</v>
      </c>
      <c r="N209" s="184" t="s">
        <v>63</v>
      </c>
      <c r="O209" s="184" t="s">
        <v>86</v>
      </c>
      <c r="P209" s="186" t="s">
        <v>32</v>
      </c>
      <c r="Q209" s="184" t="s">
        <v>598</v>
      </c>
      <c r="R209" s="184" t="s">
        <v>598</v>
      </c>
      <c r="S209" s="127">
        <v>42893</v>
      </c>
      <c r="T209" s="184" t="s">
        <v>34</v>
      </c>
      <c r="U209" s="184" t="s">
        <v>598</v>
      </c>
      <c r="V209" s="185">
        <v>1000</v>
      </c>
      <c r="W209" s="184" t="s">
        <v>493</v>
      </c>
      <c r="X209" s="184" t="s">
        <v>598</v>
      </c>
      <c r="Y209" s="185">
        <v>0</v>
      </c>
      <c r="Z209" s="184" t="s">
        <v>598</v>
      </c>
      <c r="AA209" s="21" t="s">
        <v>610</v>
      </c>
      <c r="AB209" s="176" t="s">
        <v>489</v>
      </c>
      <c r="AC209" s="172">
        <v>42996.328472222223</v>
      </c>
      <c r="AD209" s="32" t="s">
        <v>552</v>
      </c>
    </row>
    <row r="210" spans="1:30">
      <c r="A210" s="184">
        <v>209</v>
      </c>
      <c r="B210" s="184" t="s">
        <v>1024</v>
      </c>
      <c r="C210" s="184" t="s">
        <v>598</v>
      </c>
      <c r="D210" s="127">
        <v>42893</v>
      </c>
      <c r="E210" s="127" t="s">
        <v>598</v>
      </c>
      <c r="F210" s="184" t="s">
        <v>1025</v>
      </c>
      <c r="G210" s="185">
        <v>0</v>
      </c>
      <c r="H210" s="184" t="s">
        <v>598</v>
      </c>
      <c r="I210" s="184" t="s">
        <v>134</v>
      </c>
      <c r="J210" s="184" t="s">
        <v>102</v>
      </c>
      <c r="K210" s="184" t="s">
        <v>235</v>
      </c>
      <c r="L210" s="184" t="s">
        <v>598</v>
      </c>
      <c r="M210" s="184" t="s">
        <v>598</v>
      </c>
      <c r="N210" s="184" t="s">
        <v>63</v>
      </c>
      <c r="O210" s="184" t="s">
        <v>86</v>
      </c>
      <c r="P210" s="186" t="s">
        <v>53</v>
      </c>
      <c r="Q210" s="184" t="s">
        <v>598</v>
      </c>
      <c r="R210" s="184" t="s">
        <v>598</v>
      </c>
      <c r="S210" s="127">
        <v>42895</v>
      </c>
      <c r="T210" s="184" t="s">
        <v>34</v>
      </c>
      <c r="U210" s="184" t="s">
        <v>598</v>
      </c>
      <c r="V210" s="185">
        <v>5000</v>
      </c>
      <c r="W210" s="184" t="s">
        <v>493</v>
      </c>
      <c r="X210" s="184" t="s">
        <v>598</v>
      </c>
      <c r="Y210" s="185">
        <v>0</v>
      </c>
      <c r="Z210" s="184" t="s">
        <v>598</v>
      </c>
      <c r="AA210" s="21" t="s">
        <v>610</v>
      </c>
      <c r="AB210" s="176" t="s">
        <v>489</v>
      </c>
      <c r="AC210" s="172">
        <v>42996.328472222223</v>
      </c>
      <c r="AD210" s="32" t="s">
        <v>552</v>
      </c>
    </row>
    <row r="211" spans="1:30">
      <c r="A211" s="184">
        <v>210</v>
      </c>
      <c r="B211" s="184" t="s">
        <v>1026</v>
      </c>
      <c r="C211" s="184" t="s">
        <v>598</v>
      </c>
      <c r="D211" s="127">
        <v>42893</v>
      </c>
      <c r="E211" s="127" t="s">
        <v>598</v>
      </c>
      <c r="F211" s="184" t="s">
        <v>1027</v>
      </c>
      <c r="G211" s="185">
        <v>0</v>
      </c>
      <c r="H211" s="184" t="s">
        <v>598</v>
      </c>
      <c r="I211" s="184" t="s">
        <v>598</v>
      </c>
      <c r="J211" s="184" t="s">
        <v>102</v>
      </c>
      <c r="K211" s="184" t="s">
        <v>235</v>
      </c>
      <c r="L211" s="184" t="s">
        <v>598</v>
      </c>
      <c r="M211" s="184" t="s">
        <v>598</v>
      </c>
      <c r="N211" s="184" t="s">
        <v>63</v>
      </c>
      <c r="O211" s="184" t="s">
        <v>598</v>
      </c>
      <c r="P211" s="186" t="s">
        <v>44</v>
      </c>
      <c r="Q211" s="184" t="s">
        <v>598</v>
      </c>
      <c r="R211" s="184" t="s">
        <v>598</v>
      </c>
      <c r="S211" s="127">
        <v>42893</v>
      </c>
      <c r="T211" s="184" t="s">
        <v>34</v>
      </c>
      <c r="U211" s="184" t="s">
        <v>598</v>
      </c>
      <c r="V211" s="185">
        <v>1000</v>
      </c>
      <c r="W211" s="184" t="s">
        <v>493</v>
      </c>
      <c r="X211" s="184" t="s">
        <v>598</v>
      </c>
      <c r="Y211" s="185">
        <v>0</v>
      </c>
      <c r="Z211" s="184" t="s">
        <v>598</v>
      </c>
      <c r="AA211" s="21" t="s">
        <v>610</v>
      </c>
      <c r="AB211" s="176" t="s">
        <v>489</v>
      </c>
      <c r="AC211" s="172">
        <v>42996.328472222223</v>
      </c>
      <c r="AD211" s="32" t="s">
        <v>552</v>
      </c>
    </row>
    <row r="212" spans="1:30">
      <c r="A212" s="184">
        <v>211</v>
      </c>
      <c r="B212" s="184" t="s">
        <v>1028</v>
      </c>
      <c r="C212" s="184" t="s">
        <v>598</v>
      </c>
      <c r="D212" s="127">
        <v>42894</v>
      </c>
      <c r="E212" s="127" t="s">
        <v>598</v>
      </c>
      <c r="F212" s="184" t="s">
        <v>1029</v>
      </c>
      <c r="G212" s="185">
        <v>0</v>
      </c>
      <c r="H212" s="184" t="s">
        <v>598</v>
      </c>
      <c r="I212" s="184" t="s">
        <v>598</v>
      </c>
      <c r="J212" s="184" t="s">
        <v>102</v>
      </c>
      <c r="K212" s="184" t="s">
        <v>236</v>
      </c>
      <c r="L212" s="184" t="s">
        <v>598</v>
      </c>
      <c r="M212" s="184" t="s">
        <v>598</v>
      </c>
      <c r="N212" s="184" t="s">
        <v>63</v>
      </c>
      <c r="O212" s="184" t="s">
        <v>63</v>
      </c>
      <c r="P212" s="186" t="s">
        <v>67</v>
      </c>
      <c r="Q212" s="184" t="s">
        <v>598</v>
      </c>
      <c r="R212" s="184" t="s">
        <v>598</v>
      </c>
      <c r="S212" s="127">
        <v>42907</v>
      </c>
      <c r="T212" s="184" t="s">
        <v>10</v>
      </c>
      <c r="U212" s="184" t="s">
        <v>598</v>
      </c>
      <c r="V212" s="185">
        <v>7500</v>
      </c>
      <c r="W212" s="184" t="s">
        <v>493</v>
      </c>
      <c r="X212" s="184" t="s">
        <v>598</v>
      </c>
      <c r="Y212" s="185">
        <v>0</v>
      </c>
      <c r="Z212" s="184" t="s">
        <v>598</v>
      </c>
      <c r="AA212" s="21" t="s">
        <v>610</v>
      </c>
      <c r="AB212" s="176" t="s">
        <v>489</v>
      </c>
      <c r="AC212" s="172">
        <v>42996.328472222223</v>
      </c>
      <c r="AD212" s="32" t="s">
        <v>552</v>
      </c>
    </row>
    <row r="213" spans="1:30">
      <c r="A213" s="184">
        <v>212</v>
      </c>
      <c r="B213" s="184" t="s">
        <v>1030</v>
      </c>
      <c r="C213" s="184" t="s">
        <v>598</v>
      </c>
      <c r="D213" s="127">
        <v>42894</v>
      </c>
      <c r="E213" s="127" t="s">
        <v>598</v>
      </c>
      <c r="F213" s="184" t="s">
        <v>1031</v>
      </c>
      <c r="G213" s="185">
        <v>0</v>
      </c>
      <c r="H213" s="184" t="s">
        <v>598</v>
      </c>
      <c r="I213" s="184" t="s">
        <v>598</v>
      </c>
      <c r="J213" s="184" t="s">
        <v>102</v>
      </c>
      <c r="K213" s="184" t="s">
        <v>233</v>
      </c>
      <c r="L213" s="184" t="s">
        <v>598</v>
      </c>
      <c r="M213" s="184" t="s">
        <v>598</v>
      </c>
      <c r="N213" s="184" t="s">
        <v>63</v>
      </c>
      <c r="O213" s="184" t="s">
        <v>63</v>
      </c>
      <c r="P213" s="186" t="s">
        <v>602</v>
      </c>
      <c r="Q213" s="184" t="s">
        <v>598</v>
      </c>
      <c r="R213" s="184" t="s">
        <v>598</v>
      </c>
      <c r="S213" s="127">
        <v>42903</v>
      </c>
      <c r="T213" s="184" t="s">
        <v>34</v>
      </c>
      <c r="U213" s="184" t="s">
        <v>598</v>
      </c>
      <c r="V213" s="185">
        <v>6000</v>
      </c>
      <c r="W213" s="184" t="s">
        <v>493</v>
      </c>
      <c r="X213" s="184" t="s">
        <v>598</v>
      </c>
      <c r="Y213" s="185">
        <v>0</v>
      </c>
      <c r="Z213" s="184" t="s">
        <v>598</v>
      </c>
      <c r="AA213" s="21" t="s">
        <v>610</v>
      </c>
      <c r="AB213" s="176" t="s">
        <v>489</v>
      </c>
      <c r="AC213" s="172">
        <v>42996.328472222223</v>
      </c>
      <c r="AD213" s="32" t="s">
        <v>552</v>
      </c>
    </row>
    <row r="214" spans="1:30">
      <c r="A214" s="184">
        <v>213</v>
      </c>
      <c r="B214" s="184" t="s">
        <v>1032</v>
      </c>
      <c r="C214" s="184" t="s">
        <v>598</v>
      </c>
      <c r="D214" s="127">
        <v>42894</v>
      </c>
      <c r="E214" s="127" t="s">
        <v>598</v>
      </c>
      <c r="F214" s="184" t="s">
        <v>1033</v>
      </c>
      <c r="G214" s="185">
        <v>0</v>
      </c>
      <c r="H214" s="184" t="s">
        <v>598</v>
      </c>
      <c r="I214" s="184" t="s">
        <v>598</v>
      </c>
      <c r="J214" s="184" t="s">
        <v>102</v>
      </c>
      <c r="K214" s="184" t="s">
        <v>236</v>
      </c>
      <c r="L214" s="184" t="s">
        <v>598</v>
      </c>
      <c r="M214" s="184" t="s">
        <v>598</v>
      </c>
      <c r="N214" s="184" t="s">
        <v>63</v>
      </c>
      <c r="O214" s="184" t="s">
        <v>63</v>
      </c>
      <c r="P214" s="186" t="s">
        <v>603</v>
      </c>
      <c r="Q214" s="184" t="s">
        <v>598</v>
      </c>
      <c r="R214" s="184" t="s">
        <v>598</v>
      </c>
      <c r="S214" s="127">
        <v>42903</v>
      </c>
      <c r="T214" s="184" t="s">
        <v>10</v>
      </c>
      <c r="U214" s="184" t="s">
        <v>598</v>
      </c>
      <c r="V214" s="185">
        <v>5000</v>
      </c>
      <c r="W214" s="184" t="s">
        <v>493</v>
      </c>
      <c r="X214" s="184" t="s">
        <v>598</v>
      </c>
      <c r="Y214" s="185">
        <v>0</v>
      </c>
      <c r="Z214" s="184" t="s">
        <v>598</v>
      </c>
      <c r="AA214" s="21" t="s">
        <v>610</v>
      </c>
      <c r="AB214" s="176" t="s">
        <v>489</v>
      </c>
      <c r="AC214" s="172">
        <v>42996.328472222223</v>
      </c>
      <c r="AD214" s="32" t="s">
        <v>552</v>
      </c>
    </row>
    <row r="215" spans="1:30">
      <c r="A215" s="184">
        <v>214</v>
      </c>
      <c r="B215" s="184" t="s">
        <v>1034</v>
      </c>
      <c r="C215" s="184" t="s">
        <v>598</v>
      </c>
      <c r="D215" s="127">
        <v>42894</v>
      </c>
      <c r="E215" s="127" t="s">
        <v>598</v>
      </c>
      <c r="F215" s="184" t="s">
        <v>1033</v>
      </c>
      <c r="G215" s="185">
        <v>0</v>
      </c>
      <c r="H215" s="184" t="s">
        <v>598</v>
      </c>
      <c r="I215" s="184" t="s">
        <v>598</v>
      </c>
      <c r="J215" s="184" t="s">
        <v>102</v>
      </c>
      <c r="K215" s="184" t="s">
        <v>236</v>
      </c>
      <c r="L215" s="184" t="s">
        <v>598</v>
      </c>
      <c r="M215" s="184" t="s">
        <v>598</v>
      </c>
      <c r="N215" s="184" t="s">
        <v>63</v>
      </c>
      <c r="O215" s="184" t="s">
        <v>63</v>
      </c>
      <c r="P215" s="186" t="s">
        <v>604</v>
      </c>
      <c r="Q215" s="184" t="s">
        <v>598</v>
      </c>
      <c r="R215" s="184" t="s">
        <v>598</v>
      </c>
      <c r="S215" s="127">
        <v>42903</v>
      </c>
      <c r="T215" s="184" t="s">
        <v>10</v>
      </c>
      <c r="U215" s="184" t="s">
        <v>598</v>
      </c>
      <c r="V215" s="185">
        <v>4000</v>
      </c>
      <c r="W215" s="184" t="s">
        <v>493</v>
      </c>
      <c r="X215" s="184" t="s">
        <v>598</v>
      </c>
      <c r="Y215" s="185">
        <v>0</v>
      </c>
      <c r="Z215" s="184" t="s">
        <v>598</v>
      </c>
      <c r="AA215" s="21" t="s">
        <v>610</v>
      </c>
      <c r="AB215" s="176" t="s">
        <v>489</v>
      </c>
      <c r="AC215" s="172">
        <v>42996.328472222223</v>
      </c>
      <c r="AD215" s="32" t="s">
        <v>552</v>
      </c>
    </row>
    <row r="216" spans="1:30">
      <c r="A216" s="184">
        <v>215</v>
      </c>
      <c r="B216" s="184" t="s">
        <v>1035</v>
      </c>
      <c r="C216" s="184" t="s">
        <v>598</v>
      </c>
      <c r="D216" s="127">
        <v>42894</v>
      </c>
      <c r="E216" s="127" t="s">
        <v>598</v>
      </c>
      <c r="F216" s="184" t="s">
        <v>1036</v>
      </c>
      <c r="G216" s="185">
        <v>0</v>
      </c>
      <c r="H216" s="184" t="s">
        <v>598</v>
      </c>
      <c r="I216" s="184" t="s">
        <v>598</v>
      </c>
      <c r="J216" s="184" t="s">
        <v>102</v>
      </c>
      <c r="K216" s="184" t="s">
        <v>236</v>
      </c>
      <c r="L216" s="184" t="s">
        <v>598</v>
      </c>
      <c r="M216" s="184" t="s">
        <v>598</v>
      </c>
      <c r="N216" s="184" t="s">
        <v>63</v>
      </c>
      <c r="O216" s="184" t="s">
        <v>63</v>
      </c>
      <c r="P216" s="186" t="s">
        <v>605</v>
      </c>
      <c r="Q216" s="184" t="s">
        <v>598</v>
      </c>
      <c r="R216" s="184" t="s">
        <v>598</v>
      </c>
      <c r="S216" s="127">
        <v>42899</v>
      </c>
      <c r="T216" s="184" t="s">
        <v>34</v>
      </c>
      <c r="U216" s="184" t="s">
        <v>598</v>
      </c>
      <c r="V216" s="185">
        <v>5000</v>
      </c>
      <c r="W216" s="184" t="s">
        <v>493</v>
      </c>
      <c r="X216" s="184" t="s">
        <v>598</v>
      </c>
      <c r="Y216" s="185">
        <v>0</v>
      </c>
      <c r="Z216" s="184" t="s">
        <v>598</v>
      </c>
      <c r="AA216" s="21" t="s">
        <v>610</v>
      </c>
      <c r="AB216" s="176" t="s">
        <v>489</v>
      </c>
      <c r="AC216" s="172">
        <v>42996.328472222223</v>
      </c>
      <c r="AD216" s="32" t="s">
        <v>552</v>
      </c>
    </row>
    <row r="217" spans="1:30">
      <c r="A217" s="184">
        <v>216</v>
      </c>
      <c r="B217" s="184" t="s">
        <v>1037</v>
      </c>
      <c r="C217" s="184" t="s">
        <v>598</v>
      </c>
      <c r="D217" s="127">
        <v>42896</v>
      </c>
      <c r="E217" s="127" t="s">
        <v>598</v>
      </c>
      <c r="F217" s="184" t="s">
        <v>1038</v>
      </c>
      <c r="G217" s="185">
        <v>0</v>
      </c>
      <c r="H217" s="184" t="s">
        <v>598</v>
      </c>
      <c r="I217" s="184" t="s">
        <v>598</v>
      </c>
      <c r="J217" s="184" t="s">
        <v>102</v>
      </c>
      <c r="K217" s="184" t="s">
        <v>236</v>
      </c>
      <c r="L217" s="184" t="s">
        <v>598</v>
      </c>
      <c r="M217" s="184" t="s">
        <v>598</v>
      </c>
      <c r="N217" s="184" t="s">
        <v>63</v>
      </c>
      <c r="O217" s="184" t="s">
        <v>63</v>
      </c>
      <c r="P217" s="186" t="s">
        <v>606</v>
      </c>
      <c r="Q217" s="184" t="s">
        <v>598</v>
      </c>
      <c r="R217" s="184" t="s">
        <v>598</v>
      </c>
      <c r="S217" s="127" t="s">
        <v>598</v>
      </c>
      <c r="T217" s="184" t="s">
        <v>598</v>
      </c>
      <c r="U217" s="184" t="s">
        <v>598</v>
      </c>
      <c r="V217" s="185">
        <v>0</v>
      </c>
      <c r="W217" s="184" t="s">
        <v>485</v>
      </c>
      <c r="X217" s="184" t="s">
        <v>598</v>
      </c>
      <c r="Y217" s="185">
        <v>0</v>
      </c>
      <c r="Z217" s="184" t="s">
        <v>598</v>
      </c>
      <c r="AA217" s="21" t="s">
        <v>610</v>
      </c>
      <c r="AB217" s="176" t="s">
        <v>489</v>
      </c>
      <c r="AC217" s="172">
        <v>42996.328472222223</v>
      </c>
      <c r="AD217" s="32" t="s">
        <v>552</v>
      </c>
    </row>
    <row r="218" spans="1:30">
      <c r="A218" s="184">
        <v>217</v>
      </c>
      <c r="B218" s="184" t="s">
        <v>1039</v>
      </c>
      <c r="C218" s="184" t="s">
        <v>598</v>
      </c>
      <c r="D218" s="127">
        <v>42899</v>
      </c>
      <c r="E218" s="127" t="s">
        <v>598</v>
      </c>
      <c r="F218" s="184" t="s">
        <v>1040</v>
      </c>
      <c r="G218" s="185">
        <v>0</v>
      </c>
      <c r="H218" s="184" t="s">
        <v>598</v>
      </c>
      <c r="I218" s="184" t="s">
        <v>134</v>
      </c>
      <c r="J218" s="184" t="s">
        <v>102</v>
      </c>
      <c r="K218" s="184" t="s">
        <v>232</v>
      </c>
      <c r="L218" s="184" t="s">
        <v>598</v>
      </c>
      <c r="M218" s="184" t="s">
        <v>598</v>
      </c>
      <c r="N218" s="184" t="s">
        <v>63</v>
      </c>
      <c r="O218" s="184" t="s">
        <v>86</v>
      </c>
      <c r="P218" s="186" t="s">
        <v>607</v>
      </c>
      <c r="Q218" s="184" t="s">
        <v>598</v>
      </c>
      <c r="R218" s="184" t="s">
        <v>598</v>
      </c>
      <c r="S218" s="127">
        <v>42899</v>
      </c>
      <c r="T218" s="184" t="s">
        <v>34</v>
      </c>
      <c r="U218" s="184" t="s">
        <v>598</v>
      </c>
      <c r="V218" s="185">
        <v>1000</v>
      </c>
      <c r="W218" s="184" t="s">
        <v>493</v>
      </c>
      <c r="X218" s="184" t="s">
        <v>598</v>
      </c>
      <c r="Y218" s="185">
        <v>0</v>
      </c>
      <c r="Z218" s="184" t="s">
        <v>598</v>
      </c>
      <c r="AA218" s="21" t="s">
        <v>610</v>
      </c>
      <c r="AB218" s="176" t="s">
        <v>489</v>
      </c>
      <c r="AC218" s="172">
        <v>42996.328472222223</v>
      </c>
      <c r="AD218" s="32" t="s">
        <v>552</v>
      </c>
    </row>
    <row r="219" spans="1:30">
      <c r="A219" s="184">
        <v>218</v>
      </c>
      <c r="B219" s="184" t="s">
        <v>1041</v>
      </c>
      <c r="C219" s="184" t="s">
        <v>598</v>
      </c>
      <c r="D219" s="127">
        <v>42899</v>
      </c>
      <c r="E219" s="127" t="s">
        <v>598</v>
      </c>
      <c r="F219" s="184" t="s">
        <v>1042</v>
      </c>
      <c r="G219" s="185">
        <v>0</v>
      </c>
      <c r="H219" s="184" t="s">
        <v>598</v>
      </c>
      <c r="I219" s="184" t="s">
        <v>598</v>
      </c>
      <c r="J219" s="184" t="s">
        <v>102</v>
      </c>
      <c r="K219" s="184" t="s">
        <v>169</v>
      </c>
      <c r="L219" s="184" t="s">
        <v>598</v>
      </c>
      <c r="M219" s="184" t="s">
        <v>598</v>
      </c>
      <c r="N219" s="184" t="s">
        <v>63</v>
      </c>
      <c r="O219" s="184" t="s">
        <v>86</v>
      </c>
      <c r="P219" s="186" t="s">
        <v>73</v>
      </c>
      <c r="Q219" s="184" t="s">
        <v>598</v>
      </c>
      <c r="R219" s="184" t="s">
        <v>598</v>
      </c>
      <c r="S219" s="127">
        <v>42902</v>
      </c>
      <c r="T219" s="184" t="s">
        <v>34</v>
      </c>
      <c r="U219" s="184" t="s">
        <v>598</v>
      </c>
      <c r="V219" s="185">
        <v>3500</v>
      </c>
      <c r="W219" s="184" t="s">
        <v>493</v>
      </c>
      <c r="X219" s="184" t="s">
        <v>598</v>
      </c>
      <c r="Y219" s="185">
        <v>0</v>
      </c>
      <c r="Z219" s="184" t="s">
        <v>598</v>
      </c>
      <c r="AA219" s="21" t="s">
        <v>610</v>
      </c>
      <c r="AB219" s="176" t="s">
        <v>489</v>
      </c>
      <c r="AC219" s="172">
        <v>42996.328472222223</v>
      </c>
      <c r="AD219" s="32" t="s">
        <v>552</v>
      </c>
    </row>
    <row r="220" spans="1:30">
      <c r="A220" s="184">
        <v>219</v>
      </c>
      <c r="B220" s="184" t="s">
        <v>1043</v>
      </c>
      <c r="C220" s="184" t="s">
        <v>598</v>
      </c>
      <c r="D220" s="127">
        <v>42899</v>
      </c>
      <c r="E220" s="127" t="s">
        <v>598</v>
      </c>
      <c r="F220" s="184" t="s">
        <v>1044</v>
      </c>
      <c r="G220" s="185">
        <v>0</v>
      </c>
      <c r="H220" s="184" t="s">
        <v>598</v>
      </c>
      <c r="I220" s="184" t="s">
        <v>598</v>
      </c>
      <c r="J220" s="184" t="s">
        <v>102</v>
      </c>
      <c r="K220" s="184" t="s">
        <v>169</v>
      </c>
      <c r="L220" s="184" t="s">
        <v>598</v>
      </c>
      <c r="M220" s="184" t="s">
        <v>598</v>
      </c>
      <c r="N220" s="184" t="s">
        <v>63</v>
      </c>
      <c r="O220" s="184" t="s">
        <v>86</v>
      </c>
      <c r="P220" s="186" t="s">
        <v>601</v>
      </c>
      <c r="Q220" s="184" t="s">
        <v>598</v>
      </c>
      <c r="R220" s="184" t="s">
        <v>598</v>
      </c>
      <c r="S220" s="127">
        <v>42906</v>
      </c>
      <c r="T220" s="184" t="s">
        <v>34</v>
      </c>
      <c r="U220" s="184" t="s">
        <v>598</v>
      </c>
      <c r="V220" s="185">
        <v>3000</v>
      </c>
      <c r="W220" s="184" t="s">
        <v>493</v>
      </c>
      <c r="X220" s="184" t="s">
        <v>598</v>
      </c>
      <c r="Y220" s="185">
        <v>0</v>
      </c>
      <c r="Z220" s="184" t="s">
        <v>598</v>
      </c>
      <c r="AA220" s="21" t="s">
        <v>610</v>
      </c>
      <c r="AB220" s="176" t="s">
        <v>489</v>
      </c>
      <c r="AC220" s="172">
        <v>42996.328472222223</v>
      </c>
      <c r="AD220" s="32" t="s">
        <v>552</v>
      </c>
    </row>
    <row r="221" spans="1:30">
      <c r="A221" s="184">
        <v>220</v>
      </c>
      <c r="B221" s="184" t="s">
        <v>1045</v>
      </c>
      <c r="C221" s="184" t="s">
        <v>598</v>
      </c>
      <c r="D221" s="127">
        <v>42899</v>
      </c>
      <c r="E221" s="127" t="s">
        <v>598</v>
      </c>
      <c r="F221" s="184" t="s">
        <v>1046</v>
      </c>
      <c r="G221" s="185">
        <v>0</v>
      </c>
      <c r="H221" s="184" t="s">
        <v>598</v>
      </c>
      <c r="I221" s="184" t="s">
        <v>598</v>
      </c>
      <c r="J221" s="184" t="s">
        <v>102</v>
      </c>
      <c r="K221" s="184" t="s">
        <v>1047</v>
      </c>
      <c r="L221" s="184" t="s">
        <v>598</v>
      </c>
      <c r="M221" s="184" t="s">
        <v>598</v>
      </c>
      <c r="N221" s="184" t="s">
        <v>63</v>
      </c>
      <c r="O221" s="184" t="s">
        <v>63</v>
      </c>
      <c r="P221" s="186" t="s">
        <v>32</v>
      </c>
      <c r="Q221" s="184" t="s">
        <v>598</v>
      </c>
      <c r="R221" s="184" t="s">
        <v>598</v>
      </c>
      <c r="S221" s="127" t="s">
        <v>598</v>
      </c>
      <c r="T221" s="184" t="s">
        <v>598</v>
      </c>
      <c r="U221" s="184" t="s">
        <v>598</v>
      </c>
      <c r="V221" s="185">
        <v>0</v>
      </c>
      <c r="W221" s="184" t="s">
        <v>89</v>
      </c>
      <c r="X221" s="184" t="s">
        <v>598</v>
      </c>
      <c r="Y221" s="185">
        <v>0</v>
      </c>
      <c r="Z221" s="184" t="s">
        <v>598</v>
      </c>
      <c r="AA221" s="21" t="s">
        <v>822</v>
      </c>
      <c r="AB221" s="176" t="s">
        <v>489</v>
      </c>
      <c r="AC221" s="172">
        <v>42996.328472222223</v>
      </c>
      <c r="AD221" s="32" t="s">
        <v>552</v>
      </c>
    </row>
    <row r="222" spans="1:30">
      <c r="A222" s="184">
        <v>221</v>
      </c>
      <c r="B222" s="184" t="s">
        <v>1048</v>
      </c>
      <c r="C222" s="184" t="s">
        <v>598</v>
      </c>
      <c r="D222" s="127">
        <v>42899</v>
      </c>
      <c r="E222" s="127" t="s">
        <v>598</v>
      </c>
      <c r="F222" s="184" t="s">
        <v>1049</v>
      </c>
      <c r="G222" s="185">
        <v>0</v>
      </c>
      <c r="H222" s="184" t="s">
        <v>598</v>
      </c>
      <c r="I222" s="184" t="s">
        <v>598</v>
      </c>
      <c r="J222" s="184" t="s">
        <v>102</v>
      </c>
      <c r="K222" s="184" t="s">
        <v>1050</v>
      </c>
      <c r="L222" s="184" t="s">
        <v>598</v>
      </c>
      <c r="M222" s="184" t="s">
        <v>598</v>
      </c>
      <c r="N222" s="184" t="s">
        <v>63</v>
      </c>
      <c r="O222" s="184" t="s">
        <v>63</v>
      </c>
      <c r="P222" s="186" t="s">
        <v>53</v>
      </c>
      <c r="Q222" s="184" t="s">
        <v>598</v>
      </c>
      <c r="R222" s="184" t="s">
        <v>598</v>
      </c>
      <c r="S222" s="127">
        <v>42905</v>
      </c>
      <c r="T222" s="184" t="s">
        <v>34</v>
      </c>
      <c r="U222" s="184" t="s">
        <v>598</v>
      </c>
      <c r="V222" s="185">
        <v>3500</v>
      </c>
      <c r="W222" s="184" t="s">
        <v>493</v>
      </c>
      <c r="X222" s="184" t="s">
        <v>598</v>
      </c>
      <c r="Y222" s="185">
        <v>0</v>
      </c>
      <c r="Z222" s="184" t="s">
        <v>598</v>
      </c>
      <c r="AA222" s="21" t="s">
        <v>610</v>
      </c>
      <c r="AB222" s="176" t="s">
        <v>489</v>
      </c>
      <c r="AC222" s="172">
        <v>42996.328472222223</v>
      </c>
      <c r="AD222" s="32" t="s">
        <v>552</v>
      </c>
    </row>
    <row r="223" spans="1:30">
      <c r="A223" s="184">
        <v>222</v>
      </c>
      <c r="B223" s="184" t="s">
        <v>1051</v>
      </c>
      <c r="C223" s="184" t="s">
        <v>598</v>
      </c>
      <c r="D223" s="127">
        <v>42900</v>
      </c>
      <c r="E223" s="127" t="s">
        <v>598</v>
      </c>
      <c r="F223" s="184" t="s">
        <v>1052</v>
      </c>
      <c r="G223" s="185">
        <v>0</v>
      </c>
      <c r="H223" s="184" t="s">
        <v>598</v>
      </c>
      <c r="I223" s="184" t="s">
        <v>598</v>
      </c>
      <c r="J223" s="184" t="s">
        <v>102</v>
      </c>
      <c r="K223" s="184" t="s">
        <v>1053</v>
      </c>
      <c r="L223" s="184" t="s">
        <v>598</v>
      </c>
      <c r="M223" s="184" t="s">
        <v>598</v>
      </c>
      <c r="N223" s="184" t="s">
        <v>63</v>
      </c>
      <c r="O223" s="184" t="s">
        <v>63</v>
      </c>
      <c r="P223" s="186" t="s">
        <v>44</v>
      </c>
      <c r="Q223" s="184" t="s">
        <v>598</v>
      </c>
      <c r="R223" s="184" t="s">
        <v>598</v>
      </c>
      <c r="S223" s="127">
        <v>42900</v>
      </c>
      <c r="T223" s="184" t="s">
        <v>34</v>
      </c>
      <c r="U223" s="184" t="s">
        <v>598</v>
      </c>
      <c r="V223" s="185">
        <v>1000</v>
      </c>
      <c r="W223" s="184" t="s">
        <v>549</v>
      </c>
      <c r="X223" s="184" t="s">
        <v>598</v>
      </c>
      <c r="Y223" s="185">
        <v>0</v>
      </c>
      <c r="Z223" s="184" t="s">
        <v>493</v>
      </c>
      <c r="AA223" s="21" t="s">
        <v>822</v>
      </c>
      <c r="AB223" s="176" t="s">
        <v>489</v>
      </c>
      <c r="AC223" s="172">
        <v>42996.328472222223</v>
      </c>
      <c r="AD223" s="32" t="s">
        <v>552</v>
      </c>
    </row>
    <row r="224" spans="1:30">
      <c r="A224" s="184">
        <v>223</v>
      </c>
      <c r="B224" s="184" t="s">
        <v>1054</v>
      </c>
      <c r="C224" s="184" t="s">
        <v>598</v>
      </c>
      <c r="D224" s="127">
        <v>42900</v>
      </c>
      <c r="E224" s="127" t="s">
        <v>598</v>
      </c>
      <c r="F224" s="184" t="s">
        <v>1055</v>
      </c>
      <c r="G224" s="185">
        <v>0</v>
      </c>
      <c r="H224" s="184" t="s">
        <v>598</v>
      </c>
      <c r="I224" s="184" t="s">
        <v>598</v>
      </c>
      <c r="J224" s="184" t="s">
        <v>102</v>
      </c>
      <c r="K224" s="184" t="s">
        <v>1053</v>
      </c>
      <c r="L224" s="184" t="s">
        <v>598</v>
      </c>
      <c r="M224" s="184" t="s">
        <v>598</v>
      </c>
      <c r="N224" s="184" t="s">
        <v>63</v>
      </c>
      <c r="O224" s="184" t="s">
        <v>63</v>
      </c>
      <c r="P224" s="186" t="s">
        <v>67</v>
      </c>
      <c r="Q224" s="184" t="s">
        <v>598</v>
      </c>
      <c r="R224" s="184" t="s">
        <v>598</v>
      </c>
      <c r="S224" s="127">
        <v>42900</v>
      </c>
      <c r="T224" s="184" t="s">
        <v>34</v>
      </c>
      <c r="U224" s="184" t="s">
        <v>598</v>
      </c>
      <c r="V224" s="185">
        <v>1000</v>
      </c>
      <c r="W224" s="184" t="s">
        <v>549</v>
      </c>
      <c r="X224" s="184" t="s">
        <v>598</v>
      </c>
      <c r="Y224" s="185">
        <v>0</v>
      </c>
      <c r="Z224" s="184" t="s">
        <v>493</v>
      </c>
      <c r="AA224" s="21" t="s">
        <v>822</v>
      </c>
      <c r="AB224" s="176" t="s">
        <v>489</v>
      </c>
      <c r="AC224" s="172">
        <v>42996.328472222223</v>
      </c>
      <c r="AD224" s="32" t="s">
        <v>552</v>
      </c>
    </row>
    <row r="225" spans="1:30">
      <c r="A225" s="184">
        <v>224</v>
      </c>
      <c r="B225" s="184" t="s">
        <v>1056</v>
      </c>
      <c r="C225" s="184" t="s">
        <v>598</v>
      </c>
      <c r="D225" s="127">
        <v>42901</v>
      </c>
      <c r="E225" s="127" t="s">
        <v>598</v>
      </c>
      <c r="F225" s="184" t="s">
        <v>1023</v>
      </c>
      <c r="G225" s="185">
        <v>0</v>
      </c>
      <c r="H225" s="184" t="s">
        <v>598</v>
      </c>
      <c r="I225" s="184" t="s">
        <v>598</v>
      </c>
      <c r="J225" s="184" t="s">
        <v>102</v>
      </c>
      <c r="K225" s="184" t="s">
        <v>234</v>
      </c>
      <c r="L225" s="184" t="s">
        <v>598</v>
      </c>
      <c r="M225" s="184" t="s">
        <v>598</v>
      </c>
      <c r="N225" s="184" t="s">
        <v>63</v>
      </c>
      <c r="O225" s="184" t="s">
        <v>86</v>
      </c>
      <c r="P225" s="186" t="s">
        <v>602</v>
      </c>
      <c r="Q225" s="184" t="s">
        <v>598</v>
      </c>
      <c r="R225" s="184" t="s">
        <v>598</v>
      </c>
      <c r="S225" s="127">
        <v>42901</v>
      </c>
      <c r="T225" s="184" t="s">
        <v>34</v>
      </c>
      <c r="U225" s="184" t="s">
        <v>598</v>
      </c>
      <c r="V225" s="185">
        <v>1000</v>
      </c>
      <c r="W225" s="184" t="s">
        <v>549</v>
      </c>
      <c r="X225" s="184" t="s">
        <v>598</v>
      </c>
      <c r="Y225" s="185">
        <v>0</v>
      </c>
      <c r="Z225" s="184" t="s">
        <v>493</v>
      </c>
      <c r="AA225" s="21" t="s">
        <v>822</v>
      </c>
      <c r="AB225" s="176" t="s">
        <v>489</v>
      </c>
      <c r="AC225" s="172">
        <v>42996.328472222223</v>
      </c>
      <c r="AD225" s="32" t="s">
        <v>552</v>
      </c>
    </row>
    <row r="226" spans="1:30">
      <c r="A226" s="184">
        <v>225</v>
      </c>
      <c r="B226" s="184" t="s">
        <v>1057</v>
      </c>
      <c r="C226" s="184" t="s">
        <v>598</v>
      </c>
      <c r="D226" s="127">
        <v>42901</v>
      </c>
      <c r="E226" s="127" t="s">
        <v>598</v>
      </c>
      <c r="F226" s="184" t="s">
        <v>1058</v>
      </c>
      <c r="G226" s="185">
        <v>0</v>
      </c>
      <c r="H226" s="184" t="s">
        <v>598</v>
      </c>
      <c r="I226" s="184" t="s">
        <v>132</v>
      </c>
      <c r="J226" s="184" t="s">
        <v>102</v>
      </c>
      <c r="K226" s="184" t="s">
        <v>233</v>
      </c>
      <c r="L226" s="184" t="s">
        <v>598</v>
      </c>
      <c r="M226" s="184" t="s">
        <v>598</v>
      </c>
      <c r="N226" s="184" t="s">
        <v>63</v>
      </c>
      <c r="O226" s="184" t="s">
        <v>63</v>
      </c>
      <c r="P226" s="186" t="s">
        <v>603</v>
      </c>
      <c r="Q226" s="184" t="s">
        <v>598</v>
      </c>
      <c r="R226" s="184" t="s">
        <v>598</v>
      </c>
      <c r="S226" s="127" t="s">
        <v>598</v>
      </c>
      <c r="T226" s="184" t="s">
        <v>598</v>
      </c>
      <c r="U226" s="184" t="s">
        <v>598</v>
      </c>
      <c r="V226" s="185">
        <v>0</v>
      </c>
      <c r="W226" s="184" t="s">
        <v>557</v>
      </c>
      <c r="X226" s="184" t="s">
        <v>598</v>
      </c>
      <c r="Y226" s="185">
        <v>0</v>
      </c>
      <c r="Z226" s="184" t="s">
        <v>598</v>
      </c>
      <c r="AA226" s="21" t="s">
        <v>822</v>
      </c>
      <c r="AB226" s="176" t="s">
        <v>489</v>
      </c>
      <c r="AC226" s="172">
        <v>42996.328472222223</v>
      </c>
      <c r="AD226" s="32" t="s">
        <v>552</v>
      </c>
    </row>
    <row r="227" spans="1:30">
      <c r="A227" s="184">
        <v>226</v>
      </c>
      <c r="B227" s="184" t="s">
        <v>1059</v>
      </c>
      <c r="C227" s="184" t="s">
        <v>598</v>
      </c>
      <c r="D227" s="127">
        <v>42902</v>
      </c>
      <c r="E227" s="127" t="s">
        <v>598</v>
      </c>
      <c r="F227" s="184" t="s">
        <v>1060</v>
      </c>
      <c r="G227" s="185">
        <v>0</v>
      </c>
      <c r="H227" s="184" t="s">
        <v>598</v>
      </c>
      <c r="I227" s="184" t="s">
        <v>598</v>
      </c>
      <c r="J227" s="184" t="s">
        <v>102</v>
      </c>
      <c r="K227" s="184" t="s">
        <v>233</v>
      </c>
      <c r="L227" s="184" t="s">
        <v>598</v>
      </c>
      <c r="M227" s="184" t="s">
        <v>598</v>
      </c>
      <c r="N227" s="184" t="s">
        <v>63</v>
      </c>
      <c r="O227" s="184" t="s">
        <v>63</v>
      </c>
      <c r="P227" s="186" t="s">
        <v>604</v>
      </c>
      <c r="Q227" s="184" t="s">
        <v>598</v>
      </c>
      <c r="R227" s="184" t="s">
        <v>598</v>
      </c>
      <c r="S227" s="127" t="s">
        <v>598</v>
      </c>
      <c r="T227" s="184" t="s">
        <v>598</v>
      </c>
      <c r="U227" s="184" t="s">
        <v>598</v>
      </c>
      <c r="V227" s="185">
        <v>0</v>
      </c>
      <c r="W227" s="184" t="s">
        <v>485</v>
      </c>
      <c r="X227" s="184" t="s">
        <v>598</v>
      </c>
      <c r="Y227" s="185">
        <v>0</v>
      </c>
      <c r="Z227" s="184" t="s">
        <v>598</v>
      </c>
      <c r="AA227" s="21" t="s">
        <v>610</v>
      </c>
      <c r="AB227" s="176" t="s">
        <v>489</v>
      </c>
      <c r="AC227" s="172">
        <v>42996.328472222223</v>
      </c>
      <c r="AD227" s="32" t="s">
        <v>552</v>
      </c>
    </row>
    <row r="228" spans="1:30">
      <c r="A228" s="184">
        <v>227</v>
      </c>
      <c r="B228" s="184" t="s">
        <v>1061</v>
      </c>
      <c r="C228" s="184" t="s">
        <v>598</v>
      </c>
      <c r="D228" s="127">
        <v>42902</v>
      </c>
      <c r="E228" s="127" t="s">
        <v>598</v>
      </c>
      <c r="F228" s="184" t="s">
        <v>1062</v>
      </c>
      <c r="G228" s="185">
        <v>0</v>
      </c>
      <c r="H228" s="184" t="s">
        <v>598</v>
      </c>
      <c r="I228" s="184" t="s">
        <v>598</v>
      </c>
      <c r="J228" s="184" t="s">
        <v>102</v>
      </c>
      <c r="K228" s="184" t="s">
        <v>237</v>
      </c>
      <c r="L228" s="184" t="s">
        <v>598</v>
      </c>
      <c r="M228" s="184" t="s">
        <v>598</v>
      </c>
      <c r="N228" s="184" t="s">
        <v>63</v>
      </c>
      <c r="O228" s="184" t="s">
        <v>63</v>
      </c>
      <c r="P228" s="186" t="s">
        <v>605</v>
      </c>
      <c r="Q228" s="184" t="s">
        <v>598</v>
      </c>
      <c r="R228" s="184" t="s">
        <v>598</v>
      </c>
      <c r="S228" s="127" t="s">
        <v>598</v>
      </c>
      <c r="T228" s="184" t="s">
        <v>598</v>
      </c>
      <c r="U228" s="184" t="s">
        <v>598</v>
      </c>
      <c r="V228" s="185">
        <v>0</v>
      </c>
      <c r="W228" s="184" t="s">
        <v>557</v>
      </c>
      <c r="X228" s="184" t="s">
        <v>598</v>
      </c>
      <c r="Y228" s="185">
        <v>0</v>
      </c>
      <c r="Z228" s="184" t="s">
        <v>598</v>
      </c>
      <c r="AA228" s="21" t="s">
        <v>822</v>
      </c>
      <c r="AB228" s="176" t="s">
        <v>489</v>
      </c>
      <c r="AC228" s="172">
        <v>42996.328472222223</v>
      </c>
      <c r="AD228" s="32" t="s">
        <v>552</v>
      </c>
    </row>
    <row r="229" spans="1:30">
      <c r="A229" s="184">
        <v>228</v>
      </c>
      <c r="B229" s="184" t="s">
        <v>1063</v>
      </c>
      <c r="C229" s="184" t="s">
        <v>598</v>
      </c>
      <c r="D229" s="127">
        <v>42902</v>
      </c>
      <c r="E229" s="127" t="s">
        <v>598</v>
      </c>
      <c r="F229" s="184" t="s">
        <v>1064</v>
      </c>
      <c r="G229" s="185">
        <v>0</v>
      </c>
      <c r="H229" s="184" t="s">
        <v>598</v>
      </c>
      <c r="I229" s="184" t="s">
        <v>598</v>
      </c>
      <c r="J229" s="184" t="s">
        <v>102</v>
      </c>
      <c r="K229" s="184" t="s">
        <v>233</v>
      </c>
      <c r="L229" s="184" t="s">
        <v>598</v>
      </c>
      <c r="M229" s="184" t="s">
        <v>598</v>
      </c>
      <c r="N229" s="184" t="s">
        <v>63</v>
      </c>
      <c r="O229" s="184" t="s">
        <v>63</v>
      </c>
      <c r="P229" s="186" t="s">
        <v>606</v>
      </c>
      <c r="Q229" s="184" t="s">
        <v>598</v>
      </c>
      <c r="R229" s="184" t="s">
        <v>598</v>
      </c>
      <c r="S229" s="127" t="s">
        <v>598</v>
      </c>
      <c r="T229" s="184" t="s">
        <v>598</v>
      </c>
      <c r="U229" s="184" t="s">
        <v>598</v>
      </c>
      <c r="V229" s="185">
        <v>0</v>
      </c>
      <c r="W229" s="184" t="s">
        <v>485</v>
      </c>
      <c r="X229" s="184" t="s">
        <v>598</v>
      </c>
      <c r="Y229" s="185">
        <v>0</v>
      </c>
      <c r="Z229" s="184" t="s">
        <v>598</v>
      </c>
      <c r="AA229" s="21" t="s">
        <v>610</v>
      </c>
      <c r="AB229" s="176" t="s">
        <v>489</v>
      </c>
      <c r="AC229" s="172">
        <v>42996.328472222223</v>
      </c>
      <c r="AD229" s="32" t="s">
        <v>552</v>
      </c>
    </row>
    <row r="230" spans="1:30">
      <c r="A230" s="184">
        <v>229</v>
      </c>
      <c r="B230" s="184" t="s">
        <v>1065</v>
      </c>
      <c r="C230" s="184" t="s">
        <v>598</v>
      </c>
      <c r="D230" s="127">
        <v>42905</v>
      </c>
      <c r="E230" s="127" t="s">
        <v>598</v>
      </c>
      <c r="F230" s="184" t="s">
        <v>1066</v>
      </c>
      <c r="G230" s="185">
        <v>0</v>
      </c>
      <c r="H230" s="184" t="s">
        <v>598</v>
      </c>
      <c r="I230" s="184" t="s">
        <v>37</v>
      </c>
      <c r="J230" s="184" t="s">
        <v>102</v>
      </c>
      <c r="K230" s="184" t="s">
        <v>236</v>
      </c>
      <c r="L230" s="184" t="s">
        <v>598</v>
      </c>
      <c r="M230" s="184" t="s">
        <v>598</v>
      </c>
      <c r="N230" s="184" t="s">
        <v>63</v>
      </c>
      <c r="O230" s="184" t="s">
        <v>63</v>
      </c>
      <c r="P230" s="186" t="s">
        <v>607</v>
      </c>
      <c r="Q230" s="184" t="s">
        <v>598</v>
      </c>
      <c r="R230" s="184" t="s">
        <v>598</v>
      </c>
      <c r="S230" s="127" t="s">
        <v>598</v>
      </c>
      <c r="T230" s="184" t="s">
        <v>598</v>
      </c>
      <c r="U230" s="184" t="s">
        <v>598</v>
      </c>
      <c r="V230" s="185">
        <v>0</v>
      </c>
      <c r="W230" s="184" t="s">
        <v>485</v>
      </c>
      <c r="X230" s="184" t="s">
        <v>598</v>
      </c>
      <c r="Y230" s="185">
        <v>0</v>
      </c>
      <c r="Z230" s="184" t="s">
        <v>598</v>
      </c>
      <c r="AA230" s="21" t="s">
        <v>610</v>
      </c>
      <c r="AB230" s="176" t="s">
        <v>489</v>
      </c>
      <c r="AC230" s="172">
        <v>42996.328472222223</v>
      </c>
      <c r="AD230" s="32" t="s">
        <v>552</v>
      </c>
    </row>
    <row r="231" spans="1:30">
      <c r="A231" s="184">
        <v>230</v>
      </c>
      <c r="B231" s="184" t="s">
        <v>1067</v>
      </c>
      <c r="C231" s="184" t="s">
        <v>598</v>
      </c>
      <c r="D231" s="127">
        <v>42905</v>
      </c>
      <c r="E231" s="127" t="s">
        <v>598</v>
      </c>
      <c r="F231" s="184" t="s">
        <v>1068</v>
      </c>
      <c r="G231" s="185">
        <v>0</v>
      </c>
      <c r="H231" s="184" t="s">
        <v>598</v>
      </c>
      <c r="I231" s="184" t="s">
        <v>598</v>
      </c>
      <c r="J231" s="184" t="s">
        <v>102</v>
      </c>
      <c r="K231" s="184" t="s">
        <v>233</v>
      </c>
      <c r="L231" s="184" t="s">
        <v>598</v>
      </c>
      <c r="M231" s="184" t="s">
        <v>598</v>
      </c>
      <c r="N231" s="184" t="s">
        <v>63</v>
      </c>
      <c r="O231" s="184" t="s">
        <v>63</v>
      </c>
      <c r="P231" s="186" t="s">
        <v>73</v>
      </c>
      <c r="Q231" s="184" t="s">
        <v>598</v>
      </c>
      <c r="R231" s="184" t="s">
        <v>598</v>
      </c>
      <c r="S231" s="127">
        <v>42906</v>
      </c>
      <c r="T231" s="184" t="s">
        <v>34</v>
      </c>
      <c r="U231" s="184" t="s">
        <v>598</v>
      </c>
      <c r="V231" s="185">
        <v>4000</v>
      </c>
      <c r="W231" s="184" t="s">
        <v>493</v>
      </c>
      <c r="X231" s="184" t="s">
        <v>598</v>
      </c>
      <c r="Y231" s="185">
        <v>0</v>
      </c>
      <c r="Z231" s="184" t="s">
        <v>598</v>
      </c>
      <c r="AA231" s="21" t="s">
        <v>610</v>
      </c>
      <c r="AB231" s="176" t="s">
        <v>489</v>
      </c>
      <c r="AC231" s="172">
        <v>42996.328472222223</v>
      </c>
      <c r="AD231" s="32" t="s">
        <v>552</v>
      </c>
    </row>
    <row r="232" spans="1:30">
      <c r="A232" s="184">
        <v>231</v>
      </c>
      <c r="B232" s="184" t="s">
        <v>1069</v>
      </c>
      <c r="C232" s="184" t="s">
        <v>598</v>
      </c>
      <c r="D232" s="127">
        <v>42905</v>
      </c>
      <c r="E232" s="127" t="s">
        <v>598</v>
      </c>
      <c r="F232" s="184" t="s">
        <v>1070</v>
      </c>
      <c r="G232" s="185">
        <v>0</v>
      </c>
      <c r="H232" s="184" t="s">
        <v>598</v>
      </c>
      <c r="I232" s="184" t="s">
        <v>598</v>
      </c>
      <c r="J232" s="184" t="s">
        <v>102</v>
      </c>
      <c r="K232" s="184" t="s">
        <v>216</v>
      </c>
      <c r="L232" s="184" t="s">
        <v>598</v>
      </c>
      <c r="M232" s="184" t="s">
        <v>598</v>
      </c>
      <c r="N232" s="184" t="s">
        <v>63</v>
      </c>
      <c r="O232" s="184" t="s">
        <v>598</v>
      </c>
      <c r="P232" s="186" t="s">
        <v>601</v>
      </c>
      <c r="Q232" s="184" t="s">
        <v>598</v>
      </c>
      <c r="R232" s="184" t="s">
        <v>598</v>
      </c>
      <c r="S232" s="127" t="s">
        <v>598</v>
      </c>
      <c r="T232" s="184" t="s">
        <v>598</v>
      </c>
      <c r="U232" s="184" t="s">
        <v>598</v>
      </c>
      <c r="V232" s="185">
        <v>0</v>
      </c>
      <c r="W232" s="184" t="s">
        <v>89</v>
      </c>
      <c r="X232" s="184" t="s">
        <v>598</v>
      </c>
      <c r="Y232" s="185">
        <v>0</v>
      </c>
      <c r="Z232" s="184" t="s">
        <v>598</v>
      </c>
      <c r="AA232" s="21" t="s">
        <v>822</v>
      </c>
      <c r="AB232" s="176" t="s">
        <v>489</v>
      </c>
      <c r="AC232" s="172">
        <v>42996.328472222223</v>
      </c>
      <c r="AD232" s="32" t="s">
        <v>552</v>
      </c>
    </row>
    <row r="233" spans="1:30">
      <c r="A233" s="184">
        <v>232</v>
      </c>
      <c r="B233" s="184" t="s">
        <v>1071</v>
      </c>
      <c r="C233" s="184" t="s">
        <v>598</v>
      </c>
      <c r="D233" s="127">
        <v>42905</v>
      </c>
      <c r="E233" s="127" t="s">
        <v>598</v>
      </c>
      <c r="F233" s="184" t="s">
        <v>1072</v>
      </c>
      <c r="G233" s="185">
        <v>0</v>
      </c>
      <c r="H233" s="184" t="s">
        <v>598</v>
      </c>
      <c r="I233" s="184" t="s">
        <v>598</v>
      </c>
      <c r="J233" s="184" t="s">
        <v>102</v>
      </c>
      <c r="K233" s="184" t="s">
        <v>216</v>
      </c>
      <c r="L233" s="184" t="s">
        <v>598</v>
      </c>
      <c r="M233" s="184" t="s">
        <v>598</v>
      </c>
      <c r="N233" s="184" t="s">
        <v>63</v>
      </c>
      <c r="O233" s="184" t="s">
        <v>598</v>
      </c>
      <c r="P233" s="186" t="s">
        <v>32</v>
      </c>
      <c r="Q233" s="184" t="s">
        <v>598</v>
      </c>
      <c r="R233" s="184" t="s">
        <v>598</v>
      </c>
      <c r="S233" s="127" t="s">
        <v>598</v>
      </c>
      <c r="T233" s="184" t="s">
        <v>598</v>
      </c>
      <c r="U233" s="184" t="s">
        <v>598</v>
      </c>
      <c r="V233" s="185">
        <v>0</v>
      </c>
      <c r="W233" s="184" t="s">
        <v>89</v>
      </c>
      <c r="X233" s="184" t="s">
        <v>598</v>
      </c>
      <c r="Y233" s="185">
        <v>0</v>
      </c>
      <c r="Z233" s="184" t="s">
        <v>598</v>
      </c>
      <c r="AA233" s="21" t="s">
        <v>822</v>
      </c>
      <c r="AB233" s="176" t="s">
        <v>489</v>
      </c>
      <c r="AC233" s="172">
        <v>42996.328472222223</v>
      </c>
      <c r="AD233" s="32" t="s">
        <v>552</v>
      </c>
    </row>
    <row r="234" spans="1:30">
      <c r="A234" s="184">
        <v>233</v>
      </c>
      <c r="B234" s="184" t="s">
        <v>1073</v>
      </c>
      <c r="C234" s="184" t="s">
        <v>598</v>
      </c>
      <c r="D234" s="127">
        <v>42905</v>
      </c>
      <c r="E234" s="127" t="s">
        <v>598</v>
      </c>
      <c r="F234" s="184" t="s">
        <v>1074</v>
      </c>
      <c r="G234" s="185">
        <v>0</v>
      </c>
      <c r="H234" s="184" t="s">
        <v>598</v>
      </c>
      <c r="I234" s="184" t="s">
        <v>598</v>
      </c>
      <c r="J234" s="184" t="s">
        <v>102</v>
      </c>
      <c r="K234" s="184" t="s">
        <v>216</v>
      </c>
      <c r="L234" s="184" t="s">
        <v>598</v>
      </c>
      <c r="M234" s="184" t="s">
        <v>598</v>
      </c>
      <c r="N234" s="184" t="s">
        <v>63</v>
      </c>
      <c r="O234" s="184" t="s">
        <v>598</v>
      </c>
      <c r="P234" s="186" t="s">
        <v>53</v>
      </c>
      <c r="Q234" s="184" t="s">
        <v>598</v>
      </c>
      <c r="R234" s="184" t="s">
        <v>598</v>
      </c>
      <c r="S234" s="127" t="s">
        <v>598</v>
      </c>
      <c r="T234" s="184" t="s">
        <v>598</v>
      </c>
      <c r="U234" s="184" t="s">
        <v>598</v>
      </c>
      <c r="V234" s="185">
        <v>0</v>
      </c>
      <c r="W234" s="184" t="s">
        <v>89</v>
      </c>
      <c r="X234" s="184" t="s">
        <v>598</v>
      </c>
      <c r="Y234" s="185">
        <v>0</v>
      </c>
      <c r="Z234" s="184" t="s">
        <v>598</v>
      </c>
      <c r="AA234" s="21" t="s">
        <v>822</v>
      </c>
      <c r="AB234" s="176" t="s">
        <v>489</v>
      </c>
      <c r="AC234" s="172">
        <v>42996.328472222223</v>
      </c>
      <c r="AD234" s="32" t="s">
        <v>552</v>
      </c>
    </row>
    <row r="235" spans="1:30">
      <c r="A235" s="184">
        <v>234</v>
      </c>
      <c r="B235" s="184" t="s">
        <v>1075</v>
      </c>
      <c r="C235" s="184" t="s">
        <v>598</v>
      </c>
      <c r="D235" s="127">
        <v>42905</v>
      </c>
      <c r="E235" s="127" t="s">
        <v>598</v>
      </c>
      <c r="F235" s="184" t="s">
        <v>1076</v>
      </c>
      <c r="G235" s="185">
        <v>0</v>
      </c>
      <c r="H235" s="184" t="s">
        <v>598</v>
      </c>
      <c r="I235" s="184" t="s">
        <v>598</v>
      </c>
      <c r="J235" s="184" t="s">
        <v>102</v>
      </c>
      <c r="K235" s="184" t="s">
        <v>598</v>
      </c>
      <c r="L235" s="184" t="s">
        <v>598</v>
      </c>
      <c r="M235" s="184" t="s">
        <v>598</v>
      </c>
      <c r="N235" s="184" t="s">
        <v>63</v>
      </c>
      <c r="O235" s="184" t="s">
        <v>86</v>
      </c>
      <c r="P235" s="186" t="s">
        <v>44</v>
      </c>
      <c r="Q235" s="184" t="s">
        <v>598</v>
      </c>
      <c r="R235" s="184" t="s">
        <v>598</v>
      </c>
      <c r="S235" s="127">
        <v>42906</v>
      </c>
      <c r="T235" s="184" t="s">
        <v>34</v>
      </c>
      <c r="U235" s="184" t="s">
        <v>598</v>
      </c>
      <c r="V235" s="185">
        <v>2000</v>
      </c>
      <c r="W235" s="184" t="s">
        <v>493</v>
      </c>
      <c r="X235" s="184" t="s">
        <v>598</v>
      </c>
      <c r="Y235" s="185">
        <v>0</v>
      </c>
      <c r="Z235" s="184" t="s">
        <v>598</v>
      </c>
      <c r="AA235" s="21" t="s">
        <v>610</v>
      </c>
      <c r="AB235" s="176" t="s">
        <v>489</v>
      </c>
      <c r="AC235" s="172">
        <v>42996.328472222223</v>
      </c>
      <c r="AD235" s="32" t="s">
        <v>552</v>
      </c>
    </row>
    <row r="236" spans="1:30">
      <c r="A236" s="184">
        <v>235</v>
      </c>
      <c r="B236" s="184" t="s">
        <v>1077</v>
      </c>
      <c r="C236" s="184" t="s">
        <v>598</v>
      </c>
      <c r="D236" s="127">
        <v>42905</v>
      </c>
      <c r="E236" s="127" t="s">
        <v>598</v>
      </c>
      <c r="F236" s="184" t="s">
        <v>1078</v>
      </c>
      <c r="G236" s="185">
        <v>0</v>
      </c>
      <c r="H236" s="184" t="s">
        <v>598</v>
      </c>
      <c r="I236" s="184" t="s">
        <v>598</v>
      </c>
      <c r="J236" s="184" t="s">
        <v>102</v>
      </c>
      <c r="K236" s="184" t="s">
        <v>170</v>
      </c>
      <c r="L236" s="184" t="s">
        <v>598</v>
      </c>
      <c r="M236" s="184" t="s">
        <v>598</v>
      </c>
      <c r="N236" s="184" t="s">
        <v>63</v>
      </c>
      <c r="O236" s="184" t="s">
        <v>598</v>
      </c>
      <c r="P236" s="186" t="s">
        <v>67</v>
      </c>
      <c r="Q236" s="184" t="s">
        <v>598</v>
      </c>
      <c r="R236" s="184" t="s">
        <v>598</v>
      </c>
      <c r="S236" s="127" t="s">
        <v>598</v>
      </c>
      <c r="T236" s="184" t="s">
        <v>598</v>
      </c>
      <c r="U236" s="184" t="s">
        <v>598</v>
      </c>
      <c r="V236" s="185">
        <v>0</v>
      </c>
      <c r="W236" s="184" t="s">
        <v>491</v>
      </c>
      <c r="X236" s="184" t="s">
        <v>598</v>
      </c>
      <c r="Y236" s="185">
        <v>0</v>
      </c>
      <c r="Z236" s="184" t="s">
        <v>598</v>
      </c>
      <c r="AA236" s="21" t="s">
        <v>822</v>
      </c>
      <c r="AB236" s="176" t="s">
        <v>489</v>
      </c>
      <c r="AC236" s="172">
        <v>42996.328472222223</v>
      </c>
      <c r="AD236" s="32" t="s">
        <v>552</v>
      </c>
    </row>
    <row r="237" spans="1:30">
      <c r="A237" s="184">
        <v>236</v>
      </c>
      <c r="B237" s="184" t="s">
        <v>1079</v>
      </c>
      <c r="C237" s="184" t="s">
        <v>598</v>
      </c>
      <c r="D237" s="127">
        <v>42906</v>
      </c>
      <c r="E237" s="127" t="s">
        <v>598</v>
      </c>
      <c r="F237" s="184" t="s">
        <v>1080</v>
      </c>
      <c r="G237" s="185">
        <v>0</v>
      </c>
      <c r="H237" s="184" t="s">
        <v>598</v>
      </c>
      <c r="I237" s="184" t="s">
        <v>598</v>
      </c>
      <c r="J237" s="184" t="s">
        <v>102</v>
      </c>
      <c r="K237" s="184" t="s">
        <v>234</v>
      </c>
      <c r="L237" s="184" t="s">
        <v>598</v>
      </c>
      <c r="M237" s="184" t="s">
        <v>598</v>
      </c>
      <c r="N237" s="184" t="s">
        <v>63</v>
      </c>
      <c r="O237" s="184" t="s">
        <v>598</v>
      </c>
      <c r="P237" s="186" t="s">
        <v>602</v>
      </c>
      <c r="Q237" s="184" t="s">
        <v>598</v>
      </c>
      <c r="R237" s="184" t="s">
        <v>598</v>
      </c>
      <c r="S237" s="127">
        <v>42913</v>
      </c>
      <c r="T237" s="184" t="s">
        <v>34</v>
      </c>
      <c r="U237" s="184" t="s">
        <v>598</v>
      </c>
      <c r="V237" s="185">
        <v>6000</v>
      </c>
      <c r="W237" s="184" t="s">
        <v>493</v>
      </c>
      <c r="X237" s="184" t="s">
        <v>598</v>
      </c>
      <c r="Y237" s="185">
        <v>0</v>
      </c>
      <c r="Z237" s="184" t="s">
        <v>598</v>
      </c>
      <c r="AA237" s="21" t="s">
        <v>610</v>
      </c>
      <c r="AB237" s="176" t="s">
        <v>489</v>
      </c>
      <c r="AC237" s="172">
        <v>42996.328472222223</v>
      </c>
      <c r="AD237" s="32" t="s">
        <v>552</v>
      </c>
    </row>
    <row r="238" spans="1:30">
      <c r="A238" s="184">
        <v>237</v>
      </c>
      <c r="B238" s="184" t="s">
        <v>1081</v>
      </c>
      <c r="C238" s="184" t="s">
        <v>598</v>
      </c>
      <c r="D238" s="127">
        <v>42906</v>
      </c>
      <c r="E238" s="127" t="s">
        <v>598</v>
      </c>
      <c r="F238" s="184" t="s">
        <v>1082</v>
      </c>
      <c r="G238" s="185">
        <v>0</v>
      </c>
      <c r="H238" s="184" t="s">
        <v>598</v>
      </c>
      <c r="I238" s="184" t="s">
        <v>598</v>
      </c>
      <c r="J238" s="184" t="s">
        <v>102</v>
      </c>
      <c r="K238" s="184" t="s">
        <v>237</v>
      </c>
      <c r="L238" s="184" t="s">
        <v>598</v>
      </c>
      <c r="M238" s="184" t="s">
        <v>598</v>
      </c>
      <c r="N238" s="184" t="s">
        <v>63</v>
      </c>
      <c r="O238" s="184" t="s">
        <v>598</v>
      </c>
      <c r="P238" s="186" t="s">
        <v>603</v>
      </c>
      <c r="Q238" s="184" t="s">
        <v>598</v>
      </c>
      <c r="R238" s="184" t="s">
        <v>598</v>
      </c>
      <c r="S238" s="127" t="s">
        <v>598</v>
      </c>
      <c r="T238" s="184" t="s">
        <v>598</v>
      </c>
      <c r="U238" s="184" t="s">
        <v>598</v>
      </c>
      <c r="V238" s="185">
        <v>0</v>
      </c>
      <c r="W238" s="184" t="s">
        <v>89</v>
      </c>
      <c r="X238" s="184" t="s">
        <v>598</v>
      </c>
      <c r="Y238" s="185">
        <v>0</v>
      </c>
      <c r="Z238" s="184" t="s">
        <v>598</v>
      </c>
      <c r="AA238" s="21" t="s">
        <v>822</v>
      </c>
      <c r="AB238" s="176" t="s">
        <v>489</v>
      </c>
      <c r="AC238" s="172">
        <v>42996.328472222223</v>
      </c>
      <c r="AD238" s="32" t="s">
        <v>552</v>
      </c>
    </row>
    <row r="239" spans="1:30">
      <c r="A239" s="184">
        <v>238</v>
      </c>
      <c r="B239" s="184" t="s">
        <v>1083</v>
      </c>
      <c r="C239" s="184" t="s">
        <v>598</v>
      </c>
      <c r="D239" s="127">
        <v>42906</v>
      </c>
      <c r="E239" s="127" t="s">
        <v>598</v>
      </c>
      <c r="F239" s="184" t="s">
        <v>1084</v>
      </c>
      <c r="G239" s="185">
        <v>0</v>
      </c>
      <c r="H239" s="184" t="s">
        <v>598</v>
      </c>
      <c r="I239" s="184" t="s">
        <v>598</v>
      </c>
      <c r="J239" s="184" t="s">
        <v>102</v>
      </c>
      <c r="K239" s="184" t="s">
        <v>1053</v>
      </c>
      <c r="L239" s="184" t="s">
        <v>598</v>
      </c>
      <c r="M239" s="184" t="s">
        <v>598</v>
      </c>
      <c r="N239" s="184" t="s">
        <v>63</v>
      </c>
      <c r="O239" s="184" t="s">
        <v>598</v>
      </c>
      <c r="P239" s="186" t="s">
        <v>604</v>
      </c>
      <c r="Q239" s="184" t="s">
        <v>598</v>
      </c>
      <c r="R239" s="184" t="s">
        <v>598</v>
      </c>
      <c r="S239" s="127">
        <v>42915</v>
      </c>
      <c r="T239" s="184" t="s">
        <v>34</v>
      </c>
      <c r="U239" s="184" t="s">
        <v>598</v>
      </c>
      <c r="V239" s="185">
        <v>1000</v>
      </c>
      <c r="W239" s="184" t="s">
        <v>549</v>
      </c>
      <c r="X239" s="184" t="s">
        <v>598</v>
      </c>
      <c r="Y239" s="185">
        <v>0</v>
      </c>
      <c r="Z239" s="184" t="s">
        <v>493</v>
      </c>
      <c r="AA239" s="21" t="s">
        <v>822</v>
      </c>
      <c r="AB239" s="176" t="s">
        <v>489</v>
      </c>
      <c r="AC239" s="172">
        <v>42996.328472222223</v>
      </c>
      <c r="AD239" s="32" t="s">
        <v>552</v>
      </c>
    </row>
    <row r="240" spans="1:30">
      <c r="A240" s="184">
        <v>239</v>
      </c>
      <c r="B240" s="184" t="s">
        <v>1085</v>
      </c>
      <c r="C240" s="184" t="s">
        <v>598</v>
      </c>
      <c r="D240" s="127">
        <v>42906</v>
      </c>
      <c r="E240" s="127" t="s">
        <v>598</v>
      </c>
      <c r="F240" s="184" t="s">
        <v>1086</v>
      </c>
      <c r="G240" s="185">
        <v>0</v>
      </c>
      <c r="H240" s="184" t="s">
        <v>598</v>
      </c>
      <c r="I240" s="184" t="s">
        <v>132</v>
      </c>
      <c r="J240" s="184" t="s">
        <v>102</v>
      </c>
      <c r="K240" s="184" t="s">
        <v>237</v>
      </c>
      <c r="L240" s="184" t="s">
        <v>598</v>
      </c>
      <c r="M240" s="184" t="s">
        <v>598</v>
      </c>
      <c r="N240" s="184" t="s">
        <v>63</v>
      </c>
      <c r="O240" s="184" t="s">
        <v>598</v>
      </c>
      <c r="P240" s="186" t="s">
        <v>605</v>
      </c>
      <c r="Q240" s="184" t="s">
        <v>598</v>
      </c>
      <c r="R240" s="184" t="s">
        <v>598</v>
      </c>
      <c r="S240" s="127">
        <v>42907</v>
      </c>
      <c r="T240" s="184" t="s">
        <v>34</v>
      </c>
      <c r="U240" s="184" t="s">
        <v>598</v>
      </c>
      <c r="V240" s="185">
        <v>1000</v>
      </c>
      <c r="W240" s="184" t="s">
        <v>572</v>
      </c>
      <c r="X240" s="184" t="s">
        <v>598</v>
      </c>
      <c r="Y240" s="185">
        <v>0</v>
      </c>
      <c r="Z240" s="184" t="s">
        <v>598</v>
      </c>
      <c r="AA240" s="21" t="s">
        <v>822</v>
      </c>
      <c r="AB240" s="176" t="s">
        <v>489</v>
      </c>
      <c r="AC240" s="172">
        <v>42996.328472222223</v>
      </c>
      <c r="AD240" s="32" t="s">
        <v>552</v>
      </c>
    </row>
    <row r="241" spans="1:30">
      <c r="A241" s="184">
        <v>240</v>
      </c>
      <c r="B241" s="184" t="s">
        <v>1087</v>
      </c>
      <c r="C241" s="184" t="s">
        <v>598</v>
      </c>
      <c r="D241" s="127">
        <v>42908</v>
      </c>
      <c r="E241" s="127" t="s">
        <v>598</v>
      </c>
      <c r="F241" s="184" t="s">
        <v>1088</v>
      </c>
      <c r="G241" s="185">
        <v>0</v>
      </c>
      <c r="H241" s="184" t="s">
        <v>598</v>
      </c>
      <c r="I241" s="184" t="s">
        <v>598</v>
      </c>
      <c r="J241" s="184" t="s">
        <v>102</v>
      </c>
      <c r="K241" s="184" t="s">
        <v>234</v>
      </c>
      <c r="L241" s="184" t="s">
        <v>598</v>
      </c>
      <c r="M241" s="184" t="s">
        <v>598</v>
      </c>
      <c r="N241" s="184" t="s">
        <v>63</v>
      </c>
      <c r="O241" s="184" t="s">
        <v>598</v>
      </c>
      <c r="P241" s="186" t="s">
        <v>606</v>
      </c>
      <c r="Q241" s="184" t="s">
        <v>598</v>
      </c>
      <c r="R241" s="184" t="s">
        <v>598</v>
      </c>
      <c r="S241" s="127" t="s">
        <v>598</v>
      </c>
      <c r="T241" s="184" t="s">
        <v>598</v>
      </c>
      <c r="U241" s="184" t="s">
        <v>598</v>
      </c>
      <c r="V241" s="185">
        <v>0</v>
      </c>
      <c r="W241" s="184" t="s">
        <v>55</v>
      </c>
      <c r="X241" s="184" t="s">
        <v>598</v>
      </c>
      <c r="Y241" s="185">
        <v>0</v>
      </c>
      <c r="Z241" s="184" t="s">
        <v>598</v>
      </c>
      <c r="AA241" s="21" t="s">
        <v>822</v>
      </c>
      <c r="AB241" s="176" t="s">
        <v>489</v>
      </c>
      <c r="AC241" s="172">
        <v>42996.328472222223</v>
      </c>
      <c r="AD241" s="32" t="s">
        <v>552</v>
      </c>
    </row>
    <row r="242" spans="1:30">
      <c r="A242" s="184">
        <v>241</v>
      </c>
      <c r="B242" s="184" t="s">
        <v>1089</v>
      </c>
      <c r="C242" s="184" t="s">
        <v>598</v>
      </c>
      <c r="D242" s="127">
        <v>42908</v>
      </c>
      <c r="E242" s="127" t="s">
        <v>598</v>
      </c>
      <c r="F242" s="184" t="s">
        <v>1090</v>
      </c>
      <c r="G242" s="185">
        <v>0</v>
      </c>
      <c r="H242" s="184" t="s">
        <v>598</v>
      </c>
      <c r="I242" s="184" t="s">
        <v>132</v>
      </c>
      <c r="J242" s="184" t="s">
        <v>102</v>
      </c>
      <c r="K242" s="184" t="s">
        <v>234</v>
      </c>
      <c r="L242" s="184" t="s">
        <v>598</v>
      </c>
      <c r="M242" s="184" t="s">
        <v>598</v>
      </c>
      <c r="N242" s="184" t="s">
        <v>63</v>
      </c>
      <c r="O242" s="184" t="s">
        <v>86</v>
      </c>
      <c r="P242" s="186" t="s">
        <v>607</v>
      </c>
      <c r="Q242" s="184" t="s">
        <v>598</v>
      </c>
      <c r="R242" s="184" t="s">
        <v>598</v>
      </c>
      <c r="S242" s="127">
        <v>42910</v>
      </c>
      <c r="T242" s="184" t="s">
        <v>34</v>
      </c>
      <c r="U242" s="184" t="s">
        <v>598</v>
      </c>
      <c r="V242" s="185">
        <v>1000</v>
      </c>
      <c r="W242" s="184" t="s">
        <v>549</v>
      </c>
      <c r="X242" s="184" t="s">
        <v>598</v>
      </c>
      <c r="Y242" s="185">
        <v>0</v>
      </c>
      <c r="Z242" s="184" t="s">
        <v>493</v>
      </c>
      <c r="AA242" s="21" t="s">
        <v>822</v>
      </c>
      <c r="AB242" s="176" t="s">
        <v>489</v>
      </c>
      <c r="AC242" s="172">
        <v>42996.328472222223</v>
      </c>
      <c r="AD242" s="32" t="s">
        <v>552</v>
      </c>
    </row>
    <row r="243" spans="1:30">
      <c r="A243" s="184">
        <v>242</v>
      </c>
      <c r="B243" s="184" t="s">
        <v>1091</v>
      </c>
      <c r="C243" s="184" t="s">
        <v>598</v>
      </c>
      <c r="D243" s="127">
        <v>42908</v>
      </c>
      <c r="E243" s="127" t="s">
        <v>598</v>
      </c>
      <c r="F243" s="184" t="s">
        <v>1092</v>
      </c>
      <c r="G243" s="185">
        <v>0</v>
      </c>
      <c r="H243" s="184" t="s">
        <v>598</v>
      </c>
      <c r="I243" s="184" t="s">
        <v>598</v>
      </c>
      <c r="J243" s="184" t="s">
        <v>102</v>
      </c>
      <c r="K243" s="184" t="s">
        <v>169</v>
      </c>
      <c r="L243" s="184" t="s">
        <v>598</v>
      </c>
      <c r="M243" s="184" t="s">
        <v>598</v>
      </c>
      <c r="N243" s="184" t="s">
        <v>63</v>
      </c>
      <c r="O243" s="184" t="s">
        <v>598</v>
      </c>
      <c r="P243" s="186" t="s">
        <v>73</v>
      </c>
      <c r="Q243" s="184" t="s">
        <v>598</v>
      </c>
      <c r="R243" s="184" t="s">
        <v>598</v>
      </c>
      <c r="S243" s="127" t="s">
        <v>598</v>
      </c>
      <c r="T243" s="184" t="s">
        <v>598</v>
      </c>
      <c r="U243" s="184" t="s">
        <v>598</v>
      </c>
      <c r="V243" s="185">
        <v>0</v>
      </c>
      <c r="W243" s="184" t="s">
        <v>89</v>
      </c>
      <c r="X243" s="184" t="s">
        <v>598</v>
      </c>
      <c r="Y243" s="185">
        <v>0</v>
      </c>
      <c r="Z243" s="184" t="s">
        <v>598</v>
      </c>
      <c r="AA243" s="21" t="s">
        <v>822</v>
      </c>
      <c r="AB243" s="176" t="s">
        <v>489</v>
      </c>
      <c r="AC243" s="172">
        <v>42996.328472222223</v>
      </c>
      <c r="AD243" s="32" t="s">
        <v>552</v>
      </c>
    </row>
    <row r="244" spans="1:30">
      <c r="A244" s="184">
        <v>243</v>
      </c>
      <c r="B244" s="184" t="s">
        <v>1093</v>
      </c>
      <c r="C244" s="184" t="s">
        <v>598</v>
      </c>
      <c r="D244" s="127">
        <v>42908</v>
      </c>
      <c r="E244" s="127" t="s">
        <v>598</v>
      </c>
      <c r="F244" s="184" t="s">
        <v>1094</v>
      </c>
      <c r="G244" s="185">
        <v>0</v>
      </c>
      <c r="H244" s="184" t="s">
        <v>598</v>
      </c>
      <c r="I244" s="184" t="s">
        <v>598</v>
      </c>
      <c r="J244" s="184" t="s">
        <v>102</v>
      </c>
      <c r="K244" s="184" t="s">
        <v>169</v>
      </c>
      <c r="L244" s="184" t="s">
        <v>598</v>
      </c>
      <c r="M244" s="184" t="s">
        <v>598</v>
      </c>
      <c r="N244" s="184" t="s">
        <v>63</v>
      </c>
      <c r="O244" s="184" t="s">
        <v>86</v>
      </c>
      <c r="P244" s="186" t="s">
        <v>601</v>
      </c>
      <c r="Q244" s="184" t="s">
        <v>598</v>
      </c>
      <c r="R244" s="184" t="s">
        <v>598</v>
      </c>
      <c r="S244" s="127" t="s">
        <v>598</v>
      </c>
      <c r="T244" s="184" t="s">
        <v>598</v>
      </c>
      <c r="U244" s="184" t="s">
        <v>598</v>
      </c>
      <c r="V244" s="185">
        <v>0</v>
      </c>
      <c r="W244" s="184" t="s">
        <v>89</v>
      </c>
      <c r="X244" s="184" t="s">
        <v>598</v>
      </c>
      <c r="Y244" s="185">
        <v>0</v>
      </c>
      <c r="Z244" s="184" t="s">
        <v>598</v>
      </c>
      <c r="AA244" s="21" t="s">
        <v>822</v>
      </c>
      <c r="AB244" s="176" t="s">
        <v>489</v>
      </c>
      <c r="AC244" s="172">
        <v>42996.328472222223</v>
      </c>
      <c r="AD244" s="32" t="s">
        <v>552</v>
      </c>
    </row>
    <row r="245" spans="1:30">
      <c r="A245" s="184">
        <v>244</v>
      </c>
      <c r="B245" s="184" t="s">
        <v>1095</v>
      </c>
      <c r="C245" s="184" t="s">
        <v>598</v>
      </c>
      <c r="D245" s="127">
        <v>42908</v>
      </c>
      <c r="E245" s="127" t="s">
        <v>598</v>
      </c>
      <c r="F245" s="184" t="s">
        <v>1096</v>
      </c>
      <c r="G245" s="185">
        <v>0</v>
      </c>
      <c r="H245" s="184" t="s">
        <v>598</v>
      </c>
      <c r="I245" s="184" t="s">
        <v>598</v>
      </c>
      <c r="J245" s="184" t="s">
        <v>102</v>
      </c>
      <c r="K245" s="184" t="s">
        <v>238</v>
      </c>
      <c r="L245" s="184" t="s">
        <v>598</v>
      </c>
      <c r="M245" s="184" t="s">
        <v>598</v>
      </c>
      <c r="N245" s="184" t="s">
        <v>63</v>
      </c>
      <c r="O245" s="184" t="s">
        <v>63</v>
      </c>
      <c r="P245" s="186" t="s">
        <v>601</v>
      </c>
      <c r="Q245" s="184" t="s">
        <v>598</v>
      </c>
      <c r="R245" s="184" t="s">
        <v>598</v>
      </c>
      <c r="S245" s="127" t="s">
        <v>598</v>
      </c>
      <c r="T245" s="184" t="s">
        <v>598</v>
      </c>
      <c r="U245" s="184" t="s">
        <v>598</v>
      </c>
      <c r="V245" s="185">
        <v>0</v>
      </c>
      <c r="W245" s="184" t="s">
        <v>89</v>
      </c>
      <c r="X245" s="184" t="s">
        <v>598</v>
      </c>
      <c r="Y245" s="185">
        <v>0</v>
      </c>
      <c r="Z245" s="184" t="s">
        <v>598</v>
      </c>
      <c r="AA245" s="21" t="s">
        <v>822</v>
      </c>
      <c r="AB245" s="176" t="s">
        <v>489</v>
      </c>
      <c r="AC245" s="172">
        <v>42996.328472222223</v>
      </c>
      <c r="AD245" s="32" t="s">
        <v>552</v>
      </c>
    </row>
    <row r="246" spans="1:30">
      <c r="A246" s="184">
        <v>245</v>
      </c>
      <c r="B246" s="184" t="s">
        <v>1097</v>
      </c>
      <c r="C246" s="184" t="s">
        <v>598</v>
      </c>
      <c r="D246" s="127">
        <v>42908</v>
      </c>
      <c r="E246" s="127" t="s">
        <v>598</v>
      </c>
      <c r="F246" s="184" t="s">
        <v>1096</v>
      </c>
      <c r="G246" s="185">
        <v>0</v>
      </c>
      <c r="H246" s="184" t="s">
        <v>598</v>
      </c>
      <c r="I246" s="184" t="s">
        <v>598</v>
      </c>
      <c r="J246" s="184" t="s">
        <v>102</v>
      </c>
      <c r="K246" s="184" t="s">
        <v>238</v>
      </c>
      <c r="L246" s="184" t="s">
        <v>598</v>
      </c>
      <c r="M246" s="184" t="s">
        <v>598</v>
      </c>
      <c r="N246" s="184" t="s">
        <v>63</v>
      </c>
      <c r="O246" s="184" t="s">
        <v>63</v>
      </c>
      <c r="P246" s="186" t="s">
        <v>32</v>
      </c>
      <c r="Q246" s="184" t="s">
        <v>598</v>
      </c>
      <c r="R246" s="184" t="s">
        <v>598</v>
      </c>
      <c r="S246" s="127" t="s">
        <v>598</v>
      </c>
      <c r="T246" s="184" t="s">
        <v>598</v>
      </c>
      <c r="U246" s="184" t="s">
        <v>598</v>
      </c>
      <c r="V246" s="185">
        <v>0</v>
      </c>
      <c r="W246" s="184" t="s">
        <v>89</v>
      </c>
      <c r="X246" s="184" t="s">
        <v>598</v>
      </c>
      <c r="Y246" s="185">
        <v>0</v>
      </c>
      <c r="Z246" s="184" t="s">
        <v>598</v>
      </c>
      <c r="AA246" s="21" t="s">
        <v>822</v>
      </c>
      <c r="AB246" s="176" t="s">
        <v>489</v>
      </c>
      <c r="AC246" s="172">
        <v>42996.328472222223</v>
      </c>
      <c r="AD246" s="32" t="s">
        <v>552</v>
      </c>
    </row>
    <row r="247" spans="1:30">
      <c r="A247" s="184">
        <v>246</v>
      </c>
      <c r="B247" s="184" t="s">
        <v>1098</v>
      </c>
      <c r="C247" s="184" t="s">
        <v>598</v>
      </c>
      <c r="D247" s="127">
        <v>42909</v>
      </c>
      <c r="E247" s="127" t="s">
        <v>598</v>
      </c>
      <c r="F247" s="184" t="s">
        <v>1099</v>
      </c>
      <c r="G247" s="185">
        <v>0</v>
      </c>
      <c r="H247" s="184" t="s">
        <v>598</v>
      </c>
      <c r="I247" s="184" t="s">
        <v>598</v>
      </c>
      <c r="J247" s="184" t="s">
        <v>102</v>
      </c>
      <c r="K247" s="184" t="s">
        <v>233</v>
      </c>
      <c r="L247" s="184" t="s">
        <v>598</v>
      </c>
      <c r="M247" s="184" t="s">
        <v>598</v>
      </c>
      <c r="N247" s="184" t="s">
        <v>63</v>
      </c>
      <c r="O247" s="184" t="s">
        <v>598</v>
      </c>
      <c r="P247" s="186" t="s">
        <v>53</v>
      </c>
      <c r="Q247" s="184" t="s">
        <v>598</v>
      </c>
      <c r="R247" s="184" t="s">
        <v>598</v>
      </c>
      <c r="S247" s="127" t="s">
        <v>598</v>
      </c>
      <c r="T247" s="184" t="s">
        <v>598</v>
      </c>
      <c r="U247" s="184" t="s">
        <v>598</v>
      </c>
      <c r="V247" s="185">
        <v>0</v>
      </c>
      <c r="W247" s="184" t="s">
        <v>598</v>
      </c>
      <c r="X247" s="184" t="s">
        <v>598</v>
      </c>
      <c r="Y247" s="185">
        <v>0</v>
      </c>
      <c r="Z247" s="184" t="s">
        <v>598</v>
      </c>
      <c r="AA247" s="21" t="s">
        <v>598</v>
      </c>
      <c r="AB247" s="176" t="s">
        <v>489</v>
      </c>
      <c r="AC247" s="172">
        <v>42996.328472222223</v>
      </c>
      <c r="AD247" s="32" t="s">
        <v>552</v>
      </c>
    </row>
    <row r="248" spans="1:30">
      <c r="A248" s="184">
        <v>247</v>
      </c>
      <c r="B248" s="184" t="s">
        <v>1100</v>
      </c>
      <c r="C248" s="184" t="s">
        <v>598</v>
      </c>
      <c r="D248" s="127">
        <v>42910</v>
      </c>
      <c r="E248" s="127" t="s">
        <v>598</v>
      </c>
      <c r="F248" s="184" t="s">
        <v>1101</v>
      </c>
      <c r="G248" s="185">
        <v>0</v>
      </c>
      <c r="H248" s="184" t="s">
        <v>598</v>
      </c>
      <c r="I248" s="184" t="s">
        <v>598</v>
      </c>
      <c r="J248" s="184" t="s">
        <v>102</v>
      </c>
      <c r="K248" s="184" t="s">
        <v>598</v>
      </c>
      <c r="L248" s="184" t="s">
        <v>598</v>
      </c>
      <c r="M248" s="184" t="s">
        <v>598</v>
      </c>
      <c r="N248" s="184" t="s">
        <v>63</v>
      </c>
      <c r="O248" s="184" t="s">
        <v>63</v>
      </c>
      <c r="P248" s="186" t="s">
        <v>44</v>
      </c>
      <c r="Q248" s="184" t="s">
        <v>598</v>
      </c>
      <c r="R248" s="184" t="s">
        <v>598</v>
      </c>
      <c r="S248" s="127" t="s">
        <v>598</v>
      </c>
      <c r="T248" s="184" t="s">
        <v>598</v>
      </c>
      <c r="U248" s="184" t="s">
        <v>598</v>
      </c>
      <c r="V248" s="185">
        <v>0</v>
      </c>
      <c r="W248" s="184" t="s">
        <v>89</v>
      </c>
      <c r="X248" s="184" t="s">
        <v>598</v>
      </c>
      <c r="Y248" s="185">
        <v>0</v>
      </c>
      <c r="Z248" s="184" t="s">
        <v>598</v>
      </c>
      <c r="AA248" s="21" t="s">
        <v>822</v>
      </c>
      <c r="AB248" s="176" t="s">
        <v>489</v>
      </c>
      <c r="AC248" s="172">
        <v>42996.328472222223</v>
      </c>
      <c r="AD248" s="32" t="s">
        <v>552</v>
      </c>
    </row>
    <row r="249" spans="1:30">
      <c r="A249" s="184">
        <v>248</v>
      </c>
      <c r="B249" s="184" t="s">
        <v>1102</v>
      </c>
      <c r="C249" s="184" t="s">
        <v>598</v>
      </c>
      <c r="D249" s="127">
        <v>42910</v>
      </c>
      <c r="E249" s="127" t="s">
        <v>598</v>
      </c>
      <c r="F249" s="184" t="s">
        <v>1103</v>
      </c>
      <c r="G249" s="185">
        <v>0</v>
      </c>
      <c r="H249" s="184" t="s">
        <v>598</v>
      </c>
      <c r="I249" s="184" t="s">
        <v>598</v>
      </c>
      <c r="J249" s="184" t="s">
        <v>102</v>
      </c>
      <c r="K249" s="184" t="s">
        <v>598</v>
      </c>
      <c r="L249" s="184" t="s">
        <v>598</v>
      </c>
      <c r="M249" s="184" t="s">
        <v>598</v>
      </c>
      <c r="N249" s="184" t="s">
        <v>63</v>
      </c>
      <c r="O249" s="184" t="s">
        <v>63</v>
      </c>
      <c r="P249" s="186" t="s">
        <v>67</v>
      </c>
      <c r="Q249" s="184" t="s">
        <v>598</v>
      </c>
      <c r="R249" s="184" t="s">
        <v>598</v>
      </c>
      <c r="S249" s="127" t="s">
        <v>598</v>
      </c>
      <c r="T249" s="184" t="s">
        <v>598</v>
      </c>
      <c r="U249" s="184" t="s">
        <v>598</v>
      </c>
      <c r="V249" s="185">
        <v>0</v>
      </c>
      <c r="W249" s="184" t="s">
        <v>89</v>
      </c>
      <c r="X249" s="184" t="s">
        <v>598</v>
      </c>
      <c r="Y249" s="185">
        <v>0</v>
      </c>
      <c r="Z249" s="184" t="s">
        <v>598</v>
      </c>
      <c r="AA249" s="21" t="s">
        <v>822</v>
      </c>
      <c r="AB249" s="176" t="s">
        <v>489</v>
      </c>
      <c r="AC249" s="172">
        <v>42996.328472222223</v>
      </c>
      <c r="AD249" s="32" t="s">
        <v>552</v>
      </c>
    </row>
    <row r="250" spans="1:30">
      <c r="A250" s="184">
        <v>249</v>
      </c>
      <c r="B250" s="184" t="s">
        <v>1104</v>
      </c>
      <c r="C250" s="184" t="s">
        <v>598</v>
      </c>
      <c r="D250" s="127">
        <v>42910</v>
      </c>
      <c r="E250" s="127" t="s">
        <v>598</v>
      </c>
      <c r="F250" s="184" t="s">
        <v>1105</v>
      </c>
      <c r="G250" s="185">
        <v>0</v>
      </c>
      <c r="H250" s="184" t="s">
        <v>598</v>
      </c>
      <c r="I250" s="184" t="s">
        <v>598</v>
      </c>
      <c r="J250" s="184" t="s">
        <v>102</v>
      </c>
      <c r="K250" s="184" t="s">
        <v>598</v>
      </c>
      <c r="L250" s="184" t="s">
        <v>598</v>
      </c>
      <c r="M250" s="184" t="s">
        <v>598</v>
      </c>
      <c r="N250" s="184" t="s">
        <v>63</v>
      </c>
      <c r="O250" s="184" t="s">
        <v>63</v>
      </c>
      <c r="P250" s="186" t="s">
        <v>602</v>
      </c>
      <c r="Q250" s="184" t="s">
        <v>598</v>
      </c>
      <c r="R250" s="184" t="s">
        <v>598</v>
      </c>
      <c r="S250" s="127" t="s">
        <v>598</v>
      </c>
      <c r="T250" s="184" t="s">
        <v>598</v>
      </c>
      <c r="U250" s="184" t="s">
        <v>598</v>
      </c>
      <c r="V250" s="185">
        <v>0</v>
      </c>
      <c r="W250" s="184" t="s">
        <v>89</v>
      </c>
      <c r="X250" s="184" t="s">
        <v>598</v>
      </c>
      <c r="Y250" s="185">
        <v>0</v>
      </c>
      <c r="Z250" s="184" t="s">
        <v>598</v>
      </c>
      <c r="AA250" s="21" t="s">
        <v>822</v>
      </c>
      <c r="AB250" s="176" t="s">
        <v>489</v>
      </c>
      <c r="AC250" s="172">
        <v>42996.328472222223</v>
      </c>
      <c r="AD250" s="32" t="s">
        <v>552</v>
      </c>
    </row>
    <row r="251" spans="1:30">
      <c r="A251" s="184">
        <v>250</v>
      </c>
      <c r="B251" s="184" t="s">
        <v>1106</v>
      </c>
      <c r="C251" s="184" t="s">
        <v>598</v>
      </c>
      <c r="D251" s="127">
        <v>42910</v>
      </c>
      <c r="E251" s="127" t="s">
        <v>598</v>
      </c>
      <c r="F251" s="184" t="s">
        <v>1107</v>
      </c>
      <c r="G251" s="185">
        <v>0</v>
      </c>
      <c r="H251" s="184" t="s">
        <v>598</v>
      </c>
      <c r="I251" s="184" t="s">
        <v>598</v>
      </c>
      <c r="J251" s="184" t="s">
        <v>102</v>
      </c>
      <c r="K251" s="184" t="s">
        <v>598</v>
      </c>
      <c r="L251" s="184" t="s">
        <v>598</v>
      </c>
      <c r="M251" s="184" t="s">
        <v>598</v>
      </c>
      <c r="N251" s="184" t="s">
        <v>63</v>
      </c>
      <c r="O251" s="184" t="s">
        <v>63</v>
      </c>
      <c r="P251" s="186" t="s">
        <v>603</v>
      </c>
      <c r="Q251" s="184" t="s">
        <v>598</v>
      </c>
      <c r="R251" s="184" t="s">
        <v>598</v>
      </c>
      <c r="S251" s="127" t="s">
        <v>598</v>
      </c>
      <c r="T251" s="184" t="s">
        <v>598</v>
      </c>
      <c r="U251" s="184" t="s">
        <v>598</v>
      </c>
      <c r="V251" s="185">
        <v>0</v>
      </c>
      <c r="W251" s="184" t="s">
        <v>89</v>
      </c>
      <c r="X251" s="184" t="s">
        <v>598</v>
      </c>
      <c r="Y251" s="185">
        <v>0</v>
      </c>
      <c r="Z251" s="184" t="s">
        <v>598</v>
      </c>
      <c r="AA251" s="21" t="s">
        <v>822</v>
      </c>
      <c r="AB251" s="176" t="s">
        <v>489</v>
      </c>
      <c r="AC251" s="172">
        <v>42996.328472222223</v>
      </c>
      <c r="AD251" s="32" t="s">
        <v>552</v>
      </c>
    </row>
    <row r="252" spans="1:30">
      <c r="A252" s="184">
        <v>251</v>
      </c>
      <c r="B252" s="184" t="s">
        <v>1108</v>
      </c>
      <c r="C252" s="184" t="s">
        <v>598</v>
      </c>
      <c r="D252" s="127">
        <v>42913</v>
      </c>
      <c r="E252" s="127" t="s">
        <v>598</v>
      </c>
      <c r="F252" s="184" t="s">
        <v>1109</v>
      </c>
      <c r="G252" s="185">
        <v>0</v>
      </c>
      <c r="H252" s="184" t="s">
        <v>598</v>
      </c>
      <c r="I252" s="184" t="s">
        <v>598</v>
      </c>
      <c r="J252" s="184" t="s">
        <v>102</v>
      </c>
      <c r="K252" s="184" t="s">
        <v>1110</v>
      </c>
      <c r="L252" s="184" t="s">
        <v>598</v>
      </c>
      <c r="M252" s="184" t="s">
        <v>598</v>
      </c>
      <c r="N252" s="184" t="s">
        <v>63</v>
      </c>
      <c r="O252" s="184" t="s">
        <v>63</v>
      </c>
      <c r="P252" s="186" t="s">
        <v>604</v>
      </c>
      <c r="Q252" s="184" t="s">
        <v>598</v>
      </c>
      <c r="R252" s="184" t="s">
        <v>598</v>
      </c>
      <c r="S252" s="127">
        <v>42914</v>
      </c>
      <c r="T252" s="184" t="s">
        <v>34</v>
      </c>
      <c r="U252" s="184" t="s">
        <v>598</v>
      </c>
      <c r="V252" s="185">
        <v>5000</v>
      </c>
      <c r="W252" s="184" t="s">
        <v>493</v>
      </c>
      <c r="X252" s="184" t="s">
        <v>598</v>
      </c>
      <c r="Y252" s="185">
        <v>0</v>
      </c>
      <c r="Z252" s="184" t="s">
        <v>598</v>
      </c>
      <c r="AA252" s="21" t="s">
        <v>610</v>
      </c>
      <c r="AB252" s="176" t="s">
        <v>489</v>
      </c>
      <c r="AC252" s="172">
        <v>42996.328472222223</v>
      </c>
      <c r="AD252" s="32" t="s">
        <v>552</v>
      </c>
    </row>
    <row r="253" spans="1:30">
      <c r="A253" s="184">
        <v>252</v>
      </c>
      <c r="B253" s="184" t="s">
        <v>1111</v>
      </c>
      <c r="C253" s="184" t="s">
        <v>598</v>
      </c>
      <c r="D253" s="127">
        <v>42913</v>
      </c>
      <c r="E253" s="127" t="s">
        <v>598</v>
      </c>
      <c r="F253" s="184" t="s">
        <v>1112</v>
      </c>
      <c r="G253" s="185">
        <v>0</v>
      </c>
      <c r="H253" s="184" t="s">
        <v>598</v>
      </c>
      <c r="I253" s="184" t="s">
        <v>598</v>
      </c>
      <c r="J253" s="184" t="s">
        <v>102</v>
      </c>
      <c r="K253" s="184" t="s">
        <v>1113</v>
      </c>
      <c r="L253" s="184" t="s">
        <v>598</v>
      </c>
      <c r="M253" s="184" t="s">
        <v>598</v>
      </c>
      <c r="N253" s="184" t="s">
        <v>63</v>
      </c>
      <c r="O253" s="184" t="s">
        <v>598</v>
      </c>
      <c r="P253" s="186" t="s">
        <v>605</v>
      </c>
      <c r="Q253" s="184" t="s">
        <v>598</v>
      </c>
      <c r="R253" s="184" t="s">
        <v>598</v>
      </c>
      <c r="S253" s="127" t="s">
        <v>598</v>
      </c>
      <c r="T253" s="184" t="s">
        <v>598</v>
      </c>
      <c r="U253" s="184" t="s">
        <v>598</v>
      </c>
      <c r="V253" s="185">
        <v>0</v>
      </c>
      <c r="W253" s="184" t="s">
        <v>89</v>
      </c>
      <c r="X253" s="184" t="s">
        <v>598</v>
      </c>
      <c r="Y253" s="185">
        <v>0</v>
      </c>
      <c r="Z253" s="184" t="s">
        <v>598</v>
      </c>
      <c r="AA253" s="21" t="s">
        <v>822</v>
      </c>
      <c r="AB253" s="176" t="s">
        <v>489</v>
      </c>
      <c r="AC253" s="172">
        <v>42996.328472222223</v>
      </c>
      <c r="AD253" s="32" t="s">
        <v>552</v>
      </c>
    </row>
    <row r="254" spans="1:30">
      <c r="A254" s="184">
        <v>253</v>
      </c>
      <c r="B254" s="184" t="s">
        <v>1114</v>
      </c>
      <c r="C254" s="184" t="s">
        <v>598</v>
      </c>
      <c r="D254" s="127">
        <v>42913</v>
      </c>
      <c r="E254" s="127" t="s">
        <v>598</v>
      </c>
      <c r="F254" s="184" t="s">
        <v>1115</v>
      </c>
      <c r="G254" s="185">
        <v>0</v>
      </c>
      <c r="H254" s="184" t="s">
        <v>598</v>
      </c>
      <c r="I254" s="184" t="s">
        <v>598</v>
      </c>
      <c r="J254" s="184" t="s">
        <v>102</v>
      </c>
      <c r="K254" s="184" t="s">
        <v>1053</v>
      </c>
      <c r="L254" s="184" t="s">
        <v>598</v>
      </c>
      <c r="M254" s="184" t="s">
        <v>598</v>
      </c>
      <c r="N254" s="184" t="s">
        <v>63</v>
      </c>
      <c r="O254" s="184" t="s">
        <v>598</v>
      </c>
      <c r="P254" s="186" t="s">
        <v>606</v>
      </c>
      <c r="Q254" s="184" t="s">
        <v>598</v>
      </c>
      <c r="R254" s="184" t="s">
        <v>598</v>
      </c>
      <c r="S254" s="127" t="s">
        <v>598</v>
      </c>
      <c r="T254" s="184" t="s">
        <v>598</v>
      </c>
      <c r="U254" s="184" t="s">
        <v>598</v>
      </c>
      <c r="V254" s="185">
        <v>0</v>
      </c>
      <c r="W254" s="184" t="s">
        <v>557</v>
      </c>
      <c r="X254" s="184" t="s">
        <v>598</v>
      </c>
      <c r="Y254" s="185">
        <v>0</v>
      </c>
      <c r="Z254" s="184" t="s">
        <v>598</v>
      </c>
      <c r="AA254" s="21" t="s">
        <v>822</v>
      </c>
      <c r="AB254" s="176" t="s">
        <v>489</v>
      </c>
      <c r="AC254" s="172">
        <v>42996.328472222223</v>
      </c>
      <c r="AD254" s="32" t="s">
        <v>552</v>
      </c>
    </row>
    <row r="255" spans="1:30">
      <c r="A255" s="184">
        <v>254</v>
      </c>
      <c r="B255" s="184" t="s">
        <v>1116</v>
      </c>
      <c r="C255" s="184" t="s">
        <v>598</v>
      </c>
      <c r="D255" s="127">
        <v>42913</v>
      </c>
      <c r="E255" s="127" t="s">
        <v>598</v>
      </c>
      <c r="F255" s="184" t="s">
        <v>1117</v>
      </c>
      <c r="G255" s="185">
        <v>0</v>
      </c>
      <c r="H255" s="184" t="s">
        <v>598</v>
      </c>
      <c r="I255" s="184" t="s">
        <v>598</v>
      </c>
      <c r="J255" s="184" t="s">
        <v>102</v>
      </c>
      <c r="K255" s="184" t="s">
        <v>216</v>
      </c>
      <c r="L255" s="184" t="s">
        <v>598</v>
      </c>
      <c r="M255" s="184" t="s">
        <v>598</v>
      </c>
      <c r="N255" s="184" t="s">
        <v>63</v>
      </c>
      <c r="O255" s="184" t="s">
        <v>86</v>
      </c>
      <c r="P255" s="186" t="s">
        <v>607</v>
      </c>
      <c r="Q255" s="184" t="s">
        <v>598</v>
      </c>
      <c r="R255" s="184" t="s">
        <v>598</v>
      </c>
      <c r="S255" s="127">
        <v>42914</v>
      </c>
      <c r="T255" s="184" t="s">
        <v>34</v>
      </c>
      <c r="U255" s="184" t="s">
        <v>598</v>
      </c>
      <c r="V255" s="185">
        <v>1000</v>
      </c>
      <c r="W255" s="184" t="s">
        <v>549</v>
      </c>
      <c r="X255" s="184" t="s">
        <v>598</v>
      </c>
      <c r="Y255" s="185">
        <v>0</v>
      </c>
      <c r="Z255" s="184" t="s">
        <v>493</v>
      </c>
      <c r="AA255" s="21" t="s">
        <v>822</v>
      </c>
      <c r="AB255" s="176" t="s">
        <v>489</v>
      </c>
      <c r="AC255" s="172">
        <v>42996.328472222223</v>
      </c>
      <c r="AD255" s="32" t="s">
        <v>552</v>
      </c>
    </row>
    <row r="256" spans="1:30">
      <c r="A256" s="184">
        <v>255</v>
      </c>
      <c r="B256" s="184" t="s">
        <v>1118</v>
      </c>
      <c r="C256" s="184" t="s">
        <v>598</v>
      </c>
      <c r="D256" s="127">
        <v>42913</v>
      </c>
      <c r="E256" s="127" t="s">
        <v>598</v>
      </c>
      <c r="F256" s="184" t="s">
        <v>1119</v>
      </c>
      <c r="G256" s="185">
        <v>0</v>
      </c>
      <c r="H256" s="184" t="s">
        <v>598</v>
      </c>
      <c r="I256" s="184" t="s">
        <v>598</v>
      </c>
      <c r="J256" s="184" t="s">
        <v>102</v>
      </c>
      <c r="K256" s="184" t="s">
        <v>233</v>
      </c>
      <c r="L256" s="184" t="s">
        <v>598</v>
      </c>
      <c r="M256" s="184" t="s">
        <v>598</v>
      </c>
      <c r="N256" s="184" t="s">
        <v>63</v>
      </c>
      <c r="O256" s="184" t="s">
        <v>63</v>
      </c>
      <c r="P256" s="186" t="s">
        <v>73</v>
      </c>
      <c r="Q256" s="184" t="s">
        <v>598</v>
      </c>
      <c r="R256" s="184" t="s">
        <v>598</v>
      </c>
      <c r="S256" s="127">
        <v>42914</v>
      </c>
      <c r="T256" s="184" t="s">
        <v>34</v>
      </c>
      <c r="U256" s="184" t="s">
        <v>598</v>
      </c>
      <c r="V256" s="185">
        <v>1000</v>
      </c>
      <c r="W256" s="184" t="s">
        <v>549</v>
      </c>
      <c r="X256" s="184" t="s">
        <v>598</v>
      </c>
      <c r="Y256" s="185">
        <v>0</v>
      </c>
      <c r="Z256" s="184" t="s">
        <v>493</v>
      </c>
      <c r="AA256" s="21" t="s">
        <v>822</v>
      </c>
      <c r="AB256" s="176" t="s">
        <v>489</v>
      </c>
      <c r="AC256" s="172">
        <v>42996.328472222223</v>
      </c>
      <c r="AD256" s="32" t="s">
        <v>552</v>
      </c>
    </row>
    <row r="257" spans="1:30">
      <c r="A257" s="184">
        <v>256</v>
      </c>
      <c r="B257" s="184" t="s">
        <v>1120</v>
      </c>
      <c r="C257" s="184" t="s">
        <v>598</v>
      </c>
      <c r="D257" s="127">
        <v>42914</v>
      </c>
      <c r="E257" s="127" t="s">
        <v>598</v>
      </c>
      <c r="F257" s="184" t="s">
        <v>598</v>
      </c>
      <c r="G257" s="185">
        <v>0</v>
      </c>
      <c r="H257" s="184" t="s">
        <v>598</v>
      </c>
      <c r="I257" s="184" t="s">
        <v>132</v>
      </c>
      <c r="J257" s="184" t="s">
        <v>102</v>
      </c>
      <c r="K257" s="184" t="s">
        <v>233</v>
      </c>
      <c r="L257" s="184" t="s">
        <v>598</v>
      </c>
      <c r="M257" s="184" t="s">
        <v>598</v>
      </c>
      <c r="N257" s="184" t="s">
        <v>63</v>
      </c>
      <c r="O257" s="184" t="s">
        <v>598</v>
      </c>
      <c r="P257" s="186" t="s">
        <v>601</v>
      </c>
      <c r="Q257" s="184" t="s">
        <v>598</v>
      </c>
      <c r="R257" s="184" t="s">
        <v>598</v>
      </c>
      <c r="S257" s="127">
        <v>42915</v>
      </c>
      <c r="T257" s="184" t="s">
        <v>34</v>
      </c>
      <c r="U257" s="184" t="s">
        <v>598</v>
      </c>
      <c r="V257" s="185">
        <v>5000</v>
      </c>
      <c r="W257" s="184" t="s">
        <v>493</v>
      </c>
      <c r="X257" s="184" t="s">
        <v>598</v>
      </c>
      <c r="Y257" s="185">
        <v>0</v>
      </c>
      <c r="Z257" s="184" t="s">
        <v>598</v>
      </c>
      <c r="AA257" s="21" t="s">
        <v>610</v>
      </c>
      <c r="AB257" s="176" t="s">
        <v>489</v>
      </c>
      <c r="AC257" s="172">
        <v>42996.328472222223</v>
      </c>
      <c r="AD257" s="32" t="s">
        <v>552</v>
      </c>
    </row>
    <row r="258" spans="1:30">
      <c r="A258" s="184">
        <v>257</v>
      </c>
      <c r="B258" s="184" t="s">
        <v>1121</v>
      </c>
      <c r="C258" s="184" t="s">
        <v>598</v>
      </c>
      <c r="D258" s="127">
        <v>42914</v>
      </c>
      <c r="E258" s="127" t="s">
        <v>598</v>
      </c>
      <c r="F258" s="184" t="s">
        <v>1122</v>
      </c>
      <c r="G258" s="185">
        <v>0</v>
      </c>
      <c r="H258" s="184" t="s">
        <v>598</v>
      </c>
      <c r="I258" s="184" t="s">
        <v>134</v>
      </c>
      <c r="J258" s="184" t="s">
        <v>102</v>
      </c>
      <c r="K258" s="184" t="s">
        <v>233</v>
      </c>
      <c r="L258" s="184" t="s">
        <v>598</v>
      </c>
      <c r="M258" s="184" t="s">
        <v>598</v>
      </c>
      <c r="N258" s="184" t="s">
        <v>63</v>
      </c>
      <c r="O258" s="184" t="s">
        <v>86</v>
      </c>
      <c r="P258" s="186" t="s">
        <v>32</v>
      </c>
      <c r="Q258" s="184" t="s">
        <v>598</v>
      </c>
      <c r="R258" s="184" t="s">
        <v>598</v>
      </c>
      <c r="S258" s="127">
        <v>42914</v>
      </c>
      <c r="T258" s="184" t="s">
        <v>34</v>
      </c>
      <c r="U258" s="184" t="s">
        <v>598</v>
      </c>
      <c r="V258" s="185">
        <v>1000</v>
      </c>
      <c r="W258" s="184" t="s">
        <v>549</v>
      </c>
      <c r="X258" s="184" t="s">
        <v>598</v>
      </c>
      <c r="Y258" s="185">
        <v>0</v>
      </c>
      <c r="Z258" s="184" t="s">
        <v>493</v>
      </c>
      <c r="AA258" s="21" t="s">
        <v>822</v>
      </c>
      <c r="AB258" s="176" t="s">
        <v>489</v>
      </c>
      <c r="AC258" s="172">
        <v>42996.328472222223</v>
      </c>
      <c r="AD258" s="32" t="s">
        <v>552</v>
      </c>
    </row>
    <row r="259" spans="1:30">
      <c r="A259" s="184">
        <v>258</v>
      </c>
      <c r="B259" s="184" t="s">
        <v>1123</v>
      </c>
      <c r="C259" s="184" t="s">
        <v>598</v>
      </c>
      <c r="D259" s="127">
        <v>42914</v>
      </c>
      <c r="E259" s="127" t="s">
        <v>598</v>
      </c>
      <c r="F259" s="184" t="s">
        <v>1124</v>
      </c>
      <c r="G259" s="185">
        <v>0</v>
      </c>
      <c r="H259" s="184" t="s">
        <v>598</v>
      </c>
      <c r="I259" s="184" t="s">
        <v>134</v>
      </c>
      <c r="J259" s="184" t="s">
        <v>102</v>
      </c>
      <c r="K259" s="184" t="s">
        <v>233</v>
      </c>
      <c r="L259" s="184" t="s">
        <v>598</v>
      </c>
      <c r="M259" s="184" t="s">
        <v>598</v>
      </c>
      <c r="N259" s="184" t="s">
        <v>63</v>
      </c>
      <c r="O259" s="184" t="s">
        <v>86</v>
      </c>
      <c r="P259" s="186" t="s">
        <v>53</v>
      </c>
      <c r="Q259" s="184" t="s">
        <v>598</v>
      </c>
      <c r="R259" s="184" t="s">
        <v>598</v>
      </c>
      <c r="S259" s="127">
        <v>42914</v>
      </c>
      <c r="T259" s="184" t="s">
        <v>34</v>
      </c>
      <c r="U259" s="184" t="s">
        <v>598</v>
      </c>
      <c r="V259" s="185">
        <v>2000</v>
      </c>
      <c r="W259" s="184" t="s">
        <v>493</v>
      </c>
      <c r="X259" s="184" t="s">
        <v>598</v>
      </c>
      <c r="Y259" s="185">
        <v>0</v>
      </c>
      <c r="Z259" s="184" t="s">
        <v>598</v>
      </c>
      <c r="AA259" s="21" t="s">
        <v>610</v>
      </c>
      <c r="AB259" s="176" t="s">
        <v>489</v>
      </c>
      <c r="AC259" s="172">
        <v>42996.328472222223</v>
      </c>
      <c r="AD259" s="32" t="s">
        <v>552</v>
      </c>
    </row>
    <row r="260" spans="1:30">
      <c r="A260" s="184">
        <v>259</v>
      </c>
      <c r="B260" s="184" t="s">
        <v>1125</v>
      </c>
      <c r="C260" s="184" t="s">
        <v>598</v>
      </c>
      <c r="D260" s="127">
        <v>42914</v>
      </c>
      <c r="E260" s="127" t="s">
        <v>598</v>
      </c>
      <c r="F260" s="184" t="s">
        <v>1126</v>
      </c>
      <c r="G260" s="185">
        <v>0</v>
      </c>
      <c r="H260" s="184" t="s">
        <v>598</v>
      </c>
      <c r="I260" s="184" t="s">
        <v>598</v>
      </c>
      <c r="J260" s="184" t="s">
        <v>102</v>
      </c>
      <c r="K260" s="184" t="s">
        <v>1127</v>
      </c>
      <c r="L260" s="184" t="s">
        <v>598</v>
      </c>
      <c r="M260" s="184" t="s">
        <v>598</v>
      </c>
      <c r="N260" s="184" t="s">
        <v>63</v>
      </c>
      <c r="O260" s="184" t="s">
        <v>63</v>
      </c>
      <c r="P260" s="186" t="s">
        <v>44</v>
      </c>
      <c r="Q260" s="184" t="s">
        <v>598</v>
      </c>
      <c r="R260" s="184" t="s">
        <v>598</v>
      </c>
      <c r="S260" s="127">
        <v>42914</v>
      </c>
      <c r="T260" s="184" t="s">
        <v>34</v>
      </c>
      <c r="U260" s="184" t="s">
        <v>598</v>
      </c>
      <c r="V260" s="185">
        <v>2000</v>
      </c>
      <c r="W260" s="184" t="s">
        <v>549</v>
      </c>
      <c r="X260" s="184" t="s">
        <v>598</v>
      </c>
      <c r="Y260" s="185">
        <v>0</v>
      </c>
      <c r="Z260" s="184" t="s">
        <v>493</v>
      </c>
      <c r="AA260" s="21" t="s">
        <v>822</v>
      </c>
      <c r="AB260" s="176" t="s">
        <v>489</v>
      </c>
      <c r="AC260" s="172">
        <v>42996.328472222223</v>
      </c>
      <c r="AD260" s="32" t="s">
        <v>552</v>
      </c>
    </row>
    <row r="261" spans="1:30">
      <c r="A261" s="184">
        <v>260</v>
      </c>
      <c r="B261" s="184" t="s">
        <v>1128</v>
      </c>
      <c r="C261" s="184" t="s">
        <v>598</v>
      </c>
      <c r="D261" s="127">
        <v>42915</v>
      </c>
      <c r="E261" s="127" t="s">
        <v>598</v>
      </c>
      <c r="F261" s="184" t="s">
        <v>1129</v>
      </c>
      <c r="G261" s="185">
        <v>0</v>
      </c>
      <c r="H261" s="184" t="s">
        <v>598</v>
      </c>
      <c r="I261" s="184" t="s">
        <v>598</v>
      </c>
      <c r="J261" s="184" t="s">
        <v>102</v>
      </c>
      <c r="K261" s="184" t="s">
        <v>1130</v>
      </c>
      <c r="L261" s="184" t="s">
        <v>598</v>
      </c>
      <c r="M261" s="184" t="s">
        <v>598</v>
      </c>
      <c r="N261" s="184" t="s">
        <v>63</v>
      </c>
      <c r="O261" s="184" t="s">
        <v>598</v>
      </c>
      <c r="P261" s="186" t="s">
        <v>67</v>
      </c>
      <c r="Q261" s="184" t="s">
        <v>598</v>
      </c>
      <c r="R261" s="184" t="s">
        <v>598</v>
      </c>
      <c r="S261" s="127">
        <v>42916</v>
      </c>
      <c r="T261" s="184" t="s">
        <v>34</v>
      </c>
      <c r="U261" s="184" t="s">
        <v>598</v>
      </c>
      <c r="V261" s="185">
        <v>1000</v>
      </c>
      <c r="W261" s="184" t="s">
        <v>549</v>
      </c>
      <c r="X261" s="184" t="s">
        <v>598</v>
      </c>
      <c r="Y261" s="185">
        <v>0</v>
      </c>
      <c r="Z261" s="184" t="s">
        <v>493</v>
      </c>
      <c r="AA261" s="21" t="s">
        <v>822</v>
      </c>
      <c r="AB261" s="176" t="s">
        <v>489</v>
      </c>
      <c r="AC261" s="172">
        <v>42996.328472222223</v>
      </c>
      <c r="AD261" s="32" t="s">
        <v>552</v>
      </c>
    </row>
    <row r="262" spans="1:30">
      <c r="A262" s="184">
        <v>261</v>
      </c>
      <c r="B262" s="184" t="s">
        <v>1131</v>
      </c>
      <c r="C262" s="184" t="s">
        <v>598</v>
      </c>
      <c r="D262" s="127">
        <v>42915</v>
      </c>
      <c r="E262" s="127" t="s">
        <v>598</v>
      </c>
      <c r="F262" s="184" t="s">
        <v>1132</v>
      </c>
      <c r="G262" s="185">
        <v>0</v>
      </c>
      <c r="H262" s="184" t="s">
        <v>598</v>
      </c>
      <c r="I262" s="184" t="s">
        <v>598</v>
      </c>
      <c r="J262" s="184" t="s">
        <v>102</v>
      </c>
      <c r="K262" s="184" t="s">
        <v>1113</v>
      </c>
      <c r="L262" s="184" t="s">
        <v>598</v>
      </c>
      <c r="M262" s="184" t="s">
        <v>598</v>
      </c>
      <c r="N262" s="184" t="s">
        <v>63</v>
      </c>
      <c r="O262" s="184" t="s">
        <v>598</v>
      </c>
      <c r="P262" s="186" t="s">
        <v>602</v>
      </c>
      <c r="Q262" s="184" t="s">
        <v>598</v>
      </c>
      <c r="R262" s="184" t="s">
        <v>598</v>
      </c>
      <c r="S262" s="127" t="s">
        <v>598</v>
      </c>
      <c r="T262" s="184" t="s">
        <v>598</v>
      </c>
      <c r="U262" s="184" t="s">
        <v>598</v>
      </c>
      <c r="V262" s="185">
        <v>0</v>
      </c>
      <c r="W262" s="184" t="s">
        <v>485</v>
      </c>
      <c r="X262" s="184" t="s">
        <v>598</v>
      </c>
      <c r="Y262" s="185">
        <v>0</v>
      </c>
      <c r="Z262" s="184" t="s">
        <v>598</v>
      </c>
      <c r="AA262" s="21" t="s">
        <v>610</v>
      </c>
      <c r="AB262" s="176" t="s">
        <v>489</v>
      </c>
      <c r="AC262" s="172">
        <v>42996.328472222223</v>
      </c>
      <c r="AD262" s="32" t="s">
        <v>552</v>
      </c>
    </row>
    <row r="263" spans="1:30">
      <c r="A263" s="184">
        <v>262</v>
      </c>
      <c r="B263" s="184" t="s">
        <v>1133</v>
      </c>
      <c r="C263" s="184" t="s">
        <v>598</v>
      </c>
      <c r="D263" s="127">
        <v>42916</v>
      </c>
      <c r="E263" s="127" t="s">
        <v>598</v>
      </c>
      <c r="F263" s="184" t="s">
        <v>72</v>
      </c>
      <c r="G263" s="185">
        <v>0</v>
      </c>
      <c r="H263" s="184" t="s">
        <v>598</v>
      </c>
      <c r="I263" s="184" t="s">
        <v>598</v>
      </c>
      <c r="J263" s="184" t="s">
        <v>102</v>
      </c>
      <c r="K263" s="184" t="s">
        <v>1113</v>
      </c>
      <c r="L263" s="184" t="s">
        <v>598</v>
      </c>
      <c r="M263" s="184" t="s">
        <v>598</v>
      </c>
      <c r="N263" s="184" t="s">
        <v>63</v>
      </c>
      <c r="O263" s="184" t="s">
        <v>598</v>
      </c>
      <c r="P263" s="186" t="s">
        <v>603</v>
      </c>
      <c r="Q263" s="184" t="s">
        <v>598</v>
      </c>
      <c r="R263" s="184" t="s">
        <v>598</v>
      </c>
      <c r="S263" s="127" t="s">
        <v>598</v>
      </c>
      <c r="T263" s="184" t="s">
        <v>598</v>
      </c>
      <c r="U263" s="184" t="s">
        <v>598</v>
      </c>
      <c r="V263" s="185">
        <v>0</v>
      </c>
      <c r="W263" s="184" t="s">
        <v>89</v>
      </c>
      <c r="X263" s="184" t="s">
        <v>598</v>
      </c>
      <c r="Y263" s="185">
        <v>0</v>
      </c>
      <c r="Z263" s="184" t="s">
        <v>598</v>
      </c>
      <c r="AA263" s="21" t="s">
        <v>822</v>
      </c>
      <c r="AB263" s="176" t="s">
        <v>489</v>
      </c>
      <c r="AC263" s="172">
        <v>42996.328472222223</v>
      </c>
      <c r="AD263" s="32" t="s">
        <v>552</v>
      </c>
    </row>
    <row r="264" spans="1:30">
      <c r="A264" s="184">
        <v>263</v>
      </c>
      <c r="B264" s="184" t="s">
        <v>1134</v>
      </c>
      <c r="C264" s="184" t="s">
        <v>598</v>
      </c>
      <c r="D264" s="127">
        <v>42916</v>
      </c>
      <c r="E264" s="127" t="s">
        <v>598</v>
      </c>
      <c r="F264" s="184" t="s">
        <v>1135</v>
      </c>
      <c r="G264" s="185">
        <v>0</v>
      </c>
      <c r="H264" s="184" t="s">
        <v>598</v>
      </c>
      <c r="I264" s="184" t="s">
        <v>598</v>
      </c>
      <c r="J264" s="184" t="s">
        <v>102</v>
      </c>
      <c r="K264" s="184" t="s">
        <v>1113</v>
      </c>
      <c r="L264" s="184" t="s">
        <v>598</v>
      </c>
      <c r="M264" s="184" t="s">
        <v>598</v>
      </c>
      <c r="N264" s="184" t="s">
        <v>63</v>
      </c>
      <c r="O264" s="184" t="s">
        <v>598</v>
      </c>
      <c r="P264" s="186" t="s">
        <v>604</v>
      </c>
      <c r="Q264" s="184" t="s">
        <v>598</v>
      </c>
      <c r="R264" s="184" t="s">
        <v>598</v>
      </c>
      <c r="S264" s="127" t="s">
        <v>598</v>
      </c>
      <c r="T264" s="184" t="s">
        <v>598</v>
      </c>
      <c r="U264" s="184" t="s">
        <v>598</v>
      </c>
      <c r="V264" s="185">
        <v>0</v>
      </c>
      <c r="W264" s="184" t="s">
        <v>89</v>
      </c>
      <c r="X264" s="184" t="s">
        <v>598</v>
      </c>
      <c r="Y264" s="185">
        <v>0</v>
      </c>
      <c r="Z264" s="184" t="s">
        <v>598</v>
      </c>
      <c r="AA264" s="21" t="s">
        <v>822</v>
      </c>
      <c r="AB264" s="176" t="s">
        <v>489</v>
      </c>
      <c r="AC264" s="172">
        <v>42996.328472222223</v>
      </c>
      <c r="AD264" s="32" t="s">
        <v>552</v>
      </c>
    </row>
    <row r="265" spans="1:30">
      <c r="A265" s="184">
        <v>264</v>
      </c>
      <c r="B265" s="184" t="s">
        <v>1136</v>
      </c>
      <c r="C265" s="184" t="s">
        <v>598</v>
      </c>
      <c r="D265" s="127">
        <v>42916</v>
      </c>
      <c r="E265" s="127" t="s">
        <v>598</v>
      </c>
      <c r="F265" s="184" t="s">
        <v>1137</v>
      </c>
      <c r="G265" s="185">
        <v>0</v>
      </c>
      <c r="H265" s="184" t="s">
        <v>598</v>
      </c>
      <c r="I265" s="184" t="s">
        <v>598</v>
      </c>
      <c r="J265" s="184" t="s">
        <v>102</v>
      </c>
      <c r="K265" s="184" t="s">
        <v>598</v>
      </c>
      <c r="L265" s="184" t="s">
        <v>598</v>
      </c>
      <c r="M265" s="184" t="s">
        <v>598</v>
      </c>
      <c r="N265" s="184" t="s">
        <v>63</v>
      </c>
      <c r="O265" s="184" t="s">
        <v>598</v>
      </c>
      <c r="P265" s="186" t="s">
        <v>605</v>
      </c>
      <c r="Q265" s="184" t="s">
        <v>598</v>
      </c>
      <c r="R265" s="184" t="s">
        <v>598</v>
      </c>
      <c r="S265" s="127">
        <v>42916</v>
      </c>
      <c r="T265" s="184" t="s">
        <v>34</v>
      </c>
      <c r="U265" s="184" t="s">
        <v>598</v>
      </c>
      <c r="V265" s="185">
        <v>2000</v>
      </c>
      <c r="W265" s="184" t="s">
        <v>549</v>
      </c>
      <c r="X265" s="184" t="s">
        <v>598</v>
      </c>
      <c r="Y265" s="185">
        <v>0</v>
      </c>
      <c r="Z265" s="184" t="s">
        <v>493</v>
      </c>
      <c r="AA265" s="21" t="s">
        <v>822</v>
      </c>
      <c r="AB265" s="176" t="s">
        <v>489</v>
      </c>
      <c r="AC265" s="172">
        <v>42996.328472222223</v>
      </c>
      <c r="AD265" s="32" t="s">
        <v>552</v>
      </c>
    </row>
    <row r="266" spans="1:30">
      <c r="A266" s="184">
        <v>265</v>
      </c>
      <c r="B266" s="184" t="s">
        <v>1138</v>
      </c>
      <c r="C266" s="184" t="s">
        <v>598</v>
      </c>
      <c r="D266" s="127">
        <v>42916</v>
      </c>
      <c r="E266" s="127" t="s">
        <v>598</v>
      </c>
      <c r="F266" s="184" t="s">
        <v>1139</v>
      </c>
      <c r="G266" s="185">
        <v>0</v>
      </c>
      <c r="H266" s="184" t="s">
        <v>598</v>
      </c>
      <c r="I266" s="184" t="s">
        <v>132</v>
      </c>
      <c r="J266" s="184" t="s">
        <v>102</v>
      </c>
      <c r="K266" s="184" t="s">
        <v>1113</v>
      </c>
      <c r="L266" s="184" t="s">
        <v>598</v>
      </c>
      <c r="M266" s="184" t="s">
        <v>598</v>
      </c>
      <c r="N266" s="184" t="s">
        <v>63</v>
      </c>
      <c r="O266" s="184" t="s">
        <v>598</v>
      </c>
      <c r="P266" s="186" t="s">
        <v>606</v>
      </c>
      <c r="Q266" s="184" t="s">
        <v>598</v>
      </c>
      <c r="R266" s="184" t="s">
        <v>598</v>
      </c>
      <c r="S266" s="127" t="s">
        <v>598</v>
      </c>
      <c r="T266" s="184" t="s">
        <v>598</v>
      </c>
      <c r="U266" s="184" t="s">
        <v>598</v>
      </c>
      <c r="V266" s="185">
        <v>0</v>
      </c>
      <c r="W266" s="184" t="s">
        <v>598</v>
      </c>
      <c r="X266" s="184" t="s">
        <v>598</v>
      </c>
      <c r="Y266" s="185">
        <v>0</v>
      </c>
      <c r="Z266" s="184" t="s">
        <v>598</v>
      </c>
      <c r="AA266" s="21" t="s">
        <v>598</v>
      </c>
      <c r="AB266" s="176" t="s">
        <v>489</v>
      </c>
      <c r="AC266" s="172">
        <v>42996.328472222223</v>
      </c>
      <c r="AD266" s="32" t="s">
        <v>552</v>
      </c>
    </row>
    <row r="267" spans="1:30">
      <c r="A267" s="184">
        <v>266</v>
      </c>
      <c r="B267" s="184" t="s">
        <v>1140</v>
      </c>
      <c r="C267" s="184" t="s">
        <v>598</v>
      </c>
      <c r="D267" s="127">
        <v>42829</v>
      </c>
      <c r="E267" s="127" t="s">
        <v>598</v>
      </c>
      <c r="F267" s="184" t="s">
        <v>1141</v>
      </c>
      <c r="G267" s="185">
        <v>0</v>
      </c>
      <c r="H267" s="184" t="s">
        <v>598</v>
      </c>
      <c r="I267" s="184" t="s">
        <v>598</v>
      </c>
      <c r="J267" s="184" t="s">
        <v>84</v>
      </c>
      <c r="K267" s="184" t="s">
        <v>345</v>
      </c>
      <c r="L267" s="184" t="s">
        <v>598</v>
      </c>
      <c r="M267" s="184" t="s">
        <v>598</v>
      </c>
      <c r="N267" s="184" t="s">
        <v>63</v>
      </c>
      <c r="O267" s="184" t="s">
        <v>1142</v>
      </c>
      <c r="P267" s="186" t="s">
        <v>607</v>
      </c>
      <c r="Q267" s="184" t="s">
        <v>598</v>
      </c>
      <c r="R267" s="184" t="s">
        <v>598</v>
      </c>
      <c r="S267" s="127" t="s">
        <v>598</v>
      </c>
      <c r="T267" s="184" t="s">
        <v>598</v>
      </c>
      <c r="U267" s="184" t="s">
        <v>598</v>
      </c>
      <c r="V267" s="185">
        <v>0</v>
      </c>
      <c r="W267" s="184" t="s">
        <v>485</v>
      </c>
      <c r="X267" s="184">
        <v>4028</v>
      </c>
      <c r="Y267" s="185">
        <v>10000</v>
      </c>
      <c r="Z267" s="184" t="s">
        <v>598</v>
      </c>
      <c r="AA267" s="21" t="s">
        <v>610</v>
      </c>
      <c r="AB267" s="176" t="s">
        <v>489</v>
      </c>
      <c r="AC267" s="172">
        <v>42996.328472222223</v>
      </c>
      <c r="AD267" s="32" t="s">
        <v>552</v>
      </c>
    </row>
    <row r="268" spans="1:30">
      <c r="A268" s="184">
        <v>267</v>
      </c>
      <c r="B268" s="184" t="s">
        <v>1143</v>
      </c>
      <c r="C268" s="184" t="s">
        <v>598</v>
      </c>
      <c r="D268" s="127">
        <v>42833</v>
      </c>
      <c r="E268" s="127" t="s">
        <v>598</v>
      </c>
      <c r="F268" s="184" t="s">
        <v>85</v>
      </c>
      <c r="G268" s="185">
        <v>0</v>
      </c>
      <c r="H268" s="184" t="s">
        <v>598</v>
      </c>
      <c r="I268" s="184" t="s">
        <v>598</v>
      </c>
      <c r="J268" s="184" t="s">
        <v>84</v>
      </c>
      <c r="K268" s="184" t="s">
        <v>346</v>
      </c>
      <c r="L268" s="184" t="s">
        <v>598</v>
      </c>
      <c r="M268" s="184" t="s">
        <v>598</v>
      </c>
      <c r="N268" s="184" t="s">
        <v>63</v>
      </c>
      <c r="O268" s="184" t="s">
        <v>86</v>
      </c>
      <c r="P268" s="186" t="s">
        <v>73</v>
      </c>
      <c r="Q268" s="184" t="s">
        <v>598</v>
      </c>
      <c r="R268" s="184" t="s">
        <v>598</v>
      </c>
      <c r="S268" s="127" t="s">
        <v>598</v>
      </c>
      <c r="T268" s="184" t="s">
        <v>598</v>
      </c>
      <c r="U268" s="184" t="s">
        <v>598</v>
      </c>
      <c r="V268" s="185">
        <v>0</v>
      </c>
      <c r="W268" s="184" t="s">
        <v>485</v>
      </c>
      <c r="X268" s="184">
        <v>3877</v>
      </c>
      <c r="Y268" s="185">
        <v>3000</v>
      </c>
      <c r="Z268" s="184" t="s">
        <v>492</v>
      </c>
      <c r="AA268" s="21" t="s">
        <v>610</v>
      </c>
      <c r="AB268" s="176" t="s">
        <v>489</v>
      </c>
      <c r="AC268" s="172">
        <v>42996.328472222223</v>
      </c>
      <c r="AD268" s="32" t="s">
        <v>552</v>
      </c>
    </row>
    <row r="269" spans="1:30">
      <c r="A269" s="184">
        <v>268</v>
      </c>
      <c r="B269" s="184" t="s">
        <v>1144</v>
      </c>
      <c r="C269" s="184" t="s">
        <v>598</v>
      </c>
      <c r="D269" s="127">
        <v>42838</v>
      </c>
      <c r="E269" s="127" t="s">
        <v>598</v>
      </c>
      <c r="F269" s="184" t="s">
        <v>1145</v>
      </c>
      <c r="G269" s="185">
        <v>0</v>
      </c>
      <c r="H269" s="184" t="s">
        <v>598</v>
      </c>
      <c r="I269" s="184" t="s">
        <v>598</v>
      </c>
      <c r="J269" s="184" t="s">
        <v>119</v>
      </c>
      <c r="K269" s="184" t="s">
        <v>28</v>
      </c>
      <c r="L269" s="184" t="s">
        <v>598</v>
      </c>
      <c r="M269" s="184" t="s">
        <v>598</v>
      </c>
      <c r="N269" s="184" t="s">
        <v>63</v>
      </c>
      <c r="O269" s="184" t="s">
        <v>598</v>
      </c>
      <c r="P269" s="186" t="s">
        <v>601</v>
      </c>
      <c r="Q269" s="184" t="s">
        <v>598</v>
      </c>
      <c r="R269" s="184" t="s">
        <v>598</v>
      </c>
      <c r="S269" s="127" t="s">
        <v>598</v>
      </c>
      <c r="T269" s="184" t="s">
        <v>598</v>
      </c>
      <c r="U269" s="184" t="s">
        <v>598</v>
      </c>
      <c r="V269" s="185">
        <v>0</v>
      </c>
      <c r="W269" s="184" t="s">
        <v>485</v>
      </c>
      <c r="X269" s="184">
        <v>3882</v>
      </c>
      <c r="Y269" s="185">
        <v>10000</v>
      </c>
      <c r="Z269" s="184" t="s">
        <v>598</v>
      </c>
      <c r="AA269" s="21" t="s">
        <v>610</v>
      </c>
      <c r="AB269" s="176" t="s">
        <v>489</v>
      </c>
      <c r="AC269" s="172">
        <v>42996.328472222223</v>
      </c>
      <c r="AD269" s="32" t="s">
        <v>552</v>
      </c>
    </row>
    <row r="270" spans="1:30">
      <c r="A270" s="184">
        <v>269</v>
      </c>
      <c r="B270" s="184" t="s">
        <v>1146</v>
      </c>
      <c r="C270" s="184" t="s">
        <v>598</v>
      </c>
      <c r="D270" s="127">
        <v>42843</v>
      </c>
      <c r="E270" s="127" t="s">
        <v>598</v>
      </c>
      <c r="F270" s="184" t="s">
        <v>1147</v>
      </c>
      <c r="G270" s="185">
        <v>0</v>
      </c>
      <c r="H270" s="184" t="s">
        <v>598</v>
      </c>
      <c r="I270" s="184" t="s">
        <v>134</v>
      </c>
      <c r="J270" s="184" t="s">
        <v>84</v>
      </c>
      <c r="K270" s="184" t="s">
        <v>195</v>
      </c>
      <c r="L270" s="184" t="s">
        <v>598</v>
      </c>
      <c r="M270" s="184" t="s">
        <v>598</v>
      </c>
      <c r="N270" s="184" t="s">
        <v>63</v>
      </c>
      <c r="O270" s="184" t="s">
        <v>86</v>
      </c>
      <c r="P270" s="186" t="s">
        <v>32</v>
      </c>
      <c r="Q270" s="184" t="s">
        <v>598</v>
      </c>
      <c r="R270" s="184" t="s">
        <v>598</v>
      </c>
      <c r="S270" s="127" t="s">
        <v>598</v>
      </c>
      <c r="T270" s="184" t="s">
        <v>598</v>
      </c>
      <c r="U270" s="184" t="s">
        <v>598</v>
      </c>
      <c r="V270" s="185">
        <v>0</v>
      </c>
      <c r="W270" s="184" t="s">
        <v>485</v>
      </c>
      <c r="X270" s="184">
        <v>3892</v>
      </c>
      <c r="Y270" s="185">
        <v>3000</v>
      </c>
      <c r="Z270" s="184" t="s">
        <v>598</v>
      </c>
      <c r="AA270" s="21" t="s">
        <v>610</v>
      </c>
      <c r="AB270" s="176" t="s">
        <v>489</v>
      </c>
      <c r="AC270" s="172">
        <v>42996.328472222223</v>
      </c>
      <c r="AD270" s="32" t="s">
        <v>552</v>
      </c>
    </row>
    <row r="271" spans="1:30">
      <c r="A271" s="184">
        <v>270</v>
      </c>
      <c r="B271" s="184" t="s">
        <v>1148</v>
      </c>
      <c r="C271" s="184" t="s">
        <v>598</v>
      </c>
      <c r="D271" s="127">
        <v>42843</v>
      </c>
      <c r="E271" s="127" t="s">
        <v>598</v>
      </c>
      <c r="F271" s="184" t="s">
        <v>1149</v>
      </c>
      <c r="G271" s="185">
        <v>0</v>
      </c>
      <c r="H271" s="184" t="s">
        <v>598</v>
      </c>
      <c r="I271" s="184" t="s">
        <v>598</v>
      </c>
      <c r="J271" s="184" t="s">
        <v>84</v>
      </c>
      <c r="K271" s="184" t="s">
        <v>347</v>
      </c>
      <c r="L271" s="184" t="s">
        <v>598</v>
      </c>
      <c r="M271" s="184" t="s">
        <v>598</v>
      </c>
      <c r="N271" s="184" t="s">
        <v>63</v>
      </c>
      <c r="O271" s="184" t="s">
        <v>63</v>
      </c>
      <c r="P271" s="186" t="s">
        <v>53</v>
      </c>
      <c r="Q271" s="184" t="s">
        <v>598</v>
      </c>
      <c r="R271" s="184" t="s">
        <v>598</v>
      </c>
      <c r="S271" s="127" t="s">
        <v>598</v>
      </c>
      <c r="T271" s="184" t="s">
        <v>598</v>
      </c>
      <c r="U271" s="184" t="s">
        <v>598</v>
      </c>
      <c r="V271" s="185">
        <v>0</v>
      </c>
      <c r="W271" s="184" t="s">
        <v>485</v>
      </c>
      <c r="X271" s="184">
        <v>4001</v>
      </c>
      <c r="Y271" s="185">
        <v>15000</v>
      </c>
      <c r="Z271" s="184" t="s">
        <v>598</v>
      </c>
      <c r="AA271" s="21" t="s">
        <v>610</v>
      </c>
      <c r="AB271" s="176" t="s">
        <v>489</v>
      </c>
      <c r="AC271" s="172">
        <v>42996.328472222223</v>
      </c>
      <c r="AD271" s="32" t="s">
        <v>552</v>
      </c>
    </row>
    <row r="272" spans="1:30">
      <c r="A272" s="184">
        <v>271</v>
      </c>
      <c r="B272" s="184" t="s">
        <v>1150</v>
      </c>
      <c r="C272" s="184" t="s">
        <v>598</v>
      </c>
      <c r="D272" s="127">
        <v>42847</v>
      </c>
      <c r="E272" s="127" t="s">
        <v>598</v>
      </c>
      <c r="F272" s="184" t="s">
        <v>1151</v>
      </c>
      <c r="G272" s="185">
        <v>0</v>
      </c>
      <c r="H272" s="184" t="s">
        <v>598</v>
      </c>
      <c r="I272" s="184" t="s">
        <v>598</v>
      </c>
      <c r="J272" s="184" t="s">
        <v>84</v>
      </c>
      <c r="K272" s="184" t="s">
        <v>348</v>
      </c>
      <c r="L272" s="184" t="s">
        <v>598</v>
      </c>
      <c r="M272" s="184" t="s">
        <v>598</v>
      </c>
      <c r="N272" s="184" t="s">
        <v>63</v>
      </c>
      <c r="O272" s="184" t="s">
        <v>86</v>
      </c>
      <c r="P272" s="186" t="s">
        <v>44</v>
      </c>
      <c r="Q272" s="184" t="s">
        <v>598</v>
      </c>
      <c r="R272" s="184" t="s">
        <v>598</v>
      </c>
      <c r="S272" s="127" t="s">
        <v>598</v>
      </c>
      <c r="T272" s="184" t="s">
        <v>598</v>
      </c>
      <c r="U272" s="184" t="s">
        <v>598</v>
      </c>
      <c r="V272" s="185">
        <v>0</v>
      </c>
      <c r="W272" s="184" t="s">
        <v>485</v>
      </c>
      <c r="X272" s="184" t="s">
        <v>598</v>
      </c>
      <c r="Y272" s="185">
        <v>0</v>
      </c>
      <c r="Z272" s="184" t="s">
        <v>598</v>
      </c>
      <c r="AA272" s="21" t="s">
        <v>610</v>
      </c>
      <c r="AB272" s="176" t="s">
        <v>489</v>
      </c>
      <c r="AC272" s="172">
        <v>42996.328472222223</v>
      </c>
      <c r="AD272" s="32" t="s">
        <v>552</v>
      </c>
    </row>
    <row r="273" spans="1:30">
      <c r="A273" s="184">
        <v>272</v>
      </c>
      <c r="B273" s="184" t="s">
        <v>1152</v>
      </c>
      <c r="C273" s="184" t="s">
        <v>598</v>
      </c>
      <c r="D273" s="127">
        <v>42848</v>
      </c>
      <c r="E273" s="127" t="s">
        <v>598</v>
      </c>
      <c r="F273" s="184" t="s">
        <v>1153</v>
      </c>
      <c r="G273" s="185">
        <v>0</v>
      </c>
      <c r="H273" s="184" t="s">
        <v>598</v>
      </c>
      <c r="I273" s="184" t="s">
        <v>598</v>
      </c>
      <c r="J273" s="184" t="s">
        <v>84</v>
      </c>
      <c r="K273" s="184" t="s">
        <v>214</v>
      </c>
      <c r="L273" s="184" t="s">
        <v>598</v>
      </c>
      <c r="M273" s="184" t="s">
        <v>598</v>
      </c>
      <c r="N273" s="184" t="s">
        <v>63</v>
      </c>
      <c r="O273" s="184" t="s">
        <v>598</v>
      </c>
      <c r="P273" s="186" t="s">
        <v>67</v>
      </c>
      <c r="Q273" s="184" t="s">
        <v>598</v>
      </c>
      <c r="R273" s="184" t="s">
        <v>598</v>
      </c>
      <c r="S273" s="127" t="s">
        <v>598</v>
      </c>
      <c r="T273" s="184" t="s">
        <v>598</v>
      </c>
      <c r="U273" s="184" t="s">
        <v>598</v>
      </c>
      <c r="V273" s="185">
        <v>0</v>
      </c>
      <c r="W273" s="184" t="s">
        <v>33</v>
      </c>
      <c r="X273" s="184" t="s">
        <v>598</v>
      </c>
      <c r="Y273" s="185">
        <v>0</v>
      </c>
      <c r="Z273" s="184" t="s">
        <v>598</v>
      </c>
      <c r="AA273" s="21" t="s">
        <v>822</v>
      </c>
      <c r="AB273" s="176" t="s">
        <v>489</v>
      </c>
      <c r="AC273" s="172">
        <v>42996.328472222223</v>
      </c>
      <c r="AD273" s="32" t="s">
        <v>552</v>
      </c>
    </row>
    <row r="274" spans="1:30">
      <c r="A274" s="184">
        <v>273</v>
      </c>
      <c r="B274" s="184" t="s">
        <v>1154</v>
      </c>
      <c r="C274" s="184" t="s">
        <v>598</v>
      </c>
      <c r="D274" s="127">
        <v>42848</v>
      </c>
      <c r="E274" s="127" t="s">
        <v>598</v>
      </c>
      <c r="F274" s="184" t="s">
        <v>1155</v>
      </c>
      <c r="G274" s="185">
        <v>0</v>
      </c>
      <c r="H274" s="184" t="s">
        <v>598</v>
      </c>
      <c r="I274" s="184" t="s">
        <v>598</v>
      </c>
      <c r="J274" s="184" t="s">
        <v>84</v>
      </c>
      <c r="K274" s="184" t="s">
        <v>191</v>
      </c>
      <c r="L274" s="184" t="s">
        <v>598</v>
      </c>
      <c r="M274" s="184" t="s">
        <v>598</v>
      </c>
      <c r="N274" s="184" t="s">
        <v>63</v>
      </c>
      <c r="O274" s="184" t="s">
        <v>598</v>
      </c>
      <c r="P274" s="186" t="s">
        <v>602</v>
      </c>
      <c r="Q274" s="184" t="s">
        <v>598</v>
      </c>
      <c r="R274" s="184" t="s">
        <v>598</v>
      </c>
      <c r="S274" s="127" t="s">
        <v>598</v>
      </c>
      <c r="T274" s="184" t="s">
        <v>598</v>
      </c>
      <c r="U274" s="184" t="s">
        <v>598</v>
      </c>
      <c r="V274" s="185">
        <v>0</v>
      </c>
      <c r="W274" s="184" t="s">
        <v>33</v>
      </c>
      <c r="X274" s="184" t="s">
        <v>598</v>
      </c>
      <c r="Y274" s="185">
        <v>0</v>
      </c>
      <c r="Z274" s="184" t="s">
        <v>598</v>
      </c>
      <c r="AA274" s="21" t="s">
        <v>822</v>
      </c>
      <c r="AB274" s="176" t="s">
        <v>489</v>
      </c>
      <c r="AC274" s="172">
        <v>42996.328472222223</v>
      </c>
      <c r="AD274" s="32" t="s">
        <v>552</v>
      </c>
    </row>
    <row r="275" spans="1:30">
      <c r="A275" s="184">
        <v>274</v>
      </c>
      <c r="B275" s="184" t="s">
        <v>1156</v>
      </c>
      <c r="C275" s="184" t="s">
        <v>598</v>
      </c>
      <c r="D275" s="127">
        <v>42849</v>
      </c>
      <c r="E275" s="127" t="s">
        <v>598</v>
      </c>
      <c r="F275" s="184" t="s">
        <v>1157</v>
      </c>
      <c r="G275" s="185">
        <v>0</v>
      </c>
      <c r="H275" s="184" t="s">
        <v>598</v>
      </c>
      <c r="I275" s="184" t="s">
        <v>598</v>
      </c>
      <c r="J275" s="184" t="s">
        <v>84</v>
      </c>
      <c r="K275" s="184" t="s">
        <v>349</v>
      </c>
      <c r="L275" s="184" t="s">
        <v>598</v>
      </c>
      <c r="M275" s="184" t="s">
        <v>598</v>
      </c>
      <c r="N275" s="184" t="s">
        <v>63</v>
      </c>
      <c r="O275" s="184" t="s">
        <v>63</v>
      </c>
      <c r="P275" s="186" t="s">
        <v>603</v>
      </c>
      <c r="Q275" s="184" t="s">
        <v>598</v>
      </c>
      <c r="R275" s="184" t="s">
        <v>598</v>
      </c>
      <c r="S275" s="127" t="s">
        <v>598</v>
      </c>
      <c r="T275" s="184" t="s">
        <v>598</v>
      </c>
      <c r="U275" s="184" t="s">
        <v>598</v>
      </c>
      <c r="V275" s="185">
        <v>0</v>
      </c>
      <c r="W275" s="184" t="s">
        <v>485</v>
      </c>
      <c r="X275" s="184">
        <v>3899</v>
      </c>
      <c r="Y275" s="185">
        <v>5000</v>
      </c>
      <c r="Z275" s="184" t="s">
        <v>598</v>
      </c>
      <c r="AA275" s="21" t="s">
        <v>610</v>
      </c>
      <c r="AB275" s="176" t="s">
        <v>489</v>
      </c>
      <c r="AC275" s="172">
        <v>42996.328472222223</v>
      </c>
      <c r="AD275" s="32" t="s">
        <v>552</v>
      </c>
    </row>
    <row r="276" spans="1:30">
      <c r="A276" s="184">
        <v>275</v>
      </c>
      <c r="B276" s="184" t="s">
        <v>1158</v>
      </c>
      <c r="C276" s="184" t="s">
        <v>598</v>
      </c>
      <c r="D276" s="127">
        <v>42854</v>
      </c>
      <c r="E276" s="127" t="s">
        <v>598</v>
      </c>
      <c r="F276" s="184" t="s">
        <v>1159</v>
      </c>
      <c r="G276" s="185">
        <v>0</v>
      </c>
      <c r="H276" s="184" t="s">
        <v>598</v>
      </c>
      <c r="I276" s="184" t="s">
        <v>598</v>
      </c>
      <c r="J276" s="184" t="s">
        <v>84</v>
      </c>
      <c r="K276" s="184" t="s">
        <v>598</v>
      </c>
      <c r="L276" s="184" t="s">
        <v>598</v>
      </c>
      <c r="M276" s="184" t="s">
        <v>598</v>
      </c>
      <c r="N276" s="184" t="s">
        <v>63</v>
      </c>
      <c r="O276" s="184" t="s">
        <v>63</v>
      </c>
      <c r="P276" s="186" t="s">
        <v>604</v>
      </c>
      <c r="Q276" s="184" t="s">
        <v>598</v>
      </c>
      <c r="R276" s="184" t="s">
        <v>598</v>
      </c>
      <c r="S276" s="127" t="s">
        <v>598</v>
      </c>
      <c r="T276" s="184" t="s">
        <v>598</v>
      </c>
      <c r="U276" s="184" t="s">
        <v>598</v>
      </c>
      <c r="V276" s="185">
        <v>0</v>
      </c>
      <c r="W276" s="184" t="s">
        <v>550</v>
      </c>
      <c r="X276" s="184" t="s">
        <v>598</v>
      </c>
      <c r="Y276" s="185">
        <v>0</v>
      </c>
      <c r="Z276" s="184" t="s">
        <v>33</v>
      </c>
      <c r="AA276" s="21" t="s">
        <v>822</v>
      </c>
      <c r="AB276" s="176" t="s">
        <v>489</v>
      </c>
      <c r="AC276" s="172">
        <v>42996.328472222223</v>
      </c>
      <c r="AD276" s="32" t="s">
        <v>552</v>
      </c>
    </row>
    <row r="277" spans="1:30">
      <c r="A277" s="184">
        <v>276</v>
      </c>
      <c r="B277" s="184" t="s">
        <v>1160</v>
      </c>
      <c r="C277" s="184" t="s">
        <v>598</v>
      </c>
      <c r="D277" s="127">
        <v>42829</v>
      </c>
      <c r="E277" s="127" t="s">
        <v>598</v>
      </c>
      <c r="F277" s="184" t="s">
        <v>1161</v>
      </c>
      <c r="G277" s="185">
        <v>0</v>
      </c>
      <c r="H277" s="184" t="s">
        <v>598</v>
      </c>
      <c r="I277" s="184" t="s">
        <v>598</v>
      </c>
      <c r="J277" s="184" t="s">
        <v>102</v>
      </c>
      <c r="K277" s="184" t="s">
        <v>233</v>
      </c>
      <c r="L277" s="184" t="s">
        <v>598</v>
      </c>
      <c r="M277" s="184" t="s">
        <v>598</v>
      </c>
      <c r="N277" s="184" t="s">
        <v>63</v>
      </c>
      <c r="O277" s="184" t="s">
        <v>86</v>
      </c>
      <c r="P277" s="186" t="s">
        <v>605</v>
      </c>
      <c r="Q277" s="184" t="s">
        <v>598</v>
      </c>
      <c r="R277" s="184" t="s">
        <v>598</v>
      </c>
      <c r="S277" s="127" t="s">
        <v>598</v>
      </c>
      <c r="T277" s="184" t="s">
        <v>598</v>
      </c>
      <c r="U277" s="184" t="s">
        <v>598</v>
      </c>
      <c r="V277" s="185">
        <v>0</v>
      </c>
      <c r="W277" s="184" t="s">
        <v>485</v>
      </c>
      <c r="X277" s="184">
        <v>2809</v>
      </c>
      <c r="Y277" s="185">
        <v>4000</v>
      </c>
      <c r="Z277" s="184" t="s">
        <v>598</v>
      </c>
      <c r="AA277" s="21" t="s">
        <v>610</v>
      </c>
      <c r="AB277" s="176" t="s">
        <v>489</v>
      </c>
      <c r="AC277" s="172">
        <v>42996.328472222223</v>
      </c>
      <c r="AD277" s="32" t="s">
        <v>552</v>
      </c>
    </row>
    <row r="278" spans="1:30">
      <c r="A278" s="184">
        <v>277</v>
      </c>
      <c r="B278" s="184" t="s">
        <v>1162</v>
      </c>
      <c r="C278" s="184" t="s">
        <v>598</v>
      </c>
      <c r="D278" s="127">
        <v>42830</v>
      </c>
      <c r="E278" s="127" t="s">
        <v>598</v>
      </c>
      <c r="F278" s="184" t="s">
        <v>1163</v>
      </c>
      <c r="G278" s="185">
        <v>0</v>
      </c>
      <c r="H278" s="184" t="s">
        <v>598</v>
      </c>
      <c r="I278" s="184" t="s">
        <v>598</v>
      </c>
      <c r="J278" s="184" t="s">
        <v>102</v>
      </c>
      <c r="K278" s="184" t="s">
        <v>183</v>
      </c>
      <c r="L278" s="184" t="s">
        <v>598</v>
      </c>
      <c r="M278" s="184" t="s">
        <v>598</v>
      </c>
      <c r="N278" s="184" t="s">
        <v>63</v>
      </c>
      <c r="O278" s="184" t="s">
        <v>63</v>
      </c>
      <c r="P278" s="186" t="s">
        <v>606</v>
      </c>
      <c r="Q278" s="184" t="s">
        <v>598</v>
      </c>
      <c r="R278" s="184" t="s">
        <v>598</v>
      </c>
      <c r="S278" s="127" t="s">
        <v>598</v>
      </c>
      <c r="T278" s="184" t="s">
        <v>598</v>
      </c>
      <c r="U278" s="184" t="s">
        <v>598</v>
      </c>
      <c r="V278" s="185">
        <v>0</v>
      </c>
      <c r="W278" s="184" t="s">
        <v>485</v>
      </c>
      <c r="X278" s="184">
        <v>3876</v>
      </c>
      <c r="Y278" s="185">
        <v>5000</v>
      </c>
      <c r="Z278" s="184" t="s">
        <v>598</v>
      </c>
      <c r="AA278" s="21" t="s">
        <v>610</v>
      </c>
      <c r="AB278" s="176" t="s">
        <v>489</v>
      </c>
      <c r="AC278" s="172">
        <v>42996.328472222223</v>
      </c>
      <c r="AD278" s="32" t="s">
        <v>552</v>
      </c>
    </row>
    <row r="279" spans="1:30">
      <c r="A279" s="184">
        <v>278</v>
      </c>
      <c r="B279" s="184" t="s">
        <v>1164</v>
      </c>
      <c r="C279" s="184" t="s">
        <v>598</v>
      </c>
      <c r="D279" s="127">
        <v>42833</v>
      </c>
      <c r="E279" s="127" t="s">
        <v>598</v>
      </c>
      <c r="F279" s="184" t="s">
        <v>1165</v>
      </c>
      <c r="G279" s="185">
        <v>0</v>
      </c>
      <c r="H279" s="184" t="s">
        <v>598</v>
      </c>
      <c r="I279" s="184" t="s">
        <v>598</v>
      </c>
      <c r="J279" s="184" t="s">
        <v>102</v>
      </c>
      <c r="K279" s="184" t="s">
        <v>233</v>
      </c>
      <c r="L279" s="184" t="s">
        <v>598</v>
      </c>
      <c r="M279" s="184" t="s">
        <v>598</v>
      </c>
      <c r="N279" s="184" t="s">
        <v>63</v>
      </c>
      <c r="O279" s="184" t="s">
        <v>86</v>
      </c>
      <c r="P279" s="186" t="s">
        <v>607</v>
      </c>
      <c r="Q279" s="184" t="s">
        <v>598</v>
      </c>
      <c r="R279" s="184" t="s">
        <v>598</v>
      </c>
      <c r="S279" s="127" t="s">
        <v>598</v>
      </c>
      <c r="T279" s="184" t="s">
        <v>598</v>
      </c>
      <c r="U279" s="184" t="s">
        <v>598</v>
      </c>
      <c r="V279" s="185">
        <v>0</v>
      </c>
      <c r="W279" s="184" t="s">
        <v>550</v>
      </c>
      <c r="X279" s="184" t="s">
        <v>598</v>
      </c>
      <c r="Y279" s="185">
        <v>0</v>
      </c>
      <c r="Z279" s="184" t="s">
        <v>33</v>
      </c>
      <c r="AA279" s="21" t="s">
        <v>822</v>
      </c>
      <c r="AB279" s="176" t="s">
        <v>489</v>
      </c>
      <c r="AC279" s="172">
        <v>42996.328472222223</v>
      </c>
      <c r="AD279" s="32" t="s">
        <v>552</v>
      </c>
    </row>
    <row r="280" spans="1:30">
      <c r="A280" s="184">
        <v>279</v>
      </c>
      <c r="B280" s="184" t="s">
        <v>1166</v>
      </c>
      <c r="C280" s="184" t="s">
        <v>598</v>
      </c>
      <c r="D280" s="127">
        <v>42833</v>
      </c>
      <c r="E280" s="127" t="s">
        <v>598</v>
      </c>
      <c r="F280" s="184" t="s">
        <v>598</v>
      </c>
      <c r="G280" s="185">
        <v>0</v>
      </c>
      <c r="H280" s="184" t="s">
        <v>598</v>
      </c>
      <c r="I280" s="184" t="s">
        <v>598</v>
      </c>
      <c r="J280" s="184" t="s">
        <v>102</v>
      </c>
      <c r="K280" s="184" t="s">
        <v>233</v>
      </c>
      <c r="L280" s="184" t="s">
        <v>598</v>
      </c>
      <c r="M280" s="184" t="s">
        <v>598</v>
      </c>
      <c r="N280" s="184" t="s">
        <v>63</v>
      </c>
      <c r="O280" s="184" t="s">
        <v>598</v>
      </c>
      <c r="P280" s="186" t="s">
        <v>73</v>
      </c>
      <c r="Q280" s="184" t="s">
        <v>598</v>
      </c>
      <c r="R280" s="184" t="s">
        <v>598</v>
      </c>
      <c r="S280" s="127" t="s">
        <v>598</v>
      </c>
      <c r="T280" s="184" t="s">
        <v>598</v>
      </c>
      <c r="U280" s="184" t="s">
        <v>598</v>
      </c>
      <c r="V280" s="185">
        <v>0</v>
      </c>
      <c r="W280" s="184" t="s">
        <v>89</v>
      </c>
      <c r="X280" s="184" t="s">
        <v>598</v>
      </c>
      <c r="Y280" s="185">
        <v>0</v>
      </c>
      <c r="Z280" s="184" t="s">
        <v>598</v>
      </c>
      <c r="AA280" s="21" t="s">
        <v>822</v>
      </c>
      <c r="AB280" s="176" t="s">
        <v>489</v>
      </c>
      <c r="AC280" s="172">
        <v>42996.328472222223</v>
      </c>
      <c r="AD280" s="32" t="s">
        <v>552</v>
      </c>
    </row>
    <row r="281" spans="1:30">
      <c r="A281" s="184">
        <v>280</v>
      </c>
      <c r="B281" s="184" t="s">
        <v>1167</v>
      </c>
      <c r="C281" s="184" t="s">
        <v>598</v>
      </c>
      <c r="D281" s="127">
        <v>42836</v>
      </c>
      <c r="E281" s="127" t="s">
        <v>598</v>
      </c>
      <c r="F281" s="184" t="s">
        <v>1168</v>
      </c>
      <c r="G281" s="185">
        <v>0</v>
      </c>
      <c r="H281" s="184" t="s">
        <v>598</v>
      </c>
      <c r="I281" s="184" t="s">
        <v>134</v>
      </c>
      <c r="J281" s="184" t="s">
        <v>102</v>
      </c>
      <c r="K281" s="184" t="s">
        <v>350</v>
      </c>
      <c r="L281" s="184" t="s">
        <v>598</v>
      </c>
      <c r="M281" s="184" t="s">
        <v>598</v>
      </c>
      <c r="N281" s="184" t="s">
        <v>63</v>
      </c>
      <c r="O281" s="184" t="s">
        <v>63</v>
      </c>
      <c r="P281" s="186" t="s">
        <v>601</v>
      </c>
      <c r="Q281" s="184" t="s">
        <v>598</v>
      </c>
      <c r="R281" s="184" t="s">
        <v>598</v>
      </c>
      <c r="S281" s="127" t="s">
        <v>598</v>
      </c>
      <c r="T281" s="184" t="s">
        <v>598</v>
      </c>
      <c r="U281" s="184" t="s">
        <v>598</v>
      </c>
      <c r="V281" s="185">
        <v>0</v>
      </c>
      <c r="W281" s="184" t="s">
        <v>89</v>
      </c>
      <c r="X281" s="184" t="s">
        <v>598</v>
      </c>
      <c r="Y281" s="185">
        <v>0</v>
      </c>
      <c r="Z281" s="184" t="s">
        <v>598</v>
      </c>
      <c r="AA281" s="21" t="s">
        <v>822</v>
      </c>
      <c r="AB281" s="176" t="s">
        <v>489</v>
      </c>
      <c r="AC281" s="172">
        <v>42996.328472222223</v>
      </c>
      <c r="AD281" s="32" t="s">
        <v>552</v>
      </c>
    </row>
    <row r="282" spans="1:30">
      <c r="A282" s="184">
        <v>281</v>
      </c>
      <c r="B282" s="184" t="s">
        <v>1169</v>
      </c>
      <c r="C282" s="184" t="s">
        <v>598</v>
      </c>
      <c r="D282" s="127">
        <v>42836</v>
      </c>
      <c r="E282" s="127" t="s">
        <v>598</v>
      </c>
      <c r="F282" s="184" t="s">
        <v>1170</v>
      </c>
      <c r="G282" s="185">
        <v>0</v>
      </c>
      <c r="H282" s="184" t="s">
        <v>598</v>
      </c>
      <c r="I282" s="184" t="s">
        <v>134</v>
      </c>
      <c r="J282" s="184" t="s">
        <v>102</v>
      </c>
      <c r="K282" s="184" t="s">
        <v>350</v>
      </c>
      <c r="L282" s="184" t="s">
        <v>598</v>
      </c>
      <c r="M282" s="184" t="s">
        <v>598</v>
      </c>
      <c r="N282" s="184" t="s">
        <v>63</v>
      </c>
      <c r="O282" s="184" t="s">
        <v>63</v>
      </c>
      <c r="P282" s="186" t="s">
        <v>32</v>
      </c>
      <c r="Q282" s="184" t="s">
        <v>598</v>
      </c>
      <c r="R282" s="184" t="s">
        <v>598</v>
      </c>
      <c r="S282" s="127" t="s">
        <v>598</v>
      </c>
      <c r="T282" s="184" t="s">
        <v>598</v>
      </c>
      <c r="U282" s="184" t="s">
        <v>598</v>
      </c>
      <c r="V282" s="185">
        <v>0</v>
      </c>
      <c r="W282" s="184" t="s">
        <v>89</v>
      </c>
      <c r="X282" s="184" t="s">
        <v>598</v>
      </c>
      <c r="Y282" s="185">
        <v>0</v>
      </c>
      <c r="Z282" s="184" t="s">
        <v>598</v>
      </c>
      <c r="AA282" s="21" t="s">
        <v>822</v>
      </c>
      <c r="AB282" s="176" t="s">
        <v>489</v>
      </c>
      <c r="AC282" s="172">
        <v>42996.328472222223</v>
      </c>
      <c r="AD282" s="32" t="s">
        <v>552</v>
      </c>
    </row>
    <row r="283" spans="1:30">
      <c r="A283" s="184">
        <v>282</v>
      </c>
      <c r="B283" s="184" t="s">
        <v>1171</v>
      </c>
      <c r="C283" s="184" t="s">
        <v>598</v>
      </c>
      <c r="D283" s="127">
        <v>42836</v>
      </c>
      <c r="E283" s="127" t="s">
        <v>598</v>
      </c>
      <c r="F283" s="184" t="s">
        <v>1172</v>
      </c>
      <c r="G283" s="185">
        <v>0</v>
      </c>
      <c r="H283" s="184" t="s">
        <v>598</v>
      </c>
      <c r="I283" s="184" t="s">
        <v>132</v>
      </c>
      <c r="J283" s="184" t="s">
        <v>102</v>
      </c>
      <c r="K283" s="184" t="s">
        <v>233</v>
      </c>
      <c r="L283" s="184" t="s">
        <v>598</v>
      </c>
      <c r="M283" s="184" t="s">
        <v>598</v>
      </c>
      <c r="N283" s="184" t="s">
        <v>63</v>
      </c>
      <c r="O283" s="184" t="s">
        <v>598</v>
      </c>
      <c r="P283" s="186" t="s">
        <v>53</v>
      </c>
      <c r="Q283" s="184" t="s">
        <v>598</v>
      </c>
      <c r="R283" s="184" t="s">
        <v>598</v>
      </c>
      <c r="S283" s="127" t="s">
        <v>598</v>
      </c>
      <c r="T283" s="184" t="s">
        <v>598</v>
      </c>
      <c r="U283" s="184" t="s">
        <v>598</v>
      </c>
      <c r="V283" s="185">
        <v>0</v>
      </c>
      <c r="W283" s="184" t="s">
        <v>485</v>
      </c>
      <c r="X283" s="184">
        <v>3887</v>
      </c>
      <c r="Y283" s="185">
        <v>4000</v>
      </c>
      <c r="Z283" s="184" t="s">
        <v>598</v>
      </c>
      <c r="AA283" s="21" t="s">
        <v>610</v>
      </c>
      <c r="AB283" s="176" t="s">
        <v>489</v>
      </c>
      <c r="AC283" s="172">
        <v>42996.328472222223</v>
      </c>
      <c r="AD283" s="32" t="s">
        <v>552</v>
      </c>
    </row>
    <row r="284" spans="1:30">
      <c r="A284" s="184">
        <v>283</v>
      </c>
      <c r="B284" s="184" t="s">
        <v>1173</v>
      </c>
      <c r="C284" s="184" t="s">
        <v>598</v>
      </c>
      <c r="D284" s="127">
        <v>42836</v>
      </c>
      <c r="E284" s="127" t="s">
        <v>598</v>
      </c>
      <c r="F284" s="184" t="s">
        <v>1174</v>
      </c>
      <c r="G284" s="185">
        <v>0</v>
      </c>
      <c r="H284" s="184" t="s">
        <v>598</v>
      </c>
      <c r="I284" s="184" t="s">
        <v>598</v>
      </c>
      <c r="J284" s="184" t="s">
        <v>102</v>
      </c>
      <c r="K284" s="184" t="s">
        <v>233</v>
      </c>
      <c r="L284" s="184" t="s">
        <v>598</v>
      </c>
      <c r="M284" s="184" t="s">
        <v>598</v>
      </c>
      <c r="N284" s="184" t="s">
        <v>63</v>
      </c>
      <c r="O284" s="184" t="s">
        <v>598</v>
      </c>
      <c r="P284" s="186" t="s">
        <v>44</v>
      </c>
      <c r="Q284" s="184" t="s">
        <v>598</v>
      </c>
      <c r="R284" s="184" t="s">
        <v>598</v>
      </c>
      <c r="S284" s="127" t="s">
        <v>598</v>
      </c>
      <c r="T284" s="184" t="s">
        <v>598</v>
      </c>
      <c r="U284" s="184" t="s">
        <v>598</v>
      </c>
      <c r="V284" s="185">
        <v>0</v>
      </c>
      <c r="W284" s="184" t="s">
        <v>485</v>
      </c>
      <c r="X284" s="184">
        <v>3886</v>
      </c>
      <c r="Y284" s="185">
        <v>7500</v>
      </c>
      <c r="Z284" s="184" t="s">
        <v>598</v>
      </c>
      <c r="AA284" s="21" t="s">
        <v>610</v>
      </c>
      <c r="AB284" s="176" t="s">
        <v>489</v>
      </c>
      <c r="AC284" s="172">
        <v>42996.328472222223</v>
      </c>
      <c r="AD284" s="32" t="s">
        <v>552</v>
      </c>
    </row>
    <row r="285" spans="1:30">
      <c r="A285" s="184">
        <v>284</v>
      </c>
      <c r="B285" s="184" t="s">
        <v>1175</v>
      </c>
      <c r="C285" s="184" t="s">
        <v>598</v>
      </c>
      <c r="D285" s="127">
        <v>42842</v>
      </c>
      <c r="E285" s="127" t="s">
        <v>598</v>
      </c>
      <c r="F285" s="184" t="s">
        <v>1176</v>
      </c>
      <c r="G285" s="185">
        <v>0</v>
      </c>
      <c r="H285" s="184" t="s">
        <v>598</v>
      </c>
      <c r="I285" s="184" t="s">
        <v>134</v>
      </c>
      <c r="J285" s="184" t="s">
        <v>102</v>
      </c>
      <c r="K285" s="184" t="s">
        <v>233</v>
      </c>
      <c r="L285" s="184" t="s">
        <v>598</v>
      </c>
      <c r="M285" s="184" t="s">
        <v>598</v>
      </c>
      <c r="N285" s="184" t="s">
        <v>63</v>
      </c>
      <c r="O285" s="184" t="s">
        <v>63</v>
      </c>
      <c r="P285" s="186" t="s">
        <v>67</v>
      </c>
      <c r="Q285" s="184" t="s">
        <v>598</v>
      </c>
      <c r="R285" s="184" t="s">
        <v>598</v>
      </c>
      <c r="S285" s="127" t="s">
        <v>598</v>
      </c>
      <c r="T285" s="184" t="s">
        <v>598</v>
      </c>
      <c r="U285" s="184" t="s">
        <v>598</v>
      </c>
      <c r="V285" s="185">
        <v>0</v>
      </c>
      <c r="W285" s="184" t="s">
        <v>89</v>
      </c>
      <c r="X285" s="184" t="s">
        <v>598</v>
      </c>
      <c r="Y285" s="185">
        <v>0</v>
      </c>
      <c r="Z285" s="184" t="s">
        <v>598</v>
      </c>
      <c r="AA285" s="21" t="s">
        <v>822</v>
      </c>
      <c r="AB285" s="176" t="s">
        <v>489</v>
      </c>
      <c r="AC285" s="172">
        <v>42996.328472222223</v>
      </c>
      <c r="AD285" s="32" t="s">
        <v>552</v>
      </c>
    </row>
    <row r="286" spans="1:30">
      <c r="A286" s="184">
        <v>285</v>
      </c>
      <c r="B286" s="184" t="s">
        <v>1177</v>
      </c>
      <c r="C286" s="184" t="s">
        <v>598</v>
      </c>
      <c r="D286" s="127">
        <v>42845</v>
      </c>
      <c r="E286" s="127" t="s">
        <v>598</v>
      </c>
      <c r="F286" s="184" t="s">
        <v>1178</v>
      </c>
      <c r="G286" s="185">
        <v>0</v>
      </c>
      <c r="H286" s="184" t="s">
        <v>598</v>
      </c>
      <c r="I286" s="184" t="s">
        <v>598</v>
      </c>
      <c r="J286" s="184" t="s">
        <v>102</v>
      </c>
      <c r="K286" s="184" t="s">
        <v>169</v>
      </c>
      <c r="L286" s="184" t="s">
        <v>598</v>
      </c>
      <c r="M286" s="184" t="s">
        <v>598</v>
      </c>
      <c r="N286" s="184" t="s">
        <v>63</v>
      </c>
      <c r="O286" s="184" t="s">
        <v>63</v>
      </c>
      <c r="P286" s="186" t="s">
        <v>602</v>
      </c>
      <c r="Q286" s="184" t="s">
        <v>598</v>
      </c>
      <c r="R286" s="184" t="s">
        <v>598</v>
      </c>
      <c r="S286" s="127" t="s">
        <v>598</v>
      </c>
      <c r="T286" s="184" t="s">
        <v>598</v>
      </c>
      <c r="U286" s="184" t="s">
        <v>598</v>
      </c>
      <c r="V286" s="185">
        <v>0</v>
      </c>
      <c r="W286" s="184" t="s">
        <v>89</v>
      </c>
      <c r="X286" s="184" t="s">
        <v>598</v>
      </c>
      <c r="Y286" s="185">
        <v>0</v>
      </c>
      <c r="Z286" s="184" t="s">
        <v>598</v>
      </c>
      <c r="AA286" s="21" t="s">
        <v>822</v>
      </c>
      <c r="AB286" s="176" t="s">
        <v>489</v>
      </c>
      <c r="AC286" s="172">
        <v>42996.328472222223</v>
      </c>
      <c r="AD286" s="32" t="s">
        <v>552</v>
      </c>
    </row>
    <row r="287" spans="1:30">
      <c r="A287" s="184">
        <v>286</v>
      </c>
      <c r="B287" s="184" t="s">
        <v>1179</v>
      </c>
      <c r="C287" s="184" t="s">
        <v>598</v>
      </c>
      <c r="D287" s="127">
        <v>42847</v>
      </c>
      <c r="E287" s="127" t="s">
        <v>598</v>
      </c>
      <c r="F287" s="184" t="s">
        <v>1180</v>
      </c>
      <c r="G287" s="185">
        <v>0</v>
      </c>
      <c r="H287" s="184" t="s">
        <v>598</v>
      </c>
      <c r="I287" s="184" t="s">
        <v>598</v>
      </c>
      <c r="J287" s="184" t="s">
        <v>102</v>
      </c>
      <c r="K287" s="184" t="s">
        <v>233</v>
      </c>
      <c r="L287" s="184" t="s">
        <v>598</v>
      </c>
      <c r="M287" s="184" t="s">
        <v>598</v>
      </c>
      <c r="N287" s="184" t="s">
        <v>63</v>
      </c>
      <c r="O287" s="184" t="s">
        <v>86</v>
      </c>
      <c r="P287" s="186" t="s">
        <v>603</v>
      </c>
      <c r="Q287" s="184" t="s">
        <v>598</v>
      </c>
      <c r="R287" s="184" t="s">
        <v>598</v>
      </c>
      <c r="S287" s="127" t="s">
        <v>598</v>
      </c>
      <c r="T287" s="184" t="s">
        <v>598</v>
      </c>
      <c r="U287" s="184" t="s">
        <v>598</v>
      </c>
      <c r="V287" s="185">
        <v>0</v>
      </c>
      <c r="W287" s="184" t="s">
        <v>485</v>
      </c>
      <c r="X287" s="184" t="s">
        <v>598</v>
      </c>
      <c r="Y287" s="185">
        <v>0</v>
      </c>
      <c r="Z287" s="184" t="s">
        <v>598</v>
      </c>
      <c r="AA287" s="21" t="s">
        <v>610</v>
      </c>
      <c r="AB287" s="176" t="s">
        <v>489</v>
      </c>
      <c r="AC287" s="172">
        <v>42996.328472222223</v>
      </c>
      <c r="AD287" s="32" t="s">
        <v>552</v>
      </c>
    </row>
    <row r="288" spans="1:30">
      <c r="A288" s="184">
        <v>287</v>
      </c>
      <c r="B288" s="184" t="s">
        <v>1181</v>
      </c>
      <c r="C288" s="184" t="s">
        <v>598</v>
      </c>
      <c r="D288" s="127">
        <v>42849</v>
      </c>
      <c r="E288" s="127" t="s">
        <v>598</v>
      </c>
      <c r="F288" s="184" t="s">
        <v>1182</v>
      </c>
      <c r="G288" s="185">
        <v>0</v>
      </c>
      <c r="H288" s="184" t="s">
        <v>598</v>
      </c>
      <c r="I288" s="184" t="s">
        <v>598</v>
      </c>
      <c r="J288" s="184" t="s">
        <v>102</v>
      </c>
      <c r="K288" s="184" t="s">
        <v>351</v>
      </c>
      <c r="L288" s="184" t="s">
        <v>598</v>
      </c>
      <c r="M288" s="184" t="s">
        <v>598</v>
      </c>
      <c r="N288" s="184" t="s">
        <v>63</v>
      </c>
      <c r="O288" s="184" t="s">
        <v>86</v>
      </c>
      <c r="P288" s="186" t="s">
        <v>604</v>
      </c>
      <c r="Q288" s="184" t="s">
        <v>598</v>
      </c>
      <c r="R288" s="184" t="s">
        <v>598</v>
      </c>
      <c r="S288" s="127" t="s">
        <v>598</v>
      </c>
      <c r="T288" s="184" t="s">
        <v>598</v>
      </c>
      <c r="U288" s="184" t="s">
        <v>598</v>
      </c>
      <c r="V288" s="185">
        <v>0</v>
      </c>
      <c r="W288" s="184" t="s">
        <v>485</v>
      </c>
      <c r="X288" s="184">
        <v>4002</v>
      </c>
      <c r="Y288" s="185">
        <v>4000</v>
      </c>
      <c r="Z288" s="184" t="s">
        <v>598</v>
      </c>
      <c r="AA288" s="21" t="s">
        <v>610</v>
      </c>
      <c r="AB288" s="176" t="s">
        <v>489</v>
      </c>
      <c r="AC288" s="172">
        <v>42996.328472222223</v>
      </c>
      <c r="AD288" s="32" t="s">
        <v>552</v>
      </c>
    </row>
    <row r="289" spans="1:30">
      <c r="A289" s="184">
        <v>288</v>
      </c>
      <c r="B289" s="184" t="s">
        <v>1183</v>
      </c>
      <c r="C289" s="184" t="s">
        <v>598</v>
      </c>
      <c r="D289" s="127">
        <v>42852</v>
      </c>
      <c r="E289" s="127" t="s">
        <v>598</v>
      </c>
      <c r="F289" s="184" t="s">
        <v>1184</v>
      </c>
      <c r="G289" s="185">
        <v>0</v>
      </c>
      <c r="H289" s="184" t="s">
        <v>598</v>
      </c>
      <c r="I289" s="184" t="s">
        <v>598</v>
      </c>
      <c r="J289" s="184" t="s">
        <v>102</v>
      </c>
      <c r="K289" s="184" t="s">
        <v>232</v>
      </c>
      <c r="L289" s="184" t="s">
        <v>598</v>
      </c>
      <c r="M289" s="184" t="s">
        <v>598</v>
      </c>
      <c r="N289" s="184" t="s">
        <v>63</v>
      </c>
      <c r="O289" s="184" t="s">
        <v>86</v>
      </c>
      <c r="P289" s="186" t="s">
        <v>605</v>
      </c>
      <c r="Q289" s="184" t="s">
        <v>598</v>
      </c>
      <c r="R289" s="184" t="s">
        <v>598</v>
      </c>
      <c r="S289" s="127" t="s">
        <v>598</v>
      </c>
      <c r="T289" s="184" t="s">
        <v>598</v>
      </c>
      <c r="U289" s="184" t="s">
        <v>598</v>
      </c>
      <c r="V289" s="185">
        <v>0</v>
      </c>
      <c r="W289" s="184" t="s">
        <v>89</v>
      </c>
      <c r="X289" s="184" t="s">
        <v>598</v>
      </c>
      <c r="Y289" s="185">
        <v>0</v>
      </c>
      <c r="Z289" s="184" t="s">
        <v>598</v>
      </c>
      <c r="AA289" s="21" t="s">
        <v>822</v>
      </c>
      <c r="AB289" s="176" t="s">
        <v>489</v>
      </c>
      <c r="AC289" s="172">
        <v>42996.328472222223</v>
      </c>
      <c r="AD289" s="32" t="s">
        <v>552</v>
      </c>
    </row>
    <row r="290" spans="1:30">
      <c r="A290" s="184">
        <v>289</v>
      </c>
      <c r="B290" s="184" t="s">
        <v>1185</v>
      </c>
      <c r="C290" s="184" t="s">
        <v>598</v>
      </c>
      <c r="D290" s="127">
        <v>42852</v>
      </c>
      <c r="E290" s="127" t="s">
        <v>598</v>
      </c>
      <c r="F290" s="184" t="s">
        <v>1186</v>
      </c>
      <c r="G290" s="185">
        <v>0</v>
      </c>
      <c r="H290" s="184" t="s">
        <v>598</v>
      </c>
      <c r="I290" s="184" t="s">
        <v>598</v>
      </c>
      <c r="J290" s="184" t="s">
        <v>102</v>
      </c>
      <c r="K290" s="184" t="s">
        <v>232</v>
      </c>
      <c r="L290" s="184" t="s">
        <v>598</v>
      </c>
      <c r="M290" s="184" t="s">
        <v>598</v>
      </c>
      <c r="N290" s="184" t="s">
        <v>63</v>
      </c>
      <c r="O290" s="184" t="s">
        <v>86</v>
      </c>
      <c r="P290" s="186" t="s">
        <v>606</v>
      </c>
      <c r="Q290" s="184" t="s">
        <v>598</v>
      </c>
      <c r="R290" s="184" t="s">
        <v>598</v>
      </c>
      <c r="S290" s="127" t="s">
        <v>598</v>
      </c>
      <c r="T290" s="184" t="s">
        <v>598</v>
      </c>
      <c r="U290" s="184" t="s">
        <v>598</v>
      </c>
      <c r="V290" s="185">
        <v>0</v>
      </c>
      <c r="W290" s="184" t="s">
        <v>89</v>
      </c>
      <c r="X290" s="184" t="s">
        <v>598</v>
      </c>
      <c r="Y290" s="185">
        <v>0</v>
      </c>
      <c r="Z290" s="184" t="s">
        <v>598</v>
      </c>
      <c r="AA290" s="21" t="s">
        <v>822</v>
      </c>
      <c r="AB290" s="176" t="s">
        <v>489</v>
      </c>
      <c r="AC290" s="172">
        <v>42996.328472222223</v>
      </c>
      <c r="AD290" s="32" t="s">
        <v>552</v>
      </c>
    </row>
    <row r="291" spans="1:30">
      <c r="A291" s="184">
        <v>290</v>
      </c>
      <c r="B291" s="184" t="s">
        <v>1187</v>
      </c>
      <c r="C291" s="184" t="s">
        <v>598</v>
      </c>
      <c r="D291" s="127">
        <v>42830</v>
      </c>
      <c r="E291" s="127" t="s">
        <v>598</v>
      </c>
      <c r="F291" s="184" t="s">
        <v>1188</v>
      </c>
      <c r="G291" s="185">
        <v>0</v>
      </c>
      <c r="H291" s="184" t="s">
        <v>598</v>
      </c>
      <c r="I291" s="184" t="s">
        <v>598</v>
      </c>
      <c r="J291" s="184" t="s">
        <v>38</v>
      </c>
      <c r="K291" s="184" t="s">
        <v>352</v>
      </c>
      <c r="L291" s="184" t="s">
        <v>598</v>
      </c>
      <c r="M291" s="184" t="s">
        <v>598</v>
      </c>
      <c r="N291" s="184" t="s">
        <v>63</v>
      </c>
      <c r="O291" s="184" t="s">
        <v>598</v>
      </c>
      <c r="P291" s="186" t="s">
        <v>607</v>
      </c>
      <c r="Q291" s="184" t="s">
        <v>598</v>
      </c>
      <c r="R291" s="184" t="s">
        <v>598</v>
      </c>
      <c r="S291" s="127" t="s">
        <v>598</v>
      </c>
      <c r="T291" s="184" t="s">
        <v>598</v>
      </c>
      <c r="U291" s="184" t="s">
        <v>598</v>
      </c>
      <c r="V291" s="185">
        <v>0</v>
      </c>
      <c r="W291" s="184" t="s">
        <v>89</v>
      </c>
      <c r="X291" s="184" t="s">
        <v>598</v>
      </c>
      <c r="Y291" s="185">
        <v>0</v>
      </c>
      <c r="Z291" s="184" t="s">
        <v>598</v>
      </c>
      <c r="AA291" s="21" t="s">
        <v>822</v>
      </c>
      <c r="AB291" s="176" t="s">
        <v>489</v>
      </c>
      <c r="AC291" s="172">
        <v>42996.328472222223</v>
      </c>
      <c r="AD291" s="32" t="s">
        <v>552</v>
      </c>
    </row>
    <row r="292" spans="1:30">
      <c r="A292" s="184">
        <v>291</v>
      </c>
      <c r="B292" s="184" t="s">
        <v>1189</v>
      </c>
      <c r="C292" s="184" t="s">
        <v>598</v>
      </c>
      <c r="D292" s="127">
        <v>42830</v>
      </c>
      <c r="E292" s="127" t="s">
        <v>598</v>
      </c>
      <c r="F292" s="184" t="s">
        <v>1190</v>
      </c>
      <c r="G292" s="185">
        <v>0</v>
      </c>
      <c r="H292" s="184" t="s">
        <v>598</v>
      </c>
      <c r="I292" s="184" t="s">
        <v>598</v>
      </c>
      <c r="J292" s="184" t="s">
        <v>38</v>
      </c>
      <c r="K292" s="184" t="s">
        <v>353</v>
      </c>
      <c r="L292" s="184" t="s">
        <v>598</v>
      </c>
      <c r="M292" s="184" t="s">
        <v>598</v>
      </c>
      <c r="N292" s="184" t="s">
        <v>63</v>
      </c>
      <c r="O292" s="184" t="s">
        <v>86</v>
      </c>
      <c r="P292" s="186" t="s">
        <v>73</v>
      </c>
      <c r="Q292" s="184" t="s">
        <v>598</v>
      </c>
      <c r="R292" s="184" t="s">
        <v>598</v>
      </c>
      <c r="S292" s="127" t="s">
        <v>598</v>
      </c>
      <c r="T292" s="184" t="s">
        <v>598</v>
      </c>
      <c r="U292" s="184" t="s">
        <v>598</v>
      </c>
      <c r="V292" s="185">
        <v>0</v>
      </c>
      <c r="W292" s="184" t="s">
        <v>89</v>
      </c>
      <c r="X292" s="184" t="s">
        <v>598</v>
      </c>
      <c r="Y292" s="185">
        <v>0</v>
      </c>
      <c r="Z292" s="184" t="s">
        <v>598</v>
      </c>
      <c r="AA292" s="21" t="s">
        <v>822</v>
      </c>
      <c r="AB292" s="176" t="s">
        <v>489</v>
      </c>
      <c r="AC292" s="172">
        <v>42996.328472222223</v>
      </c>
      <c r="AD292" s="32" t="s">
        <v>552</v>
      </c>
    </row>
    <row r="293" spans="1:30">
      <c r="A293" s="184">
        <v>292</v>
      </c>
      <c r="B293" s="184" t="s">
        <v>1191</v>
      </c>
      <c r="C293" s="184" t="s">
        <v>598</v>
      </c>
      <c r="D293" s="127">
        <v>42839</v>
      </c>
      <c r="E293" s="127" t="s">
        <v>598</v>
      </c>
      <c r="F293" s="184" t="s">
        <v>1192</v>
      </c>
      <c r="G293" s="185">
        <v>0</v>
      </c>
      <c r="H293" s="184" t="s">
        <v>598</v>
      </c>
      <c r="I293" s="184" t="s">
        <v>598</v>
      </c>
      <c r="J293" s="184" t="s">
        <v>38</v>
      </c>
      <c r="K293" s="184" t="s">
        <v>239</v>
      </c>
      <c r="L293" s="184" t="s">
        <v>598</v>
      </c>
      <c r="M293" s="184" t="s">
        <v>598</v>
      </c>
      <c r="N293" s="184" t="s">
        <v>63</v>
      </c>
      <c r="O293" s="184" t="s">
        <v>86</v>
      </c>
      <c r="P293" s="186" t="s">
        <v>601</v>
      </c>
      <c r="Q293" s="184" t="s">
        <v>598</v>
      </c>
      <c r="R293" s="184" t="s">
        <v>598</v>
      </c>
      <c r="S293" s="127" t="s">
        <v>598</v>
      </c>
      <c r="T293" s="184" t="s">
        <v>598</v>
      </c>
      <c r="U293" s="184" t="s">
        <v>598</v>
      </c>
      <c r="V293" s="185">
        <v>0</v>
      </c>
      <c r="W293" s="184" t="s">
        <v>89</v>
      </c>
      <c r="X293" s="184" t="s">
        <v>598</v>
      </c>
      <c r="Y293" s="185">
        <v>0</v>
      </c>
      <c r="Z293" s="184" t="s">
        <v>598</v>
      </c>
      <c r="AA293" s="21" t="s">
        <v>822</v>
      </c>
      <c r="AB293" s="176" t="s">
        <v>489</v>
      </c>
      <c r="AC293" s="172">
        <v>42996.328472222223</v>
      </c>
      <c r="AD293" s="32" t="s">
        <v>552</v>
      </c>
    </row>
    <row r="294" spans="1:30">
      <c r="A294" s="184">
        <v>293</v>
      </c>
      <c r="B294" s="184" t="s">
        <v>1193</v>
      </c>
      <c r="C294" s="184" t="s">
        <v>598</v>
      </c>
      <c r="D294" s="127">
        <v>42839</v>
      </c>
      <c r="E294" s="127" t="s">
        <v>598</v>
      </c>
      <c r="F294" s="184" t="s">
        <v>1194</v>
      </c>
      <c r="G294" s="185">
        <v>0</v>
      </c>
      <c r="H294" s="184" t="s">
        <v>598</v>
      </c>
      <c r="I294" s="184" t="s">
        <v>598</v>
      </c>
      <c r="J294" s="184" t="s">
        <v>38</v>
      </c>
      <c r="K294" s="184" t="s">
        <v>239</v>
      </c>
      <c r="L294" s="184" t="s">
        <v>598</v>
      </c>
      <c r="M294" s="184" t="s">
        <v>598</v>
      </c>
      <c r="N294" s="184" t="s">
        <v>63</v>
      </c>
      <c r="O294" s="184" t="s">
        <v>86</v>
      </c>
      <c r="P294" s="186" t="s">
        <v>32</v>
      </c>
      <c r="Q294" s="184" t="s">
        <v>598</v>
      </c>
      <c r="R294" s="184" t="s">
        <v>598</v>
      </c>
      <c r="S294" s="127" t="s">
        <v>598</v>
      </c>
      <c r="T294" s="184" t="s">
        <v>598</v>
      </c>
      <c r="U294" s="184" t="s">
        <v>598</v>
      </c>
      <c r="V294" s="185">
        <v>0</v>
      </c>
      <c r="W294" s="184" t="s">
        <v>485</v>
      </c>
      <c r="X294" s="184" t="s">
        <v>598</v>
      </c>
      <c r="Y294" s="185">
        <v>0</v>
      </c>
      <c r="Z294" s="184" t="s">
        <v>598</v>
      </c>
      <c r="AA294" s="21" t="s">
        <v>610</v>
      </c>
      <c r="AB294" s="176" t="s">
        <v>489</v>
      </c>
      <c r="AC294" s="172">
        <v>42996.328472222223</v>
      </c>
      <c r="AD294" s="32" t="s">
        <v>552</v>
      </c>
    </row>
    <row r="295" spans="1:30">
      <c r="A295" s="184">
        <v>294</v>
      </c>
      <c r="B295" s="184" t="s">
        <v>1195</v>
      </c>
      <c r="C295" s="184" t="s">
        <v>598</v>
      </c>
      <c r="D295" s="127">
        <v>42847</v>
      </c>
      <c r="E295" s="127" t="s">
        <v>598</v>
      </c>
      <c r="F295" s="184" t="s">
        <v>1196</v>
      </c>
      <c r="G295" s="185">
        <v>0</v>
      </c>
      <c r="H295" s="184" t="s">
        <v>598</v>
      </c>
      <c r="I295" s="184" t="s">
        <v>598</v>
      </c>
      <c r="J295" s="184" t="s">
        <v>38</v>
      </c>
      <c r="K295" s="184" t="s">
        <v>354</v>
      </c>
      <c r="L295" s="184" t="s">
        <v>598</v>
      </c>
      <c r="M295" s="184" t="s">
        <v>598</v>
      </c>
      <c r="N295" s="184" t="s">
        <v>63</v>
      </c>
      <c r="O295" s="184" t="s">
        <v>86</v>
      </c>
      <c r="P295" s="186" t="s">
        <v>53</v>
      </c>
      <c r="Q295" s="184" t="s">
        <v>598</v>
      </c>
      <c r="R295" s="184" t="s">
        <v>598</v>
      </c>
      <c r="S295" s="127" t="s">
        <v>598</v>
      </c>
      <c r="T295" s="184" t="s">
        <v>598</v>
      </c>
      <c r="U295" s="184" t="s">
        <v>598</v>
      </c>
      <c r="V295" s="185">
        <v>0</v>
      </c>
      <c r="W295" s="184" t="s">
        <v>89</v>
      </c>
      <c r="X295" s="184" t="s">
        <v>598</v>
      </c>
      <c r="Y295" s="185">
        <v>0</v>
      </c>
      <c r="Z295" s="184" t="s">
        <v>598</v>
      </c>
      <c r="AA295" s="21" t="s">
        <v>822</v>
      </c>
      <c r="AB295" s="176" t="s">
        <v>489</v>
      </c>
      <c r="AC295" s="172">
        <v>42996.328472222223</v>
      </c>
      <c r="AD295" s="32" t="s">
        <v>552</v>
      </c>
    </row>
    <row r="296" spans="1:30">
      <c r="A296" s="184">
        <v>295</v>
      </c>
      <c r="B296" s="184" t="s">
        <v>1197</v>
      </c>
      <c r="C296" s="184" t="s">
        <v>598</v>
      </c>
      <c r="D296" s="127">
        <v>42847</v>
      </c>
      <c r="E296" s="127" t="s">
        <v>598</v>
      </c>
      <c r="F296" s="184" t="s">
        <v>1196</v>
      </c>
      <c r="G296" s="185">
        <v>0</v>
      </c>
      <c r="H296" s="184" t="s">
        <v>598</v>
      </c>
      <c r="I296" s="184" t="s">
        <v>598</v>
      </c>
      <c r="J296" s="184" t="s">
        <v>38</v>
      </c>
      <c r="K296" s="184" t="s">
        <v>354</v>
      </c>
      <c r="L296" s="184" t="s">
        <v>598</v>
      </c>
      <c r="M296" s="184" t="s">
        <v>598</v>
      </c>
      <c r="N296" s="184" t="s">
        <v>63</v>
      </c>
      <c r="O296" s="184" t="s">
        <v>86</v>
      </c>
      <c r="P296" s="186" t="s">
        <v>44</v>
      </c>
      <c r="Q296" s="184" t="s">
        <v>598</v>
      </c>
      <c r="R296" s="184" t="s">
        <v>598</v>
      </c>
      <c r="S296" s="127" t="s">
        <v>598</v>
      </c>
      <c r="T296" s="184" t="s">
        <v>598</v>
      </c>
      <c r="U296" s="184" t="s">
        <v>598</v>
      </c>
      <c r="V296" s="185">
        <v>0</v>
      </c>
      <c r="W296" s="184" t="s">
        <v>89</v>
      </c>
      <c r="X296" s="184" t="s">
        <v>598</v>
      </c>
      <c r="Y296" s="185">
        <v>0</v>
      </c>
      <c r="Z296" s="184" t="s">
        <v>598</v>
      </c>
      <c r="AA296" s="21" t="s">
        <v>822</v>
      </c>
      <c r="AB296" s="176" t="s">
        <v>489</v>
      </c>
      <c r="AC296" s="172">
        <v>42996.328472222223</v>
      </c>
      <c r="AD296" s="32" t="s">
        <v>552</v>
      </c>
    </row>
    <row r="297" spans="1:30">
      <c r="A297" s="184">
        <v>296</v>
      </c>
      <c r="B297" s="184" t="s">
        <v>1198</v>
      </c>
      <c r="C297" s="184" t="s">
        <v>598</v>
      </c>
      <c r="D297" s="127">
        <v>42847</v>
      </c>
      <c r="E297" s="127" t="s">
        <v>598</v>
      </c>
      <c r="F297" s="184" t="s">
        <v>1199</v>
      </c>
      <c r="G297" s="185">
        <v>0</v>
      </c>
      <c r="H297" s="184" t="s">
        <v>598</v>
      </c>
      <c r="I297" s="184" t="s">
        <v>598</v>
      </c>
      <c r="J297" s="184" t="s">
        <v>38</v>
      </c>
      <c r="K297" s="184" t="s">
        <v>354</v>
      </c>
      <c r="L297" s="184" t="s">
        <v>598</v>
      </c>
      <c r="M297" s="184" t="s">
        <v>598</v>
      </c>
      <c r="N297" s="184" t="s">
        <v>63</v>
      </c>
      <c r="O297" s="184" t="s">
        <v>86</v>
      </c>
      <c r="P297" s="186" t="s">
        <v>67</v>
      </c>
      <c r="Q297" s="184" t="s">
        <v>598</v>
      </c>
      <c r="R297" s="184" t="s">
        <v>598</v>
      </c>
      <c r="S297" s="127" t="s">
        <v>598</v>
      </c>
      <c r="T297" s="184" t="s">
        <v>598</v>
      </c>
      <c r="U297" s="184" t="s">
        <v>598</v>
      </c>
      <c r="V297" s="185">
        <v>0</v>
      </c>
      <c r="W297" s="184" t="s">
        <v>89</v>
      </c>
      <c r="X297" s="184" t="s">
        <v>598</v>
      </c>
      <c r="Y297" s="185">
        <v>0</v>
      </c>
      <c r="Z297" s="184" t="s">
        <v>598</v>
      </c>
      <c r="AA297" s="21" t="s">
        <v>822</v>
      </c>
      <c r="AB297" s="176" t="s">
        <v>489</v>
      </c>
      <c r="AC297" s="172">
        <v>42996.328472222223</v>
      </c>
      <c r="AD297" s="32" t="s">
        <v>552</v>
      </c>
    </row>
    <row r="298" spans="1:30">
      <c r="A298" s="184">
        <v>297</v>
      </c>
      <c r="B298" s="184" t="s">
        <v>1200</v>
      </c>
      <c r="C298" s="184" t="s">
        <v>598</v>
      </c>
      <c r="D298" s="127">
        <v>42847</v>
      </c>
      <c r="E298" s="127" t="s">
        <v>598</v>
      </c>
      <c r="F298" s="184" t="s">
        <v>1201</v>
      </c>
      <c r="G298" s="185">
        <v>0</v>
      </c>
      <c r="H298" s="184" t="s">
        <v>598</v>
      </c>
      <c r="I298" s="184" t="s">
        <v>598</v>
      </c>
      <c r="J298" s="184" t="s">
        <v>38</v>
      </c>
      <c r="K298" s="184" t="s">
        <v>354</v>
      </c>
      <c r="L298" s="184" t="s">
        <v>598</v>
      </c>
      <c r="M298" s="184" t="s">
        <v>598</v>
      </c>
      <c r="N298" s="184" t="s">
        <v>63</v>
      </c>
      <c r="O298" s="184" t="s">
        <v>86</v>
      </c>
      <c r="P298" s="186" t="s">
        <v>602</v>
      </c>
      <c r="Q298" s="184" t="s">
        <v>598</v>
      </c>
      <c r="R298" s="184" t="s">
        <v>598</v>
      </c>
      <c r="S298" s="127" t="s">
        <v>598</v>
      </c>
      <c r="T298" s="184" t="s">
        <v>598</v>
      </c>
      <c r="U298" s="184" t="s">
        <v>598</v>
      </c>
      <c r="V298" s="185">
        <v>0</v>
      </c>
      <c r="W298" s="184" t="s">
        <v>89</v>
      </c>
      <c r="X298" s="184" t="s">
        <v>598</v>
      </c>
      <c r="Y298" s="185">
        <v>0</v>
      </c>
      <c r="Z298" s="184" t="s">
        <v>598</v>
      </c>
      <c r="AA298" s="21" t="s">
        <v>822</v>
      </c>
      <c r="AB298" s="176" t="s">
        <v>489</v>
      </c>
      <c r="AC298" s="172">
        <v>42996.328472222223</v>
      </c>
      <c r="AD298" s="32" t="s">
        <v>552</v>
      </c>
    </row>
    <row r="299" spans="1:30">
      <c r="A299" s="184">
        <v>298</v>
      </c>
      <c r="B299" s="184" t="s">
        <v>1202</v>
      </c>
      <c r="C299" s="184" t="s">
        <v>598</v>
      </c>
      <c r="D299" s="127">
        <v>42847</v>
      </c>
      <c r="E299" s="127" t="s">
        <v>598</v>
      </c>
      <c r="F299" s="184" t="s">
        <v>1196</v>
      </c>
      <c r="G299" s="185">
        <v>0</v>
      </c>
      <c r="H299" s="184" t="s">
        <v>598</v>
      </c>
      <c r="I299" s="184" t="s">
        <v>598</v>
      </c>
      <c r="J299" s="184" t="s">
        <v>38</v>
      </c>
      <c r="K299" s="184" t="s">
        <v>354</v>
      </c>
      <c r="L299" s="184" t="s">
        <v>598</v>
      </c>
      <c r="M299" s="184" t="s">
        <v>598</v>
      </c>
      <c r="N299" s="184" t="s">
        <v>63</v>
      </c>
      <c r="O299" s="184" t="s">
        <v>86</v>
      </c>
      <c r="P299" s="186" t="s">
        <v>603</v>
      </c>
      <c r="Q299" s="184" t="s">
        <v>598</v>
      </c>
      <c r="R299" s="184" t="s">
        <v>598</v>
      </c>
      <c r="S299" s="127" t="s">
        <v>598</v>
      </c>
      <c r="T299" s="184" t="s">
        <v>598</v>
      </c>
      <c r="U299" s="184" t="s">
        <v>598</v>
      </c>
      <c r="V299" s="185">
        <v>0</v>
      </c>
      <c r="W299" s="184" t="s">
        <v>89</v>
      </c>
      <c r="X299" s="184" t="s">
        <v>598</v>
      </c>
      <c r="Y299" s="185">
        <v>0</v>
      </c>
      <c r="Z299" s="184" t="s">
        <v>598</v>
      </c>
      <c r="AA299" s="21" t="s">
        <v>822</v>
      </c>
      <c r="AB299" s="176" t="s">
        <v>489</v>
      </c>
      <c r="AC299" s="172">
        <v>42996.328472222223</v>
      </c>
      <c r="AD299" s="32" t="s">
        <v>552</v>
      </c>
    </row>
    <row r="300" spans="1:30">
      <c r="A300" s="184">
        <v>299</v>
      </c>
      <c r="B300" s="184" t="s">
        <v>1203</v>
      </c>
      <c r="C300" s="184" t="s">
        <v>598</v>
      </c>
      <c r="D300" s="127">
        <v>42853</v>
      </c>
      <c r="E300" s="127" t="s">
        <v>598</v>
      </c>
      <c r="F300" s="184" t="s">
        <v>1204</v>
      </c>
      <c r="G300" s="185">
        <v>0</v>
      </c>
      <c r="H300" s="184" t="s">
        <v>598</v>
      </c>
      <c r="I300" s="184" t="s">
        <v>598</v>
      </c>
      <c r="J300" s="184" t="s">
        <v>38</v>
      </c>
      <c r="K300" s="184" t="s">
        <v>355</v>
      </c>
      <c r="L300" s="184" t="s">
        <v>598</v>
      </c>
      <c r="M300" s="184" t="s">
        <v>598</v>
      </c>
      <c r="N300" s="184" t="s">
        <v>63</v>
      </c>
      <c r="O300" s="184" t="s">
        <v>598</v>
      </c>
      <c r="P300" s="186" t="s">
        <v>604</v>
      </c>
      <c r="Q300" s="184" t="s">
        <v>598</v>
      </c>
      <c r="R300" s="184" t="s">
        <v>598</v>
      </c>
      <c r="S300" s="127" t="s">
        <v>598</v>
      </c>
      <c r="T300" s="184" t="s">
        <v>598</v>
      </c>
      <c r="U300" s="184" t="s">
        <v>598</v>
      </c>
      <c r="V300" s="185">
        <v>0</v>
      </c>
      <c r="W300" s="184" t="s">
        <v>89</v>
      </c>
      <c r="X300" s="184" t="s">
        <v>598</v>
      </c>
      <c r="Y300" s="185">
        <v>0</v>
      </c>
      <c r="Z300" s="184" t="s">
        <v>598</v>
      </c>
      <c r="AA300" s="21" t="s">
        <v>822</v>
      </c>
      <c r="AB300" s="176" t="s">
        <v>489</v>
      </c>
      <c r="AC300" s="172">
        <v>42996.328472222223</v>
      </c>
      <c r="AD300" s="32" t="s">
        <v>552</v>
      </c>
    </row>
    <row r="301" spans="1:30">
      <c r="A301" s="184">
        <v>300</v>
      </c>
      <c r="B301" s="184" t="s">
        <v>1205</v>
      </c>
      <c r="C301" s="184" t="s">
        <v>598</v>
      </c>
      <c r="D301" s="127">
        <v>42854</v>
      </c>
      <c r="E301" s="127" t="s">
        <v>598</v>
      </c>
      <c r="F301" s="184" t="s">
        <v>1206</v>
      </c>
      <c r="G301" s="185">
        <v>0</v>
      </c>
      <c r="H301" s="184" t="s">
        <v>598</v>
      </c>
      <c r="I301" s="184" t="s">
        <v>598</v>
      </c>
      <c r="J301" s="184" t="s">
        <v>38</v>
      </c>
      <c r="K301" s="184" t="s">
        <v>355</v>
      </c>
      <c r="L301" s="184" t="s">
        <v>598</v>
      </c>
      <c r="M301" s="184" t="s">
        <v>598</v>
      </c>
      <c r="N301" s="184" t="s">
        <v>63</v>
      </c>
      <c r="O301" s="184" t="s">
        <v>598</v>
      </c>
      <c r="P301" s="186" t="s">
        <v>605</v>
      </c>
      <c r="Q301" s="184" t="s">
        <v>598</v>
      </c>
      <c r="R301" s="184" t="s">
        <v>598</v>
      </c>
      <c r="S301" s="127" t="s">
        <v>598</v>
      </c>
      <c r="T301" s="184" t="s">
        <v>598</v>
      </c>
      <c r="U301" s="184" t="s">
        <v>598</v>
      </c>
      <c r="V301" s="185">
        <v>0</v>
      </c>
      <c r="W301" s="184" t="s">
        <v>89</v>
      </c>
      <c r="X301" s="184" t="s">
        <v>598</v>
      </c>
      <c r="Y301" s="185">
        <v>0</v>
      </c>
      <c r="Z301" s="184" t="s">
        <v>598</v>
      </c>
      <c r="AA301" s="21" t="s">
        <v>822</v>
      </c>
      <c r="AB301" s="176" t="s">
        <v>489</v>
      </c>
      <c r="AC301" s="172">
        <v>42996.328472222223</v>
      </c>
      <c r="AD301" s="32" t="s">
        <v>552</v>
      </c>
    </row>
    <row r="302" spans="1:30">
      <c r="A302" s="184">
        <v>301</v>
      </c>
      <c r="B302" s="184" t="s">
        <v>1207</v>
      </c>
      <c r="C302" s="184" t="s">
        <v>598</v>
      </c>
      <c r="D302" s="127">
        <v>42854</v>
      </c>
      <c r="E302" s="127" t="s">
        <v>598</v>
      </c>
      <c r="F302" s="184" t="s">
        <v>1208</v>
      </c>
      <c r="G302" s="185">
        <v>0</v>
      </c>
      <c r="H302" s="184" t="s">
        <v>598</v>
      </c>
      <c r="I302" s="184" t="s">
        <v>598</v>
      </c>
      <c r="J302" s="184" t="s">
        <v>38</v>
      </c>
      <c r="K302" s="184" t="s">
        <v>355</v>
      </c>
      <c r="L302" s="184" t="s">
        <v>598</v>
      </c>
      <c r="M302" s="184" t="s">
        <v>598</v>
      </c>
      <c r="N302" s="184" t="s">
        <v>63</v>
      </c>
      <c r="O302" s="184" t="s">
        <v>598</v>
      </c>
      <c r="P302" s="186" t="s">
        <v>606</v>
      </c>
      <c r="Q302" s="184" t="s">
        <v>598</v>
      </c>
      <c r="R302" s="184" t="s">
        <v>598</v>
      </c>
      <c r="S302" s="127" t="s">
        <v>598</v>
      </c>
      <c r="T302" s="184" t="s">
        <v>598</v>
      </c>
      <c r="U302" s="184" t="s">
        <v>598</v>
      </c>
      <c r="V302" s="185">
        <v>0</v>
      </c>
      <c r="W302" s="184" t="s">
        <v>89</v>
      </c>
      <c r="X302" s="184" t="s">
        <v>598</v>
      </c>
      <c r="Y302" s="185">
        <v>0</v>
      </c>
      <c r="Z302" s="184" t="s">
        <v>598</v>
      </c>
      <c r="AA302" s="21" t="s">
        <v>822</v>
      </c>
      <c r="AB302" s="176" t="s">
        <v>489</v>
      </c>
      <c r="AC302" s="172">
        <v>42996.328472222223</v>
      </c>
      <c r="AD302" s="32" t="s">
        <v>552</v>
      </c>
    </row>
    <row r="303" spans="1:30">
      <c r="A303" s="184">
        <v>302</v>
      </c>
      <c r="B303" s="184" t="s">
        <v>1209</v>
      </c>
      <c r="C303" s="184" t="s">
        <v>598</v>
      </c>
      <c r="D303" s="127">
        <v>42857</v>
      </c>
      <c r="E303" s="127" t="s">
        <v>598</v>
      </c>
      <c r="F303" s="184" t="s">
        <v>1210</v>
      </c>
      <c r="G303" s="185">
        <v>0</v>
      </c>
      <c r="H303" s="184" t="s">
        <v>598</v>
      </c>
      <c r="I303" s="184" t="s">
        <v>598</v>
      </c>
      <c r="J303" s="184" t="s">
        <v>84</v>
      </c>
      <c r="K303" s="184" t="s">
        <v>598</v>
      </c>
      <c r="L303" s="184" t="s">
        <v>598</v>
      </c>
      <c r="M303" s="184" t="s">
        <v>598</v>
      </c>
      <c r="N303" s="184" t="s">
        <v>63</v>
      </c>
      <c r="O303" s="184" t="s">
        <v>63</v>
      </c>
      <c r="P303" s="186" t="s">
        <v>607</v>
      </c>
      <c r="Q303" s="184" t="s">
        <v>598</v>
      </c>
      <c r="R303" s="184" t="s">
        <v>598</v>
      </c>
      <c r="S303" s="127" t="s">
        <v>598</v>
      </c>
      <c r="T303" s="184" t="s">
        <v>598</v>
      </c>
      <c r="U303" s="184" t="s">
        <v>598</v>
      </c>
      <c r="V303" s="185">
        <v>0</v>
      </c>
      <c r="W303" s="184" t="s">
        <v>89</v>
      </c>
      <c r="X303" s="184" t="s">
        <v>598</v>
      </c>
      <c r="Y303" s="185">
        <v>0</v>
      </c>
      <c r="Z303" s="184" t="s">
        <v>598</v>
      </c>
      <c r="AA303" s="21" t="s">
        <v>822</v>
      </c>
      <c r="AB303" s="176" t="s">
        <v>489</v>
      </c>
      <c r="AC303" s="172">
        <v>42996.328472222223</v>
      </c>
      <c r="AD303" s="32" t="s">
        <v>552</v>
      </c>
    </row>
    <row r="304" spans="1:30">
      <c r="A304" s="184">
        <v>303</v>
      </c>
      <c r="B304" s="184" t="s">
        <v>1211</v>
      </c>
      <c r="C304" s="184" t="s">
        <v>598</v>
      </c>
      <c r="D304" s="127">
        <v>42860</v>
      </c>
      <c r="E304" s="127" t="s">
        <v>598</v>
      </c>
      <c r="F304" s="184" t="s">
        <v>1212</v>
      </c>
      <c r="G304" s="185">
        <v>37670000</v>
      </c>
      <c r="H304" s="184" t="s">
        <v>598</v>
      </c>
      <c r="I304" s="184" t="s">
        <v>598</v>
      </c>
      <c r="J304" s="184" t="s">
        <v>84</v>
      </c>
      <c r="K304" s="184" t="s">
        <v>214</v>
      </c>
      <c r="L304" s="184" t="s">
        <v>598</v>
      </c>
      <c r="M304" s="184" t="s">
        <v>598</v>
      </c>
      <c r="N304" s="184" t="s">
        <v>63</v>
      </c>
      <c r="O304" s="184" t="s">
        <v>63</v>
      </c>
      <c r="P304" s="186" t="s">
        <v>73</v>
      </c>
      <c r="Q304" s="184" t="s">
        <v>598</v>
      </c>
      <c r="R304" s="184" t="s">
        <v>598</v>
      </c>
      <c r="S304" s="127">
        <v>42895</v>
      </c>
      <c r="T304" s="184" t="s">
        <v>10</v>
      </c>
      <c r="U304" s="184" t="s">
        <v>598</v>
      </c>
      <c r="V304" s="185">
        <v>10000</v>
      </c>
      <c r="W304" s="184" t="s">
        <v>493</v>
      </c>
      <c r="X304" s="184">
        <v>4023</v>
      </c>
      <c r="Y304" s="185">
        <v>10000</v>
      </c>
      <c r="Z304" s="184" t="s">
        <v>598</v>
      </c>
      <c r="AA304" s="21" t="s">
        <v>610</v>
      </c>
      <c r="AB304" s="176" t="s">
        <v>489</v>
      </c>
      <c r="AC304" s="172">
        <v>42996.328472222223</v>
      </c>
      <c r="AD304" s="32" t="s">
        <v>552</v>
      </c>
    </row>
    <row r="305" spans="1:30">
      <c r="A305" s="184">
        <v>304</v>
      </c>
      <c r="B305" s="184" t="s">
        <v>1213</v>
      </c>
      <c r="C305" s="184" t="s">
        <v>598</v>
      </c>
      <c r="D305" s="127">
        <v>42860</v>
      </c>
      <c r="E305" s="127" t="s">
        <v>598</v>
      </c>
      <c r="F305" s="184" t="s">
        <v>1214</v>
      </c>
      <c r="G305" s="185">
        <v>4866000</v>
      </c>
      <c r="H305" s="184" t="s">
        <v>598</v>
      </c>
      <c r="I305" s="184" t="s">
        <v>598</v>
      </c>
      <c r="J305" s="184" t="s">
        <v>84</v>
      </c>
      <c r="K305" s="184" t="s">
        <v>214</v>
      </c>
      <c r="L305" s="184" t="s">
        <v>598</v>
      </c>
      <c r="M305" s="184" t="s">
        <v>598</v>
      </c>
      <c r="N305" s="184" t="s">
        <v>63</v>
      </c>
      <c r="O305" s="184" t="s">
        <v>63</v>
      </c>
      <c r="P305" s="186" t="s">
        <v>601</v>
      </c>
      <c r="Q305" s="184" t="s">
        <v>598</v>
      </c>
      <c r="R305" s="184" t="s">
        <v>598</v>
      </c>
      <c r="S305" s="127">
        <v>42895</v>
      </c>
      <c r="T305" s="184" t="s">
        <v>10</v>
      </c>
      <c r="U305" s="184" t="s">
        <v>598</v>
      </c>
      <c r="V305" s="185">
        <v>3000</v>
      </c>
      <c r="W305" s="184" t="s">
        <v>493</v>
      </c>
      <c r="X305" s="184">
        <v>4022</v>
      </c>
      <c r="Y305" s="185">
        <v>3000</v>
      </c>
      <c r="Z305" s="184" t="s">
        <v>598</v>
      </c>
      <c r="AA305" s="21" t="s">
        <v>610</v>
      </c>
      <c r="AB305" s="176" t="s">
        <v>489</v>
      </c>
      <c r="AC305" s="172">
        <v>42996.328472222223</v>
      </c>
      <c r="AD305" s="32" t="s">
        <v>552</v>
      </c>
    </row>
    <row r="306" spans="1:30">
      <c r="A306" s="184">
        <v>305</v>
      </c>
      <c r="B306" s="184" t="s">
        <v>1215</v>
      </c>
      <c r="C306" s="184" t="s">
        <v>598</v>
      </c>
      <c r="D306" s="127">
        <v>42860</v>
      </c>
      <c r="E306" s="127" t="s">
        <v>598</v>
      </c>
      <c r="F306" s="184" t="s">
        <v>1216</v>
      </c>
      <c r="G306" s="185">
        <v>19316000</v>
      </c>
      <c r="H306" s="184" t="s">
        <v>598</v>
      </c>
      <c r="I306" s="184" t="s">
        <v>598</v>
      </c>
      <c r="J306" s="184" t="s">
        <v>84</v>
      </c>
      <c r="K306" s="184" t="s">
        <v>198</v>
      </c>
      <c r="L306" s="184" t="s">
        <v>598</v>
      </c>
      <c r="M306" s="184" t="s">
        <v>598</v>
      </c>
      <c r="N306" s="184" t="s">
        <v>63</v>
      </c>
      <c r="O306" s="184" t="s">
        <v>86</v>
      </c>
      <c r="P306" s="186" t="s">
        <v>601</v>
      </c>
      <c r="Q306" s="184" t="s">
        <v>598</v>
      </c>
      <c r="R306" s="184" t="s">
        <v>804</v>
      </c>
      <c r="S306" s="127">
        <v>42895</v>
      </c>
      <c r="T306" s="184" t="s">
        <v>10</v>
      </c>
      <c r="U306" s="184" t="s">
        <v>598</v>
      </c>
      <c r="V306" s="185">
        <v>10000</v>
      </c>
      <c r="W306" s="184" t="s">
        <v>493</v>
      </c>
      <c r="X306" s="184">
        <v>4020</v>
      </c>
      <c r="Y306" s="185">
        <v>10000</v>
      </c>
      <c r="Z306" s="184" t="s">
        <v>598</v>
      </c>
      <c r="AA306" s="21" t="s">
        <v>610</v>
      </c>
      <c r="AB306" s="176" t="s">
        <v>489</v>
      </c>
      <c r="AC306" s="172">
        <v>42996.328472222223</v>
      </c>
      <c r="AD306" s="32" t="s">
        <v>552</v>
      </c>
    </row>
    <row r="307" spans="1:30">
      <c r="A307" s="184">
        <v>306</v>
      </c>
      <c r="B307" s="184" t="s">
        <v>1217</v>
      </c>
      <c r="C307" s="184" t="s">
        <v>598</v>
      </c>
      <c r="D307" s="127">
        <v>42860</v>
      </c>
      <c r="E307" s="127" t="s">
        <v>598</v>
      </c>
      <c r="F307" s="184" t="s">
        <v>1218</v>
      </c>
      <c r="G307" s="185">
        <v>2170000</v>
      </c>
      <c r="H307" s="184" t="s">
        <v>598</v>
      </c>
      <c r="I307" s="184" t="s">
        <v>132</v>
      </c>
      <c r="J307" s="184" t="s">
        <v>84</v>
      </c>
      <c r="K307" s="184" t="s">
        <v>356</v>
      </c>
      <c r="L307" s="184" t="s">
        <v>598</v>
      </c>
      <c r="M307" s="184" t="s">
        <v>598</v>
      </c>
      <c r="N307" s="184" t="s">
        <v>63</v>
      </c>
      <c r="O307" s="184" t="s">
        <v>63</v>
      </c>
      <c r="P307" s="186" t="s">
        <v>32</v>
      </c>
      <c r="Q307" s="184" t="s">
        <v>598</v>
      </c>
      <c r="R307" s="184" t="s">
        <v>598</v>
      </c>
      <c r="S307" s="127" t="s">
        <v>598</v>
      </c>
      <c r="T307" s="184" t="s">
        <v>598</v>
      </c>
      <c r="U307" s="184" t="s">
        <v>598</v>
      </c>
      <c r="V307" s="185">
        <v>0</v>
      </c>
      <c r="W307" s="184" t="s">
        <v>485</v>
      </c>
      <c r="X307" s="184" t="s">
        <v>598</v>
      </c>
      <c r="Y307" s="185">
        <v>2000</v>
      </c>
      <c r="Z307" s="184" t="s">
        <v>492</v>
      </c>
      <c r="AA307" s="21" t="s">
        <v>610</v>
      </c>
      <c r="AB307" s="176" t="s">
        <v>489</v>
      </c>
      <c r="AC307" s="172">
        <v>42996.328472222223</v>
      </c>
      <c r="AD307" s="32" t="s">
        <v>552</v>
      </c>
    </row>
    <row r="308" spans="1:30">
      <c r="A308" s="184">
        <v>307</v>
      </c>
      <c r="B308" s="184" t="s">
        <v>1219</v>
      </c>
      <c r="C308" s="184" t="s">
        <v>598</v>
      </c>
      <c r="D308" s="127">
        <v>42861</v>
      </c>
      <c r="E308" s="127" t="s">
        <v>598</v>
      </c>
      <c r="F308" s="184" t="s">
        <v>1220</v>
      </c>
      <c r="G308" s="185">
        <v>0</v>
      </c>
      <c r="H308" s="184" t="s">
        <v>598</v>
      </c>
      <c r="I308" s="184" t="s">
        <v>598</v>
      </c>
      <c r="J308" s="184" t="s">
        <v>84</v>
      </c>
      <c r="K308" s="184" t="s">
        <v>214</v>
      </c>
      <c r="L308" s="184" t="s">
        <v>598</v>
      </c>
      <c r="M308" s="184" t="s">
        <v>598</v>
      </c>
      <c r="N308" s="184" t="s">
        <v>63</v>
      </c>
      <c r="O308" s="184" t="s">
        <v>86</v>
      </c>
      <c r="P308" s="186" t="s">
        <v>53</v>
      </c>
      <c r="Q308" s="184" t="s">
        <v>598</v>
      </c>
      <c r="R308" s="184" t="s">
        <v>804</v>
      </c>
      <c r="S308" s="127" t="s">
        <v>598</v>
      </c>
      <c r="T308" s="184" t="s">
        <v>598</v>
      </c>
      <c r="U308" s="184" t="s">
        <v>598</v>
      </c>
      <c r="V308" s="185">
        <v>0</v>
      </c>
      <c r="W308" s="184" t="s">
        <v>33</v>
      </c>
      <c r="X308" s="184" t="s">
        <v>598</v>
      </c>
      <c r="Y308" s="185">
        <v>0</v>
      </c>
      <c r="Z308" s="184" t="s">
        <v>598</v>
      </c>
      <c r="AA308" s="21" t="s">
        <v>822</v>
      </c>
      <c r="AB308" s="176" t="s">
        <v>489</v>
      </c>
      <c r="AC308" s="172">
        <v>42996.328472222223</v>
      </c>
      <c r="AD308" s="32" t="s">
        <v>552</v>
      </c>
    </row>
    <row r="309" spans="1:30">
      <c r="A309" s="184">
        <v>308</v>
      </c>
      <c r="B309" s="184" t="s">
        <v>1221</v>
      </c>
      <c r="C309" s="184" t="s">
        <v>598</v>
      </c>
      <c r="D309" s="127">
        <v>42863</v>
      </c>
      <c r="E309" s="127" t="s">
        <v>598</v>
      </c>
      <c r="F309" s="184" t="s">
        <v>1222</v>
      </c>
      <c r="G309" s="185">
        <v>10133000</v>
      </c>
      <c r="H309" s="184" t="s">
        <v>598</v>
      </c>
      <c r="I309" s="184" t="s">
        <v>134</v>
      </c>
      <c r="J309" s="184" t="s">
        <v>84</v>
      </c>
      <c r="K309" s="184" t="s">
        <v>240</v>
      </c>
      <c r="L309" s="184" t="s">
        <v>598</v>
      </c>
      <c r="M309" s="184" t="s">
        <v>598</v>
      </c>
      <c r="N309" s="184" t="s">
        <v>63</v>
      </c>
      <c r="O309" s="184" t="s">
        <v>598</v>
      </c>
      <c r="P309" s="186" t="s">
        <v>44</v>
      </c>
      <c r="Q309" s="184" t="s">
        <v>598</v>
      </c>
      <c r="R309" s="184" t="s">
        <v>598</v>
      </c>
      <c r="S309" s="127">
        <v>42899</v>
      </c>
      <c r="T309" s="184" t="s">
        <v>34</v>
      </c>
      <c r="U309" s="184" t="s">
        <v>598</v>
      </c>
      <c r="V309" s="185">
        <v>5000</v>
      </c>
      <c r="W309" s="184" t="s">
        <v>493</v>
      </c>
      <c r="X309" s="184" t="s">
        <v>598</v>
      </c>
      <c r="Y309" s="185">
        <v>0</v>
      </c>
      <c r="Z309" s="184" t="s">
        <v>598</v>
      </c>
      <c r="AA309" s="21" t="s">
        <v>610</v>
      </c>
      <c r="AB309" s="176" t="s">
        <v>489</v>
      </c>
      <c r="AC309" s="172">
        <v>42996.328472222223</v>
      </c>
      <c r="AD309" s="32" t="s">
        <v>552</v>
      </c>
    </row>
    <row r="310" spans="1:30">
      <c r="A310" s="184">
        <v>309</v>
      </c>
      <c r="B310" s="184" t="s">
        <v>1223</v>
      </c>
      <c r="C310" s="184" t="s">
        <v>598</v>
      </c>
      <c r="D310" s="127">
        <v>42864</v>
      </c>
      <c r="E310" s="127" t="s">
        <v>598</v>
      </c>
      <c r="F310" s="184" t="s">
        <v>1224</v>
      </c>
      <c r="G310" s="185">
        <v>0</v>
      </c>
      <c r="H310" s="184" t="s">
        <v>598</v>
      </c>
      <c r="I310" s="184" t="s">
        <v>598</v>
      </c>
      <c r="J310" s="184" t="s">
        <v>111</v>
      </c>
      <c r="K310" s="184" t="s">
        <v>162</v>
      </c>
      <c r="L310" s="184" t="s">
        <v>598</v>
      </c>
      <c r="M310" s="184" t="s">
        <v>598</v>
      </c>
      <c r="N310" s="184" t="s">
        <v>63</v>
      </c>
      <c r="O310" s="184" t="s">
        <v>598</v>
      </c>
      <c r="P310" s="186" t="s">
        <v>67</v>
      </c>
      <c r="Q310" s="184" t="s">
        <v>598</v>
      </c>
      <c r="R310" s="184" t="s">
        <v>598</v>
      </c>
      <c r="S310" s="127" t="s">
        <v>598</v>
      </c>
      <c r="T310" s="184" t="s">
        <v>598</v>
      </c>
      <c r="U310" s="184" t="s">
        <v>598</v>
      </c>
      <c r="V310" s="185">
        <v>0</v>
      </c>
      <c r="W310" s="184" t="s">
        <v>89</v>
      </c>
      <c r="X310" s="184" t="s">
        <v>598</v>
      </c>
      <c r="Y310" s="185">
        <v>0</v>
      </c>
      <c r="Z310" s="184" t="s">
        <v>598</v>
      </c>
      <c r="AA310" s="21" t="s">
        <v>822</v>
      </c>
      <c r="AB310" s="176" t="s">
        <v>489</v>
      </c>
      <c r="AC310" s="172">
        <v>42996.328472222223</v>
      </c>
      <c r="AD310" s="32" t="s">
        <v>552</v>
      </c>
    </row>
    <row r="311" spans="1:30">
      <c r="A311" s="184">
        <v>310</v>
      </c>
      <c r="B311" s="184" t="s">
        <v>1225</v>
      </c>
      <c r="C311" s="184" t="s">
        <v>598</v>
      </c>
      <c r="D311" s="127">
        <v>42866</v>
      </c>
      <c r="E311" s="127" t="s">
        <v>598</v>
      </c>
      <c r="F311" s="184" t="s">
        <v>1226</v>
      </c>
      <c r="G311" s="185">
        <v>7176000</v>
      </c>
      <c r="H311" s="184" t="s">
        <v>598</v>
      </c>
      <c r="I311" s="184" t="s">
        <v>134</v>
      </c>
      <c r="J311" s="184" t="s">
        <v>84</v>
      </c>
      <c r="K311" s="184" t="s">
        <v>221</v>
      </c>
      <c r="L311" s="184" t="s">
        <v>598</v>
      </c>
      <c r="M311" s="184" t="s">
        <v>598</v>
      </c>
      <c r="N311" s="184" t="s">
        <v>63</v>
      </c>
      <c r="O311" s="184" t="s">
        <v>63</v>
      </c>
      <c r="P311" s="186" t="s">
        <v>602</v>
      </c>
      <c r="Q311" s="184" t="s">
        <v>598</v>
      </c>
      <c r="R311" s="184" t="s">
        <v>598</v>
      </c>
      <c r="S311" s="127" t="s">
        <v>598</v>
      </c>
      <c r="T311" s="184" t="s">
        <v>598</v>
      </c>
      <c r="U311" s="184" t="s">
        <v>598</v>
      </c>
      <c r="V311" s="185">
        <v>0</v>
      </c>
      <c r="W311" s="184" t="s">
        <v>485</v>
      </c>
      <c r="X311" s="184">
        <v>4021</v>
      </c>
      <c r="Y311" s="185">
        <v>6000</v>
      </c>
      <c r="Z311" s="184" t="s">
        <v>598</v>
      </c>
      <c r="AA311" s="21" t="s">
        <v>610</v>
      </c>
      <c r="AB311" s="176" t="s">
        <v>489</v>
      </c>
      <c r="AC311" s="172">
        <v>42996.328472222223</v>
      </c>
      <c r="AD311" s="32" t="s">
        <v>552</v>
      </c>
    </row>
    <row r="312" spans="1:30">
      <c r="A312" s="184">
        <v>311</v>
      </c>
      <c r="B312" s="184" t="s">
        <v>1227</v>
      </c>
      <c r="C312" s="184" t="s">
        <v>598</v>
      </c>
      <c r="D312" s="127">
        <v>42866</v>
      </c>
      <c r="E312" s="127" t="s">
        <v>598</v>
      </c>
      <c r="F312" s="184" t="s">
        <v>1228</v>
      </c>
      <c r="G312" s="185">
        <v>0</v>
      </c>
      <c r="H312" s="184" t="s">
        <v>598</v>
      </c>
      <c r="I312" s="184" t="s">
        <v>598</v>
      </c>
      <c r="J312" s="184" t="s">
        <v>84</v>
      </c>
      <c r="K312" s="184" t="s">
        <v>162</v>
      </c>
      <c r="L312" s="184" t="s">
        <v>598</v>
      </c>
      <c r="M312" s="184" t="s">
        <v>598</v>
      </c>
      <c r="N312" s="184" t="s">
        <v>63</v>
      </c>
      <c r="O312" s="184" t="s">
        <v>598</v>
      </c>
      <c r="P312" s="186" t="s">
        <v>603</v>
      </c>
      <c r="Q312" s="184" t="s">
        <v>598</v>
      </c>
      <c r="R312" s="184" t="s">
        <v>598</v>
      </c>
      <c r="S312" s="127" t="s">
        <v>598</v>
      </c>
      <c r="T312" s="184" t="s">
        <v>598</v>
      </c>
      <c r="U312" s="184" t="s">
        <v>598</v>
      </c>
      <c r="V312" s="185">
        <v>0</v>
      </c>
      <c r="W312" s="184" t="s">
        <v>89</v>
      </c>
      <c r="X312" s="184" t="s">
        <v>598</v>
      </c>
      <c r="Y312" s="185">
        <v>0</v>
      </c>
      <c r="Z312" s="184" t="s">
        <v>598</v>
      </c>
      <c r="AA312" s="21" t="s">
        <v>822</v>
      </c>
      <c r="AB312" s="176" t="s">
        <v>489</v>
      </c>
      <c r="AC312" s="172">
        <v>42996.328472222223</v>
      </c>
      <c r="AD312" s="32" t="s">
        <v>552</v>
      </c>
    </row>
    <row r="313" spans="1:30">
      <c r="A313" s="184">
        <v>312</v>
      </c>
      <c r="B313" s="184" t="s">
        <v>1229</v>
      </c>
      <c r="C313" s="184" t="s">
        <v>598</v>
      </c>
      <c r="D313" s="127">
        <v>42866</v>
      </c>
      <c r="E313" s="127" t="s">
        <v>598</v>
      </c>
      <c r="F313" s="184" t="s">
        <v>1230</v>
      </c>
      <c r="G313" s="185">
        <v>1368000</v>
      </c>
      <c r="H313" s="184" t="s">
        <v>598</v>
      </c>
      <c r="I313" s="184" t="s">
        <v>598</v>
      </c>
      <c r="J313" s="184" t="s">
        <v>84</v>
      </c>
      <c r="K313" s="184" t="s">
        <v>229</v>
      </c>
      <c r="L313" s="184" t="s">
        <v>598</v>
      </c>
      <c r="M313" s="184" t="s">
        <v>598</v>
      </c>
      <c r="N313" s="184" t="s">
        <v>63</v>
      </c>
      <c r="O313" s="184" t="s">
        <v>86</v>
      </c>
      <c r="P313" s="186" t="s">
        <v>604</v>
      </c>
      <c r="Q313" s="184" t="s">
        <v>598</v>
      </c>
      <c r="R313" s="184" t="s">
        <v>598</v>
      </c>
      <c r="S313" s="127" t="s">
        <v>598</v>
      </c>
      <c r="T313" s="184" t="s">
        <v>598</v>
      </c>
      <c r="U313" s="184" t="s">
        <v>598</v>
      </c>
      <c r="V313" s="185">
        <v>0</v>
      </c>
      <c r="W313" s="184" t="s">
        <v>485</v>
      </c>
      <c r="X313" s="184" t="s">
        <v>598</v>
      </c>
      <c r="Y313" s="185">
        <v>0</v>
      </c>
      <c r="Z313" s="184" t="s">
        <v>598</v>
      </c>
      <c r="AA313" s="21" t="s">
        <v>610</v>
      </c>
      <c r="AB313" s="176" t="s">
        <v>489</v>
      </c>
      <c r="AC313" s="172">
        <v>42996.328472222223</v>
      </c>
      <c r="AD313" s="32" t="s">
        <v>552</v>
      </c>
    </row>
    <row r="314" spans="1:30">
      <c r="A314" s="184">
        <v>313</v>
      </c>
      <c r="B314" s="184" t="s">
        <v>1231</v>
      </c>
      <c r="C314" s="184" t="s">
        <v>598</v>
      </c>
      <c r="D314" s="127">
        <v>42866</v>
      </c>
      <c r="E314" s="127" t="s">
        <v>598</v>
      </c>
      <c r="F314" s="184" t="s">
        <v>1232</v>
      </c>
      <c r="G314" s="185">
        <v>1311000</v>
      </c>
      <c r="H314" s="184" t="s">
        <v>598</v>
      </c>
      <c r="I314" s="184" t="s">
        <v>598</v>
      </c>
      <c r="J314" s="184" t="s">
        <v>84</v>
      </c>
      <c r="K314" s="184" t="s">
        <v>229</v>
      </c>
      <c r="L314" s="184" t="s">
        <v>598</v>
      </c>
      <c r="M314" s="184" t="s">
        <v>598</v>
      </c>
      <c r="N314" s="184" t="s">
        <v>63</v>
      </c>
      <c r="O314" s="184" t="s">
        <v>598</v>
      </c>
      <c r="P314" s="186" t="s">
        <v>605</v>
      </c>
      <c r="Q314" s="184" t="s">
        <v>598</v>
      </c>
      <c r="R314" s="184" t="s">
        <v>598</v>
      </c>
      <c r="S314" s="127" t="s">
        <v>598</v>
      </c>
      <c r="T314" s="184" t="s">
        <v>598</v>
      </c>
      <c r="U314" s="184" t="s">
        <v>598</v>
      </c>
      <c r="V314" s="185">
        <v>0</v>
      </c>
      <c r="W314" s="184" t="s">
        <v>485</v>
      </c>
      <c r="X314" s="184">
        <v>4031</v>
      </c>
      <c r="Y314" s="185">
        <v>3000</v>
      </c>
      <c r="Z314" s="184" t="s">
        <v>598</v>
      </c>
      <c r="AA314" s="21" t="s">
        <v>610</v>
      </c>
      <c r="AB314" s="176" t="s">
        <v>489</v>
      </c>
      <c r="AC314" s="172">
        <v>42996.328472222223</v>
      </c>
      <c r="AD314" s="32" t="s">
        <v>552</v>
      </c>
    </row>
    <row r="315" spans="1:30">
      <c r="A315" s="184">
        <v>314</v>
      </c>
      <c r="B315" s="184" t="s">
        <v>1233</v>
      </c>
      <c r="C315" s="184" t="s">
        <v>598</v>
      </c>
      <c r="D315" s="127">
        <v>42867</v>
      </c>
      <c r="E315" s="127" t="s">
        <v>598</v>
      </c>
      <c r="F315" s="184" t="s">
        <v>1234</v>
      </c>
      <c r="G315" s="185">
        <v>6305000</v>
      </c>
      <c r="H315" s="184" t="s">
        <v>598</v>
      </c>
      <c r="I315" s="184" t="s">
        <v>598</v>
      </c>
      <c r="J315" s="184" t="s">
        <v>84</v>
      </c>
      <c r="K315" s="184" t="s">
        <v>229</v>
      </c>
      <c r="L315" s="184" t="s">
        <v>598</v>
      </c>
      <c r="M315" s="184" t="s">
        <v>598</v>
      </c>
      <c r="N315" s="184" t="s">
        <v>63</v>
      </c>
      <c r="O315" s="184" t="s">
        <v>598</v>
      </c>
      <c r="P315" s="186" t="s">
        <v>606</v>
      </c>
      <c r="Q315" s="184" t="s">
        <v>598</v>
      </c>
      <c r="R315" s="184" t="s">
        <v>598</v>
      </c>
      <c r="S315" s="127" t="s">
        <v>598</v>
      </c>
      <c r="T315" s="184" t="s">
        <v>598</v>
      </c>
      <c r="U315" s="184" t="s">
        <v>598</v>
      </c>
      <c r="V315" s="185">
        <v>0</v>
      </c>
      <c r="W315" s="184" t="s">
        <v>485</v>
      </c>
      <c r="X315" s="184">
        <v>4030</v>
      </c>
      <c r="Y315" s="185">
        <v>4000</v>
      </c>
      <c r="Z315" s="184" t="s">
        <v>598</v>
      </c>
      <c r="AA315" s="21" t="s">
        <v>610</v>
      </c>
      <c r="AB315" s="176" t="s">
        <v>489</v>
      </c>
      <c r="AC315" s="172">
        <v>42996.328472222223</v>
      </c>
      <c r="AD315" s="32" t="s">
        <v>552</v>
      </c>
    </row>
    <row r="316" spans="1:30">
      <c r="A316" s="184">
        <v>315</v>
      </c>
      <c r="B316" s="184" t="s">
        <v>1235</v>
      </c>
      <c r="C316" s="184" t="s">
        <v>598</v>
      </c>
      <c r="D316" s="127">
        <v>42867</v>
      </c>
      <c r="E316" s="127" t="s">
        <v>598</v>
      </c>
      <c r="F316" s="184" t="s">
        <v>1236</v>
      </c>
      <c r="G316" s="185">
        <v>0</v>
      </c>
      <c r="H316" s="184" t="s">
        <v>598</v>
      </c>
      <c r="I316" s="184" t="s">
        <v>120</v>
      </c>
      <c r="J316" s="184" t="s">
        <v>84</v>
      </c>
      <c r="K316" s="184" t="s">
        <v>191</v>
      </c>
      <c r="L316" s="184" t="s">
        <v>598</v>
      </c>
      <c r="M316" s="184" t="s">
        <v>598</v>
      </c>
      <c r="N316" s="184" t="s">
        <v>63</v>
      </c>
      <c r="O316" s="184" t="s">
        <v>86</v>
      </c>
      <c r="P316" s="186" t="s">
        <v>607</v>
      </c>
      <c r="Q316" s="184" t="s">
        <v>598</v>
      </c>
      <c r="R316" s="184" t="s">
        <v>598</v>
      </c>
      <c r="S316" s="127" t="s">
        <v>598</v>
      </c>
      <c r="T316" s="184" t="s">
        <v>598</v>
      </c>
      <c r="U316" s="184" t="s">
        <v>598</v>
      </c>
      <c r="V316" s="185">
        <v>0</v>
      </c>
      <c r="W316" s="184" t="s">
        <v>89</v>
      </c>
      <c r="X316" s="184" t="s">
        <v>598</v>
      </c>
      <c r="Y316" s="185">
        <v>0</v>
      </c>
      <c r="Z316" s="184" t="s">
        <v>598</v>
      </c>
      <c r="AA316" s="21" t="s">
        <v>822</v>
      </c>
      <c r="AB316" s="176" t="s">
        <v>489</v>
      </c>
      <c r="AC316" s="172">
        <v>42996.328472222223</v>
      </c>
      <c r="AD316" s="32" t="s">
        <v>552</v>
      </c>
    </row>
    <row r="317" spans="1:30">
      <c r="A317" s="184">
        <v>316</v>
      </c>
      <c r="B317" s="184" t="s">
        <v>1237</v>
      </c>
      <c r="C317" s="184" t="s">
        <v>598</v>
      </c>
      <c r="D317" s="127">
        <v>42867</v>
      </c>
      <c r="E317" s="127" t="s">
        <v>598</v>
      </c>
      <c r="F317" s="184" t="s">
        <v>1238</v>
      </c>
      <c r="G317" s="185">
        <v>0</v>
      </c>
      <c r="H317" s="184" t="s">
        <v>598</v>
      </c>
      <c r="I317" s="184" t="s">
        <v>134</v>
      </c>
      <c r="J317" s="184" t="s">
        <v>84</v>
      </c>
      <c r="K317" s="184" t="s">
        <v>191</v>
      </c>
      <c r="L317" s="184" t="s">
        <v>598</v>
      </c>
      <c r="M317" s="184" t="s">
        <v>598</v>
      </c>
      <c r="N317" s="184" t="s">
        <v>63</v>
      </c>
      <c r="O317" s="184" t="s">
        <v>86</v>
      </c>
      <c r="P317" s="186" t="s">
        <v>73</v>
      </c>
      <c r="Q317" s="184" t="s">
        <v>598</v>
      </c>
      <c r="R317" s="184" t="s">
        <v>598</v>
      </c>
      <c r="S317" s="127">
        <v>42893</v>
      </c>
      <c r="T317" s="184" t="s">
        <v>10</v>
      </c>
      <c r="U317" s="184" t="s">
        <v>598</v>
      </c>
      <c r="V317" s="185">
        <v>4000</v>
      </c>
      <c r="W317" s="184" t="s">
        <v>493</v>
      </c>
      <c r="X317" s="184">
        <v>4034</v>
      </c>
      <c r="Y317" s="185">
        <v>3000</v>
      </c>
      <c r="Z317" s="184" t="s">
        <v>598</v>
      </c>
      <c r="AA317" s="21" t="s">
        <v>610</v>
      </c>
      <c r="AB317" s="176" t="s">
        <v>489</v>
      </c>
      <c r="AC317" s="172">
        <v>42996.328472222223</v>
      </c>
      <c r="AD317" s="32" t="s">
        <v>552</v>
      </c>
    </row>
    <row r="318" spans="1:30">
      <c r="A318" s="184">
        <v>317</v>
      </c>
      <c r="B318" s="184" t="s">
        <v>1239</v>
      </c>
      <c r="C318" s="184" t="s">
        <v>598</v>
      </c>
      <c r="D318" s="127">
        <v>42868</v>
      </c>
      <c r="E318" s="127" t="s">
        <v>598</v>
      </c>
      <c r="F318" s="184" t="s">
        <v>1240</v>
      </c>
      <c r="G318" s="185">
        <v>0</v>
      </c>
      <c r="H318" s="184" t="s">
        <v>598</v>
      </c>
      <c r="I318" s="184" t="s">
        <v>864</v>
      </c>
      <c r="J318" s="184" t="s">
        <v>84</v>
      </c>
      <c r="K318" s="184" t="s">
        <v>598</v>
      </c>
      <c r="L318" s="184" t="s">
        <v>598</v>
      </c>
      <c r="M318" s="184" t="s">
        <v>598</v>
      </c>
      <c r="N318" s="184" t="s">
        <v>63</v>
      </c>
      <c r="O318" s="184" t="s">
        <v>598</v>
      </c>
      <c r="P318" s="186" t="s">
        <v>601</v>
      </c>
      <c r="Q318" s="184" t="s">
        <v>598</v>
      </c>
      <c r="R318" s="184" t="s">
        <v>598</v>
      </c>
      <c r="S318" s="127" t="s">
        <v>598</v>
      </c>
      <c r="T318" s="184" t="s">
        <v>598</v>
      </c>
      <c r="U318" s="184" t="s">
        <v>598</v>
      </c>
      <c r="V318" s="185">
        <v>0</v>
      </c>
      <c r="W318" s="184" t="s">
        <v>33</v>
      </c>
      <c r="X318" s="184" t="s">
        <v>598</v>
      </c>
      <c r="Y318" s="185">
        <v>0</v>
      </c>
      <c r="Z318" s="184" t="s">
        <v>598</v>
      </c>
      <c r="AA318" s="21" t="s">
        <v>822</v>
      </c>
      <c r="AB318" s="176" t="s">
        <v>489</v>
      </c>
      <c r="AC318" s="172">
        <v>42996.328472222223</v>
      </c>
      <c r="AD318" s="32" t="s">
        <v>552</v>
      </c>
    </row>
    <row r="319" spans="1:30">
      <c r="A319" s="184">
        <v>318</v>
      </c>
      <c r="B319" s="184" t="s">
        <v>1241</v>
      </c>
      <c r="C319" s="184" t="s">
        <v>598</v>
      </c>
      <c r="D319" s="127">
        <v>42875</v>
      </c>
      <c r="E319" s="127" t="s">
        <v>598</v>
      </c>
      <c r="F319" s="184" t="s">
        <v>1242</v>
      </c>
      <c r="G319" s="185">
        <v>0</v>
      </c>
      <c r="H319" s="184" t="s">
        <v>598</v>
      </c>
      <c r="I319" s="184" t="s">
        <v>135</v>
      </c>
      <c r="J319" s="184" t="s">
        <v>84</v>
      </c>
      <c r="K319" s="184" t="s">
        <v>195</v>
      </c>
      <c r="L319" s="184" t="s">
        <v>598</v>
      </c>
      <c r="M319" s="184" t="s">
        <v>598</v>
      </c>
      <c r="N319" s="184" t="s">
        <v>63</v>
      </c>
      <c r="O319" s="184" t="s">
        <v>598</v>
      </c>
      <c r="P319" s="186" t="s">
        <v>32</v>
      </c>
      <c r="Q319" s="184" t="s">
        <v>598</v>
      </c>
      <c r="R319" s="184" t="s">
        <v>598</v>
      </c>
      <c r="S319" s="127">
        <v>42903</v>
      </c>
      <c r="T319" s="184" t="s">
        <v>10</v>
      </c>
      <c r="U319" s="184" t="s">
        <v>598</v>
      </c>
      <c r="V319" s="185">
        <v>3500</v>
      </c>
      <c r="W319" s="184" t="s">
        <v>493</v>
      </c>
      <c r="X319" s="184" t="s">
        <v>598</v>
      </c>
      <c r="Y319" s="185">
        <v>0</v>
      </c>
      <c r="Z319" s="184" t="s">
        <v>598</v>
      </c>
      <c r="AA319" s="21" t="s">
        <v>610</v>
      </c>
      <c r="AB319" s="176" t="s">
        <v>489</v>
      </c>
      <c r="AC319" s="172">
        <v>42996.328472222223</v>
      </c>
      <c r="AD319" s="32" t="s">
        <v>552</v>
      </c>
    </row>
    <row r="320" spans="1:30">
      <c r="A320" s="184">
        <v>319</v>
      </c>
      <c r="B320" s="184" t="s">
        <v>1243</v>
      </c>
      <c r="C320" s="184" t="s">
        <v>598</v>
      </c>
      <c r="D320" s="127">
        <v>42877</v>
      </c>
      <c r="E320" s="127" t="s">
        <v>598</v>
      </c>
      <c r="F320" s="184" t="s">
        <v>1244</v>
      </c>
      <c r="G320" s="185">
        <v>7115000</v>
      </c>
      <c r="H320" s="184" t="s">
        <v>598</v>
      </c>
      <c r="I320" s="184" t="s">
        <v>598</v>
      </c>
      <c r="J320" s="184" t="s">
        <v>84</v>
      </c>
      <c r="K320" s="184" t="s">
        <v>191</v>
      </c>
      <c r="L320" s="184" t="s">
        <v>598</v>
      </c>
      <c r="M320" s="184" t="s">
        <v>598</v>
      </c>
      <c r="N320" s="184" t="s">
        <v>63</v>
      </c>
      <c r="O320" s="184" t="s">
        <v>63</v>
      </c>
      <c r="P320" s="186" t="s">
        <v>53</v>
      </c>
      <c r="Q320" s="184" t="s">
        <v>598</v>
      </c>
      <c r="R320" s="184" t="s">
        <v>598</v>
      </c>
      <c r="S320" s="127">
        <v>42891</v>
      </c>
      <c r="T320" s="184" t="s">
        <v>10</v>
      </c>
      <c r="U320" s="184" t="s">
        <v>598</v>
      </c>
      <c r="V320" s="185">
        <v>3500</v>
      </c>
      <c r="W320" s="184" t="s">
        <v>493</v>
      </c>
      <c r="X320" s="184">
        <v>4037</v>
      </c>
      <c r="Y320" s="185">
        <v>4000</v>
      </c>
      <c r="Z320" s="184" t="s">
        <v>598</v>
      </c>
      <c r="AA320" s="21" t="s">
        <v>610</v>
      </c>
      <c r="AB320" s="176" t="s">
        <v>489</v>
      </c>
      <c r="AC320" s="172">
        <v>42996.328472222223</v>
      </c>
      <c r="AD320" s="32" t="s">
        <v>552</v>
      </c>
    </row>
    <row r="321" spans="1:30">
      <c r="A321" s="184">
        <v>320</v>
      </c>
      <c r="B321" s="184" t="s">
        <v>1245</v>
      </c>
      <c r="C321" s="184" t="s">
        <v>598</v>
      </c>
      <c r="D321" s="127">
        <v>42877</v>
      </c>
      <c r="E321" s="127" t="s">
        <v>598</v>
      </c>
      <c r="F321" s="184" t="s">
        <v>1246</v>
      </c>
      <c r="G321" s="185">
        <v>0</v>
      </c>
      <c r="H321" s="184" t="s">
        <v>598</v>
      </c>
      <c r="I321" s="184" t="s">
        <v>598</v>
      </c>
      <c r="J321" s="184" t="s">
        <v>84</v>
      </c>
      <c r="K321" s="184" t="s">
        <v>191</v>
      </c>
      <c r="L321" s="184" t="s">
        <v>598</v>
      </c>
      <c r="M321" s="184" t="s">
        <v>598</v>
      </c>
      <c r="N321" s="184" t="s">
        <v>63</v>
      </c>
      <c r="O321" s="184" t="s">
        <v>63</v>
      </c>
      <c r="P321" s="186" t="s">
        <v>44</v>
      </c>
      <c r="Q321" s="184" t="s">
        <v>598</v>
      </c>
      <c r="R321" s="184" t="s">
        <v>804</v>
      </c>
      <c r="S321" s="127">
        <v>42913</v>
      </c>
      <c r="T321" s="184" t="s">
        <v>10</v>
      </c>
      <c r="U321" s="184" t="s">
        <v>598</v>
      </c>
      <c r="V321" s="185">
        <v>4000</v>
      </c>
      <c r="W321" s="184" t="s">
        <v>493</v>
      </c>
      <c r="X321" s="184" t="s">
        <v>598</v>
      </c>
      <c r="Y321" s="185">
        <v>0</v>
      </c>
      <c r="Z321" s="184" t="s">
        <v>598</v>
      </c>
      <c r="AA321" s="21" t="s">
        <v>610</v>
      </c>
      <c r="AB321" s="176" t="s">
        <v>489</v>
      </c>
      <c r="AC321" s="172">
        <v>42996.328472222223</v>
      </c>
      <c r="AD321" s="32" t="s">
        <v>552</v>
      </c>
    </row>
    <row r="322" spans="1:30">
      <c r="A322" s="184">
        <v>321</v>
      </c>
      <c r="B322" s="184" t="s">
        <v>1247</v>
      </c>
      <c r="C322" s="184" t="s">
        <v>598</v>
      </c>
      <c r="D322" s="127">
        <v>42877</v>
      </c>
      <c r="E322" s="127" t="s">
        <v>598</v>
      </c>
      <c r="F322" s="184" t="s">
        <v>1248</v>
      </c>
      <c r="G322" s="185">
        <v>7214000</v>
      </c>
      <c r="H322" s="184" t="s">
        <v>598</v>
      </c>
      <c r="I322" s="184" t="s">
        <v>598</v>
      </c>
      <c r="J322" s="184" t="s">
        <v>84</v>
      </c>
      <c r="K322" s="184" t="s">
        <v>221</v>
      </c>
      <c r="L322" s="184" t="s">
        <v>598</v>
      </c>
      <c r="M322" s="184" t="s">
        <v>598</v>
      </c>
      <c r="N322" s="184" t="s">
        <v>63</v>
      </c>
      <c r="O322" s="184" t="s">
        <v>598</v>
      </c>
      <c r="P322" s="186" t="s">
        <v>67</v>
      </c>
      <c r="Q322" s="184" t="s">
        <v>598</v>
      </c>
      <c r="R322" s="184" t="s">
        <v>598</v>
      </c>
      <c r="S322" s="127" t="s">
        <v>598</v>
      </c>
      <c r="T322" s="184" t="s">
        <v>598</v>
      </c>
      <c r="U322" s="184" t="s">
        <v>598</v>
      </c>
      <c r="V322" s="185">
        <v>0</v>
      </c>
      <c r="W322" s="184" t="s">
        <v>485</v>
      </c>
      <c r="X322" s="184">
        <v>4039</v>
      </c>
      <c r="Y322" s="185">
        <v>6000</v>
      </c>
      <c r="Z322" s="184" t="s">
        <v>598</v>
      </c>
      <c r="AA322" s="21" t="s">
        <v>610</v>
      </c>
      <c r="AB322" s="176" t="s">
        <v>489</v>
      </c>
      <c r="AC322" s="172">
        <v>42996.328472222223</v>
      </c>
      <c r="AD322" s="32" t="s">
        <v>552</v>
      </c>
    </row>
    <row r="323" spans="1:30">
      <c r="A323" s="184">
        <v>322</v>
      </c>
      <c r="B323" s="184" t="s">
        <v>1249</v>
      </c>
      <c r="C323" s="184" t="s">
        <v>598</v>
      </c>
      <c r="D323" s="127">
        <v>42878</v>
      </c>
      <c r="E323" s="127" t="s">
        <v>598</v>
      </c>
      <c r="F323" s="184" t="s">
        <v>1250</v>
      </c>
      <c r="G323" s="185">
        <v>6795000</v>
      </c>
      <c r="H323" s="184" t="s">
        <v>598</v>
      </c>
      <c r="I323" s="184" t="s">
        <v>598</v>
      </c>
      <c r="J323" s="184" t="s">
        <v>84</v>
      </c>
      <c r="K323" s="184" t="s">
        <v>357</v>
      </c>
      <c r="L323" s="184" t="s">
        <v>598</v>
      </c>
      <c r="M323" s="184" t="s">
        <v>598</v>
      </c>
      <c r="N323" s="184" t="s">
        <v>63</v>
      </c>
      <c r="O323" s="184" t="s">
        <v>598</v>
      </c>
      <c r="P323" s="186" t="s">
        <v>602</v>
      </c>
      <c r="Q323" s="184" t="s">
        <v>598</v>
      </c>
      <c r="R323" s="184" t="s">
        <v>598</v>
      </c>
      <c r="S323" s="127" t="s">
        <v>598</v>
      </c>
      <c r="T323" s="184" t="s">
        <v>598</v>
      </c>
      <c r="U323" s="184" t="s">
        <v>598</v>
      </c>
      <c r="V323" s="185">
        <v>0</v>
      </c>
      <c r="W323" s="184" t="s">
        <v>485</v>
      </c>
      <c r="X323" s="184" t="s">
        <v>598</v>
      </c>
      <c r="Y323" s="185">
        <v>0</v>
      </c>
      <c r="Z323" s="184" t="s">
        <v>1251</v>
      </c>
      <c r="AA323" s="21" t="s">
        <v>610</v>
      </c>
      <c r="AB323" s="176" t="s">
        <v>489</v>
      </c>
      <c r="AC323" s="172">
        <v>42996.328472222223</v>
      </c>
      <c r="AD323" s="32" t="s">
        <v>552</v>
      </c>
    </row>
    <row r="324" spans="1:30">
      <c r="A324" s="184">
        <v>323</v>
      </c>
      <c r="B324" s="184" t="s">
        <v>1252</v>
      </c>
      <c r="C324" s="184" t="s">
        <v>598</v>
      </c>
      <c r="D324" s="127">
        <v>42879</v>
      </c>
      <c r="E324" s="127" t="s">
        <v>598</v>
      </c>
      <c r="F324" s="184" t="s">
        <v>1253</v>
      </c>
      <c r="G324" s="185">
        <v>5219000</v>
      </c>
      <c r="H324" s="184" t="s">
        <v>598</v>
      </c>
      <c r="I324" s="184" t="s">
        <v>134</v>
      </c>
      <c r="J324" s="184" t="s">
        <v>84</v>
      </c>
      <c r="K324" s="184" t="s">
        <v>358</v>
      </c>
      <c r="L324" s="184" t="s">
        <v>598</v>
      </c>
      <c r="M324" s="184" t="s">
        <v>598</v>
      </c>
      <c r="N324" s="184" t="s">
        <v>63</v>
      </c>
      <c r="O324" s="184" t="s">
        <v>63</v>
      </c>
      <c r="P324" s="186" t="s">
        <v>603</v>
      </c>
      <c r="Q324" s="184" t="s">
        <v>598</v>
      </c>
      <c r="R324" s="184" t="s">
        <v>598</v>
      </c>
      <c r="S324" s="127" t="s">
        <v>598</v>
      </c>
      <c r="T324" s="184" t="s">
        <v>598</v>
      </c>
      <c r="U324" s="184" t="s">
        <v>598</v>
      </c>
      <c r="V324" s="185">
        <v>0</v>
      </c>
      <c r="W324" s="184" t="s">
        <v>485</v>
      </c>
      <c r="X324" s="184">
        <v>4041</v>
      </c>
      <c r="Y324" s="185">
        <v>5000</v>
      </c>
      <c r="Z324" s="184" t="s">
        <v>598</v>
      </c>
      <c r="AA324" s="21" t="s">
        <v>610</v>
      </c>
      <c r="AB324" s="176" t="s">
        <v>489</v>
      </c>
      <c r="AC324" s="172">
        <v>42996.328472222223</v>
      </c>
      <c r="AD324" s="32" t="s">
        <v>552</v>
      </c>
    </row>
    <row r="325" spans="1:30">
      <c r="A325" s="184">
        <v>324</v>
      </c>
      <c r="B325" s="184" t="s">
        <v>1254</v>
      </c>
      <c r="C325" s="184" t="s">
        <v>598</v>
      </c>
      <c r="D325" s="127">
        <v>42879</v>
      </c>
      <c r="E325" s="127" t="s">
        <v>598</v>
      </c>
      <c r="F325" s="184" t="s">
        <v>1255</v>
      </c>
      <c r="G325" s="185">
        <v>1998000</v>
      </c>
      <c r="H325" s="184" t="s">
        <v>598</v>
      </c>
      <c r="I325" s="184" t="s">
        <v>598</v>
      </c>
      <c r="J325" s="184" t="s">
        <v>84</v>
      </c>
      <c r="K325" s="184" t="s">
        <v>358</v>
      </c>
      <c r="L325" s="184" t="s">
        <v>598</v>
      </c>
      <c r="M325" s="184" t="s">
        <v>598</v>
      </c>
      <c r="N325" s="184" t="s">
        <v>63</v>
      </c>
      <c r="O325" s="184" t="s">
        <v>63</v>
      </c>
      <c r="P325" s="186" t="s">
        <v>604</v>
      </c>
      <c r="Q325" s="184" t="s">
        <v>598</v>
      </c>
      <c r="R325" s="184" t="s">
        <v>598</v>
      </c>
      <c r="S325" s="127" t="s">
        <v>598</v>
      </c>
      <c r="T325" s="184" t="s">
        <v>598</v>
      </c>
      <c r="U325" s="184" t="s">
        <v>598</v>
      </c>
      <c r="V325" s="185">
        <v>0</v>
      </c>
      <c r="W325" s="184" t="s">
        <v>485</v>
      </c>
      <c r="X325" s="184">
        <v>4038</v>
      </c>
      <c r="Y325" s="185">
        <v>3000</v>
      </c>
      <c r="Z325" s="184" t="s">
        <v>598</v>
      </c>
      <c r="AA325" s="21" t="s">
        <v>610</v>
      </c>
      <c r="AB325" s="176" t="s">
        <v>489</v>
      </c>
      <c r="AC325" s="172">
        <v>42996.328472222223</v>
      </c>
      <c r="AD325" s="32" t="s">
        <v>552</v>
      </c>
    </row>
    <row r="326" spans="1:30">
      <c r="A326" s="184">
        <v>325</v>
      </c>
      <c r="B326" s="184" t="s">
        <v>1256</v>
      </c>
      <c r="C326" s="184" t="s">
        <v>598</v>
      </c>
      <c r="D326" s="127">
        <v>42880</v>
      </c>
      <c r="E326" s="127" t="s">
        <v>598</v>
      </c>
      <c r="F326" s="184" t="s">
        <v>1257</v>
      </c>
      <c r="G326" s="185">
        <v>0</v>
      </c>
      <c r="H326" s="184" t="s">
        <v>598</v>
      </c>
      <c r="I326" s="184" t="s">
        <v>132</v>
      </c>
      <c r="J326" s="184" t="s">
        <v>84</v>
      </c>
      <c r="K326" s="184" t="s">
        <v>195</v>
      </c>
      <c r="L326" s="184" t="s">
        <v>598</v>
      </c>
      <c r="M326" s="184" t="s">
        <v>598</v>
      </c>
      <c r="N326" s="184" t="s">
        <v>63</v>
      </c>
      <c r="O326" s="184" t="s">
        <v>63</v>
      </c>
      <c r="P326" s="186" t="s">
        <v>605</v>
      </c>
      <c r="Q326" s="184" t="s">
        <v>598</v>
      </c>
      <c r="R326" s="184" t="s">
        <v>598</v>
      </c>
      <c r="S326" s="127">
        <v>42892</v>
      </c>
      <c r="T326" s="184" t="s">
        <v>10</v>
      </c>
      <c r="U326" s="184" t="s">
        <v>598</v>
      </c>
      <c r="V326" s="185">
        <v>5000</v>
      </c>
      <c r="W326" s="184" t="s">
        <v>493</v>
      </c>
      <c r="X326" s="184">
        <v>4042</v>
      </c>
      <c r="Y326" s="185">
        <v>5000</v>
      </c>
      <c r="Z326" s="184" t="s">
        <v>598</v>
      </c>
      <c r="AA326" s="21" t="s">
        <v>610</v>
      </c>
      <c r="AB326" s="176" t="s">
        <v>489</v>
      </c>
      <c r="AC326" s="172">
        <v>42996.328472222223</v>
      </c>
      <c r="AD326" s="32" t="s">
        <v>552</v>
      </c>
    </row>
    <row r="327" spans="1:30">
      <c r="A327" s="184">
        <v>326</v>
      </c>
      <c r="B327" s="184" t="s">
        <v>1258</v>
      </c>
      <c r="C327" s="184" t="s">
        <v>598</v>
      </c>
      <c r="D327" s="127">
        <v>42880</v>
      </c>
      <c r="E327" s="127" t="s">
        <v>598</v>
      </c>
      <c r="F327" s="184" t="s">
        <v>1259</v>
      </c>
      <c r="G327" s="185">
        <v>0</v>
      </c>
      <c r="H327" s="184" t="s">
        <v>598</v>
      </c>
      <c r="I327" s="184" t="s">
        <v>120</v>
      </c>
      <c r="J327" s="184" t="s">
        <v>84</v>
      </c>
      <c r="K327" s="184" t="s">
        <v>195</v>
      </c>
      <c r="L327" s="184" t="s">
        <v>598</v>
      </c>
      <c r="M327" s="184" t="s">
        <v>598</v>
      </c>
      <c r="N327" s="184" t="s">
        <v>63</v>
      </c>
      <c r="O327" s="184" t="s">
        <v>63</v>
      </c>
      <c r="P327" s="186" t="s">
        <v>606</v>
      </c>
      <c r="Q327" s="184" t="s">
        <v>598</v>
      </c>
      <c r="R327" s="184" t="s">
        <v>598</v>
      </c>
      <c r="S327" s="127">
        <v>42895</v>
      </c>
      <c r="T327" s="184" t="s">
        <v>10</v>
      </c>
      <c r="U327" s="184" t="s">
        <v>598</v>
      </c>
      <c r="V327" s="185">
        <v>3000</v>
      </c>
      <c r="W327" s="184" t="s">
        <v>493</v>
      </c>
      <c r="X327" s="184">
        <v>4043</v>
      </c>
      <c r="Y327" s="185">
        <v>3000</v>
      </c>
      <c r="Z327" s="184" t="s">
        <v>598</v>
      </c>
      <c r="AA327" s="21" t="s">
        <v>610</v>
      </c>
      <c r="AB327" s="176" t="s">
        <v>489</v>
      </c>
      <c r="AC327" s="172">
        <v>42996.328472222223</v>
      </c>
      <c r="AD327" s="32" t="s">
        <v>552</v>
      </c>
    </row>
    <row r="328" spans="1:30">
      <c r="A328" s="184">
        <v>327</v>
      </c>
      <c r="B328" s="184" t="s">
        <v>1260</v>
      </c>
      <c r="C328" s="184" t="s">
        <v>598</v>
      </c>
      <c r="D328" s="127">
        <v>42881</v>
      </c>
      <c r="E328" s="127" t="s">
        <v>598</v>
      </c>
      <c r="F328" s="184" t="s">
        <v>1261</v>
      </c>
      <c r="G328" s="185">
        <v>0</v>
      </c>
      <c r="H328" s="184" t="s">
        <v>598</v>
      </c>
      <c r="I328" s="184" t="s">
        <v>598</v>
      </c>
      <c r="J328" s="184" t="s">
        <v>84</v>
      </c>
      <c r="K328" s="184" t="s">
        <v>1262</v>
      </c>
      <c r="L328" s="184" t="s">
        <v>598</v>
      </c>
      <c r="M328" s="184" t="s">
        <v>598</v>
      </c>
      <c r="N328" s="184" t="s">
        <v>63</v>
      </c>
      <c r="O328" s="184" t="s">
        <v>63</v>
      </c>
      <c r="P328" s="186" t="s">
        <v>607</v>
      </c>
      <c r="Q328" s="184" t="s">
        <v>598</v>
      </c>
      <c r="R328" s="184" t="s">
        <v>804</v>
      </c>
      <c r="S328" s="127">
        <v>42894</v>
      </c>
      <c r="T328" s="184" t="s">
        <v>34</v>
      </c>
      <c r="U328" s="184" t="s">
        <v>598</v>
      </c>
      <c r="V328" s="185">
        <v>2000</v>
      </c>
      <c r="W328" s="184" t="s">
        <v>493</v>
      </c>
      <c r="X328" s="184" t="s">
        <v>598</v>
      </c>
      <c r="Y328" s="185">
        <v>0</v>
      </c>
      <c r="Z328" s="184" t="s">
        <v>598</v>
      </c>
      <c r="AA328" s="21" t="s">
        <v>610</v>
      </c>
      <c r="AB328" s="176" t="s">
        <v>489</v>
      </c>
      <c r="AC328" s="172">
        <v>42996.328472222223</v>
      </c>
      <c r="AD328" s="32" t="s">
        <v>552</v>
      </c>
    </row>
    <row r="329" spans="1:30">
      <c r="A329" s="184">
        <v>328</v>
      </c>
      <c r="B329" s="184" t="s">
        <v>1263</v>
      </c>
      <c r="C329" s="184" t="s">
        <v>598</v>
      </c>
      <c r="D329" s="127">
        <v>42881</v>
      </c>
      <c r="E329" s="127" t="s">
        <v>598</v>
      </c>
      <c r="F329" s="184" t="s">
        <v>1264</v>
      </c>
      <c r="G329" s="185">
        <v>0</v>
      </c>
      <c r="H329" s="184" t="s">
        <v>598</v>
      </c>
      <c r="I329" s="184" t="s">
        <v>134</v>
      </c>
      <c r="J329" s="184" t="s">
        <v>84</v>
      </c>
      <c r="K329" s="184" t="s">
        <v>1265</v>
      </c>
      <c r="L329" s="184" t="s">
        <v>598</v>
      </c>
      <c r="M329" s="184" t="s">
        <v>598</v>
      </c>
      <c r="N329" s="184" t="s">
        <v>63</v>
      </c>
      <c r="O329" s="184" t="s">
        <v>598</v>
      </c>
      <c r="P329" s="186" t="s">
        <v>73</v>
      </c>
      <c r="Q329" s="184" t="s">
        <v>598</v>
      </c>
      <c r="R329" s="184" t="s">
        <v>804</v>
      </c>
      <c r="S329" s="127">
        <v>42891</v>
      </c>
      <c r="T329" s="184" t="s">
        <v>10</v>
      </c>
      <c r="U329" s="184" t="s">
        <v>598</v>
      </c>
      <c r="V329" s="185">
        <v>3000</v>
      </c>
      <c r="W329" s="184" t="s">
        <v>493</v>
      </c>
      <c r="X329" s="184" t="s">
        <v>598</v>
      </c>
      <c r="Y329" s="185">
        <v>0</v>
      </c>
      <c r="Z329" s="184" t="s">
        <v>598</v>
      </c>
      <c r="AA329" s="21" t="s">
        <v>610</v>
      </c>
      <c r="AB329" s="176" t="s">
        <v>489</v>
      </c>
      <c r="AC329" s="172">
        <v>42996.328472222223</v>
      </c>
      <c r="AD329" s="32" t="s">
        <v>552</v>
      </c>
    </row>
    <row r="330" spans="1:30">
      <c r="A330" s="184">
        <v>329</v>
      </c>
      <c r="B330" s="184" t="s">
        <v>1266</v>
      </c>
      <c r="C330" s="184" t="s">
        <v>598</v>
      </c>
      <c r="D330" s="127">
        <v>42884</v>
      </c>
      <c r="E330" s="127" t="s">
        <v>598</v>
      </c>
      <c r="F330" s="184" t="s">
        <v>1267</v>
      </c>
      <c r="G330" s="185">
        <v>0</v>
      </c>
      <c r="H330" s="184" t="s">
        <v>598</v>
      </c>
      <c r="I330" s="184" t="s">
        <v>598</v>
      </c>
      <c r="J330" s="184" t="s">
        <v>84</v>
      </c>
      <c r="K330" s="184" t="s">
        <v>225</v>
      </c>
      <c r="L330" s="184" t="s">
        <v>598</v>
      </c>
      <c r="M330" s="184" t="s">
        <v>598</v>
      </c>
      <c r="N330" s="184" t="s">
        <v>63</v>
      </c>
      <c r="O330" s="184" t="s">
        <v>598</v>
      </c>
      <c r="P330" s="186" t="s">
        <v>601</v>
      </c>
      <c r="Q330" s="184" t="s">
        <v>598</v>
      </c>
      <c r="R330" s="184" t="s">
        <v>804</v>
      </c>
      <c r="S330" s="127" t="s">
        <v>598</v>
      </c>
      <c r="T330" s="184" t="s">
        <v>598</v>
      </c>
      <c r="U330" s="184" t="s">
        <v>598</v>
      </c>
      <c r="V330" s="185">
        <v>0</v>
      </c>
      <c r="W330" s="184" t="s">
        <v>89</v>
      </c>
      <c r="X330" s="184" t="s">
        <v>598</v>
      </c>
      <c r="Y330" s="185">
        <v>0</v>
      </c>
      <c r="Z330" s="184" t="s">
        <v>598</v>
      </c>
      <c r="AA330" s="21" t="s">
        <v>822</v>
      </c>
      <c r="AB330" s="176" t="s">
        <v>489</v>
      </c>
      <c r="AC330" s="172">
        <v>42996.328472222223</v>
      </c>
      <c r="AD330" s="32" t="s">
        <v>552</v>
      </c>
    </row>
    <row r="331" spans="1:30">
      <c r="A331" s="184">
        <v>330</v>
      </c>
      <c r="B331" s="184" t="s">
        <v>1268</v>
      </c>
      <c r="C331" s="184" t="s">
        <v>598</v>
      </c>
      <c r="D331" s="127">
        <v>42884</v>
      </c>
      <c r="E331" s="127" t="s">
        <v>598</v>
      </c>
      <c r="F331" s="184" t="s">
        <v>1269</v>
      </c>
      <c r="G331" s="185">
        <v>0</v>
      </c>
      <c r="H331" s="184" t="s">
        <v>598</v>
      </c>
      <c r="I331" s="184" t="s">
        <v>598</v>
      </c>
      <c r="J331" s="184" t="s">
        <v>119</v>
      </c>
      <c r="K331" s="184" t="s">
        <v>241</v>
      </c>
      <c r="L331" s="184" t="s">
        <v>598</v>
      </c>
      <c r="M331" s="184" t="s">
        <v>598</v>
      </c>
      <c r="N331" s="184" t="s">
        <v>63</v>
      </c>
      <c r="O331" s="184" t="s">
        <v>598</v>
      </c>
      <c r="P331" s="186" t="s">
        <v>32</v>
      </c>
      <c r="Q331" s="184" t="s">
        <v>598</v>
      </c>
      <c r="R331" s="184" t="s">
        <v>598</v>
      </c>
      <c r="S331" s="127">
        <v>42913</v>
      </c>
      <c r="T331" s="184" t="s">
        <v>34</v>
      </c>
      <c r="U331" s="184" t="s">
        <v>598</v>
      </c>
      <c r="V331" s="185">
        <v>12000</v>
      </c>
      <c r="W331" s="184" t="s">
        <v>493</v>
      </c>
      <c r="X331" s="184">
        <v>4050</v>
      </c>
      <c r="Y331" s="185">
        <v>12000</v>
      </c>
      <c r="Z331" s="184" t="s">
        <v>598</v>
      </c>
      <c r="AA331" s="21" t="s">
        <v>610</v>
      </c>
      <c r="AB331" s="176" t="s">
        <v>489</v>
      </c>
      <c r="AC331" s="172">
        <v>42996.328472222223</v>
      </c>
      <c r="AD331" s="32" t="s">
        <v>552</v>
      </c>
    </row>
    <row r="332" spans="1:30">
      <c r="A332" s="184">
        <v>331</v>
      </c>
      <c r="B332" s="184" t="s">
        <v>1270</v>
      </c>
      <c r="C332" s="184" t="s">
        <v>598</v>
      </c>
      <c r="D332" s="127">
        <v>42881</v>
      </c>
      <c r="E332" s="127" t="s">
        <v>598</v>
      </c>
      <c r="F332" s="184" t="s">
        <v>1271</v>
      </c>
      <c r="G332" s="185">
        <v>0</v>
      </c>
      <c r="H332" s="184" t="s">
        <v>598</v>
      </c>
      <c r="I332" s="184" t="s">
        <v>598</v>
      </c>
      <c r="J332" s="184" t="s">
        <v>84</v>
      </c>
      <c r="K332" s="184" t="s">
        <v>1262</v>
      </c>
      <c r="L332" s="184" t="s">
        <v>598</v>
      </c>
      <c r="M332" s="184" t="s">
        <v>598</v>
      </c>
      <c r="N332" s="184" t="s">
        <v>63</v>
      </c>
      <c r="O332" s="184" t="s">
        <v>86</v>
      </c>
      <c r="P332" s="186" t="s">
        <v>53</v>
      </c>
      <c r="Q332" s="184" t="s">
        <v>598</v>
      </c>
      <c r="R332" s="184" t="s">
        <v>598</v>
      </c>
      <c r="S332" s="127">
        <v>42888</v>
      </c>
      <c r="T332" s="184" t="s">
        <v>10</v>
      </c>
      <c r="U332" s="184" t="s">
        <v>598</v>
      </c>
      <c r="V332" s="185">
        <v>3000</v>
      </c>
      <c r="W332" s="184" t="s">
        <v>493</v>
      </c>
      <c r="X332" s="184" t="s">
        <v>598</v>
      </c>
      <c r="Y332" s="185">
        <v>0</v>
      </c>
      <c r="Z332" s="184" t="s">
        <v>598</v>
      </c>
      <c r="AA332" s="21" t="s">
        <v>610</v>
      </c>
      <c r="AB332" s="176" t="s">
        <v>489</v>
      </c>
      <c r="AC332" s="172">
        <v>42996.328472222223</v>
      </c>
      <c r="AD332" s="32" t="s">
        <v>552</v>
      </c>
    </row>
    <row r="333" spans="1:30">
      <c r="A333" s="184">
        <v>332</v>
      </c>
      <c r="B333" s="184" t="s">
        <v>1272</v>
      </c>
      <c r="C333" s="184" t="s">
        <v>598</v>
      </c>
      <c r="D333" s="127">
        <v>42885</v>
      </c>
      <c r="E333" s="127" t="s">
        <v>598</v>
      </c>
      <c r="F333" s="184" t="s">
        <v>1273</v>
      </c>
      <c r="G333" s="185">
        <v>0</v>
      </c>
      <c r="H333" s="184" t="s">
        <v>598</v>
      </c>
      <c r="I333" s="184" t="s">
        <v>598</v>
      </c>
      <c r="J333" s="184" t="s">
        <v>84</v>
      </c>
      <c r="K333" s="184" t="s">
        <v>1274</v>
      </c>
      <c r="L333" s="184" t="s">
        <v>598</v>
      </c>
      <c r="M333" s="184" t="s">
        <v>598</v>
      </c>
      <c r="N333" s="184" t="s">
        <v>63</v>
      </c>
      <c r="O333" s="184" t="s">
        <v>63</v>
      </c>
      <c r="P333" s="186" t="s">
        <v>44</v>
      </c>
      <c r="Q333" s="184" t="s">
        <v>598</v>
      </c>
      <c r="R333" s="184" t="s">
        <v>598</v>
      </c>
      <c r="S333" s="127" t="s">
        <v>598</v>
      </c>
      <c r="T333" s="184" t="s">
        <v>598</v>
      </c>
      <c r="U333" s="184" t="s">
        <v>598</v>
      </c>
      <c r="V333" s="185">
        <v>0</v>
      </c>
      <c r="W333" s="184" t="s">
        <v>33</v>
      </c>
      <c r="X333" s="184" t="s">
        <v>598</v>
      </c>
      <c r="Y333" s="185">
        <v>0</v>
      </c>
      <c r="Z333" s="184" t="s">
        <v>598</v>
      </c>
      <c r="AA333" s="21" t="s">
        <v>822</v>
      </c>
      <c r="AB333" s="176" t="s">
        <v>489</v>
      </c>
      <c r="AC333" s="172">
        <v>42996.328472222223</v>
      </c>
      <c r="AD333" s="32" t="s">
        <v>552</v>
      </c>
    </row>
    <row r="334" spans="1:30">
      <c r="A334" s="184">
        <v>333</v>
      </c>
      <c r="B334" s="184" t="s">
        <v>1275</v>
      </c>
      <c r="C334" s="184" t="s">
        <v>598</v>
      </c>
      <c r="D334" s="127">
        <v>42885</v>
      </c>
      <c r="E334" s="127" t="s">
        <v>598</v>
      </c>
      <c r="F334" s="184" t="s">
        <v>1276</v>
      </c>
      <c r="G334" s="185">
        <v>0</v>
      </c>
      <c r="H334" s="184" t="s">
        <v>598</v>
      </c>
      <c r="I334" s="184" t="s">
        <v>598</v>
      </c>
      <c r="J334" s="184" t="s">
        <v>84</v>
      </c>
      <c r="K334" s="184" t="s">
        <v>242</v>
      </c>
      <c r="L334" s="184" t="s">
        <v>598</v>
      </c>
      <c r="M334" s="184" t="s">
        <v>598</v>
      </c>
      <c r="N334" s="184" t="s">
        <v>63</v>
      </c>
      <c r="O334" s="184" t="s">
        <v>86</v>
      </c>
      <c r="P334" s="186" t="s">
        <v>67</v>
      </c>
      <c r="Q334" s="184" t="s">
        <v>598</v>
      </c>
      <c r="R334" s="184" t="s">
        <v>804</v>
      </c>
      <c r="S334" s="127">
        <v>42892</v>
      </c>
      <c r="T334" s="184" t="s">
        <v>34</v>
      </c>
      <c r="U334" s="184" t="s">
        <v>598</v>
      </c>
      <c r="V334" s="185">
        <v>3500</v>
      </c>
      <c r="W334" s="184" t="s">
        <v>493</v>
      </c>
      <c r="X334" s="184" t="s">
        <v>598</v>
      </c>
      <c r="Y334" s="185">
        <v>0</v>
      </c>
      <c r="Z334" s="184" t="s">
        <v>598</v>
      </c>
      <c r="AA334" s="21" t="s">
        <v>610</v>
      </c>
      <c r="AB334" s="176" t="s">
        <v>489</v>
      </c>
      <c r="AC334" s="172">
        <v>42996.328472222223</v>
      </c>
      <c r="AD334" s="32" t="s">
        <v>552</v>
      </c>
    </row>
    <row r="335" spans="1:30">
      <c r="A335" s="184">
        <v>334</v>
      </c>
      <c r="B335" s="184" t="s">
        <v>1277</v>
      </c>
      <c r="C335" s="184" t="s">
        <v>598</v>
      </c>
      <c r="D335" s="127">
        <v>42885</v>
      </c>
      <c r="E335" s="127" t="s">
        <v>598</v>
      </c>
      <c r="F335" s="184" t="s">
        <v>1278</v>
      </c>
      <c r="G335" s="185">
        <v>0</v>
      </c>
      <c r="H335" s="184" t="s">
        <v>598</v>
      </c>
      <c r="I335" s="184" t="s">
        <v>598</v>
      </c>
      <c r="J335" s="184" t="s">
        <v>111</v>
      </c>
      <c r="K335" s="184" t="s">
        <v>243</v>
      </c>
      <c r="L335" s="184" t="s">
        <v>598</v>
      </c>
      <c r="M335" s="184" t="s">
        <v>598</v>
      </c>
      <c r="N335" s="184" t="s">
        <v>63</v>
      </c>
      <c r="O335" s="184" t="s">
        <v>86</v>
      </c>
      <c r="P335" s="186" t="s">
        <v>602</v>
      </c>
      <c r="Q335" s="184" t="s">
        <v>598</v>
      </c>
      <c r="R335" s="184" t="s">
        <v>598</v>
      </c>
      <c r="S335" s="127">
        <v>42893</v>
      </c>
      <c r="T335" s="184" t="s">
        <v>10</v>
      </c>
      <c r="U335" s="184" t="s">
        <v>598</v>
      </c>
      <c r="V335" s="185">
        <v>3500</v>
      </c>
      <c r="W335" s="184" t="s">
        <v>493</v>
      </c>
      <c r="X335" s="184" t="s">
        <v>598</v>
      </c>
      <c r="Y335" s="185">
        <v>0</v>
      </c>
      <c r="Z335" s="184" t="s">
        <v>598</v>
      </c>
      <c r="AA335" s="21" t="s">
        <v>610</v>
      </c>
      <c r="AB335" s="176" t="s">
        <v>489</v>
      </c>
      <c r="AC335" s="172">
        <v>42996.328472222223</v>
      </c>
      <c r="AD335" s="32" t="s">
        <v>552</v>
      </c>
    </row>
    <row r="336" spans="1:30">
      <c r="A336" s="184">
        <v>335</v>
      </c>
      <c r="B336" s="184" t="s">
        <v>1279</v>
      </c>
      <c r="C336" s="184" t="s">
        <v>598</v>
      </c>
      <c r="D336" s="127">
        <v>42885</v>
      </c>
      <c r="E336" s="127" t="s">
        <v>598</v>
      </c>
      <c r="F336" s="184" t="s">
        <v>1280</v>
      </c>
      <c r="G336" s="185">
        <v>0</v>
      </c>
      <c r="H336" s="184" t="s">
        <v>598</v>
      </c>
      <c r="I336" s="184" t="s">
        <v>598</v>
      </c>
      <c r="J336" s="184" t="s">
        <v>84</v>
      </c>
      <c r="K336" s="184" t="s">
        <v>189</v>
      </c>
      <c r="L336" s="184" t="s">
        <v>598</v>
      </c>
      <c r="M336" s="184" t="s">
        <v>598</v>
      </c>
      <c r="N336" s="184" t="s">
        <v>63</v>
      </c>
      <c r="O336" s="184" t="s">
        <v>86</v>
      </c>
      <c r="P336" s="186" t="s">
        <v>603</v>
      </c>
      <c r="Q336" s="184" t="s">
        <v>598</v>
      </c>
      <c r="R336" s="184" t="s">
        <v>598</v>
      </c>
      <c r="S336" s="127" t="s">
        <v>598</v>
      </c>
      <c r="T336" s="184" t="s">
        <v>598</v>
      </c>
      <c r="U336" s="184" t="s">
        <v>598</v>
      </c>
      <c r="V336" s="185">
        <v>0</v>
      </c>
      <c r="W336" s="184" t="s">
        <v>485</v>
      </c>
      <c r="X336" s="184">
        <v>4046</v>
      </c>
      <c r="Y336" s="185">
        <v>5000</v>
      </c>
      <c r="Z336" s="184" t="s">
        <v>598</v>
      </c>
      <c r="AA336" s="21" t="s">
        <v>610</v>
      </c>
      <c r="AB336" s="176" t="s">
        <v>489</v>
      </c>
      <c r="AC336" s="172">
        <v>42996.328472222223</v>
      </c>
      <c r="AD336" s="32" t="s">
        <v>552</v>
      </c>
    </row>
    <row r="337" spans="1:30">
      <c r="A337" s="184">
        <v>336</v>
      </c>
      <c r="B337" s="184" t="s">
        <v>1281</v>
      </c>
      <c r="C337" s="184" t="s">
        <v>598</v>
      </c>
      <c r="D337" s="127">
        <v>42885</v>
      </c>
      <c r="E337" s="127" t="s">
        <v>598</v>
      </c>
      <c r="F337" s="184" t="s">
        <v>1282</v>
      </c>
      <c r="G337" s="185">
        <v>0</v>
      </c>
      <c r="H337" s="184" t="s">
        <v>598</v>
      </c>
      <c r="I337" s="184" t="s">
        <v>598</v>
      </c>
      <c r="J337" s="184" t="s">
        <v>84</v>
      </c>
      <c r="K337" s="184" t="s">
        <v>598</v>
      </c>
      <c r="L337" s="184" t="s">
        <v>598</v>
      </c>
      <c r="M337" s="184" t="s">
        <v>598</v>
      </c>
      <c r="N337" s="184" t="s">
        <v>63</v>
      </c>
      <c r="O337" s="184" t="s">
        <v>63</v>
      </c>
      <c r="P337" s="186" t="s">
        <v>604</v>
      </c>
      <c r="Q337" s="184" t="s">
        <v>598</v>
      </c>
      <c r="R337" s="184" t="s">
        <v>598</v>
      </c>
      <c r="S337" s="127" t="s">
        <v>598</v>
      </c>
      <c r="T337" s="184" t="s">
        <v>598</v>
      </c>
      <c r="U337" s="184" t="s">
        <v>598</v>
      </c>
      <c r="V337" s="185">
        <v>0</v>
      </c>
      <c r="W337" s="184" t="s">
        <v>89</v>
      </c>
      <c r="X337" s="184" t="s">
        <v>598</v>
      </c>
      <c r="Y337" s="185">
        <v>0</v>
      </c>
      <c r="Z337" s="184" t="s">
        <v>598</v>
      </c>
      <c r="AA337" s="21" t="s">
        <v>822</v>
      </c>
      <c r="AB337" s="176" t="s">
        <v>489</v>
      </c>
      <c r="AC337" s="172">
        <v>42996.328472222223</v>
      </c>
      <c r="AD337" s="32" t="s">
        <v>552</v>
      </c>
    </row>
    <row r="338" spans="1:30">
      <c r="A338" s="184">
        <v>337</v>
      </c>
      <c r="B338" s="184" t="s">
        <v>1283</v>
      </c>
      <c r="C338" s="184" t="s">
        <v>598</v>
      </c>
      <c r="D338" s="127">
        <v>42885</v>
      </c>
      <c r="E338" s="127" t="s">
        <v>598</v>
      </c>
      <c r="F338" s="184" t="s">
        <v>1284</v>
      </c>
      <c r="G338" s="185">
        <v>0</v>
      </c>
      <c r="H338" s="184" t="s">
        <v>598</v>
      </c>
      <c r="I338" s="184" t="s">
        <v>598</v>
      </c>
      <c r="J338" s="184" t="s">
        <v>84</v>
      </c>
      <c r="K338" s="184" t="s">
        <v>598</v>
      </c>
      <c r="L338" s="184" t="s">
        <v>598</v>
      </c>
      <c r="M338" s="184" t="s">
        <v>598</v>
      </c>
      <c r="N338" s="184" t="s">
        <v>63</v>
      </c>
      <c r="O338" s="184" t="s">
        <v>598</v>
      </c>
      <c r="P338" s="186" t="s">
        <v>605</v>
      </c>
      <c r="Q338" s="184" t="s">
        <v>598</v>
      </c>
      <c r="R338" s="184" t="s">
        <v>598</v>
      </c>
      <c r="S338" s="127" t="s">
        <v>598</v>
      </c>
      <c r="T338" s="184" t="s">
        <v>598</v>
      </c>
      <c r="U338" s="184" t="s">
        <v>598</v>
      </c>
      <c r="V338" s="185">
        <v>0</v>
      </c>
      <c r="W338" s="184" t="s">
        <v>89</v>
      </c>
      <c r="X338" s="184" t="s">
        <v>598</v>
      </c>
      <c r="Y338" s="185">
        <v>0</v>
      </c>
      <c r="Z338" s="184" t="s">
        <v>598</v>
      </c>
      <c r="AA338" s="21" t="s">
        <v>822</v>
      </c>
      <c r="AB338" s="176" t="s">
        <v>489</v>
      </c>
      <c r="AC338" s="172">
        <v>42996.328472222223</v>
      </c>
      <c r="AD338" s="32" t="s">
        <v>552</v>
      </c>
    </row>
    <row r="339" spans="1:30">
      <c r="A339" s="184">
        <v>338</v>
      </c>
      <c r="B339" s="184" t="s">
        <v>1285</v>
      </c>
      <c r="C339" s="184" t="s">
        <v>598</v>
      </c>
      <c r="D339" s="127">
        <v>42886</v>
      </c>
      <c r="E339" s="127" t="s">
        <v>598</v>
      </c>
      <c r="F339" s="184" t="s">
        <v>1286</v>
      </c>
      <c r="G339" s="185">
        <v>0</v>
      </c>
      <c r="H339" s="184" t="s">
        <v>598</v>
      </c>
      <c r="I339" s="184" t="s">
        <v>598</v>
      </c>
      <c r="J339" s="184" t="s">
        <v>84</v>
      </c>
      <c r="K339" s="184" t="s">
        <v>598</v>
      </c>
      <c r="L339" s="184" t="s">
        <v>598</v>
      </c>
      <c r="M339" s="184" t="s">
        <v>598</v>
      </c>
      <c r="N339" s="184" t="s">
        <v>63</v>
      </c>
      <c r="O339" s="184" t="s">
        <v>598</v>
      </c>
      <c r="P339" s="186" t="s">
        <v>606</v>
      </c>
      <c r="Q339" s="184" t="s">
        <v>598</v>
      </c>
      <c r="R339" s="184" t="s">
        <v>598</v>
      </c>
      <c r="S339" s="127">
        <v>42895</v>
      </c>
      <c r="T339" s="184" t="s">
        <v>10</v>
      </c>
      <c r="U339" s="184" t="s">
        <v>598</v>
      </c>
      <c r="V339" s="185">
        <v>3000</v>
      </c>
      <c r="W339" s="184" t="s">
        <v>493</v>
      </c>
      <c r="X339" s="184">
        <v>4049</v>
      </c>
      <c r="Y339" s="185">
        <v>4000</v>
      </c>
      <c r="Z339" s="184" t="s">
        <v>598</v>
      </c>
      <c r="AA339" s="21" t="s">
        <v>610</v>
      </c>
      <c r="AB339" s="176" t="s">
        <v>489</v>
      </c>
      <c r="AC339" s="172">
        <v>42996.328472222223</v>
      </c>
      <c r="AD339" s="32" t="s">
        <v>552</v>
      </c>
    </row>
    <row r="340" spans="1:30">
      <c r="A340" s="184">
        <v>339</v>
      </c>
      <c r="B340" s="184" t="s">
        <v>1287</v>
      </c>
      <c r="C340" s="184" t="s">
        <v>598</v>
      </c>
      <c r="D340" s="127">
        <v>42857</v>
      </c>
      <c r="E340" s="127" t="s">
        <v>598</v>
      </c>
      <c r="F340" s="184" t="s">
        <v>1288</v>
      </c>
      <c r="G340" s="185">
        <v>9828000</v>
      </c>
      <c r="H340" s="184" t="s">
        <v>598</v>
      </c>
      <c r="I340" s="184" t="s">
        <v>134</v>
      </c>
      <c r="J340" s="184" t="s">
        <v>102</v>
      </c>
      <c r="K340" s="184" t="s">
        <v>598</v>
      </c>
      <c r="L340" s="184" t="s">
        <v>598</v>
      </c>
      <c r="M340" s="184" t="s">
        <v>598</v>
      </c>
      <c r="N340" s="184" t="s">
        <v>63</v>
      </c>
      <c r="O340" s="184" t="s">
        <v>86</v>
      </c>
      <c r="P340" s="186" t="s">
        <v>607</v>
      </c>
      <c r="Q340" s="184" t="s">
        <v>598</v>
      </c>
      <c r="R340" s="184" t="s">
        <v>804</v>
      </c>
      <c r="S340" s="127" t="s">
        <v>598</v>
      </c>
      <c r="T340" s="184" t="s">
        <v>598</v>
      </c>
      <c r="U340" s="184" t="s">
        <v>598</v>
      </c>
      <c r="V340" s="185">
        <v>0</v>
      </c>
      <c r="W340" s="184" t="s">
        <v>485</v>
      </c>
      <c r="X340" s="184">
        <v>2806</v>
      </c>
      <c r="Y340" s="185">
        <v>7500</v>
      </c>
      <c r="Z340" s="184" t="s">
        <v>598</v>
      </c>
      <c r="AA340" s="21" t="s">
        <v>610</v>
      </c>
      <c r="AB340" s="176" t="s">
        <v>489</v>
      </c>
      <c r="AC340" s="172">
        <v>42996.328472222223</v>
      </c>
      <c r="AD340" s="32" t="s">
        <v>552</v>
      </c>
    </row>
    <row r="341" spans="1:30">
      <c r="A341" s="184">
        <v>340</v>
      </c>
      <c r="B341" s="184" t="s">
        <v>1289</v>
      </c>
      <c r="C341" s="184" t="s">
        <v>598</v>
      </c>
      <c r="D341" s="127">
        <v>42861</v>
      </c>
      <c r="E341" s="127" t="s">
        <v>598</v>
      </c>
      <c r="F341" s="184" t="s">
        <v>1290</v>
      </c>
      <c r="G341" s="185">
        <v>0</v>
      </c>
      <c r="H341" s="184" t="s">
        <v>598</v>
      </c>
      <c r="I341" s="184" t="s">
        <v>598</v>
      </c>
      <c r="J341" s="184" t="s">
        <v>102</v>
      </c>
      <c r="K341" s="184" t="s">
        <v>216</v>
      </c>
      <c r="L341" s="184" t="s">
        <v>598</v>
      </c>
      <c r="M341" s="184" t="s">
        <v>598</v>
      </c>
      <c r="N341" s="184" t="s">
        <v>63</v>
      </c>
      <c r="O341" s="184" t="s">
        <v>63</v>
      </c>
      <c r="P341" s="186" t="s">
        <v>73</v>
      </c>
      <c r="Q341" s="184" t="s">
        <v>598</v>
      </c>
      <c r="R341" s="184" t="s">
        <v>598</v>
      </c>
      <c r="S341" s="127" t="s">
        <v>598</v>
      </c>
      <c r="T341" s="184" t="s">
        <v>598</v>
      </c>
      <c r="U341" s="184" t="s">
        <v>598</v>
      </c>
      <c r="V341" s="185">
        <v>0</v>
      </c>
      <c r="W341" s="184" t="s">
        <v>557</v>
      </c>
      <c r="X341" s="184" t="s">
        <v>598</v>
      </c>
      <c r="Y341" s="185">
        <v>0</v>
      </c>
      <c r="Z341" s="184" t="s">
        <v>598</v>
      </c>
      <c r="AA341" s="21" t="s">
        <v>822</v>
      </c>
      <c r="AB341" s="176" t="s">
        <v>489</v>
      </c>
      <c r="AC341" s="172">
        <v>42996.328472222223</v>
      </c>
      <c r="AD341" s="32" t="s">
        <v>552</v>
      </c>
    </row>
    <row r="342" spans="1:30">
      <c r="A342" s="184">
        <v>341</v>
      </c>
      <c r="B342" s="184" t="s">
        <v>1291</v>
      </c>
      <c r="C342" s="184" t="s">
        <v>598</v>
      </c>
      <c r="D342" s="127">
        <v>42863</v>
      </c>
      <c r="E342" s="127" t="s">
        <v>598</v>
      </c>
      <c r="F342" s="184" t="s">
        <v>1292</v>
      </c>
      <c r="G342" s="185">
        <v>3600000</v>
      </c>
      <c r="H342" s="184" t="s">
        <v>598</v>
      </c>
      <c r="I342" s="184" t="s">
        <v>598</v>
      </c>
      <c r="J342" s="184" t="s">
        <v>102</v>
      </c>
      <c r="K342" s="184" t="s">
        <v>359</v>
      </c>
      <c r="L342" s="184" t="s">
        <v>598</v>
      </c>
      <c r="M342" s="184" t="s">
        <v>598</v>
      </c>
      <c r="N342" s="184" t="s">
        <v>63</v>
      </c>
      <c r="O342" s="184" t="s">
        <v>86</v>
      </c>
      <c r="P342" s="186" t="s">
        <v>601</v>
      </c>
      <c r="Q342" s="184" t="s">
        <v>598</v>
      </c>
      <c r="R342" s="184" t="s">
        <v>598</v>
      </c>
      <c r="S342" s="127" t="s">
        <v>598</v>
      </c>
      <c r="T342" s="184" t="s">
        <v>598</v>
      </c>
      <c r="U342" s="184" t="s">
        <v>598</v>
      </c>
      <c r="V342" s="185">
        <v>0</v>
      </c>
      <c r="W342" s="184" t="s">
        <v>485</v>
      </c>
      <c r="X342" s="184">
        <v>4024</v>
      </c>
      <c r="Y342" s="185">
        <v>3000</v>
      </c>
      <c r="Z342" s="184" t="s">
        <v>598</v>
      </c>
      <c r="AA342" s="21" t="s">
        <v>610</v>
      </c>
      <c r="AB342" s="176" t="s">
        <v>489</v>
      </c>
      <c r="AC342" s="172">
        <v>42996.328472222223</v>
      </c>
      <c r="AD342" s="32" t="s">
        <v>552</v>
      </c>
    </row>
    <row r="343" spans="1:30">
      <c r="A343" s="184">
        <v>342</v>
      </c>
      <c r="B343" s="184" t="s">
        <v>1293</v>
      </c>
      <c r="C343" s="184" t="s">
        <v>598</v>
      </c>
      <c r="D343" s="127">
        <v>42863</v>
      </c>
      <c r="E343" s="127" t="s">
        <v>598</v>
      </c>
      <c r="F343" s="184" t="s">
        <v>1294</v>
      </c>
      <c r="G343" s="185">
        <v>0</v>
      </c>
      <c r="H343" s="184" t="s">
        <v>598</v>
      </c>
      <c r="I343" s="184" t="s">
        <v>134</v>
      </c>
      <c r="J343" s="184" t="s">
        <v>102</v>
      </c>
      <c r="K343" s="184" t="s">
        <v>233</v>
      </c>
      <c r="L343" s="184" t="s">
        <v>598</v>
      </c>
      <c r="M343" s="184" t="s">
        <v>598</v>
      </c>
      <c r="N343" s="184" t="s">
        <v>63</v>
      </c>
      <c r="O343" s="184" t="s">
        <v>86</v>
      </c>
      <c r="P343" s="186" t="s">
        <v>32</v>
      </c>
      <c r="Q343" s="184" t="s">
        <v>598</v>
      </c>
      <c r="R343" s="184" t="s">
        <v>598</v>
      </c>
      <c r="S343" s="127" t="s">
        <v>598</v>
      </c>
      <c r="T343" s="184" t="s">
        <v>598</v>
      </c>
      <c r="U343" s="184" t="s">
        <v>598</v>
      </c>
      <c r="V343" s="185">
        <v>0</v>
      </c>
      <c r="W343" s="184" t="s">
        <v>89</v>
      </c>
      <c r="X343" s="184" t="s">
        <v>598</v>
      </c>
      <c r="Y343" s="185">
        <v>0</v>
      </c>
      <c r="Z343" s="184" t="s">
        <v>598</v>
      </c>
      <c r="AA343" s="21" t="s">
        <v>822</v>
      </c>
      <c r="AB343" s="176" t="s">
        <v>489</v>
      </c>
      <c r="AC343" s="172">
        <v>42996.328472222223</v>
      </c>
      <c r="AD343" s="32" t="s">
        <v>552</v>
      </c>
    </row>
    <row r="344" spans="1:30">
      <c r="A344" s="184">
        <v>343</v>
      </c>
      <c r="B344" s="184" t="s">
        <v>1295</v>
      </c>
      <c r="C344" s="184" t="s">
        <v>598</v>
      </c>
      <c r="D344" s="127">
        <v>42863</v>
      </c>
      <c r="E344" s="127" t="s">
        <v>598</v>
      </c>
      <c r="F344" s="184" t="s">
        <v>1296</v>
      </c>
      <c r="G344" s="185">
        <v>0</v>
      </c>
      <c r="H344" s="184" t="s">
        <v>598</v>
      </c>
      <c r="I344" s="184" t="s">
        <v>598</v>
      </c>
      <c r="J344" s="184" t="s">
        <v>102</v>
      </c>
      <c r="K344" s="184" t="s">
        <v>233</v>
      </c>
      <c r="L344" s="184" t="s">
        <v>598</v>
      </c>
      <c r="M344" s="184" t="s">
        <v>598</v>
      </c>
      <c r="N344" s="184" t="s">
        <v>63</v>
      </c>
      <c r="O344" s="184" t="s">
        <v>86</v>
      </c>
      <c r="P344" s="186" t="s">
        <v>53</v>
      </c>
      <c r="Q344" s="184" t="s">
        <v>598</v>
      </c>
      <c r="R344" s="184" t="s">
        <v>598</v>
      </c>
      <c r="S344" s="127" t="s">
        <v>598</v>
      </c>
      <c r="T344" s="184" t="s">
        <v>598</v>
      </c>
      <c r="U344" s="184" t="s">
        <v>598</v>
      </c>
      <c r="V344" s="185">
        <v>0</v>
      </c>
      <c r="W344" s="184" t="s">
        <v>89</v>
      </c>
      <c r="X344" s="184" t="s">
        <v>598</v>
      </c>
      <c r="Y344" s="185">
        <v>0</v>
      </c>
      <c r="Z344" s="184" t="s">
        <v>598</v>
      </c>
      <c r="AA344" s="21" t="s">
        <v>822</v>
      </c>
      <c r="AB344" s="176" t="s">
        <v>489</v>
      </c>
      <c r="AC344" s="172">
        <v>42996.328472222223</v>
      </c>
      <c r="AD344" s="32" t="s">
        <v>552</v>
      </c>
    </row>
    <row r="345" spans="1:30">
      <c r="A345" s="184">
        <v>344</v>
      </c>
      <c r="B345" s="184" t="s">
        <v>1297</v>
      </c>
      <c r="C345" s="184" t="s">
        <v>598</v>
      </c>
      <c r="D345" s="127">
        <v>42864</v>
      </c>
      <c r="E345" s="127" t="s">
        <v>598</v>
      </c>
      <c r="F345" s="184" t="s">
        <v>1298</v>
      </c>
      <c r="G345" s="185">
        <v>5610000</v>
      </c>
      <c r="H345" s="184" t="s">
        <v>598</v>
      </c>
      <c r="I345" s="184" t="s">
        <v>598</v>
      </c>
      <c r="J345" s="184" t="s">
        <v>102</v>
      </c>
      <c r="K345" s="184" t="s">
        <v>232</v>
      </c>
      <c r="L345" s="184" t="s">
        <v>598</v>
      </c>
      <c r="M345" s="184" t="s">
        <v>598</v>
      </c>
      <c r="N345" s="184" t="s">
        <v>63</v>
      </c>
      <c r="O345" s="184" t="s">
        <v>86</v>
      </c>
      <c r="P345" s="186" t="s">
        <v>44</v>
      </c>
      <c r="Q345" s="184" t="s">
        <v>598</v>
      </c>
      <c r="R345" s="184" t="s">
        <v>598</v>
      </c>
      <c r="S345" s="127" t="s">
        <v>598</v>
      </c>
      <c r="T345" s="184" t="s">
        <v>598</v>
      </c>
      <c r="U345" s="184" t="s">
        <v>598</v>
      </c>
      <c r="V345" s="185">
        <v>0</v>
      </c>
      <c r="W345" s="184" t="s">
        <v>485</v>
      </c>
      <c r="X345" s="184">
        <v>2808</v>
      </c>
      <c r="Y345" s="185">
        <v>1000</v>
      </c>
      <c r="Z345" s="184" t="s">
        <v>492</v>
      </c>
      <c r="AA345" s="21" t="s">
        <v>610</v>
      </c>
      <c r="AB345" s="176" t="s">
        <v>489</v>
      </c>
      <c r="AC345" s="172">
        <v>42996.328472222223</v>
      </c>
      <c r="AD345" s="32" t="s">
        <v>552</v>
      </c>
    </row>
    <row r="346" spans="1:30">
      <c r="A346" s="184">
        <v>345</v>
      </c>
      <c r="B346" s="184" t="s">
        <v>1299</v>
      </c>
      <c r="C346" s="184" t="s">
        <v>598</v>
      </c>
      <c r="D346" s="127">
        <v>42868</v>
      </c>
      <c r="E346" s="127" t="s">
        <v>598</v>
      </c>
      <c r="F346" s="184" t="s">
        <v>72</v>
      </c>
      <c r="G346" s="185">
        <v>4480000</v>
      </c>
      <c r="H346" s="184" t="s">
        <v>598</v>
      </c>
      <c r="I346" s="184" t="s">
        <v>598</v>
      </c>
      <c r="J346" s="184" t="s">
        <v>102</v>
      </c>
      <c r="K346" s="184" t="s">
        <v>169</v>
      </c>
      <c r="L346" s="184" t="s">
        <v>598</v>
      </c>
      <c r="M346" s="184" t="s">
        <v>598</v>
      </c>
      <c r="N346" s="184" t="s">
        <v>63</v>
      </c>
      <c r="O346" s="184" t="s">
        <v>598</v>
      </c>
      <c r="P346" s="186" t="s">
        <v>67</v>
      </c>
      <c r="Q346" s="184" t="s">
        <v>598</v>
      </c>
      <c r="R346" s="184" t="s">
        <v>598</v>
      </c>
      <c r="S346" s="127" t="s">
        <v>598</v>
      </c>
      <c r="T346" s="184" t="s">
        <v>598</v>
      </c>
      <c r="U346" s="184" t="s">
        <v>598</v>
      </c>
      <c r="V346" s="185">
        <v>0</v>
      </c>
      <c r="W346" s="184" t="s">
        <v>485</v>
      </c>
      <c r="X346" s="184">
        <v>2026</v>
      </c>
      <c r="Y346" s="185">
        <v>4000</v>
      </c>
      <c r="Z346" s="184" t="s">
        <v>598</v>
      </c>
      <c r="AA346" s="21" t="s">
        <v>610</v>
      </c>
      <c r="AB346" s="176" t="s">
        <v>489</v>
      </c>
      <c r="AC346" s="172">
        <v>42996.328472222223</v>
      </c>
      <c r="AD346" s="32" t="s">
        <v>552</v>
      </c>
    </row>
    <row r="347" spans="1:30">
      <c r="A347" s="184">
        <v>346</v>
      </c>
      <c r="B347" s="184" t="s">
        <v>1300</v>
      </c>
      <c r="C347" s="184" t="s">
        <v>598</v>
      </c>
      <c r="D347" s="127">
        <v>42868</v>
      </c>
      <c r="E347" s="127" t="s">
        <v>598</v>
      </c>
      <c r="F347" s="184" t="s">
        <v>1301</v>
      </c>
      <c r="G347" s="185">
        <v>0</v>
      </c>
      <c r="H347" s="184" t="s">
        <v>598</v>
      </c>
      <c r="I347" s="184" t="s">
        <v>598</v>
      </c>
      <c r="J347" s="184" t="s">
        <v>102</v>
      </c>
      <c r="K347" s="184" t="s">
        <v>598</v>
      </c>
      <c r="L347" s="184" t="s">
        <v>598</v>
      </c>
      <c r="M347" s="184" t="s">
        <v>598</v>
      </c>
      <c r="N347" s="184" t="s">
        <v>63</v>
      </c>
      <c r="O347" s="184" t="s">
        <v>86</v>
      </c>
      <c r="P347" s="186" t="s">
        <v>602</v>
      </c>
      <c r="Q347" s="184" t="s">
        <v>598</v>
      </c>
      <c r="R347" s="184" t="s">
        <v>598</v>
      </c>
      <c r="S347" s="127">
        <v>42887</v>
      </c>
      <c r="T347" s="184" t="s">
        <v>10</v>
      </c>
      <c r="U347" s="184" t="s">
        <v>598</v>
      </c>
      <c r="V347" s="185">
        <v>1500</v>
      </c>
      <c r="W347" s="184" t="s">
        <v>493</v>
      </c>
      <c r="X347" s="184" t="s">
        <v>598</v>
      </c>
      <c r="Y347" s="185">
        <v>0</v>
      </c>
      <c r="Z347" s="184" t="s">
        <v>598</v>
      </c>
      <c r="AA347" s="21" t="s">
        <v>610</v>
      </c>
      <c r="AB347" s="176" t="s">
        <v>489</v>
      </c>
      <c r="AC347" s="172">
        <v>42996.328472222223</v>
      </c>
      <c r="AD347" s="32" t="s">
        <v>552</v>
      </c>
    </row>
    <row r="348" spans="1:30">
      <c r="A348" s="184">
        <v>347</v>
      </c>
      <c r="B348" s="184" t="s">
        <v>1302</v>
      </c>
      <c r="C348" s="184" t="s">
        <v>598</v>
      </c>
      <c r="D348" s="127">
        <v>42870</v>
      </c>
      <c r="E348" s="127" t="s">
        <v>598</v>
      </c>
      <c r="F348" s="184" t="s">
        <v>1303</v>
      </c>
      <c r="G348" s="185">
        <v>0</v>
      </c>
      <c r="H348" s="184" t="s">
        <v>598</v>
      </c>
      <c r="I348" s="184" t="s">
        <v>598</v>
      </c>
      <c r="J348" s="184" t="s">
        <v>102</v>
      </c>
      <c r="K348" s="184" t="s">
        <v>233</v>
      </c>
      <c r="L348" s="184" t="s">
        <v>598</v>
      </c>
      <c r="M348" s="184" t="s">
        <v>598</v>
      </c>
      <c r="N348" s="184" t="s">
        <v>63</v>
      </c>
      <c r="O348" s="184" t="s">
        <v>86</v>
      </c>
      <c r="P348" s="186" t="s">
        <v>603</v>
      </c>
      <c r="Q348" s="184" t="s">
        <v>598</v>
      </c>
      <c r="R348" s="184" t="s">
        <v>804</v>
      </c>
      <c r="S348" s="127" t="s">
        <v>598</v>
      </c>
      <c r="T348" s="184" t="s">
        <v>598</v>
      </c>
      <c r="U348" s="184" t="s">
        <v>598</v>
      </c>
      <c r="V348" s="185">
        <v>0</v>
      </c>
      <c r="W348" s="184" t="s">
        <v>89</v>
      </c>
      <c r="X348" s="184" t="s">
        <v>598</v>
      </c>
      <c r="Y348" s="185">
        <v>0</v>
      </c>
      <c r="Z348" s="184" t="s">
        <v>598</v>
      </c>
      <c r="AA348" s="21" t="s">
        <v>822</v>
      </c>
      <c r="AB348" s="176" t="s">
        <v>489</v>
      </c>
      <c r="AC348" s="172">
        <v>42996.328472222223</v>
      </c>
      <c r="AD348" s="32" t="s">
        <v>552</v>
      </c>
    </row>
    <row r="349" spans="1:30">
      <c r="A349" s="184">
        <v>348</v>
      </c>
      <c r="B349" s="184" t="s">
        <v>1304</v>
      </c>
      <c r="C349" s="184" t="s">
        <v>598</v>
      </c>
      <c r="D349" s="127">
        <v>42871</v>
      </c>
      <c r="E349" s="127" t="s">
        <v>598</v>
      </c>
      <c r="F349" s="184" t="s">
        <v>1305</v>
      </c>
      <c r="G349" s="185">
        <v>0</v>
      </c>
      <c r="H349" s="184" t="s">
        <v>598</v>
      </c>
      <c r="I349" s="184" t="s">
        <v>598</v>
      </c>
      <c r="J349" s="184" t="s">
        <v>102</v>
      </c>
      <c r="K349" s="184" t="s">
        <v>233</v>
      </c>
      <c r="L349" s="184" t="s">
        <v>598</v>
      </c>
      <c r="M349" s="184" t="s">
        <v>598</v>
      </c>
      <c r="N349" s="184" t="s">
        <v>63</v>
      </c>
      <c r="O349" s="184" t="s">
        <v>598</v>
      </c>
      <c r="P349" s="186" t="s">
        <v>604</v>
      </c>
      <c r="Q349" s="184" t="s">
        <v>598</v>
      </c>
      <c r="R349" s="184" t="s">
        <v>804</v>
      </c>
      <c r="S349" s="127">
        <v>42895</v>
      </c>
      <c r="T349" s="184" t="s">
        <v>10</v>
      </c>
      <c r="U349" s="184" t="s">
        <v>598</v>
      </c>
      <c r="V349" s="185">
        <v>5000</v>
      </c>
      <c r="W349" s="184" t="s">
        <v>493</v>
      </c>
      <c r="X349" s="184">
        <v>2823</v>
      </c>
      <c r="Y349" s="185">
        <v>6000</v>
      </c>
      <c r="Z349" s="184" t="s">
        <v>598</v>
      </c>
      <c r="AA349" s="21" t="s">
        <v>610</v>
      </c>
      <c r="AB349" s="176" t="s">
        <v>489</v>
      </c>
      <c r="AC349" s="172">
        <v>42996.328472222223</v>
      </c>
      <c r="AD349" s="32" t="s">
        <v>552</v>
      </c>
    </row>
    <row r="350" spans="1:30">
      <c r="A350" s="184">
        <v>349</v>
      </c>
      <c r="B350" s="184" t="s">
        <v>1306</v>
      </c>
      <c r="C350" s="184" t="s">
        <v>598</v>
      </c>
      <c r="D350" s="127">
        <v>42872</v>
      </c>
      <c r="E350" s="127" t="s">
        <v>598</v>
      </c>
      <c r="F350" s="184" t="s">
        <v>1307</v>
      </c>
      <c r="G350" s="185">
        <v>34965000</v>
      </c>
      <c r="H350" s="184" t="s">
        <v>598</v>
      </c>
      <c r="I350" s="184" t="s">
        <v>598</v>
      </c>
      <c r="J350" s="184" t="s">
        <v>102</v>
      </c>
      <c r="K350" s="184" t="s">
        <v>244</v>
      </c>
      <c r="L350" s="184" t="s">
        <v>598</v>
      </c>
      <c r="M350" s="184" t="s">
        <v>598</v>
      </c>
      <c r="N350" s="184" t="s">
        <v>63</v>
      </c>
      <c r="O350" s="184" t="s">
        <v>86</v>
      </c>
      <c r="P350" s="186" t="s">
        <v>605</v>
      </c>
      <c r="Q350" s="184" t="s">
        <v>598</v>
      </c>
      <c r="R350" s="184" t="s">
        <v>598</v>
      </c>
      <c r="S350" s="127" t="s">
        <v>598</v>
      </c>
      <c r="T350" s="184" t="s">
        <v>598</v>
      </c>
      <c r="U350" s="184" t="s">
        <v>598</v>
      </c>
      <c r="V350" s="185">
        <v>0</v>
      </c>
      <c r="W350" s="184" t="s">
        <v>485</v>
      </c>
      <c r="X350" s="184">
        <v>2817</v>
      </c>
      <c r="Y350" s="185">
        <v>10000</v>
      </c>
      <c r="Z350" s="184" t="s">
        <v>598</v>
      </c>
      <c r="AA350" s="21" t="s">
        <v>610</v>
      </c>
      <c r="AB350" s="176" t="s">
        <v>489</v>
      </c>
      <c r="AC350" s="172">
        <v>42996.328472222223</v>
      </c>
      <c r="AD350" s="32" t="s">
        <v>552</v>
      </c>
    </row>
    <row r="351" spans="1:30">
      <c r="A351" s="184">
        <v>350</v>
      </c>
      <c r="B351" s="184" t="s">
        <v>1308</v>
      </c>
      <c r="C351" s="184" t="s">
        <v>598</v>
      </c>
      <c r="D351" s="127">
        <v>42875</v>
      </c>
      <c r="E351" s="127" t="s">
        <v>598</v>
      </c>
      <c r="F351" s="184" t="s">
        <v>1309</v>
      </c>
      <c r="G351" s="185">
        <v>0</v>
      </c>
      <c r="H351" s="184" t="s">
        <v>598</v>
      </c>
      <c r="I351" s="184" t="s">
        <v>598</v>
      </c>
      <c r="J351" s="184" t="s">
        <v>102</v>
      </c>
      <c r="K351" s="184" t="s">
        <v>233</v>
      </c>
      <c r="L351" s="184" t="s">
        <v>598</v>
      </c>
      <c r="M351" s="184" t="s">
        <v>598</v>
      </c>
      <c r="N351" s="184" t="s">
        <v>63</v>
      </c>
      <c r="O351" s="184" t="s">
        <v>86</v>
      </c>
      <c r="P351" s="186" t="s">
        <v>606</v>
      </c>
      <c r="Q351" s="184" t="s">
        <v>598</v>
      </c>
      <c r="R351" s="184" t="s">
        <v>804</v>
      </c>
      <c r="S351" s="127">
        <v>42893</v>
      </c>
      <c r="T351" s="184" t="s">
        <v>34</v>
      </c>
      <c r="U351" s="184" t="s">
        <v>598</v>
      </c>
      <c r="V351" s="185">
        <v>4000</v>
      </c>
      <c r="W351" s="184" t="s">
        <v>493</v>
      </c>
      <c r="X351" s="184" t="s">
        <v>598</v>
      </c>
      <c r="Y351" s="185">
        <v>0</v>
      </c>
      <c r="Z351" s="184" t="s">
        <v>598</v>
      </c>
      <c r="AA351" s="21" t="s">
        <v>610</v>
      </c>
      <c r="AB351" s="176" t="s">
        <v>489</v>
      </c>
      <c r="AC351" s="172">
        <v>42996.328472222223</v>
      </c>
      <c r="AD351" s="32" t="s">
        <v>552</v>
      </c>
    </row>
    <row r="352" spans="1:30">
      <c r="A352" s="184">
        <v>351</v>
      </c>
      <c r="B352" s="184" t="s">
        <v>1310</v>
      </c>
      <c r="C352" s="184" t="s">
        <v>598</v>
      </c>
      <c r="D352" s="127">
        <v>42875</v>
      </c>
      <c r="E352" s="127" t="s">
        <v>598</v>
      </c>
      <c r="F352" s="184" t="s">
        <v>1311</v>
      </c>
      <c r="G352" s="185">
        <v>0</v>
      </c>
      <c r="H352" s="184" t="s">
        <v>598</v>
      </c>
      <c r="I352" s="184" t="s">
        <v>598</v>
      </c>
      <c r="J352" s="184" t="s">
        <v>102</v>
      </c>
      <c r="K352" s="184" t="s">
        <v>233</v>
      </c>
      <c r="L352" s="184" t="s">
        <v>598</v>
      </c>
      <c r="M352" s="184" t="s">
        <v>598</v>
      </c>
      <c r="N352" s="184" t="s">
        <v>63</v>
      </c>
      <c r="O352" s="184" t="s">
        <v>86</v>
      </c>
      <c r="P352" s="186" t="s">
        <v>607</v>
      </c>
      <c r="Q352" s="184" t="s">
        <v>598</v>
      </c>
      <c r="R352" s="184" t="s">
        <v>804</v>
      </c>
      <c r="S352" s="127">
        <v>42893</v>
      </c>
      <c r="T352" s="184" t="s">
        <v>34</v>
      </c>
      <c r="U352" s="184" t="s">
        <v>598</v>
      </c>
      <c r="V352" s="185">
        <v>4000</v>
      </c>
      <c r="W352" s="184" t="s">
        <v>493</v>
      </c>
      <c r="X352" s="184" t="s">
        <v>598</v>
      </c>
      <c r="Y352" s="185">
        <v>0</v>
      </c>
      <c r="Z352" s="184" t="s">
        <v>598</v>
      </c>
      <c r="AA352" s="21" t="s">
        <v>610</v>
      </c>
      <c r="AB352" s="176" t="s">
        <v>489</v>
      </c>
      <c r="AC352" s="172">
        <v>42996.328472222223</v>
      </c>
      <c r="AD352" s="32" t="s">
        <v>552</v>
      </c>
    </row>
    <row r="353" spans="1:30">
      <c r="A353" s="184">
        <v>352</v>
      </c>
      <c r="B353" s="184" t="s">
        <v>1312</v>
      </c>
      <c r="C353" s="184" t="s">
        <v>598</v>
      </c>
      <c r="D353" s="127">
        <v>42875</v>
      </c>
      <c r="E353" s="127" t="s">
        <v>598</v>
      </c>
      <c r="F353" s="184" t="s">
        <v>1313</v>
      </c>
      <c r="G353" s="185">
        <v>0</v>
      </c>
      <c r="H353" s="184" t="s">
        <v>598</v>
      </c>
      <c r="I353" s="184" t="s">
        <v>134</v>
      </c>
      <c r="J353" s="184" t="s">
        <v>102</v>
      </c>
      <c r="K353" s="184" t="s">
        <v>233</v>
      </c>
      <c r="L353" s="184" t="s">
        <v>598</v>
      </c>
      <c r="M353" s="184" t="s">
        <v>598</v>
      </c>
      <c r="N353" s="184" t="s">
        <v>63</v>
      </c>
      <c r="O353" s="184" t="s">
        <v>63</v>
      </c>
      <c r="P353" s="186" t="s">
        <v>73</v>
      </c>
      <c r="Q353" s="184" t="s">
        <v>598</v>
      </c>
      <c r="R353" s="184" t="s">
        <v>804</v>
      </c>
      <c r="S353" s="127">
        <v>42893</v>
      </c>
      <c r="T353" s="184" t="s">
        <v>34</v>
      </c>
      <c r="U353" s="184" t="s">
        <v>598</v>
      </c>
      <c r="V353" s="185">
        <v>4000</v>
      </c>
      <c r="W353" s="184" t="s">
        <v>493</v>
      </c>
      <c r="X353" s="184" t="s">
        <v>598</v>
      </c>
      <c r="Y353" s="185">
        <v>0</v>
      </c>
      <c r="Z353" s="184" t="s">
        <v>598</v>
      </c>
      <c r="AA353" s="21" t="s">
        <v>610</v>
      </c>
      <c r="AB353" s="176" t="s">
        <v>489</v>
      </c>
      <c r="AC353" s="172">
        <v>42996.328472222223</v>
      </c>
      <c r="AD353" s="32" t="s">
        <v>552</v>
      </c>
    </row>
    <row r="354" spans="1:30">
      <c r="A354" s="184">
        <v>353</v>
      </c>
      <c r="B354" s="184" t="s">
        <v>1314</v>
      </c>
      <c r="C354" s="184" t="s">
        <v>598</v>
      </c>
      <c r="D354" s="127">
        <v>42875</v>
      </c>
      <c r="E354" s="127" t="s">
        <v>598</v>
      </c>
      <c r="F354" s="184" t="s">
        <v>1315</v>
      </c>
      <c r="G354" s="185">
        <v>0</v>
      </c>
      <c r="H354" s="184" t="s">
        <v>598</v>
      </c>
      <c r="I354" s="184" t="s">
        <v>134</v>
      </c>
      <c r="J354" s="184" t="s">
        <v>102</v>
      </c>
      <c r="K354" s="184" t="s">
        <v>233</v>
      </c>
      <c r="L354" s="184" t="s">
        <v>598</v>
      </c>
      <c r="M354" s="184" t="s">
        <v>598</v>
      </c>
      <c r="N354" s="184" t="s">
        <v>63</v>
      </c>
      <c r="O354" s="184" t="s">
        <v>63</v>
      </c>
      <c r="P354" s="186" t="s">
        <v>601</v>
      </c>
      <c r="Q354" s="184" t="s">
        <v>598</v>
      </c>
      <c r="R354" s="184" t="s">
        <v>804</v>
      </c>
      <c r="S354" s="127">
        <v>42893</v>
      </c>
      <c r="T354" s="184" t="s">
        <v>34</v>
      </c>
      <c r="U354" s="184" t="s">
        <v>598</v>
      </c>
      <c r="V354" s="185">
        <v>4000</v>
      </c>
      <c r="W354" s="184" t="s">
        <v>493</v>
      </c>
      <c r="X354" s="184" t="s">
        <v>598</v>
      </c>
      <c r="Y354" s="185">
        <v>0</v>
      </c>
      <c r="Z354" s="184" t="s">
        <v>598</v>
      </c>
      <c r="AA354" s="21" t="s">
        <v>610</v>
      </c>
      <c r="AB354" s="176" t="s">
        <v>489</v>
      </c>
      <c r="AC354" s="172">
        <v>42996.328472222223</v>
      </c>
      <c r="AD354" s="32" t="s">
        <v>552</v>
      </c>
    </row>
    <row r="355" spans="1:30">
      <c r="A355" s="184">
        <v>354</v>
      </c>
      <c r="B355" s="184" t="s">
        <v>1316</v>
      </c>
      <c r="C355" s="184" t="s">
        <v>598</v>
      </c>
      <c r="D355" s="127">
        <v>42875</v>
      </c>
      <c r="E355" s="127" t="s">
        <v>598</v>
      </c>
      <c r="F355" s="184" t="s">
        <v>1317</v>
      </c>
      <c r="G355" s="185">
        <v>0</v>
      </c>
      <c r="H355" s="184" t="s">
        <v>598</v>
      </c>
      <c r="I355" s="184" t="s">
        <v>134</v>
      </c>
      <c r="J355" s="184" t="s">
        <v>102</v>
      </c>
      <c r="K355" s="184" t="s">
        <v>233</v>
      </c>
      <c r="L355" s="184" t="s">
        <v>598</v>
      </c>
      <c r="M355" s="184" t="s">
        <v>598</v>
      </c>
      <c r="N355" s="184" t="s">
        <v>63</v>
      </c>
      <c r="O355" s="184" t="s">
        <v>63</v>
      </c>
      <c r="P355" s="186" t="s">
        <v>32</v>
      </c>
      <c r="Q355" s="184" t="s">
        <v>598</v>
      </c>
      <c r="R355" s="184" t="s">
        <v>804</v>
      </c>
      <c r="S355" s="127">
        <v>42893</v>
      </c>
      <c r="T355" s="184" t="s">
        <v>34</v>
      </c>
      <c r="U355" s="184" t="s">
        <v>598</v>
      </c>
      <c r="V355" s="185">
        <v>4000</v>
      </c>
      <c r="W355" s="184" t="s">
        <v>493</v>
      </c>
      <c r="X355" s="184" t="s">
        <v>598</v>
      </c>
      <c r="Y355" s="185">
        <v>0</v>
      </c>
      <c r="Z355" s="184" t="s">
        <v>598</v>
      </c>
      <c r="AA355" s="21" t="s">
        <v>610</v>
      </c>
      <c r="AB355" s="176" t="s">
        <v>489</v>
      </c>
      <c r="AC355" s="172">
        <v>42996.328472222223</v>
      </c>
      <c r="AD355" s="32" t="s">
        <v>552</v>
      </c>
    </row>
    <row r="356" spans="1:30">
      <c r="A356" s="184">
        <v>355</v>
      </c>
      <c r="B356" s="184" t="s">
        <v>1318</v>
      </c>
      <c r="C356" s="184" t="s">
        <v>598</v>
      </c>
      <c r="D356" s="127">
        <v>42875</v>
      </c>
      <c r="E356" s="127" t="s">
        <v>598</v>
      </c>
      <c r="F356" s="184" t="s">
        <v>73</v>
      </c>
      <c r="G356" s="185">
        <v>0</v>
      </c>
      <c r="H356" s="184" t="s">
        <v>598</v>
      </c>
      <c r="I356" s="184" t="s">
        <v>134</v>
      </c>
      <c r="J356" s="184" t="s">
        <v>102</v>
      </c>
      <c r="K356" s="184" t="s">
        <v>233</v>
      </c>
      <c r="L356" s="184" t="s">
        <v>598</v>
      </c>
      <c r="M356" s="184" t="s">
        <v>598</v>
      </c>
      <c r="N356" s="184" t="s">
        <v>63</v>
      </c>
      <c r="O356" s="184" t="s">
        <v>63</v>
      </c>
      <c r="P356" s="186" t="s">
        <v>53</v>
      </c>
      <c r="Q356" s="184" t="s">
        <v>598</v>
      </c>
      <c r="R356" s="184" t="s">
        <v>804</v>
      </c>
      <c r="S356" s="127">
        <v>42893</v>
      </c>
      <c r="T356" s="184" t="s">
        <v>34</v>
      </c>
      <c r="U356" s="184" t="s">
        <v>598</v>
      </c>
      <c r="V356" s="185">
        <v>4000</v>
      </c>
      <c r="W356" s="184" t="s">
        <v>493</v>
      </c>
      <c r="X356" s="184" t="s">
        <v>598</v>
      </c>
      <c r="Y356" s="185">
        <v>0</v>
      </c>
      <c r="Z356" s="184" t="s">
        <v>598</v>
      </c>
      <c r="AA356" s="21" t="s">
        <v>610</v>
      </c>
      <c r="AB356" s="176" t="s">
        <v>489</v>
      </c>
      <c r="AC356" s="172">
        <v>42996.328472222223</v>
      </c>
      <c r="AD356" s="32" t="s">
        <v>552</v>
      </c>
    </row>
    <row r="357" spans="1:30">
      <c r="A357" s="184">
        <v>356</v>
      </c>
      <c r="B357" s="184" t="s">
        <v>1319</v>
      </c>
      <c r="C357" s="184" t="s">
        <v>598</v>
      </c>
      <c r="D357" s="127">
        <v>42875</v>
      </c>
      <c r="E357" s="127" t="s">
        <v>598</v>
      </c>
      <c r="F357" s="184" t="s">
        <v>1320</v>
      </c>
      <c r="G357" s="185">
        <v>6880000</v>
      </c>
      <c r="H357" s="184" t="s">
        <v>598</v>
      </c>
      <c r="I357" s="184" t="s">
        <v>132</v>
      </c>
      <c r="J357" s="184" t="s">
        <v>102</v>
      </c>
      <c r="K357" s="184" t="s">
        <v>233</v>
      </c>
      <c r="L357" s="184" t="s">
        <v>598</v>
      </c>
      <c r="M357" s="184" t="s">
        <v>598</v>
      </c>
      <c r="N357" s="184" t="s">
        <v>63</v>
      </c>
      <c r="O357" s="184" t="s">
        <v>63</v>
      </c>
      <c r="P357" s="186" t="s">
        <v>44</v>
      </c>
      <c r="Q357" s="184" t="s">
        <v>598</v>
      </c>
      <c r="R357" s="184" t="s">
        <v>598</v>
      </c>
      <c r="S357" s="127" t="s">
        <v>598</v>
      </c>
      <c r="T357" s="184" t="s">
        <v>598</v>
      </c>
      <c r="U357" s="184" t="s">
        <v>598</v>
      </c>
      <c r="V357" s="185">
        <v>0</v>
      </c>
      <c r="W357" s="184" t="s">
        <v>485</v>
      </c>
      <c r="X357" s="184">
        <v>2822</v>
      </c>
      <c r="Y357" s="185">
        <v>4000</v>
      </c>
      <c r="Z357" s="184" t="s">
        <v>598</v>
      </c>
      <c r="AA357" s="21" t="s">
        <v>610</v>
      </c>
      <c r="AB357" s="176" t="s">
        <v>489</v>
      </c>
      <c r="AC357" s="172">
        <v>42996.328472222223</v>
      </c>
      <c r="AD357" s="32" t="s">
        <v>552</v>
      </c>
    </row>
    <row r="358" spans="1:30">
      <c r="A358" s="184">
        <v>357</v>
      </c>
      <c r="B358" s="184" t="s">
        <v>1321</v>
      </c>
      <c r="C358" s="184" t="s">
        <v>598</v>
      </c>
      <c r="D358" s="127">
        <v>42875</v>
      </c>
      <c r="E358" s="127" t="s">
        <v>598</v>
      </c>
      <c r="F358" s="184" t="s">
        <v>1322</v>
      </c>
      <c r="G358" s="185">
        <v>0</v>
      </c>
      <c r="H358" s="184" t="s">
        <v>598</v>
      </c>
      <c r="I358" s="184" t="s">
        <v>598</v>
      </c>
      <c r="J358" s="184" t="s">
        <v>102</v>
      </c>
      <c r="K358" s="184" t="s">
        <v>233</v>
      </c>
      <c r="L358" s="184" t="s">
        <v>598</v>
      </c>
      <c r="M358" s="184" t="s">
        <v>598</v>
      </c>
      <c r="N358" s="184" t="s">
        <v>63</v>
      </c>
      <c r="O358" s="184" t="s">
        <v>86</v>
      </c>
      <c r="P358" s="186" t="s">
        <v>67</v>
      </c>
      <c r="Q358" s="184" t="s">
        <v>598</v>
      </c>
      <c r="R358" s="184" t="s">
        <v>598</v>
      </c>
      <c r="S358" s="127" t="s">
        <v>598</v>
      </c>
      <c r="T358" s="184" t="s">
        <v>598</v>
      </c>
      <c r="U358" s="184" t="s">
        <v>598</v>
      </c>
      <c r="V358" s="185">
        <v>0</v>
      </c>
      <c r="W358" s="184" t="s">
        <v>485</v>
      </c>
      <c r="X358" s="184">
        <v>2836</v>
      </c>
      <c r="Y358" s="185">
        <v>5000</v>
      </c>
      <c r="Z358" s="184" t="s">
        <v>598</v>
      </c>
      <c r="AA358" s="21" t="s">
        <v>610</v>
      </c>
      <c r="AB358" s="176" t="s">
        <v>489</v>
      </c>
      <c r="AC358" s="172">
        <v>42996.328472222223</v>
      </c>
      <c r="AD358" s="32" t="s">
        <v>552</v>
      </c>
    </row>
    <row r="359" spans="1:30">
      <c r="A359" s="184">
        <v>358</v>
      </c>
      <c r="B359" s="184" t="s">
        <v>1323</v>
      </c>
      <c r="C359" s="184" t="s">
        <v>598</v>
      </c>
      <c r="D359" s="127">
        <v>42877</v>
      </c>
      <c r="E359" s="127" t="s">
        <v>598</v>
      </c>
      <c r="F359" s="184" t="s">
        <v>1324</v>
      </c>
      <c r="G359" s="185">
        <v>0</v>
      </c>
      <c r="H359" s="184" t="s">
        <v>598</v>
      </c>
      <c r="I359" s="184" t="s">
        <v>598</v>
      </c>
      <c r="J359" s="184" t="s">
        <v>102</v>
      </c>
      <c r="K359" s="184" t="s">
        <v>233</v>
      </c>
      <c r="L359" s="184" t="s">
        <v>598</v>
      </c>
      <c r="M359" s="184" t="s">
        <v>598</v>
      </c>
      <c r="N359" s="184" t="s">
        <v>63</v>
      </c>
      <c r="O359" s="184" t="s">
        <v>86</v>
      </c>
      <c r="P359" s="186" t="s">
        <v>602</v>
      </c>
      <c r="Q359" s="184" t="s">
        <v>598</v>
      </c>
      <c r="R359" s="184" t="s">
        <v>804</v>
      </c>
      <c r="S359" s="127" t="s">
        <v>598</v>
      </c>
      <c r="T359" s="184" t="s">
        <v>598</v>
      </c>
      <c r="U359" s="184" t="s">
        <v>598</v>
      </c>
      <c r="V359" s="185">
        <v>0</v>
      </c>
      <c r="W359" s="184" t="s">
        <v>89</v>
      </c>
      <c r="X359" s="184" t="s">
        <v>598</v>
      </c>
      <c r="Y359" s="185">
        <v>0</v>
      </c>
      <c r="Z359" s="184" t="s">
        <v>598</v>
      </c>
      <c r="AA359" s="21" t="s">
        <v>822</v>
      </c>
      <c r="AB359" s="176" t="s">
        <v>489</v>
      </c>
      <c r="AC359" s="172">
        <v>42996.328472222223</v>
      </c>
      <c r="AD359" s="32" t="s">
        <v>552</v>
      </c>
    </row>
    <row r="360" spans="1:30">
      <c r="A360" s="184">
        <v>359</v>
      </c>
      <c r="B360" s="184" t="s">
        <v>1325</v>
      </c>
      <c r="C360" s="184" t="s">
        <v>598</v>
      </c>
      <c r="D360" s="127">
        <v>42878</v>
      </c>
      <c r="E360" s="127" t="s">
        <v>598</v>
      </c>
      <c r="F360" s="184" t="s">
        <v>1326</v>
      </c>
      <c r="G360" s="185">
        <v>5904000</v>
      </c>
      <c r="H360" s="184" t="s">
        <v>598</v>
      </c>
      <c r="I360" s="184" t="s">
        <v>598</v>
      </c>
      <c r="J360" s="184" t="s">
        <v>102</v>
      </c>
      <c r="K360" s="184" t="s">
        <v>233</v>
      </c>
      <c r="L360" s="184" t="s">
        <v>598</v>
      </c>
      <c r="M360" s="184" t="s">
        <v>598</v>
      </c>
      <c r="N360" s="184" t="s">
        <v>63</v>
      </c>
      <c r="O360" s="184" t="s">
        <v>63</v>
      </c>
      <c r="P360" s="186" t="s">
        <v>603</v>
      </c>
      <c r="Q360" s="184" t="s">
        <v>598</v>
      </c>
      <c r="R360" s="184" t="s">
        <v>804</v>
      </c>
      <c r="S360" s="127" t="s">
        <v>598</v>
      </c>
      <c r="T360" s="184" t="s">
        <v>598</v>
      </c>
      <c r="U360" s="184" t="s">
        <v>598</v>
      </c>
      <c r="V360" s="185">
        <v>0</v>
      </c>
      <c r="W360" s="184" t="s">
        <v>485</v>
      </c>
      <c r="X360" s="184">
        <v>2824</v>
      </c>
      <c r="Y360" s="185">
        <v>4000</v>
      </c>
      <c r="Z360" s="184" t="s">
        <v>598</v>
      </c>
      <c r="AA360" s="21" t="s">
        <v>610</v>
      </c>
      <c r="AB360" s="176" t="s">
        <v>489</v>
      </c>
      <c r="AC360" s="172">
        <v>42996.328472222223</v>
      </c>
      <c r="AD360" s="32" t="s">
        <v>552</v>
      </c>
    </row>
    <row r="361" spans="1:30">
      <c r="A361" s="184">
        <v>360</v>
      </c>
      <c r="B361" s="184" t="s">
        <v>1327</v>
      </c>
      <c r="C361" s="184" t="s">
        <v>598</v>
      </c>
      <c r="D361" s="127">
        <v>42878</v>
      </c>
      <c r="E361" s="127" t="s">
        <v>598</v>
      </c>
      <c r="F361" s="184" t="s">
        <v>1328</v>
      </c>
      <c r="G361" s="185">
        <v>0</v>
      </c>
      <c r="H361" s="184" t="s">
        <v>598</v>
      </c>
      <c r="I361" s="184" t="s">
        <v>598</v>
      </c>
      <c r="J361" s="184" t="s">
        <v>102</v>
      </c>
      <c r="K361" s="184" t="s">
        <v>245</v>
      </c>
      <c r="L361" s="184" t="s">
        <v>598</v>
      </c>
      <c r="M361" s="184" t="s">
        <v>598</v>
      </c>
      <c r="N361" s="184" t="s">
        <v>63</v>
      </c>
      <c r="O361" s="184" t="s">
        <v>63</v>
      </c>
      <c r="P361" s="186" t="s">
        <v>604</v>
      </c>
      <c r="Q361" s="184" t="s">
        <v>598</v>
      </c>
      <c r="R361" s="184" t="s">
        <v>598</v>
      </c>
      <c r="S361" s="127">
        <v>42908</v>
      </c>
      <c r="T361" s="184" t="s">
        <v>10</v>
      </c>
      <c r="U361" s="184" t="s">
        <v>598</v>
      </c>
      <c r="V361" s="185">
        <v>4000</v>
      </c>
      <c r="W361" s="184" t="s">
        <v>493</v>
      </c>
      <c r="X361" s="184">
        <v>2829</v>
      </c>
      <c r="Y361" s="185">
        <v>4000</v>
      </c>
      <c r="Z361" s="184" t="s">
        <v>598</v>
      </c>
      <c r="AA361" s="21" t="s">
        <v>610</v>
      </c>
      <c r="AB361" s="176" t="s">
        <v>489</v>
      </c>
      <c r="AC361" s="172">
        <v>42996.328472222223</v>
      </c>
      <c r="AD361" s="32" t="s">
        <v>552</v>
      </c>
    </row>
    <row r="362" spans="1:30">
      <c r="A362" s="184">
        <v>361</v>
      </c>
      <c r="B362" s="184" t="s">
        <v>1329</v>
      </c>
      <c r="C362" s="184" t="s">
        <v>598</v>
      </c>
      <c r="D362" s="127">
        <v>42878</v>
      </c>
      <c r="E362" s="127" t="s">
        <v>598</v>
      </c>
      <c r="F362" s="184" t="s">
        <v>1330</v>
      </c>
      <c r="G362" s="185">
        <v>4670000</v>
      </c>
      <c r="H362" s="184" t="s">
        <v>598</v>
      </c>
      <c r="I362" s="184" t="s">
        <v>598</v>
      </c>
      <c r="J362" s="184" t="s">
        <v>102</v>
      </c>
      <c r="K362" s="184" t="s">
        <v>245</v>
      </c>
      <c r="L362" s="184" t="s">
        <v>598</v>
      </c>
      <c r="M362" s="184" t="s">
        <v>598</v>
      </c>
      <c r="N362" s="184" t="s">
        <v>63</v>
      </c>
      <c r="O362" s="184" t="s">
        <v>598</v>
      </c>
      <c r="P362" s="186" t="s">
        <v>605</v>
      </c>
      <c r="Q362" s="184" t="s">
        <v>598</v>
      </c>
      <c r="R362" s="184" t="s">
        <v>598</v>
      </c>
      <c r="S362" s="127" t="s">
        <v>598</v>
      </c>
      <c r="T362" s="184" t="s">
        <v>598</v>
      </c>
      <c r="U362" s="184" t="s">
        <v>598</v>
      </c>
      <c r="V362" s="185">
        <v>0</v>
      </c>
      <c r="W362" s="184" t="s">
        <v>485</v>
      </c>
      <c r="X362" s="184">
        <v>2825</v>
      </c>
      <c r="Y362" s="185">
        <v>4500</v>
      </c>
      <c r="Z362" s="184" t="s">
        <v>598</v>
      </c>
      <c r="AA362" s="21" t="s">
        <v>610</v>
      </c>
      <c r="AB362" s="176" t="s">
        <v>489</v>
      </c>
      <c r="AC362" s="172">
        <v>42996.328472222223</v>
      </c>
      <c r="AD362" s="32" t="s">
        <v>552</v>
      </c>
    </row>
    <row r="363" spans="1:30">
      <c r="A363" s="184">
        <v>362</v>
      </c>
      <c r="B363" s="184" t="s">
        <v>1331</v>
      </c>
      <c r="C363" s="184" t="s">
        <v>598</v>
      </c>
      <c r="D363" s="127">
        <v>42878</v>
      </c>
      <c r="E363" s="127" t="s">
        <v>598</v>
      </c>
      <c r="F363" s="184" t="s">
        <v>1332</v>
      </c>
      <c r="G363" s="185">
        <v>3159000</v>
      </c>
      <c r="H363" s="184" t="s">
        <v>598</v>
      </c>
      <c r="I363" s="184" t="s">
        <v>598</v>
      </c>
      <c r="J363" s="184" t="s">
        <v>102</v>
      </c>
      <c r="K363" s="184" t="s">
        <v>233</v>
      </c>
      <c r="L363" s="184" t="s">
        <v>598</v>
      </c>
      <c r="M363" s="184" t="s">
        <v>598</v>
      </c>
      <c r="N363" s="184" t="s">
        <v>63</v>
      </c>
      <c r="O363" s="184" t="s">
        <v>63</v>
      </c>
      <c r="P363" s="186" t="s">
        <v>606</v>
      </c>
      <c r="Q363" s="184" t="s">
        <v>598</v>
      </c>
      <c r="R363" s="184" t="s">
        <v>598</v>
      </c>
      <c r="S363" s="127">
        <v>42891</v>
      </c>
      <c r="T363" s="184" t="s">
        <v>34</v>
      </c>
      <c r="U363" s="184" t="s">
        <v>598</v>
      </c>
      <c r="V363" s="185">
        <v>3500</v>
      </c>
      <c r="W363" s="184" t="s">
        <v>493</v>
      </c>
      <c r="X363" s="184" t="s">
        <v>598</v>
      </c>
      <c r="Y363" s="185">
        <v>0</v>
      </c>
      <c r="Z363" s="184" t="s">
        <v>598</v>
      </c>
      <c r="AA363" s="21" t="s">
        <v>610</v>
      </c>
      <c r="AB363" s="176" t="s">
        <v>489</v>
      </c>
      <c r="AC363" s="172">
        <v>42996.328472222223</v>
      </c>
      <c r="AD363" s="32" t="s">
        <v>552</v>
      </c>
    </row>
    <row r="364" spans="1:30">
      <c r="A364" s="184">
        <v>363</v>
      </c>
      <c r="B364" s="184" t="s">
        <v>1333</v>
      </c>
      <c r="C364" s="184" t="s">
        <v>598</v>
      </c>
      <c r="D364" s="127">
        <v>42882</v>
      </c>
      <c r="E364" s="127" t="s">
        <v>598</v>
      </c>
      <c r="F364" s="184" t="s">
        <v>1334</v>
      </c>
      <c r="G364" s="185">
        <v>0</v>
      </c>
      <c r="H364" s="184" t="s">
        <v>598</v>
      </c>
      <c r="I364" s="184" t="s">
        <v>598</v>
      </c>
      <c r="J364" s="184" t="s">
        <v>102</v>
      </c>
      <c r="K364" s="184" t="s">
        <v>360</v>
      </c>
      <c r="L364" s="184" t="s">
        <v>598</v>
      </c>
      <c r="M364" s="184" t="s">
        <v>598</v>
      </c>
      <c r="N364" s="184" t="s">
        <v>63</v>
      </c>
      <c r="O364" s="184" t="s">
        <v>63</v>
      </c>
      <c r="P364" s="186" t="s">
        <v>607</v>
      </c>
      <c r="Q364" s="184" t="s">
        <v>598</v>
      </c>
      <c r="R364" s="184" t="s">
        <v>804</v>
      </c>
      <c r="S364" s="127" t="s">
        <v>598</v>
      </c>
      <c r="T364" s="184" t="s">
        <v>598</v>
      </c>
      <c r="U364" s="184" t="s">
        <v>598</v>
      </c>
      <c r="V364" s="185">
        <v>0</v>
      </c>
      <c r="W364" s="184" t="s">
        <v>89</v>
      </c>
      <c r="X364" s="184" t="s">
        <v>598</v>
      </c>
      <c r="Y364" s="185">
        <v>0</v>
      </c>
      <c r="Z364" s="184" t="s">
        <v>598</v>
      </c>
      <c r="AA364" s="21" t="s">
        <v>822</v>
      </c>
      <c r="AB364" s="176" t="s">
        <v>489</v>
      </c>
      <c r="AC364" s="172">
        <v>42996.328472222223</v>
      </c>
      <c r="AD364" s="32" t="s">
        <v>552</v>
      </c>
    </row>
    <row r="365" spans="1:30">
      <c r="A365" s="184">
        <v>364</v>
      </c>
      <c r="B365" s="184" t="s">
        <v>1335</v>
      </c>
      <c r="C365" s="184" t="s">
        <v>598</v>
      </c>
      <c r="D365" s="127">
        <v>42882</v>
      </c>
      <c r="E365" s="127" t="s">
        <v>598</v>
      </c>
      <c r="F365" s="184" t="s">
        <v>1336</v>
      </c>
      <c r="G365" s="185">
        <v>0</v>
      </c>
      <c r="H365" s="184" t="s">
        <v>598</v>
      </c>
      <c r="I365" s="184" t="s">
        <v>598</v>
      </c>
      <c r="J365" s="184" t="s">
        <v>102</v>
      </c>
      <c r="K365" s="184" t="s">
        <v>241</v>
      </c>
      <c r="L365" s="184" t="s">
        <v>598</v>
      </c>
      <c r="M365" s="184" t="s">
        <v>598</v>
      </c>
      <c r="N365" s="184" t="s">
        <v>63</v>
      </c>
      <c r="O365" s="184" t="s">
        <v>63</v>
      </c>
      <c r="P365" s="186" t="s">
        <v>73</v>
      </c>
      <c r="Q365" s="184" t="s">
        <v>598</v>
      </c>
      <c r="R365" s="184" t="s">
        <v>598</v>
      </c>
      <c r="S365" s="127">
        <v>42907</v>
      </c>
      <c r="T365" s="184" t="s">
        <v>10</v>
      </c>
      <c r="U365" s="184" t="s">
        <v>598</v>
      </c>
      <c r="V365" s="185">
        <v>2500</v>
      </c>
      <c r="W365" s="184" t="s">
        <v>493</v>
      </c>
      <c r="X365" s="184">
        <v>2828</v>
      </c>
      <c r="Y365" s="185">
        <v>2500</v>
      </c>
      <c r="Z365" s="184" t="s">
        <v>598</v>
      </c>
      <c r="AA365" s="21" t="s">
        <v>610</v>
      </c>
      <c r="AB365" s="176" t="s">
        <v>489</v>
      </c>
      <c r="AC365" s="172">
        <v>42996.328472222223</v>
      </c>
      <c r="AD365" s="32" t="s">
        <v>552</v>
      </c>
    </row>
    <row r="366" spans="1:30">
      <c r="A366" s="184">
        <v>365</v>
      </c>
      <c r="B366" s="184" t="s">
        <v>1337</v>
      </c>
      <c r="C366" s="184" t="s">
        <v>598</v>
      </c>
      <c r="D366" s="127">
        <v>42885</v>
      </c>
      <c r="E366" s="127" t="s">
        <v>598</v>
      </c>
      <c r="F366" s="184" t="s">
        <v>1338</v>
      </c>
      <c r="G366" s="185">
        <v>0</v>
      </c>
      <c r="H366" s="184" t="s">
        <v>598</v>
      </c>
      <c r="I366" s="184" t="s">
        <v>598</v>
      </c>
      <c r="J366" s="184" t="s">
        <v>102</v>
      </c>
      <c r="K366" s="184" t="s">
        <v>170</v>
      </c>
      <c r="L366" s="184" t="s">
        <v>598</v>
      </c>
      <c r="M366" s="184" t="s">
        <v>598</v>
      </c>
      <c r="N366" s="184" t="s">
        <v>63</v>
      </c>
      <c r="O366" s="184" t="s">
        <v>598</v>
      </c>
      <c r="P366" s="186" t="s">
        <v>601</v>
      </c>
      <c r="Q366" s="184" t="s">
        <v>598</v>
      </c>
      <c r="R366" s="184" t="s">
        <v>804</v>
      </c>
      <c r="S366" s="127" t="s">
        <v>598</v>
      </c>
      <c r="T366" s="184" t="s">
        <v>598</v>
      </c>
      <c r="U366" s="184" t="s">
        <v>598</v>
      </c>
      <c r="V366" s="185">
        <v>0</v>
      </c>
      <c r="W366" s="184" t="s">
        <v>89</v>
      </c>
      <c r="X366" s="184" t="s">
        <v>598</v>
      </c>
      <c r="Y366" s="185">
        <v>0</v>
      </c>
      <c r="Z366" s="184" t="s">
        <v>598</v>
      </c>
      <c r="AA366" s="21" t="s">
        <v>822</v>
      </c>
      <c r="AB366" s="176" t="s">
        <v>489</v>
      </c>
      <c r="AC366" s="172">
        <v>42996.328472222223</v>
      </c>
      <c r="AD366" s="32" t="s">
        <v>552</v>
      </c>
    </row>
    <row r="367" spans="1:30">
      <c r="A367" s="184">
        <v>366</v>
      </c>
      <c r="B367" s="184" t="s">
        <v>1339</v>
      </c>
      <c r="C367" s="184" t="s">
        <v>598</v>
      </c>
      <c r="D367" s="127">
        <v>42885</v>
      </c>
      <c r="E367" s="127" t="s">
        <v>598</v>
      </c>
      <c r="F367" s="184" t="s">
        <v>1340</v>
      </c>
      <c r="G367" s="185">
        <v>0</v>
      </c>
      <c r="H367" s="184" t="s">
        <v>598</v>
      </c>
      <c r="I367" s="184" t="s">
        <v>598</v>
      </c>
      <c r="J367" s="184" t="s">
        <v>102</v>
      </c>
      <c r="K367" s="184" t="s">
        <v>598</v>
      </c>
      <c r="L367" s="184" t="s">
        <v>598</v>
      </c>
      <c r="M367" s="184" t="s">
        <v>598</v>
      </c>
      <c r="N367" s="184" t="s">
        <v>63</v>
      </c>
      <c r="O367" s="184" t="s">
        <v>63</v>
      </c>
      <c r="P367" s="186" t="s">
        <v>601</v>
      </c>
      <c r="Q367" s="184" t="s">
        <v>598</v>
      </c>
      <c r="R367" s="184" t="s">
        <v>598</v>
      </c>
      <c r="S367" s="127">
        <v>42888</v>
      </c>
      <c r="T367" s="184" t="s">
        <v>34</v>
      </c>
      <c r="U367" s="184" t="s">
        <v>598</v>
      </c>
      <c r="V367" s="185">
        <v>1000</v>
      </c>
      <c r="W367" s="184" t="s">
        <v>573</v>
      </c>
      <c r="X367" s="184" t="s">
        <v>598</v>
      </c>
      <c r="Y367" s="185">
        <v>0</v>
      </c>
      <c r="Z367" s="184" t="s">
        <v>598</v>
      </c>
      <c r="AA367" s="21" t="s">
        <v>822</v>
      </c>
      <c r="AB367" s="176" t="s">
        <v>489</v>
      </c>
      <c r="AC367" s="172">
        <v>42996.328472222223</v>
      </c>
      <c r="AD367" s="32" t="s">
        <v>552</v>
      </c>
    </row>
    <row r="368" spans="1:30">
      <c r="A368" s="184">
        <v>367</v>
      </c>
      <c r="B368" s="184" t="s">
        <v>1341</v>
      </c>
      <c r="C368" s="184" t="s">
        <v>598</v>
      </c>
      <c r="D368" s="127">
        <v>42885</v>
      </c>
      <c r="E368" s="127" t="s">
        <v>598</v>
      </c>
      <c r="F368" s="184" t="s">
        <v>1342</v>
      </c>
      <c r="G368" s="185">
        <v>0</v>
      </c>
      <c r="H368" s="184" t="s">
        <v>598</v>
      </c>
      <c r="I368" s="184" t="s">
        <v>598</v>
      </c>
      <c r="J368" s="184" t="s">
        <v>102</v>
      </c>
      <c r="K368" s="184" t="s">
        <v>598</v>
      </c>
      <c r="L368" s="184" t="s">
        <v>598</v>
      </c>
      <c r="M368" s="184" t="s">
        <v>598</v>
      </c>
      <c r="N368" s="184" t="s">
        <v>63</v>
      </c>
      <c r="O368" s="184" t="s">
        <v>63</v>
      </c>
      <c r="P368" s="186" t="s">
        <v>32</v>
      </c>
      <c r="Q368" s="184" t="s">
        <v>598</v>
      </c>
      <c r="R368" s="184" t="s">
        <v>598</v>
      </c>
      <c r="S368" s="127">
        <v>42889</v>
      </c>
      <c r="T368" s="184" t="s">
        <v>34</v>
      </c>
      <c r="U368" s="184" t="s">
        <v>598</v>
      </c>
      <c r="V368" s="185">
        <v>3500</v>
      </c>
      <c r="W368" s="184" t="s">
        <v>493</v>
      </c>
      <c r="X368" s="184" t="s">
        <v>598</v>
      </c>
      <c r="Y368" s="185">
        <v>0</v>
      </c>
      <c r="Z368" s="184" t="s">
        <v>598</v>
      </c>
      <c r="AA368" s="21" t="s">
        <v>610</v>
      </c>
      <c r="AB368" s="176" t="s">
        <v>489</v>
      </c>
      <c r="AC368" s="172">
        <v>42996.328472222223</v>
      </c>
      <c r="AD368" s="32" t="s">
        <v>552</v>
      </c>
    </row>
    <row r="369" spans="1:30">
      <c r="A369" s="184">
        <v>368</v>
      </c>
      <c r="B369" s="184" t="s">
        <v>1343</v>
      </c>
      <c r="C369" s="184" t="s">
        <v>598</v>
      </c>
      <c r="D369" s="127">
        <v>42885</v>
      </c>
      <c r="E369" s="127" t="s">
        <v>598</v>
      </c>
      <c r="F369" s="184" t="s">
        <v>1344</v>
      </c>
      <c r="G369" s="185">
        <v>0</v>
      </c>
      <c r="H369" s="184" t="s">
        <v>598</v>
      </c>
      <c r="I369" s="184" t="s">
        <v>598</v>
      </c>
      <c r="J369" s="184" t="s">
        <v>102</v>
      </c>
      <c r="K369" s="184" t="s">
        <v>245</v>
      </c>
      <c r="L369" s="184" t="s">
        <v>598</v>
      </c>
      <c r="M369" s="184" t="s">
        <v>598</v>
      </c>
      <c r="N369" s="184" t="s">
        <v>63</v>
      </c>
      <c r="O369" s="184" t="s">
        <v>63</v>
      </c>
      <c r="P369" s="186" t="s">
        <v>53</v>
      </c>
      <c r="Q369" s="184" t="s">
        <v>598</v>
      </c>
      <c r="R369" s="184" t="s">
        <v>598</v>
      </c>
      <c r="S369" s="127" t="s">
        <v>598</v>
      </c>
      <c r="T369" s="184" t="s">
        <v>598</v>
      </c>
      <c r="U369" s="184" t="s">
        <v>598</v>
      </c>
      <c r="V369" s="185">
        <v>0</v>
      </c>
      <c r="W369" s="184" t="s">
        <v>485</v>
      </c>
      <c r="X369" s="184">
        <v>2832</v>
      </c>
      <c r="Y369" s="185">
        <v>4000</v>
      </c>
      <c r="Z369" s="184" t="s">
        <v>598</v>
      </c>
      <c r="AA369" s="21" t="s">
        <v>610</v>
      </c>
      <c r="AB369" s="176" t="s">
        <v>489</v>
      </c>
      <c r="AC369" s="172">
        <v>42996.328472222223</v>
      </c>
      <c r="AD369" s="32" t="s">
        <v>552</v>
      </c>
    </row>
    <row r="370" spans="1:30">
      <c r="A370" s="184">
        <v>369</v>
      </c>
      <c r="B370" s="184" t="s">
        <v>1345</v>
      </c>
      <c r="C370" s="184" t="s">
        <v>598</v>
      </c>
      <c r="D370" s="127">
        <v>42886</v>
      </c>
      <c r="E370" s="127" t="s">
        <v>598</v>
      </c>
      <c r="F370" s="184" t="s">
        <v>857</v>
      </c>
      <c r="G370" s="185">
        <v>0</v>
      </c>
      <c r="H370" s="184" t="s">
        <v>598</v>
      </c>
      <c r="I370" s="184" t="s">
        <v>598</v>
      </c>
      <c r="J370" s="184" t="s">
        <v>102</v>
      </c>
      <c r="K370" s="184" t="s">
        <v>598</v>
      </c>
      <c r="L370" s="184" t="s">
        <v>598</v>
      </c>
      <c r="M370" s="184" t="s">
        <v>598</v>
      </c>
      <c r="N370" s="184" t="s">
        <v>63</v>
      </c>
      <c r="O370" s="184" t="s">
        <v>86</v>
      </c>
      <c r="P370" s="186" t="s">
        <v>44</v>
      </c>
      <c r="Q370" s="184" t="s">
        <v>598</v>
      </c>
      <c r="R370" s="184" t="s">
        <v>804</v>
      </c>
      <c r="S370" s="127" t="s">
        <v>598</v>
      </c>
      <c r="T370" s="184" t="s">
        <v>598</v>
      </c>
      <c r="U370" s="184" t="s">
        <v>598</v>
      </c>
      <c r="V370" s="185">
        <v>0</v>
      </c>
      <c r="W370" s="184" t="s">
        <v>89</v>
      </c>
      <c r="X370" s="184" t="s">
        <v>598</v>
      </c>
      <c r="Y370" s="185">
        <v>0</v>
      </c>
      <c r="Z370" s="184" t="s">
        <v>89</v>
      </c>
      <c r="AA370" s="21" t="s">
        <v>822</v>
      </c>
      <c r="AB370" s="176" t="s">
        <v>489</v>
      </c>
      <c r="AC370" s="172">
        <v>42996.328472222223</v>
      </c>
      <c r="AD370" s="32" t="s">
        <v>552</v>
      </c>
    </row>
    <row r="371" spans="1:30">
      <c r="A371" s="184">
        <v>370</v>
      </c>
      <c r="B371" s="184" t="s">
        <v>1346</v>
      </c>
      <c r="C371" s="184" t="s">
        <v>598</v>
      </c>
      <c r="D371" s="127">
        <v>42861</v>
      </c>
      <c r="E371" s="127" t="s">
        <v>598</v>
      </c>
      <c r="F371" s="184" t="s">
        <v>1347</v>
      </c>
      <c r="G371" s="185">
        <v>0</v>
      </c>
      <c r="H371" s="184" t="s">
        <v>598</v>
      </c>
      <c r="I371" s="184" t="s">
        <v>598</v>
      </c>
      <c r="J371" s="184" t="s">
        <v>38</v>
      </c>
      <c r="K371" s="184" t="s">
        <v>361</v>
      </c>
      <c r="L371" s="184" t="s">
        <v>598</v>
      </c>
      <c r="M371" s="184" t="s">
        <v>598</v>
      </c>
      <c r="N371" s="184" t="s">
        <v>63</v>
      </c>
      <c r="O371" s="184" t="s">
        <v>86</v>
      </c>
      <c r="P371" s="186" t="s">
        <v>67</v>
      </c>
      <c r="Q371" s="184" t="s">
        <v>598</v>
      </c>
      <c r="R371" s="184" t="s">
        <v>598</v>
      </c>
      <c r="S371" s="127" t="s">
        <v>598</v>
      </c>
      <c r="T371" s="184" t="s">
        <v>598</v>
      </c>
      <c r="U371" s="184" t="s">
        <v>598</v>
      </c>
      <c r="V371" s="185">
        <v>0</v>
      </c>
      <c r="W371" s="184" t="s">
        <v>485</v>
      </c>
      <c r="X371" s="184" t="s">
        <v>598</v>
      </c>
      <c r="Y371" s="185">
        <v>0</v>
      </c>
      <c r="Z371" s="184" t="s">
        <v>598</v>
      </c>
      <c r="AA371" s="21" t="s">
        <v>610</v>
      </c>
      <c r="AB371" s="176" t="s">
        <v>489</v>
      </c>
      <c r="AC371" s="172">
        <v>42996.328472222223</v>
      </c>
      <c r="AD371" s="32" t="s">
        <v>552</v>
      </c>
    </row>
    <row r="372" spans="1:30">
      <c r="A372" s="184">
        <v>371</v>
      </c>
      <c r="B372" s="184" t="s">
        <v>1348</v>
      </c>
      <c r="C372" s="184" t="s">
        <v>598</v>
      </c>
      <c r="D372" s="127">
        <v>42863</v>
      </c>
      <c r="E372" s="127" t="s">
        <v>598</v>
      </c>
      <c r="F372" s="184" t="s">
        <v>1349</v>
      </c>
      <c r="G372" s="185">
        <v>0</v>
      </c>
      <c r="H372" s="184" t="s">
        <v>598</v>
      </c>
      <c r="I372" s="184" t="s">
        <v>598</v>
      </c>
      <c r="J372" s="184" t="s">
        <v>38</v>
      </c>
      <c r="K372" s="184" t="s">
        <v>598</v>
      </c>
      <c r="L372" s="184" t="s">
        <v>598</v>
      </c>
      <c r="M372" s="184" t="s">
        <v>598</v>
      </c>
      <c r="N372" s="184" t="s">
        <v>63</v>
      </c>
      <c r="O372" s="184" t="s">
        <v>1350</v>
      </c>
      <c r="P372" s="186" t="s">
        <v>602</v>
      </c>
      <c r="Q372" s="184" t="s">
        <v>598</v>
      </c>
      <c r="R372" s="184" t="s">
        <v>598</v>
      </c>
      <c r="S372" s="127" t="s">
        <v>598</v>
      </c>
      <c r="T372" s="184" t="s">
        <v>598</v>
      </c>
      <c r="U372" s="184" t="s">
        <v>598</v>
      </c>
      <c r="V372" s="185">
        <v>0</v>
      </c>
      <c r="W372" s="184" t="s">
        <v>485</v>
      </c>
      <c r="X372" s="184" t="s">
        <v>598</v>
      </c>
      <c r="Y372" s="185">
        <v>0</v>
      </c>
      <c r="Z372" s="184" t="s">
        <v>598</v>
      </c>
      <c r="AA372" s="21" t="s">
        <v>610</v>
      </c>
      <c r="AB372" s="176" t="s">
        <v>489</v>
      </c>
      <c r="AC372" s="172">
        <v>42996.328472222223</v>
      </c>
      <c r="AD372" s="32" t="s">
        <v>552</v>
      </c>
    </row>
    <row r="373" spans="1:30">
      <c r="A373" s="184">
        <v>372</v>
      </c>
      <c r="B373" s="184" t="s">
        <v>1351</v>
      </c>
      <c r="C373" s="184" t="s">
        <v>598</v>
      </c>
      <c r="D373" s="127">
        <v>42863</v>
      </c>
      <c r="E373" s="127" t="s">
        <v>598</v>
      </c>
      <c r="F373" s="184" t="s">
        <v>1352</v>
      </c>
      <c r="G373" s="185">
        <v>0</v>
      </c>
      <c r="H373" s="184" t="s">
        <v>598</v>
      </c>
      <c r="I373" s="184" t="s">
        <v>598</v>
      </c>
      <c r="J373" s="184" t="s">
        <v>38</v>
      </c>
      <c r="K373" s="184" t="s">
        <v>354</v>
      </c>
      <c r="L373" s="184" t="s">
        <v>598</v>
      </c>
      <c r="M373" s="184" t="s">
        <v>598</v>
      </c>
      <c r="N373" s="184" t="s">
        <v>63</v>
      </c>
      <c r="O373" s="184" t="s">
        <v>1353</v>
      </c>
      <c r="P373" s="186" t="s">
        <v>603</v>
      </c>
      <c r="Q373" s="184" t="s">
        <v>598</v>
      </c>
      <c r="R373" s="184" t="s">
        <v>598</v>
      </c>
      <c r="S373" s="127" t="s">
        <v>598</v>
      </c>
      <c r="T373" s="184" t="s">
        <v>598</v>
      </c>
      <c r="U373" s="184" t="s">
        <v>598</v>
      </c>
      <c r="V373" s="185">
        <v>0</v>
      </c>
      <c r="W373" s="184" t="s">
        <v>485</v>
      </c>
      <c r="X373" s="184" t="s">
        <v>598</v>
      </c>
      <c r="Y373" s="185">
        <v>0</v>
      </c>
      <c r="Z373" s="184" t="s">
        <v>598</v>
      </c>
      <c r="AA373" s="21" t="s">
        <v>610</v>
      </c>
      <c r="AB373" s="176" t="s">
        <v>489</v>
      </c>
      <c r="AC373" s="172">
        <v>42996.328472222223</v>
      </c>
      <c r="AD373" s="32" t="s">
        <v>552</v>
      </c>
    </row>
    <row r="374" spans="1:30">
      <c r="A374" s="184">
        <v>373</v>
      </c>
      <c r="B374" s="184" t="s">
        <v>1354</v>
      </c>
      <c r="C374" s="184" t="s">
        <v>598</v>
      </c>
      <c r="D374" s="127">
        <v>42863</v>
      </c>
      <c r="E374" s="127" t="s">
        <v>598</v>
      </c>
      <c r="F374" s="184" t="s">
        <v>1355</v>
      </c>
      <c r="G374" s="185">
        <v>0</v>
      </c>
      <c r="H374" s="184" t="s">
        <v>598</v>
      </c>
      <c r="I374" s="184" t="s">
        <v>598</v>
      </c>
      <c r="J374" s="184" t="s">
        <v>38</v>
      </c>
      <c r="K374" s="184" t="s">
        <v>354</v>
      </c>
      <c r="L374" s="184" t="s">
        <v>598</v>
      </c>
      <c r="M374" s="184" t="s">
        <v>598</v>
      </c>
      <c r="N374" s="184" t="s">
        <v>63</v>
      </c>
      <c r="O374" s="184" t="s">
        <v>86</v>
      </c>
      <c r="P374" s="186" t="s">
        <v>604</v>
      </c>
      <c r="Q374" s="184" t="s">
        <v>598</v>
      </c>
      <c r="R374" s="184" t="s">
        <v>598</v>
      </c>
      <c r="S374" s="127" t="s">
        <v>598</v>
      </c>
      <c r="T374" s="184" t="s">
        <v>598</v>
      </c>
      <c r="U374" s="184" t="s">
        <v>598</v>
      </c>
      <c r="V374" s="185">
        <v>0</v>
      </c>
      <c r="W374" s="184" t="s">
        <v>485</v>
      </c>
      <c r="X374" s="184" t="s">
        <v>598</v>
      </c>
      <c r="Y374" s="185">
        <v>0</v>
      </c>
      <c r="Z374" s="184" t="s">
        <v>598</v>
      </c>
      <c r="AA374" s="21" t="s">
        <v>610</v>
      </c>
      <c r="AB374" s="176" t="s">
        <v>489</v>
      </c>
      <c r="AC374" s="172">
        <v>42996.328472222223</v>
      </c>
      <c r="AD374" s="32" t="s">
        <v>552</v>
      </c>
    </row>
    <row r="375" spans="1:30">
      <c r="A375" s="184">
        <v>374</v>
      </c>
      <c r="B375" s="184" t="s">
        <v>1356</v>
      </c>
      <c r="C375" s="184" t="s">
        <v>598</v>
      </c>
      <c r="D375" s="127">
        <v>42863</v>
      </c>
      <c r="E375" s="127" t="s">
        <v>598</v>
      </c>
      <c r="F375" s="184" t="s">
        <v>1357</v>
      </c>
      <c r="G375" s="185">
        <v>0</v>
      </c>
      <c r="H375" s="184" t="s">
        <v>598</v>
      </c>
      <c r="I375" s="184" t="s">
        <v>598</v>
      </c>
      <c r="J375" s="184" t="s">
        <v>38</v>
      </c>
      <c r="K375" s="184" t="s">
        <v>354</v>
      </c>
      <c r="L375" s="184" t="s">
        <v>598</v>
      </c>
      <c r="M375" s="184" t="s">
        <v>598</v>
      </c>
      <c r="N375" s="184" t="s">
        <v>63</v>
      </c>
      <c r="O375" s="184" t="s">
        <v>86</v>
      </c>
      <c r="P375" s="186" t="s">
        <v>605</v>
      </c>
      <c r="Q375" s="184" t="s">
        <v>598</v>
      </c>
      <c r="R375" s="184" t="s">
        <v>598</v>
      </c>
      <c r="S375" s="127" t="s">
        <v>598</v>
      </c>
      <c r="T375" s="184" t="s">
        <v>598</v>
      </c>
      <c r="U375" s="184" t="s">
        <v>598</v>
      </c>
      <c r="V375" s="185">
        <v>0</v>
      </c>
      <c r="W375" s="184" t="s">
        <v>485</v>
      </c>
      <c r="X375" s="184" t="s">
        <v>598</v>
      </c>
      <c r="Y375" s="185">
        <v>0</v>
      </c>
      <c r="Z375" s="184" t="s">
        <v>598</v>
      </c>
      <c r="AA375" s="21" t="s">
        <v>610</v>
      </c>
      <c r="AB375" s="176" t="s">
        <v>489</v>
      </c>
      <c r="AC375" s="172">
        <v>42996.328472222223</v>
      </c>
      <c r="AD375" s="32" t="s">
        <v>552</v>
      </c>
    </row>
    <row r="376" spans="1:30">
      <c r="A376" s="184">
        <v>375</v>
      </c>
      <c r="B376" s="184" t="s">
        <v>1358</v>
      </c>
      <c r="C376" s="184" t="s">
        <v>598</v>
      </c>
      <c r="D376" s="127">
        <v>42863</v>
      </c>
      <c r="E376" s="127" t="s">
        <v>598</v>
      </c>
      <c r="F376" s="184" t="s">
        <v>1357</v>
      </c>
      <c r="G376" s="185">
        <v>0</v>
      </c>
      <c r="H376" s="184" t="s">
        <v>598</v>
      </c>
      <c r="I376" s="184" t="s">
        <v>598</v>
      </c>
      <c r="J376" s="184" t="s">
        <v>38</v>
      </c>
      <c r="K376" s="184" t="s">
        <v>354</v>
      </c>
      <c r="L376" s="184" t="s">
        <v>598</v>
      </c>
      <c r="M376" s="184" t="s">
        <v>598</v>
      </c>
      <c r="N376" s="184" t="s">
        <v>63</v>
      </c>
      <c r="O376" s="184" t="s">
        <v>86</v>
      </c>
      <c r="P376" s="186" t="s">
        <v>606</v>
      </c>
      <c r="Q376" s="184" t="s">
        <v>598</v>
      </c>
      <c r="R376" s="184" t="s">
        <v>598</v>
      </c>
      <c r="S376" s="127" t="s">
        <v>598</v>
      </c>
      <c r="T376" s="184" t="s">
        <v>598</v>
      </c>
      <c r="U376" s="184" t="s">
        <v>598</v>
      </c>
      <c r="V376" s="185">
        <v>0</v>
      </c>
      <c r="W376" s="184" t="s">
        <v>485</v>
      </c>
      <c r="X376" s="184" t="s">
        <v>598</v>
      </c>
      <c r="Y376" s="185">
        <v>0</v>
      </c>
      <c r="Z376" s="184" t="s">
        <v>598</v>
      </c>
      <c r="AA376" s="21" t="s">
        <v>610</v>
      </c>
      <c r="AB376" s="176" t="s">
        <v>489</v>
      </c>
      <c r="AC376" s="172">
        <v>42996.328472222223</v>
      </c>
      <c r="AD376" s="32" t="s">
        <v>552</v>
      </c>
    </row>
    <row r="377" spans="1:30">
      <c r="A377" s="184">
        <v>376</v>
      </c>
      <c r="B377" s="184" t="s">
        <v>1359</v>
      </c>
      <c r="C377" s="184" t="s">
        <v>598</v>
      </c>
      <c r="D377" s="127">
        <v>42865</v>
      </c>
      <c r="E377" s="127" t="s">
        <v>598</v>
      </c>
      <c r="F377" s="184" t="s">
        <v>1360</v>
      </c>
      <c r="G377" s="185">
        <v>0</v>
      </c>
      <c r="H377" s="184" t="s">
        <v>598</v>
      </c>
      <c r="I377" s="184" t="s">
        <v>598</v>
      </c>
      <c r="J377" s="184" t="s">
        <v>38</v>
      </c>
      <c r="K377" s="184" t="s">
        <v>354</v>
      </c>
      <c r="L377" s="184" t="s">
        <v>598</v>
      </c>
      <c r="M377" s="184" t="s">
        <v>598</v>
      </c>
      <c r="N377" s="184" t="s">
        <v>63</v>
      </c>
      <c r="O377" s="184" t="s">
        <v>1353</v>
      </c>
      <c r="P377" s="186" t="s">
        <v>607</v>
      </c>
      <c r="Q377" s="184" t="s">
        <v>598</v>
      </c>
      <c r="R377" s="184" t="s">
        <v>598</v>
      </c>
      <c r="S377" s="127" t="s">
        <v>598</v>
      </c>
      <c r="T377" s="184" t="s">
        <v>598</v>
      </c>
      <c r="U377" s="184" t="s">
        <v>598</v>
      </c>
      <c r="V377" s="185">
        <v>0</v>
      </c>
      <c r="W377" s="184" t="s">
        <v>485</v>
      </c>
      <c r="X377" s="184" t="s">
        <v>598</v>
      </c>
      <c r="Y377" s="185">
        <v>0</v>
      </c>
      <c r="Z377" s="184" t="s">
        <v>598</v>
      </c>
      <c r="AA377" s="21" t="s">
        <v>610</v>
      </c>
      <c r="AB377" s="176" t="s">
        <v>489</v>
      </c>
      <c r="AC377" s="172">
        <v>42996.328472222223</v>
      </c>
      <c r="AD377" s="32" t="s">
        <v>552</v>
      </c>
    </row>
    <row r="378" spans="1:30">
      <c r="A378" s="184">
        <v>377</v>
      </c>
      <c r="B378" s="184" t="s">
        <v>1361</v>
      </c>
      <c r="C378" s="184" t="s">
        <v>598</v>
      </c>
      <c r="D378" s="127">
        <v>42865</v>
      </c>
      <c r="E378" s="127" t="s">
        <v>598</v>
      </c>
      <c r="F378" s="184" t="s">
        <v>1362</v>
      </c>
      <c r="G378" s="185">
        <v>0</v>
      </c>
      <c r="H378" s="184" t="s">
        <v>598</v>
      </c>
      <c r="I378" s="184" t="s">
        <v>598</v>
      </c>
      <c r="J378" s="184" t="s">
        <v>38</v>
      </c>
      <c r="K378" s="184" t="s">
        <v>354</v>
      </c>
      <c r="L378" s="184" t="s">
        <v>598</v>
      </c>
      <c r="M378" s="184" t="s">
        <v>598</v>
      </c>
      <c r="N378" s="184" t="s">
        <v>63</v>
      </c>
      <c r="O378" s="184" t="s">
        <v>85</v>
      </c>
      <c r="P378" s="186" t="s">
        <v>73</v>
      </c>
      <c r="Q378" s="184" t="s">
        <v>598</v>
      </c>
      <c r="R378" s="184" t="s">
        <v>598</v>
      </c>
      <c r="S378" s="127" t="s">
        <v>598</v>
      </c>
      <c r="T378" s="184" t="s">
        <v>598</v>
      </c>
      <c r="U378" s="184" t="s">
        <v>598</v>
      </c>
      <c r="V378" s="185">
        <v>0</v>
      </c>
      <c r="W378" s="184" t="s">
        <v>485</v>
      </c>
      <c r="X378" s="184" t="s">
        <v>598</v>
      </c>
      <c r="Y378" s="185">
        <v>0</v>
      </c>
      <c r="Z378" s="184" t="s">
        <v>598</v>
      </c>
      <c r="AA378" s="21" t="s">
        <v>610</v>
      </c>
      <c r="AB378" s="176" t="s">
        <v>489</v>
      </c>
      <c r="AC378" s="172">
        <v>42996.328472222223</v>
      </c>
      <c r="AD378" s="32" t="s">
        <v>552</v>
      </c>
    </row>
    <row r="379" spans="1:30">
      <c r="A379" s="184">
        <v>378</v>
      </c>
      <c r="B379" s="184" t="s">
        <v>1363</v>
      </c>
      <c r="C379" s="184" t="s">
        <v>598</v>
      </c>
      <c r="D379" s="127">
        <v>42865</v>
      </c>
      <c r="E379" s="127" t="s">
        <v>598</v>
      </c>
      <c r="F379" s="184" t="s">
        <v>1364</v>
      </c>
      <c r="G379" s="185">
        <v>0</v>
      </c>
      <c r="H379" s="184" t="s">
        <v>598</v>
      </c>
      <c r="I379" s="184" t="s">
        <v>598</v>
      </c>
      <c r="J379" s="184" t="s">
        <v>38</v>
      </c>
      <c r="K379" s="184" t="s">
        <v>354</v>
      </c>
      <c r="L379" s="184" t="s">
        <v>598</v>
      </c>
      <c r="M379" s="184" t="s">
        <v>598</v>
      </c>
      <c r="N379" s="184" t="s">
        <v>63</v>
      </c>
      <c r="O379" s="184" t="s">
        <v>85</v>
      </c>
      <c r="P379" s="186" t="s">
        <v>601</v>
      </c>
      <c r="Q379" s="184" t="s">
        <v>598</v>
      </c>
      <c r="R379" s="184" t="s">
        <v>598</v>
      </c>
      <c r="S379" s="127" t="s">
        <v>598</v>
      </c>
      <c r="T379" s="184" t="s">
        <v>598</v>
      </c>
      <c r="U379" s="184" t="s">
        <v>598</v>
      </c>
      <c r="V379" s="185">
        <v>0</v>
      </c>
      <c r="W379" s="184" t="s">
        <v>485</v>
      </c>
      <c r="X379" s="184" t="s">
        <v>598</v>
      </c>
      <c r="Y379" s="185">
        <v>0</v>
      </c>
      <c r="Z379" s="184" t="s">
        <v>598</v>
      </c>
      <c r="AA379" s="21" t="s">
        <v>610</v>
      </c>
      <c r="AB379" s="176" t="s">
        <v>489</v>
      </c>
      <c r="AC379" s="172">
        <v>42996.328472222223</v>
      </c>
      <c r="AD379" s="32" t="s">
        <v>552</v>
      </c>
    </row>
    <row r="380" spans="1:30">
      <c r="A380" s="184">
        <v>379</v>
      </c>
      <c r="B380" s="184" t="s">
        <v>1365</v>
      </c>
      <c r="C380" s="184" t="s">
        <v>598</v>
      </c>
      <c r="D380" s="127">
        <v>42879</v>
      </c>
      <c r="E380" s="127" t="s">
        <v>598</v>
      </c>
      <c r="F380" s="184" t="s">
        <v>1366</v>
      </c>
      <c r="G380" s="185">
        <v>0</v>
      </c>
      <c r="H380" s="184" t="s">
        <v>598</v>
      </c>
      <c r="I380" s="184" t="s">
        <v>598</v>
      </c>
      <c r="J380" s="184" t="s">
        <v>38</v>
      </c>
      <c r="K380" s="184" t="s">
        <v>354</v>
      </c>
      <c r="L380" s="184" t="s">
        <v>598</v>
      </c>
      <c r="M380" s="184" t="s">
        <v>598</v>
      </c>
      <c r="N380" s="184" t="s">
        <v>63</v>
      </c>
      <c r="O380" s="184" t="s">
        <v>1367</v>
      </c>
      <c r="P380" s="186" t="s">
        <v>32</v>
      </c>
      <c r="Q380" s="184" t="s">
        <v>598</v>
      </c>
      <c r="R380" s="184" t="s">
        <v>598</v>
      </c>
      <c r="S380" s="127" t="s">
        <v>598</v>
      </c>
      <c r="T380" s="184" t="s">
        <v>598</v>
      </c>
      <c r="U380" s="184" t="s">
        <v>598</v>
      </c>
      <c r="V380" s="185">
        <v>0</v>
      </c>
      <c r="W380" s="184" t="s">
        <v>485</v>
      </c>
      <c r="X380" s="184" t="s">
        <v>598</v>
      </c>
      <c r="Y380" s="185">
        <v>0</v>
      </c>
      <c r="Z380" s="184" t="s">
        <v>598</v>
      </c>
      <c r="AA380" s="21" t="s">
        <v>610</v>
      </c>
      <c r="AB380" s="176" t="s">
        <v>489</v>
      </c>
      <c r="AC380" s="172">
        <v>42996.328472222223</v>
      </c>
      <c r="AD380" s="32" t="s">
        <v>552</v>
      </c>
    </row>
    <row r="381" spans="1:30">
      <c r="A381" s="184">
        <v>380</v>
      </c>
      <c r="B381" s="184" t="s">
        <v>1368</v>
      </c>
      <c r="C381" s="184" t="s">
        <v>598</v>
      </c>
      <c r="D381" s="127">
        <v>42879</v>
      </c>
      <c r="E381" s="127" t="s">
        <v>598</v>
      </c>
      <c r="F381" s="184" t="s">
        <v>1369</v>
      </c>
      <c r="G381" s="185">
        <v>0</v>
      </c>
      <c r="H381" s="184" t="s">
        <v>598</v>
      </c>
      <c r="I381" s="184" t="s">
        <v>598</v>
      </c>
      <c r="J381" s="184" t="s">
        <v>38</v>
      </c>
      <c r="K381" s="184" t="s">
        <v>354</v>
      </c>
      <c r="L381" s="184" t="s">
        <v>598</v>
      </c>
      <c r="M381" s="184" t="s">
        <v>598</v>
      </c>
      <c r="N381" s="184" t="s">
        <v>63</v>
      </c>
      <c r="O381" s="184" t="s">
        <v>1370</v>
      </c>
      <c r="P381" s="186" t="s">
        <v>53</v>
      </c>
      <c r="Q381" s="184" t="s">
        <v>598</v>
      </c>
      <c r="R381" s="184" t="s">
        <v>598</v>
      </c>
      <c r="S381" s="127" t="s">
        <v>598</v>
      </c>
      <c r="T381" s="184" t="s">
        <v>598</v>
      </c>
      <c r="U381" s="184" t="s">
        <v>598</v>
      </c>
      <c r="V381" s="185">
        <v>0</v>
      </c>
      <c r="W381" s="184" t="s">
        <v>485</v>
      </c>
      <c r="X381" s="184" t="s">
        <v>598</v>
      </c>
      <c r="Y381" s="185">
        <v>0</v>
      </c>
      <c r="Z381" s="184" t="s">
        <v>598</v>
      </c>
      <c r="AA381" s="21" t="s">
        <v>610</v>
      </c>
      <c r="AB381" s="176" t="s">
        <v>489</v>
      </c>
      <c r="AC381" s="172">
        <v>42996.328472222223</v>
      </c>
      <c r="AD381" s="32" t="s">
        <v>552</v>
      </c>
    </row>
    <row r="382" spans="1:30">
      <c r="A382" s="184">
        <v>381</v>
      </c>
      <c r="B382" s="184" t="s">
        <v>1371</v>
      </c>
      <c r="C382" s="184" t="s">
        <v>598</v>
      </c>
      <c r="D382" s="127">
        <v>42879</v>
      </c>
      <c r="E382" s="127" t="s">
        <v>598</v>
      </c>
      <c r="F382" s="184" t="s">
        <v>1372</v>
      </c>
      <c r="G382" s="185">
        <v>0</v>
      </c>
      <c r="H382" s="184" t="s">
        <v>598</v>
      </c>
      <c r="I382" s="184" t="s">
        <v>598</v>
      </c>
      <c r="J382" s="184" t="s">
        <v>38</v>
      </c>
      <c r="K382" s="184" t="s">
        <v>354</v>
      </c>
      <c r="L382" s="184" t="s">
        <v>598</v>
      </c>
      <c r="M382" s="184" t="s">
        <v>598</v>
      </c>
      <c r="N382" s="184" t="s">
        <v>63</v>
      </c>
      <c r="O382" s="184" t="s">
        <v>1367</v>
      </c>
      <c r="P382" s="186" t="s">
        <v>44</v>
      </c>
      <c r="Q382" s="184" t="s">
        <v>598</v>
      </c>
      <c r="R382" s="184" t="s">
        <v>598</v>
      </c>
      <c r="S382" s="127" t="s">
        <v>598</v>
      </c>
      <c r="T382" s="184" t="s">
        <v>598</v>
      </c>
      <c r="U382" s="184" t="s">
        <v>598</v>
      </c>
      <c r="V382" s="185">
        <v>0</v>
      </c>
      <c r="W382" s="184" t="s">
        <v>485</v>
      </c>
      <c r="X382" s="184" t="s">
        <v>598</v>
      </c>
      <c r="Y382" s="185">
        <v>0</v>
      </c>
      <c r="Z382" s="184" t="s">
        <v>598</v>
      </c>
      <c r="AA382" s="21" t="s">
        <v>610</v>
      </c>
      <c r="AB382" s="176" t="s">
        <v>489</v>
      </c>
      <c r="AC382" s="172">
        <v>42996.328472222223</v>
      </c>
      <c r="AD382" s="32" t="s">
        <v>552</v>
      </c>
    </row>
    <row r="383" spans="1:30">
      <c r="A383" s="184">
        <v>382</v>
      </c>
      <c r="B383" s="184" t="s">
        <v>1373</v>
      </c>
      <c r="C383" s="184" t="s">
        <v>598</v>
      </c>
      <c r="D383" s="127">
        <v>42879</v>
      </c>
      <c r="E383" s="127" t="s">
        <v>598</v>
      </c>
      <c r="F383" s="184" t="s">
        <v>1355</v>
      </c>
      <c r="G383" s="185">
        <v>0</v>
      </c>
      <c r="H383" s="184" t="s">
        <v>598</v>
      </c>
      <c r="I383" s="184" t="s">
        <v>598</v>
      </c>
      <c r="J383" s="184" t="s">
        <v>38</v>
      </c>
      <c r="K383" s="184" t="s">
        <v>354</v>
      </c>
      <c r="L383" s="184" t="s">
        <v>598</v>
      </c>
      <c r="M383" s="184" t="s">
        <v>598</v>
      </c>
      <c r="N383" s="184" t="s">
        <v>63</v>
      </c>
      <c r="O383" s="184" t="s">
        <v>86</v>
      </c>
      <c r="P383" s="186" t="s">
        <v>67</v>
      </c>
      <c r="Q383" s="184" t="s">
        <v>598</v>
      </c>
      <c r="R383" s="184" t="s">
        <v>598</v>
      </c>
      <c r="S383" s="127" t="s">
        <v>598</v>
      </c>
      <c r="T383" s="184" t="s">
        <v>598</v>
      </c>
      <c r="U383" s="184" t="s">
        <v>598</v>
      </c>
      <c r="V383" s="185">
        <v>0</v>
      </c>
      <c r="W383" s="184" t="s">
        <v>485</v>
      </c>
      <c r="X383" s="184" t="s">
        <v>598</v>
      </c>
      <c r="Y383" s="185">
        <v>0</v>
      </c>
      <c r="Z383" s="184" t="s">
        <v>598</v>
      </c>
      <c r="AA383" s="21" t="s">
        <v>610</v>
      </c>
      <c r="AB383" s="176" t="s">
        <v>489</v>
      </c>
      <c r="AC383" s="172">
        <v>42996.328472222223</v>
      </c>
      <c r="AD383" s="32" t="s">
        <v>552</v>
      </c>
    </row>
    <row r="384" spans="1:30">
      <c r="A384" s="184">
        <v>383</v>
      </c>
      <c r="B384" s="184" t="s">
        <v>1374</v>
      </c>
      <c r="C384" s="184" t="s">
        <v>598</v>
      </c>
      <c r="D384" s="127">
        <v>42879</v>
      </c>
      <c r="E384" s="127" t="s">
        <v>598</v>
      </c>
      <c r="F384" s="184" t="s">
        <v>1357</v>
      </c>
      <c r="G384" s="185">
        <v>0</v>
      </c>
      <c r="H384" s="184" t="s">
        <v>598</v>
      </c>
      <c r="I384" s="184" t="s">
        <v>598</v>
      </c>
      <c r="J384" s="184" t="s">
        <v>38</v>
      </c>
      <c r="K384" s="184" t="s">
        <v>354</v>
      </c>
      <c r="L384" s="184" t="s">
        <v>598</v>
      </c>
      <c r="M384" s="184" t="s">
        <v>598</v>
      </c>
      <c r="N384" s="184" t="s">
        <v>63</v>
      </c>
      <c r="O384" s="184" t="s">
        <v>598</v>
      </c>
      <c r="P384" s="186" t="s">
        <v>602</v>
      </c>
      <c r="Q384" s="184" t="s">
        <v>598</v>
      </c>
      <c r="R384" s="184" t="s">
        <v>598</v>
      </c>
      <c r="S384" s="127" t="s">
        <v>598</v>
      </c>
      <c r="T384" s="184" t="s">
        <v>598</v>
      </c>
      <c r="U384" s="184" t="s">
        <v>598</v>
      </c>
      <c r="V384" s="185">
        <v>0</v>
      </c>
      <c r="W384" s="184" t="s">
        <v>485</v>
      </c>
      <c r="X384" s="184" t="s">
        <v>598</v>
      </c>
      <c r="Y384" s="185">
        <v>0</v>
      </c>
      <c r="Z384" s="184" t="s">
        <v>598</v>
      </c>
      <c r="AA384" s="21" t="s">
        <v>610</v>
      </c>
      <c r="AB384" s="176" t="s">
        <v>489</v>
      </c>
      <c r="AC384" s="172">
        <v>42996.328472222223</v>
      </c>
      <c r="AD384" s="32" t="s">
        <v>552</v>
      </c>
    </row>
    <row r="385" spans="1:30">
      <c r="A385" s="184">
        <v>384</v>
      </c>
      <c r="B385" s="184" t="s">
        <v>1375</v>
      </c>
      <c r="C385" s="184" t="s">
        <v>598</v>
      </c>
      <c r="D385" s="127">
        <v>42879</v>
      </c>
      <c r="E385" s="127" t="s">
        <v>598</v>
      </c>
      <c r="F385" s="184" t="s">
        <v>1357</v>
      </c>
      <c r="G385" s="185">
        <v>0</v>
      </c>
      <c r="H385" s="184" t="s">
        <v>598</v>
      </c>
      <c r="I385" s="184" t="s">
        <v>598</v>
      </c>
      <c r="J385" s="184" t="s">
        <v>38</v>
      </c>
      <c r="K385" s="184" t="s">
        <v>598</v>
      </c>
      <c r="L385" s="184" t="s">
        <v>598</v>
      </c>
      <c r="M385" s="184" t="s">
        <v>598</v>
      </c>
      <c r="N385" s="184" t="s">
        <v>63</v>
      </c>
      <c r="O385" s="184" t="s">
        <v>598</v>
      </c>
      <c r="P385" s="186" t="s">
        <v>603</v>
      </c>
      <c r="Q385" s="184" t="s">
        <v>598</v>
      </c>
      <c r="R385" s="184" t="s">
        <v>598</v>
      </c>
      <c r="S385" s="127" t="s">
        <v>598</v>
      </c>
      <c r="T385" s="184" t="s">
        <v>598</v>
      </c>
      <c r="U385" s="184" t="s">
        <v>598</v>
      </c>
      <c r="V385" s="185">
        <v>0</v>
      </c>
      <c r="W385" s="184" t="s">
        <v>485</v>
      </c>
      <c r="X385" s="184" t="s">
        <v>598</v>
      </c>
      <c r="Y385" s="185">
        <v>0</v>
      </c>
      <c r="Z385" s="184" t="s">
        <v>598</v>
      </c>
      <c r="AA385" s="21" t="s">
        <v>610</v>
      </c>
      <c r="AB385" s="176" t="s">
        <v>489</v>
      </c>
      <c r="AC385" s="172">
        <v>42996.328472222223</v>
      </c>
      <c r="AD385" s="32" t="s">
        <v>552</v>
      </c>
    </row>
    <row r="386" spans="1:30">
      <c r="A386" s="184">
        <v>385</v>
      </c>
      <c r="B386" s="184" t="s">
        <v>1376</v>
      </c>
      <c r="C386" s="184" t="s">
        <v>598</v>
      </c>
      <c r="D386" s="127">
        <v>42885</v>
      </c>
      <c r="E386" s="127" t="s">
        <v>598</v>
      </c>
      <c r="F386" s="184" t="s">
        <v>1377</v>
      </c>
      <c r="G386" s="185">
        <v>0</v>
      </c>
      <c r="H386" s="184" t="s">
        <v>598</v>
      </c>
      <c r="I386" s="184" t="s">
        <v>598</v>
      </c>
      <c r="J386" s="184" t="s">
        <v>38</v>
      </c>
      <c r="K386" s="184" t="s">
        <v>354</v>
      </c>
      <c r="L386" s="184" t="s">
        <v>598</v>
      </c>
      <c r="M386" s="184" t="s">
        <v>598</v>
      </c>
      <c r="N386" s="184" t="s">
        <v>63</v>
      </c>
      <c r="O386" s="184" t="s">
        <v>86</v>
      </c>
      <c r="P386" s="186" t="s">
        <v>604</v>
      </c>
      <c r="Q386" s="184" t="s">
        <v>598</v>
      </c>
      <c r="R386" s="184" t="s">
        <v>598</v>
      </c>
      <c r="S386" s="127" t="s">
        <v>598</v>
      </c>
      <c r="T386" s="184" t="s">
        <v>598</v>
      </c>
      <c r="U386" s="184" t="s">
        <v>598</v>
      </c>
      <c r="V386" s="185">
        <v>0</v>
      </c>
      <c r="W386" s="184" t="s">
        <v>485</v>
      </c>
      <c r="X386" s="184" t="s">
        <v>598</v>
      </c>
      <c r="Y386" s="185">
        <v>0</v>
      </c>
      <c r="Z386" s="184" t="s">
        <v>598</v>
      </c>
      <c r="AA386" s="21" t="s">
        <v>610</v>
      </c>
      <c r="AB386" s="176" t="s">
        <v>489</v>
      </c>
      <c r="AC386" s="172">
        <v>42996.328472222223</v>
      </c>
      <c r="AD386" s="32" t="s">
        <v>552</v>
      </c>
    </row>
    <row r="387" spans="1:30">
      <c r="A387" s="184">
        <v>386</v>
      </c>
      <c r="B387" s="184" t="s">
        <v>1378</v>
      </c>
      <c r="C387" s="184" t="s">
        <v>598</v>
      </c>
      <c r="D387" s="127">
        <v>42567</v>
      </c>
      <c r="E387" s="127" t="s">
        <v>598</v>
      </c>
      <c r="F387" s="184" t="s">
        <v>1379</v>
      </c>
      <c r="G387" s="185">
        <v>0</v>
      </c>
      <c r="H387" s="184" t="s">
        <v>598</v>
      </c>
      <c r="I387" s="184" t="s">
        <v>134</v>
      </c>
      <c r="J387" s="184" t="s">
        <v>49</v>
      </c>
      <c r="K387" s="184" t="s">
        <v>246</v>
      </c>
      <c r="L387" s="184" t="s">
        <v>598</v>
      </c>
      <c r="M387" s="184" t="s">
        <v>598</v>
      </c>
      <c r="N387" s="184" t="s">
        <v>79</v>
      </c>
      <c r="O387" s="184" t="s">
        <v>112</v>
      </c>
      <c r="P387" s="186" t="s">
        <v>605</v>
      </c>
      <c r="Q387" s="184" t="s">
        <v>598</v>
      </c>
      <c r="R387" s="184" t="s">
        <v>598</v>
      </c>
      <c r="S387" s="127">
        <v>42909</v>
      </c>
      <c r="T387" s="184" t="s">
        <v>10</v>
      </c>
      <c r="U387" s="184" t="s">
        <v>598</v>
      </c>
      <c r="V387" s="185">
        <v>5000</v>
      </c>
      <c r="W387" s="184" t="s">
        <v>493</v>
      </c>
      <c r="X387" s="184" t="s">
        <v>598</v>
      </c>
      <c r="Y387" s="185">
        <v>0</v>
      </c>
      <c r="Z387" s="184" t="s">
        <v>598</v>
      </c>
      <c r="AA387" s="21" t="s">
        <v>610</v>
      </c>
      <c r="AB387" s="176" t="s">
        <v>489</v>
      </c>
      <c r="AC387" s="172">
        <v>42996.328472222223</v>
      </c>
      <c r="AD387" s="32" t="s">
        <v>552</v>
      </c>
    </row>
    <row r="388" spans="1:30">
      <c r="A388" s="184">
        <v>387</v>
      </c>
      <c r="B388" s="184" t="s">
        <v>1380</v>
      </c>
      <c r="C388" s="184" t="s">
        <v>598</v>
      </c>
      <c r="D388" s="127">
        <v>42668</v>
      </c>
      <c r="E388" s="127" t="s">
        <v>598</v>
      </c>
      <c r="F388" s="184" t="s">
        <v>1381</v>
      </c>
      <c r="G388" s="185">
        <v>0</v>
      </c>
      <c r="H388" s="184" t="s">
        <v>598</v>
      </c>
      <c r="I388" s="184" t="s">
        <v>134</v>
      </c>
      <c r="J388" s="184" t="s">
        <v>49</v>
      </c>
      <c r="K388" s="184" t="s">
        <v>1382</v>
      </c>
      <c r="L388" s="184" t="s">
        <v>598</v>
      </c>
      <c r="M388" s="184" t="s">
        <v>598</v>
      </c>
      <c r="N388" s="184" t="s">
        <v>79</v>
      </c>
      <c r="O388" s="184" t="s">
        <v>112</v>
      </c>
      <c r="P388" s="186" t="s">
        <v>606</v>
      </c>
      <c r="Q388" s="184" t="s">
        <v>598</v>
      </c>
      <c r="R388" s="184" t="s">
        <v>598</v>
      </c>
      <c r="S388" s="127">
        <v>42909</v>
      </c>
      <c r="T388" s="184" t="s">
        <v>10</v>
      </c>
      <c r="U388" s="184" t="s">
        <v>598</v>
      </c>
      <c r="V388" s="185">
        <v>5000</v>
      </c>
      <c r="W388" s="184" t="s">
        <v>493</v>
      </c>
      <c r="X388" s="184" t="s">
        <v>598</v>
      </c>
      <c r="Y388" s="185">
        <v>0</v>
      </c>
      <c r="Z388" s="184" t="s">
        <v>598</v>
      </c>
      <c r="AA388" s="21" t="s">
        <v>610</v>
      </c>
      <c r="AB388" s="176" t="s">
        <v>489</v>
      </c>
      <c r="AC388" s="172">
        <v>42996.328472222223</v>
      </c>
      <c r="AD388" s="32" t="s">
        <v>552</v>
      </c>
    </row>
    <row r="389" spans="1:30">
      <c r="A389" s="184">
        <v>388</v>
      </c>
      <c r="B389" s="184" t="s">
        <v>1383</v>
      </c>
      <c r="C389" s="184" t="s">
        <v>598</v>
      </c>
      <c r="D389" s="127">
        <v>42681</v>
      </c>
      <c r="E389" s="127" t="s">
        <v>598</v>
      </c>
      <c r="F389" s="184" t="s">
        <v>1384</v>
      </c>
      <c r="G389" s="185">
        <v>0</v>
      </c>
      <c r="H389" s="184" t="s">
        <v>598</v>
      </c>
      <c r="I389" s="184" t="s">
        <v>115</v>
      </c>
      <c r="J389" s="184" t="s">
        <v>49</v>
      </c>
      <c r="K389" s="184" t="s">
        <v>598</v>
      </c>
      <c r="L389" s="184" t="s">
        <v>598</v>
      </c>
      <c r="M389" s="184" t="s">
        <v>598</v>
      </c>
      <c r="N389" s="184" t="s">
        <v>79</v>
      </c>
      <c r="O389" s="184" t="s">
        <v>85</v>
      </c>
      <c r="P389" s="186" t="s">
        <v>607</v>
      </c>
      <c r="Q389" s="184" t="s">
        <v>598</v>
      </c>
      <c r="R389" s="184" t="s">
        <v>598</v>
      </c>
      <c r="S389" s="127">
        <v>42888</v>
      </c>
      <c r="T389" s="184" t="s">
        <v>10</v>
      </c>
      <c r="U389" s="184" t="s">
        <v>598</v>
      </c>
      <c r="V389" s="185">
        <v>8000</v>
      </c>
      <c r="W389" s="184" t="s">
        <v>493</v>
      </c>
      <c r="X389" s="184" t="s">
        <v>598</v>
      </c>
      <c r="Y389" s="185">
        <v>0</v>
      </c>
      <c r="Z389" s="184" t="s">
        <v>598</v>
      </c>
      <c r="AA389" s="21" t="s">
        <v>610</v>
      </c>
      <c r="AB389" s="176" t="s">
        <v>489</v>
      </c>
      <c r="AC389" s="172">
        <v>42996.328472222223</v>
      </c>
      <c r="AD389" s="32" t="s">
        <v>552</v>
      </c>
    </row>
    <row r="390" spans="1:30">
      <c r="A390" s="184">
        <v>389</v>
      </c>
      <c r="B390" s="184" t="s">
        <v>1385</v>
      </c>
      <c r="C390" s="184" t="s">
        <v>598</v>
      </c>
      <c r="D390" s="127">
        <v>42744</v>
      </c>
      <c r="E390" s="127" t="s">
        <v>598</v>
      </c>
      <c r="F390" s="184" t="s">
        <v>1386</v>
      </c>
      <c r="G390" s="185">
        <v>0</v>
      </c>
      <c r="H390" s="184" t="s">
        <v>598</v>
      </c>
      <c r="I390" s="184" t="s">
        <v>134</v>
      </c>
      <c r="J390" s="184" t="s">
        <v>49</v>
      </c>
      <c r="K390" s="184" t="s">
        <v>247</v>
      </c>
      <c r="L390" s="184" t="s">
        <v>598</v>
      </c>
      <c r="M390" s="184" t="s">
        <v>598</v>
      </c>
      <c r="N390" s="184" t="s">
        <v>79</v>
      </c>
      <c r="O390" s="184" t="s">
        <v>112</v>
      </c>
      <c r="P390" s="186" t="s">
        <v>73</v>
      </c>
      <c r="Q390" s="184" t="s">
        <v>598</v>
      </c>
      <c r="R390" s="184" t="s">
        <v>598</v>
      </c>
      <c r="S390" s="127" t="s">
        <v>598</v>
      </c>
      <c r="T390" s="184" t="s">
        <v>598</v>
      </c>
      <c r="U390" s="184" t="s">
        <v>598</v>
      </c>
      <c r="V390" s="185">
        <v>0</v>
      </c>
      <c r="W390" s="184" t="s">
        <v>485</v>
      </c>
      <c r="X390" s="184" t="s">
        <v>598</v>
      </c>
      <c r="Y390" s="185">
        <v>0</v>
      </c>
      <c r="Z390" s="184" t="s">
        <v>598</v>
      </c>
      <c r="AA390" s="21" t="s">
        <v>610</v>
      </c>
      <c r="AB390" s="176" t="s">
        <v>489</v>
      </c>
      <c r="AC390" s="172">
        <v>42996.328472222223</v>
      </c>
      <c r="AD390" s="32" t="s">
        <v>552</v>
      </c>
    </row>
    <row r="391" spans="1:30">
      <c r="A391" s="184">
        <v>390</v>
      </c>
      <c r="B391" s="184" t="s">
        <v>1387</v>
      </c>
      <c r="C391" s="184" t="s">
        <v>598</v>
      </c>
      <c r="D391" s="127">
        <v>42754</v>
      </c>
      <c r="E391" s="127" t="s">
        <v>598</v>
      </c>
      <c r="F391" s="184" t="s">
        <v>1388</v>
      </c>
      <c r="G391" s="185">
        <v>0</v>
      </c>
      <c r="H391" s="184" t="s">
        <v>598</v>
      </c>
      <c r="I391" s="184" t="s">
        <v>115</v>
      </c>
      <c r="J391" s="184" t="s">
        <v>49</v>
      </c>
      <c r="K391" s="184" t="s">
        <v>598</v>
      </c>
      <c r="L391" s="184" t="s">
        <v>598</v>
      </c>
      <c r="M391" s="184" t="s">
        <v>598</v>
      </c>
      <c r="N391" s="184" t="s">
        <v>79</v>
      </c>
      <c r="O391" s="184" t="s">
        <v>112</v>
      </c>
      <c r="P391" s="186" t="s">
        <v>601</v>
      </c>
      <c r="Q391" s="184" t="s">
        <v>598</v>
      </c>
      <c r="R391" s="184" t="s">
        <v>598</v>
      </c>
      <c r="S391" s="127">
        <v>42888</v>
      </c>
      <c r="T391" s="184" t="s">
        <v>10</v>
      </c>
      <c r="U391" s="184" t="s">
        <v>598</v>
      </c>
      <c r="V391" s="185">
        <v>8000</v>
      </c>
      <c r="W391" s="184" t="s">
        <v>493</v>
      </c>
      <c r="X391" s="184" t="s">
        <v>598</v>
      </c>
      <c r="Y391" s="185">
        <v>0</v>
      </c>
      <c r="Z391" s="184" t="s">
        <v>598</v>
      </c>
      <c r="AA391" s="21" t="s">
        <v>610</v>
      </c>
      <c r="AB391" s="176" t="s">
        <v>489</v>
      </c>
      <c r="AC391" s="172">
        <v>42996.328472222223</v>
      </c>
      <c r="AD391" s="32" t="s">
        <v>552</v>
      </c>
    </row>
    <row r="392" spans="1:30">
      <c r="A392" s="184">
        <v>391</v>
      </c>
      <c r="B392" s="184" t="s">
        <v>1389</v>
      </c>
      <c r="C392" s="184" t="s">
        <v>598</v>
      </c>
      <c r="D392" s="127">
        <v>42773</v>
      </c>
      <c r="E392" s="127" t="s">
        <v>598</v>
      </c>
      <c r="F392" s="184" t="s">
        <v>626</v>
      </c>
      <c r="G392" s="185">
        <v>0</v>
      </c>
      <c r="H392" s="184" t="s">
        <v>598</v>
      </c>
      <c r="I392" s="184" t="s">
        <v>134</v>
      </c>
      <c r="J392" s="184" t="s">
        <v>49</v>
      </c>
      <c r="K392" s="184" t="s">
        <v>246</v>
      </c>
      <c r="L392" s="184" t="s">
        <v>598</v>
      </c>
      <c r="M392" s="184" t="s">
        <v>598</v>
      </c>
      <c r="N392" s="184" t="s">
        <v>79</v>
      </c>
      <c r="O392" s="184" t="s">
        <v>65</v>
      </c>
      <c r="P392" s="186" t="s">
        <v>32</v>
      </c>
      <c r="Q392" s="184" t="s">
        <v>598</v>
      </c>
      <c r="R392" s="184" t="s">
        <v>598</v>
      </c>
      <c r="S392" s="127" t="s">
        <v>598</v>
      </c>
      <c r="T392" s="184" t="s">
        <v>598</v>
      </c>
      <c r="U392" s="184" t="s">
        <v>598</v>
      </c>
      <c r="V392" s="185">
        <v>0</v>
      </c>
      <c r="W392" s="184" t="s">
        <v>485</v>
      </c>
      <c r="X392" s="184" t="s">
        <v>598</v>
      </c>
      <c r="Y392" s="185">
        <v>0</v>
      </c>
      <c r="Z392" s="184" t="s">
        <v>598</v>
      </c>
      <c r="AA392" s="21" t="s">
        <v>610</v>
      </c>
      <c r="AB392" s="176" t="s">
        <v>489</v>
      </c>
      <c r="AC392" s="172">
        <v>42996.328472222223</v>
      </c>
      <c r="AD392" s="32" t="s">
        <v>552</v>
      </c>
    </row>
    <row r="393" spans="1:30">
      <c r="A393" s="184">
        <v>392</v>
      </c>
      <c r="B393" s="184" t="s">
        <v>1390</v>
      </c>
      <c r="C393" s="184" t="s">
        <v>598</v>
      </c>
      <c r="D393" s="127">
        <v>42842</v>
      </c>
      <c r="E393" s="127" t="s">
        <v>598</v>
      </c>
      <c r="F393" s="184" t="s">
        <v>1391</v>
      </c>
      <c r="G393" s="185">
        <v>0</v>
      </c>
      <c r="H393" s="184" t="s">
        <v>598</v>
      </c>
      <c r="I393" s="184" t="s">
        <v>134</v>
      </c>
      <c r="J393" s="184" t="s">
        <v>49</v>
      </c>
      <c r="K393" s="184" t="s">
        <v>1392</v>
      </c>
      <c r="L393" s="184" t="s">
        <v>598</v>
      </c>
      <c r="M393" s="184" t="s">
        <v>29</v>
      </c>
      <c r="N393" s="184" t="s">
        <v>79</v>
      </c>
      <c r="O393" s="184" t="s">
        <v>112</v>
      </c>
      <c r="P393" s="186" t="s">
        <v>53</v>
      </c>
      <c r="Q393" s="184" t="s">
        <v>598</v>
      </c>
      <c r="R393" s="184" t="s">
        <v>598</v>
      </c>
      <c r="S393" s="127" t="s">
        <v>598</v>
      </c>
      <c r="T393" s="184" t="s">
        <v>598</v>
      </c>
      <c r="U393" s="184" t="s">
        <v>598</v>
      </c>
      <c r="V393" s="185">
        <v>0</v>
      </c>
      <c r="W393" s="184" t="s">
        <v>89</v>
      </c>
      <c r="X393" s="184" t="s">
        <v>598</v>
      </c>
      <c r="Y393" s="185">
        <v>0</v>
      </c>
      <c r="Z393" s="184" t="s">
        <v>598</v>
      </c>
      <c r="AA393" s="21" t="s">
        <v>822</v>
      </c>
      <c r="AB393" s="176" t="s">
        <v>489</v>
      </c>
      <c r="AC393" s="172">
        <v>42996.328472222223</v>
      </c>
      <c r="AD393" s="32" t="s">
        <v>552</v>
      </c>
    </row>
    <row r="394" spans="1:30">
      <c r="A394" s="184">
        <v>393</v>
      </c>
      <c r="B394" s="184" t="s">
        <v>1393</v>
      </c>
      <c r="C394" s="184" t="s">
        <v>598</v>
      </c>
      <c r="D394" s="127">
        <v>42845</v>
      </c>
      <c r="E394" s="127" t="s">
        <v>598</v>
      </c>
      <c r="F394" s="184" t="s">
        <v>1394</v>
      </c>
      <c r="G394" s="185">
        <v>0</v>
      </c>
      <c r="H394" s="184" t="s">
        <v>598</v>
      </c>
      <c r="I394" s="184" t="s">
        <v>598</v>
      </c>
      <c r="J394" s="184" t="s">
        <v>49</v>
      </c>
      <c r="K394" s="184" t="s">
        <v>248</v>
      </c>
      <c r="L394" s="184" t="s">
        <v>598</v>
      </c>
      <c r="M394" s="184" t="s">
        <v>598</v>
      </c>
      <c r="N394" s="184" t="s">
        <v>79</v>
      </c>
      <c r="O394" s="184" t="s">
        <v>79</v>
      </c>
      <c r="P394" s="186" t="s">
        <v>44</v>
      </c>
      <c r="Q394" s="184" t="s">
        <v>598</v>
      </c>
      <c r="R394" s="184" t="s">
        <v>598</v>
      </c>
      <c r="S394" s="127">
        <v>42901</v>
      </c>
      <c r="T394" s="184" t="s">
        <v>10</v>
      </c>
      <c r="U394" s="184" t="s">
        <v>598</v>
      </c>
      <c r="V394" s="185">
        <v>4000</v>
      </c>
      <c r="W394" s="184" t="s">
        <v>493</v>
      </c>
      <c r="X394" s="184" t="s">
        <v>598</v>
      </c>
      <c r="Y394" s="185">
        <v>0</v>
      </c>
      <c r="Z394" s="184" t="s">
        <v>598</v>
      </c>
      <c r="AA394" s="21" t="s">
        <v>610</v>
      </c>
      <c r="AB394" s="176" t="s">
        <v>489</v>
      </c>
      <c r="AC394" s="172">
        <v>42996.328472222223</v>
      </c>
      <c r="AD394" s="32" t="s">
        <v>552</v>
      </c>
    </row>
    <row r="395" spans="1:30">
      <c r="A395" s="184">
        <v>394</v>
      </c>
      <c r="B395" s="184" t="s">
        <v>1395</v>
      </c>
      <c r="C395" s="184" t="s">
        <v>598</v>
      </c>
      <c r="D395" s="127">
        <v>42856</v>
      </c>
      <c r="E395" s="127" t="s">
        <v>598</v>
      </c>
      <c r="F395" s="184" t="s">
        <v>490</v>
      </c>
      <c r="G395" s="185">
        <v>4038000</v>
      </c>
      <c r="H395" s="184" t="s">
        <v>598</v>
      </c>
      <c r="I395" s="184" t="s">
        <v>134</v>
      </c>
      <c r="J395" s="184" t="s">
        <v>49</v>
      </c>
      <c r="K395" s="184" t="s">
        <v>248</v>
      </c>
      <c r="L395" s="184" t="s">
        <v>598</v>
      </c>
      <c r="M395" s="184" t="s">
        <v>598</v>
      </c>
      <c r="N395" s="184" t="s">
        <v>79</v>
      </c>
      <c r="O395" s="184" t="s">
        <v>79</v>
      </c>
      <c r="P395" s="186" t="s">
        <v>67</v>
      </c>
      <c r="Q395" s="184" t="s">
        <v>598</v>
      </c>
      <c r="R395" s="184" t="s">
        <v>598</v>
      </c>
      <c r="S395" s="127">
        <v>42901</v>
      </c>
      <c r="T395" s="184" t="s">
        <v>10</v>
      </c>
      <c r="U395" s="184" t="s">
        <v>598</v>
      </c>
      <c r="V395" s="185">
        <v>4000</v>
      </c>
      <c r="W395" s="184" t="s">
        <v>493</v>
      </c>
      <c r="X395" s="184" t="s">
        <v>598</v>
      </c>
      <c r="Y395" s="185">
        <v>0</v>
      </c>
      <c r="Z395" s="184" t="s">
        <v>598</v>
      </c>
      <c r="AA395" s="21" t="s">
        <v>610</v>
      </c>
      <c r="AB395" s="176" t="s">
        <v>489</v>
      </c>
      <c r="AC395" s="172">
        <v>42996.328472222223</v>
      </c>
      <c r="AD395" s="32" t="s">
        <v>552</v>
      </c>
    </row>
    <row r="396" spans="1:30">
      <c r="A396" s="184">
        <v>395</v>
      </c>
      <c r="B396" s="184" t="s">
        <v>1396</v>
      </c>
      <c r="C396" s="184" t="s">
        <v>598</v>
      </c>
      <c r="D396" s="127">
        <v>42856</v>
      </c>
      <c r="E396" s="127" t="s">
        <v>598</v>
      </c>
      <c r="F396" s="184" t="s">
        <v>1397</v>
      </c>
      <c r="G396" s="185">
        <v>1974000</v>
      </c>
      <c r="H396" s="184" t="s">
        <v>598</v>
      </c>
      <c r="I396" s="184" t="s">
        <v>134</v>
      </c>
      <c r="J396" s="184" t="s">
        <v>49</v>
      </c>
      <c r="K396" s="184" t="s">
        <v>248</v>
      </c>
      <c r="L396" s="184" t="s">
        <v>598</v>
      </c>
      <c r="M396" s="184" t="s">
        <v>598</v>
      </c>
      <c r="N396" s="184" t="s">
        <v>79</v>
      </c>
      <c r="O396" s="184" t="s">
        <v>79</v>
      </c>
      <c r="P396" s="186" t="s">
        <v>602</v>
      </c>
      <c r="Q396" s="184" t="s">
        <v>598</v>
      </c>
      <c r="R396" s="184" t="s">
        <v>598</v>
      </c>
      <c r="S396" s="127">
        <v>42901</v>
      </c>
      <c r="T396" s="184" t="s">
        <v>10</v>
      </c>
      <c r="U396" s="184" t="s">
        <v>598</v>
      </c>
      <c r="V396" s="185">
        <v>2500</v>
      </c>
      <c r="W396" s="184" t="s">
        <v>493</v>
      </c>
      <c r="X396" s="184" t="s">
        <v>598</v>
      </c>
      <c r="Y396" s="185">
        <v>0</v>
      </c>
      <c r="Z396" s="184" t="s">
        <v>598</v>
      </c>
      <c r="AA396" s="21" t="s">
        <v>610</v>
      </c>
      <c r="AB396" s="176" t="s">
        <v>489</v>
      </c>
      <c r="AC396" s="172">
        <v>42996.328472222223</v>
      </c>
      <c r="AD396" s="32" t="s">
        <v>552</v>
      </c>
    </row>
    <row r="397" spans="1:30">
      <c r="A397" s="184">
        <v>396</v>
      </c>
      <c r="B397" s="184" t="s">
        <v>1398</v>
      </c>
      <c r="C397" s="184" t="s">
        <v>598</v>
      </c>
      <c r="D397" s="127">
        <v>42868</v>
      </c>
      <c r="E397" s="127" t="s">
        <v>598</v>
      </c>
      <c r="F397" s="184" t="s">
        <v>1399</v>
      </c>
      <c r="G397" s="185">
        <v>2663000</v>
      </c>
      <c r="H397" s="184" t="s">
        <v>598</v>
      </c>
      <c r="I397" s="184" t="s">
        <v>598</v>
      </c>
      <c r="J397" s="184" t="s">
        <v>49</v>
      </c>
      <c r="K397" s="184" t="s">
        <v>248</v>
      </c>
      <c r="L397" s="184" t="s">
        <v>598</v>
      </c>
      <c r="M397" s="184" t="s">
        <v>598</v>
      </c>
      <c r="N397" s="184" t="s">
        <v>79</v>
      </c>
      <c r="O397" s="184" t="s">
        <v>79</v>
      </c>
      <c r="P397" s="186" t="s">
        <v>603</v>
      </c>
      <c r="Q397" s="184" t="s">
        <v>598</v>
      </c>
      <c r="R397" s="184" t="s">
        <v>598</v>
      </c>
      <c r="S397" s="127">
        <v>42901</v>
      </c>
      <c r="T397" s="184" t="s">
        <v>10</v>
      </c>
      <c r="U397" s="184" t="s">
        <v>598</v>
      </c>
      <c r="V397" s="185">
        <v>2500</v>
      </c>
      <c r="W397" s="184" t="s">
        <v>493</v>
      </c>
      <c r="X397" s="184" t="s">
        <v>598</v>
      </c>
      <c r="Y397" s="185">
        <v>0</v>
      </c>
      <c r="Z397" s="184" t="s">
        <v>598</v>
      </c>
      <c r="AA397" s="21" t="s">
        <v>610</v>
      </c>
      <c r="AB397" s="176" t="s">
        <v>489</v>
      </c>
      <c r="AC397" s="172">
        <v>42996.328472222223</v>
      </c>
      <c r="AD397" s="32" t="s">
        <v>552</v>
      </c>
    </row>
    <row r="398" spans="1:30">
      <c r="A398" s="184">
        <v>397</v>
      </c>
      <c r="B398" s="184" t="s">
        <v>1400</v>
      </c>
      <c r="C398" s="184" t="s">
        <v>598</v>
      </c>
      <c r="D398" s="127">
        <v>42872</v>
      </c>
      <c r="E398" s="127" t="s">
        <v>598</v>
      </c>
      <c r="F398" s="184" t="s">
        <v>1401</v>
      </c>
      <c r="G398" s="185">
        <v>0</v>
      </c>
      <c r="H398" s="184" t="s">
        <v>598</v>
      </c>
      <c r="I398" s="184" t="s">
        <v>134</v>
      </c>
      <c r="J398" s="184" t="s">
        <v>49</v>
      </c>
      <c r="K398" s="184" t="s">
        <v>249</v>
      </c>
      <c r="L398" s="184" t="s">
        <v>598</v>
      </c>
      <c r="M398" s="184" t="s">
        <v>598</v>
      </c>
      <c r="N398" s="184" t="s">
        <v>79</v>
      </c>
      <c r="O398" s="184" t="s">
        <v>112</v>
      </c>
      <c r="P398" s="186" t="s">
        <v>604</v>
      </c>
      <c r="Q398" s="184" t="s">
        <v>598</v>
      </c>
      <c r="R398" s="184" t="s">
        <v>598</v>
      </c>
      <c r="S398" s="127">
        <v>42894</v>
      </c>
      <c r="T398" s="184" t="s">
        <v>10</v>
      </c>
      <c r="U398" s="184" t="s">
        <v>598</v>
      </c>
      <c r="V398" s="185">
        <v>5000</v>
      </c>
      <c r="W398" s="184" t="s">
        <v>493</v>
      </c>
      <c r="X398" s="184" t="s">
        <v>598</v>
      </c>
      <c r="Y398" s="185">
        <v>0</v>
      </c>
      <c r="Z398" s="184" t="s">
        <v>598</v>
      </c>
      <c r="AA398" s="21" t="s">
        <v>610</v>
      </c>
      <c r="AB398" s="176" t="s">
        <v>489</v>
      </c>
      <c r="AC398" s="172">
        <v>42996.328472222223</v>
      </c>
      <c r="AD398" s="32" t="s">
        <v>552</v>
      </c>
    </row>
    <row r="399" spans="1:30">
      <c r="A399" s="184">
        <v>398</v>
      </c>
      <c r="B399" s="184" t="s">
        <v>1402</v>
      </c>
      <c r="C399" s="184" t="s">
        <v>598</v>
      </c>
      <c r="D399" s="127">
        <v>42888</v>
      </c>
      <c r="E399" s="127" t="s">
        <v>598</v>
      </c>
      <c r="F399" s="184" t="s">
        <v>1403</v>
      </c>
      <c r="G399" s="185">
        <v>0</v>
      </c>
      <c r="H399" s="184" t="s">
        <v>598</v>
      </c>
      <c r="I399" s="184" t="s">
        <v>120</v>
      </c>
      <c r="J399" s="184" t="s">
        <v>49</v>
      </c>
      <c r="K399" s="184" t="s">
        <v>182</v>
      </c>
      <c r="L399" s="184" t="s">
        <v>598</v>
      </c>
      <c r="M399" s="184" t="s">
        <v>598</v>
      </c>
      <c r="N399" s="184" t="s">
        <v>79</v>
      </c>
      <c r="O399" s="184" t="s">
        <v>79</v>
      </c>
      <c r="P399" s="186" t="s">
        <v>605</v>
      </c>
      <c r="Q399" s="184" t="s">
        <v>598</v>
      </c>
      <c r="R399" s="184" t="s">
        <v>598</v>
      </c>
      <c r="S399" s="127">
        <v>42893</v>
      </c>
      <c r="T399" s="184" t="s">
        <v>10</v>
      </c>
      <c r="U399" s="184" t="s">
        <v>598</v>
      </c>
      <c r="V399" s="185">
        <v>10000</v>
      </c>
      <c r="W399" s="184" t="s">
        <v>493</v>
      </c>
      <c r="X399" s="184" t="s">
        <v>598</v>
      </c>
      <c r="Y399" s="185">
        <v>0</v>
      </c>
      <c r="Z399" s="184" t="s">
        <v>598</v>
      </c>
      <c r="AA399" s="21" t="s">
        <v>610</v>
      </c>
      <c r="AB399" s="176" t="s">
        <v>489</v>
      </c>
      <c r="AC399" s="172">
        <v>42996.328472222223</v>
      </c>
      <c r="AD399" s="32" t="s">
        <v>552</v>
      </c>
    </row>
    <row r="400" spans="1:30">
      <c r="A400" s="184">
        <v>399</v>
      </c>
      <c r="B400" s="184" t="s">
        <v>1404</v>
      </c>
      <c r="C400" s="184" t="s">
        <v>598</v>
      </c>
      <c r="D400" s="127">
        <v>42888</v>
      </c>
      <c r="E400" s="127" t="s">
        <v>598</v>
      </c>
      <c r="F400" s="184" t="s">
        <v>1403</v>
      </c>
      <c r="G400" s="185">
        <v>0</v>
      </c>
      <c r="H400" s="184" t="s">
        <v>598</v>
      </c>
      <c r="I400" s="184" t="s">
        <v>120</v>
      </c>
      <c r="J400" s="184" t="s">
        <v>49</v>
      </c>
      <c r="K400" s="184" t="s">
        <v>182</v>
      </c>
      <c r="L400" s="184" t="s">
        <v>598</v>
      </c>
      <c r="M400" s="184" t="s">
        <v>598</v>
      </c>
      <c r="N400" s="184" t="s">
        <v>79</v>
      </c>
      <c r="O400" s="184" t="s">
        <v>79</v>
      </c>
      <c r="P400" s="186" t="s">
        <v>606</v>
      </c>
      <c r="Q400" s="184" t="s">
        <v>598</v>
      </c>
      <c r="R400" s="184" t="s">
        <v>598</v>
      </c>
      <c r="S400" s="127">
        <v>42893</v>
      </c>
      <c r="T400" s="184" t="s">
        <v>10</v>
      </c>
      <c r="U400" s="184" t="s">
        <v>598</v>
      </c>
      <c r="V400" s="185">
        <v>10000</v>
      </c>
      <c r="W400" s="184" t="s">
        <v>493</v>
      </c>
      <c r="X400" s="184" t="s">
        <v>598</v>
      </c>
      <c r="Y400" s="185">
        <v>0</v>
      </c>
      <c r="Z400" s="184" t="s">
        <v>598</v>
      </c>
      <c r="AA400" s="21" t="s">
        <v>610</v>
      </c>
      <c r="AB400" s="176" t="s">
        <v>489</v>
      </c>
      <c r="AC400" s="172">
        <v>42996.328472222223</v>
      </c>
      <c r="AD400" s="32" t="s">
        <v>552</v>
      </c>
    </row>
    <row r="401" spans="1:30">
      <c r="A401" s="184">
        <v>400</v>
      </c>
      <c r="B401" s="184" t="s">
        <v>1405</v>
      </c>
      <c r="C401" s="184" t="s">
        <v>598</v>
      </c>
      <c r="D401" s="127">
        <v>42888</v>
      </c>
      <c r="E401" s="127" t="s">
        <v>598</v>
      </c>
      <c r="F401" s="184" t="s">
        <v>1403</v>
      </c>
      <c r="G401" s="185">
        <v>0</v>
      </c>
      <c r="H401" s="184" t="s">
        <v>598</v>
      </c>
      <c r="I401" s="184" t="s">
        <v>120</v>
      </c>
      <c r="J401" s="184" t="s">
        <v>49</v>
      </c>
      <c r="K401" s="184" t="s">
        <v>182</v>
      </c>
      <c r="L401" s="184" t="s">
        <v>598</v>
      </c>
      <c r="M401" s="184" t="s">
        <v>598</v>
      </c>
      <c r="N401" s="184" t="s">
        <v>79</v>
      </c>
      <c r="O401" s="184" t="s">
        <v>79</v>
      </c>
      <c r="P401" s="186" t="s">
        <v>607</v>
      </c>
      <c r="Q401" s="184" t="s">
        <v>598</v>
      </c>
      <c r="R401" s="184" t="s">
        <v>598</v>
      </c>
      <c r="S401" s="127" t="s">
        <v>598</v>
      </c>
      <c r="T401" s="184" t="s">
        <v>598</v>
      </c>
      <c r="U401" s="184" t="s">
        <v>598</v>
      </c>
      <c r="V401" s="185">
        <v>0</v>
      </c>
      <c r="W401" s="184" t="s">
        <v>89</v>
      </c>
      <c r="X401" s="184" t="s">
        <v>598</v>
      </c>
      <c r="Y401" s="185">
        <v>0</v>
      </c>
      <c r="Z401" s="184" t="s">
        <v>598</v>
      </c>
      <c r="AA401" s="21" t="s">
        <v>822</v>
      </c>
      <c r="AB401" s="176" t="s">
        <v>489</v>
      </c>
      <c r="AC401" s="172">
        <v>42996.328472222223</v>
      </c>
      <c r="AD401" s="32" t="s">
        <v>552</v>
      </c>
    </row>
    <row r="402" spans="1:30">
      <c r="A402" s="184">
        <v>401</v>
      </c>
      <c r="B402" s="184" t="s">
        <v>1406</v>
      </c>
      <c r="C402" s="184" t="s">
        <v>598</v>
      </c>
      <c r="D402" s="127">
        <v>42888</v>
      </c>
      <c r="E402" s="127" t="s">
        <v>598</v>
      </c>
      <c r="F402" s="184" t="s">
        <v>1403</v>
      </c>
      <c r="G402" s="185">
        <v>0</v>
      </c>
      <c r="H402" s="184" t="s">
        <v>598</v>
      </c>
      <c r="I402" s="184" t="s">
        <v>120</v>
      </c>
      <c r="J402" s="184" t="s">
        <v>49</v>
      </c>
      <c r="K402" s="184" t="s">
        <v>182</v>
      </c>
      <c r="L402" s="184" t="s">
        <v>598</v>
      </c>
      <c r="M402" s="184" t="s">
        <v>598</v>
      </c>
      <c r="N402" s="184" t="s">
        <v>79</v>
      </c>
      <c r="O402" s="184" t="s">
        <v>79</v>
      </c>
      <c r="P402" s="186" t="s">
        <v>73</v>
      </c>
      <c r="Q402" s="184" t="s">
        <v>598</v>
      </c>
      <c r="R402" s="184" t="s">
        <v>598</v>
      </c>
      <c r="S402" s="127">
        <v>42893</v>
      </c>
      <c r="T402" s="184" t="s">
        <v>10</v>
      </c>
      <c r="U402" s="184" t="s">
        <v>598</v>
      </c>
      <c r="V402" s="185">
        <v>10000</v>
      </c>
      <c r="W402" s="184" t="s">
        <v>493</v>
      </c>
      <c r="X402" s="184" t="s">
        <v>598</v>
      </c>
      <c r="Y402" s="185">
        <v>0</v>
      </c>
      <c r="Z402" s="184" t="s">
        <v>598</v>
      </c>
      <c r="AA402" s="21" t="s">
        <v>610</v>
      </c>
      <c r="AB402" s="176" t="s">
        <v>489</v>
      </c>
      <c r="AC402" s="172">
        <v>42996.328472222223</v>
      </c>
      <c r="AD402" s="32" t="s">
        <v>552</v>
      </c>
    </row>
    <row r="403" spans="1:30">
      <c r="A403" s="184">
        <v>402</v>
      </c>
      <c r="B403" s="184" t="s">
        <v>1407</v>
      </c>
      <c r="C403" s="184" t="s">
        <v>598</v>
      </c>
      <c r="D403" s="127">
        <v>42896</v>
      </c>
      <c r="E403" s="127" t="s">
        <v>598</v>
      </c>
      <c r="F403" s="184" t="s">
        <v>1408</v>
      </c>
      <c r="G403" s="185">
        <v>0</v>
      </c>
      <c r="H403" s="184" t="s">
        <v>598</v>
      </c>
      <c r="I403" s="184" t="s">
        <v>134</v>
      </c>
      <c r="J403" s="184" t="s">
        <v>49</v>
      </c>
      <c r="K403" s="184" t="s">
        <v>248</v>
      </c>
      <c r="L403" s="184" t="s">
        <v>598</v>
      </c>
      <c r="M403" s="184" t="s">
        <v>598</v>
      </c>
      <c r="N403" s="184" t="s">
        <v>79</v>
      </c>
      <c r="O403" s="184" t="s">
        <v>79</v>
      </c>
      <c r="P403" s="186" t="s">
        <v>601</v>
      </c>
      <c r="Q403" s="184" t="s">
        <v>598</v>
      </c>
      <c r="R403" s="184" t="s">
        <v>598</v>
      </c>
      <c r="S403" s="127">
        <v>42914</v>
      </c>
      <c r="T403" s="184" t="s">
        <v>10</v>
      </c>
      <c r="U403" s="184" t="s">
        <v>598</v>
      </c>
      <c r="V403" s="185">
        <v>3000</v>
      </c>
      <c r="W403" s="184" t="s">
        <v>493</v>
      </c>
      <c r="X403" s="184" t="s">
        <v>598</v>
      </c>
      <c r="Y403" s="185">
        <v>0</v>
      </c>
      <c r="Z403" s="184" t="s">
        <v>598</v>
      </c>
      <c r="AA403" s="21" t="s">
        <v>610</v>
      </c>
      <c r="AB403" s="176" t="s">
        <v>489</v>
      </c>
      <c r="AC403" s="172">
        <v>42996.328472222223</v>
      </c>
      <c r="AD403" s="32" t="s">
        <v>552</v>
      </c>
    </row>
    <row r="404" spans="1:30">
      <c r="A404" s="184">
        <v>403</v>
      </c>
      <c r="B404" s="184" t="s">
        <v>1409</v>
      </c>
      <c r="C404" s="184" t="s">
        <v>598</v>
      </c>
      <c r="D404" s="127">
        <v>42898</v>
      </c>
      <c r="E404" s="127" t="s">
        <v>598</v>
      </c>
      <c r="F404" s="184" t="s">
        <v>1410</v>
      </c>
      <c r="G404" s="185">
        <v>0</v>
      </c>
      <c r="H404" s="184" t="s">
        <v>598</v>
      </c>
      <c r="I404" s="184" t="s">
        <v>134</v>
      </c>
      <c r="J404" s="184" t="s">
        <v>49</v>
      </c>
      <c r="K404" s="184" t="s">
        <v>248</v>
      </c>
      <c r="L404" s="184" t="s">
        <v>598</v>
      </c>
      <c r="M404" s="184" t="s">
        <v>598</v>
      </c>
      <c r="N404" s="184" t="s">
        <v>79</v>
      </c>
      <c r="O404" s="184" t="s">
        <v>112</v>
      </c>
      <c r="P404" s="186" t="s">
        <v>32</v>
      </c>
      <c r="Q404" s="184" t="s">
        <v>598</v>
      </c>
      <c r="R404" s="184" t="s">
        <v>598</v>
      </c>
      <c r="S404" s="127">
        <v>42914</v>
      </c>
      <c r="T404" s="184" t="s">
        <v>10</v>
      </c>
      <c r="U404" s="184" t="s">
        <v>598</v>
      </c>
      <c r="V404" s="185">
        <v>3000</v>
      </c>
      <c r="W404" s="184" t="s">
        <v>493</v>
      </c>
      <c r="X404" s="184" t="s">
        <v>598</v>
      </c>
      <c r="Y404" s="185">
        <v>0</v>
      </c>
      <c r="Z404" s="184" t="s">
        <v>598</v>
      </c>
      <c r="AA404" s="21" t="s">
        <v>610</v>
      </c>
      <c r="AB404" s="176" t="s">
        <v>489</v>
      </c>
      <c r="AC404" s="172">
        <v>42996.328472222223</v>
      </c>
      <c r="AD404" s="32" t="s">
        <v>552</v>
      </c>
    </row>
    <row r="405" spans="1:30">
      <c r="A405" s="184">
        <v>404</v>
      </c>
      <c r="B405" s="184" t="s">
        <v>1411</v>
      </c>
      <c r="C405" s="184" t="s">
        <v>598</v>
      </c>
      <c r="D405" s="127">
        <v>42900</v>
      </c>
      <c r="E405" s="127" t="s">
        <v>598</v>
      </c>
      <c r="F405" s="184" t="s">
        <v>1412</v>
      </c>
      <c r="G405" s="185">
        <v>0</v>
      </c>
      <c r="H405" s="184" t="s">
        <v>598</v>
      </c>
      <c r="I405" s="184" t="s">
        <v>134</v>
      </c>
      <c r="J405" s="184" t="s">
        <v>49</v>
      </c>
      <c r="K405" s="184" t="s">
        <v>250</v>
      </c>
      <c r="L405" s="184" t="s">
        <v>598</v>
      </c>
      <c r="M405" s="184" t="s">
        <v>29</v>
      </c>
      <c r="N405" s="184" t="s">
        <v>79</v>
      </c>
      <c r="O405" s="184" t="s">
        <v>112</v>
      </c>
      <c r="P405" s="186" t="s">
        <v>53</v>
      </c>
      <c r="Q405" s="184" t="s">
        <v>598</v>
      </c>
      <c r="R405" s="184" t="s">
        <v>598</v>
      </c>
      <c r="S405" s="127" t="s">
        <v>598</v>
      </c>
      <c r="T405" s="184" t="s">
        <v>598</v>
      </c>
      <c r="U405" s="184" t="s">
        <v>598</v>
      </c>
      <c r="V405" s="185">
        <v>0</v>
      </c>
      <c r="W405" s="184" t="s">
        <v>485</v>
      </c>
      <c r="X405" s="184" t="s">
        <v>598</v>
      </c>
      <c r="Y405" s="185">
        <v>0</v>
      </c>
      <c r="Z405" s="184" t="s">
        <v>598</v>
      </c>
      <c r="AA405" s="21" t="s">
        <v>610</v>
      </c>
      <c r="AB405" s="176" t="s">
        <v>489</v>
      </c>
      <c r="AC405" s="172">
        <v>42996.328472222223</v>
      </c>
      <c r="AD405" s="32" t="s">
        <v>552</v>
      </c>
    </row>
    <row r="406" spans="1:30">
      <c r="A406" s="184">
        <v>405</v>
      </c>
      <c r="B406" s="184" t="s">
        <v>1413</v>
      </c>
      <c r="C406" s="184" t="s">
        <v>598</v>
      </c>
      <c r="D406" s="127">
        <v>42908</v>
      </c>
      <c r="E406" s="127" t="s">
        <v>598</v>
      </c>
      <c r="F406" s="184" t="s">
        <v>1414</v>
      </c>
      <c r="G406" s="185">
        <v>0</v>
      </c>
      <c r="H406" s="184" t="s">
        <v>598</v>
      </c>
      <c r="I406" s="184" t="s">
        <v>598</v>
      </c>
      <c r="J406" s="184" t="s">
        <v>49</v>
      </c>
      <c r="K406" s="184" t="s">
        <v>184</v>
      </c>
      <c r="L406" s="184" t="s">
        <v>598</v>
      </c>
      <c r="M406" s="184" t="s">
        <v>598</v>
      </c>
      <c r="N406" s="184" t="s">
        <v>79</v>
      </c>
      <c r="O406" s="184" t="s">
        <v>79</v>
      </c>
      <c r="P406" s="186" t="s">
        <v>44</v>
      </c>
      <c r="Q406" s="184" t="s">
        <v>598</v>
      </c>
      <c r="R406" s="184" t="s">
        <v>598</v>
      </c>
      <c r="S406" s="127">
        <v>42909</v>
      </c>
      <c r="T406" s="184" t="s">
        <v>34</v>
      </c>
      <c r="U406" s="184" t="s">
        <v>598</v>
      </c>
      <c r="V406" s="185">
        <v>2000</v>
      </c>
      <c r="W406" s="184" t="s">
        <v>493</v>
      </c>
      <c r="X406" s="184" t="s">
        <v>598</v>
      </c>
      <c r="Y406" s="185">
        <v>0</v>
      </c>
      <c r="Z406" s="184" t="s">
        <v>598</v>
      </c>
      <c r="AA406" s="21" t="s">
        <v>610</v>
      </c>
      <c r="AB406" s="176" t="s">
        <v>489</v>
      </c>
      <c r="AC406" s="172">
        <v>42996.328472222223</v>
      </c>
      <c r="AD406" s="32" t="s">
        <v>552</v>
      </c>
    </row>
    <row r="407" spans="1:30">
      <c r="A407" s="184">
        <v>406</v>
      </c>
      <c r="B407" s="184" t="s">
        <v>1415</v>
      </c>
      <c r="C407" s="184" t="s">
        <v>598</v>
      </c>
      <c r="D407" s="127">
        <v>42887</v>
      </c>
      <c r="E407" s="127" t="s">
        <v>598</v>
      </c>
      <c r="F407" s="184" t="s">
        <v>1416</v>
      </c>
      <c r="G407" s="185">
        <v>0</v>
      </c>
      <c r="H407" s="184" t="s">
        <v>598</v>
      </c>
      <c r="I407" s="184" t="s">
        <v>132</v>
      </c>
      <c r="J407" s="184" t="s">
        <v>84</v>
      </c>
      <c r="K407" s="184" t="s">
        <v>175</v>
      </c>
      <c r="L407" s="184" t="s">
        <v>598</v>
      </c>
      <c r="M407" s="184" t="s">
        <v>62</v>
      </c>
      <c r="N407" s="184" t="s">
        <v>79</v>
      </c>
      <c r="O407" s="184" t="s">
        <v>112</v>
      </c>
      <c r="P407" s="186" t="s">
        <v>67</v>
      </c>
      <c r="Q407" s="184" t="s">
        <v>598</v>
      </c>
      <c r="R407" s="184" t="s">
        <v>804</v>
      </c>
      <c r="S407" s="127" t="s">
        <v>598</v>
      </c>
      <c r="T407" s="184" t="s">
        <v>598</v>
      </c>
      <c r="U407" s="184" t="s">
        <v>598</v>
      </c>
      <c r="V407" s="185">
        <v>0</v>
      </c>
      <c r="W407" s="184" t="s">
        <v>485</v>
      </c>
      <c r="X407" s="184" t="s">
        <v>598</v>
      </c>
      <c r="Y407" s="185">
        <v>0</v>
      </c>
      <c r="Z407" s="184" t="s">
        <v>598</v>
      </c>
      <c r="AA407" s="21" t="s">
        <v>610</v>
      </c>
      <c r="AB407" s="176" t="s">
        <v>489</v>
      </c>
      <c r="AC407" s="172">
        <v>42996.328472222223</v>
      </c>
      <c r="AD407" s="32" t="s">
        <v>552</v>
      </c>
    </row>
    <row r="408" spans="1:30">
      <c r="A408" s="184">
        <v>407</v>
      </c>
      <c r="B408" s="184" t="s">
        <v>1417</v>
      </c>
      <c r="C408" s="184" t="s">
        <v>598</v>
      </c>
      <c r="D408" s="127">
        <v>42887</v>
      </c>
      <c r="E408" s="127" t="s">
        <v>598</v>
      </c>
      <c r="F408" s="184" t="s">
        <v>1418</v>
      </c>
      <c r="G408" s="185">
        <v>0</v>
      </c>
      <c r="H408" s="184" t="s">
        <v>598</v>
      </c>
      <c r="I408" s="184" t="s">
        <v>134</v>
      </c>
      <c r="J408" s="184" t="s">
        <v>84</v>
      </c>
      <c r="K408" s="184" t="s">
        <v>251</v>
      </c>
      <c r="L408" s="184" t="s">
        <v>598</v>
      </c>
      <c r="M408" s="184" t="s">
        <v>50</v>
      </c>
      <c r="N408" s="184" t="s">
        <v>79</v>
      </c>
      <c r="O408" s="184" t="s">
        <v>79</v>
      </c>
      <c r="P408" s="186" t="s">
        <v>602</v>
      </c>
      <c r="Q408" s="184" t="s">
        <v>598</v>
      </c>
      <c r="R408" s="184" t="s">
        <v>598</v>
      </c>
      <c r="S408" s="127">
        <v>42908</v>
      </c>
      <c r="T408" s="184" t="s">
        <v>10</v>
      </c>
      <c r="U408" s="184" t="s">
        <v>598</v>
      </c>
      <c r="V408" s="185">
        <v>4000</v>
      </c>
      <c r="W408" s="184" t="s">
        <v>493</v>
      </c>
      <c r="X408" s="184" t="s">
        <v>598</v>
      </c>
      <c r="Y408" s="185">
        <v>0</v>
      </c>
      <c r="Z408" s="184" t="s">
        <v>598</v>
      </c>
      <c r="AA408" s="21" t="s">
        <v>610</v>
      </c>
      <c r="AB408" s="176" t="s">
        <v>489</v>
      </c>
      <c r="AC408" s="172">
        <v>42996.328472222223</v>
      </c>
      <c r="AD408" s="32" t="s">
        <v>552</v>
      </c>
    </row>
    <row r="409" spans="1:30">
      <c r="A409" s="184">
        <v>408</v>
      </c>
      <c r="B409" s="184" t="s">
        <v>1419</v>
      </c>
      <c r="C409" s="184" t="s">
        <v>598</v>
      </c>
      <c r="D409" s="127">
        <v>42889</v>
      </c>
      <c r="E409" s="127" t="s">
        <v>598</v>
      </c>
      <c r="F409" s="184" t="s">
        <v>1420</v>
      </c>
      <c r="G409" s="185">
        <v>0</v>
      </c>
      <c r="H409" s="184" t="s">
        <v>598</v>
      </c>
      <c r="I409" s="184" t="s">
        <v>132</v>
      </c>
      <c r="J409" s="184" t="s">
        <v>84</v>
      </c>
      <c r="K409" s="184" t="s">
        <v>252</v>
      </c>
      <c r="L409" s="184" t="s">
        <v>598</v>
      </c>
      <c r="M409" s="184" t="s">
        <v>598</v>
      </c>
      <c r="N409" s="184" t="s">
        <v>79</v>
      </c>
      <c r="O409" s="184" t="s">
        <v>112</v>
      </c>
      <c r="P409" s="186" t="s">
        <v>603</v>
      </c>
      <c r="Q409" s="184" t="s">
        <v>598</v>
      </c>
      <c r="R409" s="184" t="s">
        <v>804</v>
      </c>
      <c r="S409" s="127">
        <v>42892</v>
      </c>
      <c r="T409" s="184" t="s">
        <v>34</v>
      </c>
      <c r="U409" s="184" t="s">
        <v>598</v>
      </c>
      <c r="V409" s="185">
        <v>5000</v>
      </c>
      <c r="W409" s="184" t="s">
        <v>493</v>
      </c>
      <c r="X409" s="184" t="s">
        <v>598</v>
      </c>
      <c r="Y409" s="185">
        <v>0</v>
      </c>
      <c r="Z409" s="184" t="s">
        <v>598</v>
      </c>
      <c r="AA409" s="21" t="s">
        <v>610</v>
      </c>
      <c r="AB409" s="176" t="s">
        <v>489</v>
      </c>
      <c r="AC409" s="172">
        <v>42996.328472222223</v>
      </c>
      <c r="AD409" s="32" t="s">
        <v>552</v>
      </c>
    </row>
    <row r="410" spans="1:30">
      <c r="A410" s="184">
        <v>409</v>
      </c>
      <c r="B410" s="184" t="s">
        <v>1421</v>
      </c>
      <c r="C410" s="184" t="s">
        <v>598</v>
      </c>
      <c r="D410" s="127">
        <v>42889</v>
      </c>
      <c r="E410" s="127" t="s">
        <v>598</v>
      </c>
      <c r="F410" s="184" t="s">
        <v>1422</v>
      </c>
      <c r="G410" s="185">
        <v>0</v>
      </c>
      <c r="H410" s="184" t="s">
        <v>598</v>
      </c>
      <c r="I410" s="184" t="s">
        <v>134</v>
      </c>
      <c r="J410" s="184" t="s">
        <v>84</v>
      </c>
      <c r="K410" s="184" t="s">
        <v>253</v>
      </c>
      <c r="L410" s="184" t="s">
        <v>598</v>
      </c>
      <c r="M410" s="184" t="s">
        <v>598</v>
      </c>
      <c r="N410" s="184" t="s">
        <v>79</v>
      </c>
      <c r="O410" s="184" t="s">
        <v>112</v>
      </c>
      <c r="P410" s="186" t="s">
        <v>604</v>
      </c>
      <c r="Q410" s="184" t="s">
        <v>598</v>
      </c>
      <c r="R410" s="184" t="s">
        <v>804</v>
      </c>
      <c r="S410" s="127">
        <v>42893</v>
      </c>
      <c r="T410" s="184" t="s">
        <v>34</v>
      </c>
      <c r="U410" s="184" t="s">
        <v>598</v>
      </c>
      <c r="V410" s="185">
        <v>5000</v>
      </c>
      <c r="W410" s="184" t="s">
        <v>493</v>
      </c>
      <c r="X410" s="184" t="s">
        <v>598</v>
      </c>
      <c r="Y410" s="185">
        <v>0</v>
      </c>
      <c r="Z410" s="184" t="s">
        <v>598</v>
      </c>
      <c r="AA410" s="21" t="s">
        <v>610</v>
      </c>
      <c r="AB410" s="176" t="s">
        <v>489</v>
      </c>
      <c r="AC410" s="172">
        <v>42996.328472222223</v>
      </c>
      <c r="AD410" s="32" t="s">
        <v>552</v>
      </c>
    </row>
    <row r="411" spans="1:30">
      <c r="A411" s="184">
        <v>410</v>
      </c>
      <c r="B411" s="184" t="s">
        <v>1423</v>
      </c>
      <c r="C411" s="184" t="s">
        <v>598</v>
      </c>
      <c r="D411" s="127">
        <v>42891</v>
      </c>
      <c r="E411" s="127" t="s">
        <v>598</v>
      </c>
      <c r="F411" s="184" t="s">
        <v>1424</v>
      </c>
      <c r="G411" s="185">
        <v>0</v>
      </c>
      <c r="H411" s="184" t="s">
        <v>598</v>
      </c>
      <c r="I411" s="184" t="s">
        <v>134</v>
      </c>
      <c r="J411" s="184" t="s">
        <v>84</v>
      </c>
      <c r="K411" s="184" t="s">
        <v>175</v>
      </c>
      <c r="L411" s="184" t="s">
        <v>598</v>
      </c>
      <c r="M411" s="184" t="s">
        <v>62</v>
      </c>
      <c r="N411" s="184" t="s">
        <v>79</v>
      </c>
      <c r="O411" s="184" t="s">
        <v>79</v>
      </c>
      <c r="P411" s="186" t="s">
        <v>605</v>
      </c>
      <c r="Q411" s="184" t="s">
        <v>598</v>
      </c>
      <c r="R411" s="184" t="s">
        <v>804</v>
      </c>
      <c r="S411" s="127" t="s">
        <v>598</v>
      </c>
      <c r="T411" s="184" t="s">
        <v>598</v>
      </c>
      <c r="U411" s="184" t="s">
        <v>598</v>
      </c>
      <c r="V411" s="185">
        <v>0</v>
      </c>
      <c r="W411" s="184" t="s">
        <v>485</v>
      </c>
      <c r="X411" s="184" t="s">
        <v>598</v>
      </c>
      <c r="Y411" s="185">
        <v>0</v>
      </c>
      <c r="Z411" s="184" t="s">
        <v>598</v>
      </c>
      <c r="AA411" s="21" t="s">
        <v>610</v>
      </c>
      <c r="AB411" s="176" t="s">
        <v>489</v>
      </c>
      <c r="AC411" s="172">
        <v>42996.328472222223</v>
      </c>
      <c r="AD411" s="32" t="s">
        <v>552</v>
      </c>
    </row>
    <row r="412" spans="1:30">
      <c r="A412" s="184">
        <v>411</v>
      </c>
      <c r="B412" s="184" t="s">
        <v>1425</v>
      </c>
      <c r="C412" s="184" t="s">
        <v>598</v>
      </c>
      <c r="D412" s="127">
        <v>42891</v>
      </c>
      <c r="E412" s="127" t="s">
        <v>598</v>
      </c>
      <c r="F412" s="184" t="s">
        <v>1426</v>
      </c>
      <c r="G412" s="185">
        <v>0</v>
      </c>
      <c r="H412" s="184" t="s">
        <v>598</v>
      </c>
      <c r="I412" s="184" t="s">
        <v>48</v>
      </c>
      <c r="J412" s="184" t="s">
        <v>84</v>
      </c>
      <c r="K412" s="184" t="s">
        <v>254</v>
      </c>
      <c r="L412" s="184" t="s">
        <v>598</v>
      </c>
      <c r="M412" s="184" t="s">
        <v>598</v>
      </c>
      <c r="N412" s="184" t="s">
        <v>79</v>
      </c>
      <c r="O412" s="184" t="s">
        <v>79</v>
      </c>
      <c r="P412" s="186" t="s">
        <v>606</v>
      </c>
      <c r="Q412" s="184" t="s">
        <v>598</v>
      </c>
      <c r="R412" s="184" t="s">
        <v>598</v>
      </c>
      <c r="S412" s="127">
        <v>42905</v>
      </c>
      <c r="T412" s="184" t="s">
        <v>34</v>
      </c>
      <c r="U412" s="184" t="s">
        <v>598</v>
      </c>
      <c r="V412" s="185">
        <v>5000</v>
      </c>
      <c r="W412" s="184" t="s">
        <v>493</v>
      </c>
      <c r="X412" s="184" t="s">
        <v>598</v>
      </c>
      <c r="Y412" s="185">
        <v>0</v>
      </c>
      <c r="Z412" s="184" t="s">
        <v>598</v>
      </c>
      <c r="AA412" s="21" t="s">
        <v>610</v>
      </c>
      <c r="AB412" s="176" t="s">
        <v>489</v>
      </c>
      <c r="AC412" s="172">
        <v>42996.328472222223</v>
      </c>
      <c r="AD412" s="32" t="s">
        <v>552</v>
      </c>
    </row>
    <row r="413" spans="1:30">
      <c r="A413" s="184">
        <v>412</v>
      </c>
      <c r="B413" s="184" t="s">
        <v>1427</v>
      </c>
      <c r="C413" s="184" t="s">
        <v>598</v>
      </c>
      <c r="D413" s="127">
        <v>42891</v>
      </c>
      <c r="E413" s="127" t="s">
        <v>598</v>
      </c>
      <c r="F413" s="184" t="s">
        <v>1428</v>
      </c>
      <c r="G413" s="185">
        <v>0</v>
      </c>
      <c r="H413" s="184" t="s">
        <v>598</v>
      </c>
      <c r="I413" s="184" t="s">
        <v>134</v>
      </c>
      <c r="J413" s="184" t="s">
        <v>84</v>
      </c>
      <c r="K413" s="184" t="s">
        <v>254</v>
      </c>
      <c r="L413" s="184" t="s">
        <v>598</v>
      </c>
      <c r="M413" s="184" t="s">
        <v>598</v>
      </c>
      <c r="N413" s="184" t="s">
        <v>79</v>
      </c>
      <c r="O413" s="184" t="s">
        <v>79</v>
      </c>
      <c r="P413" s="186" t="s">
        <v>607</v>
      </c>
      <c r="Q413" s="184" t="s">
        <v>598</v>
      </c>
      <c r="R413" s="184" t="s">
        <v>598</v>
      </c>
      <c r="S413" s="127">
        <v>42896</v>
      </c>
      <c r="T413" s="184" t="s">
        <v>34</v>
      </c>
      <c r="U413" s="184" t="s">
        <v>598</v>
      </c>
      <c r="V413" s="185">
        <v>5000</v>
      </c>
      <c r="W413" s="184" t="s">
        <v>493</v>
      </c>
      <c r="X413" s="184" t="s">
        <v>598</v>
      </c>
      <c r="Y413" s="185">
        <v>0</v>
      </c>
      <c r="Z413" s="184" t="s">
        <v>598</v>
      </c>
      <c r="AA413" s="21" t="s">
        <v>610</v>
      </c>
      <c r="AB413" s="176" t="s">
        <v>489</v>
      </c>
      <c r="AC413" s="172">
        <v>42996.328472222223</v>
      </c>
      <c r="AD413" s="32" t="s">
        <v>552</v>
      </c>
    </row>
    <row r="414" spans="1:30">
      <c r="A414" s="184">
        <v>413</v>
      </c>
      <c r="B414" s="184" t="s">
        <v>1429</v>
      </c>
      <c r="C414" s="184" t="s">
        <v>598</v>
      </c>
      <c r="D414" s="127">
        <v>42891</v>
      </c>
      <c r="E414" s="127" t="s">
        <v>598</v>
      </c>
      <c r="F414" s="184" t="s">
        <v>1430</v>
      </c>
      <c r="G414" s="185">
        <v>0</v>
      </c>
      <c r="H414" s="184" t="s">
        <v>598</v>
      </c>
      <c r="I414" s="184" t="s">
        <v>134</v>
      </c>
      <c r="J414" s="184" t="s">
        <v>84</v>
      </c>
      <c r="K414" s="184" t="s">
        <v>255</v>
      </c>
      <c r="L414" s="184" t="s">
        <v>598</v>
      </c>
      <c r="M414" s="184" t="s">
        <v>598</v>
      </c>
      <c r="N414" s="184" t="s">
        <v>79</v>
      </c>
      <c r="O414" s="184" t="s">
        <v>112</v>
      </c>
      <c r="P414" s="186" t="s">
        <v>73</v>
      </c>
      <c r="Q414" s="184" t="s">
        <v>598</v>
      </c>
      <c r="R414" s="184" t="s">
        <v>598</v>
      </c>
      <c r="S414" s="127">
        <v>42896</v>
      </c>
      <c r="T414" s="184" t="s">
        <v>34</v>
      </c>
      <c r="U414" s="184" t="s">
        <v>598</v>
      </c>
      <c r="V414" s="185">
        <v>4000</v>
      </c>
      <c r="W414" s="184" t="s">
        <v>493</v>
      </c>
      <c r="X414" s="184" t="s">
        <v>598</v>
      </c>
      <c r="Y414" s="185">
        <v>0</v>
      </c>
      <c r="Z414" s="184" t="s">
        <v>598</v>
      </c>
      <c r="AA414" s="21" t="s">
        <v>610</v>
      </c>
      <c r="AB414" s="176" t="s">
        <v>489</v>
      </c>
      <c r="AC414" s="172">
        <v>42996.328472222223</v>
      </c>
      <c r="AD414" s="32" t="s">
        <v>552</v>
      </c>
    </row>
    <row r="415" spans="1:30">
      <c r="A415" s="184">
        <v>414</v>
      </c>
      <c r="B415" s="184" t="s">
        <v>1431</v>
      </c>
      <c r="C415" s="184" t="s">
        <v>598</v>
      </c>
      <c r="D415" s="127">
        <v>42892</v>
      </c>
      <c r="E415" s="127" t="s">
        <v>598</v>
      </c>
      <c r="F415" s="184" t="s">
        <v>1432</v>
      </c>
      <c r="G415" s="185">
        <v>0</v>
      </c>
      <c r="H415" s="184" t="s">
        <v>598</v>
      </c>
      <c r="I415" s="184" t="s">
        <v>134</v>
      </c>
      <c r="J415" s="184" t="s">
        <v>84</v>
      </c>
      <c r="K415" s="184" t="s">
        <v>256</v>
      </c>
      <c r="L415" s="184" t="s">
        <v>598</v>
      </c>
      <c r="M415" s="184" t="s">
        <v>598</v>
      </c>
      <c r="N415" s="184" t="s">
        <v>79</v>
      </c>
      <c r="O415" s="184" t="s">
        <v>112</v>
      </c>
      <c r="P415" s="186" t="s">
        <v>601</v>
      </c>
      <c r="Q415" s="184" t="s">
        <v>598</v>
      </c>
      <c r="R415" s="184" t="s">
        <v>598</v>
      </c>
      <c r="S415" s="127" t="s">
        <v>598</v>
      </c>
      <c r="T415" s="184" t="s">
        <v>598</v>
      </c>
      <c r="U415" s="184" t="s">
        <v>598</v>
      </c>
      <c r="V415" s="185">
        <v>0</v>
      </c>
      <c r="W415" s="184" t="s">
        <v>485</v>
      </c>
      <c r="X415" s="184" t="s">
        <v>598</v>
      </c>
      <c r="Y415" s="185">
        <v>0</v>
      </c>
      <c r="Z415" s="184" t="s">
        <v>598</v>
      </c>
      <c r="AA415" s="21" t="s">
        <v>610</v>
      </c>
      <c r="AB415" s="176" t="s">
        <v>489</v>
      </c>
      <c r="AC415" s="172">
        <v>42996.328472222223</v>
      </c>
      <c r="AD415" s="32" t="s">
        <v>552</v>
      </c>
    </row>
    <row r="416" spans="1:30">
      <c r="A416" s="184">
        <v>415</v>
      </c>
      <c r="B416" s="184" t="s">
        <v>1433</v>
      </c>
      <c r="C416" s="184" t="s">
        <v>598</v>
      </c>
      <c r="D416" s="127">
        <v>42892</v>
      </c>
      <c r="E416" s="127" t="s">
        <v>598</v>
      </c>
      <c r="F416" s="184" t="s">
        <v>1434</v>
      </c>
      <c r="G416" s="185">
        <v>0</v>
      </c>
      <c r="H416" s="184" t="s">
        <v>598</v>
      </c>
      <c r="I416" s="184" t="s">
        <v>134</v>
      </c>
      <c r="J416" s="184" t="s">
        <v>84</v>
      </c>
      <c r="K416" s="184" t="s">
        <v>598</v>
      </c>
      <c r="L416" s="184" t="s">
        <v>598</v>
      </c>
      <c r="M416" s="184" t="s">
        <v>598</v>
      </c>
      <c r="N416" s="184" t="s">
        <v>79</v>
      </c>
      <c r="O416" s="184" t="s">
        <v>112</v>
      </c>
      <c r="P416" s="186" t="s">
        <v>32</v>
      </c>
      <c r="Q416" s="184" t="s">
        <v>598</v>
      </c>
      <c r="R416" s="184" t="s">
        <v>598</v>
      </c>
      <c r="S416" s="127" t="s">
        <v>598</v>
      </c>
      <c r="T416" s="184" t="s">
        <v>598</v>
      </c>
      <c r="U416" s="184" t="s">
        <v>598</v>
      </c>
      <c r="V416" s="185">
        <v>0</v>
      </c>
      <c r="W416" s="184" t="s">
        <v>89</v>
      </c>
      <c r="X416" s="184" t="s">
        <v>598</v>
      </c>
      <c r="Y416" s="185">
        <v>0</v>
      </c>
      <c r="Z416" s="184" t="s">
        <v>598</v>
      </c>
      <c r="AA416" s="21" t="s">
        <v>822</v>
      </c>
      <c r="AB416" s="176" t="s">
        <v>489</v>
      </c>
      <c r="AC416" s="172">
        <v>42996.328472222223</v>
      </c>
      <c r="AD416" s="32" t="s">
        <v>552</v>
      </c>
    </row>
    <row r="417" spans="1:30">
      <c r="A417" s="184">
        <v>416</v>
      </c>
      <c r="B417" s="184" t="s">
        <v>1435</v>
      </c>
      <c r="C417" s="184" t="s">
        <v>598</v>
      </c>
      <c r="D417" s="127">
        <v>42892</v>
      </c>
      <c r="E417" s="127" t="s">
        <v>598</v>
      </c>
      <c r="F417" s="184" t="s">
        <v>1436</v>
      </c>
      <c r="G417" s="185">
        <v>0</v>
      </c>
      <c r="H417" s="184" t="s">
        <v>598</v>
      </c>
      <c r="I417" s="184" t="s">
        <v>134</v>
      </c>
      <c r="J417" s="184" t="s">
        <v>84</v>
      </c>
      <c r="K417" s="184" t="s">
        <v>598</v>
      </c>
      <c r="L417" s="184" t="s">
        <v>598</v>
      </c>
      <c r="M417" s="184" t="s">
        <v>62</v>
      </c>
      <c r="N417" s="184" t="s">
        <v>79</v>
      </c>
      <c r="O417" s="184" t="s">
        <v>79</v>
      </c>
      <c r="P417" s="186" t="s">
        <v>53</v>
      </c>
      <c r="Q417" s="184" t="s">
        <v>598</v>
      </c>
      <c r="R417" s="184" t="s">
        <v>598</v>
      </c>
      <c r="S417" s="127" t="s">
        <v>598</v>
      </c>
      <c r="T417" s="184" t="s">
        <v>598</v>
      </c>
      <c r="U417" s="184" t="s">
        <v>598</v>
      </c>
      <c r="V417" s="185">
        <v>0</v>
      </c>
      <c r="W417" s="184" t="s">
        <v>485</v>
      </c>
      <c r="X417" s="184" t="s">
        <v>598</v>
      </c>
      <c r="Y417" s="185">
        <v>0</v>
      </c>
      <c r="Z417" s="184" t="s">
        <v>598</v>
      </c>
      <c r="AA417" s="21" t="s">
        <v>610</v>
      </c>
      <c r="AB417" s="176" t="s">
        <v>489</v>
      </c>
      <c r="AC417" s="172">
        <v>42996.328472222223</v>
      </c>
      <c r="AD417" s="32" t="s">
        <v>552</v>
      </c>
    </row>
    <row r="418" spans="1:30">
      <c r="A418" s="184">
        <v>417</v>
      </c>
      <c r="B418" s="184" t="s">
        <v>1437</v>
      </c>
      <c r="C418" s="184" t="s">
        <v>598</v>
      </c>
      <c r="D418" s="127">
        <v>42892</v>
      </c>
      <c r="E418" s="127" t="s">
        <v>598</v>
      </c>
      <c r="F418" s="184" t="s">
        <v>598</v>
      </c>
      <c r="G418" s="185">
        <v>0</v>
      </c>
      <c r="H418" s="184" t="s">
        <v>598</v>
      </c>
      <c r="I418" s="184" t="s">
        <v>132</v>
      </c>
      <c r="J418" s="184" t="s">
        <v>84</v>
      </c>
      <c r="K418" s="184" t="s">
        <v>257</v>
      </c>
      <c r="L418" s="184" t="s">
        <v>598</v>
      </c>
      <c r="M418" s="184" t="s">
        <v>598</v>
      </c>
      <c r="N418" s="184" t="s">
        <v>79</v>
      </c>
      <c r="O418" s="184" t="s">
        <v>65</v>
      </c>
      <c r="P418" s="186" t="s">
        <v>44</v>
      </c>
      <c r="Q418" s="184" t="s">
        <v>598</v>
      </c>
      <c r="R418" s="184" t="s">
        <v>598</v>
      </c>
      <c r="S418" s="127">
        <v>42892</v>
      </c>
      <c r="T418" s="184" t="s">
        <v>34</v>
      </c>
      <c r="U418" s="184" t="s">
        <v>598</v>
      </c>
      <c r="V418" s="185">
        <v>750</v>
      </c>
      <c r="W418" s="184" t="s">
        <v>558</v>
      </c>
      <c r="X418" s="184" t="s">
        <v>598</v>
      </c>
      <c r="Y418" s="185">
        <v>0</v>
      </c>
      <c r="Z418" s="184" t="s">
        <v>598</v>
      </c>
      <c r="AA418" s="21" t="s">
        <v>822</v>
      </c>
      <c r="AB418" s="176" t="s">
        <v>489</v>
      </c>
      <c r="AC418" s="172">
        <v>42996.328472222223</v>
      </c>
      <c r="AD418" s="32" t="s">
        <v>552</v>
      </c>
    </row>
    <row r="419" spans="1:30">
      <c r="A419" s="184">
        <v>418</v>
      </c>
      <c r="B419" s="184" t="s">
        <v>1438</v>
      </c>
      <c r="C419" s="184" t="s">
        <v>598</v>
      </c>
      <c r="D419" s="127">
        <v>42892</v>
      </c>
      <c r="E419" s="127" t="s">
        <v>598</v>
      </c>
      <c r="F419" s="184" t="s">
        <v>1439</v>
      </c>
      <c r="G419" s="185">
        <v>0</v>
      </c>
      <c r="H419" s="184" t="s">
        <v>598</v>
      </c>
      <c r="I419" s="184" t="s">
        <v>126</v>
      </c>
      <c r="J419" s="184" t="s">
        <v>84</v>
      </c>
      <c r="K419" s="184" t="s">
        <v>598</v>
      </c>
      <c r="L419" s="184" t="s">
        <v>598</v>
      </c>
      <c r="M419" s="184" t="s">
        <v>598</v>
      </c>
      <c r="N419" s="184" t="s">
        <v>79</v>
      </c>
      <c r="O419" s="184" t="s">
        <v>598</v>
      </c>
      <c r="P419" s="186" t="s">
        <v>67</v>
      </c>
      <c r="Q419" s="184" t="s">
        <v>598</v>
      </c>
      <c r="R419" s="184" t="s">
        <v>598</v>
      </c>
      <c r="S419" s="127">
        <v>42892</v>
      </c>
      <c r="T419" s="184" t="s">
        <v>34</v>
      </c>
      <c r="U419" s="184" t="s">
        <v>598</v>
      </c>
      <c r="V419" s="185">
        <v>1000</v>
      </c>
      <c r="W419" s="184" t="s">
        <v>493</v>
      </c>
      <c r="X419" s="184" t="s">
        <v>598</v>
      </c>
      <c r="Y419" s="185">
        <v>0</v>
      </c>
      <c r="Z419" s="184" t="s">
        <v>598</v>
      </c>
      <c r="AA419" s="21" t="s">
        <v>610</v>
      </c>
      <c r="AB419" s="176" t="s">
        <v>489</v>
      </c>
      <c r="AC419" s="172">
        <v>42996.328472222223</v>
      </c>
      <c r="AD419" s="32" t="s">
        <v>552</v>
      </c>
    </row>
    <row r="420" spans="1:30">
      <c r="A420" s="184">
        <v>419</v>
      </c>
      <c r="B420" s="184" t="s">
        <v>1440</v>
      </c>
      <c r="C420" s="184" t="s">
        <v>598</v>
      </c>
      <c r="D420" s="127">
        <v>42893</v>
      </c>
      <c r="E420" s="127" t="s">
        <v>598</v>
      </c>
      <c r="F420" s="184" t="s">
        <v>1441</v>
      </c>
      <c r="G420" s="185">
        <v>0</v>
      </c>
      <c r="H420" s="184" t="s">
        <v>598</v>
      </c>
      <c r="I420" s="184" t="s">
        <v>122</v>
      </c>
      <c r="J420" s="184" t="s">
        <v>84</v>
      </c>
      <c r="K420" s="184" t="s">
        <v>244</v>
      </c>
      <c r="L420" s="184" t="s">
        <v>598</v>
      </c>
      <c r="M420" s="184" t="s">
        <v>598</v>
      </c>
      <c r="N420" s="184" t="s">
        <v>79</v>
      </c>
      <c r="O420" s="184" t="s">
        <v>79</v>
      </c>
      <c r="P420" s="186" t="s">
        <v>602</v>
      </c>
      <c r="Q420" s="184" t="s">
        <v>598</v>
      </c>
      <c r="R420" s="184" t="s">
        <v>598</v>
      </c>
      <c r="S420" s="127">
        <v>42915</v>
      </c>
      <c r="T420" s="184" t="s">
        <v>34</v>
      </c>
      <c r="U420" s="184" t="s">
        <v>598</v>
      </c>
      <c r="V420" s="185">
        <v>1500</v>
      </c>
      <c r="W420" s="184" t="s">
        <v>493</v>
      </c>
      <c r="X420" s="184" t="s">
        <v>598</v>
      </c>
      <c r="Y420" s="185">
        <v>0</v>
      </c>
      <c r="Z420" s="184" t="s">
        <v>598</v>
      </c>
      <c r="AA420" s="21" t="s">
        <v>610</v>
      </c>
      <c r="AB420" s="176" t="s">
        <v>489</v>
      </c>
      <c r="AC420" s="172">
        <v>42996.328472222223</v>
      </c>
      <c r="AD420" s="32" t="s">
        <v>552</v>
      </c>
    </row>
    <row r="421" spans="1:30">
      <c r="A421" s="184">
        <v>420</v>
      </c>
      <c r="B421" s="184" t="s">
        <v>1442</v>
      </c>
      <c r="C421" s="184" t="s">
        <v>598</v>
      </c>
      <c r="D421" s="127">
        <v>42893</v>
      </c>
      <c r="E421" s="127" t="s">
        <v>598</v>
      </c>
      <c r="F421" s="184" t="s">
        <v>1443</v>
      </c>
      <c r="G421" s="185">
        <v>0</v>
      </c>
      <c r="H421" s="184" t="s">
        <v>598</v>
      </c>
      <c r="I421" s="184" t="s">
        <v>126</v>
      </c>
      <c r="J421" s="184" t="s">
        <v>84</v>
      </c>
      <c r="K421" s="184" t="s">
        <v>598</v>
      </c>
      <c r="L421" s="184" t="s">
        <v>598</v>
      </c>
      <c r="M421" s="184" t="s">
        <v>598</v>
      </c>
      <c r="N421" s="184" t="s">
        <v>79</v>
      </c>
      <c r="O421" s="184" t="s">
        <v>598</v>
      </c>
      <c r="P421" s="186" t="s">
        <v>603</v>
      </c>
      <c r="Q421" s="184" t="s">
        <v>598</v>
      </c>
      <c r="R421" s="184" t="s">
        <v>598</v>
      </c>
      <c r="S421" s="127" t="s">
        <v>598</v>
      </c>
      <c r="T421" s="184" t="s">
        <v>598</v>
      </c>
      <c r="U421" s="184" t="s">
        <v>598</v>
      </c>
      <c r="V421" s="185">
        <v>0</v>
      </c>
      <c r="W421" s="184" t="s">
        <v>89</v>
      </c>
      <c r="X421" s="184" t="s">
        <v>598</v>
      </c>
      <c r="Y421" s="185">
        <v>0</v>
      </c>
      <c r="Z421" s="184" t="s">
        <v>598</v>
      </c>
      <c r="AA421" s="21" t="s">
        <v>822</v>
      </c>
      <c r="AB421" s="176" t="s">
        <v>489</v>
      </c>
      <c r="AC421" s="172">
        <v>42996.328472222223</v>
      </c>
      <c r="AD421" s="32" t="s">
        <v>552</v>
      </c>
    </row>
    <row r="422" spans="1:30">
      <c r="A422" s="184">
        <v>421</v>
      </c>
      <c r="B422" s="184" t="s">
        <v>1444</v>
      </c>
      <c r="C422" s="184" t="s">
        <v>598</v>
      </c>
      <c r="D422" s="127">
        <v>42893</v>
      </c>
      <c r="E422" s="127" t="s">
        <v>598</v>
      </c>
      <c r="F422" s="184" t="s">
        <v>1445</v>
      </c>
      <c r="G422" s="185">
        <v>0</v>
      </c>
      <c r="H422" s="184" t="s">
        <v>598</v>
      </c>
      <c r="I422" s="184" t="s">
        <v>598</v>
      </c>
      <c r="J422" s="184" t="s">
        <v>84</v>
      </c>
      <c r="K422" s="184" t="s">
        <v>254</v>
      </c>
      <c r="L422" s="184" t="s">
        <v>598</v>
      </c>
      <c r="M422" s="184" t="s">
        <v>598</v>
      </c>
      <c r="N422" s="184" t="s">
        <v>79</v>
      </c>
      <c r="O422" s="184" t="s">
        <v>79</v>
      </c>
      <c r="P422" s="186" t="s">
        <v>604</v>
      </c>
      <c r="Q422" s="184" t="s">
        <v>598</v>
      </c>
      <c r="R422" s="184" t="s">
        <v>598</v>
      </c>
      <c r="S422" s="127">
        <v>42900</v>
      </c>
      <c r="T422" s="184" t="s">
        <v>34</v>
      </c>
      <c r="U422" s="184" t="s">
        <v>598</v>
      </c>
      <c r="V422" s="185">
        <v>3000</v>
      </c>
      <c r="W422" s="184" t="s">
        <v>493</v>
      </c>
      <c r="X422" s="184" t="s">
        <v>598</v>
      </c>
      <c r="Y422" s="185">
        <v>0</v>
      </c>
      <c r="Z422" s="184" t="s">
        <v>598</v>
      </c>
      <c r="AA422" s="21" t="s">
        <v>610</v>
      </c>
      <c r="AB422" s="176" t="s">
        <v>489</v>
      </c>
      <c r="AC422" s="172">
        <v>42996.328472222223</v>
      </c>
      <c r="AD422" s="32" t="s">
        <v>552</v>
      </c>
    </row>
    <row r="423" spans="1:30">
      <c r="A423" s="184">
        <v>422</v>
      </c>
      <c r="B423" s="184" t="s">
        <v>1446</v>
      </c>
      <c r="C423" s="184" t="s">
        <v>598</v>
      </c>
      <c r="D423" s="127">
        <v>42894</v>
      </c>
      <c r="E423" s="127" t="s">
        <v>598</v>
      </c>
      <c r="F423" s="184" t="s">
        <v>626</v>
      </c>
      <c r="G423" s="185">
        <v>0</v>
      </c>
      <c r="H423" s="184" t="s">
        <v>598</v>
      </c>
      <c r="I423" s="184" t="s">
        <v>135</v>
      </c>
      <c r="J423" s="184" t="s">
        <v>84</v>
      </c>
      <c r="K423" s="184" t="s">
        <v>258</v>
      </c>
      <c r="L423" s="184" t="s">
        <v>598</v>
      </c>
      <c r="M423" s="184" t="s">
        <v>598</v>
      </c>
      <c r="N423" s="184" t="s">
        <v>79</v>
      </c>
      <c r="O423" s="184" t="s">
        <v>112</v>
      </c>
      <c r="P423" s="186" t="s">
        <v>605</v>
      </c>
      <c r="Q423" s="184" t="s">
        <v>598</v>
      </c>
      <c r="R423" s="184" t="s">
        <v>598</v>
      </c>
      <c r="S423" s="127">
        <v>42894</v>
      </c>
      <c r="T423" s="184" t="s">
        <v>34</v>
      </c>
      <c r="U423" s="184" t="s">
        <v>598</v>
      </c>
      <c r="V423" s="185">
        <v>4500</v>
      </c>
      <c r="W423" s="184" t="s">
        <v>493</v>
      </c>
      <c r="X423" s="184" t="s">
        <v>598</v>
      </c>
      <c r="Y423" s="185">
        <v>0</v>
      </c>
      <c r="Z423" s="184" t="s">
        <v>598</v>
      </c>
      <c r="AA423" s="21" t="s">
        <v>610</v>
      </c>
      <c r="AB423" s="176" t="s">
        <v>489</v>
      </c>
      <c r="AC423" s="172">
        <v>42996.328472222223</v>
      </c>
      <c r="AD423" s="32" t="s">
        <v>552</v>
      </c>
    </row>
    <row r="424" spans="1:30">
      <c r="A424" s="184">
        <v>423</v>
      </c>
      <c r="B424" s="184" t="s">
        <v>1447</v>
      </c>
      <c r="C424" s="184" t="s">
        <v>598</v>
      </c>
      <c r="D424" s="127">
        <v>42894</v>
      </c>
      <c r="E424" s="127" t="s">
        <v>598</v>
      </c>
      <c r="F424" s="184" t="s">
        <v>1448</v>
      </c>
      <c r="G424" s="185">
        <v>0</v>
      </c>
      <c r="H424" s="184" t="s">
        <v>598</v>
      </c>
      <c r="I424" s="184" t="s">
        <v>134</v>
      </c>
      <c r="J424" s="184" t="s">
        <v>84</v>
      </c>
      <c r="K424" s="184" t="s">
        <v>1449</v>
      </c>
      <c r="L424" s="184" t="s">
        <v>598</v>
      </c>
      <c r="M424" s="184" t="s">
        <v>598</v>
      </c>
      <c r="N424" s="184" t="s">
        <v>79</v>
      </c>
      <c r="O424" s="184" t="s">
        <v>79</v>
      </c>
      <c r="P424" s="186" t="s">
        <v>606</v>
      </c>
      <c r="Q424" s="184" t="s">
        <v>598</v>
      </c>
      <c r="R424" s="184" t="s">
        <v>598</v>
      </c>
      <c r="S424" s="127" t="s">
        <v>598</v>
      </c>
      <c r="T424" s="184" t="s">
        <v>598</v>
      </c>
      <c r="U424" s="184" t="s">
        <v>598</v>
      </c>
      <c r="V424" s="185">
        <v>0</v>
      </c>
      <c r="W424" s="184" t="s">
        <v>557</v>
      </c>
      <c r="X424" s="184" t="s">
        <v>598</v>
      </c>
      <c r="Y424" s="185">
        <v>0</v>
      </c>
      <c r="Z424" s="184" t="s">
        <v>598</v>
      </c>
      <c r="AA424" s="21" t="s">
        <v>822</v>
      </c>
      <c r="AB424" s="176" t="s">
        <v>489</v>
      </c>
      <c r="AC424" s="172">
        <v>42996.328472222223</v>
      </c>
      <c r="AD424" s="32" t="s">
        <v>552</v>
      </c>
    </row>
    <row r="425" spans="1:30">
      <c r="A425" s="184">
        <v>424</v>
      </c>
      <c r="B425" s="184" t="s">
        <v>1450</v>
      </c>
      <c r="C425" s="184" t="s">
        <v>598</v>
      </c>
      <c r="D425" s="127">
        <v>42894</v>
      </c>
      <c r="E425" s="127" t="s">
        <v>598</v>
      </c>
      <c r="F425" s="184" t="s">
        <v>1451</v>
      </c>
      <c r="G425" s="185">
        <v>0</v>
      </c>
      <c r="H425" s="184" t="s">
        <v>598</v>
      </c>
      <c r="I425" s="184" t="s">
        <v>126</v>
      </c>
      <c r="J425" s="184" t="s">
        <v>84</v>
      </c>
      <c r="K425" s="184" t="s">
        <v>598</v>
      </c>
      <c r="L425" s="184" t="s">
        <v>598</v>
      </c>
      <c r="M425" s="184" t="s">
        <v>598</v>
      </c>
      <c r="N425" s="184" t="s">
        <v>79</v>
      </c>
      <c r="O425" s="184" t="s">
        <v>598</v>
      </c>
      <c r="P425" s="186" t="s">
        <v>607</v>
      </c>
      <c r="Q425" s="184" t="s">
        <v>598</v>
      </c>
      <c r="R425" s="184" t="s">
        <v>598</v>
      </c>
      <c r="S425" s="127">
        <v>42896</v>
      </c>
      <c r="T425" s="184" t="s">
        <v>34</v>
      </c>
      <c r="U425" s="184" t="s">
        <v>598</v>
      </c>
      <c r="V425" s="185">
        <v>1000</v>
      </c>
      <c r="W425" s="184" t="s">
        <v>493</v>
      </c>
      <c r="X425" s="184" t="s">
        <v>598</v>
      </c>
      <c r="Y425" s="185">
        <v>0</v>
      </c>
      <c r="Z425" s="184" t="s">
        <v>598</v>
      </c>
      <c r="AA425" s="21" t="s">
        <v>610</v>
      </c>
      <c r="AB425" s="176" t="s">
        <v>489</v>
      </c>
      <c r="AC425" s="172">
        <v>42996.328472222223</v>
      </c>
      <c r="AD425" s="32" t="s">
        <v>552</v>
      </c>
    </row>
    <row r="426" spans="1:30">
      <c r="A426" s="184">
        <v>425</v>
      </c>
      <c r="B426" s="184" t="s">
        <v>1452</v>
      </c>
      <c r="C426" s="184" t="s">
        <v>598</v>
      </c>
      <c r="D426" s="127">
        <v>42895</v>
      </c>
      <c r="E426" s="127" t="s">
        <v>598</v>
      </c>
      <c r="F426" s="184" t="s">
        <v>1453</v>
      </c>
      <c r="G426" s="185">
        <v>0</v>
      </c>
      <c r="H426" s="184" t="s">
        <v>598</v>
      </c>
      <c r="I426" s="184" t="s">
        <v>134</v>
      </c>
      <c r="J426" s="184" t="s">
        <v>84</v>
      </c>
      <c r="K426" s="184" t="s">
        <v>259</v>
      </c>
      <c r="L426" s="184" t="s">
        <v>598</v>
      </c>
      <c r="M426" s="184" t="s">
        <v>62</v>
      </c>
      <c r="N426" s="184" t="s">
        <v>79</v>
      </c>
      <c r="O426" s="184" t="s">
        <v>112</v>
      </c>
      <c r="P426" s="186" t="s">
        <v>73</v>
      </c>
      <c r="Q426" s="184" t="s">
        <v>598</v>
      </c>
      <c r="R426" s="184" t="s">
        <v>598</v>
      </c>
      <c r="S426" s="127" t="s">
        <v>598</v>
      </c>
      <c r="T426" s="184" t="s">
        <v>598</v>
      </c>
      <c r="U426" s="184" t="s">
        <v>598</v>
      </c>
      <c r="V426" s="185">
        <v>0</v>
      </c>
      <c r="W426" s="184" t="s">
        <v>485</v>
      </c>
      <c r="X426" s="184" t="s">
        <v>598</v>
      </c>
      <c r="Y426" s="185">
        <v>0</v>
      </c>
      <c r="Z426" s="184" t="s">
        <v>598</v>
      </c>
      <c r="AA426" s="21" t="s">
        <v>610</v>
      </c>
      <c r="AB426" s="176" t="s">
        <v>489</v>
      </c>
      <c r="AC426" s="172">
        <v>42996.328472222223</v>
      </c>
      <c r="AD426" s="32" t="s">
        <v>552</v>
      </c>
    </row>
    <row r="427" spans="1:30">
      <c r="A427" s="184">
        <v>426</v>
      </c>
      <c r="B427" s="184" t="s">
        <v>1454</v>
      </c>
      <c r="C427" s="184" t="s">
        <v>598</v>
      </c>
      <c r="D427" s="127">
        <v>42895</v>
      </c>
      <c r="E427" s="127" t="s">
        <v>598</v>
      </c>
      <c r="F427" s="184" t="s">
        <v>1455</v>
      </c>
      <c r="G427" s="185">
        <v>0</v>
      </c>
      <c r="H427" s="184" t="s">
        <v>598</v>
      </c>
      <c r="I427" s="184" t="s">
        <v>864</v>
      </c>
      <c r="J427" s="184" t="s">
        <v>84</v>
      </c>
      <c r="K427" s="184" t="s">
        <v>598</v>
      </c>
      <c r="L427" s="184" t="s">
        <v>598</v>
      </c>
      <c r="M427" s="184" t="s">
        <v>598</v>
      </c>
      <c r="N427" s="184" t="s">
        <v>79</v>
      </c>
      <c r="O427" s="184" t="s">
        <v>598</v>
      </c>
      <c r="P427" s="186" t="s">
        <v>601</v>
      </c>
      <c r="Q427" s="184" t="s">
        <v>598</v>
      </c>
      <c r="R427" s="184" t="s">
        <v>598</v>
      </c>
      <c r="S427" s="127">
        <v>42898</v>
      </c>
      <c r="T427" s="184" t="s">
        <v>34</v>
      </c>
      <c r="U427" s="184" t="s">
        <v>598</v>
      </c>
      <c r="V427" s="185">
        <v>3000</v>
      </c>
      <c r="W427" s="184" t="s">
        <v>493</v>
      </c>
      <c r="X427" s="184" t="s">
        <v>598</v>
      </c>
      <c r="Y427" s="185">
        <v>0</v>
      </c>
      <c r="Z427" s="184" t="s">
        <v>598</v>
      </c>
      <c r="AA427" s="21" t="s">
        <v>610</v>
      </c>
      <c r="AB427" s="176" t="s">
        <v>489</v>
      </c>
      <c r="AC427" s="172">
        <v>42996.328472222223</v>
      </c>
      <c r="AD427" s="32" t="s">
        <v>552</v>
      </c>
    </row>
    <row r="428" spans="1:30">
      <c r="A428" s="184">
        <v>427</v>
      </c>
      <c r="B428" s="184" t="s">
        <v>1456</v>
      </c>
      <c r="C428" s="184" t="s">
        <v>598</v>
      </c>
      <c r="D428" s="127">
        <v>42895</v>
      </c>
      <c r="E428" s="127" t="s">
        <v>598</v>
      </c>
      <c r="F428" s="184" t="s">
        <v>598</v>
      </c>
      <c r="G428" s="185">
        <v>0</v>
      </c>
      <c r="H428" s="184" t="s">
        <v>598</v>
      </c>
      <c r="I428" s="184" t="s">
        <v>126</v>
      </c>
      <c r="J428" s="184" t="s">
        <v>84</v>
      </c>
      <c r="K428" s="184" t="s">
        <v>598</v>
      </c>
      <c r="L428" s="184" t="s">
        <v>598</v>
      </c>
      <c r="M428" s="184" t="s">
        <v>598</v>
      </c>
      <c r="N428" s="184" t="s">
        <v>79</v>
      </c>
      <c r="O428" s="184" t="s">
        <v>598</v>
      </c>
      <c r="P428" s="186" t="s">
        <v>601</v>
      </c>
      <c r="Q428" s="184" t="s">
        <v>598</v>
      </c>
      <c r="R428" s="184" t="s">
        <v>598</v>
      </c>
      <c r="S428" s="127">
        <v>42896</v>
      </c>
      <c r="T428" s="184" t="s">
        <v>34</v>
      </c>
      <c r="U428" s="184" t="s">
        <v>598</v>
      </c>
      <c r="V428" s="185">
        <v>1000</v>
      </c>
      <c r="W428" s="184" t="s">
        <v>493</v>
      </c>
      <c r="X428" s="184" t="s">
        <v>598</v>
      </c>
      <c r="Y428" s="185">
        <v>0</v>
      </c>
      <c r="Z428" s="184" t="s">
        <v>598</v>
      </c>
      <c r="AA428" s="21" t="s">
        <v>610</v>
      </c>
      <c r="AB428" s="176" t="s">
        <v>489</v>
      </c>
      <c r="AC428" s="172">
        <v>42996.328472222223</v>
      </c>
      <c r="AD428" s="32" t="s">
        <v>552</v>
      </c>
    </row>
    <row r="429" spans="1:30">
      <c r="A429" s="184">
        <v>428</v>
      </c>
      <c r="B429" s="184" t="s">
        <v>1457</v>
      </c>
      <c r="C429" s="184" t="s">
        <v>598</v>
      </c>
      <c r="D429" s="127">
        <v>42896</v>
      </c>
      <c r="E429" s="127" t="s">
        <v>598</v>
      </c>
      <c r="F429" s="184" t="s">
        <v>1458</v>
      </c>
      <c r="G429" s="185">
        <v>0</v>
      </c>
      <c r="H429" s="184" t="s">
        <v>598</v>
      </c>
      <c r="I429" s="184" t="s">
        <v>134</v>
      </c>
      <c r="J429" s="184" t="s">
        <v>84</v>
      </c>
      <c r="K429" s="184" t="s">
        <v>260</v>
      </c>
      <c r="L429" s="184" t="s">
        <v>598</v>
      </c>
      <c r="M429" s="184" t="s">
        <v>598</v>
      </c>
      <c r="N429" s="184" t="s">
        <v>79</v>
      </c>
      <c r="O429" s="184" t="s">
        <v>79</v>
      </c>
      <c r="P429" s="186" t="s">
        <v>32</v>
      </c>
      <c r="Q429" s="184" t="s">
        <v>598</v>
      </c>
      <c r="R429" s="184" t="s">
        <v>598</v>
      </c>
      <c r="S429" s="127">
        <v>42908</v>
      </c>
      <c r="T429" s="184" t="s">
        <v>34</v>
      </c>
      <c r="U429" s="184" t="s">
        <v>598</v>
      </c>
      <c r="V429" s="185">
        <v>3500</v>
      </c>
      <c r="W429" s="184" t="s">
        <v>493</v>
      </c>
      <c r="X429" s="184" t="s">
        <v>598</v>
      </c>
      <c r="Y429" s="185">
        <v>0</v>
      </c>
      <c r="Z429" s="184" t="s">
        <v>598</v>
      </c>
      <c r="AA429" s="21" t="s">
        <v>610</v>
      </c>
      <c r="AB429" s="176" t="s">
        <v>489</v>
      </c>
      <c r="AC429" s="172">
        <v>42996.328472222223</v>
      </c>
      <c r="AD429" s="32" t="s">
        <v>552</v>
      </c>
    </row>
    <row r="430" spans="1:30">
      <c r="A430" s="184">
        <v>429</v>
      </c>
      <c r="B430" s="184" t="s">
        <v>1459</v>
      </c>
      <c r="C430" s="184" t="s">
        <v>598</v>
      </c>
      <c r="D430" s="127">
        <v>42896</v>
      </c>
      <c r="E430" s="127" t="s">
        <v>598</v>
      </c>
      <c r="F430" s="184" t="s">
        <v>1460</v>
      </c>
      <c r="G430" s="185">
        <v>0</v>
      </c>
      <c r="H430" s="184" t="s">
        <v>598</v>
      </c>
      <c r="I430" s="184" t="s">
        <v>134</v>
      </c>
      <c r="J430" s="184" t="s">
        <v>84</v>
      </c>
      <c r="K430" s="184" t="s">
        <v>261</v>
      </c>
      <c r="L430" s="184" t="s">
        <v>598</v>
      </c>
      <c r="M430" s="184" t="s">
        <v>598</v>
      </c>
      <c r="N430" s="184" t="s">
        <v>79</v>
      </c>
      <c r="O430" s="184" t="s">
        <v>112</v>
      </c>
      <c r="P430" s="186" t="s">
        <v>53</v>
      </c>
      <c r="Q430" s="184" t="s">
        <v>598</v>
      </c>
      <c r="R430" s="184" t="s">
        <v>598</v>
      </c>
      <c r="S430" s="127" t="s">
        <v>598</v>
      </c>
      <c r="T430" s="184" t="s">
        <v>598</v>
      </c>
      <c r="U430" s="184" t="s">
        <v>598</v>
      </c>
      <c r="V430" s="185">
        <v>0</v>
      </c>
      <c r="W430" s="184" t="s">
        <v>485</v>
      </c>
      <c r="X430" s="184" t="s">
        <v>598</v>
      </c>
      <c r="Y430" s="185">
        <v>0</v>
      </c>
      <c r="Z430" s="184" t="s">
        <v>598</v>
      </c>
      <c r="AA430" s="21" t="s">
        <v>610</v>
      </c>
      <c r="AB430" s="176" t="s">
        <v>489</v>
      </c>
      <c r="AC430" s="172">
        <v>42996.328472222223</v>
      </c>
      <c r="AD430" s="32" t="s">
        <v>552</v>
      </c>
    </row>
    <row r="431" spans="1:30">
      <c r="A431" s="184">
        <v>430</v>
      </c>
      <c r="B431" s="184" t="s">
        <v>1461</v>
      </c>
      <c r="C431" s="184" t="s">
        <v>598</v>
      </c>
      <c r="D431" s="127">
        <v>42896</v>
      </c>
      <c r="E431" s="127" t="s">
        <v>598</v>
      </c>
      <c r="F431" s="184" t="s">
        <v>598</v>
      </c>
      <c r="G431" s="185">
        <v>0</v>
      </c>
      <c r="H431" s="184" t="s">
        <v>598</v>
      </c>
      <c r="I431" s="184" t="s">
        <v>134</v>
      </c>
      <c r="J431" s="184" t="s">
        <v>84</v>
      </c>
      <c r="K431" s="184" t="s">
        <v>262</v>
      </c>
      <c r="L431" s="184" t="s">
        <v>598</v>
      </c>
      <c r="M431" s="184" t="s">
        <v>598</v>
      </c>
      <c r="N431" s="184" t="s">
        <v>79</v>
      </c>
      <c r="O431" s="184" t="s">
        <v>112</v>
      </c>
      <c r="P431" s="186" t="s">
        <v>44</v>
      </c>
      <c r="Q431" s="184" t="s">
        <v>598</v>
      </c>
      <c r="R431" s="184" t="s">
        <v>598</v>
      </c>
      <c r="S431" s="127" t="s">
        <v>598</v>
      </c>
      <c r="T431" s="184" t="s">
        <v>598</v>
      </c>
      <c r="U431" s="184" t="s">
        <v>598</v>
      </c>
      <c r="V431" s="185">
        <v>0</v>
      </c>
      <c r="W431" s="184" t="s">
        <v>485</v>
      </c>
      <c r="X431" s="184" t="s">
        <v>598</v>
      </c>
      <c r="Y431" s="185">
        <v>0</v>
      </c>
      <c r="Z431" s="184" t="s">
        <v>598</v>
      </c>
      <c r="AA431" s="21" t="s">
        <v>610</v>
      </c>
      <c r="AB431" s="176" t="s">
        <v>489</v>
      </c>
      <c r="AC431" s="172">
        <v>42996.328472222223</v>
      </c>
      <c r="AD431" s="32" t="s">
        <v>552</v>
      </c>
    </row>
    <row r="432" spans="1:30">
      <c r="A432" s="184">
        <v>431</v>
      </c>
      <c r="B432" s="184" t="s">
        <v>1462</v>
      </c>
      <c r="C432" s="184" t="s">
        <v>598</v>
      </c>
      <c r="D432" s="127">
        <v>42898</v>
      </c>
      <c r="E432" s="127" t="s">
        <v>598</v>
      </c>
      <c r="F432" s="184" t="s">
        <v>1463</v>
      </c>
      <c r="G432" s="185">
        <v>0</v>
      </c>
      <c r="H432" s="184" t="s">
        <v>598</v>
      </c>
      <c r="I432" s="184" t="s">
        <v>134</v>
      </c>
      <c r="J432" s="184" t="s">
        <v>84</v>
      </c>
      <c r="K432" s="184" t="s">
        <v>184</v>
      </c>
      <c r="L432" s="184" t="s">
        <v>598</v>
      </c>
      <c r="M432" s="184" t="s">
        <v>62</v>
      </c>
      <c r="N432" s="184" t="s">
        <v>79</v>
      </c>
      <c r="O432" s="184" t="s">
        <v>112</v>
      </c>
      <c r="P432" s="186" t="s">
        <v>67</v>
      </c>
      <c r="Q432" s="184" t="s">
        <v>598</v>
      </c>
      <c r="R432" s="184" t="s">
        <v>598</v>
      </c>
      <c r="S432" s="127" t="s">
        <v>598</v>
      </c>
      <c r="T432" s="184" t="s">
        <v>598</v>
      </c>
      <c r="U432" s="184" t="s">
        <v>598</v>
      </c>
      <c r="V432" s="185">
        <v>0</v>
      </c>
      <c r="W432" s="184" t="s">
        <v>485</v>
      </c>
      <c r="X432" s="184" t="s">
        <v>598</v>
      </c>
      <c r="Y432" s="185">
        <v>0</v>
      </c>
      <c r="Z432" s="184" t="s">
        <v>598</v>
      </c>
      <c r="AA432" s="21" t="s">
        <v>610</v>
      </c>
      <c r="AB432" s="176" t="s">
        <v>489</v>
      </c>
      <c r="AC432" s="172">
        <v>42996.328472222223</v>
      </c>
      <c r="AD432" s="32" t="s">
        <v>552</v>
      </c>
    </row>
    <row r="433" spans="1:30">
      <c r="A433" s="184">
        <v>432</v>
      </c>
      <c r="B433" s="184" t="s">
        <v>1464</v>
      </c>
      <c r="C433" s="184" t="s">
        <v>598</v>
      </c>
      <c r="D433" s="127">
        <v>42898</v>
      </c>
      <c r="E433" s="127" t="s">
        <v>598</v>
      </c>
      <c r="F433" s="184" t="s">
        <v>1465</v>
      </c>
      <c r="G433" s="185">
        <v>0</v>
      </c>
      <c r="H433" s="184" t="s">
        <v>598</v>
      </c>
      <c r="I433" s="184" t="s">
        <v>598</v>
      </c>
      <c r="J433" s="184" t="s">
        <v>84</v>
      </c>
      <c r="K433" s="184" t="s">
        <v>263</v>
      </c>
      <c r="L433" s="184" t="s">
        <v>598</v>
      </c>
      <c r="M433" s="184" t="s">
        <v>62</v>
      </c>
      <c r="N433" s="184" t="s">
        <v>79</v>
      </c>
      <c r="O433" s="184" t="s">
        <v>79</v>
      </c>
      <c r="P433" s="186" t="s">
        <v>602</v>
      </c>
      <c r="Q433" s="184" t="s">
        <v>598</v>
      </c>
      <c r="R433" s="184" t="s">
        <v>598</v>
      </c>
      <c r="S433" s="127" t="s">
        <v>598</v>
      </c>
      <c r="T433" s="184" t="s">
        <v>598</v>
      </c>
      <c r="U433" s="184" t="s">
        <v>598</v>
      </c>
      <c r="V433" s="185">
        <v>0</v>
      </c>
      <c r="W433" s="184" t="s">
        <v>485</v>
      </c>
      <c r="X433" s="184" t="s">
        <v>598</v>
      </c>
      <c r="Y433" s="185">
        <v>0</v>
      </c>
      <c r="Z433" s="184" t="s">
        <v>598</v>
      </c>
      <c r="AA433" s="21" t="s">
        <v>610</v>
      </c>
      <c r="AB433" s="176" t="s">
        <v>489</v>
      </c>
      <c r="AC433" s="172">
        <v>42996.328472222223</v>
      </c>
      <c r="AD433" s="32" t="s">
        <v>552</v>
      </c>
    </row>
    <row r="434" spans="1:30">
      <c r="A434" s="184">
        <v>433</v>
      </c>
      <c r="B434" s="184" t="s">
        <v>1466</v>
      </c>
      <c r="C434" s="184" t="s">
        <v>598</v>
      </c>
      <c r="D434" s="127">
        <v>42898</v>
      </c>
      <c r="E434" s="127" t="s">
        <v>598</v>
      </c>
      <c r="F434" s="184" t="s">
        <v>1467</v>
      </c>
      <c r="G434" s="185">
        <v>0</v>
      </c>
      <c r="H434" s="184" t="s">
        <v>598</v>
      </c>
      <c r="I434" s="184" t="s">
        <v>134</v>
      </c>
      <c r="J434" s="184" t="s">
        <v>84</v>
      </c>
      <c r="K434" s="184" t="s">
        <v>264</v>
      </c>
      <c r="L434" s="184" t="s">
        <v>598</v>
      </c>
      <c r="M434" s="184" t="s">
        <v>50</v>
      </c>
      <c r="N434" s="184" t="s">
        <v>79</v>
      </c>
      <c r="O434" s="184" t="s">
        <v>65</v>
      </c>
      <c r="P434" s="186" t="s">
        <v>603</v>
      </c>
      <c r="Q434" s="184" t="s">
        <v>598</v>
      </c>
      <c r="R434" s="184" t="s">
        <v>598</v>
      </c>
      <c r="S434" s="127">
        <v>42908</v>
      </c>
      <c r="T434" s="184" t="s">
        <v>10</v>
      </c>
      <c r="U434" s="184" t="s">
        <v>598</v>
      </c>
      <c r="V434" s="185">
        <v>3000</v>
      </c>
      <c r="W434" s="184" t="s">
        <v>493</v>
      </c>
      <c r="X434" s="184" t="s">
        <v>598</v>
      </c>
      <c r="Y434" s="185">
        <v>0</v>
      </c>
      <c r="Z434" s="184" t="s">
        <v>598</v>
      </c>
      <c r="AA434" s="21" t="s">
        <v>610</v>
      </c>
      <c r="AB434" s="176" t="s">
        <v>489</v>
      </c>
      <c r="AC434" s="172">
        <v>42996.328472222223</v>
      </c>
      <c r="AD434" s="32" t="s">
        <v>552</v>
      </c>
    </row>
    <row r="435" spans="1:30">
      <c r="A435" s="184">
        <v>434</v>
      </c>
      <c r="B435" s="184" t="s">
        <v>1468</v>
      </c>
      <c r="C435" s="184" t="s">
        <v>598</v>
      </c>
      <c r="D435" s="127">
        <v>42898</v>
      </c>
      <c r="E435" s="127" t="s">
        <v>598</v>
      </c>
      <c r="F435" s="184" t="s">
        <v>1469</v>
      </c>
      <c r="G435" s="185">
        <v>0</v>
      </c>
      <c r="H435" s="184" t="s">
        <v>598</v>
      </c>
      <c r="I435" s="184" t="s">
        <v>598</v>
      </c>
      <c r="J435" s="184" t="s">
        <v>84</v>
      </c>
      <c r="K435" s="184" t="s">
        <v>264</v>
      </c>
      <c r="L435" s="184" t="s">
        <v>598</v>
      </c>
      <c r="M435" s="184" t="s">
        <v>50</v>
      </c>
      <c r="N435" s="184" t="s">
        <v>79</v>
      </c>
      <c r="O435" s="184" t="s">
        <v>79</v>
      </c>
      <c r="P435" s="186" t="s">
        <v>604</v>
      </c>
      <c r="Q435" s="184" t="s">
        <v>598</v>
      </c>
      <c r="R435" s="184" t="s">
        <v>598</v>
      </c>
      <c r="S435" s="127">
        <v>42908</v>
      </c>
      <c r="T435" s="184" t="s">
        <v>10</v>
      </c>
      <c r="U435" s="184" t="s">
        <v>598</v>
      </c>
      <c r="V435" s="185">
        <v>3000</v>
      </c>
      <c r="W435" s="184" t="s">
        <v>493</v>
      </c>
      <c r="X435" s="184" t="s">
        <v>598</v>
      </c>
      <c r="Y435" s="185">
        <v>0</v>
      </c>
      <c r="Z435" s="184" t="s">
        <v>598</v>
      </c>
      <c r="AA435" s="21" t="s">
        <v>610</v>
      </c>
      <c r="AB435" s="176" t="s">
        <v>489</v>
      </c>
      <c r="AC435" s="172">
        <v>42996.328472222223</v>
      </c>
      <c r="AD435" s="32" t="s">
        <v>552</v>
      </c>
    </row>
    <row r="436" spans="1:30">
      <c r="A436" s="184">
        <v>435</v>
      </c>
      <c r="B436" s="184" t="s">
        <v>1470</v>
      </c>
      <c r="C436" s="184" t="s">
        <v>598</v>
      </c>
      <c r="D436" s="127">
        <v>42898</v>
      </c>
      <c r="E436" s="127" t="s">
        <v>598</v>
      </c>
      <c r="F436" s="184" t="s">
        <v>1471</v>
      </c>
      <c r="G436" s="185">
        <v>0</v>
      </c>
      <c r="H436" s="184" t="s">
        <v>598</v>
      </c>
      <c r="I436" s="184" t="s">
        <v>134</v>
      </c>
      <c r="J436" s="184" t="s">
        <v>84</v>
      </c>
      <c r="K436" s="184" t="s">
        <v>265</v>
      </c>
      <c r="L436" s="184" t="s">
        <v>598</v>
      </c>
      <c r="M436" s="184" t="s">
        <v>50</v>
      </c>
      <c r="N436" s="184" t="s">
        <v>79</v>
      </c>
      <c r="O436" s="184" t="s">
        <v>79</v>
      </c>
      <c r="P436" s="186" t="s">
        <v>605</v>
      </c>
      <c r="Q436" s="184" t="s">
        <v>598</v>
      </c>
      <c r="R436" s="184" t="s">
        <v>598</v>
      </c>
      <c r="S436" s="127" t="s">
        <v>598</v>
      </c>
      <c r="T436" s="184" t="s">
        <v>598</v>
      </c>
      <c r="U436" s="184" t="s">
        <v>598</v>
      </c>
      <c r="V436" s="185">
        <v>0</v>
      </c>
      <c r="W436" s="184" t="s">
        <v>557</v>
      </c>
      <c r="X436" s="184" t="s">
        <v>598</v>
      </c>
      <c r="Y436" s="185">
        <v>0</v>
      </c>
      <c r="Z436" s="184" t="s">
        <v>598</v>
      </c>
      <c r="AA436" s="21" t="s">
        <v>822</v>
      </c>
      <c r="AB436" s="176" t="s">
        <v>489</v>
      </c>
      <c r="AC436" s="172">
        <v>42996.328472222223</v>
      </c>
      <c r="AD436" s="32" t="s">
        <v>552</v>
      </c>
    </row>
    <row r="437" spans="1:30">
      <c r="A437" s="184">
        <v>436</v>
      </c>
      <c r="B437" s="184" t="s">
        <v>1472</v>
      </c>
      <c r="C437" s="184" t="s">
        <v>598</v>
      </c>
      <c r="D437" s="127">
        <v>42899</v>
      </c>
      <c r="E437" s="127" t="s">
        <v>598</v>
      </c>
      <c r="F437" s="184" t="s">
        <v>1473</v>
      </c>
      <c r="G437" s="185">
        <v>0</v>
      </c>
      <c r="H437" s="184" t="s">
        <v>598</v>
      </c>
      <c r="I437" s="184" t="s">
        <v>122</v>
      </c>
      <c r="J437" s="184" t="s">
        <v>84</v>
      </c>
      <c r="K437" s="184" t="s">
        <v>207</v>
      </c>
      <c r="L437" s="184" t="s">
        <v>598</v>
      </c>
      <c r="M437" s="184" t="s">
        <v>598</v>
      </c>
      <c r="N437" s="184" t="s">
        <v>79</v>
      </c>
      <c r="O437" s="184" t="s">
        <v>112</v>
      </c>
      <c r="P437" s="186" t="s">
        <v>606</v>
      </c>
      <c r="Q437" s="184" t="s">
        <v>598</v>
      </c>
      <c r="R437" s="184" t="s">
        <v>598</v>
      </c>
      <c r="S437" s="127" t="s">
        <v>598</v>
      </c>
      <c r="T437" s="184" t="s">
        <v>598</v>
      </c>
      <c r="U437" s="184" t="s">
        <v>598</v>
      </c>
      <c r="V437" s="185">
        <v>0</v>
      </c>
      <c r="W437" s="184" t="s">
        <v>485</v>
      </c>
      <c r="X437" s="184" t="s">
        <v>598</v>
      </c>
      <c r="Y437" s="185">
        <v>0</v>
      </c>
      <c r="Z437" s="184" t="s">
        <v>598</v>
      </c>
      <c r="AA437" s="21" t="s">
        <v>610</v>
      </c>
      <c r="AB437" s="176" t="s">
        <v>489</v>
      </c>
      <c r="AC437" s="172">
        <v>42996.328472222223</v>
      </c>
      <c r="AD437" s="32" t="s">
        <v>552</v>
      </c>
    </row>
    <row r="438" spans="1:30">
      <c r="A438" s="184">
        <v>437</v>
      </c>
      <c r="B438" s="184" t="s">
        <v>1474</v>
      </c>
      <c r="C438" s="184" t="s">
        <v>598</v>
      </c>
      <c r="D438" s="127">
        <v>42899</v>
      </c>
      <c r="E438" s="127" t="s">
        <v>598</v>
      </c>
      <c r="F438" s="184" t="s">
        <v>1475</v>
      </c>
      <c r="G438" s="185">
        <v>0</v>
      </c>
      <c r="H438" s="184" t="s">
        <v>598</v>
      </c>
      <c r="I438" s="184" t="s">
        <v>126</v>
      </c>
      <c r="J438" s="184" t="s">
        <v>84</v>
      </c>
      <c r="K438" s="184" t="s">
        <v>598</v>
      </c>
      <c r="L438" s="184" t="s">
        <v>598</v>
      </c>
      <c r="M438" s="184" t="s">
        <v>598</v>
      </c>
      <c r="N438" s="184" t="s">
        <v>79</v>
      </c>
      <c r="O438" s="184" t="s">
        <v>598</v>
      </c>
      <c r="P438" s="186" t="s">
        <v>607</v>
      </c>
      <c r="Q438" s="184" t="s">
        <v>598</v>
      </c>
      <c r="R438" s="184" t="s">
        <v>598</v>
      </c>
      <c r="S438" s="127">
        <v>42899</v>
      </c>
      <c r="T438" s="184" t="s">
        <v>34</v>
      </c>
      <c r="U438" s="184" t="s">
        <v>598</v>
      </c>
      <c r="V438" s="185">
        <v>1000</v>
      </c>
      <c r="W438" s="184" t="s">
        <v>493</v>
      </c>
      <c r="X438" s="184" t="s">
        <v>598</v>
      </c>
      <c r="Y438" s="185">
        <v>0</v>
      </c>
      <c r="Z438" s="184" t="s">
        <v>598</v>
      </c>
      <c r="AA438" s="21" t="s">
        <v>610</v>
      </c>
      <c r="AB438" s="176" t="s">
        <v>489</v>
      </c>
      <c r="AC438" s="172">
        <v>42996.328472222223</v>
      </c>
      <c r="AD438" s="32" t="s">
        <v>552</v>
      </c>
    </row>
    <row r="439" spans="1:30">
      <c r="A439" s="184">
        <v>438</v>
      </c>
      <c r="B439" s="184" t="s">
        <v>1476</v>
      </c>
      <c r="C439" s="184" t="s">
        <v>598</v>
      </c>
      <c r="D439" s="127">
        <v>42900</v>
      </c>
      <c r="E439" s="127" t="s">
        <v>598</v>
      </c>
      <c r="F439" s="184" t="s">
        <v>1477</v>
      </c>
      <c r="G439" s="185">
        <v>0</v>
      </c>
      <c r="H439" s="184" t="s">
        <v>598</v>
      </c>
      <c r="I439" s="184" t="s">
        <v>132</v>
      </c>
      <c r="J439" s="184" t="s">
        <v>84</v>
      </c>
      <c r="K439" s="184" t="s">
        <v>254</v>
      </c>
      <c r="L439" s="184" t="s">
        <v>598</v>
      </c>
      <c r="M439" s="184" t="s">
        <v>598</v>
      </c>
      <c r="N439" s="184" t="s">
        <v>79</v>
      </c>
      <c r="O439" s="184" t="s">
        <v>79</v>
      </c>
      <c r="P439" s="186" t="s">
        <v>73</v>
      </c>
      <c r="Q439" s="184" t="s">
        <v>598</v>
      </c>
      <c r="R439" s="184" t="s">
        <v>598</v>
      </c>
      <c r="S439" s="127">
        <v>42902</v>
      </c>
      <c r="T439" s="184" t="s">
        <v>34</v>
      </c>
      <c r="U439" s="184" t="s">
        <v>598</v>
      </c>
      <c r="V439" s="185">
        <v>5000</v>
      </c>
      <c r="W439" s="184" t="s">
        <v>493</v>
      </c>
      <c r="X439" s="184" t="s">
        <v>598</v>
      </c>
      <c r="Y439" s="185">
        <v>0</v>
      </c>
      <c r="Z439" s="184" t="s">
        <v>598</v>
      </c>
      <c r="AA439" s="21" t="s">
        <v>610</v>
      </c>
      <c r="AB439" s="176" t="s">
        <v>489</v>
      </c>
      <c r="AC439" s="172">
        <v>42996.328472222223</v>
      </c>
      <c r="AD439" s="32" t="s">
        <v>552</v>
      </c>
    </row>
    <row r="440" spans="1:30">
      <c r="A440" s="184">
        <v>439</v>
      </c>
      <c r="B440" s="184" t="s">
        <v>1478</v>
      </c>
      <c r="C440" s="184" t="s">
        <v>598</v>
      </c>
      <c r="D440" s="127">
        <v>42900</v>
      </c>
      <c r="E440" s="127" t="s">
        <v>598</v>
      </c>
      <c r="F440" s="184" t="s">
        <v>1479</v>
      </c>
      <c r="G440" s="185">
        <v>0</v>
      </c>
      <c r="H440" s="184" t="s">
        <v>598</v>
      </c>
      <c r="I440" s="184" t="s">
        <v>120</v>
      </c>
      <c r="J440" s="184" t="s">
        <v>84</v>
      </c>
      <c r="K440" s="184" t="s">
        <v>263</v>
      </c>
      <c r="L440" s="184" t="s">
        <v>598</v>
      </c>
      <c r="M440" s="184" t="s">
        <v>62</v>
      </c>
      <c r="N440" s="184" t="s">
        <v>79</v>
      </c>
      <c r="O440" s="184" t="s">
        <v>79</v>
      </c>
      <c r="P440" s="186" t="s">
        <v>601</v>
      </c>
      <c r="Q440" s="184" t="s">
        <v>598</v>
      </c>
      <c r="R440" s="184" t="s">
        <v>598</v>
      </c>
      <c r="S440" s="127" t="s">
        <v>598</v>
      </c>
      <c r="T440" s="184" t="s">
        <v>598</v>
      </c>
      <c r="U440" s="184" t="s">
        <v>598</v>
      </c>
      <c r="V440" s="185">
        <v>0</v>
      </c>
      <c r="W440" s="184" t="s">
        <v>485</v>
      </c>
      <c r="X440" s="184" t="s">
        <v>598</v>
      </c>
      <c r="Y440" s="185">
        <v>0</v>
      </c>
      <c r="Z440" s="184" t="s">
        <v>598</v>
      </c>
      <c r="AA440" s="21" t="s">
        <v>610</v>
      </c>
      <c r="AB440" s="176" t="s">
        <v>489</v>
      </c>
      <c r="AC440" s="172">
        <v>42996.328472222223</v>
      </c>
      <c r="AD440" s="32" t="s">
        <v>552</v>
      </c>
    </row>
    <row r="441" spans="1:30">
      <c r="A441" s="184">
        <v>440</v>
      </c>
      <c r="B441" s="184" t="s">
        <v>1480</v>
      </c>
      <c r="C441" s="184" t="s">
        <v>598</v>
      </c>
      <c r="D441" s="127">
        <v>42901</v>
      </c>
      <c r="E441" s="127" t="s">
        <v>598</v>
      </c>
      <c r="F441" s="184" t="s">
        <v>1481</v>
      </c>
      <c r="G441" s="185">
        <v>0</v>
      </c>
      <c r="H441" s="184" t="s">
        <v>598</v>
      </c>
      <c r="I441" s="184" t="s">
        <v>134</v>
      </c>
      <c r="J441" s="184" t="s">
        <v>84</v>
      </c>
      <c r="K441" s="184" t="s">
        <v>266</v>
      </c>
      <c r="L441" s="184" t="s">
        <v>598</v>
      </c>
      <c r="M441" s="184" t="s">
        <v>598</v>
      </c>
      <c r="N441" s="184" t="s">
        <v>79</v>
      </c>
      <c r="O441" s="184" t="s">
        <v>112</v>
      </c>
      <c r="P441" s="186" t="s">
        <v>32</v>
      </c>
      <c r="Q441" s="184" t="s">
        <v>598</v>
      </c>
      <c r="R441" s="184" t="s">
        <v>598</v>
      </c>
      <c r="S441" s="127" t="s">
        <v>598</v>
      </c>
      <c r="T441" s="184" t="s">
        <v>598</v>
      </c>
      <c r="U441" s="184" t="s">
        <v>598</v>
      </c>
      <c r="V441" s="185">
        <v>0</v>
      </c>
      <c r="W441" s="184" t="s">
        <v>485</v>
      </c>
      <c r="X441" s="184" t="s">
        <v>598</v>
      </c>
      <c r="Y441" s="185">
        <v>0</v>
      </c>
      <c r="Z441" s="184" t="s">
        <v>598</v>
      </c>
      <c r="AA441" s="21" t="s">
        <v>610</v>
      </c>
      <c r="AB441" s="176" t="s">
        <v>489</v>
      </c>
      <c r="AC441" s="172">
        <v>42996.328472222223</v>
      </c>
      <c r="AD441" s="32" t="s">
        <v>552</v>
      </c>
    </row>
    <row r="442" spans="1:30">
      <c r="A442" s="184">
        <v>441</v>
      </c>
      <c r="B442" s="184" t="s">
        <v>1482</v>
      </c>
      <c r="C442" s="184" t="s">
        <v>598</v>
      </c>
      <c r="D442" s="127">
        <v>42901</v>
      </c>
      <c r="E442" s="127" t="s">
        <v>598</v>
      </c>
      <c r="F442" s="184" t="s">
        <v>1475</v>
      </c>
      <c r="G442" s="185">
        <v>0</v>
      </c>
      <c r="H442" s="184" t="s">
        <v>598</v>
      </c>
      <c r="I442" s="184" t="s">
        <v>126</v>
      </c>
      <c r="J442" s="184" t="s">
        <v>84</v>
      </c>
      <c r="K442" s="184" t="s">
        <v>598</v>
      </c>
      <c r="L442" s="184" t="s">
        <v>598</v>
      </c>
      <c r="M442" s="184" t="s">
        <v>62</v>
      </c>
      <c r="N442" s="184" t="s">
        <v>79</v>
      </c>
      <c r="O442" s="184" t="s">
        <v>598</v>
      </c>
      <c r="P442" s="186" t="s">
        <v>53</v>
      </c>
      <c r="Q442" s="184" t="s">
        <v>598</v>
      </c>
      <c r="R442" s="184" t="s">
        <v>598</v>
      </c>
      <c r="S442" s="127" t="s">
        <v>598</v>
      </c>
      <c r="T442" s="184" t="s">
        <v>598</v>
      </c>
      <c r="U442" s="184" t="s">
        <v>598</v>
      </c>
      <c r="V442" s="185">
        <v>0</v>
      </c>
      <c r="W442" s="184" t="s">
        <v>55</v>
      </c>
      <c r="X442" s="184" t="s">
        <v>598</v>
      </c>
      <c r="Y442" s="185">
        <v>0</v>
      </c>
      <c r="Z442" s="184" t="s">
        <v>598</v>
      </c>
      <c r="AA442" s="21" t="s">
        <v>822</v>
      </c>
      <c r="AB442" s="176" t="s">
        <v>489</v>
      </c>
      <c r="AC442" s="172">
        <v>42996.328472222223</v>
      </c>
      <c r="AD442" s="32" t="s">
        <v>552</v>
      </c>
    </row>
    <row r="443" spans="1:30">
      <c r="A443" s="184">
        <v>442</v>
      </c>
      <c r="B443" s="184" t="s">
        <v>1483</v>
      </c>
      <c r="C443" s="184" t="s">
        <v>598</v>
      </c>
      <c r="D443" s="127">
        <v>42901</v>
      </c>
      <c r="E443" s="127" t="s">
        <v>598</v>
      </c>
      <c r="F443" s="184" t="s">
        <v>1484</v>
      </c>
      <c r="G443" s="185">
        <v>0</v>
      </c>
      <c r="H443" s="184" t="s">
        <v>598</v>
      </c>
      <c r="I443" s="184" t="s">
        <v>132</v>
      </c>
      <c r="J443" s="184" t="s">
        <v>84</v>
      </c>
      <c r="K443" s="184" t="s">
        <v>257</v>
      </c>
      <c r="L443" s="184" t="s">
        <v>598</v>
      </c>
      <c r="M443" s="184" t="s">
        <v>598</v>
      </c>
      <c r="N443" s="184" t="s">
        <v>79</v>
      </c>
      <c r="O443" s="184" t="s">
        <v>79</v>
      </c>
      <c r="P443" s="186" t="s">
        <v>44</v>
      </c>
      <c r="Q443" s="184" t="s">
        <v>598</v>
      </c>
      <c r="R443" s="184" t="s">
        <v>598</v>
      </c>
      <c r="S443" s="127">
        <v>42902</v>
      </c>
      <c r="T443" s="184" t="s">
        <v>34</v>
      </c>
      <c r="U443" s="184" t="s">
        <v>598</v>
      </c>
      <c r="V443" s="185">
        <v>8000</v>
      </c>
      <c r="W443" s="184" t="s">
        <v>493</v>
      </c>
      <c r="X443" s="184" t="s">
        <v>598</v>
      </c>
      <c r="Y443" s="185">
        <v>0</v>
      </c>
      <c r="Z443" s="184" t="s">
        <v>598</v>
      </c>
      <c r="AA443" s="21" t="s">
        <v>610</v>
      </c>
      <c r="AB443" s="176" t="s">
        <v>489</v>
      </c>
      <c r="AC443" s="172">
        <v>42996.328472222223</v>
      </c>
      <c r="AD443" s="32" t="s">
        <v>552</v>
      </c>
    </row>
    <row r="444" spans="1:30">
      <c r="A444" s="184">
        <v>443</v>
      </c>
      <c r="B444" s="184" t="s">
        <v>1485</v>
      </c>
      <c r="C444" s="184" t="s">
        <v>598</v>
      </c>
      <c r="D444" s="127">
        <v>42901</v>
      </c>
      <c r="E444" s="127" t="s">
        <v>598</v>
      </c>
      <c r="F444" s="184" t="s">
        <v>1486</v>
      </c>
      <c r="G444" s="185">
        <v>0</v>
      </c>
      <c r="H444" s="184" t="s">
        <v>598</v>
      </c>
      <c r="I444" s="184" t="s">
        <v>134</v>
      </c>
      <c r="J444" s="184" t="s">
        <v>84</v>
      </c>
      <c r="K444" s="184" t="s">
        <v>184</v>
      </c>
      <c r="L444" s="184" t="s">
        <v>598</v>
      </c>
      <c r="M444" s="184" t="s">
        <v>50</v>
      </c>
      <c r="N444" s="184" t="s">
        <v>79</v>
      </c>
      <c r="O444" s="184" t="s">
        <v>79</v>
      </c>
      <c r="P444" s="186" t="s">
        <v>67</v>
      </c>
      <c r="Q444" s="184" t="s">
        <v>598</v>
      </c>
      <c r="R444" s="184" t="s">
        <v>598</v>
      </c>
      <c r="S444" s="127" t="s">
        <v>598</v>
      </c>
      <c r="T444" s="184" t="s">
        <v>598</v>
      </c>
      <c r="U444" s="184" t="s">
        <v>598</v>
      </c>
      <c r="V444" s="185">
        <v>0</v>
      </c>
      <c r="W444" s="184" t="s">
        <v>55</v>
      </c>
      <c r="X444" s="184" t="s">
        <v>598</v>
      </c>
      <c r="Y444" s="185">
        <v>0</v>
      </c>
      <c r="Z444" s="184" t="s">
        <v>598</v>
      </c>
      <c r="AA444" s="21" t="s">
        <v>822</v>
      </c>
      <c r="AB444" s="176" t="s">
        <v>489</v>
      </c>
      <c r="AC444" s="172">
        <v>42996.328472222223</v>
      </c>
      <c r="AD444" s="32" t="s">
        <v>552</v>
      </c>
    </row>
    <row r="445" spans="1:30">
      <c r="A445" s="184">
        <v>444</v>
      </c>
      <c r="B445" s="184" t="s">
        <v>1487</v>
      </c>
      <c r="C445" s="184" t="s">
        <v>598</v>
      </c>
      <c r="D445" s="127">
        <v>42902</v>
      </c>
      <c r="E445" s="127" t="s">
        <v>598</v>
      </c>
      <c r="F445" s="184" t="s">
        <v>1488</v>
      </c>
      <c r="G445" s="185">
        <v>0</v>
      </c>
      <c r="H445" s="184" t="s">
        <v>598</v>
      </c>
      <c r="I445" s="184" t="s">
        <v>134</v>
      </c>
      <c r="J445" s="184" t="s">
        <v>84</v>
      </c>
      <c r="K445" s="184" t="s">
        <v>265</v>
      </c>
      <c r="L445" s="184" t="s">
        <v>598</v>
      </c>
      <c r="M445" s="184" t="s">
        <v>598</v>
      </c>
      <c r="N445" s="184" t="s">
        <v>79</v>
      </c>
      <c r="O445" s="184" t="s">
        <v>112</v>
      </c>
      <c r="P445" s="186" t="s">
        <v>602</v>
      </c>
      <c r="Q445" s="184" t="s">
        <v>598</v>
      </c>
      <c r="R445" s="184" t="s">
        <v>598</v>
      </c>
      <c r="S445" s="127" t="s">
        <v>598</v>
      </c>
      <c r="T445" s="184" t="s">
        <v>598</v>
      </c>
      <c r="U445" s="184" t="s">
        <v>598</v>
      </c>
      <c r="V445" s="185">
        <v>0</v>
      </c>
      <c r="W445" s="184" t="s">
        <v>485</v>
      </c>
      <c r="X445" s="184" t="s">
        <v>598</v>
      </c>
      <c r="Y445" s="185">
        <v>0</v>
      </c>
      <c r="Z445" s="184" t="s">
        <v>598</v>
      </c>
      <c r="AA445" s="21" t="s">
        <v>610</v>
      </c>
      <c r="AB445" s="176" t="s">
        <v>489</v>
      </c>
      <c r="AC445" s="172">
        <v>42996.328472222223</v>
      </c>
      <c r="AD445" s="32" t="s">
        <v>552</v>
      </c>
    </row>
    <row r="446" spans="1:30">
      <c r="A446" s="184">
        <v>445</v>
      </c>
      <c r="B446" s="184" t="s">
        <v>1489</v>
      </c>
      <c r="C446" s="184" t="s">
        <v>598</v>
      </c>
      <c r="D446" s="127">
        <v>42902</v>
      </c>
      <c r="E446" s="127" t="s">
        <v>598</v>
      </c>
      <c r="F446" s="184" t="s">
        <v>1486</v>
      </c>
      <c r="G446" s="185">
        <v>0</v>
      </c>
      <c r="H446" s="184" t="s">
        <v>598</v>
      </c>
      <c r="I446" s="184" t="s">
        <v>134</v>
      </c>
      <c r="J446" s="184" t="s">
        <v>84</v>
      </c>
      <c r="K446" s="184" t="s">
        <v>184</v>
      </c>
      <c r="L446" s="184" t="s">
        <v>598</v>
      </c>
      <c r="M446" s="184" t="s">
        <v>598</v>
      </c>
      <c r="N446" s="184" t="s">
        <v>79</v>
      </c>
      <c r="O446" s="184" t="s">
        <v>79</v>
      </c>
      <c r="P446" s="186" t="s">
        <v>603</v>
      </c>
      <c r="Q446" s="184" t="s">
        <v>598</v>
      </c>
      <c r="R446" s="184" t="s">
        <v>598</v>
      </c>
      <c r="S446" s="127">
        <v>42908</v>
      </c>
      <c r="T446" s="184" t="s">
        <v>10</v>
      </c>
      <c r="U446" s="184" t="s">
        <v>598</v>
      </c>
      <c r="V446" s="185">
        <v>3000</v>
      </c>
      <c r="W446" s="184" t="s">
        <v>493</v>
      </c>
      <c r="X446" s="184" t="s">
        <v>598</v>
      </c>
      <c r="Y446" s="185">
        <v>0</v>
      </c>
      <c r="Z446" s="184" t="s">
        <v>598</v>
      </c>
      <c r="AA446" s="21" t="s">
        <v>610</v>
      </c>
      <c r="AB446" s="176" t="s">
        <v>489</v>
      </c>
      <c r="AC446" s="172">
        <v>42996.328472222223</v>
      </c>
      <c r="AD446" s="32" t="s">
        <v>552</v>
      </c>
    </row>
    <row r="447" spans="1:30">
      <c r="A447" s="184">
        <v>446</v>
      </c>
      <c r="B447" s="184" t="s">
        <v>1490</v>
      </c>
      <c r="C447" s="184" t="s">
        <v>598</v>
      </c>
      <c r="D447" s="127">
        <v>42903</v>
      </c>
      <c r="E447" s="127" t="s">
        <v>598</v>
      </c>
      <c r="F447" s="184" t="s">
        <v>1491</v>
      </c>
      <c r="G447" s="185">
        <v>0</v>
      </c>
      <c r="H447" s="184" t="s">
        <v>598</v>
      </c>
      <c r="I447" s="184" t="s">
        <v>864</v>
      </c>
      <c r="J447" s="184" t="s">
        <v>84</v>
      </c>
      <c r="K447" s="184" t="s">
        <v>598</v>
      </c>
      <c r="L447" s="184" t="s">
        <v>598</v>
      </c>
      <c r="M447" s="184" t="s">
        <v>598</v>
      </c>
      <c r="N447" s="184" t="s">
        <v>79</v>
      </c>
      <c r="O447" s="184" t="s">
        <v>598</v>
      </c>
      <c r="P447" s="186" t="s">
        <v>604</v>
      </c>
      <c r="Q447" s="184" t="s">
        <v>598</v>
      </c>
      <c r="R447" s="184" t="s">
        <v>598</v>
      </c>
      <c r="S447" s="127">
        <v>42903</v>
      </c>
      <c r="T447" s="184" t="s">
        <v>10</v>
      </c>
      <c r="U447" s="184" t="s">
        <v>598</v>
      </c>
      <c r="V447" s="185">
        <v>1000</v>
      </c>
      <c r="W447" s="184" t="s">
        <v>493</v>
      </c>
      <c r="X447" s="184" t="s">
        <v>598</v>
      </c>
      <c r="Y447" s="185">
        <v>0</v>
      </c>
      <c r="Z447" s="184" t="s">
        <v>598</v>
      </c>
      <c r="AA447" s="21" t="s">
        <v>610</v>
      </c>
      <c r="AB447" s="176" t="s">
        <v>489</v>
      </c>
      <c r="AC447" s="172">
        <v>42996.328472222223</v>
      </c>
      <c r="AD447" s="32" t="s">
        <v>552</v>
      </c>
    </row>
    <row r="448" spans="1:30">
      <c r="A448" s="184">
        <v>447</v>
      </c>
      <c r="B448" s="184" t="s">
        <v>1492</v>
      </c>
      <c r="C448" s="184" t="s">
        <v>598</v>
      </c>
      <c r="D448" s="127">
        <v>42902</v>
      </c>
      <c r="E448" s="127" t="s">
        <v>598</v>
      </c>
      <c r="F448" s="184" t="s">
        <v>1493</v>
      </c>
      <c r="G448" s="185">
        <v>0</v>
      </c>
      <c r="H448" s="184" t="s">
        <v>598</v>
      </c>
      <c r="I448" s="184" t="s">
        <v>598</v>
      </c>
      <c r="J448" s="184" t="s">
        <v>84</v>
      </c>
      <c r="K448" s="184" t="s">
        <v>267</v>
      </c>
      <c r="L448" s="184" t="s">
        <v>598</v>
      </c>
      <c r="M448" s="184" t="s">
        <v>598</v>
      </c>
      <c r="N448" s="184" t="s">
        <v>79</v>
      </c>
      <c r="O448" s="184" t="s">
        <v>112</v>
      </c>
      <c r="P448" s="186" t="s">
        <v>605</v>
      </c>
      <c r="Q448" s="184" t="s">
        <v>598</v>
      </c>
      <c r="R448" s="184" t="s">
        <v>598</v>
      </c>
      <c r="S448" s="127">
        <v>42908</v>
      </c>
      <c r="T448" s="184" t="s">
        <v>10</v>
      </c>
      <c r="U448" s="184" t="s">
        <v>598</v>
      </c>
      <c r="V448" s="185">
        <v>10000</v>
      </c>
      <c r="W448" s="184" t="s">
        <v>493</v>
      </c>
      <c r="X448" s="184" t="s">
        <v>598</v>
      </c>
      <c r="Y448" s="185">
        <v>0</v>
      </c>
      <c r="Z448" s="184" t="s">
        <v>598</v>
      </c>
      <c r="AA448" s="21" t="s">
        <v>610</v>
      </c>
      <c r="AB448" s="176" t="s">
        <v>489</v>
      </c>
      <c r="AC448" s="172">
        <v>42996.328472222223</v>
      </c>
      <c r="AD448" s="32" t="s">
        <v>552</v>
      </c>
    </row>
    <row r="449" spans="1:30">
      <c r="A449" s="184">
        <v>448</v>
      </c>
      <c r="B449" s="184" t="s">
        <v>1494</v>
      </c>
      <c r="C449" s="184" t="s">
        <v>598</v>
      </c>
      <c r="D449" s="127">
        <v>42901</v>
      </c>
      <c r="E449" s="127" t="s">
        <v>598</v>
      </c>
      <c r="F449" s="184" t="s">
        <v>1495</v>
      </c>
      <c r="G449" s="185">
        <v>0</v>
      </c>
      <c r="H449" s="184" t="s">
        <v>598</v>
      </c>
      <c r="I449" s="184" t="s">
        <v>96</v>
      </c>
      <c r="J449" s="184" t="s">
        <v>84</v>
      </c>
      <c r="K449" s="184" t="s">
        <v>241</v>
      </c>
      <c r="L449" s="184" t="s">
        <v>598</v>
      </c>
      <c r="M449" s="184" t="s">
        <v>598</v>
      </c>
      <c r="N449" s="184" t="s">
        <v>79</v>
      </c>
      <c r="O449" s="184" t="s">
        <v>112</v>
      </c>
      <c r="P449" s="186" t="s">
        <v>606</v>
      </c>
      <c r="Q449" s="184" t="s">
        <v>598</v>
      </c>
      <c r="R449" s="184" t="s">
        <v>598</v>
      </c>
      <c r="S449" s="127">
        <v>42907</v>
      </c>
      <c r="T449" s="184" t="s">
        <v>34</v>
      </c>
      <c r="U449" s="184" t="s">
        <v>598</v>
      </c>
      <c r="V449" s="185">
        <v>3000</v>
      </c>
      <c r="W449" s="184" t="s">
        <v>493</v>
      </c>
      <c r="X449" s="184" t="s">
        <v>598</v>
      </c>
      <c r="Y449" s="185">
        <v>0</v>
      </c>
      <c r="Z449" s="184" t="s">
        <v>598</v>
      </c>
      <c r="AA449" s="21" t="s">
        <v>610</v>
      </c>
      <c r="AB449" s="176" t="s">
        <v>489</v>
      </c>
      <c r="AC449" s="172">
        <v>42996.328472222223</v>
      </c>
      <c r="AD449" s="32" t="s">
        <v>552</v>
      </c>
    </row>
    <row r="450" spans="1:30">
      <c r="A450" s="184">
        <v>449</v>
      </c>
      <c r="B450" s="184" t="s">
        <v>1496</v>
      </c>
      <c r="C450" s="184" t="s">
        <v>598</v>
      </c>
      <c r="D450" s="127">
        <v>42903</v>
      </c>
      <c r="E450" s="127" t="s">
        <v>598</v>
      </c>
      <c r="F450" s="184" t="s">
        <v>1497</v>
      </c>
      <c r="G450" s="185">
        <v>0</v>
      </c>
      <c r="H450" s="184" t="s">
        <v>598</v>
      </c>
      <c r="I450" s="184" t="s">
        <v>134</v>
      </c>
      <c r="J450" s="184" t="s">
        <v>84</v>
      </c>
      <c r="K450" s="184" t="s">
        <v>1498</v>
      </c>
      <c r="L450" s="184" t="s">
        <v>598</v>
      </c>
      <c r="M450" s="184" t="s">
        <v>598</v>
      </c>
      <c r="N450" s="184" t="s">
        <v>79</v>
      </c>
      <c r="O450" s="184" t="s">
        <v>112</v>
      </c>
      <c r="P450" s="186" t="s">
        <v>607</v>
      </c>
      <c r="Q450" s="184" t="s">
        <v>598</v>
      </c>
      <c r="R450" s="184" t="s">
        <v>598</v>
      </c>
      <c r="S450" s="127" t="s">
        <v>598</v>
      </c>
      <c r="T450" s="184" t="s">
        <v>598</v>
      </c>
      <c r="U450" s="184" t="s">
        <v>598</v>
      </c>
      <c r="V450" s="185">
        <v>0</v>
      </c>
      <c r="W450" s="184" t="s">
        <v>485</v>
      </c>
      <c r="X450" s="184" t="s">
        <v>598</v>
      </c>
      <c r="Y450" s="185">
        <v>0</v>
      </c>
      <c r="Z450" s="184" t="s">
        <v>598</v>
      </c>
      <c r="AA450" s="21" t="s">
        <v>610</v>
      </c>
      <c r="AB450" s="176" t="s">
        <v>489</v>
      </c>
      <c r="AC450" s="172">
        <v>42996.328472222223</v>
      </c>
      <c r="AD450" s="32" t="s">
        <v>552</v>
      </c>
    </row>
    <row r="451" spans="1:30">
      <c r="A451" s="184">
        <v>450</v>
      </c>
      <c r="B451" s="184" t="s">
        <v>1499</v>
      </c>
      <c r="C451" s="184" t="s">
        <v>598</v>
      </c>
      <c r="D451" s="127">
        <v>42904</v>
      </c>
      <c r="E451" s="127" t="s">
        <v>598</v>
      </c>
      <c r="F451" s="184" t="s">
        <v>1500</v>
      </c>
      <c r="G451" s="185">
        <v>0</v>
      </c>
      <c r="H451" s="184" t="s">
        <v>598</v>
      </c>
      <c r="I451" s="184" t="s">
        <v>134</v>
      </c>
      <c r="J451" s="184" t="s">
        <v>84</v>
      </c>
      <c r="K451" s="184" t="s">
        <v>184</v>
      </c>
      <c r="L451" s="184" t="s">
        <v>598</v>
      </c>
      <c r="M451" s="184" t="s">
        <v>50</v>
      </c>
      <c r="N451" s="184" t="s">
        <v>79</v>
      </c>
      <c r="O451" s="184" t="s">
        <v>79</v>
      </c>
      <c r="P451" s="186" t="s">
        <v>73</v>
      </c>
      <c r="Q451" s="184" t="s">
        <v>598</v>
      </c>
      <c r="R451" s="184" t="s">
        <v>598</v>
      </c>
      <c r="S451" s="127">
        <v>42908</v>
      </c>
      <c r="T451" s="184" t="s">
        <v>10</v>
      </c>
      <c r="U451" s="184" t="s">
        <v>598</v>
      </c>
      <c r="V451" s="185">
        <v>8000</v>
      </c>
      <c r="W451" s="184" t="s">
        <v>493</v>
      </c>
      <c r="X451" s="184" t="s">
        <v>598</v>
      </c>
      <c r="Y451" s="185">
        <v>0</v>
      </c>
      <c r="Z451" s="184" t="s">
        <v>598</v>
      </c>
      <c r="AA451" s="21" t="s">
        <v>610</v>
      </c>
      <c r="AB451" s="176" t="s">
        <v>489</v>
      </c>
      <c r="AC451" s="172">
        <v>42996.328472222223</v>
      </c>
      <c r="AD451" s="32" t="s">
        <v>552</v>
      </c>
    </row>
    <row r="452" spans="1:30">
      <c r="A452" s="184">
        <v>451</v>
      </c>
      <c r="B452" s="184" t="s">
        <v>1501</v>
      </c>
      <c r="C452" s="184" t="s">
        <v>598</v>
      </c>
      <c r="D452" s="127">
        <v>42904</v>
      </c>
      <c r="E452" s="127" t="s">
        <v>598</v>
      </c>
      <c r="F452" s="184" t="s">
        <v>1502</v>
      </c>
      <c r="G452" s="185">
        <v>0</v>
      </c>
      <c r="H452" s="184" t="s">
        <v>598</v>
      </c>
      <c r="I452" s="184" t="s">
        <v>134</v>
      </c>
      <c r="J452" s="184" t="s">
        <v>84</v>
      </c>
      <c r="K452" s="184" t="s">
        <v>184</v>
      </c>
      <c r="L452" s="184" t="s">
        <v>598</v>
      </c>
      <c r="M452" s="184" t="s">
        <v>598</v>
      </c>
      <c r="N452" s="184" t="s">
        <v>79</v>
      </c>
      <c r="O452" s="184" t="s">
        <v>79</v>
      </c>
      <c r="P452" s="186" t="s">
        <v>601</v>
      </c>
      <c r="Q452" s="184" t="s">
        <v>598</v>
      </c>
      <c r="R452" s="184" t="s">
        <v>598</v>
      </c>
      <c r="S452" s="127" t="s">
        <v>598</v>
      </c>
      <c r="T452" s="184" t="s">
        <v>598</v>
      </c>
      <c r="U452" s="184" t="s">
        <v>598</v>
      </c>
      <c r="V452" s="185">
        <v>0</v>
      </c>
      <c r="W452" s="184" t="s">
        <v>485</v>
      </c>
      <c r="X452" s="184" t="s">
        <v>598</v>
      </c>
      <c r="Y452" s="185">
        <v>0</v>
      </c>
      <c r="Z452" s="184" t="s">
        <v>598</v>
      </c>
      <c r="AA452" s="21" t="s">
        <v>610</v>
      </c>
      <c r="AB452" s="176" t="s">
        <v>489</v>
      </c>
      <c r="AC452" s="172">
        <v>42996.328472222223</v>
      </c>
      <c r="AD452" s="32" t="s">
        <v>552</v>
      </c>
    </row>
    <row r="453" spans="1:30">
      <c r="A453" s="184">
        <v>452</v>
      </c>
      <c r="B453" s="184" t="s">
        <v>1503</v>
      </c>
      <c r="C453" s="184" t="s">
        <v>598</v>
      </c>
      <c r="D453" s="127">
        <v>42905</v>
      </c>
      <c r="E453" s="127" t="s">
        <v>598</v>
      </c>
      <c r="F453" s="184" t="s">
        <v>1504</v>
      </c>
      <c r="G453" s="185">
        <v>0</v>
      </c>
      <c r="H453" s="184" t="s">
        <v>598</v>
      </c>
      <c r="I453" s="184" t="s">
        <v>132</v>
      </c>
      <c r="J453" s="184" t="s">
        <v>84</v>
      </c>
      <c r="K453" s="184" t="s">
        <v>257</v>
      </c>
      <c r="L453" s="184" t="s">
        <v>598</v>
      </c>
      <c r="M453" s="184" t="s">
        <v>598</v>
      </c>
      <c r="N453" s="184" t="s">
        <v>79</v>
      </c>
      <c r="O453" s="184" t="s">
        <v>65</v>
      </c>
      <c r="P453" s="186" t="s">
        <v>32</v>
      </c>
      <c r="Q453" s="184" t="s">
        <v>598</v>
      </c>
      <c r="R453" s="184" t="s">
        <v>598</v>
      </c>
      <c r="S453" s="127">
        <v>42907</v>
      </c>
      <c r="T453" s="184" t="s">
        <v>34</v>
      </c>
      <c r="U453" s="184" t="s">
        <v>598</v>
      </c>
      <c r="V453" s="185">
        <v>3000</v>
      </c>
      <c r="W453" s="184" t="s">
        <v>493</v>
      </c>
      <c r="X453" s="184" t="s">
        <v>598</v>
      </c>
      <c r="Y453" s="185">
        <v>0</v>
      </c>
      <c r="Z453" s="184" t="s">
        <v>598</v>
      </c>
      <c r="AA453" s="21" t="s">
        <v>610</v>
      </c>
      <c r="AB453" s="176" t="s">
        <v>489</v>
      </c>
      <c r="AC453" s="172">
        <v>42996.328472222223</v>
      </c>
      <c r="AD453" s="32" t="s">
        <v>552</v>
      </c>
    </row>
    <row r="454" spans="1:30">
      <c r="A454" s="184">
        <v>453</v>
      </c>
      <c r="B454" s="184" t="s">
        <v>1505</v>
      </c>
      <c r="C454" s="184" t="s">
        <v>598</v>
      </c>
      <c r="D454" s="127">
        <v>42906</v>
      </c>
      <c r="E454" s="127" t="s">
        <v>598</v>
      </c>
      <c r="F454" s="184" t="s">
        <v>1506</v>
      </c>
      <c r="G454" s="185">
        <v>0</v>
      </c>
      <c r="H454" s="184" t="s">
        <v>598</v>
      </c>
      <c r="I454" s="184" t="s">
        <v>134</v>
      </c>
      <c r="J454" s="184" t="s">
        <v>84</v>
      </c>
      <c r="K454" s="184" t="s">
        <v>192</v>
      </c>
      <c r="L454" s="184" t="s">
        <v>598</v>
      </c>
      <c r="M454" s="184" t="s">
        <v>598</v>
      </c>
      <c r="N454" s="184" t="s">
        <v>79</v>
      </c>
      <c r="O454" s="184" t="s">
        <v>79</v>
      </c>
      <c r="P454" s="186" t="s">
        <v>53</v>
      </c>
      <c r="Q454" s="184" t="s">
        <v>598</v>
      </c>
      <c r="R454" s="184" t="s">
        <v>598</v>
      </c>
      <c r="S454" s="127">
        <v>42909</v>
      </c>
      <c r="T454" s="184" t="s">
        <v>10</v>
      </c>
      <c r="U454" s="184" t="s">
        <v>598</v>
      </c>
      <c r="V454" s="185">
        <v>5000</v>
      </c>
      <c r="W454" s="184" t="s">
        <v>493</v>
      </c>
      <c r="X454" s="184" t="s">
        <v>598</v>
      </c>
      <c r="Y454" s="185">
        <v>0</v>
      </c>
      <c r="Z454" s="184" t="s">
        <v>598</v>
      </c>
      <c r="AA454" s="21" t="s">
        <v>610</v>
      </c>
      <c r="AB454" s="176" t="s">
        <v>489</v>
      </c>
      <c r="AC454" s="172">
        <v>42996.328472222223</v>
      </c>
      <c r="AD454" s="32" t="s">
        <v>552</v>
      </c>
    </row>
    <row r="455" spans="1:30">
      <c r="A455" s="184">
        <v>454</v>
      </c>
      <c r="B455" s="184" t="s">
        <v>1507</v>
      </c>
      <c r="C455" s="184" t="s">
        <v>598</v>
      </c>
      <c r="D455" s="127">
        <v>42906</v>
      </c>
      <c r="E455" s="127" t="s">
        <v>598</v>
      </c>
      <c r="F455" s="184" t="s">
        <v>1508</v>
      </c>
      <c r="G455" s="185">
        <v>0</v>
      </c>
      <c r="H455" s="184" t="s">
        <v>598</v>
      </c>
      <c r="I455" s="184" t="s">
        <v>134</v>
      </c>
      <c r="J455" s="184" t="s">
        <v>84</v>
      </c>
      <c r="K455" s="184" t="s">
        <v>268</v>
      </c>
      <c r="L455" s="184" t="s">
        <v>598</v>
      </c>
      <c r="M455" s="184" t="s">
        <v>598</v>
      </c>
      <c r="N455" s="184" t="s">
        <v>79</v>
      </c>
      <c r="O455" s="184" t="s">
        <v>598</v>
      </c>
      <c r="P455" s="186" t="s">
        <v>44</v>
      </c>
      <c r="Q455" s="184" t="s">
        <v>598</v>
      </c>
      <c r="R455" s="184" t="s">
        <v>598</v>
      </c>
      <c r="S455" s="127" t="s">
        <v>598</v>
      </c>
      <c r="T455" s="184" t="s">
        <v>598</v>
      </c>
      <c r="U455" s="184" t="s">
        <v>598</v>
      </c>
      <c r="V455" s="185">
        <v>0</v>
      </c>
      <c r="W455" s="184" t="s">
        <v>55</v>
      </c>
      <c r="X455" s="184" t="s">
        <v>598</v>
      </c>
      <c r="Y455" s="185">
        <v>0</v>
      </c>
      <c r="Z455" s="184" t="s">
        <v>598</v>
      </c>
      <c r="AA455" s="21" t="s">
        <v>822</v>
      </c>
      <c r="AB455" s="176" t="s">
        <v>489</v>
      </c>
      <c r="AC455" s="172">
        <v>42996.328472222223</v>
      </c>
      <c r="AD455" s="32" t="s">
        <v>552</v>
      </c>
    </row>
    <row r="456" spans="1:30">
      <c r="A456" s="184">
        <v>455</v>
      </c>
      <c r="B456" s="184" t="s">
        <v>1509</v>
      </c>
      <c r="C456" s="184" t="s">
        <v>598</v>
      </c>
      <c r="D456" s="127">
        <v>42906</v>
      </c>
      <c r="E456" s="127" t="s">
        <v>598</v>
      </c>
      <c r="F456" s="184" t="s">
        <v>1510</v>
      </c>
      <c r="G456" s="185">
        <v>0</v>
      </c>
      <c r="H456" s="184" t="s">
        <v>598</v>
      </c>
      <c r="I456" s="184" t="s">
        <v>134</v>
      </c>
      <c r="J456" s="184" t="s">
        <v>84</v>
      </c>
      <c r="K456" s="184" t="s">
        <v>184</v>
      </c>
      <c r="L456" s="184" t="s">
        <v>598</v>
      </c>
      <c r="M456" s="184" t="s">
        <v>62</v>
      </c>
      <c r="N456" s="184" t="s">
        <v>79</v>
      </c>
      <c r="O456" s="184" t="s">
        <v>112</v>
      </c>
      <c r="P456" s="186" t="s">
        <v>67</v>
      </c>
      <c r="Q456" s="184" t="s">
        <v>598</v>
      </c>
      <c r="R456" s="184" t="s">
        <v>598</v>
      </c>
      <c r="S456" s="127" t="s">
        <v>598</v>
      </c>
      <c r="T456" s="184" t="s">
        <v>598</v>
      </c>
      <c r="U456" s="184" t="s">
        <v>598</v>
      </c>
      <c r="V456" s="185">
        <v>0</v>
      </c>
      <c r="W456" s="184" t="s">
        <v>485</v>
      </c>
      <c r="X456" s="184" t="s">
        <v>598</v>
      </c>
      <c r="Y456" s="185">
        <v>0</v>
      </c>
      <c r="Z456" s="184" t="s">
        <v>598</v>
      </c>
      <c r="AA456" s="21" t="s">
        <v>610</v>
      </c>
      <c r="AB456" s="176" t="s">
        <v>489</v>
      </c>
      <c r="AC456" s="172">
        <v>42996.328472222223</v>
      </c>
      <c r="AD456" s="32" t="s">
        <v>552</v>
      </c>
    </row>
    <row r="457" spans="1:30">
      <c r="A457" s="184">
        <v>456</v>
      </c>
      <c r="B457" s="184" t="s">
        <v>1511</v>
      </c>
      <c r="C457" s="184" t="s">
        <v>598</v>
      </c>
      <c r="D457" s="127">
        <v>42906</v>
      </c>
      <c r="E457" s="127" t="s">
        <v>598</v>
      </c>
      <c r="F457" s="184" t="s">
        <v>1512</v>
      </c>
      <c r="G457" s="185">
        <v>0</v>
      </c>
      <c r="H457" s="184" t="s">
        <v>598</v>
      </c>
      <c r="I457" s="184" t="s">
        <v>120</v>
      </c>
      <c r="J457" s="184" t="s">
        <v>84</v>
      </c>
      <c r="K457" s="184" t="s">
        <v>269</v>
      </c>
      <c r="L457" s="184" t="s">
        <v>598</v>
      </c>
      <c r="M457" s="184" t="s">
        <v>598</v>
      </c>
      <c r="N457" s="184" t="s">
        <v>79</v>
      </c>
      <c r="O457" s="184" t="s">
        <v>112</v>
      </c>
      <c r="P457" s="186" t="s">
        <v>602</v>
      </c>
      <c r="Q457" s="184" t="s">
        <v>598</v>
      </c>
      <c r="R457" s="184" t="s">
        <v>598</v>
      </c>
      <c r="S457" s="127">
        <v>42916</v>
      </c>
      <c r="T457" s="184" t="s">
        <v>10</v>
      </c>
      <c r="U457" s="184" t="s">
        <v>598</v>
      </c>
      <c r="V457" s="185">
        <v>3000</v>
      </c>
      <c r="W457" s="184" t="s">
        <v>493</v>
      </c>
      <c r="X457" s="184" t="s">
        <v>598</v>
      </c>
      <c r="Y457" s="185">
        <v>0</v>
      </c>
      <c r="Z457" s="184" t="s">
        <v>598</v>
      </c>
      <c r="AA457" s="21" t="s">
        <v>610</v>
      </c>
      <c r="AB457" s="176" t="s">
        <v>489</v>
      </c>
      <c r="AC457" s="172">
        <v>42996.328472222223</v>
      </c>
      <c r="AD457" s="32" t="s">
        <v>552</v>
      </c>
    </row>
    <row r="458" spans="1:30">
      <c r="A458" s="184">
        <v>457</v>
      </c>
      <c r="B458" s="184" t="s">
        <v>1513</v>
      </c>
      <c r="C458" s="184" t="s">
        <v>598</v>
      </c>
      <c r="D458" s="127">
        <v>42906</v>
      </c>
      <c r="E458" s="127" t="s">
        <v>598</v>
      </c>
      <c r="F458" s="184" t="s">
        <v>826</v>
      </c>
      <c r="G458" s="185">
        <v>0</v>
      </c>
      <c r="H458" s="184" t="s">
        <v>598</v>
      </c>
      <c r="I458" s="184" t="s">
        <v>96</v>
      </c>
      <c r="J458" s="184" t="s">
        <v>84</v>
      </c>
      <c r="K458" s="184" t="s">
        <v>598</v>
      </c>
      <c r="L458" s="184" t="s">
        <v>598</v>
      </c>
      <c r="M458" s="184" t="s">
        <v>62</v>
      </c>
      <c r="N458" s="184" t="s">
        <v>79</v>
      </c>
      <c r="O458" s="184" t="s">
        <v>79</v>
      </c>
      <c r="P458" s="186" t="s">
        <v>603</v>
      </c>
      <c r="Q458" s="184" t="s">
        <v>598</v>
      </c>
      <c r="R458" s="184" t="s">
        <v>598</v>
      </c>
      <c r="S458" s="127" t="s">
        <v>598</v>
      </c>
      <c r="T458" s="184" t="s">
        <v>598</v>
      </c>
      <c r="U458" s="184" t="s">
        <v>598</v>
      </c>
      <c r="V458" s="185">
        <v>0</v>
      </c>
      <c r="W458" s="184" t="s">
        <v>89</v>
      </c>
      <c r="X458" s="184" t="s">
        <v>598</v>
      </c>
      <c r="Y458" s="185">
        <v>0</v>
      </c>
      <c r="Z458" s="184" t="s">
        <v>598</v>
      </c>
      <c r="AA458" s="21" t="s">
        <v>822</v>
      </c>
      <c r="AB458" s="176" t="s">
        <v>489</v>
      </c>
      <c r="AC458" s="172">
        <v>42996.328472222223</v>
      </c>
      <c r="AD458" s="32" t="s">
        <v>552</v>
      </c>
    </row>
    <row r="459" spans="1:30">
      <c r="A459" s="184">
        <v>458</v>
      </c>
      <c r="B459" s="184" t="s">
        <v>1514</v>
      </c>
      <c r="C459" s="184" t="s">
        <v>598</v>
      </c>
      <c r="D459" s="127">
        <v>42907</v>
      </c>
      <c r="E459" s="127" t="s">
        <v>598</v>
      </c>
      <c r="F459" s="184" t="s">
        <v>1515</v>
      </c>
      <c r="G459" s="185">
        <v>0</v>
      </c>
      <c r="H459" s="184" t="s">
        <v>598</v>
      </c>
      <c r="I459" s="184" t="s">
        <v>134</v>
      </c>
      <c r="J459" s="184" t="s">
        <v>84</v>
      </c>
      <c r="K459" s="184" t="s">
        <v>265</v>
      </c>
      <c r="L459" s="184" t="s">
        <v>598</v>
      </c>
      <c r="M459" s="184" t="s">
        <v>598</v>
      </c>
      <c r="N459" s="184" t="s">
        <v>79</v>
      </c>
      <c r="O459" s="184" t="s">
        <v>598</v>
      </c>
      <c r="P459" s="186" t="s">
        <v>604</v>
      </c>
      <c r="Q459" s="184" t="s">
        <v>598</v>
      </c>
      <c r="R459" s="184" t="s">
        <v>598</v>
      </c>
      <c r="S459" s="127" t="s">
        <v>598</v>
      </c>
      <c r="T459" s="184" t="s">
        <v>598</v>
      </c>
      <c r="U459" s="184" t="s">
        <v>598</v>
      </c>
      <c r="V459" s="185">
        <v>0</v>
      </c>
      <c r="W459" s="184" t="s">
        <v>89</v>
      </c>
      <c r="X459" s="184" t="s">
        <v>598</v>
      </c>
      <c r="Y459" s="185">
        <v>0</v>
      </c>
      <c r="Z459" s="184" t="s">
        <v>598</v>
      </c>
      <c r="AA459" s="21" t="s">
        <v>822</v>
      </c>
      <c r="AB459" s="176" t="s">
        <v>489</v>
      </c>
      <c r="AC459" s="172">
        <v>42996.328472222223</v>
      </c>
      <c r="AD459" s="32" t="s">
        <v>552</v>
      </c>
    </row>
    <row r="460" spans="1:30">
      <c r="A460" s="184">
        <v>459</v>
      </c>
      <c r="B460" s="184" t="s">
        <v>1516</v>
      </c>
      <c r="C460" s="184" t="s">
        <v>598</v>
      </c>
      <c r="D460" s="127">
        <v>42907</v>
      </c>
      <c r="E460" s="127" t="s">
        <v>598</v>
      </c>
      <c r="F460" s="184" t="s">
        <v>1517</v>
      </c>
      <c r="G460" s="185">
        <v>0</v>
      </c>
      <c r="H460" s="184" t="s">
        <v>598</v>
      </c>
      <c r="I460" s="184" t="s">
        <v>134</v>
      </c>
      <c r="J460" s="184" t="s">
        <v>84</v>
      </c>
      <c r="K460" s="184" t="s">
        <v>270</v>
      </c>
      <c r="L460" s="184" t="s">
        <v>598</v>
      </c>
      <c r="M460" s="184" t="s">
        <v>598</v>
      </c>
      <c r="N460" s="184" t="s">
        <v>79</v>
      </c>
      <c r="O460" s="184" t="s">
        <v>112</v>
      </c>
      <c r="P460" s="186" t="s">
        <v>605</v>
      </c>
      <c r="Q460" s="184" t="s">
        <v>598</v>
      </c>
      <c r="R460" s="184" t="s">
        <v>598</v>
      </c>
      <c r="S460" s="127">
        <v>42912</v>
      </c>
      <c r="T460" s="184" t="s">
        <v>34</v>
      </c>
      <c r="U460" s="184" t="s">
        <v>598</v>
      </c>
      <c r="V460" s="185">
        <v>5000</v>
      </c>
      <c r="W460" s="184" t="s">
        <v>493</v>
      </c>
      <c r="X460" s="184" t="s">
        <v>598</v>
      </c>
      <c r="Y460" s="185">
        <v>0</v>
      </c>
      <c r="Z460" s="184" t="s">
        <v>598</v>
      </c>
      <c r="AA460" s="21" t="s">
        <v>610</v>
      </c>
      <c r="AB460" s="176" t="s">
        <v>489</v>
      </c>
      <c r="AC460" s="172">
        <v>42996.328472222223</v>
      </c>
      <c r="AD460" s="32" t="s">
        <v>552</v>
      </c>
    </row>
    <row r="461" spans="1:30">
      <c r="A461" s="184">
        <v>460</v>
      </c>
      <c r="B461" s="184" t="s">
        <v>1518</v>
      </c>
      <c r="C461" s="184" t="s">
        <v>598</v>
      </c>
      <c r="D461" s="127">
        <v>42907</v>
      </c>
      <c r="E461" s="127" t="s">
        <v>598</v>
      </c>
      <c r="F461" s="184" t="s">
        <v>1519</v>
      </c>
      <c r="G461" s="185">
        <v>0</v>
      </c>
      <c r="H461" s="184" t="s">
        <v>598</v>
      </c>
      <c r="I461" s="184" t="s">
        <v>134</v>
      </c>
      <c r="J461" s="184" t="s">
        <v>84</v>
      </c>
      <c r="K461" s="184" t="s">
        <v>1520</v>
      </c>
      <c r="L461" s="184" t="s">
        <v>598</v>
      </c>
      <c r="M461" s="184" t="s">
        <v>1521</v>
      </c>
      <c r="N461" s="184" t="s">
        <v>79</v>
      </c>
      <c r="O461" s="184" t="s">
        <v>112</v>
      </c>
      <c r="P461" s="186" t="s">
        <v>606</v>
      </c>
      <c r="Q461" s="184" t="s">
        <v>598</v>
      </c>
      <c r="R461" s="184" t="s">
        <v>598</v>
      </c>
      <c r="S461" s="127">
        <v>42914</v>
      </c>
      <c r="T461" s="184" t="s">
        <v>34</v>
      </c>
      <c r="U461" s="184" t="s">
        <v>598</v>
      </c>
      <c r="V461" s="185">
        <v>4500</v>
      </c>
      <c r="W461" s="184" t="s">
        <v>493</v>
      </c>
      <c r="X461" s="184" t="s">
        <v>598</v>
      </c>
      <c r="Y461" s="185">
        <v>0</v>
      </c>
      <c r="Z461" s="184" t="s">
        <v>598</v>
      </c>
      <c r="AA461" s="21" t="s">
        <v>610</v>
      </c>
      <c r="AB461" s="176" t="s">
        <v>489</v>
      </c>
      <c r="AC461" s="172">
        <v>42996.328472222223</v>
      </c>
      <c r="AD461" s="32" t="s">
        <v>552</v>
      </c>
    </row>
    <row r="462" spans="1:30">
      <c r="A462" s="184">
        <v>461</v>
      </c>
      <c r="B462" s="184" t="s">
        <v>1522</v>
      </c>
      <c r="C462" s="184" t="s">
        <v>598</v>
      </c>
      <c r="D462" s="127">
        <v>42907</v>
      </c>
      <c r="E462" s="127" t="s">
        <v>598</v>
      </c>
      <c r="F462" s="184" t="s">
        <v>1523</v>
      </c>
      <c r="G462" s="185">
        <v>0</v>
      </c>
      <c r="H462" s="184" t="s">
        <v>598</v>
      </c>
      <c r="I462" s="184" t="s">
        <v>598</v>
      </c>
      <c r="J462" s="184" t="s">
        <v>84</v>
      </c>
      <c r="K462" s="184" t="s">
        <v>598</v>
      </c>
      <c r="L462" s="184" t="s">
        <v>598</v>
      </c>
      <c r="M462" s="184" t="s">
        <v>598</v>
      </c>
      <c r="N462" s="184" t="s">
        <v>79</v>
      </c>
      <c r="O462" s="184" t="s">
        <v>598</v>
      </c>
      <c r="P462" s="186" t="s">
        <v>607</v>
      </c>
      <c r="Q462" s="184" t="s">
        <v>598</v>
      </c>
      <c r="R462" s="184" t="s">
        <v>598</v>
      </c>
      <c r="S462" s="127" t="s">
        <v>598</v>
      </c>
      <c r="T462" s="184" t="s">
        <v>598</v>
      </c>
      <c r="U462" s="184" t="s">
        <v>598</v>
      </c>
      <c r="V462" s="185">
        <v>0</v>
      </c>
      <c r="W462" s="184" t="s">
        <v>485</v>
      </c>
      <c r="X462" s="184" t="s">
        <v>598</v>
      </c>
      <c r="Y462" s="185">
        <v>0</v>
      </c>
      <c r="Z462" s="184" t="s">
        <v>598</v>
      </c>
      <c r="AA462" s="21" t="s">
        <v>610</v>
      </c>
      <c r="AB462" s="176" t="s">
        <v>489</v>
      </c>
      <c r="AC462" s="172">
        <v>42996.328472222223</v>
      </c>
      <c r="AD462" s="32" t="s">
        <v>552</v>
      </c>
    </row>
    <row r="463" spans="1:30">
      <c r="A463" s="184">
        <v>462</v>
      </c>
      <c r="B463" s="184" t="s">
        <v>1524</v>
      </c>
      <c r="C463" s="184" t="s">
        <v>598</v>
      </c>
      <c r="D463" s="127">
        <v>42907</v>
      </c>
      <c r="E463" s="127" t="s">
        <v>598</v>
      </c>
      <c r="F463" s="184" t="s">
        <v>1525</v>
      </c>
      <c r="G463" s="185">
        <v>0</v>
      </c>
      <c r="H463" s="184" t="s">
        <v>598</v>
      </c>
      <c r="I463" s="184" t="s">
        <v>115</v>
      </c>
      <c r="J463" s="184" t="s">
        <v>84</v>
      </c>
      <c r="K463" s="184" t="s">
        <v>598</v>
      </c>
      <c r="L463" s="184" t="s">
        <v>598</v>
      </c>
      <c r="M463" s="184" t="s">
        <v>598</v>
      </c>
      <c r="N463" s="184" t="s">
        <v>79</v>
      </c>
      <c r="O463" s="184" t="s">
        <v>112</v>
      </c>
      <c r="P463" s="186" t="s">
        <v>73</v>
      </c>
      <c r="Q463" s="184" t="s">
        <v>598</v>
      </c>
      <c r="R463" s="184" t="s">
        <v>598</v>
      </c>
      <c r="S463" s="127" t="s">
        <v>598</v>
      </c>
      <c r="T463" s="184" t="s">
        <v>598</v>
      </c>
      <c r="U463" s="184" t="s">
        <v>598</v>
      </c>
      <c r="V463" s="185">
        <v>0</v>
      </c>
      <c r="W463" s="184" t="s">
        <v>485</v>
      </c>
      <c r="X463" s="184" t="s">
        <v>598</v>
      </c>
      <c r="Y463" s="185">
        <v>0</v>
      </c>
      <c r="Z463" s="184" t="s">
        <v>598</v>
      </c>
      <c r="AA463" s="21" t="s">
        <v>610</v>
      </c>
      <c r="AB463" s="176" t="s">
        <v>489</v>
      </c>
      <c r="AC463" s="172">
        <v>42996.328472222223</v>
      </c>
      <c r="AD463" s="32" t="s">
        <v>552</v>
      </c>
    </row>
    <row r="464" spans="1:30">
      <c r="A464" s="184">
        <v>463</v>
      </c>
      <c r="B464" s="184" t="s">
        <v>1526</v>
      </c>
      <c r="C464" s="184" t="s">
        <v>598</v>
      </c>
      <c r="D464" s="127">
        <v>42907</v>
      </c>
      <c r="E464" s="127" t="s">
        <v>598</v>
      </c>
      <c r="F464" s="184" t="s">
        <v>1527</v>
      </c>
      <c r="G464" s="185">
        <v>0</v>
      </c>
      <c r="H464" s="184" t="s">
        <v>598</v>
      </c>
      <c r="I464" s="184" t="s">
        <v>115</v>
      </c>
      <c r="J464" s="184" t="s">
        <v>84</v>
      </c>
      <c r="K464" s="184" t="s">
        <v>598</v>
      </c>
      <c r="L464" s="184" t="s">
        <v>598</v>
      </c>
      <c r="M464" s="184" t="s">
        <v>598</v>
      </c>
      <c r="N464" s="184" t="s">
        <v>79</v>
      </c>
      <c r="O464" s="184" t="s">
        <v>112</v>
      </c>
      <c r="P464" s="186" t="s">
        <v>601</v>
      </c>
      <c r="Q464" s="184" t="s">
        <v>598</v>
      </c>
      <c r="R464" s="184" t="s">
        <v>598</v>
      </c>
      <c r="S464" s="127" t="s">
        <v>598</v>
      </c>
      <c r="T464" s="184" t="s">
        <v>598</v>
      </c>
      <c r="U464" s="184" t="s">
        <v>598</v>
      </c>
      <c r="V464" s="185">
        <v>0</v>
      </c>
      <c r="W464" s="184" t="s">
        <v>485</v>
      </c>
      <c r="X464" s="184" t="s">
        <v>598</v>
      </c>
      <c r="Y464" s="185">
        <v>0</v>
      </c>
      <c r="Z464" s="184" t="s">
        <v>598</v>
      </c>
      <c r="AA464" s="21" t="s">
        <v>610</v>
      </c>
      <c r="AB464" s="176" t="s">
        <v>489</v>
      </c>
      <c r="AC464" s="172">
        <v>42996.328472222223</v>
      </c>
      <c r="AD464" s="32" t="s">
        <v>552</v>
      </c>
    </row>
    <row r="465" spans="1:30">
      <c r="A465" s="184">
        <v>464</v>
      </c>
      <c r="B465" s="184" t="s">
        <v>1528</v>
      </c>
      <c r="C465" s="184" t="s">
        <v>598</v>
      </c>
      <c r="D465" s="127">
        <v>42907</v>
      </c>
      <c r="E465" s="127" t="s">
        <v>598</v>
      </c>
      <c r="F465" s="184" t="s">
        <v>1529</v>
      </c>
      <c r="G465" s="185">
        <v>0</v>
      </c>
      <c r="H465" s="184" t="s">
        <v>598</v>
      </c>
      <c r="I465" s="184" t="s">
        <v>598</v>
      </c>
      <c r="J465" s="184" t="s">
        <v>84</v>
      </c>
      <c r="K465" s="184" t="s">
        <v>1520</v>
      </c>
      <c r="L465" s="184" t="s">
        <v>598</v>
      </c>
      <c r="M465" s="184" t="s">
        <v>1530</v>
      </c>
      <c r="N465" s="184" t="s">
        <v>79</v>
      </c>
      <c r="O465" s="184" t="s">
        <v>65</v>
      </c>
      <c r="P465" s="186" t="s">
        <v>32</v>
      </c>
      <c r="Q465" s="184" t="s">
        <v>598</v>
      </c>
      <c r="R465" s="184" t="s">
        <v>598</v>
      </c>
      <c r="S465" s="127" t="s">
        <v>598</v>
      </c>
      <c r="T465" s="184" t="s">
        <v>598</v>
      </c>
      <c r="U465" s="184" t="s">
        <v>598</v>
      </c>
      <c r="V465" s="185">
        <v>0</v>
      </c>
      <c r="W465" s="184" t="s">
        <v>485</v>
      </c>
      <c r="X465" s="184" t="s">
        <v>598</v>
      </c>
      <c r="Y465" s="185">
        <v>0</v>
      </c>
      <c r="Z465" s="184" t="s">
        <v>598</v>
      </c>
      <c r="AA465" s="21" t="s">
        <v>610</v>
      </c>
      <c r="AB465" s="176" t="s">
        <v>489</v>
      </c>
      <c r="AC465" s="172">
        <v>42996.328472222223</v>
      </c>
      <c r="AD465" s="32" t="s">
        <v>552</v>
      </c>
    </row>
    <row r="466" spans="1:30">
      <c r="A466" s="184">
        <v>465</v>
      </c>
      <c r="B466" s="184" t="s">
        <v>1531</v>
      </c>
      <c r="C466" s="184" t="s">
        <v>598</v>
      </c>
      <c r="D466" s="127">
        <v>42908</v>
      </c>
      <c r="E466" s="127" t="s">
        <v>598</v>
      </c>
      <c r="F466" s="184" t="s">
        <v>1532</v>
      </c>
      <c r="G466" s="185">
        <v>0</v>
      </c>
      <c r="H466" s="184" t="s">
        <v>598</v>
      </c>
      <c r="I466" s="184" t="s">
        <v>134</v>
      </c>
      <c r="J466" s="184" t="s">
        <v>84</v>
      </c>
      <c r="K466" s="184" t="s">
        <v>598</v>
      </c>
      <c r="L466" s="184" t="s">
        <v>598</v>
      </c>
      <c r="M466" s="184" t="s">
        <v>598</v>
      </c>
      <c r="N466" s="184" t="s">
        <v>79</v>
      </c>
      <c r="O466" s="184" t="s">
        <v>112</v>
      </c>
      <c r="P466" s="186" t="s">
        <v>53</v>
      </c>
      <c r="Q466" s="184" t="s">
        <v>598</v>
      </c>
      <c r="R466" s="184" t="s">
        <v>598</v>
      </c>
      <c r="S466" s="127">
        <v>42908</v>
      </c>
      <c r="T466" s="184" t="s">
        <v>34</v>
      </c>
      <c r="U466" s="184" t="s">
        <v>598</v>
      </c>
      <c r="V466" s="185">
        <v>500</v>
      </c>
      <c r="W466" s="184" t="s">
        <v>549</v>
      </c>
      <c r="X466" s="184" t="s">
        <v>598</v>
      </c>
      <c r="Y466" s="185">
        <v>0</v>
      </c>
      <c r="Z466" s="184" t="s">
        <v>493</v>
      </c>
      <c r="AA466" s="21" t="s">
        <v>822</v>
      </c>
      <c r="AB466" s="176" t="s">
        <v>489</v>
      </c>
      <c r="AC466" s="172">
        <v>42996.328472222223</v>
      </c>
      <c r="AD466" s="32" t="s">
        <v>552</v>
      </c>
    </row>
    <row r="467" spans="1:30">
      <c r="A467" s="184">
        <v>466</v>
      </c>
      <c r="B467" s="184" t="s">
        <v>1533</v>
      </c>
      <c r="C467" s="184" t="s">
        <v>598</v>
      </c>
      <c r="D467" s="127">
        <v>42908</v>
      </c>
      <c r="E467" s="127" t="s">
        <v>598</v>
      </c>
      <c r="F467" s="184" t="s">
        <v>1534</v>
      </c>
      <c r="G467" s="185">
        <v>0</v>
      </c>
      <c r="H467" s="184" t="s">
        <v>598</v>
      </c>
      <c r="I467" s="184" t="s">
        <v>134</v>
      </c>
      <c r="J467" s="184" t="s">
        <v>84</v>
      </c>
      <c r="K467" s="184" t="s">
        <v>271</v>
      </c>
      <c r="L467" s="184" t="s">
        <v>598</v>
      </c>
      <c r="M467" s="184" t="s">
        <v>598</v>
      </c>
      <c r="N467" s="184" t="s">
        <v>79</v>
      </c>
      <c r="O467" s="184" t="s">
        <v>79</v>
      </c>
      <c r="P467" s="186" t="s">
        <v>44</v>
      </c>
      <c r="Q467" s="184" t="s">
        <v>598</v>
      </c>
      <c r="R467" s="184" t="s">
        <v>598</v>
      </c>
      <c r="S467" s="127">
        <v>42910</v>
      </c>
      <c r="T467" s="184" t="s">
        <v>10</v>
      </c>
      <c r="U467" s="184" t="s">
        <v>598</v>
      </c>
      <c r="V467" s="185">
        <v>3000</v>
      </c>
      <c r="W467" s="184" t="s">
        <v>493</v>
      </c>
      <c r="X467" s="184" t="s">
        <v>598</v>
      </c>
      <c r="Y467" s="185">
        <v>0</v>
      </c>
      <c r="Z467" s="184" t="s">
        <v>598</v>
      </c>
      <c r="AA467" s="21" t="s">
        <v>610</v>
      </c>
      <c r="AB467" s="176" t="s">
        <v>489</v>
      </c>
      <c r="AC467" s="172">
        <v>42996.328472222223</v>
      </c>
      <c r="AD467" s="32" t="s">
        <v>552</v>
      </c>
    </row>
    <row r="468" spans="1:30">
      <c r="A468" s="184">
        <v>467</v>
      </c>
      <c r="B468" s="184" t="s">
        <v>1535</v>
      </c>
      <c r="C468" s="184" t="s">
        <v>598</v>
      </c>
      <c r="D468" s="127">
        <v>42908</v>
      </c>
      <c r="E468" s="127" t="s">
        <v>598</v>
      </c>
      <c r="F468" s="184" t="s">
        <v>1536</v>
      </c>
      <c r="G468" s="185">
        <v>0</v>
      </c>
      <c r="H468" s="184" t="s">
        <v>598</v>
      </c>
      <c r="I468" s="184" t="s">
        <v>115</v>
      </c>
      <c r="J468" s="184" t="s">
        <v>84</v>
      </c>
      <c r="K468" s="184" t="s">
        <v>598</v>
      </c>
      <c r="L468" s="184" t="s">
        <v>598</v>
      </c>
      <c r="M468" s="184" t="s">
        <v>598</v>
      </c>
      <c r="N468" s="184" t="s">
        <v>79</v>
      </c>
      <c r="O468" s="184" t="s">
        <v>79</v>
      </c>
      <c r="P468" s="186" t="s">
        <v>67</v>
      </c>
      <c r="Q468" s="184" t="s">
        <v>598</v>
      </c>
      <c r="R468" s="184" t="s">
        <v>598</v>
      </c>
      <c r="S468" s="127" t="s">
        <v>598</v>
      </c>
      <c r="T468" s="184" t="s">
        <v>598</v>
      </c>
      <c r="U468" s="184" t="s">
        <v>598</v>
      </c>
      <c r="V468" s="185">
        <v>0</v>
      </c>
      <c r="W468" s="184" t="s">
        <v>89</v>
      </c>
      <c r="X468" s="184" t="s">
        <v>598</v>
      </c>
      <c r="Y468" s="185">
        <v>0</v>
      </c>
      <c r="Z468" s="184" t="s">
        <v>598</v>
      </c>
      <c r="AA468" s="21" t="s">
        <v>822</v>
      </c>
      <c r="AB468" s="176" t="s">
        <v>489</v>
      </c>
      <c r="AC468" s="172">
        <v>42996.328472222223</v>
      </c>
      <c r="AD468" s="32" t="s">
        <v>552</v>
      </c>
    </row>
    <row r="469" spans="1:30">
      <c r="A469" s="184">
        <v>468</v>
      </c>
      <c r="B469" s="184" t="s">
        <v>1537</v>
      </c>
      <c r="C469" s="184" t="s">
        <v>598</v>
      </c>
      <c r="D469" s="127">
        <v>42908</v>
      </c>
      <c r="E469" s="127" t="s">
        <v>598</v>
      </c>
      <c r="F469" s="184" t="s">
        <v>1538</v>
      </c>
      <c r="G469" s="185">
        <v>0</v>
      </c>
      <c r="H469" s="184" t="s">
        <v>598</v>
      </c>
      <c r="I469" s="184" t="s">
        <v>864</v>
      </c>
      <c r="J469" s="184" t="s">
        <v>84</v>
      </c>
      <c r="K469" s="184" t="s">
        <v>598</v>
      </c>
      <c r="L469" s="184" t="s">
        <v>598</v>
      </c>
      <c r="M469" s="184" t="s">
        <v>598</v>
      </c>
      <c r="N469" s="184" t="s">
        <v>79</v>
      </c>
      <c r="O469" s="184" t="s">
        <v>598</v>
      </c>
      <c r="P469" s="186" t="s">
        <v>602</v>
      </c>
      <c r="Q469" s="184" t="s">
        <v>598</v>
      </c>
      <c r="R469" s="184" t="s">
        <v>598</v>
      </c>
      <c r="S469" s="127">
        <v>42909</v>
      </c>
      <c r="T469" s="184" t="s">
        <v>34</v>
      </c>
      <c r="U469" s="184" t="s">
        <v>598</v>
      </c>
      <c r="V469" s="185">
        <v>2500</v>
      </c>
      <c r="W469" s="184" t="s">
        <v>493</v>
      </c>
      <c r="X469" s="184" t="s">
        <v>598</v>
      </c>
      <c r="Y469" s="185">
        <v>0</v>
      </c>
      <c r="Z469" s="184" t="s">
        <v>598</v>
      </c>
      <c r="AA469" s="21" t="s">
        <v>610</v>
      </c>
      <c r="AB469" s="176" t="s">
        <v>489</v>
      </c>
      <c r="AC469" s="172">
        <v>42996.328472222223</v>
      </c>
      <c r="AD469" s="32" t="s">
        <v>552</v>
      </c>
    </row>
    <row r="470" spans="1:30">
      <c r="A470" s="184">
        <v>469</v>
      </c>
      <c r="B470" s="184" t="s">
        <v>1539</v>
      </c>
      <c r="C470" s="184" t="s">
        <v>598</v>
      </c>
      <c r="D470" s="127">
        <v>42910</v>
      </c>
      <c r="E470" s="127" t="s">
        <v>598</v>
      </c>
      <c r="F470" s="184" t="s">
        <v>1540</v>
      </c>
      <c r="G470" s="185">
        <v>0</v>
      </c>
      <c r="H470" s="184" t="s">
        <v>598</v>
      </c>
      <c r="I470" s="184" t="s">
        <v>134</v>
      </c>
      <c r="J470" s="184" t="s">
        <v>84</v>
      </c>
      <c r="K470" s="184" t="s">
        <v>266</v>
      </c>
      <c r="L470" s="184" t="s">
        <v>598</v>
      </c>
      <c r="M470" s="184" t="s">
        <v>598</v>
      </c>
      <c r="N470" s="184" t="s">
        <v>79</v>
      </c>
      <c r="O470" s="184" t="s">
        <v>112</v>
      </c>
      <c r="P470" s="186" t="s">
        <v>603</v>
      </c>
      <c r="Q470" s="184" t="s">
        <v>598</v>
      </c>
      <c r="R470" s="184" t="s">
        <v>598</v>
      </c>
      <c r="S470" s="127" t="s">
        <v>598</v>
      </c>
      <c r="T470" s="184" t="s">
        <v>598</v>
      </c>
      <c r="U470" s="184" t="s">
        <v>598</v>
      </c>
      <c r="V470" s="185">
        <v>0</v>
      </c>
      <c r="W470" s="184" t="s">
        <v>485</v>
      </c>
      <c r="X470" s="184" t="s">
        <v>598</v>
      </c>
      <c r="Y470" s="185">
        <v>0</v>
      </c>
      <c r="Z470" s="184" t="s">
        <v>598</v>
      </c>
      <c r="AA470" s="21" t="s">
        <v>610</v>
      </c>
      <c r="AB470" s="176" t="s">
        <v>489</v>
      </c>
      <c r="AC470" s="172">
        <v>42996.328472222223</v>
      </c>
      <c r="AD470" s="32" t="s">
        <v>552</v>
      </c>
    </row>
    <row r="471" spans="1:30">
      <c r="A471" s="184">
        <v>470</v>
      </c>
      <c r="B471" s="184" t="s">
        <v>1541</v>
      </c>
      <c r="C471" s="184" t="s">
        <v>598</v>
      </c>
      <c r="D471" s="127">
        <v>42910</v>
      </c>
      <c r="E471" s="127" t="s">
        <v>598</v>
      </c>
      <c r="F471" s="184" t="s">
        <v>1542</v>
      </c>
      <c r="G471" s="185">
        <v>0</v>
      </c>
      <c r="H471" s="184" t="s">
        <v>598</v>
      </c>
      <c r="I471" s="184" t="s">
        <v>134</v>
      </c>
      <c r="J471" s="184" t="s">
        <v>84</v>
      </c>
      <c r="K471" s="184" t="s">
        <v>254</v>
      </c>
      <c r="L471" s="184" t="s">
        <v>598</v>
      </c>
      <c r="M471" s="184" t="s">
        <v>598</v>
      </c>
      <c r="N471" s="184" t="s">
        <v>79</v>
      </c>
      <c r="O471" s="184" t="s">
        <v>79</v>
      </c>
      <c r="P471" s="186" t="s">
        <v>604</v>
      </c>
      <c r="Q471" s="184" t="s">
        <v>598</v>
      </c>
      <c r="R471" s="184" t="s">
        <v>598</v>
      </c>
      <c r="S471" s="127">
        <v>42915</v>
      </c>
      <c r="T471" s="184" t="s">
        <v>10</v>
      </c>
      <c r="U471" s="184" t="s">
        <v>598</v>
      </c>
      <c r="V471" s="185">
        <v>3000</v>
      </c>
      <c r="W471" s="184" t="s">
        <v>493</v>
      </c>
      <c r="X471" s="184" t="s">
        <v>598</v>
      </c>
      <c r="Y471" s="185">
        <v>0</v>
      </c>
      <c r="Z471" s="184" t="s">
        <v>598</v>
      </c>
      <c r="AA471" s="21" t="s">
        <v>610</v>
      </c>
      <c r="AB471" s="176" t="s">
        <v>489</v>
      </c>
      <c r="AC471" s="172">
        <v>42996.328472222223</v>
      </c>
      <c r="AD471" s="32" t="s">
        <v>552</v>
      </c>
    </row>
    <row r="472" spans="1:30">
      <c r="A472" s="184">
        <v>471</v>
      </c>
      <c r="B472" s="184" t="s">
        <v>1543</v>
      </c>
      <c r="C472" s="184" t="s">
        <v>598</v>
      </c>
      <c r="D472" s="127">
        <v>42910</v>
      </c>
      <c r="E472" s="127" t="s">
        <v>598</v>
      </c>
      <c r="F472" s="184" t="s">
        <v>1544</v>
      </c>
      <c r="G472" s="185">
        <v>0</v>
      </c>
      <c r="H472" s="184" t="s">
        <v>598</v>
      </c>
      <c r="I472" s="184" t="s">
        <v>132</v>
      </c>
      <c r="J472" s="184" t="s">
        <v>84</v>
      </c>
      <c r="K472" s="184" t="s">
        <v>254</v>
      </c>
      <c r="L472" s="184" t="s">
        <v>598</v>
      </c>
      <c r="M472" s="184" t="s">
        <v>598</v>
      </c>
      <c r="N472" s="184" t="s">
        <v>79</v>
      </c>
      <c r="O472" s="184" t="s">
        <v>112</v>
      </c>
      <c r="P472" s="186" t="s">
        <v>605</v>
      </c>
      <c r="Q472" s="184" t="s">
        <v>598</v>
      </c>
      <c r="R472" s="184" t="s">
        <v>598</v>
      </c>
      <c r="S472" s="127">
        <v>42910</v>
      </c>
      <c r="T472" s="184" t="s">
        <v>34</v>
      </c>
      <c r="U472" s="184" t="s">
        <v>598</v>
      </c>
      <c r="V472" s="185">
        <v>5000</v>
      </c>
      <c r="W472" s="184" t="s">
        <v>493</v>
      </c>
      <c r="X472" s="184" t="s">
        <v>598</v>
      </c>
      <c r="Y472" s="185">
        <v>0</v>
      </c>
      <c r="Z472" s="184" t="s">
        <v>598</v>
      </c>
      <c r="AA472" s="21" t="s">
        <v>610</v>
      </c>
      <c r="AB472" s="176" t="s">
        <v>489</v>
      </c>
      <c r="AC472" s="172">
        <v>42996.328472222223</v>
      </c>
      <c r="AD472" s="32" t="s">
        <v>552</v>
      </c>
    </row>
    <row r="473" spans="1:30">
      <c r="A473" s="184">
        <v>472</v>
      </c>
      <c r="B473" s="184" t="s">
        <v>1545</v>
      </c>
      <c r="C473" s="184" t="s">
        <v>598</v>
      </c>
      <c r="D473" s="127">
        <v>42910</v>
      </c>
      <c r="E473" s="127" t="s">
        <v>598</v>
      </c>
      <c r="F473" s="184" t="s">
        <v>1546</v>
      </c>
      <c r="G473" s="185">
        <v>0</v>
      </c>
      <c r="H473" s="184" t="s">
        <v>598</v>
      </c>
      <c r="I473" s="184" t="s">
        <v>50</v>
      </c>
      <c r="J473" s="184" t="s">
        <v>84</v>
      </c>
      <c r="K473" s="184" t="s">
        <v>262</v>
      </c>
      <c r="L473" s="184" t="s">
        <v>598</v>
      </c>
      <c r="M473" s="184" t="s">
        <v>598</v>
      </c>
      <c r="N473" s="184" t="s">
        <v>79</v>
      </c>
      <c r="O473" s="184" t="s">
        <v>112</v>
      </c>
      <c r="P473" s="186" t="s">
        <v>606</v>
      </c>
      <c r="Q473" s="184" t="s">
        <v>598</v>
      </c>
      <c r="R473" s="184" t="s">
        <v>598</v>
      </c>
      <c r="S473" s="127">
        <v>42910</v>
      </c>
      <c r="T473" s="184" t="s">
        <v>34</v>
      </c>
      <c r="U473" s="184" t="s">
        <v>598</v>
      </c>
      <c r="V473" s="185">
        <v>5000</v>
      </c>
      <c r="W473" s="184" t="s">
        <v>493</v>
      </c>
      <c r="X473" s="184" t="s">
        <v>598</v>
      </c>
      <c r="Y473" s="185">
        <v>0</v>
      </c>
      <c r="Z473" s="184" t="s">
        <v>598</v>
      </c>
      <c r="AA473" s="21" t="s">
        <v>610</v>
      </c>
      <c r="AB473" s="176" t="s">
        <v>489</v>
      </c>
      <c r="AC473" s="172">
        <v>42996.328472222223</v>
      </c>
      <c r="AD473" s="32" t="s">
        <v>552</v>
      </c>
    </row>
    <row r="474" spans="1:30">
      <c r="A474" s="184">
        <v>473</v>
      </c>
      <c r="B474" s="184" t="s">
        <v>1547</v>
      </c>
      <c r="C474" s="184" t="s">
        <v>598</v>
      </c>
      <c r="D474" s="127">
        <v>42910</v>
      </c>
      <c r="E474" s="127" t="s">
        <v>598</v>
      </c>
      <c r="F474" s="184" t="s">
        <v>1548</v>
      </c>
      <c r="G474" s="185">
        <v>0</v>
      </c>
      <c r="H474" s="184" t="s">
        <v>598</v>
      </c>
      <c r="I474" s="184" t="s">
        <v>134</v>
      </c>
      <c r="J474" s="184" t="s">
        <v>84</v>
      </c>
      <c r="K474" s="184" t="s">
        <v>598</v>
      </c>
      <c r="L474" s="184" t="s">
        <v>598</v>
      </c>
      <c r="M474" s="184" t="s">
        <v>62</v>
      </c>
      <c r="N474" s="184" t="s">
        <v>79</v>
      </c>
      <c r="O474" s="184" t="s">
        <v>598</v>
      </c>
      <c r="P474" s="186" t="s">
        <v>607</v>
      </c>
      <c r="Q474" s="184" t="s">
        <v>598</v>
      </c>
      <c r="R474" s="184" t="s">
        <v>598</v>
      </c>
      <c r="S474" s="127" t="s">
        <v>598</v>
      </c>
      <c r="T474" s="184" t="s">
        <v>598</v>
      </c>
      <c r="U474" s="184" t="s">
        <v>598</v>
      </c>
      <c r="V474" s="185">
        <v>0</v>
      </c>
      <c r="W474" s="184" t="s">
        <v>485</v>
      </c>
      <c r="X474" s="184" t="s">
        <v>598</v>
      </c>
      <c r="Y474" s="185">
        <v>0</v>
      </c>
      <c r="Z474" s="184" t="s">
        <v>598</v>
      </c>
      <c r="AA474" s="21" t="s">
        <v>610</v>
      </c>
      <c r="AB474" s="176" t="s">
        <v>489</v>
      </c>
      <c r="AC474" s="172">
        <v>42996.328472222223</v>
      </c>
      <c r="AD474" s="32" t="s">
        <v>552</v>
      </c>
    </row>
    <row r="475" spans="1:30">
      <c r="A475" s="184">
        <v>474</v>
      </c>
      <c r="B475" s="184" t="s">
        <v>1549</v>
      </c>
      <c r="C475" s="184" t="s">
        <v>598</v>
      </c>
      <c r="D475" s="127">
        <v>42910</v>
      </c>
      <c r="E475" s="127" t="s">
        <v>598</v>
      </c>
      <c r="F475" s="184" t="s">
        <v>1550</v>
      </c>
      <c r="G475" s="185">
        <v>0</v>
      </c>
      <c r="H475" s="184" t="s">
        <v>598</v>
      </c>
      <c r="I475" s="184" t="s">
        <v>134</v>
      </c>
      <c r="J475" s="184" t="s">
        <v>84</v>
      </c>
      <c r="K475" s="184" t="s">
        <v>272</v>
      </c>
      <c r="L475" s="184" t="s">
        <v>598</v>
      </c>
      <c r="M475" s="184" t="s">
        <v>598</v>
      </c>
      <c r="N475" s="184" t="s">
        <v>79</v>
      </c>
      <c r="O475" s="184" t="s">
        <v>79</v>
      </c>
      <c r="P475" s="186" t="s">
        <v>73</v>
      </c>
      <c r="Q475" s="184" t="s">
        <v>598</v>
      </c>
      <c r="R475" s="184" t="s">
        <v>598</v>
      </c>
      <c r="S475" s="127">
        <v>42912</v>
      </c>
      <c r="T475" s="184" t="s">
        <v>34</v>
      </c>
      <c r="U475" s="184" t="s">
        <v>598</v>
      </c>
      <c r="V475" s="185">
        <v>5000</v>
      </c>
      <c r="W475" s="184" t="s">
        <v>493</v>
      </c>
      <c r="X475" s="184" t="s">
        <v>598</v>
      </c>
      <c r="Y475" s="185">
        <v>0</v>
      </c>
      <c r="Z475" s="184" t="s">
        <v>598</v>
      </c>
      <c r="AA475" s="21" t="s">
        <v>610</v>
      </c>
      <c r="AB475" s="176" t="s">
        <v>489</v>
      </c>
      <c r="AC475" s="172">
        <v>42996.328472222223</v>
      </c>
      <c r="AD475" s="32" t="s">
        <v>552</v>
      </c>
    </row>
    <row r="476" spans="1:30">
      <c r="A476" s="184">
        <v>475</v>
      </c>
      <c r="B476" s="184" t="s">
        <v>1551</v>
      </c>
      <c r="C476" s="184" t="s">
        <v>598</v>
      </c>
      <c r="D476" s="127">
        <v>42910</v>
      </c>
      <c r="E476" s="127" t="s">
        <v>598</v>
      </c>
      <c r="F476" s="184" t="s">
        <v>1552</v>
      </c>
      <c r="G476" s="185">
        <v>0</v>
      </c>
      <c r="H476" s="184" t="s">
        <v>598</v>
      </c>
      <c r="I476" s="184" t="s">
        <v>132</v>
      </c>
      <c r="J476" s="184" t="s">
        <v>84</v>
      </c>
      <c r="K476" s="184" t="s">
        <v>895</v>
      </c>
      <c r="L476" s="184" t="s">
        <v>598</v>
      </c>
      <c r="M476" s="184" t="s">
        <v>598</v>
      </c>
      <c r="N476" s="184" t="s">
        <v>79</v>
      </c>
      <c r="O476" s="184" t="s">
        <v>112</v>
      </c>
      <c r="P476" s="186" t="s">
        <v>601</v>
      </c>
      <c r="Q476" s="184" t="s">
        <v>598</v>
      </c>
      <c r="R476" s="184" t="s">
        <v>598</v>
      </c>
      <c r="S476" s="127" t="s">
        <v>598</v>
      </c>
      <c r="T476" s="184" t="s">
        <v>598</v>
      </c>
      <c r="U476" s="184" t="s">
        <v>598</v>
      </c>
      <c r="V476" s="185">
        <v>0</v>
      </c>
      <c r="W476" s="184" t="s">
        <v>89</v>
      </c>
      <c r="X476" s="184" t="s">
        <v>598</v>
      </c>
      <c r="Y476" s="185">
        <v>0</v>
      </c>
      <c r="Z476" s="184" t="s">
        <v>598</v>
      </c>
      <c r="AA476" s="21" t="s">
        <v>822</v>
      </c>
      <c r="AB476" s="176" t="s">
        <v>489</v>
      </c>
      <c r="AC476" s="172">
        <v>42996.328472222223</v>
      </c>
      <c r="AD476" s="32" t="s">
        <v>552</v>
      </c>
    </row>
    <row r="477" spans="1:30">
      <c r="A477" s="184">
        <v>476</v>
      </c>
      <c r="B477" s="184" t="s">
        <v>1553</v>
      </c>
      <c r="C477" s="184" t="s">
        <v>598</v>
      </c>
      <c r="D477" s="127">
        <v>42912</v>
      </c>
      <c r="E477" s="127" t="s">
        <v>598</v>
      </c>
      <c r="F477" s="184" t="s">
        <v>1546</v>
      </c>
      <c r="G477" s="185">
        <v>0</v>
      </c>
      <c r="H477" s="184" t="s">
        <v>598</v>
      </c>
      <c r="I477" s="184" t="s">
        <v>50</v>
      </c>
      <c r="J477" s="184" t="s">
        <v>84</v>
      </c>
      <c r="K477" s="184" t="s">
        <v>262</v>
      </c>
      <c r="L477" s="184" t="s">
        <v>598</v>
      </c>
      <c r="M477" s="184" t="s">
        <v>598</v>
      </c>
      <c r="N477" s="184" t="s">
        <v>79</v>
      </c>
      <c r="O477" s="184" t="s">
        <v>112</v>
      </c>
      <c r="P477" s="186" t="s">
        <v>32</v>
      </c>
      <c r="Q477" s="184" t="s">
        <v>598</v>
      </c>
      <c r="R477" s="184" t="s">
        <v>598</v>
      </c>
      <c r="S477" s="127" t="s">
        <v>598</v>
      </c>
      <c r="T477" s="184" t="s">
        <v>598</v>
      </c>
      <c r="U477" s="184" t="s">
        <v>598</v>
      </c>
      <c r="V477" s="185">
        <v>0</v>
      </c>
      <c r="W477" s="184" t="s">
        <v>55</v>
      </c>
      <c r="X477" s="184" t="s">
        <v>598</v>
      </c>
      <c r="Y477" s="185">
        <v>0</v>
      </c>
      <c r="Z477" s="184" t="s">
        <v>598</v>
      </c>
      <c r="AA477" s="21" t="s">
        <v>822</v>
      </c>
      <c r="AB477" s="176" t="s">
        <v>489</v>
      </c>
      <c r="AC477" s="172">
        <v>42996.328472222223</v>
      </c>
      <c r="AD477" s="32" t="s">
        <v>552</v>
      </c>
    </row>
    <row r="478" spans="1:30">
      <c r="A478" s="184">
        <v>477</v>
      </c>
      <c r="B478" s="184" t="s">
        <v>1554</v>
      </c>
      <c r="C478" s="184" t="s">
        <v>598</v>
      </c>
      <c r="D478" s="127">
        <v>42912</v>
      </c>
      <c r="E478" s="127" t="s">
        <v>598</v>
      </c>
      <c r="F478" s="184" t="s">
        <v>1555</v>
      </c>
      <c r="G478" s="185">
        <v>0</v>
      </c>
      <c r="H478" s="184" t="s">
        <v>598</v>
      </c>
      <c r="I478" s="184" t="s">
        <v>132</v>
      </c>
      <c r="J478" s="184" t="s">
        <v>84</v>
      </c>
      <c r="K478" s="184" t="s">
        <v>1520</v>
      </c>
      <c r="L478" s="184" t="s">
        <v>598</v>
      </c>
      <c r="M478" s="184" t="s">
        <v>598</v>
      </c>
      <c r="N478" s="184" t="s">
        <v>79</v>
      </c>
      <c r="O478" s="184" t="s">
        <v>79</v>
      </c>
      <c r="P478" s="186" t="s">
        <v>53</v>
      </c>
      <c r="Q478" s="184" t="s">
        <v>598</v>
      </c>
      <c r="R478" s="184" t="s">
        <v>598</v>
      </c>
      <c r="S478" s="127">
        <v>42913</v>
      </c>
      <c r="T478" s="184" t="s">
        <v>34</v>
      </c>
      <c r="U478" s="184" t="s">
        <v>598</v>
      </c>
      <c r="V478" s="185">
        <v>2500</v>
      </c>
      <c r="W478" s="184" t="s">
        <v>493</v>
      </c>
      <c r="X478" s="184" t="s">
        <v>598</v>
      </c>
      <c r="Y478" s="185">
        <v>0</v>
      </c>
      <c r="Z478" s="184" t="s">
        <v>598</v>
      </c>
      <c r="AA478" s="21" t="s">
        <v>610</v>
      </c>
      <c r="AB478" s="176" t="s">
        <v>489</v>
      </c>
      <c r="AC478" s="172">
        <v>42996.328472222223</v>
      </c>
      <c r="AD478" s="32" t="s">
        <v>552</v>
      </c>
    </row>
    <row r="479" spans="1:30">
      <c r="A479" s="184">
        <v>478</v>
      </c>
      <c r="B479" s="184" t="s">
        <v>1556</v>
      </c>
      <c r="C479" s="184" t="s">
        <v>598</v>
      </c>
      <c r="D479" s="127">
        <v>42912</v>
      </c>
      <c r="E479" s="127" t="s">
        <v>598</v>
      </c>
      <c r="F479" s="184" t="s">
        <v>1557</v>
      </c>
      <c r="G479" s="185">
        <v>0</v>
      </c>
      <c r="H479" s="184" t="s">
        <v>598</v>
      </c>
      <c r="I479" s="184" t="s">
        <v>134</v>
      </c>
      <c r="J479" s="184" t="s">
        <v>84</v>
      </c>
      <c r="K479" s="184" t="s">
        <v>173</v>
      </c>
      <c r="L479" s="184" t="s">
        <v>598</v>
      </c>
      <c r="M479" s="184" t="s">
        <v>50</v>
      </c>
      <c r="N479" s="184" t="s">
        <v>79</v>
      </c>
      <c r="O479" s="184" t="s">
        <v>79</v>
      </c>
      <c r="P479" s="186" t="s">
        <v>44</v>
      </c>
      <c r="Q479" s="184" t="s">
        <v>598</v>
      </c>
      <c r="R479" s="184" t="s">
        <v>598</v>
      </c>
      <c r="S479" s="127" t="s">
        <v>598</v>
      </c>
      <c r="T479" s="184" t="s">
        <v>598</v>
      </c>
      <c r="U479" s="184" t="s">
        <v>598</v>
      </c>
      <c r="V479" s="185">
        <v>0</v>
      </c>
      <c r="W479" s="184" t="s">
        <v>89</v>
      </c>
      <c r="X479" s="184" t="s">
        <v>598</v>
      </c>
      <c r="Y479" s="185">
        <v>0</v>
      </c>
      <c r="Z479" s="184" t="s">
        <v>598</v>
      </c>
      <c r="AA479" s="21" t="s">
        <v>822</v>
      </c>
      <c r="AB479" s="176" t="s">
        <v>489</v>
      </c>
      <c r="AC479" s="172">
        <v>42996.328472222223</v>
      </c>
      <c r="AD479" s="32" t="s">
        <v>552</v>
      </c>
    </row>
    <row r="480" spans="1:30">
      <c r="A480" s="184">
        <v>479</v>
      </c>
      <c r="B480" s="184" t="s">
        <v>1558</v>
      </c>
      <c r="C480" s="184" t="s">
        <v>598</v>
      </c>
      <c r="D480" s="127">
        <v>42912</v>
      </c>
      <c r="E480" s="127" t="s">
        <v>598</v>
      </c>
      <c r="F480" s="184" t="s">
        <v>1559</v>
      </c>
      <c r="G480" s="185">
        <v>0</v>
      </c>
      <c r="H480" s="184" t="s">
        <v>598</v>
      </c>
      <c r="I480" s="184" t="s">
        <v>598</v>
      </c>
      <c r="J480" s="184" t="s">
        <v>84</v>
      </c>
      <c r="K480" s="184" t="s">
        <v>598</v>
      </c>
      <c r="L480" s="184" t="s">
        <v>598</v>
      </c>
      <c r="M480" s="184" t="s">
        <v>598</v>
      </c>
      <c r="N480" s="184" t="s">
        <v>79</v>
      </c>
      <c r="O480" s="184" t="s">
        <v>598</v>
      </c>
      <c r="P480" s="186" t="s">
        <v>67</v>
      </c>
      <c r="Q480" s="184" t="s">
        <v>598</v>
      </c>
      <c r="R480" s="184" t="s">
        <v>598</v>
      </c>
      <c r="S480" s="127">
        <v>42913</v>
      </c>
      <c r="T480" s="184" t="s">
        <v>34</v>
      </c>
      <c r="U480" s="184" t="s">
        <v>598</v>
      </c>
      <c r="V480" s="185">
        <v>2500</v>
      </c>
      <c r="W480" s="184" t="s">
        <v>493</v>
      </c>
      <c r="X480" s="184" t="s">
        <v>598</v>
      </c>
      <c r="Y480" s="185">
        <v>0</v>
      </c>
      <c r="Z480" s="184" t="s">
        <v>598</v>
      </c>
      <c r="AA480" s="21" t="s">
        <v>610</v>
      </c>
      <c r="AB480" s="176" t="s">
        <v>489</v>
      </c>
      <c r="AC480" s="172">
        <v>42996.328472222223</v>
      </c>
      <c r="AD480" s="32" t="s">
        <v>552</v>
      </c>
    </row>
    <row r="481" spans="1:30">
      <c r="A481" s="184">
        <v>480</v>
      </c>
      <c r="B481" s="184" t="s">
        <v>1560</v>
      </c>
      <c r="C481" s="184" t="s">
        <v>598</v>
      </c>
      <c r="D481" s="127">
        <v>42912</v>
      </c>
      <c r="E481" s="127" t="s">
        <v>598</v>
      </c>
      <c r="F481" s="184" t="s">
        <v>1561</v>
      </c>
      <c r="G481" s="185">
        <v>0</v>
      </c>
      <c r="H481" s="184" t="s">
        <v>598</v>
      </c>
      <c r="I481" s="184" t="s">
        <v>134</v>
      </c>
      <c r="J481" s="184" t="s">
        <v>84</v>
      </c>
      <c r="K481" s="184" t="s">
        <v>1562</v>
      </c>
      <c r="L481" s="184" t="s">
        <v>598</v>
      </c>
      <c r="M481" s="184" t="s">
        <v>50</v>
      </c>
      <c r="N481" s="184" t="s">
        <v>79</v>
      </c>
      <c r="O481" s="184" t="s">
        <v>112</v>
      </c>
      <c r="P481" s="186" t="s">
        <v>602</v>
      </c>
      <c r="Q481" s="184" t="s">
        <v>598</v>
      </c>
      <c r="R481" s="184" t="s">
        <v>598</v>
      </c>
      <c r="S481" s="127">
        <v>42916</v>
      </c>
      <c r="T481" s="184" t="s">
        <v>10</v>
      </c>
      <c r="U481" s="184" t="s">
        <v>598</v>
      </c>
      <c r="V481" s="185">
        <v>3000</v>
      </c>
      <c r="W481" s="184" t="s">
        <v>493</v>
      </c>
      <c r="X481" s="184" t="s">
        <v>598</v>
      </c>
      <c r="Y481" s="185">
        <v>0</v>
      </c>
      <c r="Z481" s="184" t="s">
        <v>598</v>
      </c>
      <c r="AA481" s="21" t="s">
        <v>610</v>
      </c>
      <c r="AB481" s="176" t="s">
        <v>489</v>
      </c>
      <c r="AC481" s="172">
        <v>42996.328472222223</v>
      </c>
      <c r="AD481" s="32" t="s">
        <v>552</v>
      </c>
    </row>
    <row r="482" spans="1:30">
      <c r="A482" s="184">
        <v>481</v>
      </c>
      <c r="B482" s="184" t="s">
        <v>1563</v>
      </c>
      <c r="C482" s="184" t="s">
        <v>598</v>
      </c>
      <c r="D482" s="127">
        <v>42912</v>
      </c>
      <c r="E482" s="127" t="s">
        <v>598</v>
      </c>
      <c r="F482" s="184" t="s">
        <v>1564</v>
      </c>
      <c r="G482" s="185">
        <v>0</v>
      </c>
      <c r="H482" s="184" t="s">
        <v>598</v>
      </c>
      <c r="I482" s="184" t="s">
        <v>120</v>
      </c>
      <c r="J482" s="184" t="s">
        <v>84</v>
      </c>
      <c r="K482" s="184" t="s">
        <v>254</v>
      </c>
      <c r="L482" s="184" t="s">
        <v>598</v>
      </c>
      <c r="M482" s="184" t="s">
        <v>598</v>
      </c>
      <c r="N482" s="184" t="s">
        <v>79</v>
      </c>
      <c r="O482" s="184" t="s">
        <v>112</v>
      </c>
      <c r="P482" s="186" t="s">
        <v>603</v>
      </c>
      <c r="Q482" s="184" t="s">
        <v>598</v>
      </c>
      <c r="R482" s="184" t="s">
        <v>598</v>
      </c>
      <c r="S482" s="127">
        <v>42915</v>
      </c>
      <c r="T482" s="184" t="s">
        <v>10</v>
      </c>
      <c r="U482" s="184" t="s">
        <v>598</v>
      </c>
      <c r="V482" s="185">
        <v>3000</v>
      </c>
      <c r="W482" s="184" t="s">
        <v>493</v>
      </c>
      <c r="X482" s="184" t="s">
        <v>598</v>
      </c>
      <c r="Y482" s="185">
        <v>0</v>
      </c>
      <c r="Z482" s="184" t="s">
        <v>598</v>
      </c>
      <c r="AA482" s="21" t="s">
        <v>610</v>
      </c>
      <c r="AB482" s="176" t="s">
        <v>489</v>
      </c>
      <c r="AC482" s="172">
        <v>42996.328472222223</v>
      </c>
      <c r="AD482" s="32" t="s">
        <v>552</v>
      </c>
    </row>
    <row r="483" spans="1:30">
      <c r="A483" s="184">
        <v>482</v>
      </c>
      <c r="B483" s="184" t="s">
        <v>1565</v>
      </c>
      <c r="C483" s="184" t="s">
        <v>598</v>
      </c>
      <c r="D483" s="127">
        <v>42912</v>
      </c>
      <c r="E483" s="127" t="s">
        <v>598</v>
      </c>
      <c r="F483" s="184" t="s">
        <v>1566</v>
      </c>
      <c r="G483" s="185">
        <v>0</v>
      </c>
      <c r="H483" s="184" t="s">
        <v>598</v>
      </c>
      <c r="I483" s="184" t="s">
        <v>96</v>
      </c>
      <c r="J483" s="184" t="s">
        <v>84</v>
      </c>
      <c r="K483" s="184" t="s">
        <v>265</v>
      </c>
      <c r="L483" s="184" t="s">
        <v>598</v>
      </c>
      <c r="M483" s="184" t="s">
        <v>62</v>
      </c>
      <c r="N483" s="184" t="s">
        <v>79</v>
      </c>
      <c r="O483" s="184" t="s">
        <v>112</v>
      </c>
      <c r="P483" s="186" t="s">
        <v>604</v>
      </c>
      <c r="Q483" s="184" t="s">
        <v>598</v>
      </c>
      <c r="R483" s="184" t="s">
        <v>598</v>
      </c>
      <c r="S483" s="127" t="s">
        <v>598</v>
      </c>
      <c r="T483" s="184" t="s">
        <v>598</v>
      </c>
      <c r="U483" s="184" t="s">
        <v>598</v>
      </c>
      <c r="V483" s="185">
        <v>0</v>
      </c>
      <c r="W483" s="184" t="s">
        <v>485</v>
      </c>
      <c r="X483" s="184" t="s">
        <v>598</v>
      </c>
      <c r="Y483" s="185">
        <v>0</v>
      </c>
      <c r="Z483" s="184" t="s">
        <v>598</v>
      </c>
      <c r="AA483" s="21" t="s">
        <v>610</v>
      </c>
      <c r="AB483" s="176" t="s">
        <v>489</v>
      </c>
      <c r="AC483" s="172">
        <v>42996.328472222223</v>
      </c>
      <c r="AD483" s="32" t="s">
        <v>552</v>
      </c>
    </row>
    <row r="484" spans="1:30">
      <c r="A484" s="184">
        <v>483</v>
      </c>
      <c r="B484" s="184" t="s">
        <v>1567</v>
      </c>
      <c r="C484" s="184" t="s">
        <v>598</v>
      </c>
      <c r="D484" s="127">
        <v>42913</v>
      </c>
      <c r="E484" s="127" t="s">
        <v>598</v>
      </c>
      <c r="F484" s="184" t="s">
        <v>1568</v>
      </c>
      <c r="G484" s="185">
        <v>0</v>
      </c>
      <c r="H484" s="184" t="s">
        <v>598</v>
      </c>
      <c r="I484" s="184" t="s">
        <v>135</v>
      </c>
      <c r="J484" s="184" t="s">
        <v>84</v>
      </c>
      <c r="K484" s="184" t="s">
        <v>265</v>
      </c>
      <c r="L484" s="184" t="s">
        <v>598</v>
      </c>
      <c r="M484" s="184" t="s">
        <v>598</v>
      </c>
      <c r="N484" s="184" t="s">
        <v>79</v>
      </c>
      <c r="O484" s="184" t="s">
        <v>112</v>
      </c>
      <c r="P484" s="186" t="s">
        <v>605</v>
      </c>
      <c r="Q484" s="184" t="s">
        <v>598</v>
      </c>
      <c r="R484" s="184" t="s">
        <v>598</v>
      </c>
      <c r="S484" s="127" t="s">
        <v>598</v>
      </c>
      <c r="T484" s="184" t="s">
        <v>598</v>
      </c>
      <c r="U484" s="184" t="s">
        <v>598</v>
      </c>
      <c r="V484" s="185">
        <v>0</v>
      </c>
      <c r="W484" s="184" t="s">
        <v>485</v>
      </c>
      <c r="X484" s="184" t="s">
        <v>598</v>
      </c>
      <c r="Y484" s="185">
        <v>0</v>
      </c>
      <c r="Z484" s="184" t="s">
        <v>598</v>
      </c>
      <c r="AA484" s="21" t="s">
        <v>610</v>
      </c>
      <c r="AB484" s="176" t="s">
        <v>489</v>
      </c>
      <c r="AC484" s="172">
        <v>42996.328472222223</v>
      </c>
      <c r="AD484" s="32" t="s">
        <v>552</v>
      </c>
    </row>
    <row r="485" spans="1:30">
      <c r="A485" s="184">
        <v>484</v>
      </c>
      <c r="B485" s="184" t="s">
        <v>1569</v>
      </c>
      <c r="C485" s="184" t="s">
        <v>598</v>
      </c>
      <c r="D485" s="127">
        <v>42913</v>
      </c>
      <c r="E485" s="127" t="s">
        <v>598</v>
      </c>
      <c r="F485" s="184" t="s">
        <v>1570</v>
      </c>
      <c r="G485" s="185">
        <v>0</v>
      </c>
      <c r="H485" s="184" t="s">
        <v>598</v>
      </c>
      <c r="I485" s="184" t="s">
        <v>118</v>
      </c>
      <c r="J485" s="184" t="s">
        <v>84</v>
      </c>
      <c r="K485" s="184" t="s">
        <v>598</v>
      </c>
      <c r="L485" s="184" t="s">
        <v>598</v>
      </c>
      <c r="M485" s="184" t="s">
        <v>598</v>
      </c>
      <c r="N485" s="184" t="s">
        <v>79</v>
      </c>
      <c r="O485" s="184" t="s">
        <v>79</v>
      </c>
      <c r="P485" s="186" t="s">
        <v>606</v>
      </c>
      <c r="Q485" s="184" t="s">
        <v>598</v>
      </c>
      <c r="R485" s="184" t="s">
        <v>598</v>
      </c>
      <c r="S485" s="127" t="s">
        <v>598</v>
      </c>
      <c r="T485" s="184" t="s">
        <v>598</v>
      </c>
      <c r="U485" s="184" t="s">
        <v>598</v>
      </c>
      <c r="V485" s="185">
        <v>0</v>
      </c>
      <c r="W485" s="184" t="s">
        <v>485</v>
      </c>
      <c r="X485" s="184" t="s">
        <v>598</v>
      </c>
      <c r="Y485" s="185">
        <v>0</v>
      </c>
      <c r="Z485" s="184" t="s">
        <v>598</v>
      </c>
      <c r="AA485" s="21" t="s">
        <v>610</v>
      </c>
      <c r="AB485" s="176" t="s">
        <v>489</v>
      </c>
      <c r="AC485" s="172">
        <v>42996.328472222223</v>
      </c>
      <c r="AD485" s="32" t="s">
        <v>552</v>
      </c>
    </row>
    <row r="486" spans="1:30">
      <c r="A486" s="184">
        <v>485</v>
      </c>
      <c r="B486" s="184" t="s">
        <v>1571</v>
      </c>
      <c r="C486" s="184" t="s">
        <v>598</v>
      </c>
      <c r="D486" s="127">
        <v>42913</v>
      </c>
      <c r="E486" s="127" t="s">
        <v>598</v>
      </c>
      <c r="F486" s="184" t="s">
        <v>1572</v>
      </c>
      <c r="G486" s="185">
        <v>0</v>
      </c>
      <c r="H486" s="184" t="s">
        <v>598</v>
      </c>
      <c r="I486" s="184" t="s">
        <v>134</v>
      </c>
      <c r="J486" s="184" t="s">
        <v>84</v>
      </c>
      <c r="K486" s="184" t="s">
        <v>251</v>
      </c>
      <c r="L486" s="184" t="s">
        <v>598</v>
      </c>
      <c r="M486" s="184" t="s">
        <v>50</v>
      </c>
      <c r="N486" s="184" t="s">
        <v>79</v>
      </c>
      <c r="O486" s="184" t="s">
        <v>79</v>
      </c>
      <c r="P486" s="186" t="s">
        <v>607</v>
      </c>
      <c r="Q486" s="184" t="s">
        <v>598</v>
      </c>
      <c r="R486" s="184" t="s">
        <v>598</v>
      </c>
      <c r="S486" s="127">
        <v>42916</v>
      </c>
      <c r="T486" s="184" t="s">
        <v>10</v>
      </c>
      <c r="U486" s="184" t="s">
        <v>598</v>
      </c>
      <c r="V486" s="185">
        <v>4000</v>
      </c>
      <c r="W486" s="184" t="s">
        <v>493</v>
      </c>
      <c r="X486" s="184" t="s">
        <v>598</v>
      </c>
      <c r="Y486" s="185">
        <v>0</v>
      </c>
      <c r="Z486" s="184" t="s">
        <v>598</v>
      </c>
      <c r="AA486" s="21" t="s">
        <v>610</v>
      </c>
      <c r="AB486" s="176" t="s">
        <v>489</v>
      </c>
      <c r="AC486" s="172">
        <v>42996.328472222223</v>
      </c>
      <c r="AD486" s="32" t="s">
        <v>552</v>
      </c>
    </row>
    <row r="487" spans="1:30">
      <c r="A487" s="184">
        <v>486</v>
      </c>
      <c r="B487" s="184" t="s">
        <v>1573</v>
      </c>
      <c r="C487" s="184" t="s">
        <v>598</v>
      </c>
      <c r="D487" s="127">
        <v>42913</v>
      </c>
      <c r="E487" s="127" t="s">
        <v>598</v>
      </c>
      <c r="F487" s="184" t="s">
        <v>1574</v>
      </c>
      <c r="G487" s="185">
        <v>0</v>
      </c>
      <c r="H487" s="184" t="s">
        <v>598</v>
      </c>
      <c r="I487" s="184" t="s">
        <v>107</v>
      </c>
      <c r="J487" s="184" t="s">
        <v>84</v>
      </c>
      <c r="K487" s="184" t="s">
        <v>264</v>
      </c>
      <c r="L487" s="184" t="s">
        <v>598</v>
      </c>
      <c r="M487" s="184" t="s">
        <v>50</v>
      </c>
      <c r="N487" s="184" t="s">
        <v>79</v>
      </c>
      <c r="O487" s="184" t="s">
        <v>79</v>
      </c>
      <c r="P487" s="186" t="s">
        <v>73</v>
      </c>
      <c r="Q487" s="184" t="s">
        <v>598</v>
      </c>
      <c r="R487" s="184" t="s">
        <v>598</v>
      </c>
      <c r="S487" s="127">
        <v>42916</v>
      </c>
      <c r="T487" s="184" t="s">
        <v>10</v>
      </c>
      <c r="U487" s="184" t="s">
        <v>598</v>
      </c>
      <c r="V487" s="185">
        <v>3000</v>
      </c>
      <c r="W487" s="184" t="s">
        <v>493</v>
      </c>
      <c r="X487" s="184" t="s">
        <v>598</v>
      </c>
      <c r="Y487" s="185">
        <v>0</v>
      </c>
      <c r="Z487" s="184" t="s">
        <v>598</v>
      </c>
      <c r="AA487" s="21" t="s">
        <v>610</v>
      </c>
      <c r="AB487" s="176" t="s">
        <v>489</v>
      </c>
      <c r="AC487" s="172">
        <v>42996.328472222223</v>
      </c>
      <c r="AD487" s="32" t="s">
        <v>552</v>
      </c>
    </row>
    <row r="488" spans="1:30">
      <c r="A488" s="184">
        <v>487</v>
      </c>
      <c r="B488" s="184" t="s">
        <v>1575</v>
      </c>
      <c r="C488" s="184" t="s">
        <v>598</v>
      </c>
      <c r="D488" s="127">
        <v>42913</v>
      </c>
      <c r="E488" s="127" t="s">
        <v>598</v>
      </c>
      <c r="F488" s="184" t="s">
        <v>1576</v>
      </c>
      <c r="G488" s="185">
        <v>0</v>
      </c>
      <c r="H488" s="184" t="s">
        <v>598</v>
      </c>
      <c r="I488" s="184" t="s">
        <v>134</v>
      </c>
      <c r="J488" s="184" t="s">
        <v>84</v>
      </c>
      <c r="K488" s="184" t="s">
        <v>273</v>
      </c>
      <c r="L488" s="184" t="s">
        <v>598</v>
      </c>
      <c r="M488" s="184" t="s">
        <v>598</v>
      </c>
      <c r="N488" s="184" t="s">
        <v>79</v>
      </c>
      <c r="O488" s="184" t="s">
        <v>112</v>
      </c>
      <c r="P488" s="186" t="s">
        <v>601</v>
      </c>
      <c r="Q488" s="184" t="s">
        <v>598</v>
      </c>
      <c r="R488" s="184" t="s">
        <v>598</v>
      </c>
      <c r="S488" s="127" t="s">
        <v>598</v>
      </c>
      <c r="T488" s="184" t="s">
        <v>598</v>
      </c>
      <c r="U488" s="184" t="s">
        <v>598</v>
      </c>
      <c r="V488" s="185">
        <v>0</v>
      </c>
      <c r="W488" s="184" t="s">
        <v>485</v>
      </c>
      <c r="X488" s="184" t="s">
        <v>598</v>
      </c>
      <c r="Y488" s="185">
        <v>0</v>
      </c>
      <c r="Z488" s="184" t="s">
        <v>598</v>
      </c>
      <c r="AA488" s="21" t="s">
        <v>610</v>
      </c>
      <c r="AB488" s="176" t="s">
        <v>489</v>
      </c>
      <c r="AC488" s="172">
        <v>42996.328472222223</v>
      </c>
      <c r="AD488" s="32" t="s">
        <v>552</v>
      </c>
    </row>
    <row r="489" spans="1:30">
      <c r="A489" s="184">
        <v>488</v>
      </c>
      <c r="B489" s="184" t="s">
        <v>1577</v>
      </c>
      <c r="C489" s="184" t="s">
        <v>598</v>
      </c>
      <c r="D489" s="127">
        <v>42914</v>
      </c>
      <c r="E489" s="127" t="s">
        <v>598</v>
      </c>
      <c r="F489" s="184" t="s">
        <v>1578</v>
      </c>
      <c r="G489" s="185">
        <v>0</v>
      </c>
      <c r="H489" s="184" t="s">
        <v>598</v>
      </c>
      <c r="I489" s="184" t="s">
        <v>118</v>
      </c>
      <c r="J489" s="184" t="s">
        <v>84</v>
      </c>
      <c r="K489" s="184" t="s">
        <v>274</v>
      </c>
      <c r="L489" s="184" t="s">
        <v>598</v>
      </c>
      <c r="M489" s="184" t="s">
        <v>598</v>
      </c>
      <c r="N489" s="184" t="s">
        <v>79</v>
      </c>
      <c r="O489" s="184" t="s">
        <v>112</v>
      </c>
      <c r="P489" s="186" t="s">
        <v>601</v>
      </c>
      <c r="Q489" s="184" t="s">
        <v>598</v>
      </c>
      <c r="R489" s="184" t="s">
        <v>598</v>
      </c>
      <c r="S489" s="127" t="s">
        <v>598</v>
      </c>
      <c r="T489" s="184" t="s">
        <v>598</v>
      </c>
      <c r="U489" s="184" t="s">
        <v>598</v>
      </c>
      <c r="V489" s="185">
        <v>0</v>
      </c>
      <c r="W489" s="184" t="s">
        <v>89</v>
      </c>
      <c r="X489" s="184" t="s">
        <v>598</v>
      </c>
      <c r="Y489" s="185">
        <v>0</v>
      </c>
      <c r="Z489" s="184" t="s">
        <v>598</v>
      </c>
      <c r="AA489" s="21" t="s">
        <v>822</v>
      </c>
      <c r="AB489" s="176" t="s">
        <v>489</v>
      </c>
      <c r="AC489" s="172">
        <v>42996.328472222223</v>
      </c>
      <c r="AD489" s="32" t="s">
        <v>552</v>
      </c>
    </row>
    <row r="490" spans="1:30">
      <c r="A490" s="184">
        <v>489</v>
      </c>
      <c r="B490" s="184" t="s">
        <v>1579</v>
      </c>
      <c r="C490" s="184" t="s">
        <v>598</v>
      </c>
      <c r="D490" s="127">
        <v>42914</v>
      </c>
      <c r="E490" s="127" t="s">
        <v>598</v>
      </c>
      <c r="F490" s="184" t="s">
        <v>1580</v>
      </c>
      <c r="G490" s="185">
        <v>0</v>
      </c>
      <c r="H490" s="184" t="s">
        <v>598</v>
      </c>
      <c r="I490" s="184" t="s">
        <v>134</v>
      </c>
      <c r="J490" s="184" t="s">
        <v>84</v>
      </c>
      <c r="K490" s="184" t="s">
        <v>265</v>
      </c>
      <c r="L490" s="184" t="s">
        <v>598</v>
      </c>
      <c r="M490" s="184" t="s">
        <v>598</v>
      </c>
      <c r="N490" s="184" t="s">
        <v>79</v>
      </c>
      <c r="O490" s="184" t="s">
        <v>112</v>
      </c>
      <c r="P490" s="186" t="s">
        <v>32</v>
      </c>
      <c r="Q490" s="184" t="s">
        <v>598</v>
      </c>
      <c r="R490" s="184" t="s">
        <v>598</v>
      </c>
      <c r="S490" s="127" t="s">
        <v>598</v>
      </c>
      <c r="T490" s="184" t="s">
        <v>598</v>
      </c>
      <c r="U490" s="184" t="s">
        <v>598</v>
      </c>
      <c r="V490" s="185">
        <v>0</v>
      </c>
      <c r="W490" s="184" t="s">
        <v>557</v>
      </c>
      <c r="X490" s="184" t="s">
        <v>598</v>
      </c>
      <c r="Y490" s="185">
        <v>0</v>
      </c>
      <c r="Z490" s="184" t="s">
        <v>598</v>
      </c>
      <c r="AA490" s="21" t="s">
        <v>822</v>
      </c>
      <c r="AB490" s="176" t="s">
        <v>489</v>
      </c>
      <c r="AC490" s="172">
        <v>42996.328472222223</v>
      </c>
      <c r="AD490" s="32" t="s">
        <v>552</v>
      </c>
    </row>
    <row r="491" spans="1:30">
      <c r="A491" s="184">
        <v>490</v>
      </c>
      <c r="B491" s="184" t="s">
        <v>1581</v>
      </c>
      <c r="C491" s="184" t="s">
        <v>598</v>
      </c>
      <c r="D491" s="127">
        <v>42915</v>
      </c>
      <c r="E491" s="127" t="s">
        <v>598</v>
      </c>
      <c r="F491" s="184" t="s">
        <v>1582</v>
      </c>
      <c r="G491" s="185">
        <v>0</v>
      </c>
      <c r="H491" s="184" t="s">
        <v>598</v>
      </c>
      <c r="I491" s="184" t="s">
        <v>132</v>
      </c>
      <c r="J491" s="184" t="s">
        <v>84</v>
      </c>
      <c r="K491" s="184" t="s">
        <v>598</v>
      </c>
      <c r="L491" s="184" t="s">
        <v>598</v>
      </c>
      <c r="M491" s="184" t="s">
        <v>598</v>
      </c>
      <c r="N491" s="184" t="s">
        <v>79</v>
      </c>
      <c r="O491" s="184" t="s">
        <v>79</v>
      </c>
      <c r="P491" s="186" t="s">
        <v>53</v>
      </c>
      <c r="Q491" s="184" t="s">
        <v>598</v>
      </c>
      <c r="R491" s="184" t="s">
        <v>598</v>
      </c>
      <c r="S491" s="127" t="s">
        <v>598</v>
      </c>
      <c r="T491" s="184" t="s">
        <v>598</v>
      </c>
      <c r="U491" s="184" t="s">
        <v>598</v>
      </c>
      <c r="V491" s="185">
        <v>0</v>
      </c>
      <c r="W491" s="184" t="s">
        <v>89</v>
      </c>
      <c r="X491" s="184" t="s">
        <v>598</v>
      </c>
      <c r="Y491" s="185">
        <v>0</v>
      </c>
      <c r="Z491" s="184" t="s">
        <v>598</v>
      </c>
      <c r="AA491" s="21" t="s">
        <v>822</v>
      </c>
      <c r="AB491" s="176" t="s">
        <v>489</v>
      </c>
      <c r="AC491" s="172">
        <v>42996.328472222223</v>
      </c>
      <c r="AD491" s="32" t="s">
        <v>552</v>
      </c>
    </row>
    <row r="492" spans="1:30">
      <c r="A492" s="184">
        <v>491</v>
      </c>
      <c r="B492" s="184" t="s">
        <v>1583</v>
      </c>
      <c r="C492" s="184" t="s">
        <v>598</v>
      </c>
      <c r="D492" s="127">
        <v>42915</v>
      </c>
      <c r="E492" s="127" t="s">
        <v>598</v>
      </c>
      <c r="F492" s="184" t="s">
        <v>1584</v>
      </c>
      <c r="G492" s="185">
        <v>0</v>
      </c>
      <c r="H492" s="184" t="s">
        <v>598</v>
      </c>
      <c r="I492" s="184" t="s">
        <v>864</v>
      </c>
      <c r="J492" s="184" t="s">
        <v>84</v>
      </c>
      <c r="K492" s="184" t="s">
        <v>598</v>
      </c>
      <c r="L492" s="184" t="s">
        <v>598</v>
      </c>
      <c r="M492" s="184" t="s">
        <v>598</v>
      </c>
      <c r="N492" s="184" t="s">
        <v>79</v>
      </c>
      <c r="O492" s="184" t="s">
        <v>598</v>
      </c>
      <c r="P492" s="186" t="s">
        <v>44</v>
      </c>
      <c r="Q492" s="184" t="s">
        <v>598</v>
      </c>
      <c r="R492" s="184" t="s">
        <v>598</v>
      </c>
      <c r="S492" s="127">
        <v>42915</v>
      </c>
      <c r="T492" s="184" t="s">
        <v>34</v>
      </c>
      <c r="U492" s="184" t="s">
        <v>598</v>
      </c>
      <c r="V492" s="185">
        <v>1000</v>
      </c>
      <c r="W492" s="184" t="s">
        <v>493</v>
      </c>
      <c r="X492" s="184" t="s">
        <v>598</v>
      </c>
      <c r="Y492" s="185">
        <v>0</v>
      </c>
      <c r="Z492" s="184" t="s">
        <v>598</v>
      </c>
      <c r="AA492" s="21" t="s">
        <v>610</v>
      </c>
      <c r="AB492" s="176" t="s">
        <v>489</v>
      </c>
      <c r="AC492" s="172">
        <v>42996.328472222223</v>
      </c>
      <c r="AD492" s="32" t="s">
        <v>552</v>
      </c>
    </row>
    <row r="493" spans="1:30">
      <c r="A493" s="184">
        <v>492</v>
      </c>
      <c r="B493" s="184" t="s">
        <v>1585</v>
      </c>
      <c r="C493" s="184" t="s">
        <v>598</v>
      </c>
      <c r="D493" s="127">
        <v>42915</v>
      </c>
      <c r="E493" s="127" t="s">
        <v>598</v>
      </c>
      <c r="F493" s="184" t="s">
        <v>1586</v>
      </c>
      <c r="G493" s="185">
        <v>0</v>
      </c>
      <c r="H493" s="184" t="s">
        <v>598</v>
      </c>
      <c r="I493" s="184" t="s">
        <v>135</v>
      </c>
      <c r="J493" s="184" t="s">
        <v>84</v>
      </c>
      <c r="K493" s="184" t="s">
        <v>598</v>
      </c>
      <c r="L493" s="184" t="s">
        <v>598</v>
      </c>
      <c r="M493" s="184" t="s">
        <v>598</v>
      </c>
      <c r="N493" s="184" t="s">
        <v>79</v>
      </c>
      <c r="O493" s="184" t="s">
        <v>112</v>
      </c>
      <c r="P493" s="186" t="s">
        <v>67</v>
      </c>
      <c r="Q493" s="184" t="s">
        <v>598</v>
      </c>
      <c r="R493" s="184" t="s">
        <v>598</v>
      </c>
      <c r="S493" s="127" t="s">
        <v>598</v>
      </c>
      <c r="T493" s="184" t="s">
        <v>598</v>
      </c>
      <c r="U493" s="184" t="s">
        <v>598</v>
      </c>
      <c r="V493" s="185">
        <v>0</v>
      </c>
      <c r="W493" s="184" t="s">
        <v>89</v>
      </c>
      <c r="X493" s="184" t="s">
        <v>598</v>
      </c>
      <c r="Y493" s="185">
        <v>0</v>
      </c>
      <c r="Z493" s="184" t="s">
        <v>598</v>
      </c>
      <c r="AA493" s="21" t="s">
        <v>822</v>
      </c>
      <c r="AB493" s="176" t="s">
        <v>489</v>
      </c>
      <c r="AC493" s="172">
        <v>42996.328472222223</v>
      </c>
      <c r="AD493" s="32" t="s">
        <v>552</v>
      </c>
    </row>
    <row r="494" spans="1:30">
      <c r="A494" s="184">
        <v>493</v>
      </c>
      <c r="B494" s="184" t="s">
        <v>1587</v>
      </c>
      <c r="C494" s="184" t="s">
        <v>598</v>
      </c>
      <c r="D494" s="127">
        <v>42916</v>
      </c>
      <c r="E494" s="127" t="s">
        <v>598</v>
      </c>
      <c r="F494" s="184" t="s">
        <v>1588</v>
      </c>
      <c r="G494" s="185">
        <v>0</v>
      </c>
      <c r="H494" s="184" t="s">
        <v>598</v>
      </c>
      <c r="I494" s="184" t="s">
        <v>134</v>
      </c>
      <c r="J494" s="184" t="s">
        <v>84</v>
      </c>
      <c r="K494" s="184" t="s">
        <v>264</v>
      </c>
      <c r="L494" s="184" t="s">
        <v>598</v>
      </c>
      <c r="M494" s="184" t="s">
        <v>598</v>
      </c>
      <c r="N494" s="184" t="s">
        <v>79</v>
      </c>
      <c r="O494" s="184" t="s">
        <v>79</v>
      </c>
      <c r="P494" s="186" t="s">
        <v>602</v>
      </c>
      <c r="Q494" s="184" t="s">
        <v>598</v>
      </c>
      <c r="R494" s="184" t="s">
        <v>598</v>
      </c>
      <c r="S494" s="127" t="s">
        <v>598</v>
      </c>
      <c r="T494" s="184" t="s">
        <v>598</v>
      </c>
      <c r="U494" s="184" t="s">
        <v>598</v>
      </c>
      <c r="V494" s="185">
        <v>0</v>
      </c>
      <c r="W494" s="184" t="s">
        <v>89</v>
      </c>
      <c r="X494" s="184" t="s">
        <v>598</v>
      </c>
      <c r="Y494" s="185">
        <v>0</v>
      </c>
      <c r="Z494" s="184" t="s">
        <v>598</v>
      </c>
      <c r="AA494" s="21" t="s">
        <v>822</v>
      </c>
      <c r="AB494" s="176" t="s">
        <v>489</v>
      </c>
      <c r="AC494" s="172">
        <v>42996.328472222223</v>
      </c>
      <c r="AD494" s="32" t="s">
        <v>552</v>
      </c>
    </row>
    <row r="495" spans="1:30">
      <c r="A495" s="184">
        <v>494</v>
      </c>
      <c r="B495" s="184" t="s">
        <v>1589</v>
      </c>
      <c r="C495" s="184" t="s">
        <v>598</v>
      </c>
      <c r="D495" s="127">
        <v>42916</v>
      </c>
      <c r="E495" s="127" t="s">
        <v>598</v>
      </c>
      <c r="F495" s="184" t="s">
        <v>1590</v>
      </c>
      <c r="G495" s="185">
        <v>0</v>
      </c>
      <c r="H495" s="184" t="s">
        <v>598</v>
      </c>
      <c r="I495" s="184" t="s">
        <v>134</v>
      </c>
      <c r="J495" s="184" t="s">
        <v>84</v>
      </c>
      <c r="K495" s="184" t="s">
        <v>228</v>
      </c>
      <c r="L495" s="184" t="s">
        <v>598</v>
      </c>
      <c r="M495" s="184" t="s">
        <v>598</v>
      </c>
      <c r="N495" s="184" t="s">
        <v>79</v>
      </c>
      <c r="O495" s="184" t="s">
        <v>79</v>
      </c>
      <c r="P495" s="186" t="s">
        <v>603</v>
      </c>
      <c r="Q495" s="184" t="s">
        <v>598</v>
      </c>
      <c r="R495" s="184" t="s">
        <v>598</v>
      </c>
      <c r="S495" s="127" t="s">
        <v>598</v>
      </c>
      <c r="T495" s="184" t="s">
        <v>598</v>
      </c>
      <c r="U495" s="184" t="s">
        <v>598</v>
      </c>
      <c r="V495" s="185">
        <v>0</v>
      </c>
      <c r="W495" s="184" t="s">
        <v>89</v>
      </c>
      <c r="X495" s="184" t="s">
        <v>598</v>
      </c>
      <c r="Y495" s="185">
        <v>0</v>
      </c>
      <c r="Z495" s="184" t="s">
        <v>598</v>
      </c>
      <c r="AA495" s="21" t="s">
        <v>822</v>
      </c>
      <c r="AB495" s="176" t="s">
        <v>489</v>
      </c>
      <c r="AC495" s="172">
        <v>42996.328472222223</v>
      </c>
      <c r="AD495" s="32" t="s">
        <v>552</v>
      </c>
    </row>
    <row r="496" spans="1:30">
      <c r="A496" s="184">
        <v>495</v>
      </c>
      <c r="B496" s="184" t="s">
        <v>1591</v>
      </c>
      <c r="C496" s="184" t="s">
        <v>598</v>
      </c>
      <c r="D496" s="127">
        <v>42895</v>
      </c>
      <c r="E496" s="127" t="s">
        <v>598</v>
      </c>
      <c r="F496" s="184" t="s">
        <v>126</v>
      </c>
      <c r="G496" s="185">
        <v>0</v>
      </c>
      <c r="H496" s="184" t="s">
        <v>598</v>
      </c>
      <c r="I496" s="184" t="s">
        <v>598</v>
      </c>
      <c r="J496" s="184" t="s">
        <v>84</v>
      </c>
      <c r="K496" s="184" t="s">
        <v>598</v>
      </c>
      <c r="L496" s="184" t="s">
        <v>598</v>
      </c>
      <c r="M496" s="184" t="s">
        <v>275</v>
      </c>
      <c r="N496" s="184" t="s">
        <v>79</v>
      </c>
      <c r="O496" s="184" t="s">
        <v>598</v>
      </c>
      <c r="P496" s="186" t="s">
        <v>604</v>
      </c>
      <c r="Q496" s="184" t="s">
        <v>598</v>
      </c>
      <c r="R496" s="184" t="s">
        <v>804</v>
      </c>
      <c r="S496" s="127">
        <v>42895</v>
      </c>
      <c r="T496" s="184" t="s">
        <v>34</v>
      </c>
      <c r="U496" s="184" t="s">
        <v>598</v>
      </c>
      <c r="V496" s="185">
        <v>1000</v>
      </c>
      <c r="W496" s="184" t="s">
        <v>493</v>
      </c>
      <c r="X496" s="184" t="s">
        <v>598</v>
      </c>
      <c r="Y496" s="185">
        <v>0</v>
      </c>
      <c r="Z496" s="184" t="s">
        <v>598</v>
      </c>
      <c r="AA496" s="21" t="s">
        <v>610</v>
      </c>
      <c r="AB496" s="176" t="s">
        <v>489</v>
      </c>
      <c r="AC496" s="172">
        <v>42996.328472222223</v>
      </c>
      <c r="AD496" s="32" t="s">
        <v>552</v>
      </c>
    </row>
    <row r="497" spans="1:30">
      <c r="A497" s="184">
        <v>496</v>
      </c>
      <c r="B497" s="184" t="s">
        <v>1592</v>
      </c>
      <c r="C497" s="184" t="s">
        <v>598</v>
      </c>
      <c r="D497" s="127">
        <v>42900</v>
      </c>
      <c r="E497" s="127" t="s">
        <v>598</v>
      </c>
      <c r="F497" s="184" t="s">
        <v>598</v>
      </c>
      <c r="G497" s="185">
        <v>0</v>
      </c>
      <c r="H497" s="184" t="s">
        <v>598</v>
      </c>
      <c r="I497" s="184" t="s">
        <v>598</v>
      </c>
      <c r="J497" s="184" t="s">
        <v>84</v>
      </c>
      <c r="K497" s="184" t="s">
        <v>598</v>
      </c>
      <c r="L497" s="184" t="s">
        <v>598</v>
      </c>
      <c r="M497" s="184" t="s">
        <v>275</v>
      </c>
      <c r="N497" s="184" t="s">
        <v>79</v>
      </c>
      <c r="O497" s="184" t="s">
        <v>598</v>
      </c>
      <c r="P497" s="186" t="s">
        <v>605</v>
      </c>
      <c r="Q497" s="184" t="s">
        <v>598</v>
      </c>
      <c r="R497" s="184" t="s">
        <v>804</v>
      </c>
      <c r="S497" s="127">
        <v>42900</v>
      </c>
      <c r="T497" s="184" t="s">
        <v>34</v>
      </c>
      <c r="U497" s="184" t="s">
        <v>598</v>
      </c>
      <c r="V497" s="185">
        <v>3000</v>
      </c>
      <c r="W497" s="184" t="s">
        <v>493</v>
      </c>
      <c r="X497" s="184" t="s">
        <v>598</v>
      </c>
      <c r="Y497" s="185">
        <v>0</v>
      </c>
      <c r="Z497" s="184" t="s">
        <v>598</v>
      </c>
      <c r="AA497" s="21" t="s">
        <v>610</v>
      </c>
      <c r="AB497" s="176" t="s">
        <v>489</v>
      </c>
      <c r="AC497" s="172">
        <v>42996.328472222223</v>
      </c>
      <c r="AD497" s="32" t="s">
        <v>552</v>
      </c>
    </row>
    <row r="498" spans="1:30">
      <c r="A498" s="184">
        <v>497</v>
      </c>
      <c r="B498" s="184" t="s">
        <v>1593</v>
      </c>
      <c r="C498" s="184" t="s">
        <v>598</v>
      </c>
      <c r="D498" s="127">
        <v>42902</v>
      </c>
      <c r="E498" s="127" t="s">
        <v>598</v>
      </c>
      <c r="F498" s="184" t="s">
        <v>1594</v>
      </c>
      <c r="G498" s="185">
        <v>0</v>
      </c>
      <c r="H498" s="184" t="s">
        <v>598</v>
      </c>
      <c r="I498" s="184" t="s">
        <v>598</v>
      </c>
      <c r="J498" s="184" t="s">
        <v>84</v>
      </c>
      <c r="K498" s="184" t="s">
        <v>598</v>
      </c>
      <c r="L498" s="184" t="s">
        <v>598</v>
      </c>
      <c r="M498" s="184" t="s">
        <v>275</v>
      </c>
      <c r="N498" s="184" t="s">
        <v>79</v>
      </c>
      <c r="O498" s="184" t="s">
        <v>598</v>
      </c>
      <c r="P498" s="186" t="s">
        <v>606</v>
      </c>
      <c r="Q498" s="184" t="s">
        <v>598</v>
      </c>
      <c r="R498" s="184" t="s">
        <v>804</v>
      </c>
      <c r="S498" s="127">
        <v>42902</v>
      </c>
      <c r="T498" s="184" t="s">
        <v>10</v>
      </c>
      <c r="U498" s="184" t="s">
        <v>598</v>
      </c>
      <c r="V498" s="185">
        <v>3000</v>
      </c>
      <c r="W498" s="184" t="s">
        <v>493</v>
      </c>
      <c r="X498" s="184" t="s">
        <v>598</v>
      </c>
      <c r="Y498" s="185">
        <v>0</v>
      </c>
      <c r="Z498" s="184" t="s">
        <v>598</v>
      </c>
      <c r="AA498" s="21" t="s">
        <v>610</v>
      </c>
      <c r="AB498" s="176" t="s">
        <v>489</v>
      </c>
      <c r="AC498" s="172">
        <v>42996.328472222223</v>
      </c>
      <c r="AD498" s="32" t="s">
        <v>552</v>
      </c>
    </row>
    <row r="499" spans="1:30">
      <c r="A499" s="184">
        <v>498</v>
      </c>
      <c r="B499" s="184" t="s">
        <v>1595</v>
      </c>
      <c r="C499" s="184" t="s">
        <v>598</v>
      </c>
      <c r="D499" s="127">
        <v>42902</v>
      </c>
      <c r="E499" s="127" t="s">
        <v>598</v>
      </c>
      <c r="F499" s="184" t="s">
        <v>1596</v>
      </c>
      <c r="G499" s="185">
        <v>0</v>
      </c>
      <c r="H499" s="184" t="s">
        <v>598</v>
      </c>
      <c r="I499" s="184" t="s">
        <v>598</v>
      </c>
      <c r="J499" s="184" t="s">
        <v>84</v>
      </c>
      <c r="K499" s="184" t="s">
        <v>598</v>
      </c>
      <c r="L499" s="184" t="s">
        <v>598</v>
      </c>
      <c r="M499" s="184" t="s">
        <v>275</v>
      </c>
      <c r="N499" s="184" t="s">
        <v>79</v>
      </c>
      <c r="O499" s="184" t="s">
        <v>598</v>
      </c>
      <c r="P499" s="186" t="s">
        <v>607</v>
      </c>
      <c r="Q499" s="184" t="s">
        <v>598</v>
      </c>
      <c r="R499" s="184" t="s">
        <v>804</v>
      </c>
      <c r="S499" s="127">
        <v>42902</v>
      </c>
      <c r="T499" s="184" t="s">
        <v>34</v>
      </c>
      <c r="U499" s="184" t="s">
        <v>598</v>
      </c>
      <c r="V499" s="185">
        <v>1500</v>
      </c>
      <c r="W499" s="184" t="s">
        <v>493</v>
      </c>
      <c r="X499" s="184" t="s">
        <v>598</v>
      </c>
      <c r="Y499" s="185">
        <v>0</v>
      </c>
      <c r="Z499" s="184" t="s">
        <v>598</v>
      </c>
      <c r="AA499" s="21" t="s">
        <v>610</v>
      </c>
      <c r="AB499" s="176" t="s">
        <v>489</v>
      </c>
      <c r="AC499" s="172">
        <v>42996.328472222223</v>
      </c>
      <c r="AD499" s="32" t="s">
        <v>552</v>
      </c>
    </row>
    <row r="500" spans="1:30">
      <c r="A500" s="184">
        <v>499</v>
      </c>
      <c r="B500" s="184" t="s">
        <v>1597</v>
      </c>
      <c r="C500" s="184" t="s">
        <v>598</v>
      </c>
      <c r="D500" s="127">
        <v>42681</v>
      </c>
      <c r="E500" s="127" t="s">
        <v>598</v>
      </c>
      <c r="F500" s="184" t="s">
        <v>1598</v>
      </c>
      <c r="G500" s="185">
        <v>0</v>
      </c>
      <c r="H500" s="184" t="s">
        <v>598</v>
      </c>
      <c r="I500" s="184" t="s">
        <v>134</v>
      </c>
      <c r="J500" s="184" t="s">
        <v>84</v>
      </c>
      <c r="K500" s="184" t="s">
        <v>276</v>
      </c>
      <c r="L500" s="184" t="s">
        <v>598</v>
      </c>
      <c r="M500" s="184" t="s">
        <v>598</v>
      </c>
      <c r="N500" s="184" t="s">
        <v>79</v>
      </c>
      <c r="O500" s="184" t="s">
        <v>79</v>
      </c>
      <c r="P500" s="186" t="s">
        <v>73</v>
      </c>
      <c r="Q500" s="184" t="s">
        <v>598</v>
      </c>
      <c r="R500" s="184" t="s">
        <v>598</v>
      </c>
      <c r="S500" s="127" t="s">
        <v>598</v>
      </c>
      <c r="T500" s="184" t="s">
        <v>598</v>
      </c>
      <c r="U500" s="184" t="s">
        <v>598</v>
      </c>
      <c r="V500" s="185">
        <v>0</v>
      </c>
      <c r="W500" s="184" t="s">
        <v>485</v>
      </c>
      <c r="X500" s="184" t="s">
        <v>598</v>
      </c>
      <c r="Y500" s="185">
        <v>0</v>
      </c>
      <c r="Z500" s="184" t="s">
        <v>598</v>
      </c>
      <c r="AA500" s="21" t="s">
        <v>610</v>
      </c>
      <c r="AB500" s="176" t="s">
        <v>489</v>
      </c>
      <c r="AC500" s="172">
        <v>42996.328472222223</v>
      </c>
      <c r="AD500" s="32" t="s">
        <v>552</v>
      </c>
    </row>
    <row r="501" spans="1:30">
      <c r="A501" s="184">
        <v>500</v>
      </c>
      <c r="B501" s="184" t="s">
        <v>1599</v>
      </c>
      <c r="C501" s="184" t="s">
        <v>598</v>
      </c>
      <c r="D501" s="127">
        <v>42682</v>
      </c>
      <c r="E501" s="127" t="s">
        <v>598</v>
      </c>
      <c r="F501" s="184" t="s">
        <v>1600</v>
      </c>
      <c r="G501" s="185">
        <v>0</v>
      </c>
      <c r="H501" s="184" t="s">
        <v>598</v>
      </c>
      <c r="I501" s="184" t="s">
        <v>134</v>
      </c>
      <c r="J501" s="184" t="s">
        <v>84</v>
      </c>
      <c r="K501" s="184" t="s">
        <v>171</v>
      </c>
      <c r="L501" s="184" t="s">
        <v>598</v>
      </c>
      <c r="M501" s="184" t="s">
        <v>598</v>
      </c>
      <c r="N501" s="184" t="s">
        <v>79</v>
      </c>
      <c r="O501" s="184" t="s">
        <v>112</v>
      </c>
      <c r="P501" s="186" t="s">
        <v>601</v>
      </c>
      <c r="Q501" s="184" t="s">
        <v>598</v>
      </c>
      <c r="R501" s="184" t="s">
        <v>598</v>
      </c>
      <c r="S501" s="127" t="s">
        <v>598</v>
      </c>
      <c r="T501" s="184" t="s">
        <v>598</v>
      </c>
      <c r="U501" s="184" t="s">
        <v>598</v>
      </c>
      <c r="V501" s="185">
        <v>0</v>
      </c>
      <c r="W501" s="184" t="s">
        <v>485</v>
      </c>
      <c r="X501" s="184" t="s">
        <v>598</v>
      </c>
      <c r="Y501" s="185">
        <v>0</v>
      </c>
      <c r="Z501" s="184" t="s">
        <v>598</v>
      </c>
      <c r="AA501" s="21" t="s">
        <v>610</v>
      </c>
      <c r="AB501" s="176" t="s">
        <v>489</v>
      </c>
      <c r="AC501" s="172">
        <v>42996.328472222223</v>
      </c>
      <c r="AD501" s="32" t="s">
        <v>552</v>
      </c>
    </row>
    <row r="502" spans="1:30">
      <c r="A502" s="184">
        <v>501</v>
      </c>
      <c r="B502" s="184" t="s">
        <v>1601</v>
      </c>
      <c r="C502" s="184" t="s">
        <v>598</v>
      </c>
      <c r="D502" s="127">
        <v>42724</v>
      </c>
      <c r="E502" s="127" t="s">
        <v>598</v>
      </c>
      <c r="F502" s="184" t="s">
        <v>1602</v>
      </c>
      <c r="G502" s="185">
        <v>0</v>
      </c>
      <c r="H502" s="184" t="s">
        <v>598</v>
      </c>
      <c r="I502" s="184" t="s">
        <v>118</v>
      </c>
      <c r="J502" s="184" t="s">
        <v>84</v>
      </c>
      <c r="K502" s="184" t="s">
        <v>192</v>
      </c>
      <c r="L502" s="184" t="s">
        <v>598</v>
      </c>
      <c r="M502" s="184" t="s">
        <v>598</v>
      </c>
      <c r="N502" s="184" t="s">
        <v>79</v>
      </c>
      <c r="O502" s="184" t="s">
        <v>79</v>
      </c>
      <c r="P502" s="186" t="s">
        <v>32</v>
      </c>
      <c r="Q502" s="184" t="s">
        <v>598</v>
      </c>
      <c r="R502" s="184" t="s">
        <v>598</v>
      </c>
      <c r="S502" s="127" t="s">
        <v>598</v>
      </c>
      <c r="T502" s="184" t="s">
        <v>598</v>
      </c>
      <c r="U502" s="184" t="s">
        <v>598</v>
      </c>
      <c r="V502" s="185">
        <v>0</v>
      </c>
      <c r="W502" s="184" t="s">
        <v>485</v>
      </c>
      <c r="X502" s="184" t="s">
        <v>598</v>
      </c>
      <c r="Y502" s="185">
        <v>0</v>
      </c>
      <c r="Z502" s="184" t="s">
        <v>598</v>
      </c>
      <c r="AA502" s="21" t="s">
        <v>610</v>
      </c>
      <c r="AB502" s="176" t="s">
        <v>489</v>
      </c>
      <c r="AC502" s="172">
        <v>42996.328472222223</v>
      </c>
      <c r="AD502" s="32" t="s">
        <v>552</v>
      </c>
    </row>
    <row r="503" spans="1:30">
      <c r="A503" s="184">
        <v>502</v>
      </c>
      <c r="B503" s="184" t="s">
        <v>1603</v>
      </c>
      <c r="C503" s="184" t="s">
        <v>598</v>
      </c>
      <c r="D503" s="127">
        <v>42746</v>
      </c>
      <c r="E503" s="127" t="s">
        <v>598</v>
      </c>
      <c r="F503" s="184" t="s">
        <v>1604</v>
      </c>
      <c r="G503" s="185">
        <v>0</v>
      </c>
      <c r="H503" s="184" t="s">
        <v>598</v>
      </c>
      <c r="I503" s="184" t="s">
        <v>134</v>
      </c>
      <c r="J503" s="184" t="s">
        <v>84</v>
      </c>
      <c r="K503" s="184" t="s">
        <v>598</v>
      </c>
      <c r="L503" s="184" t="s">
        <v>598</v>
      </c>
      <c r="M503" s="184" t="s">
        <v>41</v>
      </c>
      <c r="N503" s="184" t="s">
        <v>79</v>
      </c>
      <c r="O503" s="184" t="s">
        <v>112</v>
      </c>
      <c r="P503" s="186" t="s">
        <v>53</v>
      </c>
      <c r="Q503" s="184" t="s">
        <v>598</v>
      </c>
      <c r="R503" s="184" t="s">
        <v>598</v>
      </c>
      <c r="S503" s="127" t="s">
        <v>598</v>
      </c>
      <c r="T503" s="184" t="s">
        <v>598</v>
      </c>
      <c r="U503" s="184" t="s">
        <v>598</v>
      </c>
      <c r="V503" s="185">
        <v>0</v>
      </c>
      <c r="W503" s="184" t="s">
        <v>485</v>
      </c>
      <c r="X503" s="184" t="s">
        <v>598</v>
      </c>
      <c r="Y503" s="185">
        <v>0</v>
      </c>
      <c r="Z503" s="184" t="s">
        <v>598</v>
      </c>
      <c r="AA503" s="21" t="s">
        <v>610</v>
      </c>
      <c r="AB503" s="176" t="s">
        <v>489</v>
      </c>
      <c r="AC503" s="172">
        <v>42996.328472222223</v>
      </c>
      <c r="AD503" s="32" t="s">
        <v>552</v>
      </c>
    </row>
    <row r="504" spans="1:30">
      <c r="A504" s="184">
        <v>503</v>
      </c>
      <c r="B504" s="184" t="s">
        <v>1605</v>
      </c>
      <c r="C504" s="184" t="s">
        <v>598</v>
      </c>
      <c r="D504" s="127">
        <v>42758</v>
      </c>
      <c r="E504" s="127" t="s">
        <v>598</v>
      </c>
      <c r="F504" s="184" t="s">
        <v>1606</v>
      </c>
      <c r="G504" s="185">
        <v>8184000</v>
      </c>
      <c r="H504" s="184" t="s">
        <v>598</v>
      </c>
      <c r="I504" s="184" t="s">
        <v>134</v>
      </c>
      <c r="J504" s="184" t="s">
        <v>84</v>
      </c>
      <c r="K504" s="184" t="s">
        <v>195</v>
      </c>
      <c r="L504" s="184" t="s">
        <v>598</v>
      </c>
      <c r="M504" s="184" t="s">
        <v>62</v>
      </c>
      <c r="N504" s="184" t="s">
        <v>79</v>
      </c>
      <c r="O504" s="184" t="s">
        <v>79</v>
      </c>
      <c r="P504" s="186" t="s">
        <v>44</v>
      </c>
      <c r="Q504" s="184" t="s">
        <v>598</v>
      </c>
      <c r="R504" s="184" t="s">
        <v>598</v>
      </c>
      <c r="S504" s="127">
        <v>42915</v>
      </c>
      <c r="T504" s="184" t="s">
        <v>34</v>
      </c>
      <c r="U504" s="184" t="s">
        <v>598</v>
      </c>
      <c r="V504" s="185">
        <v>4000</v>
      </c>
      <c r="W504" s="184" t="s">
        <v>493</v>
      </c>
      <c r="X504" s="184" t="s">
        <v>598</v>
      </c>
      <c r="Y504" s="185">
        <v>0</v>
      </c>
      <c r="Z504" s="184" t="s">
        <v>598</v>
      </c>
      <c r="AA504" s="21" t="s">
        <v>610</v>
      </c>
      <c r="AB504" s="176" t="s">
        <v>489</v>
      </c>
      <c r="AC504" s="172">
        <v>42996.328472222223</v>
      </c>
      <c r="AD504" s="32" t="s">
        <v>552</v>
      </c>
    </row>
    <row r="505" spans="1:30">
      <c r="A505" s="184">
        <v>504</v>
      </c>
      <c r="B505" s="184" t="s">
        <v>1607</v>
      </c>
      <c r="C505" s="184" t="s">
        <v>598</v>
      </c>
      <c r="D505" s="127">
        <v>42758</v>
      </c>
      <c r="E505" s="127" t="s">
        <v>598</v>
      </c>
      <c r="F505" s="184" t="s">
        <v>1608</v>
      </c>
      <c r="G505" s="185">
        <v>7474000</v>
      </c>
      <c r="H505" s="184" t="s">
        <v>598</v>
      </c>
      <c r="I505" s="184" t="s">
        <v>598</v>
      </c>
      <c r="J505" s="184" t="s">
        <v>84</v>
      </c>
      <c r="K505" s="184" t="s">
        <v>195</v>
      </c>
      <c r="L505" s="184" t="s">
        <v>598</v>
      </c>
      <c r="M505" s="184" t="s">
        <v>62</v>
      </c>
      <c r="N505" s="184" t="s">
        <v>79</v>
      </c>
      <c r="O505" s="184" t="s">
        <v>79</v>
      </c>
      <c r="P505" s="186" t="s">
        <v>67</v>
      </c>
      <c r="Q505" s="184" t="s">
        <v>598</v>
      </c>
      <c r="R505" s="184" t="s">
        <v>598</v>
      </c>
      <c r="S505" s="127">
        <v>42915</v>
      </c>
      <c r="T505" s="184" t="s">
        <v>34</v>
      </c>
      <c r="U505" s="184" t="s">
        <v>598</v>
      </c>
      <c r="V505" s="185">
        <v>4000</v>
      </c>
      <c r="W505" s="184" t="s">
        <v>493</v>
      </c>
      <c r="X505" s="184" t="s">
        <v>598</v>
      </c>
      <c r="Y505" s="185">
        <v>0</v>
      </c>
      <c r="Z505" s="184" t="s">
        <v>598</v>
      </c>
      <c r="AA505" s="21" t="s">
        <v>610</v>
      </c>
      <c r="AB505" s="176" t="s">
        <v>489</v>
      </c>
      <c r="AC505" s="172">
        <v>42996.328472222223</v>
      </c>
      <c r="AD505" s="32" t="s">
        <v>552</v>
      </c>
    </row>
    <row r="506" spans="1:30">
      <c r="A506" s="184">
        <v>505</v>
      </c>
      <c r="B506" s="184" t="s">
        <v>1609</v>
      </c>
      <c r="C506" s="184" t="s">
        <v>598</v>
      </c>
      <c r="D506" s="127">
        <v>42758</v>
      </c>
      <c r="E506" s="127" t="s">
        <v>598</v>
      </c>
      <c r="F506" s="184" t="s">
        <v>1610</v>
      </c>
      <c r="G506" s="185">
        <v>7298000</v>
      </c>
      <c r="H506" s="184" t="s">
        <v>598</v>
      </c>
      <c r="I506" s="184" t="s">
        <v>598</v>
      </c>
      <c r="J506" s="184" t="s">
        <v>84</v>
      </c>
      <c r="K506" s="184" t="s">
        <v>184</v>
      </c>
      <c r="L506" s="184" t="s">
        <v>598</v>
      </c>
      <c r="M506" s="184" t="s">
        <v>62</v>
      </c>
      <c r="N506" s="184" t="s">
        <v>79</v>
      </c>
      <c r="O506" s="184" t="s">
        <v>79</v>
      </c>
      <c r="P506" s="186" t="s">
        <v>602</v>
      </c>
      <c r="Q506" s="184" t="s">
        <v>598</v>
      </c>
      <c r="R506" s="184" t="s">
        <v>598</v>
      </c>
      <c r="S506" s="127">
        <v>42915</v>
      </c>
      <c r="T506" s="184" t="s">
        <v>34</v>
      </c>
      <c r="U506" s="184" t="s">
        <v>598</v>
      </c>
      <c r="V506" s="185">
        <v>4000</v>
      </c>
      <c r="W506" s="184" t="s">
        <v>493</v>
      </c>
      <c r="X506" s="184" t="s">
        <v>598</v>
      </c>
      <c r="Y506" s="185">
        <v>0</v>
      </c>
      <c r="Z506" s="184" t="s">
        <v>598</v>
      </c>
      <c r="AA506" s="21" t="s">
        <v>610</v>
      </c>
      <c r="AB506" s="176" t="s">
        <v>489</v>
      </c>
      <c r="AC506" s="172">
        <v>42996.328472222223</v>
      </c>
      <c r="AD506" s="32" t="s">
        <v>552</v>
      </c>
    </row>
    <row r="507" spans="1:30">
      <c r="A507" s="184">
        <v>506</v>
      </c>
      <c r="B507" s="184" t="s">
        <v>1611</v>
      </c>
      <c r="C507" s="184" t="s">
        <v>598</v>
      </c>
      <c r="D507" s="127">
        <v>42758</v>
      </c>
      <c r="E507" s="127" t="s">
        <v>598</v>
      </c>
      <c r="F507" s="184" t="s">
        <v>1612</v>
      </c>
      <c r="G507" s="185">
        <v>4168000</v>
      </c>
      <c r="H507" s="184" t="s">
        <v>598</v>
      </c>
      <c r="I507" s="184" t="s">
        <v>598</v>
      </c>
      <c r="J507" s="184" t="s">
        <v>84</v>
      </c>
      <c r="K507" s="184" t="s">
        <v>195</v>
      </c>
      <c r="L507" s="184" t="s">
        <v>598</v>
      </c>
      <c r="M507" s="184" t="s">
        <v>62</v>
      </c>
      <c r="N507" s="184" t="s">
        <v>79</v>
      </c>
      <c r="O507" s="184" t="s">
        <v>79</v>
      </c>
      <c r="P507" s="186" t="s">
        <v>603</v>
      </c>
      <c r="Q507" s="184" t="s">
        <v>598</v>
      </c>
      <c r="R507" s="184" t="s">
        <v>598</v>
      </c>
      <c r="S507" s="127">
        <v>42915</v>
      </c>
      <c r="T507" s="184" t="s">
        <v>34</v>
      </c>
      <c r="U507" s="184" t="s">
        <v>598</v>
      </c>
      <c r="V507" s="185">
        <v>3000</v>
      </c>
      <c r="W507" s="184" t="s">
        <v>493</v>
      </c>
      <c r="X507" s="184" t="s">
        <v>598</v>
      </c>
      <c r="Y507" s="185">
        <v>0</v>
      </c>
      <c r="Z507" s="184" t="s">
        <v>598</v>
      </c>
      <c r="AA507" s="21" t="s">
        <v>610</v>
      </c>
      <c r="AB507" s="176" t="s">
        <v>489</v>
      </c>
      <c r="AC507" s="172">
        <v>42996.328472222223</v>
      </c>
      <c r="AD507" s="32" t="s">
        <v>552</v>
      </c>
    </row>
    <row r="508" spans="1:30">
      <c r="A508" s="184">
        <v>507</v>
      </c>
      <c r="B508" s="184" t="s">
        <v>1613</v>
      </c>
      <c r="C508" s="184" t="s">
        <v>598</v>
      </c>
      <c r="D508" s="127">
        <v>42760</v>
      </c>
      <c r="E508" s="127" t="s">
        <v>598</v>
      </c>
      <c r="F508" s="184" t="s">
        <v>1614</v>
      </c>
      <c r="G508" s="185">
        <v>4922000</v>
      </c>
      <c r="H508" s="184" t="s">
        <v>598</v>
      </c>
      <c r="I508" s="184" t="s">
        <v>134</v>
      </c>
      <c r="J508" s="184" t="s">
        <v>84</v>
      </c>
      <c r="K508" s="184" t="s">
        <v>264</v>
      </c>
      <c r="L508" s="184" t="s">
        <v>598</v>
      </c>
      <c r="M508" s="184" t="s">
        <v>62</v>
      </c>
      <c r="N508" s="184" t="s">
        <v>79</v>
      </c>
      <c r="O508" s="184" t="s">
        <v>79</v>
      </c>
      <c r="P508" s="186" t="s">
        <v>604</v>
      </c>
      <c r="Q508" s="184" t="s">
        <v>598</v>
      </c>
      <c r="R508" s="184" t="s">
        <v>598</v>
      </c>
      <c r="S508" s="127">
        <v>42915</v>
      </c>
      <c r="T508" s="184" t="s">
        <v>34</v>
      </c>
      <c r="U508" s="184" t="s">
        <v>598</v>
      </c>
      <c r="V508" s="185">
        <v>3000</v>
      </c>
      <c r="W508" s="184" t="s">
        <v>493</v>
      </c>
      <c r="X508" s="184" t="s">
        <v>598</v>
      </c>
      <c r="Y508" s="185">
        <v>0</v>
      </c>
      <c r="Z508" s="184" t="s">
        <v>598</v>
      </c>
      <c r="AA508" s="21" t="s">
        <v>610</v>
      </c>
      <c r="AB508" s="176" t="s">
        <v>489</v>
      </c>
      <c r="AC508" s="172">
        <v>42996.328472222223</v>
      </c>
      <c r="AD508" s="32" t="s">
        <v>552</v>
      </c>
    </row>
    <row r="509" spans="1:30">
      <c r="A509" s="184">
        <v>508</v>
      </c>
      <c r="B509" s="184" t="s">
        <v>1615</v>
      </c>
      <c r="C509" s="184" t="s">
        <v>598</v>
      </c>
      <c r="D509" s="127">
        <v>42763</v>
      </c>
      <c r="E509" s="127" t="s">
        <v>598</v>
      </c>
      <c r="F509" s="184" t="s">
        <v>1616</v>
      </c>
      <c r="G509" s="185">
        <v>2750000</v>
      </c>
      <c r="H509" s="184" t="s">
        <v>598</v>
      </c>
      <c r="I509" s="184" t="s">
        <v>134</v>
      </c>
      <c r="J509" s="184" t="s">
        <v>84</v>
      </c>
      <c r="K509" s="184" t="s">
        <v>277</v>
      </c>
      <c r="L509" s="184" t="s">
        <v>598</v>
      </c>
      <c r="M509" s="184" t="s">
        <v>62</v>
      </c>
      <c r="N509" s="184" t="s">
        <v>79</v>
      </c>
      <c r="O509" s="184" t="s">
        <v>112</v>
      </c>
      <c r="P509" s="186" t="s">
        <v>605</v>
      </c>
      <c r="Q509" s="184" t="s">
        <v>598</v>
      </c>
      <c r="R509" s="184" t="s">
        <v>598</v>
      </c>
      <c r="S509" s="127">
        <v>42915</v>
      </c>
      <c r="T509" s="184" t="s">
        <v>34</v>
      </c>
      <c r="U509" s="184" t="s">
        <v>598</v>
      </c>
      <c r="V509" s="185">
        <v>3000</v>
      </c>
      <c r="W509" s="184" t="s">
        <v>493</v>
      </c>
      <c r="X509" s="184" t="s">
        <v>598</v>
      </c>
      <c r="Y509" s="185">
        <v>0</v>
      </c>
      <c r="Z509" s="184" t="s">
        <v>598</v>
      </c>
      <c r="AA509" s="21" t="s">
        <v>610</v>
      </c>
      <c r="AB509" s="176" t="s">
        <v>489</v>
      </c>
      <c r="AC509" s="172">
        <v>42996.328472222223</v>
      </c>
      <c r="AD509" s="32" t="s">
        <v>552</v>
      </c>
    </row>
    <row r="510" spans="1:30">
      <c r="A510" s="184">
        <v>509</v>
      </c>
      <c r="B510" s="184" t="s">
        <v>1617</v>
      </c>
      <c r="C510" s="184" t="s">
        <v>598</v>
      </c>
      <c r="D510" s="127">
        <v>42763</v>
      </c>
      <c r="E510" s="127" t="s">
        <v>598</v>
      </c>
      <c r="F510" s="184" t="s">
        <v>1618</v>
      </c>
      <c r="G510" s="185">
        <v>2750000</v>
      </c>
      <c r="H510" s="184" t="s">
        <v>598</v>
      </c>
      <c r="I510" s="184" t="s">
        <v>598</v>
      </c>
      <c r="J510" s="184" t="s">
        <v>84</v>
      </c>
      <c r="K510" s="184" t="s">
        <v>598</v>
      </c>
      <c r="L510" s="184" t="s">
        <v>598</v>
      </c>
      <c r="M510" s="184" t="s">
        <v>62</v>
      </c>
      <c r="N510" s="184" t="s">
        <v>79</v>
      </c>
      <c r="O510" s="184" t="s">
        <v>79</v>
      </c>
      <c r="P510" s="186" t="s">
        <v>606</v>
      </c>
      <c r="Q510" s="184" t="s">
        <v>598</v>
      </c>
      <c r="R510" s="184" t="s">
        <v>598</v>
      </c>
      <c r="S510" s="127">
        <v>42915</v>
      </c>
      <c r="T510" s="184" t="s">
        <v>34</v>
      </c>
      <c r="U510" s="184" t="s">
        <v>598</v>
      </c>
      <c r="V510" s="185">
        <v>3000</v>
      </c>
      <c r="W510" s="184" t="s">
        <v>493</v>
      </c>
      <c r="X510" s="184" t="s">
        <v>598</v>
      </c>
      <c r="Y510" s="185">
        <v>0</v>
      </c>
      <c r="Z510" s="184" t="s">
        <v>598</v>
      </c>
      <c r="AA510" s="21" t="s">
        <v>610</v>
      </c>
      <c r="AB510" s="176" t="s">
        <v>489</v>
      </c>
      <c r="AC510" s="172">
        <v>42996.328472222223</v>
      </c>
      <c r="AD510" s="32" t="s">
        <v>552</v>
      </c>
    </row>
    <row r="511" spans="1:30">
      <c r="A511" s="184">
        <v>510</v>
      </c>
      <c r="B511" s="184" t="s">
        <v>1619</v>
      </c>
      <c r="C511" s="184" t="s">
        <v>598</v>
      </c>
      <c r="D511" s="127">
        <v>42774</v>
      </c>
      <c r="E511" s="127" t="s">
        <v>598</v>
      </c>
      <c r="F511" s="184" t="s">
        <v>1620</v>
      </c>
      <c r="G511" s="185">
        <v>3525000</v>
      </c>
      <c r="H511" s="184" t="s">
        <v>598</v>
      </c>
      <c r="I511" s="184" t="s">
        <v>134</v>
      </c>
      <c r="J511" s="184" t="s">
        <v>84</v>
      </c>
      <c r="K511" s="184" t="s">
        <v>195</v>
      </c>
      <c r="L511" s="184" t="s">
        <v>598</v>
      </c>
      <c r="M511" s="184" t="s">
        <v>62</v>
      </c>
      <c r="N511" s="184" t="s">
        <v>79</v>
      </c>
      <c r="O511" s="184" t="s">
        <v>112</v>
      </c>
      <c r="P511" s="186" t="s">
        <v>607</v>
      </c>
      <c r="Q511" s="184" t="s">
        <v>598</v>
      </c>
      <c r="R511" s="184" t="s">
        <v>598</v>
      </c>
      <c r="S511" s="127">
        <v>42915</v>
      </c>
      <c r="T511" s="184" t="s">
        <v>34</v>
      </c>
      <c r="U511" s="184" t="s">
        <v>598</v>
      </c>
      <c r="V511" s="185">
        <v>3000</v>
      </c>
      <c r="W511" s="184" t="s">
        <v>493</v>
      </c>
      <c r="X511" s="184" t="s">
        <v>598</v>
      </c>
      <c r="Y511" s="185">
        <v>0</v>
      </c>
      <c r="Z511" s="184" t="s">
        <v>598</v>
      </c>
      <c r="AA511" s="21" t="s">
        <v>610</v>
      </c>
      <c r="AB511" s="176" t="s">
        <v>489</v>
      </c>
      <c r="AC511" s="172">
        <v>42996.328472222223</v>
      </c>
      <c r="AD511" s="32" t="s">
        <v>552</v>
      </c>
    </row>
    <row r="512" spans="1:30">
      <c r="A512" s="184">
        <v>511</v>
      </c>
      <c r="B512" s="184" t="s">
        <v>1621</v>
      </c>
      <c r="C512" s="184" t="s">
        <v>598</v>
      </c>
      <c r="D512" s="127">
        <v>42780</v>
      </c>
      <c r="E512" s="127" t="s">
        <v>598</v>
      </c>
      <c r="F512" s="184" t="s">
        <v>1622</v>
      </c>
      <c r="G512" s="185">
        <v>3338000</v>
      </c>
      <c r="H512" s="184" t="s">
        <v>598</v>
      </c>
      <c r="I512" s="184" t="s">
        <v>598</v>
      </c>
      <c r="J512" s="184" t="s">
        <v>84</v>
      </c>
      <c r="K512" s="184" t="s">
        <v>195</v>
      </c>
      <c r="L512" s="184" t="s">
        <v>598</v>
      </c>
      <c r="M512" s="184" t="s">
        <v>62</v>
      </c>
      <c r="N512" s="184" t="s">
        <v>79</v>
      </c>
      <c r="O512" s="184" t="s">
        <v>79</v>
      </c>
      <c r="P512" s="186" t="s">
        <v>73</v>
      </c>
      <c r="Q512" s="184" t="s">
        <v>598</v>
      </c>
      <c r="R512" s="184" t="s">
        <v>598</v>
      </c>
      <c r="S512" s="127">
        <v>42915</v>
      </c>
      <c r="T512" s="184" t="s">
        <v>34</v>
      </c>
      <c r="U512" s="184" t="s">
        <v>598</v>
      </c>
      <c r="V512" s="185">
        <v>3000</v>
      </c>
      <c r="W512" s="184" t="s">
        <v>493</v>
      </c>
      <c r="X512" s="184" t="s">
        <v>598</v>
      </c>
      <c r="Y512" s="185">
        <v>0</v>
      </c>
      <c r="Z512" s="184" t="s">
        <v>598</v>
      </c>
      <c r="AA512" s="21" t="s">
        <v>610</v>
      </c>
      <c r="AB512" s="176" t="s">
        <v>489</v>
      </c>
      <c r="AC512" s="172">
        <v>42996.328472222223</v>
      </c>
      <c r="AD512" s="32" t="s">
        <v>552</v>
      </c>
    </row>
    <row r="513" spans="1:30">
      <c r="A513" s="184">
        <v>512</v>
      </c>
      <c r="B513" s="184" t="s">
        <v>1623</v>
      </c>
      <c r="C513" s="184" t="s">
        <v>598</v>
      </c>
      <c r="D513" s="127">
        <v>42781</v>
      </c>
      <c r="E513" s="127" t="s">
        <v>598</v>
      </c>
      <c r="F513" s="184" t="s">
        <v>86</v>
      </c>
      <c r="G513" s="185">
        <v>5257000</v>
      </c>
      <c r="H513" s="184" t="s">
        <v>598</v>
      </c>
      <c r="I513" s="184" t="s">
        <v>134</v>
      </c>
      <c r="J513" s="184" t="s">
        <v>84</v>
      </c>
      <c r="K513" s="184" t="s">
        <v>184</v>
      </c>
      <c r="L513" s="184" t="s">
        <v>598</v>
      </c>
      <c r="M513" s="184" t="s">
        <v>62</v>
      </c>
      <c r="N513" s="184" t="s">
        <v>79</v>
      </c>
      <c r="O513" s="184" t="s">
        <v>79</v>
      </c>
      <c r="P513" s="186" t="s">
        <v>601</v>
      </c>
      <c r="Q513" s="184" t="s">
        <v>598</v>
      </c>
      <c r="R513" s="184" t="s">
        <v>598</v>
      </c>
      <c r="S513" s="127">
        <v>42915</v>
      </c>
      <c r="T513" s="184" t="s">
        <v>34</v>
      </c>
      <c r="U513" s="184" t="s">
        <v>598</v>
      </c>
      <c r="V513" s="185">
        <v>3000</v>
      </c>
      <c r="W513" s="184" t="s">
        <v>493</v>
      </c>
      <c r="X513" s="184" t="s">
        <v>598</v>
      </c>
      <c r="Y513" s="185">
        <v>0</v>
      </c>
      <c r="Z513" s="184" t="s">
        <v>598</v>
      </c>
      <c r="AA513" s="21" t="s">
        <v>610</v>
      </c>
      <c r="AB513" s="176" t="s">
        <v>489</v>
      </c>
      <c r="AC513" s="172">
        <v>42996.328472222223</v>
      </c>
      <c r="AD513" s="32" t="s">
        <v>552</v>
      </c>
    </row>
    <row r="514" spans="1:30">
      <c r="A514" s="184">
        <v>513</v>
      </c>
      <c r="B514" s="184" t="s">
        <v>1624</v>
      </c>
      <c r="C514" s="184" t="s">
        <v>598</v>
      </c>
      <c r="D514" s="127">
        <v>42781</v>
      </c>
      <c r="E514" s="127" t="s">
        <v>598</v>
      </c>
      <c r="F514" s="184" t="s">
        <v>1625</v>
      </c>
      <c r="G514" s="185">
        <v>11491000</v>
      </c>
      <c r="H514" s="184" t="s">
        <v>598</v>
      </c>
      <c r="I514" s="184" t="s">
        <v>598</v>
      </c>
      <c r="J514" s="184" t="s">
        <v>84</v>
      </c>
      <c r="K514" s="184" t="s">
        <v>184</v>
      </c>
      <c r="L514" s="184" t="s">
        <v>598</v>
      </c>
      <c r="M514" s="184" t="s">
        <v>62</v>
      </c>
      <c r="N514" s="184" t="s">
        <v>79</v>
      </c>
      <c r="O514" s="184" t="s">
        <v>79</v>
      </c>
      <c r="P514" s="186" t="s">
        <v>32</v>
      </c>
      <c r="Q514" s="184" t="s">
        <v>598</v>
      </c>
      <c r="R514" s="184" t="s">
        <v>598</v>
      </c>
      <c r="S514" s="127">
        <v>42915</v>
      </c>
      <c r="T514" s="184" t="s">
        <v>34</v>
      </c>
      <c r="U514" s="184" t="s">
        <v>598</v>
      </c>
      <c r="V514" s="185">
        <v>8000</v>
      </c>
      <c r="W514" s="184" t="s">
        <v>493</v>
      </c>
      <c r="X514" s="184" t="s">
        <v>598</v>
      </c>
      <c r="Y514" s="185">
        <v>0</v>
      </c>
      <c r="Z514" s="184" t="s">
        <v>598</v>
      </c>
      <c r="AA514" s="21" t="s">
        <v>610</v>
      </c>
      <c r="AB514" s="176" t="s">
        <v>489</v>
      </c>
      <c r="AC514" s="172">
        <v>42996.328472222223</v>
      </c>
      <c r="AD514" s="32" t="s">
        <v>552</v>
      </c>
    </row>
    <row r="515" spans="1:30">
      <c r="A515" s="184">
        <v>514</v>
      </c>
      <c r="B515" s="184" t="s">
        <v>1626</v>
      </c>
      <c r="C515" s="184" t="s">
        <v>598</v>
      </c>
      <c r="D515" s="127">
        <v>42782</v>
      </c>
      <c r="E515" s="127" t="s">
        <v>598</v>
      </c>
      <c r="F515" s="184" t="s">
        <v>1627</v>
      </c>
      <c r="G515" s="185">
        <v>4893000</v>
      </c>
      <c r="H515" s="184" t="s">
        <v>598</v>
      </c>
      <c r="I515" s="184" t="s">
        <v>134</v>
      </c>
      <c r="J515" s="184" t="s">
        <v>84</v>
      </c>
      <c r="K515" s="184" t="s">
        <v>278</v>
      </c>
      <c r="L515" s="184" t="s">
        <v>598</v>
      </c>
      <c r="M515" s="184" t="s">
        <v>62</v>
      </c>
      <c r="N515" s="184" t="s">
        <v>79</v>
      </c>
      <c r="O515" s="184" t="s">
        <v>79</v>
      </c>
      <c r="P515" s="186" t="s">
        <v>53</v>
      </c>
      <c r="Q515" s="184" t="s">
        <v>598</v>
      </c>
      <c r="R515" s="184" t="s">
        <v>598</v>
      </c>
      <c r="S515" s="127">
        <v>42915</v>
      </c>
      <c r="T515" s="184" t="s">
        <v>34</v>
      </c>
      <c r="U515" s="184" t="s">
        <v>598</v>
      </c>
      <c r="V515" s="185">
        <v>3000</v>
      </c>
      <c r="W515" s="184" t="s">
        <v>493</v>
      </c>
      <c r="X515" s="184" t="s">
        <v>598</v>
      </c>
      <c r="Y515" s="185">
        <v>0</v>
      </c>
      <c r="Z515" s="184" t="s">
        <v>598</v>
      </c>
      <c r="AA515" s="21" t="s">
        <v>610</v>
      </c>
      <c r="AB515" s="176" t="s">
        <v>489</v>
      </c>
      <c r="AC515" s="172">
        <v>42996.328472222223</v>
      </c>
      <c r="AD515" s="32" t="s">
        <v>552</v>
      </c>
    </row>
    <row r="516" spans="1:30">
      <c r="A516" s="184">
        <v>515</v>
      </c>
      <c r="B516" s="184" t="s">
        <v>1628</v>
      </c>
      <c r="C516" s="184" t="s">
        <v>598</v>
      </c>
      <c r="D516" s="127">
        <v>42782</v>
      </c>
      <c r="E516" s="127" t="s">
        <v>598</v>
      </c>
      <c r="F516" s="184" t="s">
        <v>1629</v>
      </c>
      <c r="G516" s="185">
        <v>2690000</v>
      </c>
      <c r="H516" s="184" t="s">
        <v>598</v>
      </c>
      <c r="I516" s="184" t="s">
        <v>134</v>
      </c>
      <c r="J516" s="184" t="s">
        <v>84</v>
      </c>
      <c r="K516" s="184" t="s">
        <v>279</v>
      </c>
      <c r="L516" s="184" t="s">
        <v>598</v>
      </c>
      <c r="M516" s="184" t="s">
        <v>62</v>
      </c>
      <c r="N516" s="184" t="s">
        <v>79</v>
      </c>
      <c r="O516" s="184" t="s">
        <v>79</v>
      </c>
      <c r="P516" s="186" t="s">
        <v>44</v>
      </c>
      <c r="Q516" s="184" t="s">
        <v>598</v>
      </c>
      <c r="R516" s="184" t="s">
        <v>598</v>
      </c>
      <c r="S516" s="127">
        <v>42915</v>
      </c>
      <c r="T516" s="184" t="s">
        <v>34</v>
      </c>
      <c r="U516" s="184" t="s">
        <v>598</v>
      </c>
      <c r="V516" s="185">
        <v>3000</v>
      </c>
      <c r="W516" s="184" t="s">
        <v>493</v>
      </c>
      <c r="X516" s="184" t="s">
        <v>598</v>
      </c>
      <c r="Y516" s="185">
        <v>0</v>
      </c>
      <c r="Z516" s="184" t="s">
        <v>598</v>
      </c>
      <c r="AA516" s="21" t="s">
        <v>610</v>
      </c>
      <c r="AB516" s="176" t="s">
        <v>489</v>
      </c>
      <c r="AC516" s="172">
        <v>42996.328472222223</v>
      </c>
      <c r="AD516" s="32" t="s">
        <v>552</v>
      </c>
    </row>
    <row r="517" spans="1:30">
      <c r="A517" s="184">
        <v>516</v>
      </c>
      <c r="B517" s="184" t="s">
        <v>1630</v>
      </c>
      <c r="C517" s="184" t="s">
        <v>598</v>
      </c>
      <c r="D517" s="127">
        <v>42784</v>
      </c>
      <c r="E517" s="127" t="s">
        <v>598</v>
      </c>
      <c r="F517" s="184" t="s">
        <v>1244</v>
      </c>
      <c r="G517" s="185">
        <v>0</v>
      </c>
      <c r="H517" s="184" t="s">
        <v>598</v>
      </c>
      <c r="I517" s="184" t="s">
        <v>598</v>
      </c>
      <c r="J517" s="184" t="s">
        <v>84</v>
      </c>
      <c r="K517" s="184" t="s">
        <v>1631</v>
      </c>
      <c r="L517" s="184" t="s">
        <v>598</v>
      </c>
      <c r="M517" s="184" t="s">
        <v>598</v>
      </c>
      <c r="N517" s="184" t="s">
        <v>79</v>
      </c>
      <c r="O517" s="184" t="s">
        <v>112</v>
      </c>
      <c r="P517" s="186" t="s">
        <v>67</v>
      </c>
      <c r="Q517" s="184" t="s">
        <v>598</v>
      </c>
      <c r="R517" s="184" t="s">
        <v>598</v>
      </c>
      <c r="S517" s="127" t="s">
        <v>598</v>
      </c>
      <c r="T517" s="184" t="s">
        <v>598</v>
      </c>
      <c r="U517" s="184" t="s">
        <v>598</v>
      </c>
      <c r="V517" s="185">
        <v>0</v>
      </c>
      <c r="W517" s="184" t="s">
        <v>485</v>
      </c>
      <c r="X517" s="184" t="s">
        <v>598</v>
      </c>
      <c r="Y517" s="185">
        <v>0</v>
      </c>
      <c r="Z517" s="184" t="s">
        <v>492</v>
      </c>
      <c r="AA517" s="21" t="s">
        <v>610</v>
      </c>
      <c r="AB517" s="176" t="s">
        <v>489</v>
      </c>
      <c r="AC517" s="172">
        <v>42996.328472222223</v>
      </c>
      <c r="AD517" s="32" t="s">
        <v>552</v>
      </c>
    </row>
    <row r="518" spans="1:30">
      <c r="A518" s="184">
        <v>517</v>
      </c>
      <c r="B518" s="184" t="s">
        <v>1632</v>
      </c>
      <c r="C518" s="184" t="s">
        <v>598</v>
      </c>
      <c r="D518" s="127">
        <v>42788</v>
      </c>
      <c r="E518" s="127" t="s">
        <v>598</v>
      </c>
      <c r="F518" s="184" t="s">
        <v>1633</v>
      </c>
      <c r="G518" s="185">
        <v>7666000</v>
      </c>
      <c r="H518" s="184" t="s">
        <v>598</v>
      </c>
      <c r="I518" s="184" t="s">
        <v>134</v>
      </c>
      <c r="J518" s="184" t="s">
        <v>84</v>
      </c>
      <c r="K518" s="184" t="s">
        <v>184</v>
      </c>
      <c r="L518" s="184" t="s">
        <v>598</v>
      </c>
      <c r="M518" s="184" t="s">
        <v>62</v>
      </c>
      <c r="N518" s="184" t="s">
        <v>79</v>
      </c>
      <c r="O518" s="184" t="s">
        <v>79</v>
      </c>
      <c r="P518" s="186" t="s">
        <v>602</v>
      </c>
      <c r="Q518" s="184" t="s">
        <v>598</v>
      </c>
      <c r="R518" s="184" t="s">
        <v>598</v>
      </c>
      <c r="S518" s="127" t="s">
        <v>598</v>
      </c>
      <c r="T518" s="184" t="s">
        <v>598</v>
      </c>
      <c r="U518" s="184" t="s">
        <v>598</v>
      </c>
      <c r="V518" s="185">
        <v>0</v>
      </c>
      <c r="W518" s="184" t="s">
        <v>485</v>
      </c>
      <c r="X518" s="184" t="s">
        <v>598</v>
      </c>
      <c r="Y518" s="185">
        <v>0</v>
      </c>
      <c r="Z518" s="184" t="s">
        <v>598</v>
      </c>
      <c r="AA518" s="21" t="s">
        <v>610</v>
      </c>
      <c r="AB518" s="176" t="s">
        <v>489</v>
      </c>
      <c r="AC518" s="172">
        <v>42996.328472222223</v>
      </c>
      <c r="AD518" s="32" t="s">
        <v>552</v>
      </c>
    </row>
    <row r="519" spans="1:30">
      <c r="A519" s="184">
        <v>518</v>
      </c>
      <c r="B519" s="184" t="s">
        <v>1634</v>
      </c>
      <c r="C519" s="184" t="s">
        <v>598</v>
      </c>
      <c r="D519" s="127">
        <v>42790</v>
      </c>
      <c r="E519" s="127" t="s">
        <v>598</v>
      </c>
      <c r="F519" s="184" t="s">
        <v>1635</v>
      </c>
      <c r="G519" s="185">
        <v>4624000</v>
      </c>
      <c r="H519" s="184" t="s">
        <v>598</v>
      </c>
      <c r="I519" s="184" t="s">
        <v>134</v>
      </c>
      <c r="J519" s="184" t="s">
        <v>84</v>
      </c>
      <c r="K519" s="184" t="s">
        <v>263</v>
      </c>
      <c r="L519" s="184" t="s">
        <v>598</v>
      </c>
      <c r="M519" s="184" t="s">
        <v>62</v>
      </c>
      <c r="N519" s="184" t="s">
        <v>79</v>
      </c>
      <c r="O519" s="184" t="s">
        <v>112</v>
      </c>
      <c r="P519" s="186" t="s">
        <v>603</v>
      </c>
      <c r="Q519" s="184" t="s">
        <v>598</v>
      </c>
      <c r="R519" s="184" t="s">
        <v>598</v>
      </c>
      <c r="S519" s="127">
        <v>42915</v>
      </c>
      <c r="T519" s="184" t="s">
        <v>34</v>
      </c>
      <c r="U519" s="184" t="s">
        <v>598</v>
      </c>
      <c r="V519" s="185">
        <v>3000</v>
      </c>
      <c r="W519" s="184" t="s">
        <v>493</v>
      </c>
      <c r="X519" s="184" t="s">
        <v>598</v>
      </c>
      <c r="Y519" s="185">
        <v>0</v>
      </c>
      <c r="Z519" s="184" t="s">
        <v>598</v>
      </c>
      <c r="AA519" s="21" t="s">
        <v>610</v>
      </c>
      <c r="AB519" s="176" t="s">
        <v>489</v>
      </c>
      <c r="AC519" s="172">
        <v>42996.328472222223</v>
      </c>
      <c r="AD519" s="32" t="s">
        <v>552</v>
      </c>
    </row>
    <row r="520" spans="1:30">
      <c r="A520" s="184">
        <v>519</v>
      </c>
      <c r="B520" s="184" t="s">
        <v>1636</v>
      </c>
      <c r="C520" s="184" t="s">
        <v>598</v>
      </c>
      <c r="D520" s="127">
        <v>42793</v>
      </c>
      <c r="E520" s="127" t="s">
        <v>598</v>
      </c>
      <c r="F520" s="184" t="s">
        <v>1637</v>
      </c>
      <c r="G520" s="185">
        <v>7104000</v>
      </c>
      <c r="H520" s="184" t="s">
        <v>598</v>
      </c>
      <c r="I520" s="184" t="s">
        <v>134</v>
      </c>
      <c r="J520" s="184" t="s">
        <v>84</v>
      </c>
      <c r="K520" s="184" t="s">
        <v>175</v>
      </c>
      <c r="L520" s="184" t="s">
        <v>598</v>
      </c>
      <c r="M520" s="184" t="s">
        <v>62</v>
      </c>
      <c r="N520" s="184" t="s">
        <v>79</v>
      </c>
      <c r="O520" s="184" t="s">
        <v>112</v>
      </c>
      <c r="P520" s="186" t="s">
        <v>604</v>
      </c>
      <c r="Q520" s="184" t="s">
        <v>598</v>
      </c>
      <c r="R520" s="184" t="s">
        <v>598</v>
      </c>
      <c r="S520" s="127" t="s">
        <v>598</v>
      </c>
      <c r="T520" s="184" t="s">
        <v>598</v>
      </c>
      <c r="U520" s="184" t="s">
        <v>598</v>
      </c>
      <c r="V520" s="185">
        <v>0</v>
      </c>
      <c r="W520" s="184" t="s">
        <v>485</v>
      </c>
      <c r="X520" s="184" t="s">
        <v>598</v>
      </c>
      <c r="Y520" s="185">
        <v>0</v>
      </c>
      <c r="Z520" s="184" t="s">
        <v>598</v>
      </c>
      <c r="AA520" s="21" t="s">
        <v>610</v>
      </c>
      <c r="AB520" s="176" t="s">
        <v>489</v>
      </c>
      <c r="AC520" s="172">
        <v>42996.328472222223</v>
      </c>
      <c r="AD520" s="32" t="s">
        <v>552</v>
      </c>
    </row>
    <row r="521" spans="1:30">
      <c r="A521" s="184">
        <v>520</v>
      </c>
      <c r="B521" s="184" t="s">
        <v>1638</v>
      </c>
      <c r="C521" s="184" t="s">
        <v>598</v>
      </c>
      <c r="D521" s="127">
        <v>42793</v>
      </c>
      <c r="E521" s="127" t="s">
        <v>598</v>
      </c>
      <c r="F521" s="184" t="s">
        <v>1639</v>
      </c>
      <c r="G521" s="185">
        <v>3110000</v>
      </c>
      <c r="H521" s="184" t="s">
        <v>598</v>
      </c>
      <c r="I521" s="184" t="s">
        <v>134</v>
      </c>
      <c r="J521" s="184" t="s">
        <v>84</v>
      </c>
      <c r="K521" s="184" t="s">
        <v>598</v>
      </c>
      <c r="L521" s="184" t="s">
        <v>598</v>
      </c>
      <c r="M521" s="184" t="s">
        <v>62</v>
      </c>
      <c r="N521" s="184" t="s">
        <v>79</v>
      </c>
      <c r="O521" s="184" t="s">
        <v>112</v>
      </c>
      <c r="P521" s="186" t="s">
        <v>605</v>
      </c>
      <c r="Q521" s="184" t="s">
        <v>598</v>
      </c>
      <c r="R521" s="184" t="s">
        <v>598</v>
      </c>
      <c r="S521" s="127" t="s">
        <v>598</v>
      </c>
      <c r="T521" s="184" t="s">
        <v>598</v>
      </c>
      <c r="U521" s="184" t="s">
        <v>598</v>
      </c>
      <c r="V521" s="185">
        <v>0</v>
      </c>
      <c r="W521" s="184" t="s">
        <v>485</v>
      </c>
      <c r="X521" s="184" t="s">
        <v>598</v>
      </c>
      <c r="Y521" s="185">
        <v>0</v>
      </c>
      <c r="Z521" s="184" t="s">
        <v>598</v>
      </c>
      <c r="AA521" s="21" t="s">
        <v>610</v>
      </c>
      <c r="AB521" s="176" t="s">
        <v>489</v>
      </c>
      <c r="AC521" s="172">
        <v>42996.328472222223</v>
      </c>
      <c r="AD521" s="32" t="s">
        <v>552</v>
      </c>
    </row>
    <row r="522" spans="1:30">
      <c r="A522" s="184">
        <v>521</v>
      </c>
      <c r="B522" s="184" t="s">
        <v>1640</v>
      </c>
      <c r="C522" s="184" t="s">
        <v>598</v>
      </c>
      <c r="D522" s="127">
        <v>42793</v>
      </c>
      <c r="E522" s="127" t="s">
        <v>598</v>
      </c>
      <c r="F522" s="184" t="s">
        <v>1641</v>
      </c>
      <c r="G522" s="185">
        <v>0</v>
      </c>
      <c r="H522" s="184" t="s">
        <v>598</v>
      </c>
      <c r="I522" s="184" t="s">
        <v>126</v>
      </c>
      <c r="J522" s="184" t="s">
        <v>84</v>
      </c>
      <c r="K522" s="184" t="s">
        <v>598</v>
      </c>
      <c r="L522" s="184" t="s">
        <v>598</v>
      </c>
      <c r="M522" s="184" t="s">
        <v>62</v>
      </c>
      <c r="N522" s="184" t="s">
        <v>79</v>
      </c>
      <c r="O522" s="184" t="s">
        <v>598</v>
      </c>
      <c r="P522" s="186" t="s">
        <v>606</v>
      </c>
      <c r="Q522" s="184" t="s">
        <v>598</v>
      </c>
      <c r="R522" s="184" t="s">
        <v>598</v>
      </c>
      <c r="S522" s="127" t="s">
        <v>598</v>
      </c>
      <c r="T522" s="184" t="s">
        <v>598</v>
      </c>
      <c r="U522" s="184" t="s">
        <v>598</v>
      </c>
      <c r="V522" s="185">
        <v>0</v>
      </c>
      <c r="W522" s="184" t="s">
        <v>485</v>
      </c>
      <c r="X522" s="184" t="s">
        <v>598</v>
      </c>
      <c r="Y522" s="185">
        <v>0</v>
      </c>
      <c r="Z522" s="184" t="s">
        <v>598</v>
      </c>
      <c r="AA522" s="21" t="s">
        <v>610</v>
      </c>
      <c r="AB522" s="176" t="s">
        <v>489</v>
      </c>
      <c r="AC522" s="172">
        <v>42996.328472222223</v>
      </c>
      <c r="AD522" s="32" t="s">
        <v>552</v>
      </c>
    </row>
    <row r="523" spans="1:30">
      <c r="A523" s="184">
        <v>522</v>
      </c>
      <c r="B523" s="184" t="s">
        <v>1642</v>
      </c>
      <c r="C523" s="184" t="s">
        <v>598</v>
      </c>
      <c r="D523" s="127">
        <v>42800</v>
      </c>
      <c r="E523" s="127" t="s">
        <v>598</v>
      </c>
      <c r="F523" s="184" t="s">
        <v>1643</v>
      </c>
      <c r="G523" s="185">
        <v>5011000</v>
      </c>
      <c r="H523" s="184" t="s">
        <v>598</v>
      </c>
      <c r="I523" s="184" t="s">
        <v>598</v>
      </c>
      <c r="J523" s="184" t="s">
        <v>84</v>
      </c>
      <c r="K523" s="184" t="s">
        <v>184</v>
      </c>
      <c r="L523" s="184" t="s">
        <v>598</v>
      </c>
      <c r="M523" s="184" t="s">
        <v>62</v>
      </c>
      <c r="N523" s="184" t="s">
        <v>79</v>
      </c>
      <c r="O523" s="184" t="s">
        <v>79</v>
      </c>
      <c r="P523" s="186" t="s">
        <v>607</v>
      </c>
      <c r="Q523" s="184" t="s">
        <v>598</v>
      </c>
      <c r="R523" s="184" t="s">
        <v>598</v>
      </c>
      <c r="S523" s="127" t="s">
        <v>598</v>
      </c>
      <c r="T523" s="184" t="s">
        <v>598</v>
      </c>
      <c r="U523" s="184" t="s">
        <v>598</v>
      </c>
      <c r="V523" s="185">
        <v>0</v>
      </c>
      <c r="W523" s="184" t="s">
        <v>485</v>
      </c>
      <c r="X523" s="184" t="s">
        <v>598</v>
      </c>
      <c r="Y523" s="185">
        <v>0</v>
      </c>
      <c r="Z523" s="184" t="s">
        <v>598</v>
      </c>
      <c r="AA523" s="21" t="s">
        <v>610</v>
      </c>
      <c r="AB523" s="176" t="s">
        <v>489</v>
      </c>
      <c r="AC523" s="172">
        <v>42996.328472222223</v>
      </c>
      <c r="AD523" s="32" t="s">
        <v>552</v>
      </c>
    </row>
    <row r="524" spans="1:30">
      <c r="A524" s="184">
        <v>523</v>
      </c>
      <c r="B524" s="184" t="s">
        <v>1644</v>
      </c>
      <c r="C524" s="184" t="s">
        <v>598</v>
      </c>
      <c r="D524" s="127">
        <v>42800</v>
      </c>
      <c r="E524" s="127" t="s">
        <v>598</v>
      </c>
      <c r="F524" s="184" t="s">
        <v>1645</v>
      </c>
      <c r="G524" s="185">
        <v>5279000</v>
      </c>
      <c r="H524" s="184" t="s">
        <v>598</v>
      </c>
      <c r="I524" s="184" t="s">
        <v>37</v>
      </c>
      <c r="J524" s="184" t="s">
        <v>84</v>
      </c>
      <c r="K524" s="184" t="s">
        <v>362</v>
      </c>
      <c r="L524" s="184" t="s">
        <v>598</v>
      </c>
      <c r="M524" s="184" t="s">
        <v>62</v>
      </c>
      <c r="N524" s="184" t="s">
        <v>79</v>
      </c>
      <c r="O524" s="184" t="s">
        <v>112</v>
      </c>
      <c r="P524" s="186" t="s">
        <v>73</v>
      </c>
      <c r="Q524" s="184" t="s">
        <v>598</v>
      </c>
      <c r="R524" s="184" t="s">
        <v>598</v>
      </c>
      <c r="S524" s="127" t="s">
        <v>598</v>
      </c>
      <c r="T524" s="184" t="s">
        <v>598</v>
      </c>
      <c r="U524" s="184" t="s">
        <v>598</v>
      </c>
      <c r="V524" s="185">
        <v>0</v>
      </c>
      <c r="W524" s="184" t="s">
        <v>485</v>
      </c>
      <c r="X524" s="184" t="s">
        <v>598</v>
      </c>
      <c r="Y524" s="185">
        <v>0</v>
      </c>
      <c r="Z524" s="184" t="s">
        <v>598</v>
      </c>
      <c r="AA524" s="21" t="s">
        <v>610</v>
      </c>
      <c r="AB524" s="176" t="s">
        <v>489</v>
      </c>
      <c r="AC524" s="172">
        <v>42996.328472222223</v>
      </c>
      <c r="AD524" s="32" t="s">
        <v>552</v>
      </c>
    </row>
    <row r="525" spans="1:30">
      <c r="A525" s="184">
        <v>524</v>
      </c>
      <c r="B525" s="184" t="s">
        <v>1646</v>
      </c>
      <c r="C525" s="184" t="s">
        <v>598</v>
      </c>
      <c r="D525" s="127">
        <v>42800</v>
      </c>
      <c r="E525" s="127" t="s">
        <v>598</v>
      </c>
      <c r="F525" s="184" t="s">
        <v>1647</v>
      </c>
      <c r="G525" s="185">
        <v>0</v>
      </c>
      <c r="H525" s="184" t="s">
        <v>598</v>
      </c>
      <c r="I525" s="184" t="s">
        <v>134</v>
      </c>
      <c r="J525" s="184" t="s">
        <v>84</v>
      </c>
      <c r="K525" s="184" t="s">
        <v>262</v>
      </c>
      <c r="L525" s="184" t="s">
        <v>598</v>
      </c>
      <c r="M525" s="184" t="s">
        <v>41</v>
      </c>
      <c r="N525" s="184" t="s">
        <v>79</v>
      </c>
      <c r="O525" s="184" t="s">
        <v>112</v>
      </c>
      <c r="P525" s="186" t="s">
        <v>601</v>
      </c>
      <c r="Q525" s="184" t="s">
        <v>598</v>
      </c>
      <c r="R525" s="184" t="s">
        <v>598</v>
      </c>
      <c r="S525" s="127" t="s">
        <v>598</v>
      </c>
      <c r="T525" s="184" t="s">
        <v>598</v>
      </c>
      <c r="U525" s="184" t="s">
        <v>598</v>
      </c>
      <c r="V525" s="185">
        <v>0</v>
      </c>
      <c r="W525" s="184" t="s">
        <v>485</v>
      </c>
      <c r="X525" s="184" t="s">
        <v>598</v>
      </c>
      <c r="Y525" s="185">
        <v>0</v>
      </c>
      <c r="Z525" s="184" t="s">
        <v>598</v>
      </c>
      <c r="AA525" s="21" t="s">
        <v>610</v>
      </c>
      <c r="AB525" s="176" t="s">
        <v>489</v>
      </c>
      <c r="AC525" s="172">
        <v>42996.328472222223</v>
      </c>
      <c r="AD525" s="32" t="s">
        <v>552</v>
      </c>
    </row>
    <row r="526" spans="1:30">
      <c r="A526" s="184">
        <v>525</v>
      </c>
      <c r="B526" s="184" t="s">
        <v>1648</v>
      </c>
      <c r="C526" s="184" t="s">
        <v>598</v>
      </c>
      <c r="D526" s="127">
        <v>42801</v>
      </c>
      <c r="E526" s="127" t="s">
        <v>598</v>
      </c>
      <c r="F526" s="184" t="s">
        <v>1649</v>
      </c>
      <c r="G526" s="185">
        <v>0</v>
      </c>
      <c r="H526" s="184" t="s">
        <v>598</v>
      </c>
      <c r="I526" s="184" t="s">
        <v>120</v>
      </c>
      <c r="J526" s="184" t="s">
        <v>84</v>
      </c>
      <c r="K526" s="184" t="s">
        <v>263</v>
      </c>
      <c r="L526" s="184" t="s">
        <v>598</v>
      </c>
      <c r="M526" s="184" t="s">
        <v>41</v>
      </c>
      <c r="N526" s="184" t="s">
        <v>79</v>
      </c>
      <c r="O526" s="184" t="s">
        <v>112</v>
      </c>
      <c r="P526" s="186" t="s">
        <v>32</v>
      </c>
      <c r="Q526" s="184" t="s">
        <v>598</v>
      </c>
      <c r="R526" s="184" t="s">
        <v>598</v>
      </c>
      <c r="S526" s="127" t="s">
        <v>598</v>
      </c>
      <c r="T526" s="184" t="s">
        <v>598</v>
      </c>
      <c r="U526" s="184" t="s">
        <v>598</v>
      </c>
      <c r="V526" s="185">
        <v>0</v>
      </c>
      <c r="W526" s="184" t="s">
        <v>485</v>
      </c>
      <c r="X526" s="184" t="s">
        <v>598</v>
      </c>
      <c r="Y526" s="185">
        <v>0</v>
      </c>
      <c r="Z526" s="184" t="s">
        <v>598</v>
      </c>
      <c r="AA526" s="21" t="s">
        <v>610</v>
      </c>
      <c r="AB526" s="176" t="s">
        <v>489</v>
      </c>
      <c r="AC526" s="172">
        <v>42996.328472222223</v>
      </c>
      <c r="AD526" s="32" t="s">
        <v>552</v>
      </c>
    </row>
    <row r="527" spans="1:30">
      <c r="A527" s="184">
        <v>526</v>
      </c>
      <c r="B527" s="184" t="s">
        <v>1650</v>
      </c>
      <c r="C527" s="184" t="s">
        <v>598</v>
      </c>
      <c r="D527" s="127">
        <v>42803</v>
      </c>
      <c r="E527" s="127" t="s">
        <v>598</v>
      </c>
      <c r="F527" s="184" t="s">
        <v>1651</v>
      </c>
      <c r="G527" s="185">
        <v>4223000</v>
      </c>
      <c r="H527" s="184" t="s">
        <v>598</v>
      </c>
      <c r="I527" s="184" t="s">
        <v>134</v>
      </c>
      <c r="J527" s="184" t="s">
        <v>84</v>
      </c>
      <c r="K527" s="184" t="s">
        <v>195</v>
      </c>
      <c r="L527" s="184" t="s">
        <v>598</v>
      </c>
      <c r="M527" s="184" t="s">
        <v>62</v>
      </c>
      <c r="N527" s="184" t="s">
        <v>79</v>
      </c>
      <c r="O527" s="184" t="s">
        <v>79</v>
      </c>
      <c r="P527" s="186" t="s">
        <v>53</v>
      </c>
      <c r="Q527" s="184" t="s">
        <v>598</v>
      </c>
      <c r="R527" s="184" t="s">
        <v>598</v>
      </c>
      <c r="S527" s="127" t="s">
        <v>598</v>
      </c>
      <c r="T527" s="184" t="s">
        <v>598</v>
      </c>
      <c r="U527" s="184" t="s">
        <v>598</v>
      </c>
      <c r="V527" s="185">
        <v>0</v>
      </c>
      <c r="W527" s="184" t="s">
        <v>485</v>
      </c>
      <c r="X527" s="184" t="s">
        <v>598</v>
      </c>
      <c r="Y527" s="185">
        <v>0</v>
      </c>
      <c r="Z527" s="184" t="s">
        <v>598</v>
      </c>
      <c r="AA527" s="21" t="s">
        <v>610</v>
      </c>
      <c r="AB527" s="176" t="s">
        <v>489</v>
      </c>
      <c r="AC527" s="172">
        <v>42996.328472222223</v>
      </c>
      <c r="AD527" s="32" t="s">
        <v>552</v>
      </c>
    </row>
    <row r="528" spans="1:30">
      <c r="A528" s="184">
        <v>527</v>
      </c>
      <c r="B528" s="184" t="s">
        <v>1652</v>
      </c>
      <c r="C528" s="184" t="s">
        <v>598</v>
      </c>
      <c r="D528" s="127">
        <v>42804</v>
      </c>
      <c r="E528" s="127" t="s">
        <v>598</v>
      </c>
      <c r="F528" s="184" t="s">
        <v>1653</v>
      </c>
      <c r="G528" s="185">
        <v>2820000</v>
      </c>
      <c r="H528" s="184" t="s">
        <v>598</v>
      </c>
      <c r="I528" s="184" t="s">
        <v>134</v>
      </c>
      <c r="J528" s="184" t="s">
        <v>84</v>
      </c>
      <c r="K528" s="184" t="s">
        <v>228</v>
      </c>
      <c r="L528" s="184" t="s">
        <v>598</v>
      </c>
      <c r="M528" s="184" t="s">
        <v>62</v>
      </c>
      <c r="N528" s="184" t="s">
        <v>79</v>
      </c>
      <c r="O528" s="184" t="s">
        <v>112</v>
      </c>
      <c r="P528" s="186" t="s">
        <v>44</v>
      </c>
      <c r="Q528" s="184" t="s">
        <v>598</v>
      </c>
      <c r="R528" s="184" t="s">
        <v>598</v>
      </c>
      <c r="S528" s="127" t="s">
        <v>598</v>
      </c>
      <c r="T528" s="184" t="s">
        <v>598</v>
      </c>
      <c r="U528" s="184" t="s">
        <v>598</v>
      </c>
      <c r="V528" s="185">
        <v>0</v>
      </c>
      <c r="W528" s="184" t="s">
        <v>485</v>
      </c>
      <c r="X528" s="184" t="s">
        <v>598</v>
      </c>
      <c r="Y528" s="185">
        <v>0</v>
      </c>
      <c r="Z528" s="184" t="s">
        <v>598</v>
      </c>
      <c r="AA528" s="21" t="s">
        <v>610</v>
      </c>
      <c r="AB528" s="176" t="s">
        <v>489</v>
      </c>
      <c r="AC528" s="172">
        <v>42996.328472222223</v>
      </c>
      <c r="AD528" s="32" t="s">
        <v>552</v>
      </c>
    </row>
    <row r="529" spans="1:30">
      <c r="A529" s="184">
        <v>528</v>
      </c>
      <c r="B529" s="184" t="s">
        <v>1654</v>
      </c>
      <c r="C529" s="184" t="s">
        <v>598</v>
      </c>
      <c r="D529" s="127">
        <v>42805</v>
      </c>
      <c r="E529" s="127" t="s">
        <v>598</v>
      </c>
      <c r="F529" s="184" t="s">
        <v>1342</v>
      </c>
      <c r="G529" s="185">
        <v>0</v>
      </c>
      <c r="H529" s="184" t="s">
        <v>598</v>
      </c>
      <c r="I529" s="184" t="s">
        <v>134</v>
      </c>
      <c r="J529" s="184" t="s">
        <v>84</v>
      </c>
      <c r="K529" s="184" t="s">
        <v>363</v>
      </c>
      <c r="L529" s="184" t="s">
        <v>598</v>
      </c>
      <c r="M529" s="184" t="s">
        <v>41</v>
      </c>
      <c r="N529" s="184" t="s">
        <v>79</v>
      </c>
      <c r="O529" s="184" t="s">
        <v>112</v>
      </c>
      <c r="P529" s="186" t="s">
        <v>67</v>
      </c>
      <c r="Q529" s="184" t="s">
        <v>598</v>
      </c>
      <c r="R529" s="184" t="s">
        <v>598</v>
      </c>
      <c r="S529" s="127" t="s">
        <v>598</v>
      </c>
      <c r="T529" s="184" t="s">
        <v>598</v>
      </c>
      <c r="U529" s="184" t="s">
        <v>598</v>
      </c>
      <c r="V529" s="185">
        <v>0</v>
      </c>
      <c r="W529" s="184" t="s">
        <v>485</v>
      </c>
      <c r="X529" s="184" t="s">
        <v>598</v>
      </c>
      <c r="Y529" s="185">
        <v>0</v>
      </c>
      <c r="Z529" s="184" t="s">
        <v>598</v>
      </c>
      <c r="AA529" s="21" t="s">
        <v>610</v>
      </c>
      <c r="AB529" s="176" t="s">
        <v>489</v>
      </c>
      <c r="AC529" s="172">
        <v>42996.328472222223</v>
      </c>
      <c r="AD529" s="32" t="s">
        <v>552</v>
      </c>
    </row>
    <row r="530" spans="1:30">
      <c r="A530" s="184">
        <v>529</v>
      </c>
      <c r="B530" s="184" t="s">
        <v>1655</v>
      </c>
      <c r="C530" s="184" t="s">
        <v>598</v>
      </c>
      <c r="D530" s="127">
        <v>42805</v>
      </c>
      <c r="E530" s="127" t="s">
        <v>598</v>
      </c>
      <c r="F530" s="184" t="s">
        <v>1656</v>
      </c>
      <c r="G530" s="185">
        <v>0</v>
      </c>
      <c r="H530" s="184" t="s">
        <v>598</v>
      </c>
      <c r="I530" s="184" t="s">
        <v>134</v>
      </c>
      <c r="J530" s="184" t="s">
        <v>84</v>
      </c>
      <c r="K530" s="184" t="s">
        <v>254</v>
      </c>
      <c r="L530" s="184" t="s">
        <v>598</v>
      </c>
      <c r="M530" s="184" t="s">
        <v>598</v>
      </c>
      <c r="N530" s="184" t="s">
        <v>79</v>
      </c>
      <c r="O530" s="184" t="s">
        <v>79</v>
      </c>
      <c r="P530" s="186" t="s">
        <v>602</v>
      </c>
      <c r="Q530" s="184" t="s">
        <v>598</v>
      </c>
      <c r="R530" s="184" t="s">
        <v>598</v>
      </c>
      <c r="S530" s="127">
        <v>42916</v>
      </c>
      <c r="T530" s="184" t="s">
        <v>10</v>
      </c>
      <c r="U530" s="184" t="s">
        <v>598</v>
      </c>
      <c r="V530" s="185">
        <v>10000</v>
      </c>
      <c r="W530" s="184" t="s">
        <v>493</v>
      </c>
      <c r="X530" s="184" t="s">
        <v>598</v>
      </c>
      <c r="Y530" s="185">
        <v>0</v>
      </c>
      <c r="Z530" s="184" t="s">
        <v>598</v>
      </c>
      <c r="AA530" s="21" t="s">
        <v>610</v>
      </c>
      <c r="AB530" s="176" t="s">
        <v>489</v>
      </c>
      <c r="AC530" s="172">
        <v>42996.328472222223</v>
      </c>
      <c r="AD530" s="32" t="s">
        <v>552</v>
      </c>
    </row>
    <row r="531" spans="1:30">
      <c r="A531" s="184">
        <v>530</v>
      </c>
      <c r="B531" s="184" t="s">
        <v>1657</v>
      </c>
      <c r="C531" s="184" t="s">
        <v>598</v>
      </c>
      <c r="D531" s="127">
        <v>42805</v>
      </c>
      <c r="E531" s="127" t="s">
        <v>598</v>
      </c>
      <c r="F531" s="184" t="s">
        <v>1658</v>
      </c>
      <c r="G531" s="185">
        <v>0</v>
      </c>
      <c r="H531" s="184" t="s">
        <v>598</v>
      </c>
      <c r="I531" s="184" t="s">
        <v>135</v>
      </c>
      <c r="J531" s="184" t="s">
        <v>84</v>
      </c>
      <c r="K531" s="184" t="s">
        <v>192</v>
      </c>
      <c r="L531" s="184" t="s">
        <v>598</v>
      </c>
      <c r="M531" s="184" t="s">
        <v>598</v>
      </c>
      <c r="N531" s="184" t="s">
        <v>79</v>
      </c>
      <c r="O531" s="184" t="s">
        <v>65</v>
      </c>
      <c r="P531" s="186" t="s">
        <v>603</v>
      </c>
      <c r="Q531" s="184" t="s">
        <v>598</v>
      </c>
      <c r="R531" s="184" t="s">
        <v>598</v>
      </c>
      <c r="S531" s="127" t="s">
        <v>598</v>
      </c>
      <c r="T531" s="184" t="s">
        <v>598</v>
      </c>
      <c r="U531" s="184" t="s">
        <v>598</v>
      </c>
      <c r="V531" s="185">
        <v>0</v>
      </c>
      <c r="W531" s="184" t="s">
        <v>485</v>
      </c>
      <c r="X531" s="184" t="s">
        <v>598</v>
      </c>
      <c r="Y531" s="185">
        <v>0</v>
      </c>
      <c r="Z531" s="184" t="s">
        <v>598</v>
      </c>
      <c r="AA531" s="21" t="s">
        <v>610</v>
      </c>
      <c r="AB531" s="176" t="s">
        <v>489</v>
      </c>
      <c r="AC531" s="172">
        <v>42996.328472222223</v>
      </c>
      <c r="AD531" s="32" t="s">
        <v>552</v>
      </c>
    </row>
    <row r="532" spans="1:30">
      <c r="A532" s="184">
        <v>531</v>
      </c>
      <c r="B532" s="184" t="s">
        <v>1659</v>
      </c>
      <c r="C532" s="184" t="s">
        <v>598</v>
      </c>
      <c r="D532" s="127">
        <v>42809</v>
      </c>
      <c r="E532" s="127" t="s">
        <v>598</v>
      </c>
      <c r="F532" s="184" t="s">
        <v>1660</v>
      </c>
      <c r="G532" s="185">
        <v>0</v>
      </c>
      <c r="H532" s="184" t="s">
        <v>598</v>
      </c>
      <c r="I532" s="184" t="s">
        <v>134</v>
      </c>
      <c r="J532" s="184" t="s">
        <v>84</v>
      </c>
      <c r="K532" s="184" t="s">
        <v>598</v>
      </c>
      <c r="L532" s="184" t="s">
        <v>598</v>
      </c>
      <c r="M532" s="184" t="s">
        <v>41</v>
      </c>
      <c r="N532" s="184" t="s">
        <v>79</v>
      </c>
      <c r="O532" s="184" t="s">
        <v>65</v>
      </c>
      <c r="P532" s="186" t="s">
        <v>604</v>
      </c>
      <c r="Q532" s="184" t="s">
        <v>598</v>
      </c>
      <c r="R532" s="184" t="s">
        <v>598</v>
      </c>
      <c r="S532" s="127" t="s">
        <v>598</v>
      </c>
      <c r="T532" s="184" t="s">
        <v>598</v>
      </c>
      <c r="U532" s="184" t="s">
        <v>598</v>
      </c>
      <c r="V532" s="185">
        <v>0</v>
      </c>
      <c r="W532" s="184" t="s">
        <v>485</v>
      </c>
      <c r="X532" s="184" t="s">
        <v>598</v>
      </c>
      <c r="Y532" s="185">
        <v>0</v>
      </c>
      <c r="Z532" s="184" t="s">
        <v>598</v>
      </c>
      <c r="AA532" s="21" t="s">
        <v>610</v>
      </c>
      <c r="AB532" s="176" t="s">
        <v>489</v>
      </c>
      <c r="AC532" s="172">
        <v>42996.328472222223</v>
      </c>
      <c r="AD532" s="32" t="s">
        <v>552</v>
      </c>
    </row>
    <row r="533" spans="1:30">
      <c r="A533" s="184">
        <v>532</v>
      </c>
      <c r="B533" s="184" t="s">
        <v>1661</v>
      </c>
      <c r="C533" s="184" t="s">
        <v>598</v>
      </c>
      <c r="D533" s="127">
        <v>42809</v>
      </c>
      <c r="E533" s="127" t="s">
        <v>598</v>
      </c>
      <c r="F533" s="184" t="s">
        <v>1662</v>
      </c>
      <c r="G533" s="185">
        <v>0</v>
      </c>
      <c r="H533" s="184" t="s">
        <v>598</v>
      </c>
      <c r="I533" s="184" t="s">
        <v>598</v>
      </c>
      <c r="J533" s="184" t="s">
        <v>84</v>
      </c>
      <c r="K533" s="184" t="s">
        <v>364</v>
      </c>
      <c r="L533" s="184" t="s">
        <v>598</v>
      </c>
      <c r="M533" s="184" t="s">
        <v>72</v>
      </c>
      <c r="N533" s="184" t="s">
        <v>79</v>
      </c>
      <c r="O533" s="184" t="s">
        <v>598</v>
      </c>
      <c r="P533" s="186" t="s">
        <v>605</v>
      </c>
      <c r="Q533" s="184" t="s">
        <v>598</v>
      </c>
      <c r="R533" s="184" t="s">
        <v>598</v>
      </c>
      <c r="S533" s="127" t="s">
        <v>598</v>
      </c>
      <c r="T533" s="184" t="s">
        <v>598</v>
      </c>
      <c r="U533" s="184" t="s">
        <v>598</v>
      </c>
      <c r="V533" s="185">
        <v>0</v>
      </c>
      <c r="W533" s="184" t="s">
        <v>89</v>
      </c>
      <c r="X533" s="184" t="s">
        <v>598</v>
      </c>
      <c r="Y533" s="185">
        <v>0</v>
      </c>
      <c r="Z533" s="184" t="s">
        <v>598</v>
      </c>
      <c r="AA533" s="21" t="s">
        <v>822</v>
      </c>
      <c r="AB533" s="176" t="s">
        <v>489</v>
      </c>
      <c r="AC533" s="172">
        <v>42996.328472222223</v>
      </c>
      <c r="AD533" s="32" t="s">
        <v>552</v>
      </c>
    </row>
    <row r="534" spans="1:30">
      <c r="A534" s="184">
        <v>533</v>
      </c>
      <c r="B534" s="184" t="s">
        <v>1663</v>
      </c>
      <c r="C534" s="184" t="s">
        <v>598</v>
      </c>
      <c r="D534" s="127">
        <v>42811</v>
      </c>
      <c r="E534" s="127" t="s">
        <v>598</v>
      </c>
      <c r="F534" s="184" t="s">
        <v>1664</v>
      </c>
      <c r="G534" s="185">
        <v>7733000</v>
      </c>
      <c r="H534" s="184" t="s">
        <v>598</v>
      </c>
      <c r="I534" s="184" t="s">
        <v>598</v>
      </c>
      <c r="J534" s="184" t="s">
        <v>84</v>
      </c>
      <c r="K534" s="184" t="s">
        <v>365</v>
      </c>
      <c r="L534" s="184" t="s">
        <v>598</v>
      </c>
      <c r="M534" s="184" t="s">
        <v>62</v>
      </c>
      <c r="N534" s="184" t="s">
        <v>79</v>
      </c>
      <c r="O534" s="184" t="s">
        <v>598</v>
      </c>
      <c r="P534" s="186" t="s">
        <v>606</v>
      </c>
      <c r="Q534" s="184" t="s">
        <v>598</v>
      </c>
      <c r="R534" s="184" t="s">
        <v>598</v>
      </c>
      <c r="S534" s="127" t="s">
        <v>598</v>
      </c>
      <c r="T534" s="184" t="s">
        <v>598</v>
      </c>
      <c r="U534" s="184" t="s">
        <v>598</v>
      </c>
      <c r="V534" s="185">
        <v>0</v>
      </c>
      <c r="W534" s="184" t="s">
        <v>485</v>
      </c>
      <c r="X534" s="184" t="s">
        <v>598</v>
      </c>
      <c r="Y534" s="185">
        <v>0</v>
      </c>
      <c r="Z534" s="184" t="s">
        <v>598</v>
      </c>
      <c r="AA534" s="21" t="s">
        <v>610</v>
      </c>
      <c r="AB534" s="176" t="s">
        <v>489</v>
      </c>
      <c r="AC534" s="172">
        <v>42996.328472222223</v>
      </c>
      <c r="AD534" s="32" t="s">
        <v>552</v>
      </c>
    </row>
    <row r="535" spans="1:30">
      <c r="A535" s="184">
        <v>534</v>
      </c>
      <c r="B535" s="184" t="s">
        <v>1665</v>
      </c>
      <c r="C535" s="184" t="s">
        <v>598</v>
      </c>
      <c r="D535" s="127">
        <v>42811</v>
      </c>
      <c r="E535" s="127" t="s">
        <v>598</v>
      </c>
      <c r="F535" s="184" t="s">
        <v>1666</v>
      </c>
      <c r="G535" s="185">
        <v>19979000</v>
      </c>
      <c r="H535" s="184" t="s">
        <v>598</v>
      </c>
      <c r="I535" s="184" t="s">
        <v>598</v>
      </c>
      <c r="J535" s="184" t="s">
        <v>84</v>
      </c>
      <c r="K535" s="184" t="s">
        <v>184</v>
      </c>
      <c r="L535" s="184" t="s">
        <v>598</v>
      </c>
      <c r="M535" s="184" t="s">
        <v>62</v>
      </c>
      <c r="N535" s="184" t="s">
        <v>79</v>
      </c>
      <c r="O535" s="184" t="s">
        <v>598</v>
      </c>
      <c r="P535" s="186" t="s">
        <v>607</v>
      </c>
      <c r="Q535" s="184" t="s">
        <v>598</v>
      </c>
      <c r="R535" s="184" t="s">
        <v>598</v>
      </c>
      <c r="S535" s="127" t="s">
        <v>598</v>
      </c>
      <c r="T535" s="184" t="s">
        <v>598</v>
      </c>
      <c r="U535" s="184" t="s">
        <v>598</v>
      </c>
      <c r="V535" s="185">
        <v>0</v>
      </c>
      <c r="W535" s="184" t="s">
        <v>485</v>
      </c>
      <c r="X535" s="184" t="s">
        <v>598</v>
      </c>
      <c r="Y535" s="185">
        <v>0</v>
      </c>
      <c r="Z535" s="184" t="s">
        <v>598</v>
      </c>
      <c r="AA535" s="21" t="s">
        <v>610</v>
      </c>
      <c r="AB535" s="176" t="s">
        <v>489</v>
      </c>
      <c r="AC535" s="172">
        <v>42996.328472222223</v>
      </c>
      <c r="AD535" s="32" t="s">
        <v>552</v>
      </c>
    </row>
    <row r="536" spans="1:30">
      <c r="A536" s="184">
        <v>535</v>
      </c>
      <c r="B536" s="184" t="s">
        <v>1667</v>
      </c>
      <c r="C536" s="184" t="s">
        <v>598</v>
      </c>
      <c r="D536" s="127">
        <v>42812</v>
      </c>
      <c r="E536" s="127" t="s">
        <v>598</v>
      </c>
      <c r="F536" s="184" t="s">
        <v>1668</v>
      </c>
      <c r="G536" s="185">
        <v>5410000</v>
      </c>
      <c r="H536" s="184" t="s">
        <v>598</v>
      </c>
      <c r="I536" s="184" t="s">
        <v>134</v>
      </c>
      <c r="J536" s="184" t="s">
        <v>84</v>
      </c>
      <c r="K536" s="184" t="s">
        <v>175</v>
      </c>
      <c r="L536" s="184" t="s">
        <v>598</v>
      </c>
      <c r="M536" s="184" t="s">
        <v>62</v>
      </c>
      <c r="N536" s="184" t="s">
        <v>79</v>
      </c>
      <c r="O536" s="184" t="s">
        <v>79</v>
      </c>
      <c r="P536" s="186" t="s">
        <v>73</v>
      </c>
      <c r="Q536" s="184" t="s">
        <v>598</v>
      </c>
      <c r="R536" s="184" t="s">
        <v>598</v>
      </c>
      <c r="S536" s="127" t="s">
        <v>598</v>
      </c>
      <c r="T536" s="184" t="s">
        <v>598</v>
      </c>
      <c r="U536" s="184" t="s">
        <v>598</v>
      </c>
      <c r="V536" s="185">
        <v>0</v>
      </c>
      <c r="W536" s="184" t="s">
        <v>485</v>
      </c>
      <c r="X536" s="184" t="s">
        <v>598</v>
      </c>
      <c r="Y536" s="185">
        <v>0</v>
      </c>
      <c r="Z536" s="184" t="s">
        <v>598</v>
      </c>
      <c r="AA536" s="21" t="s">
        <v>610</v>
      </c>
      <c r="AB536" s="176" t="s">
        <v>489</v>
      </c>
      <c r="AC536" s="172">
        <v>42996.328472222223</v>
      </c>
      <c r="AD536" s="32" t="s">
        <v>552</v>
      </c>
    </row>
    <row r="537" spans="1:30">
      <c r="A537" s="184">
        <v>536</v>
      </c>
      <c r="B537" s="184" t="s">
        <v>1669</v>
      </c>
      <c r="C537" s="184" t="s">
        <v>598</v>
      </c>
      <c r="D537" s="127">
        <v>42814</v>
      </c>
      <c r="E537" s="127" t="s">
        <v>598</v>
      </c>
      <c r="F537" s="184" t="s">
        <v>1670</v>
      </c>
      <c r="G537" s="185">
        <v>2621000</v>
      </c>
      <c r="H537" s="184" t="s">
        <v>598</v>
      </c>
      <c r="I537" s="184" t="s">
        <v>598</v>
      </c>
      <c r="J537" s="184" t="s">
        <v>84</v>
      </c>
      <c r="K537" s="184" t="s">
        <v>184</v>
      </c>
      <c r="L537" s="184" t="s">
        <v>598</v>
      </c>
      <c r="M537" s="184" t="s">
        <v>62</v>
      </c>
      <c r="N537" s="184" t="s">
        <v>79</v>
      </c>
      <c r="O537" s="184" t="s">
        <v>79</v>
      </c>
      <c r="P537" s="186" t="s">
        <v>601</v>
      </c>
      <c r="Q537" s="184" t="s">
        <v>598</v>
      </c>
      <c r="R537" s="184" t="s">
        <v>598</v>
      </c>
      <c r="S537" s="127" t="s">
        <v>598</v>
      </c>
      <c r="T537" s="184" t="s">
        <v>598</v>
      </c>
      <c r="U537" s="184" t="s">
        <v>598</v>
      </c>
      <c r="V537" s="185">
        <v>0</v>
      </c>
      <c r="W537" s="184" t="s">
        <v>485</v>
      </c>
      <c r="X537" s="184" t="s">
        <v>598</v>
      </c>
      <c r="Y537" s="185">
        <v>0</v>
      </c>
      <c r="Z537" s="184" t="s">
        <v>598</v>
      </c>
      <c r="AA537" s="21" t="s">
        <v>610</v>
      </c>
      <c r="AB537" s="176" t="s">
        <v>489</v>
      </c>
      <c r="AC537" s="172">
        <v>42996.328472222223</v>
      </c>
      <c r="AD537" s="32" t="s">
        <v>552</v>
      </c>
    </row>
    <row r="538" spans="1:30">
      <c r="A538" s="184">
        <v>537</v>
      </c>
      <c r="B538" s="184" t="s">
        <v>1671</v>
      </c>
      <c r="C538" s="184" t="s">
        <v>598</v>
      </c>
      <c r="D538" s="127">
        <v>42814</v>
      </c>
      <c r="E538" s="127" t="s">
        <v>598</v>
      </c>
      <c r="F538" s="184" t="s">
        <v>1672</v>
      </c>
      <c r="G538" s="185">
        <v>0</v>
      </c>
      <c r="H538" s="184" t="s">
        <v>598</v>
      </c>
      <c r="I538" s="184" t="s">
        <v>120</v>
      </c>
      <c r="J538" s="184" t="s">
        <v>84</v>
      </c>
      <c r="K538" s="184" t="s">
        <v>364</v>
      </c>
      <c r="L538" s="184" t="s">
        <v>598</v>
      </c>
      <c r="M538" s="184" t="s">
        <v>72</v>
      </c>
      <c r="N538" s="184" t="s">
        <v>79</v>
      </c>
      <c r="O538" s="184" t="s">
        <v>112</v>
      </c>
      <c r="P538" s="186" t="s">
        <v>32</v>
      </c>
      <c r="Q538" s="184" t="s">
        <v>598</v>
      </c>
      <c r="R538" s="184" t="s">
        <v>598</v>
      </c>
      <c r="S538" s="127" t="s">
        <v>598</v>
      </c>
      <c r="T538" s="184" t="s">
        <v>598</v>
      </c>
      <c r="U538" s="184" t="s">
        <v>598</v>
      </c>
      <c r="V538" s="185">
        <v>0</v>
      </c>
      <c r="W538" s="184" t="s">
        <v>485</v>
      </c>
      <c r="X538" s="184" t="s">
        <v>598</v>
      </c>
      <c r="Y538" s="185">
        <v>0</v>
      </c>
      <c r="Z538" s="184" t="s">
        <v>598</v>
      </c>
      <c r="AA538" s="21" t="s">
        <v>610</v>
      </c>
      <c r="AB538" s="176" t="s">
        <v>489</v>
      </c>
      <c r="AC538" s="172">
        <v>42996.328472222223</v>
      </c>
      <c r="AD538" s="32" t="s">
        <v>552</v>
      </c>
    </row>
    <row r="539" spans="1:30">
      <c r="A539" s="184">
        <v>538</v>
      </c>
      <c r="B539" s="184" t="s">
        <v>1673</v>
      </c>
      <c r="C539" s="184" t="s">
        <v>598</v>
      </c>
      <c r="D539" s="127">
        <v>42815</v>
      </c>
      <c r="E539" s="127" t="s">
        <v>598</v>
      </c>
      <c r="F539" s="184" t="s">
        <v>866</v>
      </c>
      <c r="G539" s="185">
        <v>0</v>
      </c>
      <c r="H539" s="184" t="s">
        <v>598</v>
      </c>
      <c r="I539" s="184" t="s">
        <v>598</v>
      </c>
      <c r="J539" s="184" t="s">
        <v>84</v>
      </c>
      <c r="K539" s="184" t="s">
        <v>364</v>
      </c>
      <c r="L539" s="184" t="s">
        <v>598</v>
      </c>
      <c r="M539" s="184" t="s">
        <v>72</v>
      </c>
      <c r="N539" s="184" t="s">
        <v>79</v>
      </c>
      <c r="O539" s="184" t="s">
        <v>112</v>
      </c>
      <c r="P539" s="186" t="s">
        <v>53</v>
      </c>
      <c r="Q539" s="184" t="s">
        <v>598</v>
      </c>
      <c r="R539" s="184" t="s">
        <v>598</v>
      </c>
      <c r="S539" s="127" t="s">
        <v>598</v>
      </c>
      <c r="T539" s="184" t="s">
        <v>598</v>
      </c>
      <c r="U539" s="184" t="s">
        <v>598</v>
      </c>
      <c r="V539" s="185">
        <v>0</v>
      </c>
      <c r="W539" s="184" t="s">
        <v>89</v>
      </c>
      <c r="X539" s="184" t="s">
        <v>598</v>
      </c>
      <c r="Y539" s="185">
        <v>0</v>
      </c>
      <c r="Z539" s="184" t="s">
        <v>598</v>
      </c>
      <c r="AA539" s="21" t="s">
        <v>822</v>
      </c>
      <c r="AB539" s="176" t="s">
        <v>489</v>
      </c>
      <c r="AC539" s="172">
        <v>42996.328472222223</v>
      </c>
      <c r="AD539" s="32" t="s">
        <v>552</v>
      </c>
    </row>
    <row r="540" spans="1:30">
      <c r="A540" s="184">
        <v>539</v>
      </c>
      <c r="B540" s="184" t="s">
        <v>1674</v>
      </c>
      <c r="C540" s="184" t="s">
        <v>598</v>
      </c>
      <c r="D540" s="127">
        <v>42815</v>
      </c>
      <c r="E540" s="127" t="s">
        <v>598</v>
      </c>
      <c r="F540" s="184" t="s">
        <v>1675</v>
      </c>
      <c r="G540" s="185">
        <v>8062000</v>
      </c>
      <c r="H540" s="184" t="s">
        <v>598</v>
      </c>
      <c r="I540" s="184" t="s">
        <v>598</v>
      </c>
      <c r="J540" s="184" t="s">
        <v>84</v>
      </c>
      <c r="K540" s="184" t="s">
        <v>195</v>
      </c>
      <c r="L540" s="184" t="s">
        <v>598</v>
      </c>
      <c r="M540" s="184" t="s">
        <v>62</v>
      </c>
      <c r="N540" s="184" t="s">
        <v>79</v>
      </c>
      <c r="O540" s="184" t="s">
        <v>598</v>
      </c>
      <c r="P540" s="186" t="s">
        <v>44</v>
      </c>
      <c r="Q540" s="184" t="s">
        <v>598</v>
      </c>
      <c r="R540" s="184" t="s">
        <v>598</v>
      </c>
      <c r="S540" s="127" t="s">
        <v>598</v>
      </c>
      <c r="T540" s="184" t="s">
        <v>598</v>
      </c>
      <c r="U540" s="184" t="s">
        <v>598</v>
      </c>
      <c r="V540" s="185">
        <v>0</v>
      </c>
      <c r="W540" s="184" t="s">
        <v>485</v>
      </c>
      <c r="X540" s="184" t="s">
        <v>598</v>
      </c>
      <c r="Y540" s="185">
        <v>0</v>
      </c>
      <c r="Z540" s="184" t="s">
        <v>598</v>
      </c>
      <c r="AA540" s="21" t="s">
        <v>610</v>
      </c>
      <c r="AB540" s="176" t="s">
        <v>489</v>
      </c>
      <c r="AC540" s="172">
        <v>42996.328472222223</v>
      </c>
      <c r="AD540" s="32" t="s">
        <v>552</v>
      </c>
    </row>
    <row r="541" spans="1:30">
      <c r="A541" s="184">
        <v>540</v>
      </c>
      <c r="B541" s="184" t="s">
        <v>1676</v>
      </c>
      <c r="C541" s="184" t="s">
        <v>598</v>
      </c>
      <c r="D541" s="127">
        <v>42817</v>
      </c>
      <c r="E541" s="127" t="s">
        <v>598</v>
      </c>
      <c r="F541" s="184" t="s">
        <v>826</v>
      </c>
      <c r="G541" s="185">
        <v>0</v>
      </c>
      <c r="H541" s="184" t="s">
        <v>598</v>
      </c>
      <c r="I541" s="184" t="s">
        <v>134</v>
      </c>
      <c r="J541" s="184" t="s">
        <v>84</v>
      </c>
      <c r="K541" s="184" t="s">
        <v>61</v>
      </c>
      <c r="L541" s="184" t="s">
        <v>598</v>
      </c>
      <c r="M541" s="184" t="s">
        <v>598</v>
      </c>
      <c r="N541" s="184" t="s">
        <v>79</v>
      </c>
      <c r="O541" s="184" t="s">
        <v>79</v>
      </c>
      <c r="P541" s="186" t="s">
        <v>67</v>
      </c>
      <c r="Q541" s="184" t="s">
        <v>598</v>
      </c>
      <c r="R541" s="184" t="s">
        <v>598</v>
      </c>
      <c r="S541" s="127" t="s">
        <v>598</v>
      </c>
      <c r="T541" s="184" t="s">
        <v>598</v>
      </c>
      <c r="U541" s="184" t="s">
        <v>598</v>
      </c>
      <c r="V541" s="185">
        <v>0</v>
      </c>
      <c r="W541" s="184" t="s">
        <v>485</v>
      </c>
      <c r="X541" s="184" t="s">
        <v>598</v>
      </c>
      <c r="Y541" s="185">
        <v>0</v>
      </c>
      <c r="Z541" s="184" t="s">
        <v>598</v>
      </c>
      <c r="AA541" s="21" t="s">
        <v>610</v>
      </c>
      <c r="AB541" s="176" t="s">
        <v>489</v>
      </c>
      <c r="AC541" s="172">
        <v>42996.328472222223</v>
      </c>
      <c r="AD541" s="32" t="s">
        <v>552</v>
      </c>
    </row>
    <row r="542" spans="1:30">
      <c r="A542" s="184">
        <v>541</v>
      </c>
      <c r="B542" s="184" t="s">
        <v>1677</v>
      </c>
      <c r="C542" s="184" t="s">
        <v>598</v>
      </c>
      <c r="D542" s="127">
        <v>42818</v>
      </c>
      <c r="E542" s="127" t="s">
        <v>598</v>
      </c>
      <c r="F542" s="184" t="s">
        <v>1678</v>
      </c>
      <c r="G542" s="185">
        <v>0</v>
      </c>
      <c r="H542" s="184" t="s">
        <v>598</v>
      </c>
      <c r="I542" s="184" t="s">
        <v>134</v>
      </c>
      <c r="J542" s="184" t="s">
        <v>84</v>
      </c>
      <c r="K542" s="184" t="s">
        <v>280</v>
      </c>
      <c r="L542" s="184" t="s">
        <v>598</v>
      </c>
      <c r="M542" s="184" t="s">
        <v>598</v>
      </c>
      <c r="N542" s="184" t="s">
        <v>79</v>
      </c>
      <c r="O542" s="184" t="s">
        <v>112</v>
      </c>
      <c r="P542" s="186" t="s">
        <v>602</v>
      </c>
      <c r="Q542" s="184" t="s">
        <v>598</v>
      </c>
      <c r="R542" s="184" t="s">
        <v>598</v>
      </c>
      <c r="S542" s="127">
        <v>42903</v>
      </c>
      <c r="T542" s="184" t="s">
        <v>34</v>
      </c>
      <c r="U542" s="184" t="s">
        <v>598</v>
      </c>
      <c r="V542" s="185">
        <v>2500</v>
      </c>
      <c r="W542" s="184" t="s">
        <v>493</v>
      </c>
      <c r="X542" s="184" t="s">
        <v>598</v>
      </c>
      <c r="Y542" s="185">
        <v>0</v>
      </c>
      <c r="Z542" s="184" t="s">
        <v>598</v>
      </c>
      <c r="AA542" s="21" t="s">
        <v>610</v>
      </c>
      <c r="AB542" s="176" t="s">
        <v>489</v>
      </c>
      <c r="AC542" s="172">
        <v>42996.328472222223</v>
      </c>
      <c r="AD542" s="32" t="s">
        <v>552</v>
      </c>
    </row>
    <row r="543" spans="1:30">
      <c r="A543" s="184">
        <v>542</v>
      </c>
      <c r="B543" s="184" t="s">
        <v>1679</v>
      </c>
      <c r="C543" s="184" t="s">
        <v>598</v>
      </c>
      <c r="D543" s="127">
        <v>42818</v>
      </c>
      <c r="E543" s="127" t="s">
        <v>598</v>
      </c>
      <c r="F543" s="184" t="s">
        <v>1680</v>
      </c>
      <c r="G543" s="185">
        <v>0</v>
      </c>
      <c r="H543" s="184" t="s">
        <v>598</v>
      </c>
      <c r="I543" s="184" t="s">
        <v>134</v>
      </c>
      <c r="J543" s="184" t="s">
        <v>84</v>
      </c>
      <c r="K543" s="184" t="s">
        <v>366</v>
      </c>
      <c r="L543" s="184" t="s">
        <v>598</v>
      </c>
      <c r="M543" s="184" t="s">
        <v>598</v>
      </c>
      <c r="N543" s="184" t="s">
        <v>79</v>
      </c>
      <c r="O543" s="184" t="s">
        <v>79</v>
      </c>
      <c r="P543" s="186" t="s">
        <v>603</v>
      </c>
      <c r="Q543" s="184" t="s">
        <v>598</v>
      </c>
      <c r="R543" s="184" t="s">
        <v>598</v>
      </c>
      <c r="S543" s="127" t="s">
        <v>598</v>
      </c>
      <c r="T543" s="184" t="s">
        <v>598</v>
      </c>
      <c r="U543" s="184" t="s">
        <v>598</v>
      </c>
      <c r="V543" s="185">
        <v>0</v>
      </c>
      <c r="W543" s="184" t="s">
        <v>1681</v>
      </c>
      <c r="X543" s="184" t="s">
        <v>598</v>
      </c>
      <c r="Y543" s="185">
        <v>0</v>
      </c>
      <c r="Z543" s="184" t="s">
        <v>598</v>
      </c>
      <c r="AA543" s="21" t="s">
        <v>610</v>
      </c>
      <c r="AB543" s="176" t="s">
        <v>489</v>
      </c>
      <c r="AC543" s="172">
        <v>42996.328472222223</v>
      </c>
      <c r="AD543" s="32" t="s">
        <v>552</v>
      </c>
    </row>
    <row r="544" spans="1:30">
      <c r="A544" s="184">
        <v>543</v>
      </c>
      <c r="B544" s="184" t="s">
        <v>1682</v>
      </c>
      <c r="C544" s="184" t="s">
        <v>598</v>
      </c>
      <c r="D544" s="127">
        <v>42819</v>
      </c>
      <c r="E544" s="127" t="s">
        <v>598</v>
      </c>
      <c r="F544" s="184" t="s">
        <v>1683</v>
      </c>
      <c r="G544" s="185">
        <v>8165000</v>
      </c>
      <c r="H544" s="184" t="s">
        <v>598</v>
      </c>
      <c r="I544" s="184" t="s">
        <v>134</v>
      </c>
      <c r="J544" s="184" t="s">
        <v>84</v>
      </c>
      <c r="K544" s="184" t="s">
        <v>195</v>
      </c>
      <c r="L544" s="184" t="s">
        <v>598</v>
      </c>
      <c r="M544" s="184" t="s">
        <v>62</v>
      </c>
      <c r="N544" s="184" t="s">
        <v>79</v>
      </c>
      <c r="O544" s="184" t="s">
        <v>79</v>
      </c>
      <c r="P544" s="186" t="s">
        <v>604</v>
      </c>
      <c r="Q544" s="184" t="s">
        <v>598</v>
      </c>
      <c r="R544" s="184" t="s">
        <v>598</v>
      </c>
      <c r="S544" s="127" t="s">
        <v>598</v>
      </c>
      <c r="T544" s="184" t="s">
        <v>598</v>
      </c>
      <c r="U544" s="184" t="s">
        <v>598</v>
      </c>
      <c r="V544" s="185">
        <v>0</v>
      </c>
      <c r="W544" s="184" t="s">
        <v>485</v>
      </c>
      <c r="X544" s="184" t="s">
        <v>598</v>
      </c>
      <c r="Y544" s="185">
        <v>0</v>
      </c>
      <c r="Z544" s="184" t="s">
        <v>598</v>
      </c>
      <c r="AA544" s="21" t="s">
        <v>610</v>
      </c>
      <c r="AB544" s="176" t="s">
        <v>489</v>
      </c>
      <c r="AC544" s="172">
        <v>42996.328472222223</v>
      </c>
      <c r="AD544" s="32" t="s">
        <v>552</v>
      </c>
    </row>
    <row r="545" spans="1:30">
      <c r="A545" s="184">
        <v>544</v>
      </c>
      <c r="B545" s="184" t="s">
        <v>1684</v>
      </c>
      <c r="C545" s="184" t="s">
        <v>598</v>
      </c>
      <c r="D545" s="127">
        <v>42821</v>
      </c>
      <c r="E545" s="127" t="s">
        <v>598</v>
      </c>
      <c r="F545" s="184" t="s">
        <v>1685</v>
      </c>
      <c r="G545" s="185">
        <v>3355000</v>
      </c>
      <c r="H545" s="184" t="s">
        <v>598</v>
      </c>
      <c r="I545" s="184" t="s">
        <v>134</v>
      </c>
      <c r="J545" s="184" t="s">
        <v>84</v>
      </c>
      <c r="K545" s="184" t="s">
        <v>195</v>
      </c>
      <c r="L545" s="184" t="s">
        <v>598</v>
      </c>
      <c r="M545" s="184" t="s">
        <v>62</v>
      </c>
      <c r="N545" s="184" t="s">
        <v>79</v>
      </c>
      <c r="O545" s="184" t="s">
        <v>79</v>
      </c>
      <c r="P545" s="186" t="s">
        <v>605</v>
      </c>
      <c r="Q545" s="184" t="s">
        <v>598</v>
      </c>
      <c r="R545" s="184" t="s">
        <v>598</v>
      </c>
      <c r="S545" s="127" t="s">
        <v>598</v>
      </c>
      <c r="T545" s="184" t="s">
        <v>598</v>
      </c>
      <c r="U545" s="184" t="s">
        <v>598</v>
      </c>
      <c r="V545" s="185">
        <v>0</v>
      </c>
      <c r="W545" s="184" t="s">
        <v>485</v>
      </c>
      <c r="X545" s="184" t="s">
        <v>598</v>
      </c>
      <c r="Y545" s="185">
        <v>0</v>
      </c>
      <c r="Z545" s="184" t="s">
        <v>598</v>
      </c>
      <c r="AA545" s="21" t="s">
        <v>610</v>
      </c>
      <c r="AB545" s="176" t="s">
        <v>489</v>
      </c>
      <c r="AC545" s="172">
        <v>42996.328472222223</v>
      </c>
      <c r="AD545" s="32" t="s">
        <v>552</v>
      </c>
    </row>
    <row r="546" spans="1:30">
      <c r="A546" s="184">
        <v>545</v>
      </c>
      <c r="B546" s="184" t="s">
        <v>1686</v>
      </c>
      <c r="C546" s="184" t="s">
        <v>598</v>
      </c>
      <c r="D546" s="127">
        <v>42821</v>
      </c>
      <c r="E546" s="127" t="s">
        <v>598</v>
      </c>
      <c r="F546" s="184" t="s">
        <v>1687</v>
      </c>
      <c r="G546" s="185">
        <v>2835000</v>
      </c>
      <c r="H546" s="184" t="s">
        <v>598</v>
      </c>
      <c r="I546" s="184" t="s">
        <v>96</v>
      </c>
      <c r="J546" s="184" t="s">
        <v>84</v>
      </c>
      <c r="K546" s="184" t="s">
        <v>195</v>
      </c>
      <c r="L546" s="184" t="s">
        <v>598</v>
      </c>
      <c r="M546" s="184" t="s">
        <v>62</v>
      </c>
      <c r="N546" s="184" t="s">
        <v>79</v>
      </c>
      <c r="O546" s="184" t="s">
        <v>79</v>
      </c>
      <c r="P546" s="186" t="s">
        <v>606</v>
      </c>
      <c r="Q546" s="184" t="s">
        <v>598</v>
      </c>
      <c r="R546" s="184" t="s">
        <v>598</v>
      </c>
      <c r="S546" s="127" t="s">
        <v>598</v>
      </c>
      <c r="T546" s="184" t="s">
        <v>598</v>
      </c>
      <c r="U546" s="184" t="s">
        <v>598</v>
      </c>
      <c r="V546" s="185">
        <v>0</v>
      </c>
      <c r="W546" s="184" t="s">
        <v>485</v>
      </c>
      <c r="X546" s="184" t="s">
        <v>598</v>
      </c>
      <c r="Y546" s="185">
        <v>0</v>
      </c>
      <c r="Z546" s="184" t="s">
        <v>598</v>
      </c>
      <c r="AA546" s="21" t="s">
        <v>610</v>
      </c>
      <c r="AB546" s="176" t="s">
        <v>489</v>
      </c>
      <c r="AC546" s="172">
        <v>42996.328472222223</v>
      </c>
      <c r="AD546" s="32" t="s">
        <v>552</v>
      </c>
    </row>
    <row r="547" spans="1:30">
      <c r="A547" s="184">
        <v>546</v>
      </c>
      <c r="B547" s="184" t="s">
        <v>1688</v>
      </c>
      <c r="C547" s="184" t="s">
        <v>598</v>
      </c>
      <c r="D547" s="127">
        <v>42822</v>
      </c>
      <c r="E547" s="127" t="s">
        <v>598</v>
      </c>
      <c r="F547" s="184" t="s">
        <v>1689</v>
      </c>
      <c r="G547" s="185">
        <v>21424000</v>
      </c>
      <c r="H547" s="184" t="s">
        <v>598</v>
      </c>
      <c r="I547" s="184" t="s">
        <v>598</v>
      </c>
      <c r="J547" s="184" t="s">
        <v>84</v>
      </c>
      <c r="K547" s="184" t="s">
        <v>362</v>
      </c>
      <c r="L547" s="184" t="s">
        <v>598</v>
      </c>
      <c r="M547" s="184" t="s">
        <v>62</v>
      </c>
      <c r="N547" s="184" t="s">
        <v>79</v>
      </c>
      <c r="O547" s="184" t="s">
        <v>79</v>
      </c>
      <c r="P547" s="186" t="s">
        <v>607</v>
      </c>
      <c r="Q547" s="184" t="s">
        <v>598</v>
      </c>
      <c r="R547" s="184" t="s">
        <v>598</v>
      </c>
      <c r="S547" s="127" t="s">
        <v>598</v>
      </c>
      <c r="T547" s="184" t="s">
        <v>598</v>
      </c>
      <c r="U547" s="184" t="s">
        <v>598</v>
      </c>
      <c r="V547" s="185">
        <v>0</v>
      </c>
      <c r="W547" s="184" t="s">
        <v>485</v>
      </c>
      <c r="X547" s="184" t="s">
        <v>598</v>
      </c>
      <c r="Y547" s="185">
        <v>0</v>
      </c>
      <c r="Z547" s="184" t="s">
        <v>598</v>
      </c>
      <c r="AA547" s="21" t="s">
        <v>610</v>
      </c>
      <c r="AB547" s="176" t="s">
        <v>489</v>
      </c>
      <c r="AC547" s="172">
        <v>42996.328472222223</v>
      </c>
      <c r="AD547" s="32" t="s">
        <v>552</v>
      </c>
    </row>
    <row r="548" spans="1:30">
      <c r="A548" s="184">
        <v>547</v>
      </c>
      <c r="B548" s="184" t="s">
        <v>1690</v>
      </c>
      <c r="C548" s="184" t="s">
        <v>598</v>
      </c>
      <c r="D548" s="127">
        <v>42823</v>
      </c>
      <c r="E548" s="127" t="s">
        <v>598</v>
      </c>
      <c r="F548" s="184" t="s">
        <v>1691</v>
      </c>
      <c r="G548" s="185">
        <v>0</v>
      </c>
      <c r="H548" s="184" t="s">
        <v>598</v>
      </c>
      <c r="I548" s="184" t="s">
        <v>122</v>
      </c>
      <c r="J548" s="184" t="s">
        <v>84</v>
      </c>
      <c r="K548" s="184" t="s">
        <v>281</v>
      </c>
      <c r="L548" s="184" t="s">
        <v>598</v>
      </c>
      <c r="M548" s="184" t="s">
        <v>598</v>
      </c>
      <c r="N548" s="184" t="s">
        <v>79</v>
      </c>
      <c r="O548" s="184" t="s">
        <v>112</v>
      </c>
      <c r="P548" s="186" t="s">
        <v>73</v>
      </c>
      <c r="Q548" s="184" t="s">
        <v>598</v>
      </c>
      <c r="R548" s="184" t="s">
        <v>598</v>
      </c>
      <c r="S548" s="127" t="s">
        <v>598</v>
      </c>
      <c r="T548" s="184" t="s">
        <v>598</v>
      </c>
      <c r="U548" s="184" t="s">
        <v>598</v>
      </c>
      <c r="V548" s="185">
        <v>0</v>
      </c>
      <c r="W548" s="184" t="s">
        <v>485</v>
      </c>
      <c r="X548" s="184" t="s">
        <v>598</v>
      </c>
      <c r="Y548" s="185">
        <v>0</v>
      </c>
      <c r="Z548" s="184" t="s">
        <v>598</v>
      </c>
      <c r="AA548" s="21" t="s">
        <v>610</v>
      </c>
      <c r="AB548" s="176" t="s">
        <v>489</v>
      </c>
      <c r="AC548" s="172">
        <v>42996.328472222223</v>
      </c>
      <c r="AD548" s="32" t="s">
        <v>552</v>
      </c>
    </row>
    <row r="549" spans="1:30">
      <c r="A549" s="184">
        <v>548</v>
      </c>
      <c r="B549" s="184" t="s">
        <v>1692</v>
      </c>
      <c r="C549" s="184" t="s">
        <v>598</v>
      </c>
      <c r="D549" s="127">
        <v>42824</v>
      </c>
      <c r="E549" s="127" t="s">
        <v>598</v>
      </c>
      <c r="F549" s="184" t="s">
        <v>1693</v>
      </c>
      <c r="G549" s="185">
        <v>2910000</v>
      </c>
      <c r="H549" s="184" t="s">
        <v>598</v>
      </c>
      <c r="I549" s="184" t="s">
        <v>134</v>
      </c>
      <c r="J549" s="184" t="s">
        <v>84</v>
      </c>
      <c r="K549" s="184" t="s">
        <v>175</v>
      </c>
      <c r="L549" s="184" t="s">
        <v>598</v>
      </c>
      <c r="M549" s="184" t="s">
        <v>62</v>
      </c>
      <c r="N549" s="184" t="s">
        <v>79</v>
      </c>
      <c r="O549" s="184" t="s">
        <v>112</v>
      </c>
      <c r="P549" s="186" t="s">
        <v>601</v>
      </c>
      <c r="Q549" s="184" t="s">
        <v>598</v>
      </c>
      <c r="R549" s="184" t="s">
        <v>598</v>
      </c>
      <c r="S549" s="127" t="s">
        <v>598</v>
      </c>
      <c r="T549" s="184" t="s">
        <v>598</v>
      </c>
      <c r="U549" s="184" t="s">
        <v>598</v>
      </c>
      <c r="V549" s="185">
        <v>0</v>
      </c>
      <c r="W549" s="184" t="s">
        <v>485</v>
      </c>
      <c r="X549" s="184" t="s">
        <v>598</v>
      </c>
      <c r="Y549" s="185">
        <v>0</v>
      </c>
      <c r="Z549" s="184" t="s">
        <v>598</v>
      </c>
      <c r="AA549" s="21" t="s">
        <v>610</v>
      </c>
      <c r="AB549" s="176" t="s">
        <v>489</v>
      </c>
      <c r="AC549" s="172">
        <v>42996.328472222223</v>
      </c>
      <c r="AD549" s="32" t="s">
        <v>552</v>
      </c>
    </row>
    <row r="550" spans="1:30">
      <c r="A550" s="184">
        <v>549</v>
      </c>
      <c r="B550" s="184" t="s">
        <v>1694</v>
      </c>
      <c r="C550" s="184" t="s">
        <v>598</v>
      </c>
      <c r="D550" s="127">
        <v>42824</v>
      </c>
      <c r="E550" s="127" t="s">
        <v>598</v>
      </c>
      <c r="F550" s="184" t="s">
        <v>1695</v>
      </c>
      <c r="G550" s="185">
        <v>5668000</v>
      </c>
      <c r="H550" s="184" t="s">
        <v>598</v>
      </c>
      <c r="I550" s="184" t="s">
        <v>134</v>
      </c>
      <c r="J550" s="184" t="s">
        <v>84</v>
      </c>
      <c r="K550" s="184" t="s">
        <v>195</v>
      </c>
      <c r="L550" s="184" t="s">
        <v>598</v>
      </c>
      <c r="M550" s="184" t="s">
        <v>62</v>
      </c>
      <c r="N550" s="184" t="s">
        <v>79</v>
      </c>
      <c r="O550" s="184" t="s">
        <v>112</v>
      </c>
      <c r="P550" s="186" t="s">
        <v>601</v>
      </c>
      <c r="Q550" s="184" t="s">
        <v>598</v>
      </c>
      <c r="R550" s="184" t="s">
        <v>598</v>
      </c>
      <c r="S550" s="127" t="s">
        <v>598</v>
      </c>
      <c r="T550" s="184" t="s">
        <v>598</v>
      </c>
      <c r="U550" s="184" t="s">
        <v>598</v>
      </c>
      <c r="V550" s="185">
        <v>0</v>
      </c>
      <c r="W550" s="184" t="s">
        <v>485</v>
      </c>
      <c r="X550" s="184" t="s">
        <v>598</v>
      </c>
      <c r="Y550" s="185">
        <v>0</v>
      </c>
      <c r="Z550" s="184" t="s">
        <v>598</v>
      </c>
      <c r="AA550" s="21" t="s">
        <v>610</v>
      </c>
      <c r="AB550" s="176" t="s">
        <v>489</v>
      </c>
      <c r="AC550" s="172">
        <v>42996.328472222223</v>
      </c>
      <c r="AD550" s="32" t="s">
        <v>552</v>
      </c>
    </row>
    <row r="551" spans="1:30">
      <c r="A551" s="184">
        <v>550</v>
      </c>
      <c r="B551" s="184" t="s">
        <v>1696</v>
      </c>
      <c r="C551" s="184" t="s">
        <v>598</v>
      </c>
      <c r="D551" s="127">
        <v>42825</v>
      </c>
      <c r="E551" s="127" t="s">
        <v>598</v>
      </c>
      <c r="F551" s="184" t="s">
        <v>1697</v>
      </c>
      <c r="G551" s="185">
        <v>1239000</v>
      </c>
      <c r="H551" s="184" t="s">
        <v>598</v>
      </c>
      <c r="I551" s="184" t="s">
        <v>134</v>
      </c>
      <c r="J551" s="184" t="s">
        <v>84</v>
      </c>
      <c r="K551" s="184" t="s">
        <v>263</v>
      </c>
      <c r="L551" s="184" t="s">
        <v>598</v>
      </c>
      <c r="M551" s="184" t="s">
        <v>62</v>
      </c>
      <c r="N551" s="184" t="s">
        <v>79</v>
      </c>
      <c r="O551" s="184" t="s">
        <v>112</v>
      </c>
      <c r="P551" s="186" t="s">
        <v>32</v>
      </c>
      <c r="Q551" s="184" t="s">
        <v>598</v>
      </c>
      <c r="R551" s="184" t="s">
        <v>598</v>
      </c>
      <c r="S551" s="127" t="s">
        <v>598</v>
      </c>
      <c r="T551" s="184" t="s">
        <v>598</v>
      </c>
      <c r="U551" s="184" t="s">
        <v>598</v>
      </c>
      <c r="V551" s="185">
        <v>0</v>
      </c>
      <c r="W551" s="184" t="s">
        <v>485</v>
      </c>
      <c r="X551" s="184" t="s">
        <v>598</v>
      </c>
      <c r="Y551" s="185">
        <v>0</v>
      </c>
      <c r="Z551" s="184" t="s">
        <v>598</v>
      </c>
      <c r="AA551" s="21" t="s">
        <v>610</v>
      </c>
      <c r="AB551" s="176" t="s">
        <v>489</v>
      </c>
      <c r="AC551" s="172">
        <v>42996.328472222223</v>
      </c>
      <c r="AD551" s="32" t="s">
        <v>552</v>
      </c>
    </row>
    <row r="552" spans="1:30">
      <c r="A552" s="184">
        <v>551</v>
      </c>
      <c r="B552" s="184" t="s">
        <v>1698</v>
      </c>
      <c r="C552" s="184" t="s">
        <v>598</v>
      </c>
      <c r="D552" s="127">
        <v>42826</v>
      </c>
      <c r="E552" s="127" t="s">
        <v>598</v>
      </c>
      <c r="F552" s="184" t="s">
        <v>1699</v>
      </c>
      <c r="G552" s="185">
        <v>0</v>
      </c>
      <c r="H552" s="184" t="s">
        <v>598</v>
      </c>
      <c r="I552" s="184" t="s">
        <v>134</v>
      </c>
      <c r="J552" s="184" t="s">
        <v>84</v>
      </c>
      <c r="K552" s="184" t="s">
        <v>251</v>
      </c>
      <c r="L552" s="184" t="s">
        <v>598</v>
      </c>
      <c r="M552" s="184" t="s">
        <v>598</v>
      </c>
      <c r="N552" s="184" t="s">
        <v>79</v>
      </c>
      <c r="O552" s="184" t="s">
        <v>79</v>
      </c>
      <c r="P552" s="186" t="s">
        <v>53</v>
      </c>
      <c r="Q552" s="184" t="s">
        <v>598</v>
      </c>
      <c r="R552" s="184" t="s">
        <v>598</v>
      </c>
      <c r="S552" s="127" t="s">
        <v>598</v>
      </c>
      <c r="T552" s="184" t="s">
        <v>598</v>
      </c>
      <c r="U552" s="184" t="s">
        <v>598</v>
      </c>
      <c r="V552" s="185">
        <v>0</v>
      </c>
      <c r="W552" s="184" t="s">
        <v>485</v>
      </c>
      <c r="X552" s="184" t="s">
        <v>598</v>
      </c>
      <c r="Y552" s="185">
        <v>0</v>
      </c>
      <c r="Z552" s="184" t="s">
        <v>598</v>
      </c>
      <c r="AA552" s="21" t="s">
        <v>610</v>
      </c>
      <c r="AB552" s="176" t="s">
        <v>489</v>
      </c>
      <c r="AC552" s="172">
        <v>42996.328472222223</v>
      </c>
      <c r="AD552" s="32" t="s">
        <v>552</v>
      </c>
    </row>
    <row r="553" spans="1:30">
      <c r="A553" s="184">
        <v>552</v>
      </c>
      <c r="B553" s="184" t="s">
        <v>1700</v>
      </c>
      <c r="C553" s="184" t="s">
        <v>598</v>
      </c>
      <c r="D553" s="127">
        <v>42829</v>
      </c>
      <c r="E553" s="127" t="s">
        <v>598</v>
      </c>
      <c r="F553" s="184" t="s">
        <v>1701</v>
      </c>
      <c r="G553" s="185">
        <v>0</v>
      </c>
      <c r="H553" s="184" t="s">
        <v>598</v>
      </c>
      <c r="I553" s="184" t="s">
        <v>134</v>
      </c>
      <c r="J553" s="184" t="s">
        <v>84</v>
      </c>
      <c r="K553" s="184" t="s">
        <v>598</v>
      </c>
      <c r="L553" s="184" t="s">
        <v>598</v>
      </c>
      <c r="M553" s="184" t="s">
        <v>598</v>
      </c>
      <c r="N553" s="184" t="s">
        <v>79</v>
      </c>
      <c r="O553" s="184" t="s">
        <v>79</v>
      </c>
      <c r="P553" s="186" t="s">
        <v>44</v>
      </c>
      <c r="Q553" s="184" t="s">
        <v>598</v>
      </c>
      <c r="R553" s="184" t="s">
        <v>598</v>
      </c>
      <c r="S553" s="127" t="s">
        <v>598</v>
      </c>
      <c r="T553" s="184" t="s">
        <v>598</v>
      </c>
      <c r="U553" s="184" t="s">
        <v>598</v>
      </c>
      <c r="V553" s="185">
        <v>0</v>
      </c>
      <c r="W553" s="184" t="s">
        <v>485</v>
      </c>
      <c r="X553" s="184" t="s">
        <v>598</v>
      </c>
      <c r="Y553" s="185">
        <v>0</v>
      </c>
      <c r="Z553" s="184" t="s">
        <v>598</v>
      </c>
      <c r="AA553" s="21" t="s">
        <v>610</v>
      </c>
      <c r="AB553" s="176" t="s">
        <v>489</v>
      </c>
      <c r="AC553" s="172">
        <v>42996.328472222223</v>
      </c>
      <c r="AD553" s="32" t="s">
        <v>552</v>
      </c>
    </row>
    <row r="554" spans="1:30">
      <c r="A554" s="184">
        <v>553</v>
      </c>
      <c r="B554" s="184" t="s">
        <v>1702</v>
      </c>
      <c r="C554" s="184" t="s">
        <v>598</v>
      </c>
      <c r="D554" s="127">
        <v>42832</v>
      </c>
      <c r="E554" s="127" t="s">
        <v>598</v>
      </c>
      <c r="F554" s="184" t="s">
        <v>1703</v>
      </c>
      <c r="G554" s="185">
        <v>0</v>
      </c>
      <c r="H554" s="184" t="s">
        <v>598</v>
      </c>
      <c r="I554" s="184" t="s">
        <v>134</v>
      </c>
      <c r="J554" s="184" t="s">
        <v>84</v>
      </c>
      <c r="K554" s="184" t="s">
        <v>184</v>
      </c>
      <c r="L554" s="184" t="s">
        <v>598</v>
      </c>
      <c r="M554" s="184" t="s">
        <v>62</v>
      </c>
      <c r="N554" s="184" t="s">
        <v>79</v>
      </c>
      <c r="O554" s="184" t="s">
        <v>598</v>
      </c>
      <c r="P554" s="186" t="s">
        <v>67</v>
      </c>
      <c r="Q554" s="184" t="s">
        <v>598</v>
      </c>
      <c r="R554" s="184" t="s">
        <v>598</v>
      </c>
      <c r="S554" s="127" t="s">
        <v>598</v>
      </c>
      <c r="T554" s="184" t="s">
        <v>598</v>
      </c>
      <c r="U554" s="184" t="s">
        <v>598</v>
      </c>
      <c r="V554" s="185">
        <v>0</v>
      </c>
      <c r="W554" s="184" t="s">
        <v>485</v>
      </c>
      <c r="X554" s="184" t="s">
        <v>598</v>
      </c>
      <c r="Y554" s="185">
        <v>0</v>
      </c>
      <c r="Z554" s="184" t="s">
        <v>598</v>
      </c>
      <c r="AA554" s="21" t="s">
        <v>610</v>
      </c>
      <c r="AB554" s="176" t="s">
        <v>489</v>
      </c>
      <c r="AC554" s="172">
        <v>42996.328472222223</v>
      </c>
      <c r="AD554" s="32" t="s">
        <v>552</v>
      </c>
    </row>
    <row r="555" spans="1:30">
      <c r="A555" s="184">
        <v>554</v>
      </c>
      <c r="B555" s="184" t="s">
        <v>1704</v>
      </c>
      <c r="C555" s="184" t="s">
        <v>598</v>
      </c>
      <c r="D555" s="127">
        <v>42833</v>
      </c>
      <c r="E555" s="127" t="s">
        <v>598</v>
      </c>
      <c r="F555" s="184" t="s">
        <v>1705</v>
      </c>
      <c r="G555" s="185">
        <v>0</v>
      </c>
      <c r="H555" s="184" t="s">
        <v>598</v>
      </c>
      <c r="I555" s="184" t="s">
        <v>134</v>
      </c>
      <c r="J555" s="184" t="s">
        <v>84</v>
      </c>
      <c r="K555" s="184" t="s">
        <v>195</v>
      </c>
      <c r="L555" s="184" t="s">
        <v>598</v>
      </c>
      <c r="M555" s="184" t="s">
        <v>62</v>
      </c>
      <c r="N555" s="184" t="s">
        <v>79</v>
      </c>
      <c r="O555" s="184" t="s">
        <v>112</v>
      </c>
      <c r="P555" s="186" t="s">
        <v>602</v>
      </c>
      <c r="Q555" s="184" t="s">
        <v>598</v>
      </c>
      <c r="R555" s="184" t="s">
        <v>598</v>
      </c>
      <c r="S555" s="127" t="s">
        <v>598</v>
      </c>
      <c r="T555" s="184" t="s">
        <v>598</v>
      </c>
      <c r="U555" s="184" t="s">
        <v>598</v>
      </c>
      <c r="V555" s="185">
        <v>0</v>
      </c>
      <c r="W555" s="184" t="s">
        <v>485</v>
      </c>
      <c r="X555" s="184" t="s">
        <v>598</v>
      </c>
      <c r="Y555" s="185">
        <v>0</v>
      </c>
      <c r="Z555" s="184" t="s">
        <v>598</v>
      </c>
      <c r="AA555" s="21" t="s">
        <v>610</v>
      </c>
      <c r="AB555" s="176" t="s">
        <v>489</v>
      </c>
      <c r="AC555" s="172">
        <v>42996.328472222223</v>
      </c>
      <c r="AD555" s="32" t="s">
        <v>552</v>
      </c>
    </row>
    <row r="556" spans="1:30">
      <c r="A556" s="184">
        <v>555</v>
      </c>
      <c r="B556" s="184" t="s">
        <v>1706</v>
      </c>
      <c r="C556" s="184" t="s">
        <v>598</v>
      </c>
      <c r="D556" s="127">
        <v>42833</v>
      </c>
      <c r="E556" s="127" t="s">
        <v>598</v>
      </c>
      <c r="F556" s="184" t="s">
        <v>1707</v>
      </c>
      <c r="G556" s="185">
        <v>0</v>
      </c>
      <c r="H556" s="184" t="s">
        <v>598</v>
      </c>
      <c r="I556" s="184" t="s">
        <v>120</v>
      </c>
      <c r="J556" s="184" t="s">
        <v>84</v>
      </c>
      <c r="K556" s="184" t="s">
        <v>195</v>
      </c>
      <c r="L556" s="184" t="s">
        <v>598</v>
      </c>
      <c r="M556" s="184" t="s">
        <v>62</v>
      </c>
      <c r="N556" s="184" t="s">
        <v>79</v>
      </c>
      <c r="O556" s="184" t="s">
        <v>112</v>
      </c>
      <c r="P556" s="186" t="s">
        <v>603</v>
      </c>
      <c r="Q556" s="184" t="s">
        <v>598</v>
      </c>
      <c r="R556" s="184" t="s">
        <v>598</v>
      </c>
      <c r="S556" s="127" t="s">
        <v>598</v>
      </c>
      <c r="T556" s="184" t="s">
        <v>598</v>
      </c>
      <c r="U556" s="184" t="s">
        <v>598</v>
      </c>
      <c r="V556" s="185">
        <v>0</v>
      </c>
      <c r="W556" s="184" t="s">
        <v>485</v>
      </c>
      <c r="X556" s="184" t="s">
        <v>598</v>
      </c>
      <c r="Y556" s="185">
        <v>0</v>
      </c>
      <c r="Z556" s="184" t="s">
        <v>598</v>
      </c>
      <c r="AA556" s="21" t="s">
        <v>610</v>
      </c>
      <c r="AB556" s="176" t="s">
        <v>489</v>
      </c>
      <c r="AC556" s="172">
        <v>42996.328472222223</v>
      </c>
      <c r="AD556" s="32" t="s">
        <v>552</v>
      </c>
    </row>
    <row r="557" spans="1:30">
      <c r="A557" s="184">
        <v>556</v>
      </c>
      <c r="B557" s="184" t="s">
        <v>1708</v>
      </c>
      <c r="C557" s="184" t="s">
        <v>598</v>
      </c>
      <c r="D557" s="127">
        <v>42833</v>
      </c>
      <c r="E557" s="127" t="s">
        <v>598</v>
      </c>
      <c r="F557" s="184" t="s">
        <v>1709</v>
      </c>
      <c r="G557" s="185">
        <v>0</v>
      </c>
      <c r="H557" s="184" t="s">
        <v>598</v>
      </c>
      <c r="I557" s="184" t="s">
        <v>134</v>
      </c>
      <c r="J557" s="184" t="s">
        <v>84</v>
      </c>
      <c r="K557" s="184" t="s">
        <v>175</v>
      </c>
      <c r="L557" s="184" t="s">
        <v>598</v>
      </c>
      <c r="M557" s="184" t="s">
        <v>62</v>
      </c>
      <c r="N557" s="184" t="s">
        <v>79</v>
      </c>
      <c r="O557" s="184" t="s">
        <v>112</v>
      </c>
      <c r="P557" s="186" t="s">
        <v>604</v>
      </c>
      <c r="Q557" s="184" t="s">
        <v>598</v>
      </c>
      <c r="R557" s="184" t="s">
        <v>598</v>
      </c>
      <c r="S557" s="127" t="s">
        <v>598</v>
      </c>
      <c r="T557" s="184" t="s">
        <v>598</v>
      </c>
      <c r="U557" s="184" t="s">
        <v>598</v>
      </c>
      <c r="V557" s="185">
        <v>0</v>
      </c>
      <c r="W557" s="184" t="s">
        <v>485</v>
      </c>
      <c r="X557" s="184" t="s">
        <v>598</v>
      </c>
      <c r="Y557" s="185">
        <v>0</v>
      </c>
      <c r="Z557" s="184" t="s">
        <v>598</v>
      </c>
      <c r="AA557" s="21" t="s">
        <v>610</v>
      </c>
      <c r="AB557" s="176" t="s">
        <v>489</v>
      </c>
      <c r="AC557" s="172">
        <v>42996.328472222223</v>
      </c>
      <c r="AD557" s="32" t="s">
        <v>552</v>
      </c>
    </row>
    <row r="558" spans="1:30">
      <c r="A558" s="184">
        <v>557</v>
      </c>
      <c r="B558" s="184" t="s">
        <v>1710</v>
      </c>
      <c r="C558" s="184" t="s">
        <v>598</v>
      </c>
      <c r="D558" s="127">
        <v>42837</v>
      </c>
      <c r="E558" s="127" t="s">
        <v>598</v>
      </c>
      <c r="F558" s="184" t="s">
        <v>1711</v>
      </c>
      <c r="G558" s="185">
        <v>0</v>
      </c>
      <c r="H558" s="184" t="s">
        <v>598</v>
      </c>
      <c r="I558" s="184" t="s">
        <v>598</v>
      </c>
      <c r="J558" s="184" t="s">
        <v>84</v>
      </c>
      <c r="K558" s="184" t="s">
        <v>282</v>
      </c>
      <c r="L558" s="184" t="s">
        <v>598</v>
      </c>
      <c r="M558" s="184" t="s">
        <v>62</v>
      </c>
      <c r="N558" s="184" t="s">
        <v>79</v>
      </c>
      <c r="O558" s="184" t="s">
        <v>79</v>
      </c>
      <c r="P558" s="186" t="s">
        <v>605</v>
      </c>
      <c r="Q558" s="184" t="s">
        <v>598</v>
      </c>
      <c r="R558" s="184" t="s">
        <v>598</v>
      </c>
      <c r="S558" s="127">
        <v>42891</v>
      </c>
      <c r="T558" s="184" t="s">
        <v>34</v>
      </c>
      <c r="U558" s="184" t="s">
        <v>598</v>
      </c>
      <c r="V558" s="185">
        <v>7500</v>
      </c>
      <c r="W558" s="184" t="s">
        <v>493</v>
      </c>
      <c r="X558" s="184" t="s">
        <v>598</v>
      </c>
      <c r="Y558" s="185">
        <v>0</v>
      </c>
      <c r="Z558" s="184" t="s">
        <v>598</v>
      </c>
      <c r="AA558" s="21" t="s">
        <v>610</v>
      </c>
      <c r="AB558" s="176" t="s">
        <v>489</v>
      </c>
      <c r="AC558" s="172">
        <v>42996.328472222223</v>
      </c>
      <c r="AD558" s="32" t="s">
        <v>552</v>
      </c>
    </row>
    <row r="559" spans="1:30">
      <c r="A559" s="184">
        <v>558</v>
      </c>
      <c r="B559" s="184" t="s">
        <v>1712</v>
      </c>
      <c r="C559" s="184" t="s">
        <v>598</v>
      </c>
      <c r="D559" s="127">
        <v>42837</v>
      </c>
      <c r="E559" s="127" t="s">
        <v>598</v>
      </c>
      <c r="F559" s="184" t="s">
        <v>1711</v>
      </c>
      <c r="G559" s="185">
        <v>0</v>
      </c>
      <c r="H559" s="184" t="s">
        <v>598</v>
      </c>
      <c r="I559" s="184" t="s">
        <v>598</v>
      </c>
      <c r="J559" s="184" t="s">
        <v>84</v>
      </c>
      <c r="K559" s="184" t="s">
        <v>282</v>
      </c>
      <c r="L559" s="184" t="s">
        <v>598</v>
      </c>
      <c r="M559" s="184" t="s">
        <v>62</v>
      </c>
      <c r="N559" s="184" t="s">
        <v>79</v>
      </c>
      <c r="O559" s="184" t="s">
        <v>79</v>
      </c>
      <c r="P559" s="186" t="s">
        <v>606</v>
      </c>
      <c r="Q559" s="184" t="s">
        <v>598</v>
      </c>
      <c r="R559" s="184" t="s">
        <v>598</v>
      </c>
      <c r="S559" s="127">
        <v>42891</v>
      </c>
      <c r="T559" s="184" t="s">
        <v>34</v>
      </c>
      <c r="U559" s="184" t="s">
        <v>598</v>
      </c>
      <c r="V559" s="185">
        <v>7500</v>
      </c>
      <c r="W559" s="184" t="s">
        <v>493</v>
      </c>
      <c r="X559" s="184" t="s">
        <v>598</v>
      </c>
      <c r="Y559" s="185">
        <v>0</v>
      </c>
      <c r="Z559" s="184" t="s">
        <v>598</v>
      </c>
      <c r="AA559" s="21" t="s">
        <v>610</v>
      </c>
      <c r="AB559" s="176" t="s">
        <v>489</v>
      </c>
      <c r="AC559" s="172">
        <v>42996.328472222223</v>
      </c>
      <c r="AD559" s="32" t="s">
        <v>552</v>
      </c>
    </row>
    <row r="560" spans="1:30">
      <c r="A560" s="184">
        <v>559</v>
      </c>
      <c r="B560" s="184" t="s">
        <v>1713</v>
      </c>
      <c r="C560" s="184" t="s">
        <v>598</v>
      </c>
      <c r="D560" s="127">
        <v>42840</v>
      </c>
      <c r="E560" s="127" t="s">
        <v>598</v>
      </c>
      <c r="F560" s="184" t="s">
        <v>1714</v>
      </c>
      <c r="G560" s="185">
        <v>0</v>
      </c>
      <c r="H560" s="184" t="s">
        <v>598</v>
      </c>
      <c r="I560" s="184" t="s">
        <v>134</v>
      </c>
      <c r="J560" s="184" t="s">
        <v>84</v>
      </c>
      <c r="K560" s="184" t="s">
        <v>184</v>
      </c>
      <c r="L560" s="184" t="s">
        <v>598</v>
      </c>
      <c r="M560" s="184" t="s">
        <v>62</v>
      </c>
      <c r="N560" s="184" t="s">
        <v>79</v>
      </c>
      <c r="O560" s="184" t="s">
        <v>65</v>
      </c>
      <c r="P560" s="186" t="s">
        <v>607</v>
      </c>
      <c r="Q560" s="184" t="s">
        <v>598</v>
      </c>
      <c r="R560" s="184" t="s">
        <v>598</v>
      </c>
      <c r="S560" s="127" t="s">
        <v>598</v>
      </c>
      <c r="T560" s="184" t="s">
        <v>598</v>
      </c>
      <c r="U560" s="184" t="s">
        <v>598</v>
      </c>
      <c r="V560" s="185">
        <v>0</v>
      </c>
      <c r="W560" s="184" t="s">
        <v>485</v>
      </c>
      <c r="X560" s="184" t="s">
        <v>598</v>
      </c>
      <c r="Y560" s="185">
        <v>0</v>
      </c>
      <c r="Z560" s="184" t="s">
        <v>598</v>
      </c>
      <c r="AA560" s="21" t="s">
        <v>610</v>
      </c>
      <c r="AB560" s="176" t="s">
        <v>489</v>
      </c>
      <c r="AC560" s="172">
        <v>42996.328472222223</v>
      </c>
      <c r="AD560" s="32" t="s">
        <v>552</v>
      </c>
    </row>
    <row r="561" spans="1:30">
      <c r="A561" s="184">
        <v>560</v>
      </c>
      <c r="B561" s="184" t="s">
        <v>1715</v>
      </c>
      <c r="C561" s="184" t="s">
        <v>598</v>
      </c>
      <c r="D561" s="127">
        <v>42842</v>
      </c>
      <c r="E561" s="127" t="s">
        <v>598</v>
      </c>
      <c r="F561" s="184" t="s">
        <v>1716</v>
      </c>
      <c r="G561" s="185">
        <v>0</v>
      </c>
      <c r="H561" s="184" t="s">
        <v>598</v>
      </c>
      <c r="I561" s="184" t="s">
        <v>120</v>
      </c>
      <c r="J561" s="184" t="s">
        <v>84</v>
      </c>
      <c r="K561" s="184" t="s">
        <v>195</v>
      </c>
      <c r="L561" s="184" t="s">
        <v>598</v>
      </c>
      <c r="M561" s="184" t="s">
        <v>62</v>
      </c>
      <c r="N561" s="184" t="s">
        <v>79</v>
      </c>
      <c r="O561" s="184" t="s">
        <v>79</v>
      </c>
      <c r="P561" s="186" t="s">
        <v>73</v>
      </c>
      <c r="Q561" s="184" t="s">
        <v>598</v>
      </c>
      <c r="R561" s="184" t="s">
        <v>598</v>
      </c>
      <c r="S561" s="127" t="s">
        <v>598</v>
      </c>
      <c r="T561" s="184" t="s">
        <v>598</v>
      </c>
      <c r="U561" s="184" t="s">
        <v>598</v>
      </c>
      <c r="V561" s="185">
        <v>0</v>
      </c>
      <c r="W561" s="184" t="s">
        <v>485</v>
      </c>
      <c r="X561" s="184" t="s">
        <v>598</v>
      </c>
      <c r="Y561" s="185">
        <v>0</v>
      </c>
      <c r="Z561" s="184" t="s">
        <v>598</v>
      </c>
      <c r="AA561" s="21" t="s">
        <v>610</v>
      </c>
      <c r="AB561" s="176" t="s">
        <v>489</v>
      </c>
      <c r="AC561" s="172">
        <v>42996.328472222223</v>
      </c>
      <c r="AD561" s="32" t="s">
        <v>552</v>
      </c>
    </row>
    <row r="562" spans="1:30">
      <c r="A562" s="184">
        <v>561</v>
      </c>
      <c r="B562" s="184" t="s">
        <v>1717</v>
      </c>
      <c r="C562" s="184" t="s">
        <v>598</v>
      </c>
      <c r="D562" s="127">
        <v>42843</v>
      </c>
      <c r="E562" s="127" t="s">
        <v>598</v>
      </c>
      <c r="F562" s="184" t="s">
        <v>1718</v>
      </c>
      <c r="G562" s="185">
        <v>0</v>
      </c>
      <c r="H562" s="184" t="s">
        <v>598</v>
      </c>
      <c r="I562" s="184" t="s">
        <v>134</v>
      </c>
      <c r="J562" s="184" t="s">
        <v>84</v>
      </c>
      <c r="K562" s="184" t="s">
        <v>598</v>
      </c>
      <c r="L562" s="184" t="s">
        <v>598</v>
      </c>
      <c r="M562" s="184" t="s">
        <v>62</v>
      </c>
      <c r="N562" s="184" t="s">
        <v>79</v>
      </c>
      <c r="O562" s="184" t="s">
        <v>79</v>
      </c>
      <c r="P562" s="186" t="s">
        <v>601</v>
      </c>
      <c r="Q562" s="184" t="s">
        <v>598</v>
      </c>
      <c r="R562" s="184" t="s">
        <v>598</v>
      </c>
      <c r="S562" s="127" t="s">
        <v>598</v>
      </c>
      <c r="T562" s="184" t="s">
        <v>598</v>
      </c>
      <c r="U562" s="184" t="s">
        <v>598</v>
      </c>
      <c r="V562" s="185">
        <v>0</v>
      </c>
      <c r="W562" s="184" t="s">
        <v>485</v>
      </c>
      <c r="X562" s="184" t="s">
        <v>598</v>
      </c>
      <c r="Y562" s="185">
        <v>0</v>
      </c>
      <c r="Z562" s="184" t="s">
        <v>598</v>
      </c>
      <c r="AA562" s="21" t="s">
        <v>610</v>
      </c>
      <c r="AB562" s="176" t="s">
        <v>489</v>
      </c>
      <c r="AC562" s="172">
        <v>42996.328472222223</v>
      </c>
      <c r="AD562" s="32" t="s">
        <v>552</v>
      </c>
    </row>
    <row r="563" spans="1:30">
      <c r="A563" s="184">
        <v>562</v>
      </c>
      <c r="B563" s="184" t="s">
        <v>1719</v>
      </c>
      <c r="C563" s="184" t="s">
        <v>598</v>
      </c>
      <c r="D563" s="127">
        <v>42846</v>
      </c>
      <c r="E563" s="127" t="s">
        <v>598</v>
      </c>
      <c r="F563" s="184" t="s">
        <v>1720</v>
      </c>
      <c r="G563" s="185">
        <v>0</v>
      </c>
      <c r="H563" s="184" t="s">
        <v>598</v>
      </c>
      <c r="I563" s="184" t="s">
        <v>132</v>
      </c>
      <c r="J563" s="184" t="s">
        <v>84</v>
      </c>
      <c r="K563" s="184" t="s">
        <v>283</v>
      </c>
      <c r="L563" s="184" t="s">
        <v>598</v>
      </c>
      <c r="M563" s="184" t="s">
        <v>598</v>
      </c>
      <c r="N563" s="184" t="s">
        <v>79</v>
      </c>
      <c r="O563" s="184" t="s">
        <v>112</v>
      </c>
      <c r="P563" s="186" t="s">
        <v>32</v>
      </c>
      <c r="Q563" s="184" t="s">
        <v>598</v>
      </c>
      <c r="R563" s="184" t="s">
        <v>598</v>
      </c>
      <c r="S563" s="127">
        <v>42894</v>
      </c>
      <c r="T563" s="184" t="s">
        <v>34</v>
      </c>
      <c r="U563" s="184" t="s">
        <v>598</v>
      </c>
      <c r="V563" s="185">
        <v>3000</v>
      </c>
      <c r="W563" s="184" t="s">
        <v>493</v>
      </c>
      <c r="X563" s="184" t="s">
        <v>598</v>
      </c>
      <c r="Y563" s="185">
        <v>0</v>
      </c>
      <c r="Z563" s="184" t="s">
        <v>598</v>
      </c>
      <c r="AA563" s="21" t="s">
        <v>610</v>
      </c>
      <c r="AB563" s="176" t="s">
        <v>489</v>
      </c>
      <c r="AC563" s="172">
        <v>42996.328472222223</v>
      </c>
      <c r="AD563" s="32" t="s">
        <v>552</v>
      </c>
    </row>
    <row r="564" spans="1:30">
      <c r="A564" s="184">
        <v>563</v>
      </c>
      <c r="B564" s="184" t="s">
        <v>1721</v>
      </c>
      <c r="C564" s="184" t="s">
        <v>598</v>
      </c>
      <c r="D564" s="127">
        <v>42847</v>
      </c>
      <c r="E564" s="127" t="s">
        <v>598</v>
      </c>
      <c r="F564" s="184" t="s">
        <v>1517</v>
      </c>
      <c r="G564" s="185">
        <v>0</v>
      </c>
      <c r="H564" s="184" t="s">
        <v>598</v>
      </c>
      <c r="I564" s="184" t="s">
        <v>134</v>
      </c>
      <c r="J564" s="184" t="s">
        <v>84</v>
      </c>
      <c r="K564" s="184" t="s">
        <v>254</v>
      </c>
      <c r="L564" s="184" t="s">
        <v>598</v>
      </c>
      <c r="M564" s="184" t="s">
        <v>598</v>
      </c>
      <c r="N564" s="184" t="s">
        <v>79</v>
      </c>
      <c r="O564" s="184" t="s">
        <v>79</v>
      </c>
      <c r="P564" s="186" t="s">
        <v>53</v>
      </c>
      <c r="Q564" s="184" t="s">
        <v>598</v>
      </c>
      <c r="R564" s="184" t="s">
        <v>598</v>
      </c>
      <c r="S564" s="127">
        <v>42914</v>
      </c>
      <c r="T564" s="184" t="s">
        <v>10</v>
      </c>
      <c r="U564" s="184" t="s">
        <v>598</v>
      </c>
      <c r="V564" s="185">
        <v>2000</v>
      </c>
      <c r="W564" s="184" t="s">
        <v>493</v>
      </c>
      <c r="X564" s="184" t="s">
        <v>598</v>
      </c>
      <c r="Y564" s="185">
        <v>0</v>
      </c>
      <c r="Z564" s="184" t="s">
        <v>598</v>
      </c>
      <c r="AA564" s="21" t="s">
        <v>610</v>
      </c>
      <c r="AB564" s="176" t="s">
        <v>489</v>
      </c>
      <c r="AC564" s="172">
        <v>42996.328472222223</v>
      </c>
      <c r="AD564" s="32" t="s">
        <v>552</v>
      </c>
    </row>
    <row r="565" spans="1:30">
      <c r="A565" s="184">
        <v>564</v>
      </c>
      <c r="B565" s="184" t="s">
        <v>1722</v>
      </c>
      <c r="C565" s="184" t="s">
        <v>598</v>
      </c>
      <c r="D565" s="127">
        <v>42847</v>
      </c>
      <c r="E565" s="127" t="s">
        <v>598</v>
      </c>
      <c r="F565" s="184" t="s">
        <v>1723</v>
      </c>
      <c r="G565" s="185">
        <v>0</v>
      </c>
      <c r="H565" s="184" t="s">
        <v>598</v>
      </c>
      <c r="I565" s="184" t="s">
        <v>598</v>
      </c>
      <c r="J565" s="184" t="s">
        <v>84</v>
      </c>
      <c r="K565" s="184" t="s">
        <v>195</v>
      </c>
      <c r="L565" s="184" t="s">
        <v>598</v>
      </c>
      <c r="M565" s="184" t="s">
        <v>62</v>
      </c>
      <c r="N565" s="184" t="s">
        <v>79</v>
      </c>
      <c r="O565" s="184" t="s">
        <v>79</v>
      </c>
      <c r="P565" s="186" t="s">
        <v>44</v>
      </c>
      <c r="Q565" s="184" t="s">
        <v>598</v>
      </c>
      <c r="R565" s="184" t="s">
        <v>598</v>
      </c>
      <c r="S565" s="127" t="s">
        <v>598</v>
      </c>
      <c r="T565" s="184" t="s">
        <v>598</v>
      </c>
      <c r="U565" s="184" t="s">
        <v>598</v>
      </c>
      <c r="V565" s="185">
        <v>0</v>
      </c>
      <c r="W565" s="184" t="s">
        <v>485</v>
      </c>
      <c r="X565" s="184" t="s">
        <v>598</v>
      </c>
      <c r="Y565" s="185">
        <v>0</v>
      </c>
      <c r="Z565" s="184" t="s">
        <v>598</v>
      </c>
      <c r="AA565" s="21" t="s">
        <v>610</v>
      </c>
      <c r="AB565" s="176" t="s">
        <v>489</v>
      </c>
      <c r="AC565" s="172">
        <v>42996.328472222223</v>
      </c>
      <c r="AD565" s="32" t="s">
        <v>552</v>
      </c>
    </row>
    <row r="566" spans="1:30">
      <c r="A566" s="184">
        <v>565</v>
      </c>
      <c r="B566" s="184" t="s">
        <v>1724</v>
      </c>
      <c r="C566" s="184" t="s">
        <v>598</v>
      </c>
      <c r="D566" s="127">
        <v>42849</v>
      </c>
      <c r="E566" s="127" t="s">
        <v>598</v>
      </c>
      <c r="F566" s="184" t="s">
        <v>1725</v>
      </c>
      <c r="G566" s="185">
        <v>0</v>
      </c>
      <c r="H566" s="184" t="s">
        <v>598</v>
      </c>
      <c r="I566" s="184" t="s">
        <v>96</v>
      </c>
      <c r="J566" s="184" t="s">
        <v>84</v>
      </c>
      <c r="K566" s="184" t="s">
        <v>195</v>
      </c>
      <c r="L566" s="184" t="s">
        <v>598</v>
      </c>
      <c r="M566" s="184" t="s">
        <v>598</v>
      </c>
      <c r="N566" s="184" t="s">
        <v>79</v>
      </c>
      <c r="O566" s="184" t="s">
        <v>79</v>
      </c>
      <c r="P566" s="186" t="s">
        <v>67</v>
      </c>
      <c r="Q566" s="184" t="s">
        <v>598</v>
      </c>
      <c r="R566" s="184" t="s">
        <v>598</v>
      </c>
      <c r="S566" s="127" t="s">
        <v>598</v>
      </c>
      <c r="T566" s="184" t="s">
        <v>598</v>
      </c>
      <c r="U566" s="184" t="s">
        <v>598</v>
      </c>
      <c r="V566" s="185">
        <v>0</v>
      </c>
      <c r="W566" s="184" t="s">
        <v>549</v>
      </c>
      <c r="X566" s="184" t="s">
        <v>598</v>
      </c>
      <c r="Y566" s="185">
        <v>0</v>
      </c>
      <c r="Z566" s="184" t="s">
        <v>493</v>
      </c>
      <c r="AA566" s="21" t="s">
        <v>822</v>
      </c>
      <c r="AB566" s="176" t="s">
        <v>489</v>
      </c>
      <c r="AC566" s="172">
        <v>42996.328472222223</v>
      </c>
      <c r="AD566" s="32" t="s">
        <v>552</v>
      </c>
    </row>
    <row r="567" spans="1:30">
      <c r="A567" s="184">
        <v>566</v>
      </c>
      <c r="B567" s="184" t="s">
        <v>1726</v>
      </c>
      <c r="C567" s="184" t="s">
        <v>598</v>
      </c>
      <c r="D567" s="127">
        <v>42851</v>
      </c>
      <c r="E567" s="127" t="s">
        <v>598</v>
      </c>
      <c r="F567" s="184" t="s">
        <v>1727</v>
      </c>
      <c r="G567" s="185">
        <v>0</v>
      </c>
      <c r="H567" s="184" t="s">
        <v>598</v>
      </c>
      <c r="I567" s="184" t="s">
        <v>134</v>
      </c>
      <c r="J567" s="184" t="s">
        <v>84</v>
      </c>
      <c r="K567" s="184" t="s">
        <v>228</v>
      </c>
      <c r="L567" s="184" t="s">
        <v>598</v>
      </c>
      <c r="M567" s="184" t="s">
        <v>62</v>
      </c>
      <c r="N567" s="184" t="s">
        <v>79</v>
      </c>
      <c r="O567" s="184" t="s">
        <v>112</v>
      </c>
      <c r="P567" s="186" t="s">
        <v>602</v>
      </c>
      <c r="Q567" s="184" t="s">
        <v>598</v>
      </c>
      <c r="R567" s="184" t="s">
        <v>598</v>
      </c>
      <c r="S567" s="127" t="s">
        <v>598</v>
      </c>
      <c r="T567" s="184" t="s">
        <v>598</v>
      </c>
      <c r="U567" s="184" t="s">
        <v>598</v>
      </c>
      <c r="V567" s="185">
        <v>0</v>
      </c>
      <c r="W567" s="184" t="s">
        <v>485</v>
      </c>
      <c r="X567" s="184" t="s">
        <v>598</v>
      </c>
      <c r="Y567" s="185">
        <v>0</v>
      </c>
      <c r="Z567" s="184" t="s">
        <v>598</v>
      </c>
      <c r="AA567" s="21" t="s">
        <v>610</v>
      </c>
      <c r="AB567" s="176" t="s">
        <v>489</v>
      </c>
      <c r="AC567" s="172">
        <v>42996.328472222223</v>
      </c>
      <c r="AD567" s="32" t="s">
        <v>552</v>
      </c>
    </row>
    <row r="568" spans="1:30">
      <c r="A568" s="184">
        <v>567</v>
      </c>
      <c r="B568" s="184" t="s">
        <v>1728</v>
      </c>
      <c r="C568" s="184" t="s">
        <v>598</v>
      </c>
      <c r="D568" s="127">
        <v>42851</v>
      </c>
      <c r="E568" s="127" t="s">
        <v>598</v>
      </c>
      <c r="F568" s="184" t="s">
        <v>1729</v>
      </c>
      <c r="G568" s="185">
        <v>0</v>
      </c>
      <c r="H568" s="184" t="s">
        <v>598</v>
      </c>
      <c r="I568" s="184" t="s">
        <v>132</v>
      </c>
      <c r="J568" s="184" t="s">
        <v>84</v>
      </c>
      <c r="K568" s="184" t="s">
        <v>175</v>
      </c>
      <c r="L568" s="184" t="s">
        <v>598</v>
      </c>
      <c r="M568" s="184" t="s">
        <v>62</v>
      </c>
      <c r="N568" s="184" t="s">
        <v>79</v>
      </c>
      <c r="O568" s="184" t="s">
        <v>79</v>
      </c>
      <c r="P568" s="186" t="s">
        <v>603</v>
      </c>
      <c r="Q568" s="184" t="s">
        <v>598</v>
      </c>
      <c r="R568" s="184" t="s">
        <v>598</v>
      </c>
      <c r="S568" s="127" t="s">
        <v>598</v>
      </c>
      <c r="T568" s="184" t="s">
        <v>598</v>
      </c>
      <c r="U568" s="184" t="s">
        <v>598</v>
      </c>
      <c r="V568" s="185">
        <v>0</v>
      </c>
      <c r="W568" s="184" t="s">
        <v>485</v>
      </c>
      <c r="X568" s="184" t="s">
        <v>598</v>
      </c>
      <c r="Y568" s="185">
        <v>0</v>
      </c>
      <c r="Z568" s="184" t="s">
        <v>598</v>
      </c>
      <c r="AA568" s="21" t="s">
        <v>610</v>
      </c>
      <c r="AB568" s="176" t="s">
        <v>489</v>
      </c>
      <c r="AC568" s="172">
        <v>42996.328472222223</v>
      </c>
      <c r="AD568" s="32" t="s">
        <v>552</v>
      </c>
    </row>
    <row r="569" spans="1:30">
      <c r="A569" s="184">
        <v>568</v>
      </c>
      <c r="B569" s="184" t="s">
        <v>1730</v>
      </c>
      <c r="C569" s="184" t="s">
        <v>598</v>
      </c>
      <c r="D569" s="127">
        <v>42851</v>
      </c>
      <c r="E569" s="127" t="s">
        <v>598</v>
      </c>
      <c r="F569" s="184" t="s">
        <v>1731</v>
      </c>
      <c r="G569" s="185">
        <v>0</v>
      </c>
      <c r="H569" s="184" t="s">
        <v>598</v>
      </c>
      <c r="I569" s="184" t="s">
        <v>134</v>
      </c>
      <c r="J569" s="184" t="s">
        <v>84</v>
      </c>
      <c r="K569" s="184" t="s">
        <v>195</v>
      </c>
      <c r="L569" s="184" t="s">
        <v>598</v>
      </c>
      <c r="M569" s="184" t="s">
        <v>62</v>
      </c>
      <c r="N569" s="184" t="s">
        <v>79</v>
      </c>
      <c r="O569" s="184" t="s">
        <v>79</v>
      </c>
      <c r="P569" s="186" t="s">
        <v>604</v>
      </c>
      <c r="Q569" s="184" t="s">
        <v>598</v>
      </c>
      <c r="R569" s="184" t="s">
        <v>598</v>
      </c>
      <c r="S569" s="127" t="s">
        <v>598</v>
      </c>
      <c r="T569" s="184" t="s">
        <v>598</v>
      </c>
      <c r="U569" s="184" t="s">
        <v>598</v>
      </c>
      <c r="V569" s="185">
        <v>0</v>
      </c>
      <c r="W569" s="184" t="s">
        <v>485</v>
      </c>
      <c r="X569" s="184" t="s">
        <v>598</v>
      </c>
      <c r="Y569" s="185">
        <v>0</v>
      </c>
      <c r="Z569" s="184" t="s">
        <v>598</v>
      </c>
      <c r="AA569" s="21" t="s">
        <v>610</v>
      </c>
      <c r="AB569" s="176" t="s">
        <v>489</v>
      </c>
      <c r="AC569" s="172">
        <v>42996.328472222223</v>
      </c>
      <c r="AD569" s="32" t="s">
        <v>552</v>
      </c>
    </row>
    <row r="570" spans="1:30">
      <c r="A570" s="184">
        <v>569</v>
      </c>
      <c r="B570" s="184" t="s">
        <v>1732</v>
      </c>
      <c r="C570" s="184" t="s">
        <v>598</v>
      </c>
      <c r="D570" s="127">
        <v>42852</v>
      </c>
      <c r="E570" s="127" t="s">
        <v>598</v>
      </c>
      <c r="F570" s="184" t="s">
        <v>1733</v>
      </c>
      <c r="G570" s="185">
        <v>0</v>
      </c>
      <c r="H570" s="184" t="s">
        <v>598</v>
      </c>
      <c r="I570" s="184" t="s">
        <v>598</v>
      </c>
      <c r="J570" s="184" t="s">
        <v>84</v>
      </c>
      <c r="K570" s="184" t="s">
        <v>598</v>
      </c>
      <c r="L570" s="184" t="s">
        <v>598</v>
      </c>
      <c r="M570" s="184" t="s">
        <v>598</v>
      </c>
      <c r="N570" s="184" t="s">
        <v>79</v>
      </c>
      <c r="O570" s="184" t="s">
        <v>79</v>
      </c>
      <c r="P570" s="186" t="s">
        <v>605</v>
      </c>
      <c r="Q570" s="184" t="s">
        <v>598</v>
      </c>
      <c r="R570" s="184" t="s">
        <v>598</v>
      </c>
      <c r="S570" s="127" t="s">
        <v>598</v>
      </c>
      <c r="T570" s="184" t="s">
        <v>598</v>
      </c>
      <c r="U570" s="184" t="s">
        <v>598</v>
      </c>
      <c r="V570" s="185">
        <v>0</v>
      </c>
      <c r="W570" s="184" t="s">
        <v>485</v>
      </c>
      <c r="X570" s="184" t="s">
        <v>598</v>
      </c>
      <c r="Y570" s="185">
        <v>0</v>
      </c>
      <c r="Z570" s="184" t="s">
        <v>598</v>
      </c>
      <c r="AA570" s="21" t="s">
        <v>610</v>
      </c>
      <c r="AB570" s="176" t="s">
        <v>489</v>
      </c>
      <c r="AC570" s="172">
        <v>42996.328472222223</v>
      </c>
      <c r="AD570" s="32" t="s">
        <v>552</v>
      </c>
    </row>
    <row r="571" spans="1:30">
      <c r="A571" s="184">
        <v>570</v>
      </c>
      <c r="B571" s="184" t="s">
        <v>1734</v>
      </c>
      <c r="C571" s="184" t="s">
        <v>598</v>
      </c>
      <c r="D571" s="127">
        <v>42852</v>
      </c>
      <c r="E571" s="127" t="s">
        <v>598</v>
      </c>
      <c r="F571" s="184" t="s">
        <v>1735</v>
      </c>
      <c r="G571" s="185">
        <v>0</v>
      </c>
      <c r="H571" s="184" t="s">
        <v>598</v>
      </c>
      <c r="I571" s="184" t="s">
        <v>132</v>
      </c>
      <c r="J571" s="184" t="s">
        <v>84</v>
      </c>
      <c r="K571" s="184" t="s">
        <v>1736</v>
      </c>
      <c r="L571" s="184" t="s">
        <v>598</v>
      </c>
      <c r="M571" s="184" t="s">
        <v>62</v>
      </c>
      <c r="N571" s="184" t="s">
        <v>79</v>
      </c>
      <c r="O571" s="184" t="s">
        <v>79</v>
      </c>
      <c r="P571" s="186" t="s">
        <v>606</v>
      </c>
      <c r="Q571" s="184" t="s">
        <v>598</v>
      </c>
      <c r="R571" s="184" t="s">
        <v>598</v>
      </c>
      <c r="S571" s="127" t="s">
        <v>598</v>
      </c>
      <c r="T571" s="184" t="s">
        <v>598</v>
      </c>
      <c r="U571" s="184" t="s">
        <v>598</v>
      </c>
      <c r="V571" s="185">
        <v>0</v>
      </c>
      <c r="W571" s="184" t="s">
        <v>485</v>
      </c>
      <c r="X571" s="184" t="s">
        <v>598</v>
      </c>
      <c r="Y571" s="185">
        <v>0</v>
      </c>
      <c r="Z571" s="184" t="s">
        <v>598</v>
      </c>
      <c r="AA571" s="21" t="s">
        <v>610</v>
      </c>
      <c r="AB571" s="176" t="s">
        <v>489</v>
      </c>
      <c r="AC571" s="172">
        <v>42996.328472222223</v>
      </c>
      <c r="AD571" s="32" t="s">
        <v>552</v>
      </c>
    </row>
    <row r="572" spans="1:30">
      <c r="A572" s="184">
        <v>571</v>
      </c>
      <c r="B572" s="184" t="s">
        <v>1737</v>
      </c>
      <c r="C572" s="184" t="s">
        <v>598</v>
      </c>
      <c r="D572" s="127">
        <v>42852</v>
      </c>
      <c r="E572" s="127" t="s">
        <v>598</v>
      </c>
      <c r="F572" s="184" t="s">
        <v>1738</v>
      </c>
      <c r="G572" s="185">
        <v>0</v>
      </c>
      <c r="H572" s="184" t="s">
        <v>598</v>
      </c>
      <c r="I572" s="184" t="s">
        <v>134</v>
      </c>
      <c r="J572" s="184" t="s">
        <v>84</v>
      </c>
      <c r="K572" s="184" t="s">
        <v>263</v>
      </c>
      <c r="L572" s="184" t="s">
        <v>598</v>
      </c>
      <c r="M572" s="184" t="s">
        <v>62</v>
      </c>
      <c r="N572" s="184" t="s">
        <v>79</v>
      </c>
      <c r="O572" s="184" t="s">
        <v>79</v>
      </c>
      <c r="P572" s="186" t="s">
        <v>607</v>
      </c>
      <c r="Q572" s="184" t="s">
        <v>598</v>
      </c>
      <c r="R572" s="184" t="s">
        <v>598</v>
      </c>
      <c r="S572" s="127" t="s">
        <v>598</v>
      </c>
      <c r="T572" s="184" t="s">
        <v>598</v>
      </c>
      <c r="U572" s="184" t="s">
        <v>598</v>
      </c>
      <c r="V572" s="185">
        <v>0</v>
      </c>
      <c r="W572" s="184" t="s">
        <v>485</v>
      </c>
      <c r="X572" s="184" t="s">
        <v>598</v>
      </c>
      <c r="Y572" s="185">
        <v>0</v>
      </c>
      <c r="Z572" s="184" t="s">
        <v>598</v>
      </c>
      <c r="AA572" s="21" t="s">
        <v>610</v>
      </c>
      <c r="AB572" s="176" t="s">
        <v>489</v>
      </c>
      <c r="AC572" s="172">
        <v>42996.328472222223</v>
      </c>
      <c r="AD572" s="32" t="s">
        <v>552</v>
      </c>
    </row>
    <row r="573" spans="1:30">
      <c r="A573" s="184">
        <v>572</v>
      </c>
      <c r="B573" s="184" t="s">
        <v>1739</v>
      </c>
      <c r="C573" s="184" t="s">
        <v>598</v>
      </c>
      <c r="D573" s="127">
        <v>42856</v>
      </c>
      <c r="E573" s="127" t="s">
        <v>598</v>
      </c>
      <c r="F573" s="184" t="s">
        <v>1740</v>
      </c>
      <c r="G573" s="185">
        <v>5300000</v>
      </c>
      <c r="H573" s="184" t="s">
        <v>598</v>
      </c>
      <c r="I573" s="184" t="s">
        <v>132</v>
      </c>
      <c r="J573" s="184" t="s">
        <v>84</v>
      </c>
      <c r="K573" s="184" t="s">
        <v>367</v>
      </c>
      <c r="L573" s="184" t="s">
        <v>598</v>
      </c>
      <c r="M573" s="184" t="s">
        <v>62</v>
      </c>
      <c r="N573" s="184" t="s">
        <v>79</v>
      </c>
      <c r="O573" s="184" t="s">
        <v>79</v>
      </c>
      <c r="P573" s="186" t="s">
        <v>73</v>
      </c>
      <c r="Q573" s="184" t="s">
        <v>598</v>
      </c>
      <c r="R573" s="184" t="s">
        <v>598</v>
      </c>
      <c r="S573" s="127" t="s">
        <v>598</v>
      </c>
      <c r="T573" s="184" t="s">
        <v>598</v>
      </c>
      <c r="U573" s="184" t="s">
        <v>598</v>
      </c>
      <c r="V573" s="185">
        <v>0</v>
      </c>
      <c r="W573" s="184" t="s">
        <v>485</v>
      </c>
      <c r="X573" s="184" t="s">
        <v>598</v>
      </c>
      <c r="Y573" s="185">
        <v>0</v>
      </c>
      <c r="Z573" s="184" t="s">
        <v>598</v>
      </c>
      <c r="AA573" s="21" t="s">
        <v>610</v>
      </c>
      <c r="AB573" s="176" t="s">
        <v>489</v>
      </c>
      <c r="AC573" s="172">
        <v>42996.328472222223</v>
      </c>
      <c r="AD573" s="32" t="s">
        <v>552</v>
      </c>
    </row>
    <row r="574" spans="1:30">
      <c r="A574" s="184">
        <v>573</v>
      </c>
      <c r="B574" s="184" t="s">
        <v>1741</v>
      </c>
      <c r="C574" s="184" t="s">
        <v>598</v>
      </c>
      <c r="D574" s="127">
        <v>42858</v>
      </c>
      <c r="E574" s="127" t="s">
        <v>598</v>
      </c>
      <c r="F574" s="184" t="s">
        <v>1742</v>
      </c>
      <c r="G574" s="185">
        <v>7169000</v>
      </c>
      <c r="H574" s="184" t="s">
        <v>598</v>
      </c>
      <c r="I574" s="184" t="s">
        <v>132</v>
      </c>
      <c r="J574" s="184" t="s">
        <v>84</v>
      </c>
      <c r="K574" s="184" t="s">
        <v>247</v>
      </c>
      <c r="L574" s="184" t="s">
        <v>598</v>
      </c>
      <c r="M574" s="184" t="s">
        <v>62</v>
      </c>
      <c r="N574" s="184" t="s">
        <v>79</v>
      </c>
      <c r="O574" s="184" t="s">
        <v>79</v>
      </c>
      <c r="P574" s="186" t="s">
        <v>601</v>
      </c>
      <c r="Q574" s="184" t="s">
        <v>598</v>
      </c>
      <c r="R574" s="184" t="s">
        <v>598</v>
      </c>
      <c r="S574" s="127" t="s">
        <v>598</v>
      </c>
      <c r="T574" s="184" t="s">
        <v>598</v>
      </c>
      <c r="U574" s="184" t="s">
        <v>598</v>
      </c>
      <c r="V574" s="185">
        <v>0</v>
      </c>
      <c r="W574" s="184" t="s">
        <v>485</v>
      </c>
      <c r="X574" s="184" t="s">
        <v>598</v>
      </c>
      <c r="Y574" s="185">
        <v>0</v>
      </c>
      <c r="Z574" s="184" t="s">
        <v>598</v>
      </c>
      <c r="AA574" s="21" t="s">
        <v>610</v>
      </c>
      <c r="AB574" s="176" t="s">
        <v>489</v>
      </c>
      <c r="AC574" s="172">
        <v>42996.328472222223</v>
      </c>
      <c r="AD574" s="32" t="s">
        <v>552</v>
      </c>
    </row>
    <row r="575" spans="1:30">
      <c r="A575" s="184">
        <v>574</v>
      </c>
      <c r="B575" s="184" t="s">
        <v>1743</v>
      </c>
      <c r="C575" s="184" t="s">
        <v>598</v>
      </c>
      <c r="D575" s="127">
        <v>42859</v>
      </c>
      <c r="E575" s="127" t="s">
        <v>598</v>
      </c>
      <c r="F575" s="184" t="s">
        <v>1744</v>
      </c>
      <c r="G575" s="185">
        <v>7120000</v>
      </c>
      <c r="H575" s="184" t="s">
        <v>598</v>
      </c>
      <c r="I575" s="184" t="s">
        <v>134</v>
      </c>
      <c r="J575" s="184" t="s">
        <v>84</v>
      </c>
      <c r="K575" s="184" t="s">
        <v>598</v>
      </c>
      <c r="L575" s="184" t="s">
        <v>598</v>
      </c>
      <c r="M575" s="184" t="s">
        <v>62</v>
      </c>
      <c r="N575" s="184" t="s">
        <v>79</v>
      </c>
      <c r="O575" s="184" t="s">
        <v>79</v>
      </c>
      <c r="P575" s="186" t="s">
        <v>32</v>
      </c>
      <c r="Q575" s="184" t="s">
        <v>598</v>
      </c>
      <c r="R575" s="184" t="s">
        <v>598</v>
      </c>
      <c r="S575" s="127" t="s">
        <v>598</v>
      </c>
      <c r="T575" s="184" t="s">
        <v>598</v>
      </c>
      <c r="U575" s="184" t="s">
        <v>598</v>
      </c>
      <c r="V575" s="185">
        <v>0</v>
      </c>
      <c r="W575" s="184" t="s">
        <v>485</v>
      </c>
      <c r="X575" s="184" t="s">
        <v>598</v>
      </c>
      <c r="Y575" s="185">
        <v>0</v>
      </c>
      <c r="Z575" s="184" t="s">
        <v>598</v>
      </c>
      <c r="AA575" s="21" t="s">
        <v>610</v>
      </c>
      <c r="AB575" s="176" t="s">
        <v>489</v>
      </c>
      <c r="AC575" s="172">
        <v>42996.328472222223</v>
      </c>
      <c r="AD575" s="32" t="s">
        <v>552</v>
      </c>
    </row>
    <row r="576" spans="1:30">
      <c r="A576" s="184">
        <v>575</v>
      </c>
      <c r="B576" s="184" t="s">
        <v>1745</v>
      </c>
      <c r="C576" s="184" t="s">
        <v>598</v>
      </c>
      <c r="D576" s="127">
        <v>42859</v>
      </c>
      <c r="E576" s="127" t="s">
        <v>598</v>
      </c>
      <c r="F576" s="184" t="s">
        <v>1746</v>
      </c>
      <c r="G576" s="185">
        <v>4031000</v>
      </c>
      <c r="H576" s="184" t="s">
        <v>598</v>
      </c>
      <c r="I576" s="184" t="s">
        <v>96</v>
      </c>
      <c r="J576" s="184" t="s">
        <v>84</v>
      </c>
      <c r="K576" s="184" t="s">
        <v>259</v>
      </c>
      <c r="L576" s="184" t="s">
        <v>598</v>
      </c>
      <c r="M576" s="184" t="s">
        <v>598</v>
      </c>
      <c r="N576" s="184" t="s">
        <v>79</v>
      </c>
      <c r="O576" s="184" t="s">
        <v>112</v>
      </c>
      <c r="P576" s="186" t="s">
        <v>53</v>
      </c>
      <c r="Q576" s="184" t="s">
        <v>598</v>
      </c>
      <c r="R576" s="184" t="s">
        <v>598</v>
      </c>
      <c r="S576" s="127">
        <v>42894</v>
      </c>
      <c r="T576" s="184" t="s">
        <v>34</v>
      </c>
      <c r="U576" s="184" t="s">
        <v>598</v>
      </c>
      <c r="V576" s="185">
        <v>3000</v>
      </c>
      <c r="W576" s="184" t="s">
        <v>493</v>
      </c>
      <c r="X576" s="184" t="s">
        <v>598</v>
      </c>
      <c r="Y576" s="185">
        <v>0</v>
      </c>
      <c r="Z576" s="184" t="s">
        <v>598</v>
      </c>
      <c r="AA576" s="21" t="s">
        <v>610</v>
      </c>
      <c r="AB576" s="176" t="s">
        <v>489</v>
      </c>
      <c r="AC576" s="172">
        <v>42996.328472222223</v>
      </c>
      <c r="AD576" s="32" t="s">
        <v>552</v>
      </c>
    </row>
    <row r="577" spans="1:30">
      <c r="A577" s="184">
        <v>576</v>
      </c>
      <c r="B577" s="184" t="s">
        <v>1747</v>
      </c>
      <c r="C577" s="184" t="s">
        <v>598</v>
      </c>
      <c r="D577" s="127">
        <v>42860</v>
      </c>
      <c r="E577" s="127" t="s">
        <v>598</v>
      </c>
      <c r="F577" s="184" t="s">
        <v>1748</v>
      </c>
      <c r="G577" s="185">
        <v>2800000</v>
      </c>
      <c r="H577" s="184" t="s">
        <v>598</v>
      </c>
      <c r="I577" s="184" t="s">
        <v>134</v>
      </c>
      <c r="J577" s="184" t="s">
        <v>84</v>
      </c>
      <c r="K577" s="184" t="s">
        <v>192</v>
      </c>
      <c r="L577" s="184" t="s">
        <v>598</v>
      </c>
      <c r="M577" s="184" t="s">
        <v>598</v>
      </c>
      <c r="N577" s="184" t="s">
        <v>79</v>
      </c>
      <c r="O577" s="184" t="s">
        <v>79</v>
      </c>
      <c r="P577" s="186" t="s">
        <v>44</v>
      </c>
      <c r="Q577" s="184" t="s">
        <v>598</v>
      </c>
      <c r="R577" s="184" t="s">
        <v>598</v>
      </c>
      <c r="S577" s="127" t="s">
        <v>598</v>
      </c>
      <c r="T577" s="184" t="s">
        <v>598</v>
      </c>
      <c r="U577" s="184" t="s">
        <v>598</v>
      </c>
      <c r="V577" s="185">
        <v>0</v>
      </c>
      <c r="W577" s="184" t="s">
        <v>485</v>
      </c>
      <c r="X577" s="184" t="s">
        <v>598</v>
      </c>
      <c r="Y577" s="185">
        <v>0</v>
      </c>
      <c r="Z577" s="184" t="s">
        <v>598</v>
      </c>
      <c r="AA577" s="21" t="s">
        <v>610</v>
      </c>
      <c r="AB577" s="176" t="s">
        <v>489</v>
      </c>
      <c r="AC577" s="172">
        <v>42996.328472222223</v>
      </c>
      <c r="AD577" s="32" t="s">
        <v>552</v>
      </c>
    </row>
    <row r="578" spans="1:30">
      <c r="A578" s="184">
        <v>577</v>
      </c>
      <c r="B578" s="184" t="s">
        <v>1749</v>
      </c>
      <c r="C578" s="184" t="s">
        <v>598</v>
      </c>
      <c r="D578" s="127">
        <v>42864</v>
      </c>
      <c r="E578" s="127" t="s">
        <v>598</v>
      </c>
      <c r="F578" s="184" t="s">
        <v>1750</v>
      </c>
      <c r="G578" s="185">
        <v>3062000</v>
      </c>
      <c r="H578" s="184" t="s">
        <v>598</v>
      </c>
      <c r="I578" s="184" t="s">
        <v>134</v>
      </c>
      <c r="J578" s="184" t="s">
        <v>84</v>
      </c>
      <c r="K578" s="184" t="s">
        <v>175</v>
      </c>
      <c r="L578" s="184" t="s">
        <v>598</v>
      </c>
      <c r="M578" s="184" t="s">
        <v>62</v>
      </c>
      <c r="N578" s="184" t="s">
        <v>79</v>
      </c>
      <c r="O578" s="184" t="s">
        <v>112</v>
      </c>
      <c r="P578" s="186" t="s">
        <v>67</v>
      </c>
      <c r="Q578" s="184" t="s">
        <v>598</v>
      </c>
      <c r="R578" s="184" t="s">
        <v>598</v>
      </c>
      <c r="S578" s="127" t="s">
        <v>598</v>
      </c>
      <c r="T578" s="184" t="s">
        <v>598</v>
      </c>
      <c r="U578" s="184" t="s">
        <v>598</v>
      </c>
      <c r="V578" s="185">
        <v>0</v>
      </c>
      <c r="W578" s="184" t="s">
        <v>485</v>
      </c>
      <c r="X578" s="184" t="s">
        <v>598</v>
      </c>
      <c r="Y578" s="185">
        <v>0</v>
      </c>
      <c r="Z578" s="184" t="s">
        <v>598</v>
      </c>
      <c r="AA578" s="21" t="s">
        <v>610</v>
      </c>
      <c r="AB578" s="176" t="s">
        <v>489</v>
      </c>
      <c r="AC578" s="172">
        <v>42996.328472222223</v>
      </c>
      <c r="AD578" s="32" t="s">
        <v>552</v>
      </c>
    </row>
    <row r="579" spans="1:30">
      <c r="A579" s="184">
        <v>578</v>
      </c>
      <c r="B579" s="184" t="s">
        <v>1751</v>
      </c>
      <c r="C579" s="184" t="s">
        <v>598</v>
      </c>
      <c r="D579" s="127">
        <v>42864</v>
      </c>
      <c r="E579" s="127" t="s">
        <v>598</v>
      </c>
      <c r="F579" s="184" t="s">
        <v>1752</v>
      </c>
      <c r="G579" s="185">
        <v>2000000</v>
      </c>
      <c r="H579" s="184" t="s">
        <v>598</v>
      </c>
      <c r="I579" s="184" t="s">
        <v>132</v>
      </c>
      <c r="J579" s="184" t="s">
        <v>84</v>
      </c>
      <c r="K579" s="184" t="s">
        <v>175</v>
      </c>
      <c r="L579" s="184" t="s">
        <v>598</v>
      </c>
      <c r="M579" s="184" t="s">
        <v>62</v>
      </c>
      <c r="N579" s="184" t="s">
        <v>79</v>
      </c>
      <c r="O579" s="184" t="s">
        <v>112</v>
      </c>
      <c r="P579" s="186" t="s">
        <v>602</v>
      </c>
      <c r="Q579" s="184" t="s">
        <v>598</v>
      </c>
      <c r="R579" s="184" t="s">
        <v>598</v>
      </c>
      <c r="S579" s="127" t="s">
        <v>598</v>
      </c>
      <c r="T579" s="184" t="s">
        <v>598</v>
      </c>
      <c r="U579" s="184" t="s">
        <v>598</v>
      </c>
      <c r="V579" s="185">
        <v>0</v>
      </c>
      <c r="W579" s="184" t="s">
        <v>485</v>
      </c>
      <c r="X579" s="184" t="s">
        <v>598</v>
      </c>
      <c r="Y579" s="185">
        <v>0</v>
      </c>
      <c r="Z579" s="184" t="s">
        <v>598</v>
      </c>
      <c r="AA579" s="21" t="s">
        <v>610</v>
      </c>
      <c r="AB579" s="176" t="s">
        <v>489</v>
      </c>
      <c r="AC579" s="172">
        <v>42996.328472222223</v>
      </c>
      <c r="AD579" s="32" t="s">
        <v>552</v>
      </c>
    </row>
    <row r="580" spans="1:30">
      <c r="A580" s="184">
        <v>579</v>
      </c>
      <c r="B580" s="184" t="s">
        <v>1753</v>
      </c>
      <c r="C580" s="184" t="s">
        <v>598</v>
      </c>
      <c r="D580" s="127">
        <v>42864</v>
      </c>
      <c r="E580" s="127" t="s">
        <v>598</v>
      </c>
      <c r="F580" s="184" t="s">
        <v>1754</v>
      </c>
      <c r="G580" s="185">
        <v>10052000</v>
      </c>
      <c r="H580" s="184" t="s">
        <v>598</v>
      </c>
      <c r="I580" s="184" t="s">
        <v>598</v>
      </c>
      <c r="J580" s="184" t="s">
        <v>84</v>
      </c>
      <c r="K580" s="184" t="s">
        <v>368</v>
      </c>
      <c r="L580" s="184" t="s">
        <v>598</v>
      </c>
      <c r="M580" s="184" t="s">
        <v>41</v>
      </c>
      <c r="N580" s="184" t="s">
        <v>79</v>
      </c>
      <c r="O580" s="184" t="s">
        <v>79</v>
      </c>
      <c r="P580" s="186" t="s">
        <v>603</v>
      </c>
      <c r="Q580" s="184" t="s">
        <v>598</v>
      </c>
      <c r="R580" s="184" t="s">
        <v>598</v>
      </c>
      <c r="S580" s="127" t="s">
        <v>598</v>
      </c>
      <c r="T580" s="184" t="s">
        <v>598</v>
      </c>
      <c r="U580" s="184" t="s">
        <v>598</v>
      </c>
      <c r="V580" s="185">
        <v>0</v>
      </c>
      <c r="W580" s="184" t="s">
        <v>485</v>
      </c>
      <c r="X580" s="184" t="s">
        <v>598</v>
      </c>
      <c r="Y580" s="185">
        <v>0</v>
      </c>
      <c r="Z580" s="184" t="s">
        <v>598</v>
      </c>
      <c r="AA580" s="21" t="s">
        <v>610</v>
      </c>
      <c r="AB580" s="176" t="s">
        <v>489</v>
      </c>
      <c r="AC580" s="172">
        <v>42996.328472222223</v>
      </c>
      <c r="AD580" s="32" t="s">
        <v>552</v>
      </c>
    </row>
    <row r="581" spans="1:30">
      <c r="A581" s="184">
        <v>580</v>
      </c>
      <c r="B581" s="184" t="s">
        <v>1755</v>
      </c>
      <c r="C581" s="184" t="s">
        <v>598</v>
      </c>
      <c r="D581" s="127">
        <v>42865</v>
      </c>
      <c r="E581" s="127" t="s">
        <v>598</v>
      </c>
      <c r="F581" s="184" t="s">
        <v>1756</v>
      </c>
      <c r="G581" s="185">
        <v>4262000</v>
      </c>
      <c r="H581" s="184" t="s">
        <v>598</v>
      </c>
      <c r="I581" s="184" t="s">
        <v>129</v>
      </c>
      <c r="J581" s="184" t="s">
        <v>84</v>
      </c>
      <c r="K581" s="184" t="s">
        <v>282</v>
      </c>
      <c r="L581" s="184" t="s">
        <v>598</v>
      </c>
      <c r="M581" s="184" t="s">
        <v>598</v>
      </c>
      <c r="N581" s="184" t="s">
        <v>79</v>
      </c>
      <c r="O581" s="184" t="s">
        <v>79</v>
      </c>
      <c r="P581" s="186" t="s">
        <v>604</v>
      </c>
      <c r="Q581" s="184" t="s">
        <v>598</v>
      </c>
      <c r="R581" s="184" t="s">
        <v>598</v>
      </c>
      <c r="S581" s="127">
        <v>42891</v>
      </c>
      <c r="T581" s="184" t="s">
        <v>34</v>
      </c>
      <c r="U581" s="184" t="s">
        <v>598</v>
      </c>
      <c r="V581" s="185">
        <v>10000</v>
      </c>
      <c r="W581" s="184" t="s">
        <v>493</v>
      </c>
      <c r="X581" s="184" t="s">
        <v>598</v>
      </c>
      <c r="Y581" s="185">
        <v>0</v>
      </c>
      <c r="Z581" s="184" t="s">
        <v>598</v>
      </c>
      <c r="AA581" s="21" t="s">
        <v>610</v>
      </c>
      <c r="AB581" s="176" t="s">
        <v>489</v>
      </c>
      <c r="AC581" s="172">
        <v>42996.328472222223</v>
      </c>
      <c r="AD581" s="32" t="s">
        <v>552</v>
      </c>
    </row>
    <row r="582" spans="1:30">
      <c r="A582" s="184">
        <v>581</v>
      </c>
      <c r="B582" s="184" t="s">
        <v>1757</v>
      </c>
      <c r="C582" s="184" t="s">
        <v>598</v>
      </c>
      <c r="D582" s="127">
        <v>42865</v>
      </c>
      <c r="E582" s="127" t="s">
        <v>598</v>
      </c>
      <c r="F582" s="184" t="s">
        <v>1758</v>
      </c>
      <c r="G582" s="185">
        <v>4262000</v>
      </c>
      <c r="H582" s="184" t="s">
        <v>598</v>
      </c>
      <c r="I582" s="184" t="s">
        <v>132</v>
      </c>
      <c r="J582" s="184" t="s">
        <v>84</v>
      </c>
      <c r="K582" s="184" t="s">
        <v>263</v>
      </c>
      <c r="L582" s="184" t="s">
        <v>598</v>
      </c>
      <c r="M582" s="184" t="s">
        <v>62</v>
      </c>
      <c r="N582" s="184" t="s">
        <v>79</v>
      </c>
      <c r="O582" s="184" t="s">
        <v>79</v>
      </c>
      <c r="P582" s="186" t="s">
        <v>605</v>
      </c>
      <c r="Q582" s="184" t="s">
        <v>598</v>
      </c>
      <c r="R582" s="184" t="s">
        <v>598</v>
      </c>
      <c r="S582" s="127" t="s">
        <v>598</v>
      </c>
      <c r="T582" s="184" t="s">
        <v>598</v>
      </c>
      <c r="U582" s="184" t="s">
        <v>598</v>
      </c>
      <c r="V582" s="185">
        <v>0</v>
      </c>
      <c r="W582" s="184" t="s">
        <v>485</v>
      </c>
      <c r="X582" s="184" t="s">
        <v>598</v>
      </c>
      <c r="Y582" s="185">
        <v>0</v>
      </c>
      <c r="Z582" s="184" t="s">
        <v>598</v>
      </c>
      <c r="AA582" s="21" t="s">
        <v>610</v>
      </c>
      <c r="AB582" s="176" t="s">
        <v>489</v>
      </c>
      <c r="AC582" s="172">
        <v>42996.328472222223</v>
      </c>
      <c r="AD582" s="32" t="s">
        <v>552</v>
      </c>
    </row>
    <row r="583" spans="1:30">
      <c r="A583" s="184">
        <v>582</v>
      </c>
      <c r="B583" s="184" t="s">
        <v>1759</v>
      </c>
      <c r="C583" s="184" t="s">
        <v>598</v>
      </c>
      <c r="D583" s="127">
        <v>42865</v>
      </c>
      <c r="E583" s="127" t="s">
        <v>598</v>
      </c>
      <c r="F583" s="184" t="s">
        <v>1760</v>
      </c>
      <c r="G583" s="185">
        <v>4287000</v>
      </c>
      <c r="H583" s="184" t="s">
        <v>598</v>
      </c>
      <c r="I583" s="184" t="s">
        <v>134</v>
      </c>
      <c r="J583" s="184" t="s">
        <v>84</v>
      </c>
      <c r="K583" s="184" t="s">
        <v>369</v>
      </c>
      <c r="L583" s="184" t="s">
        <v>598</v>
      </c>
      <c r="M583" s="184" t="s">
        <v>62</v>
      </c>
      <c r="N583" s="184" t="s">
        <v>79</v>
      </c>
      <c r="O583" s="184" t="s">
        <v>79</v>
      </c>
      <c r="P583" s="186" t="s">
        <v>606</v>
      </c>
      <c r="Q583" s="184" t="s">
        <v>598</v>
      </c>
      <c r="R583" s="184" t="s">
        <v>598</v>
      </c>
      <c r="S583" s="127" t="s">
        <v>598</v>
      </c>
      <c r="T583" s="184" t="s">
        <v>598</v>
      </c>
      <c r="U583" s="184" t="s">
        <v>598</v>
      </c>
      <c r="V583" s="185">
        <v>0</v>
      </c>
      <c r="W583" s="184" t="s">
        <v>485</v>
      </c>
      <c r="X583" s="184" t="s">
        <v>598</v>
      </c>
      <c r="Y583" s="185">
        <v>0</v>
      </c>
      <c r="Z583" s="184" t="s">
        <v>598</v>
      </c>
      <c r="AA583" s="21" t="s">
        <v>610</v>
      </c>
      <c r="AB583" s="176" t="s">
        <v>489</v>
      </c>
      <c r="AC583" s="172">
        <v>42996.328472222223</v>
      </c>
      <c r="AD583" s="32" t="s">
        <v>552</v>
      </c>
    </row>
    <row r="584" spans="1:30">
      <c r="A584" s="184">
        <v>583</v>
      </c>
      <c r="B584" s="184" t="s">
        <v>1761</v>
      </c>
      <c r="C584" s="184" t="s">
        <v>598</v>
      </c>
      <c r="D584" s="127">
        <v>42866</v>
      </c>
      <c r="E584" s="127" t="s">
        <v>598</v>
      </c>
      <c r="F584" s="184" t="s">
        <v>1762</v>
      </c>
      <c r="G584" s="185">
        <v>0</v>
      </c>
      <c r="H584" s="184" t="s">
        <v>598</v>
      </c>
      <c r="I584" s="184" t="s">
        <v>134</v>
      </c>
      <c r="J584" s="184" t="s">
        <v>84</v>
      </c>
      <c r="K584" s="184" t="s">
        <v>370</v>
      </c>
      <c r="L584" s="184" t="s">
        <v>598</v>
      </c>
      <c r="M584" s="184" t="s">
        <v>598</v>
      </c>
      <c r="N584" s="184" t="s">
        <v>79</v>
      </c>
      <c r="O584" s="184" t="s">
        <v>112</v>
      </c>
      <c r="P584" s="186" t="s">
        <v>607</v>
      </c>
      <c r="Q584" s="184" t="s">
        <v>598</v>
      </c>
      <c r="R584" s="184" t="s">
        <v>598</v>
      </c>
      <c r="S584" s="127" t="s">
        <v>598</v>
      </c>
      <c r="T584" s="184" t="s">
        <v>598</v>
      </c>
      <c r="U584" s="184" t="s">
        <v>598</v>
      </c>
      <c r="V584" s="185">
        <v>0</v>
      </c>
      <c r="W584" s="184" t="s">
        <v>89</v>
      </c>
      <c r="X584" s="184" t="s">
        <v>598</v>
      </c>
      <c r="Y584" s="185">
        <v>0</v>
      </c>
      <c r="Z584" s="184" t="s">
        <v>598</v>
      </c>
      <c r="AA584" s="21" t="s">
        <v>822</v>
      </c>
      <c r="AB584" s="176" t="s">
        <v>489</v>
      </c>
      <c r="AC584" s="172">
        <v>42996.328472222223</v>
      </c>
      <c r="AD584" s="32" t="s">
        <v>552</v>
      </c>
    </row>
    <row r="585" spans="1:30">
      <c r="A585" s="184">
        <v>584</v>
      </c>
      <c r="B585" s="184" t="s">
        <v>1763</v>
      </c>
      <c r="C585" s="184" t="s">
        <v>598</v>
      </c>
      <c r="D585" s="127">
        <v>42870</v>
      </c>
      <c r="E585" s="127" t="s">
        <v>598</v>
      </c>
      <c r="F585" s="184" t="s">
        <v>1764</v>
      </c>
      <c r="G585" s="185">
        <v>0</v>
      </c>
      <c r="H585" s="184" t="s">
        <v>598</v>
      </c>
      <c r="I585" s="184" t="s">
        <v>96</v>
      </c>
      <c r="J585" s="184" t="s">
        <v>84</v>
      </c>
      <c r="K585" s="184" t="s">
        <v>371</v>
      </c>
      <c r="L585" s="184" t="s">
        <v>598</v>
      </c>
      <c r="M585" s="184" t="s">
        <v>598</v>
      </c>
      <c r="N585" s="184" t="s">
        <v>79</v>
      </c>
      <c r="O585" s="184" t="s">
        <v>112</v>
      </c>
      <c r="P585" s="186" t="s">
        <v>73</v>
      </c>
      <c r="Q585" s="184" t="s">
        <v>598</v>
      </c>
      <c r="R585" s="184" t="s">
        <v>598</v>
      </c>
      <c r="S585" s="127" t="s">
        <v>598</v>
      </c>
      <c r="T585" s="184" t="s">
        <v>598</v>
      </c>
      <c r="U585" s="184" t="s">
        <v>598</v>
      </c>
      <c r="V585" s="185">
        <v>0</v>
      </c>
      <c r="W585" s="184" t="s">
        <v>89</v>
      </c>
      <c r="X585" s="184" t="s">
        <v>598</v>
      </c>
      <c r="Y585" s="185">
        <v>0</v>
      </c>
      <c r="Z585" s="184" t="s">
        <v>598</v>
      </c>
      <c r="AA585" s="21" t="s">
        <v>822</v>
      </c>
      <c r="AB585" s="176" t="s">
        <v>489</v>
      </c>
      <c r="AC585" s="172">
        <v>42996.328472222223</v>
      </c>
      <c r="AD585" s="32" t="s">
        <v>552</v>
      </c>
    </row>
    <row r="586" spans="1:30">
      <c r="A586" s="184">
        <v>585</v>
      </c>
      <c r="B586" s="184" t="s">
        <v>1765</v>
      </c>
      <c r="C586" s="184" t="s">
        <v>598</v>
      </c>
      <c r="D586" s="127">
        <v>42872</v>
      </c>
      <c r="E586" s="127" t="s">
        <v>598</v>
      </c>
      <c r="F586" s="184" t="s">
        <v>1766</v>
      </c>
      <c r="G586" s="185">
        <v>3267000</v>
      </c>
      <c r="H586" s="184" t="s">
        <v>598</v>
      </c>
      <c r="I586" s="184" t="s">
        <v>134</v>
      </c>
      <c r="J586" s="184" t="s">
        <v>84</v>
      </c>
      <c r="K586" s="184" t="s">
        <v>259</v>
      </c>
      <c r="L586" s="184" t="s">
        <v>598</v>
      </c>
      <c r="M586" s="184" t="s">
        <v>41</v>
      </c>
      <c r="N586" s="184" t="s">
        <v>79</v>
      </c>
      <c r="O586" s="184" t="s">
        <v>112</v>
      </c>
      <c r="P586" s="186" t="s">
        <v>601</v>
      </c>
      <c r="Q586" s="184" t="s">
        <v>598</v>
      </c>
      <c r="R586" s="184" t="s">
        <v>598</v>
      </c>
      <c r="S586" s="127" t="s">
        <v>598</v>
      </c>
      <c r="T586" s="184" t="s">
        <v>598</v>
      </c>
      <c r="U586" s="184" t="s">
        <v>598</v>
      </c>
      <c r="V586" s="185">
        <v>0</v>
      </c>
      <c r="W586" s="184" t="s">
        <v>485</v>
      </c>
      <c r="X586" s="184" t="s">
        <v>598</v>
      </c>
      <c r="Y586" s="185">
        <v>0</v>
      </c>
      <c r="Z586" s="184" t="s">
        <v>598</v>
      </c>
      <c r="AA586" s="21" t="s">
        <v>610</v>
      </c>
      <c r="AB586" s="176" t="s">
        <v>489</v>
      </c>
      <c r="AC586" s="172">
        <v>42996.328472222223</v>
      </c>
      <c r="AD586" s="32" t="s">
        <v>552</v>
      </c>
    </row>
    <row r="587" spans="1:30">
      <c r="A587" s="184">
        <v>586</v>
      </c>
      <c r="B587" s="184" t="s">
        <v>1767</v>
      </c>
      <c r="C587" s="184" t="s">
        <v>598</v>
      </c>
      <c r="D587" s="127">
        <v>42872</v>
      </c>
      <c r="E587" s="127" t="s">
        <v>598</v>
      </c>
      <c r="F587" s="184" t="s">
        <v>598</v>
      </c>
      <c r="G587" s="185">
        <v>0</v>
      </c>
      <c r="H587" s="184" t="s">
        <v>598</v>
      </c>
      <c r="I587" s="184" t="s">
        <v>134</v>
      </c>
      <c r="J587" s="184" t="s">
        <v>84</v>
      </c>
      <c r="K587" s="184" t="s">
        <v>598</v>
      </c>
      <c r="L587" s="184" t="s">
        <v>598</v>
      </c>
      <c r="M587" s="184" t="s">
        <v>62</v>
      </c>
      <c r="N587" s="184" t="s">
        <v>79</v>
      </c>
      <c r="O587" s="184" t="s">
        <v>112</v>
      </c>
      <c r="P587" s="186" t="s">
        <v>32</v>
      </c>
      <c r="Q587" s="184" t="s">
        <v>598</v>
      </c>
      <c r="R587" s="184" t="s">
        <v>598</v>
      </c>
      <c r="S587" s="127" t="s">
        <v>598</v>
      </c>
      <c r="T587" s="184" t="s">
        <v>598</v>
      </c>
      <c r="U587" s="184" t="s">
        <v>598</v>
      </c>
      <c r="V587" s="185">
        <v>0</v>
      </c>
      <c r="W587" s="184" t="s">
        <v>485</v>
      </c>
      <c r="X587" s="184" t="s">
        <v>598</v>
      </c>
      <c r="Y587" s="185">
        <v>0</v>
      </c>
      <c r="Z587" s="184" t="s">
        <v>598</v>
      </c>
      <c r="AA587" s="21" t="s">
        <v>610</v>
      </c>
      <c r="AB587" s="176" t="s">
        <v>489</v>
      </c>
      <c r="AC587" s="172">
        <v>42996.328472222223</v>
      </c>
      <c r="AD587" s="32" t="s">
        <v>552</v>
      </c>
    </row>
    <row r="588" spans="1:30">
      <c r="A588" s="184">
        <v>587</v>
      </c>
      <c r="B588" s="184" t="s">
        <v>1768</v>
      </c>
      <c r="C588" s="184" t="s">
        <v>598</v>
      </c>
      <c r="D588" s="127">
        <v>42872</v>
      </c>
      <c r="E588" s="127" t="s">
        <v>598</v>
      </c>
      <c r="F588" s="184" t="s">
        <v>1769</v>
      </c>
      <c r="G588" s="185">
        <v>4905000</v>
      </c>
      <c r="H588" s="184" t="s">
        <v>598</v>
      </c>
      <c r="I588" s="184" t="s">
        <v>134</v>
      </c>
      <c r="J588" s="184" t="s">
        <v>84</v>
      </c>
      <c r="K588" s="184" t="s">
        <v>61</v>
      </c>
      <c r="L588" s="184" t="s">
        <v>598</v>
      </c>
      <c r="M588" s="184" t="s">
        <v>598</v>
      </c>
      <c r="N588" s="184" t="s">
        <v>79</v>
      </c>
      <c r="O588" s="184" t="s">
        <v>79</v>
      </c>
      <c r="P588" s="186" t="s">
        <v>53</v>
      </c>
      <c r="Q588" s="184" t="s">
        <v>598</v>
      </c>
      <c r="R588" s="184" t="s">
        <v>598</v>
      </c>
      <c r="S588" s="127" t="s">
        <v>598</v>
      </c>
      <c r="T588" s="184" t="s">
        <v>598</v>
      </c>
      <c r="U588" s="184" t="s">
        <v>598</v>
      </c>
      <c r="V588" s="185">
        <v>0</v>
      </c>
      <c r="W588" s="184" t="s">
        <v>485</v>
      </c>
      <c r="X588" s="184" t="s">
        <v>598</v>
      </c>
      <c r="Y588" s="185">
        <v>0</v>
      </c>
      <c r="Z588" s="184" t="s">
        <v>598</v>
      </c>
      <c r="AA588" s="21" t="s">
        <v>610</v>
      </c>
      <c r="AB588" s="176" t="s">
        <v>489</v>
      </c>
      <c r="AC588" s="172">
        <v>42996.328472222223</v>
      </c>
      <c r="AD588" s="32" t="s">
        <v>552</v>
      </c>
    </row>
    <row r="589" spans="1:30">
      <c r="A589" s="184">
        <v>588</v>
      </c>
      <c r="B589" s="184" t="s">
        <v>1770</v>
      </c>
      <c r="C589" s="184" t="s">
        <v>598</v>
      </c>
      <c r="D589" s="127">
        <v>42872</v>
      </c>
      <c r="E589" s="127" t="s">
        <v>598</v>
      </c>
      <c r="F589" s="184" t="s">
        <v>1424</v>
      </c>
      <c r="G589" s="185">
        <v>23642000</v>
      </c>
      <c r="H589" s="184" t="s">
        <v>598</v>
      </c>
      <c r="I589" s="184" t="s">
        <v>598</v>
      </c>
      <c r="J589" s="184" t="s">
        <v>84</v>
      </c>
      <c r="K589" s="184" t="s">
        <v>282</v>
      </c>
      <c r="L589" s="184" t="s">
        <v>598</v>
      </c>
      <c r="M589" s="184" t="s">
        <v>598</v>
      </c>
      <c r="N589" s="184" t="s">
        <v>79</v>
      </c>
      <c r="O589" s="184" t="s">
        <v>79</v>
      </c>
      <c r="P589" s="186" t="s">
        <v>44</v>
      </c>
      <c r="Q589" s="184" t="s">
        <v>598</v>
      </c>
      <c r="R589" s="184" t="s">
        <v>598</v>
      </c>
      <c r="S589" s="127">
        <v>42891</v>
      </c>
      <c r="T589" s="184" t="s">
        <v>34</v>
      </c>
      <c r="U589" s="184" t="s">
        <v>598</v>
      </c>
      <c r="V589" s="185">
        <v>10000</v>
      </c>
      <c r="W589" s="184" t="s">
        <v>493</v>
      </c>
      <c r="X589" s="184" t="s">
        <v>598</v>
      </c>
      <c r="Y589" s="185">
        <v>0</v>
      </c>
      <c r="Z589" s="184" t="s">
        <v>598</v>
      </c>
      <c r="AA589" s="21" t="s">
        <v>610</v>
      </c>
      <c r="AB589" s="176" t="s">
        <v>489</v>
      </c>
      <c r="AC589" s="172">
        <v>42996.328472222223</v>
      </c>
      <c r="AD589" s="32" t="s">
        <v>552</v>
      </c>
    </row>
    <row r="590" spans="1:30">
      <c r="A590" s="184">
        <v>589</v>
      </c>
      <c r="B590" s="184" t="s">
        <v>1771</v>
      </c>
      <c r="C590" s="184" t="s">
        <v>598</v>
      </c>
      <c r="D590" s="127">
        <v>42873</v>
      </c>
      <c r="E590" s="127" t="s">
        <v>598</v>
      </c>
      <c r="F590" s="184" t="s">
        <v>1772</v>
      </c>
      <c r="G590" s="185">
        <v>5205000</v>
      </c>
      <c r="H590" s="184" t="s">
        <v>598</v>
      </c>
      <c r="I590" s="184" t="s">
        <v>598</v>
      </c>
      <c r="J590" s="184" t="s">
        <v>84</v>
      </c>
      <c r="K590" s="184" t="s">
        <v>598</v>
      </c>
      <c r="L590" s="184" t="s">
        <v>598</v>
      </c>
      <c r="M590" s="184" t="s">
        <v>598</v>
      </c>
      <c r="N590" s="184" t="s">
        <v>79</v>
      </c>
      <c r="O590" s="184" t="s">
        <v>598</v>
      </c>
      <c r="P590" s="186" t="s">
        <v>67</v>
      </c>
      <c r="Q590" s="184" t="s">
        <v>598</v>
      </c>
      <c r="R590" s="184" t="s">
        <v>598</v>
      </c>
      <c r="S590" s="127" t="s">
        <v>598</v>
      </c>
      <c r="T590" s="184" t="s">
        <v>598</v>
      </c>
      <c r="U590" s="184" t="s">
        <v>598</v>
      </c>
      <c r="V590" s="185">
        <v>0</v>
      </c>
      <c r="W590" s="184" t="s">
        <v>485</v>
      </c>
      <c r="X590" s="184" t="s">
        <v>598</v>
      </c>
      <c r="Y590" s="185">
        <v>0</v>
      </c>
      <c r="Z590" s="184" t="s">
        <v>598</v>
      </c>
      <c r="AA590" s="21" t="s">
        <v>610</v>
      </c>
      <c r="AB590" s="176" t="s">
        <v>489</v>
      </c>
      <c r="AC590" s="172">
        <v>42996.328472222223</v>
      </c>
      <c r="AD590" s="32" t="s">
        <v>552</v>
      </c>
    </row>
    <row r="591" spans="1:30">
      <c r="A591" s="184">
        <v>590</v>
      </c>
      <c r="B591" s="184" t="s">
        <v>1773</v>
      </c>
      <c r="C591" s="184" t="s">
        <v>598</v>
      </c>
      <c r="D591" s="127">
        <v>42874</v>
      </c>
      <c r="E591" s="127" t="s">
        <v>598</v>
      </c>
      <c r="F591" s="184" t="s">
        <v>1774</v>
      </c>
      <c r="G591" s="185">
        <v>2002000</v>
      </c>
      <c r="H591" s="184" t="s">
        <v>598</v>
      </c>
      <c r="I591" s="184" t="s">
        <v>122</v>
      </c>
      <c r="J591" s="184" t="s">
        <v>84</v>
      </c>
      <c r="K591" s="184" t="s">
        <v>284</v>
      </c>
      <c r="L591" s="184" t="s">
        <v>598</v>
      </c>
      <c r="M591" s="184" t="s">
        <v>598</v>
      </c>
      <c r="N591" s="184" t="s">
        <v>79</v>
      </c>
      <c r="O591" s="184" t="s">
        <v>112</v>
      </c>
      <c r="P591" s="186" t="s">
        <v>602</v>
      </c>
      <c r="Q591" s="184" t="s">
        <v>598</v>
      </c>
      <c r="R591" s="184" t="s">
        <v>598</v>
      </c>
      <c r="S591" s="127">
        <v>42898</v>
      </c>
      <c r="T591" s="184" t="s">
        <v>10</v>
      </c>
      <c r="U591" s="184" t="s">
        <v>598</v>
      </c>
      <c r="V591" s="185">
        <v>3000</v>
      </c>
      <c r="W591" s="184" t="s">
        <v>493</v>
      </c>
      <c r="X591" s="184" t="s">
        <v>598</v>
      </c>
      <c r="Y591" s="185">
        <v>0</v>
      </c>
      <c r="Z591" s="184" t="s">
        <v>598</v>
      </c>
      <c r="AA591" s="21" t="s">
        <v>610</v>
      </c>
      <c r="AB591" s="176" t="s">
        <v>489</v>
      </c>
      <c r="AC591" s="172">
        <v>42996.328472222223</v>
      </c>
      <c r="AD591" s="32" t="s">
        <v>552</v>
      </c>
    </row>
    <row r="592" spans="1:30">
      <c r="A592" s="184">
        <v>591</v>
      </c>
      <c r="B592" s="184" t="s">
        <v>1775</v>
      </c>
      <c r="C592" s="184" t="s">
        <v>598</v>
      </c>
      <c r="D592" s="127">
        <v>42874</v>
      </c>
      <c r="E592" s="127" t="s">
        <v>598</v>
      </c>
      <c r="F592" s="184" t="s">
        <v>1176</v>
      </c>
      <c r="G592" s="185">
        <v>3013000</v>
      </c>
      <c r="H592" s="184" t="s">
        <v>598</v>
      </c>
      <c r="I592" s="184" t="s">
        <v>96</v>
      </c>
      <c r="J592" s="184" t="s">
        <v>84</v>
      </c>
      <c r="K592" s="184" t="s">
        <v>196</v>
      </c>
      <c r="L592" s="184" t="s">
        <v>598</v>
      </c>
      <c r="M592" s="184" t="s">
        <v>598</v>
      </c>
      <c r="N592" s="184" t="s">
        <v>79</v>
      </c>
      <c r="O592" s="184" t="s">
        <v>79</v>
      </c>
      <c r="P592" s="186" t="s">
        <v>603</v>
      </c>
      <c r="Q592" s="184" t="s">
        <v>598</v>
      </c>
      <c r="R592" s="184" t="s">
        <v>804</v>
      </c>
      <c r="S592" s="127" t="s">
        <v>598</v>
      </c>
      <c r="T592" s="184" t="s">
        <v>598</v>
      </c>
      <c r="U592" s="184" t="s">
        <v>598</v>
      </c>
      <c r="V592" s="185">
        <v>0</v>
      </c>
      <c r="W592" s="184" t="s">
        <v>549</v>
      </c>
      <c r="X592" s="184" t="s">
        <v>598</v>
      </c>
      <c r="Y592" s="185">
        <v>0</v>
      </c>
      <c r="Z592" s="184" t="s">
        <v>493</v>
      </c>
      <c r="AA592" s="21" t="s">
        <v>822</v>
      </c>
      <c r="AB592" s="176" t="s">
        <v>489</v>
      </c>
      <c r="AC592" s="172">
        <v>42996.328472222223</v>
      </c>
      <c r="AD592" s="32" t="s">
        <v>552</v>
      </c>
    </row>
    <row r="593" spans="1:30">
      <c r="A593" s="184">
        <v>592</v>
      </c>
      <c r="B593" s="184" t="s">
        <v>1776</v>
      </c>
      <c r="C593" s="184" t="s">
        <v>598</v>
      </c>
      <c r="D593" s="127">
        <v>42877</v>
      </c>
      <c r="E593" s="127" t="s">
        <v>598</v>
      </c>
      <c r="F593" s="184" t="s">
        <v>598</v>
      </c>
      <c r="G593" s="185">
        <v>0</v>
      </c>
      <c r="H593" s="184" t="s">
        <v>598</v>
      </c>
      <c r="I593" s="184" t="s">
        <v>134</v>
      </c>
      <c r="J593" s="184" t="s">
        <v>84</v>
      </c>
      <c r="K593" s="184" t="s">
        <v>598</v>
      </c>
      <c r="L593" s="184" t="s">
        <v>598</v>
      </c>
      <c r="M593" s="184" t="s">
        <v>50</v>
      </c>
      <c r="N593" s="184" t="s">
        <v>79</v>
      </c>
      <c r="O593" s="184" t="s">
        <v>112</v>
      </c>
      <c r="P593" s="186" t="s">
        <v>604</v>
      </c>
      <c r="Q593" s="184" t="s">
        <v>598</v>
      </c>
      <c r="R593" s="184" t="s">
        <v>598</v>
      </c>
      <c r="S593" s="127">
        <v>42888</v>
      </c>
      <c r="T593" s="184" t="s">
        <v>10</v>
      </c>
      <c r="U593" s="184" t="s">
        <v>598</v>
      </c>
      <c r="V593" s="185">
        <v>3000</v>
      </c>
      <c r="W593" s="184" t="s">
        <v>493</v>
      </c>
      <c r="X593" s="184" t="s">
        <v>598</v>
      </c>
      <c r="Y593" s="185">
        <v>0</v>
      </c>
      <c r="Z593" s="184" t="s">
        <v>598</v>
      </c>
      <c r="AA593" s="21" t="s">
        <v>610</v>
      </c>
      <c r="AB593" s="176" t="s">
        <v>489</v>
      </c>
      <c r="AC593" s="172">
        <v>42996.328472222223</v>
      </c>
      <c r="AD593" s="32" t="s">
        <v>552</v>
      </c>
    </row>
    <row r="594" spans="1:30">
      <c r="A594" s="184">
        <v>593</v>
      </c>
      <c r="B594" s="184" t="s">
        <v>1777</v>
      </c>
      <c r="C594" s="184" t="s">
        <v>598</v>
      </c>
      <c r="D594" s="127">
        <v>42878</v>
      </c>
      <c r="E594" s="127" t="s">
        <v>598</v>
      </c>
      <c r="F594" s="184" t="s">
        <v>1778</v>
      </c>
      <c r="G594" s="185">
        <v>4695000</v>
      </c>
      <c r="H594" s="184" t="s">
        <v>598</v>
      </c>
      <c r="I594" s="184" t="s">
        <v>134</v>
      </c>
      <c r="J594" s="184" t="s">
        <v>84</v>
      </c>
      <c r="K594" s="184" t="s">
        <v>1736</v>
      </c>
      <c r="L594" s="184" t="s">
        <v>598</v>
      </c>
      <c r="M594" s="184" t="s">
        <v>62</v>
      </c>
      <c r="N594" s="184" t="s">
        <v>79</v>
      </c>
      <c r="O594" s="184" t="s">
        <v>79</v>
      </c>
      <c r="P594" s="186" t="s">
        <v>605</v>
      </c>
      <c r="Q594" s="184" t="s">
        <v>598</v>
      </c>
      <c r="R594" s="184" t="s">
        <v>598</v>
      </c>
      <c r="S594" s="127" t="s">
        <v>598</v>
      </c>
      <c r="T594" s="184" t="s">
        <v>598</v>
      </c>
      <c r="U594" s="184" t="s">
        <v>598</v>
      </c>
      <c r="V594" s="185">
        <v>0</v>
      </c>
      <c r="W594" s="184" t="s">
        <v>485</v>
      </c>
      <c r="X594" s="184" t="s">
        <v>598</v>
      </c>
      <c r="Y594" s="185">
        <v>0</v>
      </c>
      <c r="Z594" s="184" t="s">
        <v>598</v>
      </c>
      <c r="AA594" s="21" t="s">
        <v>610</v>
      </c>
      <c r="AB594" s="176" t="s">
        <v>489</v>
      </c>
      <c r="AC594" s="172">
        <v>42996.328472222223</v>
      </c>
      <c r="AD594" s="32" t="s">
        <v>552</v>
      </c>
    </row>
    <row r="595" spans="1:30">
      <c r="A595" s="184">
        <v>594</v>
      </c>
      <c r="B595" s="184" t="s">
        <v>1779</v>
      </c>
      <c r="C595" s="184" t="s">
        <v>598</v>
      </c>
      <c r="D595" s="127">
        <v>42878</v>
      </c>
      <c r="E595" s="127" t="s">
        <v>598</v>
      </c>
      <c r="F595" s="184" t="s">
        <v>1780</v>
      </c>
      <c r="G595" s="185">
        <v>2843000</v>
      </c>
      <c r="H595" s="184" t="s">
        <v>598</v>
      </c>
      <c r="I595" s="184" t="s">
        <v>132</v>
      </c>
      <c r="J595" s="184" t="s">
        <v>84</v>
      </c>
      <c r="K595" s="184" t="s">
        <v>195</v>
      </c>
      <c r="L595" s="184" t="s">
        <v>598</v>
      </c>
      <c r="M595" s="184" t="s">
        <v>62</v>
      </c>
      <c r="N595" s="184" t="s">
        <v>79</v>
      </c>
      <c r="O595" s="184" t="s">
        <v>112</v>
      </c>
      <c r="P595" s="186" t="s">
        <v>606</v>
      </c>
      <c r="Q595" s="184" t="s">
        <v>598</v>
      </c>
      <c r="R595" s="184" t="s">
        <v>598</v>
      </c>
      <c r="S595" s="127" t="s">
        <v>598</v>
      </c>
      <c r="T595" s="184" t="s">
        <v>598</v>
      </c>
      <c r="U595" s="184" t="s">
        <v>598</v>
      </c>
      <c r="V595" s="185">
        <v>0</v>
      </c>
      <c r="W595" s="184" t="s">
        <v>485</v>
      </c>
      <c r="X595" s="184" t="s">
        <v>598</v>
      </c>
      <c r="Y595" s="185">
        <v>0</v>
      </c>
      <c r="Z595" s="184" t="s">
        <v>598</v>
      </c>
      <c r="AA595" s="21" t="s">
        <v>610</v>
      </c>
      <c r="AB595" s="176" t="s">
        <v>489</v>
      </c>
      <c r="AC595" s="172">
        <v>42996.328472222223</v>
      </c>
      <c r="AD595" s="32" t="s">
        <v>552</v>
      </c>
    </row>
    <row r="596" spans="1:30">
      <c r="A596" s="184">
        <v>595</v>
      </c>
      <c r="B596" s="184" t="s">
        <v>1781</v>
      </c>
      <c r="C596" s="184" t="s">
        <v>598</v>
      </c>
      <c r="D596" s="127">
        <v>42878</v>
      </c>
      <c r="E596" s="127" t="s">
        <v>598</v>
      </c>
      <c r="F596" s="184" t="s">
        <v>1782</v>
      </c>
      <c r="G596" s="185">
        <v>6133000</v>
      </c>
      <c r="H596" s="184" t="s">
        <v>598</v>
      </c>
      <c r="I596" s="184" t="s">
        <v>132</v>
      </c>
      <c r="J596" s="184" t="s">
        <v>84</v>
      </c>
      <c r="K596" s="184" t="s">
        <v>195</v>
      </c>
      <c r="L596" s="184" t="s">
        <v>598</v>
      </c>
      <c r="M596" s="184" t="s">
        <v>62</v>
      </c>
      <c r="N596" s="184" t="s">
        <v>79</v>
      </c>
      <c r="O596" s="184" t="s">
        <v>112</v>
      </c>
      <c r="P596" s="186" t="s">
        <v>607</v>
      </c>
      <c r="Q596" s="184" t="s">
        <v>598</v>
      </c>
      <c r="R596" s="184" t="s">
        <v>598</v>
      </c>
      <c r="S596" s="127" t="s">
        <v>598</v>
      </c>
      <c r="T596" s="184" t="s">
        <v>598</v>
      </c>
      <c r="U596" s="184" t="s">
        <v>598</v>
      </c>
      <c r="V596" s="185">
        <v>0</v>
      </c>
      <c r="W596" s="184" t="s">
        <v>485</v>
      </c>
      <c r="X596" s="184" t="s">
        <v>598</v>
      </c>
      <c r="Y596" s="185">
        <v>0</v>
      </c>
      <c r="Z596" s="184" t="s">
        <v>598</v>
      </c>
      <c r="AA596" s="21" t="s">
        <v>610</v>
      </c>
      <c r="AB596" s="176" t="s">
        <v>489</v>
      </c>
      <c r="AC596" s="172">
        <v>42996.328472222223</v>
      </c>
      <c r="AD596" s="32" t="s">
        <v>552</v>
      </c>
    </row>
    <row r="597" spans="1:30">
      <c r="A597" s="184">
        <v>596</v>
      </c>
      <c r="B597" s="184" t="s">
        <v>1783</v>
      </c>
      <c r="C597" s="184" t="s">
        <v>598</v>
      </c>
      <c r="D597" s="127">
        <v>42878</v>
      </c>
      <c r="E597" s="127" t="s">
        <v>598</v>
      </c>
      <c r="F597" s="184" t="s">
        <v>926</v>
      </c>
      <c r="G597" s="185">
        <v>5340000</v>
      </c>
      <c r="H597" s="184" t="s">
        <v>598</v>
      </c>
      <c r="I597" s="184" t="s">
        <v>1784</v>
      </c>
      <c r="J597" s="184" t="s">
        <v>84</v>
      </c>
      <c r="K597" s="184" t="s">
        <v>175</v>
      </c>
      <c r="L597" s="184" t="s">
        <v>598</v>
      </c>
      <c r="M597" s="184" t="s">
        <v>62</v>
      </c>
      <c r="N597" s="184" t="s">
        <v>79</v>
      </c>
      <c r="O597" s="184" t="s">
        <v>79</v>
      </c>
      <c r="P597" s="186" t="s">
        <v>73</v>
      </c>
      <c r="Q597" s="184" t="s">
        <v>598</v>
      </c>
      <c r="R597" s="184" t="s">
        <v>598</v>
      </c>
      <c r="S597" s="127" t="s">
        <v>598</v>
      </c>
      <c r="T597" s="184" t="s">
        <v>598</v>
      </c>
      <c r="U597" s="184" t="s">
        <v>598</v>
      </c>
      <c r="V597" s="185">
        <v>0</v>
      </c>
      <c r="W597" s="184" t="s">
        <v>485</v>
      </c>
      <c r="X597" s="184" t="s">
        <v>598</v>
      </c>
      <c r="Y597" s="185">
        <v>0</v>
      </c>
      <c r="Z597" s="184" t="s">
        <v>598</v>
      </c>
      <c r="AA597" s="21" t="s">
        <v>610</v>
      </c>
      <c r="AB597" s="176" t="s">
        <v>489</v>
      </c>
      <c r="AC597" s="172">
        <v>42996.328472222223</v>
      </c>
      <c r="AD597" s="32" t="s">
        <v>552</v>
      </c>
    </row>
    <row r="598" spans="1:30">
      <c r="A598" s="184">
        <v>597</v>
      </c>
      <c r="B598" s="184" t="s">
        <v>1785</v>
      </c>
      <c r="C598" s="184" t="s">
        <v>598</v>
      </c>
      <c r="D598" s="127">
        <v>42879</v>
      </c>
      <c r="E598" s="127" t="s">
        <v>598</v>
      </c>
      <c r="F598" s="184" t="s">
        <v>1786</v>
      </c>
      <c r="G598" s="185">
        <v>0</v>
      </c>
      <c r="H598" s="184" t="s">
        <v>598</v>
      </c>
      <c r="I598" s="184" t="s">
        <v>120</v>
      </c>
      <c r="J598" s="184" t="s">
        <v>84</v>
      </c>
      <c r="K598" s="184" t="s">
        <v>372</v>
      </c>
      <c r="L598" s="184" t="s">
        <v>598</v>
      </c>
      <c r="M598" s="184" t="s">
        <v>598</v>
      </c>
      <c r="N598" s="184" t="s">
        <v>79</v>
      </c>
      <c r="O598" s="184" t="s">
        <v>112</v>
      </c>
      <c r="P598" s="186" t="s">
        <v>601</v>
      </c>
      <c r="Q598" s="184" t="s">
        <v>598</v>
      </c>
      <c r="R598" s="184" t="s">
        <v>598</v>
      </c>
      <c r="S598" s="127" t="s">
        <v>598</v>
      </c>
      <c r="T598" s="184" t="s">
        <v>598</v>
      </c>
      <c r="U598" s="184" t="s">
        <v>598</v>
      </c>
      <c r="V598" s="185">
        <v>0</v>
      </c>
      <c r="W598" s="184" t="s">
        <v>89</v>
      </c>
      <c r="X598" s="184" t="s">
        <v>598</v>
      </c>
      <c r="Y598" s="185">
        <v>0</v>
      </c>
      <c r="Z598" s="184" t="s">
        <v>598</v>
      </c>
      <c r="AA598" s="21" t="s">
        <v>822</v>
      </c>
      <c r="AB598" s="176" t="s">
        <v>489</v>
      </c>
      <c r="AC598" s="172">
        <v>42996.328472222223</v>
      </c>
      <c r="AD598" s="32" t="s">
        <v>552</v>
      </c>
    </row>
    <row r="599" spans="1:30">
      <c r="A599" s="184">
        <v>598</v>
      </c>
      <c r="B599" s="184" t="s">
        <v>1787</v>
      </c>
      <c r="C599" s="184" t="s">
        <v>598</v>
      </c>
      <c r="D599" s="127">
        <v>42879</v>
      </c>
      <c r="E599" s="127" t="s">
        <v>598</v>
      </c>
      <c r="F599" s="184" t="s">
        <v>1788</v>
      </c>
      <c r="G599" s="185">
        <v>0</v>
      </c>
      <c r="H599" s="184" t="s">
        <v>598</v>
      </c>
      <c r="I599" s="184" t="s">
        <v>598</v>
      </c>
      <c r="J599" s="184" t="s">
        <v>84</v>
      </c>
      <c r="K599" s="184" t="s">
        <v>372</v>
      </c>
      <c r="L599" s="184" t="s">
        <v>598</v>
      </c>
      <c r="M599" s="184" t="s">
        <v>598</v>
      </c>
      <c r="N599" s="184" t="s">
        <v>79</v>
      </c>
      <c r="O599" s="184" t="s">
        <v>598</v>
      </c>
      <c r="P599" s="186" t="s">
        <v>32</v>
      </c>
      <c r="Q599" s="184" t="s">
        <v>598</v>
      </c>
      <c r="R599" s="184" t="s">
        <v>598</v>
      </c>
      <c r="S599" s="127" t="s">
        <v>598</v>
      </c>
      <c r="T599" s="184" t="s">
        <v>598</v>
      </c>
      <c r="U599" s="184" t="s">
        <v>598</v>
      </c>
      <c r="V599" s="185">
        <v>0</v>
      </c>
      <c r="W599" s="184" t="s">
        <v>89</v>
      </c>
      <c r="X599" s="184" t="s">
        <v>598</v>
      </c>
      <c r="Y599" s="185">
        <v>0</v>
      </c>
      <c r="Z599" s="184" t="s">
        <v>598</v>
      </c>
      <c r="AA599" s="21" t="s">
        <v>822</v>
      </c>
      <c r="AB599" s="176" t="s">
        <v>489</v>
      </c>
      <c r="AC599" s="172">
        <v>42996.328472222223</v>
      </c>
      <c r="AD599" s="32" t="s">
        <v>552</v>
      </c>
    </row>
    <row r="600" spans="1:30">
      <c r="A600" s="184">
        <v>599</v>
      </c>
      <c r="B600" s="184" t="s">
        <v>1789</v>
      </c>
      <c r="C600" s="184" t="s">
        <v>598</v>
      </c>
      <c r="D600" s="127">
        <v>42880</v>
      </c>
      <c r="E600" s="127" t="s">
        <v>598</v>
      </c>
      <c r="F600" s="184" t="s">
        <v>1790</v>
      </c>
      <c r="G600" s="185">
        <v>6780000</v>
      </c>
      <c r="H600" s="184" t="s">
        <v>598</v>
      </c>
      <c r="I600" s="184" t="s">
        <v>132</v>
      </c>
      <c r="J600" s="184" t="s">
        <v>84</v>
      </c>
      <c r="K600" s="184" t="s">
        <v>252</v>
      </c>
      <c r="L600" s="184" t="s">
        <v>598</v>
      </c>
      <c r="M600" s="184" t="s">
        <v>598</v>
      </c>
      <c r="N600" s="184" t="s">
        <v>79</v>
      </c>
      <c r="O600" s="184" t="s">
        <v>112</v>
      </c>
      <c r="P600" s="186" t="s">
        <v>53</v>
      </c>
      <c r="Q600" s="184" t="s">
        <v>598</v>
      </c>
      <c r="R600" s="184" t="s">
        <v>598</v>
      </c>
      <c r="S600" s="127">
        <v>42887</v>
      </c>
      <c r="T600" s="184" t="s">
        <v>10</v>
      </c>
      <c r="U600" s="184" t="s">
        <v>598</v>
      </c>
      <c r="V600" s="185">
        <v>5000</v>
      </c>
      <c r="W600" s="184" t="s">
        <v>493</v>
      </c>
      <c r="X600" s="184" t="s">
        <v>598</v>
      </c>
      <c r="Y600" s="185">
        <v>0</v>
      </c>
      <c r="Z600" s="184" t="s">
        <v>598</v>
      </c>
      <c r="AA600" s="21" t="s">
        <v>610</v>
      </c>
      <c r="AB600" s="176" t="s">
        <v>489</v>
      </c>
      <c r="AC600" s="172">
        <v>42996.328472222223</v>
      </c>
      <c r="AD600" s="32" t="s">
        <v>552</v>
      </c>
    </row>
    <row r="601" spans="1:30">
      <c r="A601" s="184">
        <v>600</v>
      </c>
      <c r="B601" s="184" t="s">
        <v>1791</v>
      </c>
      <c r="C601" s="184" t="s">
        <v>598</v>
      </c>
      <c r="D601" s="127">
        <v>42881</v>
      </c>
      <c r="E601" s="127" t="s">
        <v>598</v>
      </c>
      <c r="F601" s="184" t="s">
        <v>1792</v>
      </c>
      <c r="G601" s="185">
        <v>5064000</v>
      </c>
      <c r="H601" s="184" t="s">
        <v>598</v>
      </c>
      <c r="I601" s="184" t="s">
        <v>132</v>
      </c>
      <c r="J601" s="184" t="s">
        <v>84</v>
      </c>
      <c r="K601" s="184" t="s">
        <v>252</v>
      </c>
      <c r="L601" s="184" t="s">
        <v>598</v>
      </c>
      <c r="M601" s="184" t="s">
        <v>598</v>
      </c>
      <c r="N601" s="184" t="s">
        <v>79</v>
      </c>
      <c r="O601" s="184" t="s">
        <v>79</v>
      </c>
      <c r="P601" s="186" t="s">
        <v>44</v>
      </c>
      <c r="Q601" s="184" t="s">
        <v>598</v>
      </c>
      <c r="R601" s="184" t="s">
        <v>598</v>
      </c>
      <c r="S601" s="127">
        <v>42888</v>
      </c>
      <c r="T601" s="184" t="s">
        <v>10</v>
      </c>
      <c r="U601" s="184" t="s">
        <v>598</v>
      </c>
      <c r="V601" s="185">
        <v>5000</v>
      </c>
      <c r="W601" s="184" t="s">
        <v>493</v>
      </c>
      <c r="X601" s="184" t="s">
        <v>598</v>
      </c>
      <c r="Y601" s="185">
        <v>0</v>
      </c>
      <c r="Z601" s="184" t="s">
        <v>598</v>
      </c>
      <c r="AA601" s="21" t="s">
        <v>610</v>
      </c>
      <c r="AB601" s="176" t="s">
        <v>489</v>
      </c>
      <c r="AC601" s="172">
        <v>42996.328472222223</v>
      </c>
      <c r="AD601" s="32" t="s">
        <v>552</v>
      </c>
    </row>
    <row r="602" spans="1:30">
      <c r="A602" s="184">
        <v>601</v>
      </c>
      <c r="B602" s="184" t="s">
        <v>1793</v>
      </c>
      <c r="C602" s="184" t="s">
        <v>598</v>
      </c>
      <c r="D602" s="127">
        <v>42881</v>
      </c>
      <c r="E602" s="127" t="s">
        <v>598</v>
      </c>
      <c r="F602" s="184" t="s">
        <v>1794</v>
      </c>
      <c r="G602" s="185">
        <v>0</v>
      </c>
      <c r="H602" s="184" t="s">
        <v>598</v>
      </c>
      <c r="I602" s="184" t="s">
        <v>120</v>
      </c>
      <c r="J602" s="184" t="s">
        <v>84</v>
      </c>
      <c r="K602" s="184" t="s">
        <v>373</v>
      </c>
      <c r="L602" s="184" t="s">
        <v>598</v>
      </c>
      <c r="M602" s="184" t="s">
        <v>598</v>
      </c>
      <c r="N602" s="184" t="s">
        <v>79</v>
      </c>
      <c r="O602" s="184" t="s">
        <v>112</v>
      </c>
      <c r="P602" s="186" t="s">
        <v>67</v>
      </c>
      <c r="Q602" s="184" t="s">
        <v>598</v>
      </c>
      <c r="R602" s="184" t="s">
        <v>804</v>
      </c>
      <c r="S602" s="127" t="s">
        <v>598</v>
      </c>
      <c r="T602" s="184" t="s">
        <v>598</v>
      </c>
      <c r="U602" s="184" t="s">
        <v>598</v>
      </c>
      <c r="V602" s="185">
        <v>0</v>
      </c>
      <c r="W602" s="184" t="s">
        <v>549</v>
      </c>
      <c r="X602" s="184" t="s">
        <v>598</v>
      </c>
      <c r="Y602" s="185">
        <v>0</v>
      </c>
      <c r="Z602" s="184" t="s">
        <v>493</v>
      </c>
      <c r="AA602" s="21" t="s">
        <v>822</v>
      </c>
      <c r="AB602" s="176" t="s">
        <v>489</v>
      </c>
      <c r="AC602" s="172">
        <v>42996.328472222223</v>
      </c>
      <c r="AD602" s="32" t="s">
        <v>552</v>
      </c>
    </row>
    <row r="603" spans="1:30">
      <c r="A603" s="184">
        <v>602</v>
      </c>
      <c r="B603" s="184" t="s">
        <v>1795</v>
      </c>
      <c r="C603" s="184" t="s">
        <v>598</v>
      </c>
      <c r="D603" s="127">
        <v>42882</v>
      </c>
      <c r="E603" s="127" t="s">
        <v>598</v>
      </c>
      <c r="F603" s="184" t="s">
        <v>1796</v>
      </c>
      <c r="G603" s="185">
        <v>0</v>
      </c>
      <c r="H603" s="184" t="s">
        <v>598</v>
      </c>
      <c r="I603" s="184" t="s">
        <v>134</v>
      </c>
      <c r="J603" s="184" t="s">
        <v>84</v>
      </c>
      <c r="K603" s="184" t="s">
        <v>175</v>
      </c>
      <c r="L603" s="184" t="s">
        <v>598</v>
      </c>
      <c r="M603" s="184" t="s">
        <v>62</v>
      </c>
      <c r="N603" s="184" t="s">
        <v>79</v>
      </c>
      <c r="O603" s="184" t="s">
        <v>112</v>
      </c>
      <c r="P603" s="186" t="s">
        <v>602</v>
      </c>
      <c r="Q603" s="184" t="s">
        <v>598</v>
      </c>
      <c r="R603" s="184" t="s">
        <v>598</v>
      </c>
      <c r="S603" s="127" t="s">
        <v>598</v>
      </c>
      <c r="T603" s="184" t="s">
        <v>598</v>
      </c>
      <c r="U603" s="184" t="s">
        <v>598</v>
      </c>
      <c r="V603" s="185">
        <v>0</v>
      </c>
      <c r="W603" s="184" t="s">
        <v>485</v>
      </c>
      <c r="X603" s="184" t="s">
        <v>598</v>
      </c>
      <c r="Y603" s="185">
        <v>0</v>
      </c>
      <c r="Z603" s="184" t="s">
        <v>598</v>
      </c>
      <c r="AA603" s="21" t="s">
        <v>610</v>
      </c>
      <c r="AB603" s="176" t="s">
        <v>489</v>
      </c>
      <c r="AC603" s="172">
        <v>42996.328472222223</v>
      </c>
      <c r="AD603" s="32" t="s">
        <v>552</v>
      </c>
    </row>
    <row r="604" spans="1:30">
      <c r="A604" s="184">
        <v>603</v>
      </c>
      <c r="B604" s="184" t="s">
        <v>1797</v>
      </c>
      <c r="C604" s="184" t="s">
        <v>598</v>
      </c>
      <c r="D604" s="127">
        <v>42882</v>
      </c>
      <c r="E604" s="127" t="s">
        <v>598</v>
      </c>
      <c r="F604" s="184" t="s">
        <v>1798</v>
      </c>
      <c r="G604" s="185">
        <v>0</v>
      </c>
      <c r="H604" s="184" t="s">
        <v>598</v>
      </c>
      <c r="I604" s="184" t="s">
        <v>134</v>
      </c>
      <c r="J604" s="184" t="s">
        <v>84</v>
      </c>
      <c r="K604" s="184" t="s">
        <v>228</v>
      </c>
      <c r="L604" s="184" t="s">
        <v>598</v>
      </c>
      <c r="M604" s="184" t="s">
        <v>62</v>
      </c>
      <c r="N604" s="184" t="s">
        <v>79</v>
      </c>
      <c r="O604" s="184" t="s">
        <v>112</v>
      </c>
      <c r="P604" s="186" t="s">
        <v>603</v>
      </c>
      <c r="Q604" s="184" t="s">
        <v>598</v>
      </c>
      <c r="R604" s="184" t="s">
        <v>598</v>
      </c>
      <c r="S604" s="127" t="s">
        <v>598</v>
      </c>
      <c r="T604" s="184" t="s">
        <v>598</v>
      </c>
      <c r="U604" s="184" t="s">
        <v>598</v>
      </c>
      <c r="V604" s="185">
        <v>0</v>
      </c>
      <c r="W604" s="184" t="s">
        <v>485</v>
      </c>
      <c r="X604" s="184" t="s">
        <v>598</v>
      </c>
      <c r="Y604" s="185">
        <v>0</v>
      </c>
      <c r="Z604" s="184" t="s">
        <v>598</v>
      </c>
      <c r="AA604" s="21" t="s">
        <v>610</v>
      </c>
      <c r="AB604" s="176" t="s">
        <v>489</v>
      </c>
      <c r="AC604" s="172">
        <v>42996.328472222223</v>
      </c>
      <c r="AD604" s="32" t="s">
        <v>552</v>
      </c>
    </row>
    <row r="605" spans="1:30">
      <c r="A605" s="184">
        <v>604</v>
      </c>
      <c r="B605" s="184" t="s">
        <v>1799</v>
      </c>
      <c r="C605" s="184" t="s">
        <v>598</v>
      </c>
      <c r="D605" s="127">
        <v>42882</v>
      </c>
      <c r="E605" s="127" t="s">
        <v>598</v>
      </c>
      <c r="F605" s="184" t="s">
        <v>1800</v>
      </c>
      <c r="G605" s="185">
        <v>4890000</v>
      </c>
      <c r="H605" s="184" t="s">
        <v>598</v>
      </c>
      <c r="I605" s="184" t="s">
        <v>132</v>
      </c>
      <c r="J605" s="184" t="s">
        <v>84</v>
      </c>
      <c r="K605" s="184" t="s">
        <v>252</v>
      </c>
      <c r="L605" s="184" t="s">
        <v>598</v>
      </c>
      <c r="M605" s="184" t="s">
        <v>598</v>
      </c>
      <c r="N605" s="184" t="s">
        <v>79</v>
      </c>
      <c r="O605" s="184" t="s">
        <v>79</v>
      </c>
      <c r="P605" s="186" t="s">
        <v>604</v>
      </c>
      <c r="Q605" s="184" t="s">
        <v>598</v>
      </c>
      <c r="R605" s="184" t="s">
        <v>598</v>
      </c>
      <c r="S605" s="127">
        <v>42907</v>
      </c>
      <c r="T605" s="184" t="s">
        <v>10</v>
      </c>
      <c r="U605" s="184" t="s">
        <v>598</v>
      </c>
      <c r="V605" s="185">
        <v>3000</v>
      </c>
      <c r="W605" s="184" t="s">
        <v>493</v>
      </c>
      <c r="X605" s="184" t="s">
        <v>598</v>
      </c>
      <c r="Y605" s="185">
        <v>0</v>
      </c>
      <c r="Z605" s="184" t="s">
        <v>598</v>
      </c>
      <c r="AA605" s="21" t="s">
        <v>610</v>
      </c>
      <c r="AB605" s="176" t="s">
        <v>489</v>
      </c>
      <c r="AC605" s="172">
        <v>42996.328472222223</v>
      </c>
      <c r="AD605" s="32" t="s">
        <v>552</v>
      </c>
    </row>
    <row r="606" spans="1:30">
      <c r="A606" s="184">
        <v>605</v>
      </c>
      <c r="B606" s="184" t="s">
        <v>1801</v>
      </c>
      <c r="C606" s="184" t="s">
        <v>598</v>
      </c>
      <c r="D606" s="127">
        <v>42884</v>
      </c>
      <c r="E606" s="127" t="s">
        <v>598</v>
      </c>
      <c r="F606" s="184" t="s">
        <v>1802</v>
      </c>
      <c r="G606" s="185">
        <v>0</v>
      </c>
      <c r="H606" s="184" t="s">
        <v>598</v>
      </c>
      <c r="I606" s="184" t="s">
        <v>132</v>
      </c>
      <c r="J606" s="184" t="s">
        <v>84</v>
      </c>
      <c r="K606" s="184" t="s">
        <v>184</v>
      </c>
      <c r="L606" s="184" t="s">
        <v>598</v>
      </c>
      <c r="M606" s="184" t="s">
        <v>62</v>
      </c>
      <c r="N606" s="184" t="s">
        <v>79</v>
      </c>
      <c r="O606" s="184" t="s">
        <v>79</v>
      </c>
      <c r="P606" s="186" t="s">
        <v>605</v>
      </c>
      <c r="Q606" s="184" t="s">
        <v>598</v>
      </c>
      <c r="R606" s="184" t="s">
        <v>598</v>
      </c>
      <c r="S606" s="127" t="s">
        <v>598</v>
      </c>
      <c r="T606" s="184" t="s">
        <v>598</v>
      </c>
      <c r="U606" s="184" t="s">
        <v>598</v>
      </c>
      <c r="V606" s="185">
        <v>0</v>
      </c>
      <c r="W606" s="184" t="s">
        <v>89</v>
      </c>
      <c r="X606" s="184" t="s">
        <v>598</v>
      </c>
      <c r="Y606" s="185">
        <v>0</v>
      </c>
      <c r="Z606" s="184" t="s">
        <v>598</v>
      </c>
      <c r="AA606" s="21" t="s">
        <v>822</v>
      </c>
      <c r="AB606" s="176" t="s">
        <v>489</v>
      </c>
      <c r="AC606" s="172">
        <v>42996.328472222223</v>
      </c>
      <c r="AD606" s="32" t="s">
        <v>552</v>
      </c>
    </row>
    <row r="607" spans="1:30">
      <c r="A607" s="184">
        <v>606</v>
      </c>
      <c r="B607" s="184" t="s">
        <v>1803</v>
      </c>
      <c r="C607" s="184" t="s">
        <v>598</v>
      </c>
      <c r="D607" s="127">
        <v>42885</v>
      </c>
      <c r="E607" s="127" t="s">
        <v>598</v>
      </c>
      <c r="F607" s="184" t="s">
        <v>1804</v>
      </c>
      <c r="G607" s="185">
        <v>0</v>
      </c>
      <c r="H607" s="184" t="s">
        <v>598</v>
      </c>
      <c r="I607" s="184" t="s">
        <v>132</v>
      </c>
      <c r="J607" s="184" t="s">
        <v>84</v>
      </c>
      <c r="K607" s="184" t="s">
        <v>192</v>
      </c>
      <c r="L607" s="184" t="s">
        <v>598</v>
      </c>
      <c r="M607" s="184" t="s">
        <v>62</v>
      </c>
      <c r="N607" s="184" t="s">
        <v>79</v>
      </c>
      <c r="O607" s="184" t="s">
        <v>112</v>
      </c>
      <c r="P607" s="186" t="s">
        <v>606</v>
      </c>
      <c r="Q607" s="184" t="s">
        <v>598</v>
      </c>
      <c r="R607" s="184" t="s">
        <v>598</v>
      </c>
      <c r="S607" s="127" t="s">
        <v>598</v>
      </c>
      <c r="T607" s="184" t="s">
        <v>598</v>
      </c>
      <c r="U607" s="184" t="s">
        <v>598</v>
      </c>
      <c r="V607" s="185">
        <v>0</v>
      </c>
      <c r="W607" s="184" t="s">
        <v>485</v>
      </c>
      <c r="X607" s="184" t="s">
        <v>598</v>
      </c>
      <c r="Y607" s="185">
        <v>0</v>
      </c>
      <c r="Z607" s="184" t="s">
        <v>598</v>
      </c>
      <c r="AA607" s="21" t="s">
        <v>610</v>
      </c>
      <c r="AB607" s="176" t="s">
        <v>489</v>
      </c>
      <c r="AC607" s="172">
        <v>42996.328472222223</v>
      </c>
      <c r="AD607" s="32" t="s">
        <v>552</v>
      </c>
    </row>
    <row r="608" spans="1:30">
      <c r="A608" s="184">
        <v>607</v>
      </c>
      <c r="B608" s="184" t="s">
        <v>1805</v>
      </c>
      <c r="C608" s="184" t="s">
        <v>598</v>
      </c>
      <c r="D608" s="127">
        <v>42886</v>
      </c>
      <c r="E608" s="127" t="s">
        <v>598</v>
      </c>
      <c r="F608" s="184" t="s">
        <v>1806</v>
      </c>
      <c r="G608" s="185">
        <v>0</v>
      </c>
      <c r="H608" s="184" t="s">
        <v>598</v>
      </c>
      <c r="I608" s="184" t="s">
        <v>132</v>
      </c>
      <c r="J608" s="184" t="s">
        <v>84</v>
      </c>
      <c r="K608" s="184" t="s">
        <v>171</v>
      </c>
      <c r="L608" s="184" t="s">
        <v>598</v>
      </c>
      <c r="M608" s="184" t="s">
        <v>598</v>
      </c>
      <c r="N608" s="184" t="s">
        <v>79</v>
      </c>
      <c r="O608" s="184" t="s">
        <v>112</v>
      </c>
      <c r="P608" s="186" t="s">
        <v>607</v>
      </c>
      <c r="Q608" s="184" t="s">
        <v>598</v>
      </c>
      <c r="R608" s="184" t="s">
        <v>598</v>
      </c>
      <c r="S608" s="127">
        <v>42889</v>
      </c>
      <c r="T608" s="184" t="s">
        <v>34</v>
      </c>
      <c r="U608" s="184" t="s">
        <v>598</v>
      </c>
      <c r="V608" s="185">
        <v>4500</v>
      </c>
      <c r="W608" s="184" t="s">
        <v>493</v>
      </c>
      <c r="X608" s="184" t="s">
        <v>598</v>
      </c>
      <c r="Y608" s="185">
        <v>0</v>
      </c>
      <c r="Z608" s="184" t="s">
        <v>598</v>
      </c>
      <c r="AA608" s="21" t="s">
        <v>610</v>
      </c>
      <c r="AB608" s="176" t="s">
        <v>489</v>
      </c>
      <c r="AC608" s="172">
        <v>42996.328472222223</v>
      </c>
      <c r="AD608" s="32" t="s">
        <v>552</v>
      </c>
    </row>
    <row r="609" spans="1:30">
      <c r="A609" s="184">
        <v>608</v>
      </c>
      <c r="B609" s="184" t="s">
        <v>1807</v>
      </c>
      <c r="C609" s="184" t="s">
        <v>598</v>
      </c>
      <c r="D609" s="127">
        <v>42886</v>
      </c>
      <c r="E609" s="127" t="s">
        <v>598</v>
      </c>
      <c r="F609" s="184" t="s">
        <v>1808</v>
      </c>
      <c r="G609" s="185">
        <v>0</v>
      </c>
      <c r="H609" s="184" t="s">
        <v>598</v>
      </c>
      <c r="I609" s="184" t="s">
        <v>122</v>
      </c>
      <c r="J609" s="184" t="s">
        <v>84</v>
      </c>
      <c r="K609" s="184" t="s">
        <v>1809</v>
      </c>
      <c r="L609" s="184" t="s">
        <v>598</v>
      </c>
      <c r="M609" s="184" t="s">
        <v>598</v>
      </c>
      <c r="N609" s="184" t="s">
        <v>79</v>
      </c>
      <c r="O609" s="184" t="s">
        <v>79</v>
      </c>
      <c r="P609" s="186" t="s">
        <v>73</v>
      </c>
      <c r="Q609" s="184" t="s">
        <v>598</v>
      </c>
      <c r="R609" s="184" t="s">
        <v>598</v>
      </c>
      <c r="S609" s="127">
        <v>42909</v>
      </c>
      <c r="T609" s="184" t="s">
        <v>10</v>
      </c>
      <c r="U609" s="184" t="s">
        <v>598</v>
      </c>
      <c r="V609" s="185">
        <v>3000</v>
      </c>
      <c r="W609" s="184" t="s">
        <v>493</v>
      </c>
      <c r="X609" s="184" t="s">
        <v>598</v>
      </c>
      <c r="Y609" s="185">
        <v>0</v>
      </c>
      <c r="Z609" s="184" t="s">
        <v>598</v>
      </c>
      <c r="AA609" s="21" t="s">
        <v>610</v>
      </c>
      <c r="AB609" s="176" t="s">
        <v>489</v>
      </c>
      <c r="AC609" s="172">
        <v>42996.328472222223</v>
      </c>
      <c r="AD609" s="32" t="s">
        <v>552</v>
      </c>
    </row>
    <row r="610" spans="1:30">
      <c r="A610" s="184">
        <v>609</v>
      </c>
      <c r="B610" s="184" t="s">
        <v>1810</v>
      </c>
      <c r="C610" s="184" t="s">
        <v>598</v>
      </c>
      <c r="D610" s="127">
        <v>42886</v>
      </c>
      <c r="E610" s="127" t="s">
        <v>598</v>
      </c>
      <c r="F610" s="184" t="s">
        <v>1811</v>
      </c>
      <c r="G610" s="185">
        <v>0</v>
      </c>
      <c r="H610" s="184" t="s">
        <v>598</v>
      </c>
      <c r="I610" s="184" t="s">
        <v>134</v>
      </c>
      <c r="J610" s="184" t="s">
        <v>84</v>
      </c>
      <c r="K610" s="184" t="s">
        <v>184</v>
      </c>
      <c r="L610" s="184" t="s">
        <v>598</v>
      </c>
      <c r="M610" s="184" t="s">
        <v>62</v>
      </c>
      <c r="N610" s="184" t="s">
        <v>79</v>
      </c>
      <c r="O610" s="184" t="s">
        <v>112</v>
      </c>
      <c r="P610" s="186" t="s">
        <v>601</v>
      </c>
      <c r="Q610" s="184" t="s">
        <v>598</v>
      </c>
      <c r="R610" s="184" t="s">
        <v>598</v>
      </c>
      <c r="S610" s="127" t="s">
        <v>598</v>
      </c>
      <c r="T610" s="184" t="s">
        <v>598</v>
      </c>
      <c r="U610" s="184" t="s">
        <v>598</v>
      </c>
      <c r="V610" s="185">
        <v>0</v>
      </c>
      <c r="W610" s="184" t="s">
        <v>485</v>
      </c>
      <c r="X610" s="184" t="s">
        <v>598</v>
      </c>
      <c r="Y610" s="185">
        <v>0</v>
      </c>
      <c r="Z610" s="184" t="s">
        <v>598</v>
      </c>
      <c r="AA610" s="21" t="s">
        <v>610</v>
      </c>
      <c r="AB610" s="176" t="s">
        <v>489</v>
      </c>
      <c r="AC610" s="172">
        <v>42996.328472222223</v>
      </c>
      <c r="AD610" s="32" t="s">
        <v>552</v>
      </c>
    </row>
    <row r="611" spans="1:30">
      <c r="A611" s="184">
        <v>610</v>
      </c>
      <c r="B611" s="184" t="s">
        <v>1812</v>
      </c>
      <c r="C611" s="184" t="s">
        <v>598</v>
      </c>
      <c r="D611" s="127">
        <v>42887</v>
      </c>
      <c r="E611" s="127" t="s">
        <v>598</v>
      </c>
      <c r="F611" s="184" t="s">
        <v>1813</v>
      </c>
      <c r="G611" s="185">
        <v>0</v>
      </c>
      <c r="H611" s="184" t="s">
        <v>598</v>
      </c>
      <c r="I611" s="184" t="s">
        <v>134</v>
      </c>
      <c r="J611" s="184" t="s">
        <v>92</v>
      </c>
      <c r="K611" s="184" t="s">
        <v>285</v>
      </c>
      <c r="L611" s="184" t="s">
        <v>598</v>
      </c>
      <c r="M611" s="184" t="s">
        <v>598</v>
      </c>
      <c r="N611" s="184" t="s">
        <v>79</v>
      </c>
      <c r="O611" s="184" t="s">
        <v>112</v>
      </c>
      <c r="P611" s="186" t="s">
        <v>601</v>
      </c>
      <c r="Q611" s="184" t="s">
        <v>598</v>
      </c>
      <c r="R611" s="184" t="s">
        <v>598</v>
      </c>
      <c r="S611" s="127">
        <v>42887</v>
      </c>
      <c r="T611" s="184" t="s">
        <v>34</v>
      </c>
      <c r="U611" s="184" t="s">
        <v>598</v>
      </c>
      <c r="V611" s="185">
        <v>2500</v>
      </c>
      <c r="W611" s="184" t="s">
        <v>493</v>
      </c>
      <c r="X611" s="184" t="s">
        <v>598</v>
      </c>
      <c r="Y611" s="185">
        <v>0</v>
      </c>
      <c r="Z611" s="184" t="s">
        <v>598</v>
      </c>
      <c r="AA611" s="21" t="s">
        <v>610</v>
      </c>
      <c r="AB611" s="176" t="s">
        <v>489</v>
      </c>
      <c r="AC611" s="172">
        <v>42996.328472222223</v>
      </c>
      <c r="AD611" s="32" t="s">
        <v>552</v>
      </c>
    </row>
    <row r="612" spans="1:30">
      <c r="A612" s="184">
        <v>611</v>
      </c>
      <c r="B612" s="184" t="s">
        <v>1814</v>
      </c>
      <c r="C612" s="184" t="s">
        <v>598</v>
      </c>
      <c r="D612" s="127">
        <v>42888</v>
      </c>
      <c r="E612" s="127" t="s">
        <v>598</v>
      </c>
      <c r="F612" s="184" t="s">
        <v>1815</v>
      </c>
      <c r="G612" s="185">
        <v>0</v>
      </c>
      <c r="H612" s="184" t="s">
        <v>598</v>
      </c>
      <c r="I612" s="184" t="s">
        <v>134</v>
      </c>
      <c r="J612" s="184" t="s">
        <v>92</v>
      </c>
      <c r="K612" s="184" t="s">
        <v>247</v>
      </c>
      <c r="L612" s="184" t="s">
        <v>598</v>
      </c>
      <c r="M612" s="184" t="s">
        <v>598</v>
      </c>
      <c r="N612" s="184" t="s">
        <v>79</v>
      </c>
      <c r="O612" s="184" t="s">
        <v>112</v>
      </c>
      <c r="P612" s="186" t="s">
        <v>32</v>
      </c>
      <c r="Q612" s="184" t="s">
        <v>598</v>
      </c>
      <c r="R612" s="184" t="s">
        <v>598</v>
      </c>
      <c r="S612" s="127" t="s">
        <v>598</v>
      </c>
      <c r="T612" s="184" t="s">
        <v>598</v>
      </c>
      <c r="U612" s="184" t="s">
        <v>598</v>
      </c>
      <c r="V612" s="185">
        <v>0</v>
      </c>
      <c r="W612" s="184" t="s">
        <v>557</v>
      </c>
      <c r="X612" s="184" t="s">
        <v>598</v>
      </c>
      <c r="Y612" s="185">
        <v>0</v>
      </c>
      <c r="Z612" s="184" t="s">
        <v>598</v>
      </c>
      <c r="AA612" s="21" t="s">
        <v>822</v>
      </c>
      <c r="AB612" s="176" t="s">
        <v>489</v>
      </c>
      <c r="AC612" s="172">
        <v>42996.328472222223</v>
      </c>
      <c r="AD612" s="32" t="s">
        <v>552</v>
      </c>
    </row>
    <row r="613" spans="1:30">
      <c r="A613" s="184">
        <v>612</v>
      </c>
      <c r="B613" s="184" t="s">
        <v>1816</v>
      </c>
      <c r="C613" s="184" t="s">
        <v>598</v>
      </c>
      <c r="D613" s="127">
        <v>42891</v>
      </c>
      <c r="E613" s="127" t="s">
        <v>598</v>
      </c>
      <c r="F613" s="184" t="s">
        <v>1817</v>
      </c>
      <c r="G613" s="185">
        <v>0</v>
      </c>
      <c r="H613" s="184" t="s">
        <v>598</v>
      </c>
      <c r="I613" s="184" t="s">
        <v>598</v>
      </c>
      <c r="J613" s="184" t="s">
        <v>92</v>
      </c>
      <c r="K613" s="184" t="s">
        <v>286</v>
      </c>
      <c r="L613" s="184" t="s">
        <v>598</v>
      </c>
      <c r="M613" s="184" t="s">
        <v>598</v>
      </c>
      <c r="N613" s="184" t="s">
        <v>79</v>
      </c>
      <c r="O613" s="184" t="s">
        <v>112</v>
      </c>
      <c r="P613" s="186" t="s">
        <v>53</v>
      </c>
      <c r="Q613" s="184" t="s">
        <v>598</v>
      </c>
      <c r="R613" s="184" t="s">
        <v>598</v>
      </c>
      <c r="S613" s="127">
        <v>42902</v>
      </c>
      <c r="T613" s="184" t="s">
        <v>34</v>
      </c>
      <c r="U613" s="184" t="s">
        <v>598</v>
      </c>
      <c r="V613" s="185">
        <v>2500</v>
      </c>
      <c r="W613" s="184" t="s">
        <v>493</v>
      </c>
      <c r="X613" s="184" t="s">
        <v>598</v>
      </c>
      <c r="Y613" s="185">
        <v>0</v>
      </c>
      <c r="Z613" s="184" t="s">
        <v>598</v>
      </c>
      <c r="AA613" s="21" t="s">
        <v>610</v>
      </c>
      <c r="AB613" s="176" t="s">
        <v>489</v>
      </c>
      <c r="AC613" s="172">
        <v>42996.328472222223</v>
      </c>
      <c r="AD613" s="32" t="s">
        <v>552</v>
      </c>
    </row>
    <row r="614" spans="1:30">
      <c r="A614" s="184">
        <v>613</v>
      </c>
      <c r="B614" s="184" t="s">
        <v>1818</v>
      </c>
      <c r="C614" s="184" t="s">
        <v>598</v>
      </c>
      <c r="D614" s="127">
        <v>42891</v>
      </c>
      <c r="E614" s="127" t="s">
        <v>598</v>
      </c>
      <c r="F614" s="184" t="s">
        <v>1819</v>
      </c>
      <c r="G614" s="185">
        <v>0</v>
      </c>
      <c r="H614" s="184" t="s">
        <v>598</v>
      </c>
      <c r="I614" s="184" t="s">
        <v>118</v>
      </c>
      <c r="J614" s="184" t="s">
        <v>92</v>
      </c>
      <c r="K614" s="184" t="s">
        <v>186</v>
      </c>
      <c r="L614" s="184" t="s">
        <v>598</v>
      </c>
      <c r="M614" s="184" t="s">
        <v>598</v>
      </c>
      <c r="N614" s="184" t="s">
        <v>79</v>
      </c>
      <c r="O614" s="184" t="s">
        <v>79</v>
      </c>
      <c r="P614" s="186" t="s">
        <v>44</v>
      </c>
      <c r="Q614" s="184" t="s">
        <v>598</v>
      </c>
      <c r="R614" s="184" t="s">
        <v>598</v>
      </c>
      <c r="S614" s="127">
        <v>42892</v>
      </c>
      <c r="T614" s="184" t="s">
        <v>34</v>
      </c>
      <c r="U614" s="184" t="s">
        <v>598</v>
      </c>
      <c r="V614" s="185">
        <v>2000</v>
      </c>
      <c r="W614" s="184" t="s">
        <v>493</v>
      </c>
      <c r="X614" s="184" t="s">
        <v>598</v>
      </c>
      <c r="Y614" s="185">
        <v>0</v>
      </c>
      <c r="Z614" s="184" t="s">
        <v>598</v>
      </c>
      <c r="AA614" s="21" t="s">
        <v>610</v>
      </c>
      <c r="AB614" s="176" t="s">
        <v>489</v>
      </c>
      <c r="AC614" s="172">
        <v>42996.328472222223</v>
      </c>
      <c r="AD614" s="32" t="s">
        <v>552</v>
      </c>
    </row>
    <row r="615" spans="1:30">
      <c r="A615" s="184">
        <v>614</v>
      </c>
      <c r="B615" s="184" t="s">
        <v>1820</v>
      </c>
      <c r="C615" s="184" t="s">
        <v>598</v>
      </c>
      <c r="D615" s="127">
        <v>42893</v>
      </c>
      <c r="E615" s="127" t="s">
        <v>598</v>
      </c>
      <c r="F615" s="184" t="s">
        <v>1821</v>
      </c>
      <c r="G615" s="185">
        <v>0</v>
      </c>
      <c r="H615" s="184" t="s">
        <v>598</v>
      </c>
      <c r="I615" s="184" t="s">
        <v>107</v>
      </c>
      <c r="J615" s="184" t="s">
        <v>92</v>
      </c>
      <c r="K615" s="184" t="s">
        <v>287</v>
      </c>
      <c r="L615" s="184" t="s">
        <v>598</v>
      </c>
      <c r="M615" s="184" t="s">
        <v>598</v>
      </c>
      <c r="N615" s="184" t="s">
        <v>79</v>
      </c>
      <c r="O615" s="184" t="s">
        <v>112</v>
      </c>
      <c r="P615" s="186" t="s">
        <v>67</v>
      </c>
      <c r="Q615" s="184" t="s">
        <v>598</v>
      </c>
      <c r="R615" s="184" t="s">
        <v>598</v>
      </c>
      <c r="S615" s="127">
        <v>42901</v>
      </c>
      <c r="T615" s="184" t="s">
        <v>34</v>
      </c>
      <c r="U615" s="184" t="s">
        <v>598</v>
      </c>
      <c r="V615" s="185">
        <v>8000</v>
      </c>
      <c r="W615" s="184" t="s">
        <v>493</v>
      </c>
      <c r="X615" s="184" t="s">
        <v>598</v>
      </c>
      <c r="Y615" s="185">
        <v>0</v>
      </c>
      <c r="Z615" s="184" t="s">
        <v>598</v>
      </c>
      <c r="AA615" s="21" t="s">
        <v>610</v>
      </c>
      <c r="AB615" s="176" t="s">
        <v>489</v>
      </c>
      <c r="AC615" s="172">
        <v>42996.328472222223</v>
      </c>
      <c r="AD615" s="32" t="s">
        <v>552</v>
      </c>
    </row>
    <row r="616" spans="1:30">
      <c r="A616" s="184">
        <v>615</v>
      </c>
      <c r="B616" s="184" t="s">
        <v>1822</v>
      </c>
      <c r="C616" s="184" t="s">
        <v>598</v>
      </c>
      <c r="D616" s="127">
        <v>42900</v>
      </c>
      <c r="E616" s="127" t="s">
        <v>598</v>
      </c>
      <c r="F616" s="184" t="s">
        <v>696</v>
      </c>
      <c r="G616" s="185">
        <v>0</v>
      </c>
      <c r="H616" s="184" t="s">
        <v>598</v>
      </c>
      <c r="I616" s="184" t="s">
        <v>598</v>
      </c>
      <c r="J616" s="184" t="s">
        <v>92</v>
      </c>
      <c r="K616" s="184" t="s">
        <v>285</v>
      </c>
      <c r="L616" s="184" t="s">
        <v>598</v>
      </c>
      <c r="M616" s="184" t="s">
        <v>598</v>
      </c>
      <c r="N616" s="184" t="s">
        <v>79</v>
      </c>
      <c r="O616" s="184" t="s">
        <v>112</v>
      </c>
      <c r="P616" s="186" t="s">
        <v>602</v>
      </c>
      <c r="Q616" s="184" t="s">
        <v>598</v>
      </c>
      <c r="R616" s="184" t="s">
        <v>598</v>
      </c>
      <c r="S616" s="127">
        <v>42908</v>
      </c>
      <c r="T616" s="184" t="s">
        <v>34</v>
      </c>
      <c r="U616" s="184" t="s">
        <v>598</v>
      </c>
      <c r="V616" s="185">
        <v>1500</v>
      </c>
      <c r="W616" s="184" t="s">
        <v>493</v>
      </c>
      <c r="X616" s="184" t="s">
        <v>598</v>
      </c>
      <c r="Y616" s="185">
        <v>0</v>
      </c>
      <c r="Z616" s="184" t="s">
        <v>598</v>
      </c>
      <c r="AA616" s="21" t="s">
        <v>610</v>
      </c>
      <c r="AB616" s="176" t="s">
        <v>489</v>
      </c>
      <c r="AC616" s="172">
        <v>42996.328472222223</v>
      </c>
      <c r="AD616" s="32" t="s">
        <v>552</v>
      </c>
    </row>
    <row r="617" spans="1:30">
      <c r="A617" s="184">
        <v>616</v>
      </c>
      <c r="B617" s="184" t="s">
        <v>1823</v>
      </c>
      <c r="C617" s="184" t="s">
        <v>598</v>
      </c>
      <c r="D617" s="127">
        <v>42901</v>
      </c>
      <c r="E617" s="127" t="s">
        <v>598</v>
      </c>
      <c r="F617" s="184" t="s">
        <v>1824</v>
      </c>
      <c r="G617" s="185">
        <v>0</v>
      </c>
      <c r="H617" s="184" t="s">
        <v>598</v>
      </c>
      <c r="I617" s="184" t="s">
        <v>131</v>
      </c>
      <c r="J617" s="184" t="s">
        <v>92</v>
      </c>
      <c r="K617" s="184" t="s">
        <v>249</v>
      </c>
      <c r="L617" s="184" t="s">
        <v>598</v>
      </c>
      <c r="M617" s="184" t="s">
        <v>598</v>
      </c>
      <c r="N617" s="184" t="s">
        <v>79</v>
      </c>
      <c r="O617" s="184" t="s">
        <v>79</v>
      </c>
      <c r="P617" s="186" t="s">
        <v>603</v>
      </c>
      <c r="Q617" s="184" t="s">
        <v>598</v>
      </c>
      <c r="R617" s="184" t="s">
        <v>598</v>
      </c>
      <c r="S617" s="127">
        <v>42903</v>
      </c>
      <c r="T617" s="184" t="s">
        <v>34</v>
      </c>
      <c r="U617" s="184" t="s">
        <v>598</v>
      </c>
      <c r="V617" s="185">
        <v>25000</v>
      </c>
      <c r="W617" s="184" t="s">
        <v>493</v>
      </c>
      <c r="X617" s="184" t="s">
        <v>598</v>
      </c>
      <c r="Y617" s="185">
        <v>0</v>
      </c>
      <c r="Z617" s="184" t="s">
        <v>598</v>
      </c>
      <c r="AA617" s="21" t="s">
        <v>610</v>
      </c>
      <c r="AB617" s="176" t="s">
        <v>489</v>
      </c>
      <c r="AC617" s="172">
        <v>42996.328472222223</v>
      </c>
      <c r="AD617" s="32" t="s">
        <v>552</v>
      </c>
    </row>
    <row r="618" spans="1:30">
      <c r="A618" s="184">
        <v>617</v>
      </c>
      <c r="B618" s="184" t="s">
        <v>1825</v>
      </c>
      <c r="C618" s="184" t="s">
        <v>598</v>
      </c>
      <c r="D618" s="127">
        <v>42903</v>
      </c>
      <c r="E618" s="127" t="s">
        <v>598</v>
      </c>
      <c r="F618" s="184" t="s">
        <v>1826</v>
      </c>
      <c r="G618" s="185">
        <v>0</v>
      </c>
      <c r="H618" s="184" t="s">
        <v>598</v>
      </c>
      <c r="I618" s="184" t="s">
        <v>135</v>
      </c>
      <c r="J618" s="184" t="s">
        <v>92</v>
      </c>
      <c r="K618" s="184" t="s">
        <v>205</v>
      </c>
      <c r="L618" s="184" t="s">
        <v>598</v>
      </c>
      <c r="M618" s="184" t="s">
        <v>598</v>
      </c>
      <c r="N618" s="184" t="s">
        <v>79</v>
      </c>
      <c r="O618" s="184" t="s">
        <v>112</v>
      </c>
      <c r="P618" s="186" t="s">
        <v>604</v>
      </c>
      <c r="Q618" s="184" t="s">
        <v>598</v>
      </c>
      <c r="R618" s="184" t="s">
        <v>598</v>
      </c>
      <c r="S618" s="127" t="s">
        <v>598</v>
      </c>
      <c r="T618" s="184" t="s">
        <v>598</v>
      </c>
      <c r="U618" s="184" t="s">
        <v>598</v>
      </c>
      <c r="V618" s="185">
        <v>0</v>
      </c>
      <c r="W618" s="184" t="s">
        <v>89</v>
      </c>
      <c r="X618" s="184" t="s">
        <v>598</v>
      </c>
      <c r="Y618" s="185">
        <v>0</v>
      </c>
      <c r="Z618" s="184" t="s">
        <v>598</v>
      </c>
      <c r="AA618" s="21" t="s">
        <v>822</v>
      </c>
      <c r="AB618" s="176" t="s">
        <v>489</v>
      </c>
      <c r="AC618" s="172">
        <v>42996.328472222223</v>
      </c>
      <c r="AD618" s="32" t="s">
        <v>552</v>
      </c>
    </row>
    <row r="619" spans="1:30">
      <c r="A619" s="184">
        <v>618</v>
      </c>
      <c r="B619" s="184" t="s">
        <v>1827</v>
      </c>
      <c r="C619" s="184" t="s">
        <v>598</v>
      </c>
      <c r="D619" s="127">
        <v>42906</v>
      </c>
      <c r="E619" s="127" t="s">
        <v>598</v>
      </c>
      <c r="F619" s="184" t="s">
        <v>1828</v>
      </c>
      <c r="G619" s="185">
        <v>0</v>
      </c>
      <c r="H619" s="184" t="s">
        <v>598</v>
      </c>
      <c r="I619" s="184" t="s">
        <v>132</v>
      </c>
      <c r="J619" s="184" t="s">
        <v>92</v>
      </c>
      <c r="K619" s="184" t="s">
        <v>285</v>
      </c>
      <c r="L619" s="184" t="s">
        <v>598</v>
      </c>
      <c r="M619" s="184" t="s">
        <v>598</v>
      </c>
      <c r="N619" s="184" t="s">
        <v>79</v>
      </c>
      <c r="O619" s="184" t="s">
        <v>79</v>
      </c>
      <c r="P619" s="186" t="s">
        <v>605</v>
      </c>
      <c r="Q619" s="184" t="s">
        <v>598</v>
      </c>
      <c r="R619" s="184" t="s">
        <v>598</v>
      </c>
      <c r="S619" s="127">
        <v>42906</v>
      </c>
      <c r="T619" s="184" t="s">
        <v>34</v>
      </c>
      <c r="U619" s="184" t="s">
        <v>598</v>
      </c>
      <c r="V619" s="185">
        <v>4000</v>
      </c>
      <c r="W619" s="184" t="s">
        <v>493</v>
      </c>
      <c r="X619" s="184" t="s">
        <v>598</v>
      </c>
      <c r="Y619" s="185">
        <v>0</v>
      </c>
      <c r="Z619" s="184" t="s">
        <v>598</v>
      </c>
      <c r="AA619" s="21" t="s">
        <v>610</v>
      </c>
      <c r="AB619" s="176" t="s">
        <v>489</v>
      </c>
      <c r="AC619" s="172">
        <v>42996.328472222223</v>
      </c>
      <c r="AD619" s="32" t="s">
        <v>552</v>
      </c>
    </row>
    <row r="620" spans="1:30">
      <c r="A620" s="184">
        <v>619</v>
      </c>
      <c r="B620" s="184" t="s">
        <v>1829</v>
      </c>
      <c r="C620" s="184" t="s">
        <v>598</v>
      </c>
      <c r="D620" s="127">
        <v>42905</v>
      </c>
      <c r="E620" s="127" t="s">
        <v>598</v>
      </c>
      <c r="F620" s="184" t="s">
        <v>1830</v>
      </c>
      <c r="G620" s="185">
        <v>0</v>
      </c>
      <c r="H620" s="184" t="s">
        <v>598</v>
      </c>
      <c r="I620" s="184" t="s">
        <v>135</v>
      </c>
      <c r="J620" s="184" t="s">
        <v>92</v>
      </c>
      <c r="K620" s="184" t="s">
        <v>285</v>
      </c>
      <c r="L620" s="184" t="s">
        <v>598</v>
      </c>
      <c r="M620" s="184" t="s">
        <v>598</v>
      </c>
      <c r="N620" s="184" t="s">
        <v>79</v>
      </c>
      <c r="O620" s="184" t="s">
        <v>112</v>
      </c>
      <c r="P620" s="186" t="s">
        <v>606</v>
      </c>
      <c r="Q620" s="184" t="s">
        <v>598</v>
      </c>
      <c r="R620" s="184" t="s">
        <v>598</v>
      </c>
      <c r="S620" s="127" t="s">
        <v>598</v>
      </c>
      <c r="T620" s="184" t="s">
        <v>598</v>
      </c>
      <c r="U620" s="184" t="s">
        <v>598</v>
      </c>
      <c r="V620" s="185">
        <v>0</v>
      </c>
      <c r="W620" s="184" t="s">
        <v>89</v>
      </c>
      <c r="X620" s="184" t="s">
        <v>598</v>
      </c>
      <c r="Y620" s="185">
        <v>0</v>
      </c>
      <c r="Z620" s="184" t="s">
        <v>598</v>
      </c>
      <c r="AA620" s="21" t="s">
        <v>822</v>
      </c>
      <c r="AB620" s="176" t="s">
        <v>489</v>
      </c>
      <c r="AC620" s="172">
        <v>42996.328472222223</v>
      </c>
      <c r="AD620" s="32" t="s">
        <v>552</v>
      </c>
    </row>
    <row r="621" spans="1:30">
      <c r="A621" s="184">
        <v>620</v>
      </c>
      <c r="B621" s="184" t="s">
        <v>1831</v>
      </c>
      <c r="C621" s="184" t="s">
        <v>598</v>
      </c>
      <c r="D621" s="127">
        <v>42906</v>
      </c>
      <c r="E621" s="127" t="s">
        <v>598</v>
      </c>
      <c r="F621" s="184" t="s">
        <v>1832</v>
      </c>
      <c r="G621" s="185">
        <v>0</v>
      </c>
      <c r="H621" s="184" t="s">
        <v>598</v>
      </c>
      <c r="I621" s="184" t="s">
        <v>132</v>
      </c>
      <c r="J621" s="184" t="s">
        <v>92</v>
      </c>
      <c r="K621" s="184" t="s">
        <v>180</v>
      </c>
      <c r="L621" s="184" t="s">
        <v>598</v>
      </c>
      <c r="M621" s="184" t="s">
        <v>598</v>
      </c>
      <c r="N621" s="184" t="s">
        <v>79</v>
      </c>
      <c r="O621" s="184" t="s">
        <v>112</v>
      </c>
      <c r="P621" s="186" t="s">
        <v>607</v>
      </c>
      <c r="Q621" s="184" t="s">
        <v>598</v>
      </c>
      <c r="R621" s="184" t="s">
        <v>598</v>
      </c>
      <c r="S621" s="127" t="s">
        <v>598</v>
      </c>
      <c r="T621" s="184" t="s">
        <v>598</v>
      </c>
      <c r="U621" s="184" t="s">
        <v>598</v>
      </c>
      <c r="V621" s="185">
        <v>0</v>
      </c>
      <c r="W621" s="184" t="s">
        <v>89</v>
      </c>
      <c r="X621" s="184" t="s">
        <v>598</v>
      </c>
      <c r="Y621" s="185">
        <v>0</v>
      </c>
      <c r="Z621" s="184" t="s">
        <v>598</v>
      </c>
      <c r="AA621" s="21" t="s">
        <v>822</v>
      </c>
      <c r="AB621" s="176" t="s">
        <v>489</v>
      </c>
      <c r="AC621" s="172">
        <v>42996.328472222223</v>
      </c>
      <c r="AD621" s="32" t="s">
        <v>552</v>
      </c>
    </row>
    <row r="622" spans="1:30">
      <c r="A622" s="184">
        <v>621</v>
      </c>
      <c r="B622" s="184" t="s">
        <v>1833</v>
      </c>
      <c r="C622" s="184" t="s">
        <v>598</v>
      </c>
      <c r="D622" s="127">
        <v>42909</v>
      </c>
      <c r="E622" s="127" t="s">
        <v>598</v>
      </c>
      <c r="F622" s="184" t="s">
        <v>1834</v>
      </c>
      <c r="G622" s="185">
        <v>0</v>
      </c>
      <c r="H622" s="184" t="s">
        <v>598</v>
      </c>
      <c r="I622" s="184" t="s">
        <v>118</v>
      </c>
      <c r="J622" s="184" t="s">
        <v>92</v>
      </c>
      <c r="K622" s="184" t="s">
        <v>288</v>
      </c>
      <c r="L622" s="184" t="s">
        <v>598</v>
      </c>
      <c r="M622" s="184" t="s">
        <v>598</v>
      </c>
      <c r="N622" s="184" t="s">
        <v>79</v>
      </c>
      <c r="O622" s="184" t="s">
        <v>112</v>
      </c>
      <c r="P622" s="186" t="s">
        <v>73</v>
      </c>
      <c r="Q622" s="184" t="s">
        <v>598</v>
      </c>
      <c r="R622" s="184" t="s">
        <v>598</v>
      </c>
      <c r="S622" s="127" t="s">
        <v>598</v>
      </c>
      <c r="T622" s="184" t="s">
        <v>598</v>
      </c>
      <c r="U622" s="184" t="s">
        <v>598</v>
      </c>
      <c r="V622" s="185">
        <v>0</v>
      </c>
      <c r="W622" s="184" t="s">
        <v>485</v>
      </c>
      <c r="X622" s="184" t="s">
        <v>598</v>
      </c>
      <c r="Y622" s="185">
        <v>0</v>
      </c>
      <c r="Z622" s="184" t="s">
        <v>598</v>
      </c>
      <c r="AA622" s="21" t="s">
        <v>610</v>
      </c>
      <c r="AB622" s="176" t="s">
        <v>489</v>
      </c>
      <c r="AC622" s="172">
        <v>42996.328472222223</v>
      </c>
      <c r="AD622" s="32" t="s">
        <v>552</v>
      </c>
    </row>
    <row r="623" spans="1:30">
      <c r="A623" s="184">
        <v>622</v>
      </c>
      <c r="B623" s="184" t="s">
        <v>1835</v>
      </c>
      <c r="C623" s="184" t="s">
        <v>598</v>
      </c>
      <c r="D623" s="127">
        <v>42912</v>
      </c>
      <c r="E623" s="127" t="s">
        <v>598</v>
      </c>
      <c r="F623" s="184" t="s">
        <v>1836</v>
      </c>
      <c r="G623" s="185">
        <v>0</v>
      </c>
      <c r="H623" s="184" t="s">
        <v>598</v>
      </c>
      <c r="I623" s="184" t="s">
        <v>118</v>
      </c>
      <c r="J623" s="184" t="s">
        <v>92</v>
      </c>
      <c r="K623" s="184" t="s">
        <v>196</v>
      </c>
      <c r="L623" s="184" t="s">
        <v>598</v>
      </c>
      <c r="M623" s="184" t="s">
        <v>598</v>
      </c>
      <c r="N623" s="184" t="s">
        <v>79</v>
      </c>
      <c r="O623" s="184" t="s">
        <v>79</v>
      </c>
      <c r="P623" s="186" t="s">
        <v>601</v>
      </c>
      <c r="Q623" s="184" t="s">
        <v>598</v>
      </c>
      <c r="R623" s="184" t="s">
        <v>598</v>
      </c>
      <c r="S623" s="127" t="s">
        <v>598</v>
      </c>
      <c r="T623" s="184" t="s">
        <v>598</v>
      </c>
      <c r="U623" s="184" t="s">
        <v>598</v>
      </c>
      <c r="V623" s="185">
        <v>0</v>
      </c>
      <c r="W623" s="184" t="s">
        <v>485</v>
      </c>
      <c r="X623" s="184" t="s">
        <v>598</v>
      </c>
      <c r="Y623" s="185">
        <v>0</v>
      </c>
      <c r="Z623" s="184" t="s">
        <v>598</v>
      </c>
      <c r="AA623" s="21" t="s">
        <v>610</v>
      </c>
      <c r="AB623" s="176" t="s">
        <v>489</v>
      </c>
      <c r="AC623" s="172">
        <v>42996.328472222223</v>
      </c>
      <c r="AD623" s="32" t="s">
        <v>552</v>
      </c>
    </row>
    <row r="624" spans="1:30">
      <c r="A624" s="184">
        <v>623</v>
      </c>
      <c r="B624" s="184" t="s">
        <v>1837</v>
      </c>
      <c r="C624" s="184" t="s">
        <v>598</v>
      </c>
      <c r="D624" s="127">
        <v>42913</v>
      </c>
      <c r="E624" s="127" t="s">
        <v>598</v>
      </c>
      <c r="F624" s="184" t="s">
        <v>1838</v>
      </c>
      <c r="G624" s="185">
        <v>0</v>
      </c>
      <c r="H624" s="184" t="s">
        <v>598</v>
      </c>
      <c r="I624" s="184" t="s">
        <v>598</v>
      </c>
      <c r="J624" s="184" t="s">
        <v>92</v>
      </c>
      <c r="K624" s="184" t="s">
        <v>285</v>
      </c>
      <c r="L624" s="184" t="s">
        <v>598</v>
      </c>
      <c r="M624" s="184" t="s">
        <v>598</v>
      </c>
      <c r="N624" s="184" t="s">
        <v>79</v>
      </c>
      <c r="O624" s="184" t="s">
        <v>598</v>
      </c>
      <c r="P624" s="186" t="s">
        <v>32</v>
      </c>
      <c r="Q624" s="184" t="s">
        <v>598</v>
      </c>
      <c r="R624" s="184" t="s">
        <v>598</v>
      </c>
      <c r="S624" s="127" t="s">
        <v>598</v>
      </c>
      <c r="T624" s="184" t="s">
        <v>598</v>
      </c>
      <c r="U624" s="184" t="s">
        <v>598</v>
      </c>
      <c r="V624" s="185">
        <v>0</v>
      </c>
      <c r="W624" s="184" t="s">
        <v>55</v>
      </c>
      <c r="X624" s="184" t="s">
        <v>598</v>
      </c>
      <c r="Y624" s="185">
        <v>0</v>
      </c>
      <c r="Z624" s="184" t="s">
        <v>598</v>
      </c>
      <c r="AA624" s="21" t="s">
        <v>822</v>
      </c>
      <c r="AB624" s="176" t="s">
        <v>489</v>
      </c>
      <c r="AC624" s="172">
        <v>42996.328472222223</v>
      </c>
      <c r="AD624" s="32" t="s">
        <v>552</v>
      </c>
    </row>
    <row r="625" spans="1:30">
      <c r="A625" s="184">
        <v>624</v>
      </c>
      <c r="B625" s="184" t="s">
        <v>1839</v>
      </c>
      <c r="C625" s="184" t="s">
        <v>598</v>
      </c>
      <c r="D625" s="127">
        <v>42915</v>
      </c>
      <c r="E625" s="127" t="s">
        <v>598</v>
      </c>
      <c r="F625" s="184" t="s">
        <v>1838</v>
      </c>
      <c r="G625" s="185">
        <v>0</v>
      </c>
      <c r="H625" s="184" t="s">
        <v>598</v>
      </c>
      <c r="I625" s="184" t="s">
        <v>135</v>
      </c>
      <c r="J625" s="184" t="s">
        <v>92</v>
      </c>
      <c r="K625" s="184" t="s">
        <v>285</v>
      </c>
      <c r="L625" s="184" t="s">
        <v>598</v>
      </c>
      <c r="M625" s="184" t="s">
        <v>598</v>
      </c>
      <c r="N625" s="184" t="s">
        <v>79</v>
      </c>
      <c r="O625" s="184" t="s">
        <v>79</v>
      </c>
      <c r="P625" s="186" t="s">
        <v>53</v>
      </c>
      <c r="Q625" s="184" t="s">
        <v>598</v>
      </c>
      <c r="R625" s="184" t="s">
        <v>598</v>
      </c>
      <c r="S625" s="127" t="s">
        <v>598</v>
      </c>
      <c r="T625" s="184" t="s">
        <v>598</v>
      </c>
      <c r="U625" s="184" t="s">
        <v>598</v>
      </c>
      <c r="V625" s="185">
        <v>0</v>
      </c>
      <c r="W625" s="184" t="s">
        <v>485</v>
      </c>
      <c r="X625" s="184" t="s">
        <v>598</v>
      </c>
      <c r="Y625" s="185">
        <v>0</v>
      </c>
      <c r="Z625" s="184" t="s">
        <v>598</v>
      </c>
      <c r="AA625" s="21" t="s">
        <v>610</v>
      </c>
      <c r="AB625" s="176" t="s">
        <v>489</v>
      </c>
      <c r="AC625" s="172">
        <v>42996.328472222223</v>
      </c>
      <c r="AD625" s="32" t="s">
        <v>552</v>
      </c>
    </row>
    <row r="626" spans="1:30">
      <c r="A626" s="184">
        <v>625</v>
      </c>
      <c r="B626" s="184" t="s">
        <v>1840</v>
      </c>
      <c r="C626" s="184" t="s">
        <v>598</v>
      </c>
      <c r="D626" s="127">
        <v>42564</v>
      </c>
      <c r="E626" s="127" t="s">
        <v>598</v>
      </c>
      <c r="F626" s="184" t="s">
        <v>1841</v>
      </c>
      <c r="G626" s="185">
        <v>0</v>
      </c>
      <c r="H626" s="184" t="s">
        <v>598</v>
      </c>
      <c r="I626" s="184" t="s">
        <v>107</v>
      </c>
      <c r="J626" s="184" t="s">
        <v>92</v>
      </c>
      <c r="K626" s="184" t="s">
        <v>180</v>
      </c>
      <c r="L626" s="184" t="s">
        <v>598</v>
      </c>
      <c r="M626" s="184" t="s">
        <v>598</v>
      </c>
      <c r="N626" s="184" t="s">
        <v>79</v>
      </c>
      <c r="O626" s="184" t="s">
        <v>79</v>
      </c>
      <c r="P626" s="186" t="s">
        <v>44</v>
      </c>
      <c r="Q626" s="184" t="s">
        <v>598</v>
      </c>
      <c r="R626" s="184" t="s">
        <v>598</v>
      </c>
      <c r="S626" s="127" t="s">
        <v>598</v>
      </c>
      <c r="T626" s="184" t="s">
        <v>598</v>
      </c>
      <c r="U626" s="184" t="s">
        <v>598</v>
      </c>
      <c r="V626" s="185">
        <v>0</v>
      </c>
      <c r="W626" s="184" t="s">
        <v>485</v>
      </c>
      <c r="X626" s="184" t="s">
        <v>598</v>
      </c>
      <c r="Y626" s="185">
        <v>0</v>
      </c>
      <c r="Z626" s="184" t="s">
        <v>598</v>
      </c>
      <c r="AA626" s="21" t="s">
        <v>610</v>
      </c>
      <c r="AB626" s="176" t="s">
        <v>489</v>
      </c>
      <c r="AC626" s="172">
        <v>42996.328472222223</v>
      </c>
      <c r="AD626" s="32" t="s">
        <v>552</v>
      </c>
    </row>
    <row r="627" spans="1:30">
      <c r="A627" s="184">
        <v>626</v>
      </c>
      <c r="B627" s="184" t="s">
        <v>1842</v>
      </c>
      <c r="C627" s="184" t="s">
        <v>598</v>
      </c>
      <c r="D627" s="127">
        <v>42766</v>
      </c>
      <c r="E627" s="127" t="s">
        <v>598</v>
      </c>
      <c r="F627" s="184" t="s">
        <v>1843</v>
      </c>
      <c r="G627" s="185">
        <v>0</v>
      </c>
      <c r="H627" s="184" t="s">
        <v>598</v>
      </c>
      <c r="I627" s="184" t="s">
        <v>598</v>
      </c>
      <c r="J627" s="184" t="s">
        <v>92</v>
      </c>
      <c r="K627" s="184" t="s">
        <v>374</v>
      </c>
      <c r="L627" s="184" t="s">
        <v>598</v>
      </c>
      <c r="M627" s="184" t="s">
        <v>598</v>
      </c>
      <c r="N627" s="184" t="s">
        <v>79</v>
      </c>
      <c r="O627" s="184" t="s">
        <v>598</v>
      </c>
      <c r="P627" s="186" t="s">
        <v>67</v>
      </c>
      <c r="Q627" s="184" t="s">
        <v>598</v>
      </c>
      <c r="R627" s="184" t="s">
        <v>598</v>
      </c>
      <c r="S627" s="127" t="s">
        <v>598</v>
      </c>
      <c r="T627" s="184" t="s">
        <v>598</v>
      </c>
      <c r="U627" s="184" t="s">
        <v>598</v>
      </c>
      <c r="V627" s="185">
        <v>0</v>
      </c>
      <c r="W627" s="184" t="s">
        <v>485</v>
      </c>
      <c r="X627" s="184" t="s">
        <v>598</v>
      </c>
      <c r="Y627" s="185">
        <v>0</v>
      </c>
      <c r="Z627" s="184" t="s">
        <v>598</v>
      </c>
      <c r="AA627" s="21" t="s">
        <v>610</v>
      </c>
      <c r="AB627" s="176" t="s">
        <v>489</v>
      </c>
      <c r="AC627" s="172">
        <v>42996.328472222223</v>
      </c>
      <c r="AD627" s="32" t="s">
        <v>552</v>
      </c>
    </row>
    <row r="628" spans="1:30">
      <c r="A628" s="184">
        <v>627</v>
      </c>
      <c r="B628" s="184" t="s">
        <v>1844</v>
      </c>
      <c r="C628" s="184" t="s">
        <v>598</v>
      </c>
      <c r="D628" s="127">
        <v>42773</v>
      </c>
      <c r="E628" s="127" t="s">
        <v>598</v>
      </c>
      <c r="F628" s="184" t="s">
        <v>1845</v>
      </c>
      <c r="G628" s="185">
        <v>0</v>
      </c>
      <c r="H628" s="184" t="s">
        <v>598</v>
      </c>
      <c r="I628" s="184" t="s">
        <v>118</v>
      </c>
      <c r="J628" s="184" t="s">
        <v>92</v>
      </c>
      <c r="K628" s="184" t="s">
        <v>1846</v>
      </c>
      <c r="L628" s="184" t="s">
        <v>598</v>
      </c>
      <c r="M628" s="184" t="s">
        <v>598</v>
      </c>
      <c r="N628" s="184" t="s">
        <v>79</v>
      </c>
      <c r="O628" s="184" t="s">
        <v>112</v>
      </c>
      <c r="P628" s="186" t="s">
        <v>602</v>
      </c>
      <c r="Q628" s="184" t="s">
        <v>598</v>
      </c>
      <c r="R628" s="184" t="s">
        <v>598</v>
      </c>
      <c r="S628" s="127">
        <v>42909</v>
      </c>
      <c r="T628" s="184" t="s">
        <v>10</v>
      </c>
      <c r="U628" s="184" t="s">
        <v>598</v>
      </c>
      <c r="V628" s="185">
        <v>6000</v>
      </c>
      <c r="W628" s="184" t="s">
        <v>493</v>
      </c>
      <c r="X628" s="184" t="s">
        <v>598</v>
      </c>
      <c r="Y628" s="185">
        <v>0</v>
      </c>
      <c r="Z628" s="184" t="s">
        <v>598</v>
      </c>
      <c r="AA628" s="21" t="s">
        <v>610</v>
      </c>
      <c r="AB628" s="176" t="s">
        <v>489</v>
      </c>
      <c r="AC628" s="172">
        <v>42996.328472222223</v>
      </c>
      <c r="AD628" s="32" t="s">
        <v>552</v>
      </c>
    </row>
    <row r="629" spans="1:30">
      <c r="A629" s="184">
        <v>628</v>
      </c>
      <c r="B629" s="184" t="s">
        <v>1847</v>
      </c>
      <c r="C629" s="184" t="s">
        <v>598</v>
      </c>
      <c r="D629" s="127">
        <v>42802</v>
      </c>
      <c r="E629" s="127" t="s">
        <v>598</v>
      </c>
      <c r="F629" s="184" t="s">
        <v>1848</v>
      </c>
      <c r="G629" s="185">
        <v>0</v>
      </c>
      <c r="H629" s="184" t="s">
        <v>598</v>
      </c>
      <c r="I629" s="184" t="s">
        <v>135</v>
      </c>
      <c r="J629" s="184" t="s">
        <v>92</v>
      </c>
      <c r="K629" s="184" t="s">
        <v>261</v>
      </c>
      <c r="L629" s="184" t="s">
        <v>598</v>
      </c>
      <c r="M629" s="184" t="s">
        <v>598</v>
      </c>
      <c r="N629" s="184" t="s">
        <v>79</v>
      </c>
      <c r="O629" s="184" t="s">
        <v>112</v>
      </c>
      <c r="P629" s="186" t="s">
        <v>603</v>
      </c>
      <c r="Q629" s="184" t="s">
        <v>598</v>
      </c>
      <c r="R629" s="184" t="s">
        <v>804</v>
      </c>
      <c r="S629" s="127" t="s">
        <v>598</v>
      </c>
      <c r="T629" s="184" t="s">
        <v>598</v>
      </c>
      <c r="U629" s="184" t="s">
        <v>598</v>
      </c>
      <c r="V629" s="185">
        <v>0</v>
      </c>
      <c r="W629" s="184" t="s">
        <v>485</v>
      </c>
      <c r="X629" s="184" t="s">
        <v>598</v>
      </c>
      <c r="Y629" s="185">
        <v>0</v>
      </c>
      <c r="Z629" s="184" t="s">
        <v>598</v>
      </c>
      <c r="AA629" s="21" t="s">
        <v>610</v>
      </c>
      <c r="AB629" s="176" t="s">
        <v>489</v>
      </c>
      <c r="AC629" s="172">
        <v>42996.328472222223</v>
      </c>
      <c r="AD629" s="32" t="s">
        <v>552</v>
      </c>
    </row>
    <row r="630" spans="1:30">
      <c r="A630" s="184">
        <v>629</v>
      </c>
      <c r="B630" s="184" t="s">
        <v>1849</v>
      </c>
      <c r="C630" s="184" t="s">
        <v>598</v>
      </c>
      <c r="D630" s="127">
        <v>42814</v>
      </c>
      <c r="E630" s="127" t="s">
        <v>598</v>
      </c>
      <c r="F630" s="184" t="s">
        <v>1850</v>
      </c>
      <c r="G630" s="185">
        <v>0</v>
      </c>
      <c r="H630" s="184" t="s">
        <v>598</v>
      </c>
      <c r="I630" s="184" t="s">
        <v>134</v>
      </c>
      <c r="J630" s="184" t="s">
        <v>92</v>
      </c>
      <c r="K630" s="184" t="s">
        <v>289</v>
      </c>
      <c r="L630" s="184" t="s">
        <v>598</v>
      </c>
      <c r="M630" s="184" t="s">
        <v>598</v>
      </c>
      <c r="N630" s="184" t="s">
        <v>79</v>
      </c>
      <c r="O630" s="184" t="s">
        <v>112</v>
      </c>
      <c r="P630" s="186" t="s">
        <v>604</v>
      </c>
      <c r="Q630" s="184" t="s">
        <v>598</v>
      </c>
      <c r="R630" s="184" t="s">
        <v>598</v>
      </c>
      <c r="S630" s="127">
        <v>42888</v>
      </c>
      <c r="T630" s="184" t="s">
        <v>34</v>
      </c>
      <c r="U630" s="184" t="s">
        <v>598</v>
      </c>
      <c r="V630" s="185">
        <v>1500</v>
      </c>
      <c r="W630" s="184" t="s">
        <v>493</v>
      </c>
      <c r="X630" s="184" t="s">
        <v>598</v>
      </c>
      <c r="Y630" s="185">
        <v>0</v>
      </c>
      <c r="Z630" s="184" t="s">
        <v>598</v>
      </c>
      <c r="AA630" s="21" t="s">
        <v>610</v>
      </c>
      <c r="AB630" s="176" t="s">
        <v>489</v>
      </c>
      <c r="AC630" s="172">
        <v>42996.328472222223</v>
      </c>
      <c r="AD630" s="32" t="s">
        <v>552</v>
      </c>
    </row>
    <row r="631" spans="1:30">
      <c r="A631" s="184">
        <v>630</v>
      </c>
      <c r="B631" s="184" t="s">
        <v>1851</v>
      </c>
      <c r="C631" s="184" t="s">
        <v>598</v>
      </c>
      <c r="D631" s="127">
        <v>42818</v>
      </c>
      <c r="E631" s="127" t="s">
        <v>598</v>
      </c>
      <c r="F631" s="184" t="s">
        <v>85</v>
      </c>
      <c r="G631" s="185">
        <v>0</v>
      </c>
      <c r="H631" s="184" t="s">
        <v>598</v>
      </c>
      <c r="I631" s="184" t="s">
        <v>134</v>
      </c>
      <c r="J631" s="184" t="s">
        <v>92</v>
      </c>
      <c r="K631" s="184" t="s">
        <v>598</v>
      </c>
      <c r="L631" s="184" t="s">
        <v>598</v>
      </c>
      <c r="M631" s="184" t="s">
        <v>598</v>
      </c>
      <c r="N631" s="184" t="s">
        <v>79</v>
      </c>
      <c r="O631" s="184" t="s">
        <v>112</v>
      </c>
      <c r="P631" s="186" t="s">
        <v>605</v>
      </c>
      <c r="Q631" s="184" t="s">
        <v>598</v>
      </c>
      <c r="R631" s="184" t="s">
        <v>598</v>
      </c>
      <c r="S631" s="127" t="s">
        <v>598</v>
      </c>
      <c r="T631" s="184" t="s">
        <v>598</v>
      </c>
      <c r="U631" s="184" t="s">
        <v>598</v>
      </c>
      <c r="V631" s="185">
        <v>0</v>
      </c>
      <c r="W631" s="184" t="s">
        <v>485</v>
      </c>
      <c r="X631" s="184" t="s">
        <v>598</v>
      </c>
      <c r="Y631" s="185">
        <v>0</v>
      </c>
      <c r="Z631" s="184" t="s">
        <v>598</v>
      </c>
      <c r="AA631" s="21" t="s">
        <v>610</v>
      </c>
      <c r="AB631" s="176" t="s">
        <v>489</v>
      </c>
      <c r="AC631" s="172">
        <v>42996.328472222223</v>
      </c>
      <c r="AD631" s="32" t="s">
        <v>552</v>
      </c>
    </row>
    <row r="632" spans="1:30">
      <c r="A632" s="184">
        <v>631</v>
      </c>
      <c r="B632" s="184" t="s">
        <v>1852</v>
      </c>
      <c r="C632" s="184" t="s">
        <v>598</v>
      </c>
      <c r="D632" s="127">
        <v>42824</v>
      </c>
      <c r="E632" s="127" t="s">
        <v>598</v>
      </c>
      <c r="F632" s="184" t="s">
        <v>1853</v>
      </c>
      <c r="G632" s="185">
        <v>0</v>
      </c>
      <c r="H632" s="184" t="s">
        <v>598</v>
      </c>
      <c r="I632" s="184" t="s">
        <v>107</v>
      </c>
      <c r="J632" s="184" t="s">
        <v>92</v>
      </c>
      <c r="K632" s="184" t="s">
        <v>288</v>
      </c>
      <c r="L632" s="184" t="s">
        <v>598</v>
      </c>
      <c r="M632" s="184" t="s">
        <v>598</v>
      </c>
      <c r="N632" s="184" t="s">
        <v>79</v>
      </c>
      <c r="O632" s="184" t="s">
        <v>598</v>
      </c>
      <c r="P632" s="186" t="s">
        <v>606</v>
      </c>
      <c r="Q632" s="184" t="s">
        <v>598</v>
      </c>
      <c r="R632" s="184" t="s">
        <v>598</v>
      </c>
      <c r="S632" s="127">
        <v>42903</v>
      </c>
      <c r="T632" s="184" t="s">
        <v>10</v>
      </c>
      <c r="U632" s="184" t="s">
        <v>598</v>
      </c>
      <c r="V632" s="185">
        <v>2000</v>
      </c>
      <c r="W632" s="184" t="s">
        <v>493</v>
      </c>
      <c r="X632" s="184" t="s">
        <v>598</v>
      </c>
      <c r="Y632" s="185">
        <v>0</v>
      </c>
      <c r="Z632" s="184" t="s">
        <v>598</v>
      </c>
      <c r="AA632" s="21" t="s">
        <v>610</v>
      </c>
      <c r="AB632" s="176" t="s">
        <v>489</v>
      </c>
      <c r="AC632" s="172">
        <v>42996.328472222223</v>
      </c>
      <c r="AD632" s="32" t="s">
        <v>552</v>
      </c>
    </row>
    <row r="633" spans="1:30">
      <c r="A633" s="184">
        <v>632</v>
      </c>
      <c r="B633" s="184" t="s">
        <v>1854</v>
      </c>
      <c r="C633" s="184" t="s">
        <v>598</v>
      </c>
      <c r="D633" s="127">
        <v>42829</v>
      </c>
      <c r="E633" s="127" t="s">
        <v>598</v>
      </c>
      <c r="F633" s="184" t="s">
        <v>1855</v>
      </c>
      <c r="G633" s="185">
        <v>0</v>
      </c>
      <c r="H633" s="184" t="s">
        <v>598</v>
      </c>
      <c r="I633" s="184" t="s">
        <v>118</v>
      </c>
      <c r="J633" s="184" t="s">
        <v>92</v>
      </c>
      <c r="K633" s="184" t="s">
        <v>180</v>
      </c>
      <c r="L633" s="184" t="s">
        <v>598</v>
      </c>
      <c r="M633" s="184" t="s">
        <v>598</v>
      </c>
      <c r="N633" s="184" t="s">
        <v>79</v>
      </c>
      <c r="O633" s="184" t="s">
        <v>65</v>
      </c>
      <c r="P633" s="186" t="s">
        <v>607</v>
      </c>
      <c r="Q633" s="184" t="s">
        <v>598</v>
      </c>
      <c r="R633" s="184" t="s">
        <v>598</v>
      </c>
      <c r="S633" s="127" t="s">
        <v>598</v>
      </c>
      <c r="T633" s="184" t="s">
        <v>598</v>
      </c>
      <c r="U633" s="184" t="s">
        <v>598</v>
      </c>
      <c r="V633" s="185">
        <v>0</v>
      </c>
      <c r="W633" s="184" t="s">
        <v>485</v>
      </c>
      <c r="X633" s="184" t="s">
        <v>598</v>
      </c>
      <c r="Y633" s="185">
        <v>0</v>
      </c>
      <c r="Z633" s="184" t="s">
        <v>598</v>
      </c>
      <c r="AA633" s="21" t="s">
        <v>610</v>
      </c>
      <c r="AB633" s="176" t="s">
        <v>489</v>
      </c>
      <c r="AC633" s="172">
        <v>42996.328472222223</v>
      </c>
      <c r="AD633" s="32" t="s">
        <v>552</v>
      </c>
    </row>
    <row r="634" spans="1:30">
      <c r="A634" s="184">
        <v>633</v>
      </c>
      <c r="B634" s="184" t="s">
        <v>1856</v>
      </c>
      <c r="C634" s="184" t="s">
        <v>598</v>
      </c>
      <c r="D634" s="127">
        <v>42829</v>
      </c>
      <c r="E634" s="127" t="s">
        <v>598</v>
      </c>
      <c r="F634" s="184" t="s">
        <v>1857</v>
      </c>
      <c r="G634" s="185">
        <v>0</v>
      </c>
      <c r="H634" s="184" t="s">
        <v>598</v>
      </c>
      <c r="I634" s="184" t="s">
        <v>135</v>
      </c>
      <c r="J634" s="184" t="s">
        <v>92</v>
      </c>
      <c r="K634" s="184" t="s">
        <v>288</v>
      </c>
      <c r="L634" s="184" t="s">
        <v>598</v>
      </c>
      <c r="M634" s="184" t="s">
        <v>598</v>
      </c>
      <c r="N634" s="184" t="s">
        <v>79</v>
      </c>
      <c r="O634" s="184" t="s">
        <v>112</v>
      </c>
      <c r="P634" s="186" t="s">
        <v>73</v>
      </c>
      <c r="Q634" s="184" t="s">
        <v>598</v>
      </c>
      <c r="R634" s="184" t="s">
        <v>598</v>
      </c>
      <c r="S634" s="127" t="s">
        <v>598</v>
      </c>
      <c r="T634" s="184" t="s">
        <v>598</v>
      </c>
      <c r="U634" s="184" t="s">
        <v>598</v>
      </c>
      <c r="V634" s="185">
        <v>0</v>
      </c>
      <c r="W634" s="184" t="s">
        <v>485</v>
      </c>
      <c r="X634" s="184" t="s">
        <v>598</v>
      </c>
      <c r="Y634" s="185">
        <v>0</v>
      </c>
      <c r="Z634" s="184" t="s">
        <v>598</v>
      </c>
      <c r="AA634" s="21" t="s">
        <v>610</v>
      </c>
      <c r="AB634" s="176" t="s">
        <v>489</v>
      </c>
      <c r="AC634" s="172">
        <v>42996.328472222223</v>
      </c>
      <c r="AD634" s="32" t="s">
        <v>552</v>
      </c>
    </row>
    <row r="635" spans="1:30">
      <c r="A635" s="184">
        <v>634</v>
      </c>
      <c r="B635" s="184" t="s">
        <v>1858</v>
      </c>
      <c r="C635" s="184" t="s">
        <v>598</v>
      </c>
      <c r="D635" s="127">
        <v>42831</v>
      </c>
      <c r="E635" s="127" t="s">
        <v>598</v>
      </c>
      <c r="F635" s="184" t="s">
        <v>1859</v>
      </c>
      <c r="G635" s="185">
        <v>0</v>
      </c>
      <c r="H635" s="184" t="s">
        <v>598</v>
      </c>
      <c r="I635" s="184" t="s">
        <v>135</v>
      </c>
      <c r="J635" s="184" t="s">
        <v>92</v>
      </c>
      <c r="K635" s="184" t="s">
        <v>196</v>
      </c>
      <c r="L635" s="184" t="s">
        <v>598</v>
      </c>
      <c r="M635" s="184" t="s">
        <v>598</v>
      </c>
      <c r="N635" s="184" t="s">
        <v>79</v>
      </c>
      <c r="O635" s="184" t="s">
        <v>112</v>
      </c>
      <c r="P635" s="186" t="s">
        <v>601</v>
      </c>
      <c r="Q635" s="184" t="s">
        <v>598</v>
      </c>
      <c r="R635" s="184" t="s">
        <v>598</v>
      </c>
      <c r="S635" s="127">
        <v>42887</v>
      </c>
      <c r="T635" s="184" t="s">
        <v>10</v>
      </c>
      <c r="U635" s="184" t="s">
        <v>598</v>
      </c>
      <c r="V635" s="185">
        <v>1500</v>
      </c>
      <c r="W635" s="184" t="s">
        <v>493</v>
      </c>
      <c r="X635" s="184" t="s">
        <v>598</v>
      </c>
      <c r="Y635" s="185">
        <v>0</v>
      </c>
      <c r="Z635" s="184" t="s">
        <v>598</v>
      </c>
      <c r="AA635" s="21" t="s">
        <v>610</v>
      </c>
      <c r="AB635" s="176" t="s">
        <v>489</v>
      </c>
      <c r="AC635" s="172">
        <v>42996.328472222223</v>
      </c>
      <c r="AD635" s="32" t="s">
        <v>552</v>
      </c>
    </row>
    <row r="636" spans="1:30">
      <c r="A636" s="184">
        <v>635</v>
      </c>
      <c r="B636" s="184" t="s">
        <v>1860</v>
      </c>
      <c r="C636" s="184" t="s">
        <v>598</v>
      </c>
      <c r="D636" s="127">
        <v>42831</v>
      </c>
      <c r="E636" s="127" t="s">
        <v>598</v>
      </c>
      <c r="F636" s="184" t="s">
        <v>1861</v>
      </c>
      <c r="G636" s="185">
        <v>0</v>
      </c>
      <c r="H636" s="184" t="s">
        <v>598</v>
      </c>
      <c r="I636" s="184" t="s">
        <v>118</v>
      </c>
      <c r="J636" s="184" t="s">
        <v>92</v>
      </c>
      <c r="K636" s="184" t="s">
        <v>196</v>
      </c>
      <c r="L636" s="184" t="s">
        <v>598</v>
      </c>
      <c r="M636" s="184" t="s">
        <v>598</v>
      </c>
      <c r="N636" s="184" t="s">
        <v>79</v>
      </c>
      <c r="O636" s="184" t="s">
        <v>112</v>
      </c>
      <c r="P636" s="186" t="s">
        <v>32</v>
      </c>
      <c r="Q636" s="184" t="s">
        <v>598</v>
      </c>
      <c r="R636" s="184" t="s">
        <v>598</v>
      </c>
      <c r="S636" s="127" t="s">
        <v>598</v>
      </c>
      <c r="T636" s="184" t="s">
        <v>598</v>
      </c>
      <c r="U636" s="184" t="s">
        <v>598</v>
      </c>
      <c r="V636" s="185">
        <v>0</v>
      </c>
      <c r="W636" s="184" t="s">
        <v>485</v>
      </c>
      <c r="X636" s="184" t="s">
        <v>598</v>
      </c>
      <c r="Y636" s="185">
        <v>0</v>
      </c>
      <c r="Z636" s="184" t="s">
        <v>598</v>
      </c>
      <c r="AA636" s="21" t="s">
        <v>610</v>
      </c>
      <c r="AB636" s="176" t="s">
        <v>489</v>
      </c>
      <c r="AC636" s="172">
        <v>42996.328472222223</v>
      </c>
      <c r="AD636" s="32" t="s">
        <v>552</v>
      </c>
    </row>
    <row r="637" spans="1:30">
      <c r="A637" s="184">
        <v>636</v>
      </c>
      <c r="B637" s="184" t="s">
        <v>1862</v>
      </c>
      <c r="C637" s="184" t="s">
        <v>598</v>
      </c>
      <c r="D637" s="127">
        <v>42831</v>
      </c>
      <c r="E637" s="127" t="s">
        <v>598</v>
      </c>
      <c r="F637" s="184" t="s">
        <v>1863</v>
      </c>
      <c r="G637" s="185">
        <v>0</v>
      </c>
      <c r="H637" s="184" t="s">
        <v>598</v>
      </c>
      <c r="I637" s="184" t="s">
        <v>118</v>
      </c>
      <c r="J637" s="184" t="s">
        <v>92</v>
      </c>
      <c r="K637" s="184" t="s">
        <v>196</v>
      </c>
      <c r="L637" s="184" t="s">
        <v>598</v>
      </c>
      <c r="M637" s="184" t="s">
        <v>598</v>
      </c>
      <c r="N637" s="184" t="s">
        <v>79</v>
      </c>
      <c r="O637" s="184" t="s">
        <v>112</v>
      </c>
      <c r="P637" s="186" t="s">
        <v>53</v>
      </c>
      <c r="Q637" s="184" t="s">
        <v>598</v>
      </c>
      <c r="R637" s="184" t="s">
        <v>598</v>
      </c>
      <c r="S637" s="127" t="s">
        <v>598</v>
      </c>
      <c r="T637" s="184" t="s">
        <v>598</v>
      </c>
      <c r="U637" s="184" t="s">
        <v>598</v>
      </c>
      <c r="V637" s="185">
        <v>0</v>
      </c>
      <c r="W637" s="184" t="s">
        <v>485</v>
      </c>
      <c r="X637" s="184" t="s">
        <v>598</v>
      </c>
      <c r="Y637" s="185">
        <v>0</v>
      </c>
      <c r="Z637" s="184" t="s">
        <v>598</v>
      </c>
      <c r="AA637" s="21" t="s">
        <v>610</v>
      </c>
      <c r="AB637" s="176" t="s">
        <v>489</v>
      </c>
      <c r="AC637" s="172">
        <v>42996.328472222223</v>
      </c>
      <c r="AD637" s="32" t="s">
        <v>552</v>
      </c>
    </row>
    <row r="638" spans="1:30">
      <c r="A638" s="184">
        <v>637</v>
      </c>
      <c r="B638" s="184" t="s">
        <v>1864</v>
      </c>
      <c r="C638" s="184" t="s">
        <v>598</v>
      </c>
      <c r="D638" s="127">
        <v>42831</v>
      </c>
      <c r="E638" s="127" t="s">
        <v>598</v>
      </c>
      <c r="F638" s="184" t="s">
        <v>1865</v>
      </c>
      <c r="G638" s="185">
        <v>0</v>
      </c>
      <c r="H638" s="184" t="s">
        <v>598</v>
      </c>
      <c r="I638" s="184" t="s">
        <v>118</v>
      </c>
      <c r="J638" s="184" t="s">
        <v>92</v>
      </c>
      <c r="K638" s="184" t="s">
        <v>196</v>
      </c>
      <c r="L638" s="184" t="s">
        <v>598</v>
      </c>
      <c r="M638" s="184" t="s">
        <v>598</v>
      </c>
      <c r="N638" s="184" t="s">
        <v>79</v>
      </c>
      <c r="O638" s="184" t="s">
        <v>112</v>
      </c>
      <c r="P638" s="186" t="s">
        <v>44</v>
      </c>
      <c r="Q638" s="184" t="s">
        <v>598</v>
      </c>
      <c r="R638" s="184" t="s">
        <v>598</v>
      </c>
      <c r="S638" s="127" t="s">
        <v>598</v>
      </c>
      <c r="T638" s="184" t="s">
        <v>598</v>
      </c>
      <c r="U638" s="184" t="s">
        <v>598</v>
      </c>
      <c r="V638" s="185">
        <v>0</v>
      </c>
      <c r="W638" s="184" t="s">
        <v>485</v>
      </c>
      <c r="X638" s="184" t="s">
        <v>598</v>
      </c>
      <c r="Y638" s="185">
        <v>0</v>
      </c>
      <c r="Z638" s="184" t="s">
        <v>598</v>
      </c>
      <c r="AA638" s="21" t="s">
        <v>610</v>
      </c>
      <c r="AB638" s="176" t="s">
        <v>489</v>
      </c>
      <c r="AC638" s="172">
        <v>42996.328472222223</v>
      </c>
      <c r="AD638" s="32" t="s">
        <v>552</v>
      </c>
    </row>
    <row r="639" spans="1:30">
      <c r="A639" s="184">
        <v>638</v>
      </c>
      <c r="B639" s="184" t="s">
        <v>1866</v>
      </c>
      <c r="C639" s="184" t="s">
        <v>598</v>
      </c>
      <c r="D639" s="127">
        <v>42843</v>
      </c>
      <c r="E639" s="127" t="s">
        <v>598</v>
      </c>
      <c r="F639" s="184" t="s">
        <v>1867</v>
      </c>
      <c r="G639" s="185">
        <v>0</v>
      </c>
      <c r="H639" s="184" t="s">
        <v>598</v>
      </c>
      <c r="I639" s="184" t="s">
        <v>118</v>
      </c>
      <c r="J639" s="184" t="s">
        <v>92</v>
      </c>
      <c r="K639" s="184" t="s">
        <v>598</v>
      </c>
      <c r="L639" s="184" t="s">
        <v>598</v>
      </c>
      <c r="M639" s="184" t="s">
        <v>598</v>
      </c>
      <c r="N639" s="184" t="s">
        <v>79</v>
      </c>
      <c r="O639" s="184" t="s">
        <v>79</v>
      </c>
      <c r="P639" s="186" t="s">
        <v>67</v>
      </c>
      <c r="Q639" s="184" t="s">
        <v>598</v>
      </c>
      <c r="R639" s="184" t="s">
        <v>598</v>
      </c>
      <c r="S639" s="127">
        <v>42893</v>
      </c>
      <c r="T639" s="184" t="s">
        <v>10</v>
      </c>
      <c r="U639" s="184" t="s">
        <v>598</v>
      </c>
      <c r="V639" s="185">
        <v>5000</v>
      </c>
      <c r="W639" s="184" t="s">
        <v>493</v>
      </c>
      <c r="X639" s="184" t="s">
        <v>598</v>
      </c>
      <c r="Y639" s="185">
        <v>0</v>
      </c>
      <c r="Z639" s="184" t="s">
        <v>598</v>
      </c>
      <c r="AA639" s="21" t="s">
        <v>610</v>
      </c>
      <c r="AB639" s="176" t="s">
        <v>489</v>
      </c>
      <c r="AC639" s="172">
        <v>42996.328472222223</v>
      </c>
      <c r="AD639" s="32" t="s">
        <v>552</v>
      </c>
    </row>
    <row r="640" spans="1:30">
      <c r="A640" s="184">
        <v>639</v>
      </c>
      <c r="B640" s="184" t="s">
        <v>1868</v>
      </c>
      <c r="C640" s="184" t="s">
        <v>598</v>
      </c>
      <c r="D640" s="127">
        <v>42847</v>
      </c>
      <c r="E640" s="127" t="s">
        <v>598</v>
      </c>
      <c r="F640" s="184" t="s">
        <v>1869</v>
      </c>
      <c r="G640" s="185">
        <v>0</v>
      </c>
      <c r="H640" s="184" t="s">
        <v>598</v>
      </c>
      <c r="I640" s="184" t="s">
        <v>134</v>
      </c>
      <c r="J640" s="184" t="s">
        <v>92</v>
      </c>
      <c r="K640" s="184" t="s">
        <v>1870</v>
      </c>
      <c r="L640" s="184" t="s">
        <v>598</v>
      </c>
      <c r="M640" s="184" t="s">
        <v>598</v>
      </c>
      <c r="N640" s="184" t="s">
        <v>79</v>
      </c>
      <c r="O640" s="184" t="s">
        <v>112</v>
      </c>
      <c r="P640" s="186" t="s">
        <v>602</v>
      </c>
      <c r="Q640" s="184" t="s">
        <v>598</v>
      </c>
      <c r="R640" s="184" t="s">
        <v>598</v>
      </c>
      <c r="S640" s="127" t="s">
        <v>598</v>
      </c>
      <c r="T640" s="184" t="s">
        <v>598</v>
      </c>
      <c r="U640" s="184" t="s">
        <v>598</v>
      </c>
      <c r="V640" s="185">
        <v>0</v>
      </c>
      <c r="W640" s="184" t="s">
        <v>89</v>
      </c>
      <c r="X640" s="184" t="s">
        <v>598</v>
      </c>
      <c r="Y640" s="185">
        <v>0</v>
      </c>
      <c r="Z640" s="184" t="s">
        <v>598</v>
      </c>
      <c r="AA640" s="21" t="s">
        <v>822</v>
      </c>
      <c r="AB640" s="176" t="s">
        <v>489</v>
      </c>
      <c r="AC640" s="172">
        <v>42996.328472222223</v>
      </c>
      <c r="AD640" s="32" t="s">
        <v>552</v>
      </c>
    </row>
    <row r="641" spans="1:30">
      <c r="A641" s="184">
        <v>640</v>
      </c>
      <c r="B641" s="184" t="s">
        <v>1871</v>
      </c>
      <c r="C641" s="184" t="s">
        <v>598</v>
      </c>
      <c r="D641" s="127">
        <v>42856</v>
      </c>
      <c r="E641" s="127" t="s">
        <v>598</v>
      </c>
      <c r="F641" s="184" t="s">
        <v>1872</v>
      </c>
      <c r="G641" s="185">
        <v>2429000</v>
      </c>
      <c r="H641" s="184" t="s">
        <v>598</v>
      </c>
      <c r="I641" s="184" t="s">
        <v>120</v>
      </c>
      <c r="J641" s="184" t="s">
        <v>92</v>
      </c>
      <c r="K641" s="184" t="s">
        <v>375</v>
      </c>
      <c r="L641" s="184" t="s">
        <v>598</v>
      </c>
      <c r="M641" s="184" t="s">
        <v>598</v>
      </c>
      <c r="N641" s="184" t="s">
        <v>79</v>
      </c>
      <c r="O641" s="184" t="s">
        <v>112</v>
      </c>
      <c r="P641" s="186" t="s">
        <v>603</v>
      </c>
      <c r="Q641" s="184" t="s">
        <v>598</v>
      </c>
      <c r="R641" s="184" t="s">
        <v>598</v>
      </c>
      <c r="S641" s="127" t="s">
        <v>598</v>
      </c>
      <c r="T641" s="184" t="s">
        <v>598</v>
      </c>
      <c r="U641" s="184" t="s">
        <v>598</v>
      </c>
      <c r="V641" s="185">
        <v>0</v>
      </c>
      <c r="W641" s="184" t="s">
        <v>485</v>
      </c>
      <c r="X641" s="184" t="s">
        <v>598</v>
      </c>
      <c r="Y641" s="185">
        <v>0</v>
      </c>
      <c r="Z641" s="184" t="s">
        <v>598</v>
      </c>
      <c r="AA641" s="21" t="s">
        <v>610</v>
      </c>
      <c r="AB641" s="176" t="s">
        <v>489</v>
      </c>
      <c r="AC641" s="172">
        <v>42996.328472222223</v>
      </c>
      <c r="AD641" s="32" t="s">
        <v>552</v>
      </c>
    </row>
    <row r="642" spans="1:30">
      <c r="A642" s="184">
        <v>641</v>
      </c>
      <c r="B642" s="184" t="s">
        <v>1873</v>
      </c>
      <c r="C642" s="184" t="s">
        <v>598</v>
      </c>
      <c r="D642" s="127">
        <v>42858</v>
      </c>
      <c r="E642" s="127" t="s">
        <v>598</v>
      </c>
      <c r="F642" s="184" t="s">
        <v>1874</v>
      </c>
      <c r="G642" s="185">
        <v>0</v>
      </c>
      <c r="H642" s="184" t="s">
        <v>598</v>
      </c>
      <c r="I642" s="184" t="s">
        <v>132</v>
      </c>
      <c r="J642" s="184" t="s">
        <v>92</v>
      </c>
      <c r="K642" s="184" t="s">
        <v>289</v>
      </c>
      <c r="L642" s="184" t="s">
        <v>598</v>
      </c>
      <c r="M642" s="184" t="s">
        <v>598</v>
      </c>
      <c r="N642" s="184" t="s">
        <v>79</v>
      </c>
      <c r="O642" s="184" t="s">
        <v>112</v>
      </c>
      <c r="P642" s="186" t="s">
        <v>604</v>
      </c>
      <c r="Q642" s="184" t="s">
        <v>598</v>
      </c>
      <c r="R642" s="184" t="s">
        <v>598</v>
      </c>
      <c r="S642" s="127" t="s">
        <v>598</v>
      </c>
      <c r="T642" s="184" t="s">
        <v>598</v>
      </c>
      <c r="U642" s="184" t="s">
        <v>598</v>
      </c>
      <c r="V642" s="185">
        <v>0</v>
      </c>
      <c r="W642" s="184" t="s">
        <v>89</v>
      </c>
      <c r="X642" s="184" t="s">
        <v>598</v>
      </c>
      <c r="Y642" s="185">
        <v>0</v>
      </c>
      <c r="Z642" s="184" t="s">
        <v>598</v>
      </c>
      <c r="AA642" s="21" t="s">
        <v>822</v>
      </c>
      <c r="AB642" s="176" t="s">
        <v>489</v>
      </c>
      <c r="AC642" s="172">
        <v>42996.328472222223</v>
      </c>
      <c r="AD642" s="32" t="s">
        <v>552</v>
      </c>
    </row>
    <row r="643" spans="1:30">
      <c r="A643" s="184">
        <v>642</v>
      </c>
      <c r="B643" s="184" t="s">
        <v>1875</v>
      </c>
      <c r="C643" s="184" t="s">
        <v>598</v>
      </c>
      <c r="D643" s="127">
        <v>42867</v>
      </c>
      <c r="E643" s="127" t="s">
        <v>598</v>
      </c>
      <c r="F643" s="184" t="s">
        <v>1876</v>
      </c>
      <c r="G643" s="185">
        <v>0</v>
      </c>
      <c r="H643" s="184" t="s">
        <v>598</v>
      </c>
      <c r="I643" s="184" t="s">
        <v>598</v>
      </c>
      <c r="J643" s="184" t="s">
        <v>92</v>
      </c>
      <c r="K643" s="184" t="s">
        <v>376</v>
      </c>
      <c r="L643" s="184" t="s">
        <v>598</v>
      </c>
      <c r="M643" s="184" t="s">
        <v>598</v>
      </c>
      <c r="N643" s="184" t="s">
        <v>79</v>
      </c>
      <c r="O643" s="184" t="s">
        <v>112</v>
      </c>
      <c r="P643" s="186" t="s">
        <v>605</v>
      </c>
      <c r="Q643" s="184" t="s">
        <v>598</v>
      </c>
      <c r="R643" s="184" t="s">
        <v>598</v>
      </c>
      <c r="S643" s="127" t="s">
        <v>598</v>
      </c>
      <c r="T643" s="184" t="s">
        <v>598</v>
      </c>
      <c r="U643" s="184" t="s">
        <v>598</v>
      </c>
      <c r="V643" s="185">
        <v>0</v>
      </c>
      <c r="W643" s="184" t="s">
        <v>89</v>
      </c>
      <c r="X643" s="184" t="s">
        <v>598</v>
      </c>
      <c r="Y643" s="185">
        <v>0</v>
      </c>
      <c r="Z643" s="184" t="s">
        <v>598</v>
      </c>
      <c r="AA643" s="21" t="s">
        <v>822</v>
      </c>
      <c r="AB643" s="176" t="s">
        <v>489</v>
      </c>
      <c r="AC643" s="172">
        <v>42996.328472222223</v>
      </c>
      <c r="AD643" s="32" t="s">
        <v>552</v>
      </c>
    </row>
    <row r="644" spans="1:30">
      <c r="A644" s="184">
        <v>643</v>
      </c>
      <c r="B644" s="184" t="s">
        <v>1877</v>
      </c>
      <c r="C644" s="184" t="s">
        <v>598</v>
      </c>
      <c r="D644" s="127">
        <v>42867</v>
      </c>
      <c r="E644" s="127" t="s">
        <v>598</v>
      </c>
      <c r="F644" s="184" t="s">
        <v>1878</v>
      </c>
      <c r="G644" s="185">
        <v>4135000</v>
      </c>
      <c r="H644" s="184" t="s">
        <v>598</v>
      </c>
      <c r="I644" s="184" t="s">
        <v>134</v>
      </c>
      <c r="J644" s="184" t="s">
        <v>92</v>
      </c>
      <c r="K644" s="184" t="s">
        <v>290</v>
      </c>
      <c r="L644" s="184" t="s">
        <v>598</v>
      </c>
      <c r="M644" s="184" t="s">
        <v>598</v>
      </c>
      <c r="N644" s="184" t="s">
        <v>79</v>
      </c>
      <c r="O644" s="184" t="s">
        <v>112</v>
      </c>
      <c r="P644" s="186" t="s">
        <v>606</v>
      </c>
      <c r="Q644" s="184" t="s">
        <v>598</v>
      </c>
      <c r="R644" s="184" t="s">
        <v>598</v>
      </c>
      <c r="S644" s="127">
        <v>42899</v>
      </c>
      <c r="T644" s="184" t="s">
        <v>10</v>
      </c>
      <c r="U644" s="184" t="s">
        <v>598</v>
      </c>
      <c r="V644" s="185">
        <v>4000</v>
      </c>
      <c r="W644" s="184" t="s">
        <v>493</v>
      </c>
      <c r="X644" s="184" t="s">
        <v>598</v>
      </c>
      <c r="Y644" s="185">
        <v>0</v>
      </c>
      <c r="Z644" s="184" t="s">
        <v>598</v>
      </c>
      <c r="AA644" s="21" t="s">
        <v>610</v>
      </c>
      <c r="AB644" s="176" t="s">
        <v>489</v>
      </c>
      <c r="AC644" s="172">
        <v>42996.328472222223</v>
      </c>
      <c r="AD644" s="32" t="s">
        <v>552</v>
      </c>
    </row>
    <row r="645" spans="1:30">
      <c r="A645" s="184">
        <v>644</v>
      </c>
      <c r="B645" s="184" t="s">
        <v>1879</v>
      </c>
      <c r="C645" s="184" t="s">
        <v>598</v>
      </c>
      <c r="D645" s="127">
        <v>42872</v>
      </c>
      <c r="E645" s="127" t="s">
        <v>598</v>
      </c>
      <c r="F645" s="184" t="s">
        <v>1880</v>
      </c>
      <c r="G645" s="185">
        <v>3226000</v>
      </c>
      <c r="H645" s="184" t="s">
        <v>598</v>
      </c>
      <c r="I645" s="184" t="s">
        <v>134</v>
      </c>
      <c r="J645" s="184" t="s">
        <v>92</v>
      </c>
      <c r="K645" s="184" t="s">
        <v>196</v>
      </c>
      <c r="L645" s="184" t="s">
        <v>598</v>
      </c>
      <c r="M645" s="184" t="s">
        <v>598</v>
      </c>
      <c r="N645" s="184" t="s">
        <v>79</v>
      </c>
      <c r="O645" s="184" t="s">
        <v>79</v>
      </c>
      <c r="P645" s="186" t="s">
        <v>607</v>
      </c>
      <c r="Q645" s="184" t="s">
        <v>598</v>
      </c>
      <c r="R645" s="184" t="s">
        <v>598</v>
      </c>
      <c r="S645" s="127" t="s">
        <v>598</v>
      </c>
      <c r="T645" s="184" t="s">
        <v>598</v>
      </c>
      <c r="U645" s="184" t="s">
        <v>598</v>
      </c>
      <c r="V645" s="185">
        <v>0</v>
      </c>
      <c r="W645" s="184" t="s">
        <v>485</v>
      </c>
      <c r="X645" s="184" t="s">
        <v>598</v>
      </c>
      <c r="Y645" s="185">
        <v>0</v>
      </c>
      <c r="Z645" s="184" t="s">
        <v>598</v>
      </c>
      <c r="AA645" s="21" t="s">
        <v>610</v>
      </c>
      <c r="AB645" s="176" t="s">
        <v>489</v>
      </c>
      <c r="AC645" s="172">
        <v>42996.328472222223</v>
      </c>
      <c r="AD645" s="32" t="s">
        <v>552</v>
      </c>
    </row>
    <row r="646" spans="1:30">
      <c r="A646" s="184">
        <v>645</v>
      </c>
      <c r="B646" s="184" t="s">
        <v>1881</v>
      </c>
      <c r="C646" s="184" t="s">
        <v>598</v>
      </c>
      <c r="D646" s="127">
        <v>42875</v>
      </c>
      <c r="E646" s="127" t="s">
        <v>598</v>
      </c>
      <c r="F646" s="184" t="s">
        <v>1882</v>
      </c>
      <c r="G646" s="185">
        <v>4726000</v>
      </c>
      <c r="H646" s="184" t="s">
        <v>598</v>
      </c>
      <c r="I646" s="184" t="s">
        <v>118</v>
      </c>
      <c r="J646" s="184" t="s">
        <v>92</v>
      </c>
      <c r="K646" s="184" t="s">
        <v>377</v>
      </c>
      <c r="L646" s="184" t="s">
        <v>598</v>
      </c>
      <c r="M646" s="184" t="s">
        <v>598</v>
      </c>
      <c r="N646" s="184" t="s">
        <v>79</v>
      </c>
      <c r="O646" s="184" t="s">
        <v>112</v>
      </c>
      <c r="P646" s="186" t="s">
        <v>73</v>
      </c>
      <c r="Q646" s="184" t="s">
        <v>598</v>
      </c>
      <c r="R646" s="184" t="s">
        <v>598</v>
      </c>
      <c r="S646" s="127" t="s">
        <v>598</v>
      </c>
      <c r="T646" s="184" t="s">
        <v>598</v>
      </c>
      <c r="U646" s="184" t="s">
        <v>598</v>
      </c>
      <c r="V646" s="185">
        <v>0</v>
      </c>
      <c r="W646" s="184" t="s">
        <v>485</v>
      </c>
      <c r="X646" s="184" t="s">
        <v>598</v>
      </c>
      <c r="Y646" s="185">
        <v>0</v>
      </c>
      <c r="Z646" s="184" t="s">
        <v>598</v>
      </c>
      <c r="AA646" s="21" t="s">
        <v>610</v>
      </c>
      <c r="AB646" s="176" t="s">
        <v>489</v>
      </c>
      <c r="AC646" s="172">
        <v>42996.328472222223</v>
      </c>
      <c r="AD646" s="32" t="s">
        <v>552</v>
      </c>
    </row>
    <row r="647" spans="1:30">
      <c r="A647" s="184">
        <v>646</v>
      </c>
      <c r="B647" s="184" t="s">
        <v>1883</v>
      </c>
      <c r="C647" s="184" t="s">
        <v>598</v>
      </c>
      <c r="D647" s="127">
        <v>42878</v>
      </c>
      <c r="E647" s="127" t="s">
        <v>598</v>
      </c>
      <c r="F647" s="184" t="s">
        <v>1884</v>
      </c>
      <c r="G647" s="185">
        <v>2335000</v>
      </c>
      <c r="H647" s="184" t="s">
        <v>598</v>
      </c>
      <c r="I647" s="184" t="s">
        <v>118</v>
      </c>
      <c r="J647" s="184" t="s">
        <v>92</v>
      </c>
      <c r="K647" s="184" t="s">
        <v>285</v>
      </c>
      <c r="L647" s="184" t="s">
        <v>598</v>
      </c>
      <c r="M647" s="184" t="s">
        <v>598</v>
      </c>
      <c r="N647" s="184" t="s">
        <v>79</v>
      </c>
      <c r="O647" s="184" t="s">
        <v>112</v>
      </c>
      <c r="P647" s="186" t="s">
        <v>601</v>
      </c>
      <c r="Q647" s="184" t="s">
        <v>598</v>
      </c>
      <c r="R647" s="184" t="s">
        <v>598</v>
      </c>
      <c r="S647" s="127">
        <v>42887</v>
      </c>
      <c r="T647" s="184" t="s">
        <v>34</v>
      </c>
      <c r="U647" s="184" t="s">
        <v>598</v>
      </c>
      <c r="V647" s="185">
        <v>2300</v>
      </c>
      <c r="W647" s="184" t="s">
        <v>493</v>
      </c>
      <c r="X647" s="184" t="s">
        <v>598</v>
      </c>
      <c r="Y647" s="185">
        <v>0</v>
      </c>
      <c r="Z647" s="184" t="s">
        <v>598</v>
      </c>
      <c r="AA647" s="21" t="s">
        <v>610</v>
      </c>
      <c r="AB647" s="176" t="s">
        <v>489</v>
      </c>
      <c r="AC647" s="172">
        <v>42996.328472222223</v>
      </c>
      <c r="AD647" s="32" t="s">
        <v>552</v>
      </c>
    </row>
    <row r="648" spans="1:30">
      <c r="A648" s="184">
        <v>647</v>
      </c>
      <c r="B648" s="184" t="s">
        <v>1885</v>
      </c>
      <c r="C648" s="184" t="s">
        <v>598</v>
      </c>
      <c r="D648" s="127">
        <v>42880</v>
      </c>
      <c r="E648" s="127" t="s">
        <v>598</v>
      </c>
      <c r="F648" s="184" t="s">
        <v>1886</v>
      </c>
      <c r="G648" s="185">
        <v>8063000</v>
      </c>
      <c r="H648" s="184" t="s">
        <v>598</v>
      </c>
      <c r="I648" s="184" t="s">
        <v>135</v>
      </c>
      <c r="J648" s="184" t="s">
        <v>92</v>
      </c>
      <c r="K648" s="184" t="s">
        <v>40</v>
      </c>
      <c r="L648" s="184" t="s">
        <v>598</v>
      </c>
      <c r="M648" s="184" t="s">
        <v>598</v>
      </c>
      <c r="N648" s="184" t="s">
        <v>79</v>
      </c>
      <c r="O648" s="184" t="s">
        <v>79</v>
      </c>
      <c r="P648" s="186" t="s">
        <v>32</v>
      </c>
      <c r="Q648" s="184" t="s">
        <v>598</v>
      </c>
      <c r="R648" s="184" t="s">
        <v>598</v>
      </c>
      <c r="S648" s="127" t="s">
        <v>598</v>
      </c>
      <c r="T648" s="184" t="s">
        <v>598</v>
      </c>
      <c r="U648" s="184" t="s">
        <v>598</v>
      </c>
      <c r="V648" s="185">
        <v>0</v>
      </c>
      <c r="W648" s="184" t="s">
        <v>485</v>
      </c>
      <c r="X648" s="184" t="s">
        <v>598</v>
      </c>
      <c r="Y648" s="185">
        <v>0</v>
      </c>
      <c r="Z648" s="184" t="s">
        <v>598</v>
      </c>
      <c r="AA648" s="21" t="s">
        <v>610</v>
      </c>
      <c r="AB648" s="176" t="s">
        <v>489</v>
      </c>
      <c r="AC648" s="172">
        <v>42996.328472222223</v>
      </c>
      <c r="AD648" s="32" t="s">
        <v>552</v>
      </c>
    </row>
    <row r="649" spans="1:30">
      <c r="A649" s="184">
        <v>648</v>
      </c>
      <c r="B649" s="184" t="s">
        <v>1887</v>
      </c>
      <c r="C649" s="184" t="s">
        <v>598</v>
      </c>
      <c r="D649" s="127">
        <v>42880</v>
      </c>
      <c r="E649" s="127" t="s">
        <v>598</v>
      </c>
      <c r="F649" s="184" t="s">
        <v>1888</v>
      </c>
      <c r="G649" s="185">
        <v>6390000</v>
      </c>
      <c r="H649" s="184" t="s">
        <v>598</v>
      </c>
      <c r="I649" s="184" t="s">
        <v>134</v>
      </c>
      <c r="J649" s="184" t="s">
        <v>92</v>
      </c>
      <c r="K649" s="184" t="s">
        <v>285</v>
      </c>
      <c r="L649" s="184" t="s">
        <v>598</v>
      </c>
      <c r="M649" s="184" t="s">
        <v>598</v>
      </c>
      <c r="N649" s="184" t="s">
        <v>79</v>
      </c>
      <c r="O649" s="184" t="s">
        <v>112</v>
      </c>
      <c r="P649" s="186" t="s">
        <v>53</v>
      </c>
      <c r="Q649" s="184" t="s">
        <v>598</v>
      </c>
      <c r="R649" s="184" t="s">
        <v>598</v>
      </c>
      <c r="S649" s="127" t="s">
        <v>598</v>
      </c>
      <c r="T649" s="184" t="s">
        <v>598</v>
      </c>
      <c r="U649" s="184" t="s">
        <v>598</v>
      </c>
      <c r="V649" s="185">
        <v>0</v>
      </c>
      <c r="W649" s="184" t="s">
        <v>485</v>
      </c>
      <c r="X649" s="184" t="s">
        <v>598</v>
      </c>
      <c r="Y649" s="185">
        <v>0</v>
      </c>
      <c r="Z649" s="184" t="s">
        <v>598</v>
      </c>
      <c r="AA649" s="21" t="s">
        <v>610</v>
      </c>
      <c r="AB649" s="176" t="s">
        <v>489</v>
      </c>
      <c r="AC649" s="172">
        <v>42996.328472222223</v>
      </c>
      <c r="AD649" s="32" t="s">
        <v>552</v>
      </c>
    </row>
    <row r="650" spans="1:30">
      <c r="A650" s="184">
        <v>649</v>
      </c>
      <c r="B650" s="184" t="s">
        <v>1889</v>
      </c>
      <c r="C650" s="184" t="s">
        <v>598</v>
      </c>
      <c r="D650" s="127">
        <v>42882</v>
      </c>
      <c r="E650" s="127" t="s">
        <v>598</v>
      </c>
      <c r="F650" s="184" t="s">
        <v>1890</v>
      </c>
      <c r="G650" s="185">
        <v>1736000</v>
      </c>
      <c r="H650" s="184" t="s">
        <v>598</v>
      </c>
      <c r="I650" s="184" t="s">
        <v>134</v>
      </c>
      <c r="J650" s="184" t="s">
        <v>92</v>
      </c>
      <c r="K650" s="184" t="s">
        <v>285</v>
      </c>
      <c r="L650" s="184" t="s">
        <v>598</v>
      </c>
      <c r="M650" s="184" t="s">
        <v>598</v>
      </c>
      <c r="N650" s="184" t="s">
        <v>79</v>
      </c>
      <c r="O650" s="184" t="s">
        <v>79</v>
      </c>
      <c r="P650" s="186" t="s">
        <v>44</v>
      </c>
      <c r="Q650" s="184" t="s">
        <v>598</v>
      </c>
      <c r="R650" s="184" t="s">
        <v>598</v>
      </c>
      <c r="S650" s="127">
        <v>42916</v>
      </c>
      <c r="T650" s="184" t="s">
        <v>34</v>
      </c>
      <c r="U650" s="184" t="s">
        <v>598</v>
      </c>
      <c r="V650" s="185">
        <v>2500</v>
      </c>
      <c r="W650" s="184" t="s">
        <v>493</v>
      </c>
      <c r="X650" s="184" t="s">
        <v>598</v>
      </c>
      <c r="Y650" s="185">
        <v>0</v>
      </c>
      <c r="Z650" s="184" t="s">
        <v>598</v>
      </c>
      <c r="AA650" s="21" t="s">
        <v>610</v>
      </c>
      <c r="AB650" s="176" t="s">
        <v>489</v>
      </c>
      <c r="AC650" s="172">
        <v>42996.328472222223</v>
      </c>
      <c r="AD650" s="32" t="s">
        <v>552</v>
      </c>
    </row>
    <row r="651" spans="1:30">
      <c r="A651" s="184">
        <v>650</v>
      </c>
      <c r="B651" s="184" t="s">
        <v>1891</v>
      </c>
      <c r="C651" s="184" t="s">
        <v>598</v>
      </c>
      <c r="D651" s="127">
        <v>42884</v>
      </c>
      <c r="E651" s="127" t="s">
        <v>598</v>
      </c>
      <c r="F651" s="184" t="s">
        <v>1892</v>
      </c>
      <c r="G651" s="185">
        <v>0</v>
      </c>
      <c r="H651" s="184" t="s">
        <v>598</v>
      </c>
      <c r="I651" s="184" t="s">
        <v>598</v>
      </c>
      <c r="J651" s="184" t="s">
        <v>92</v>
      </c>
      <c r="K651" s="184" t="s">
        <v>598</v>
      </c>
      <c r="L651" s="184" t="s">
        <v>598</v>
      </c>
      <c r="M651" s="184" t="s">
        <v>598</v>
      </c>
      <c r="N651" s="184" t="s">
        <v>79</v>
      </c>
      <c r="O651" s="184" t="s">
        <v>112</v>
      </c>
      <c r="P651" s="186" t="s">
        <v>67</v>
      </c>
      <c r="Q651" s="184" t="s">
        <v>598</v>
      </c>
      <c r="R651" s="184" t="s">
        <v>598</v>
      </c>
      <c r="S651" s="127">
        <v>42891</v>
      </c>
      <c r="T651" s="184" t="s">
        <v>34</v>
      </c>
      <c r="U651" s="184" t="s">
        <v>598</v>
      </c>
      <c r="V651" s="185">
        <v>6000</v>
      </c>
      <c r="W651" s="184" t="s">
        <v>493</v>
      </c>
      <c r="X651" s="184" t="s">
        <v>598</v>
      </c>
      <c r="Y651" s="185">
        <v>0</v>
      </c>
      <c r="Z651" s="184" t="s">
        <v>598</v>
      </c>
      <c r="AA651" s="21" t="s">
        <v>610</v>
      </c>
      <c r="AB651" s="176" t="s">
        <v>489</v>
      </c>
      <c r="AC651" s="172">
        <v>42996.328472222223</v>
      </c>
      <c r="AD651" s="32" t="s">
        <v>552</v>
      </c>
    </row>
    <row r="652" spans="1:30">
      <c r="A652" s="184">
        <v>651</v>
      </c>
      <c r="B652" s="184" t="s">
        <v>1893</v>
      </c>
      <c r="C652" s="184" t="s">
        <v>598</v>
      </c>
      <c r="D652" s="127">
        <v>42916</v>
      </c>
      <c r="E652" s="127" t="s">
        <v>598</v>
      </c>
      <c r="F652" s="184" t="s">
        <v>1894</v>
      </c>
      <c r="G652" s="185">
        <v>0</v>
      </c>
      <c r="H652" s="184" t="s">
        <v>598</v>
      </c>
      <c r="I652" s="184" t="s">
        <v>122</v>
      </c>
      <c r="J652" s="184" t="s">
        <v>84</v>
      </c>
      <c r="K652" s="184" t="s">
        <v>291</v>
      </c>
      <c r="L652" s="184" t="s">
        <v>598</v>
      </c>
      <c r="M652" s="184" t="s">
        <v>598</v>
      </c>
      <c r="N652" s="184" t="s">
        <v>42</v>
      </c>
      <c r="O652" s="184" t="s">
        <v>598</v>
      </c>
      <c r="P652" s="186" t="s">
        <v>602</v>
      </c>
      <c r="Q652" s="184" t="s">
        <v>598</v>
      </c>
      <c r="R652" s="184" t="s">
        <v>598</v>
      </c>
      <c r="S652" s="127" t="s">
        <v>598</v>
      </c>
      <c r="T652" s="184" t="s">
        <v>598</v>
      </c>
      <c r="U652" s="184" t="s">
        <v>598</v>
      </c>
      <c r="V652" s="185">
        <v>0</v>
      </c>
      <c r="W652" s="184" t="s">
        <v>485</v>
      </c>
      <c r="X652" s="184" t="s">
        <v>598</v>
      </c>
      <c r="Y652" s="185">
        <v>0</v>
      </c>
      <c r="Z652" s="184" t="s">
        <v>598</v>
      </c>
      <c r="AA652" s="21" t="s">
        <v>610</v>
      </c>
      <c r="AB652" s="176" t="s">
        <v>489</v>
      </c>
      <c r="AC652" s="172">
        <v>42996.328472222223</v>
      </c>
      <c r="AD652" s="32" t="s">
        <v>552</v>
      </c>
    </row>
    <row r="653" spans="1:30">
      <c r="A653" s="184">
        <v>652</v>
      </c>
      <c r="B653" s="184" t="s">
        <v>1895</v>
      </c>
      <c r="C653" s="184" t="s">
        <v>598</v>
      </c>
      <c r="D653" s="127">
        <v>42916</v>
      </c>
      <c r="E653" s="127" t="s">
        <v>598</v>
      </c>
      <c r="F653" s="184" t="s">
        <v>1896</v>
      </c>
      <c r="G653" s="185">
        <v>0</v>
      </c>
      <c r="H653" s="184" t="s">
        <v>598</v>
      </c>
      <c r="I653" s="184" t="s">
        <v>598</v>
      </c>
      <c r="J653" s="184" t="s">
        <v>84</v>
      </c>
      <c r="K653" s="184" t="s">
        <v>192</v>
      </c>
      <c r="L653" s="184" t="s">
        <v>598</v>
      </c>
      <c r="M653" s="184" t="s">
        <v>598</v>
      </c>
      <c r="N653" s="184" t="s">
        <v>42</v>
      </c>
      <c r="O653" s="184" t="s">
        <v>42</v>
      </c>
      <c r="P653" s="186" t="s">
        <v>603</v>
      </c>
      <c r="Q653" s="184" t="s">
        <v>598</v>
      </c>
      <c r="R653" s="184" t="s">
        <v>598</v>
      </c>
      <c r="S653" s="127" t="s">
        <v>598</v>
      </c>
      <c r="T653" s="184" t="s">
        <v>598</v>
      </c>
      <c r="U653" s="184" t="s">
        <v>598</v>
      </c>
      <c r="V653" s="185">
        <v>0</v>
      </c>
      <c r="W653" s="184" t="s">
        <v>485</v>
      </c>
      <c r="X653" s="184" t="s">
        <v>598</v>
      </c>
      <c r="Y653" s="185">
        <v>0</v>
      </c>
      <c r="Z653" s="184" t="s">
        <v>598</v>
      </c>
      <c r="AA653" s="21" t="s">
        <v>610</v>
      </c>
      <c r="AB653" s="176" t="s">
        <v>489</v>
      </c>
      <c r="AC653" s="172">
        <v>42996.328472222223</v>
      </c>
      <c r="AD653" s="32" t="s">
        <v>552</v>
      </c>
    </row>
    <row r="654" spans="1:30">
      <c r="A654" s="184">
        <v>653</v>
      </c>
      <c r="B654" s="184" t="s">
        <v>1897</v>
      </c>
      <c r="C654" s="184" t="s">
        <v>598</v>
      </c>
      <c r="D654" s="127">
        <v>42916</v>
      </c>
      <c r="E654" s="127" t="s">
        <v>598</v>
      </c>
      <c r="F654" s="184" t="s">
        <v>1896</v>
      </c>
      <c r="G654" s="185">
        <v>0</v>
      </c>
      <c r="H654" s="184" t="s">
        <v>598</v>
      </c>
      <c r="I654" s="184" t="s">
        <v>598</v>
      </c>
      <c r="J654" s="184" t="s">
        <v>84</v>
      </c>
      <c r="K654" s="184" t="s">
        <v>192</v>
      </c>
      <c r="L654" s="184" t="s">
        <v>598</v>
      </c>
      <c r="M654" s="184" t="s">
        <v>598</v>
      </c>
      <c r="N654" s="184" t="s">
        <v>42</v>
      </c>
      <c r="O654" s="184" t="s">
        <v>42</v>
      </c>
      <c r="P654" s="186" t="s">
        <v>604</v>
      </c>
      <c r="Q654" s="184" t="s">
        <v>598</v>
      </c>
      <c r="R654" s="184" t="s">
        <v>598</v>
      </c>
      <c r="S654" s="127" t="s">
        <v>598</v>
      </c>
      <c r="T654" s="184" t="s">
        <v>598</v>
      </c>
      <c r="U654" s="184" t="s">
        <v>598</v>
      </c>
      <c r="V654" s="185">
        <v>0</v>
      </c>
      <c r="W654" s="184" t="s">
        <v>485</v>
      </c>
      <c r="X654" s="184" t="s">
        <v>598</v>
      </c>
      <c r="Y654" s="185">
        <v>0</v>
      </c>
      <c r="Z654" s="184" t="s">
        <v>598</v>
      </c>
      <c r="AA654" s="21" t="s">
        <v>610</v>
      </c>
      <c r="AB654" s="176" t="s">
        <v>489</v>
      </c>
      <c r="AC654" s="172">
        <v>42996.328472222223</v>
      </c>
      <c r="AD654" s="32" t="s">
        <v>552</v>
      </c>
    </row>
    <row r="655" spans="1:30">
      <c r="A655" s="184">
        <v>654</v>
      </c>
      <c r="B655" s="184" t="s">
        <v>1898</v>
      </c>
      <c r="C655" s="184" t="s">
        <v>598</v>
      </c>
      <c r="D655" s="127">
        <v>42915</v>
      </c>
      <c r="E655" s="127" t="s">
        <v>598</v>
      </c>
      <c r="F655" s="184" t="s">
        <v>1899</v>
      </c>
      <c r="G655" s="185">
        <v>0</v>
      </c>
      <c r="H655" s="184" t="s">
        <v>598</v>
      </c>
      <c r="I655" s="184" t="s">
        <v>598</v>
      </c>
      <c r="J655" s="184" t="s">
        <v>84</v>
      </c>
      <c r="K655" s="184" t="s">
        <v>281</v>
      </c>
      <c r="L655" s="184" t="s">
        <v>598</v>
      </c>
      <c r="M655" s="184" t="s">
        <v>598</v>
      </c>
      <c r="N655" s="184" t="s">
        <v>42</v>
      </c>
      <c r="O655" s="184" t="s">
        <v>598</v>
      </c>
      <c r="P655" s="186" t="s">
        <v>605</v>
      </c>
      <c r="Q655" s="184" t="s">
        <v>598</v>
      </c>
      <c r="R655" s="184" t="s">
        <v>598</v>
      </c>
      <c r="S655" s="127" t="s">
        <v>598</v>
      </c>
      <c r="T655" s="184" t="s">
        <v>598</v>
      </c>
      <c r="U655" s="184" t="s">
        <v>598</v>
      </c>
      <c r="V655" s="185">
        <v>0</v>
      </c>
      <c r="W655" s="184" t="s">
        <v>485</v>
      </c>
      <c r="X655" s="184" t="s">
        <v>598</v>
      </c>
      <c r="Y655" s="185">
        <v>0</v>
      </c>
      <c r="Z655" s="184" t="s">
        <v>598</v>
      </c>
      <c r="AA655" s="21" t="s">
        <v>610</v>
      </c>
      <c r="AB655" s="176" t="s">
        <v>489</v>
      </c>
      <c r="AC655" s="172">
        <v>42996.328472222223</v>
      </c>
      <c r="AD655" s="32" t="s">
        <v>552</v>
      </c>
    </row>
    <row r="656" spans="1:30">
      <c r="A656" s="184">
        <v>655</v>
      </c>
      <c r="B656" s="184" t="s">
        <v>1900</v>
      </c>
      <c r="C656" s="184" t="s">
        <v>598</v>
      </c>
      <c r="D656" s="127">
        <v>42914</v>
      </c>
      <c r="E656" s="127" t="s">
        <v>598</v>
      </c>
      <c r="F656" s="184" t="s">
        <v>1901</v>
      </c>
      <c r="G656" s="185">
        <v>0</v>
      </c>
      <c r="H656" s="184" t="s">
        <v>598</v>
      </c>
      <c r="I656" s="184" t="s">
        <v>134</v>
      </c>
      <c r="J656" s="184" t="s">
        <v>84</v>
      </c>
      <c r="K656" s="184" t="s">
        <v>259</v>
      </c>
      <c r="L656" s="184" t="s">
        <v>598</v>
      </c>
      <c r="M656" s="184" t="s">
        <v>598</v>
      </c>
      <c r="N656" s="184" t="s">
        <v>42</v>
      </c>
      <c r="O656" s="184" t="s">
        <v>42</v>
      </c>
      <c r="P656" s="186" t="s">
        <v>606</v>
      </c>
      <c r="Q656" s="184" t="s">
        <v>598</v>
      </c>
      <c r="R656" s="184" t="s">
        <v>598</v>
      </c>
      <c r="S656" s="127" t="s">
        <v>598</v>
      </c>
      <c r="T656" s="184" t="s">
        <v>598</v>
      </c>
      <c r="U656" s="184" t="s">
        <v>598</v>
      </c>
      <c r="V656" s="185">
        <v>0</v>
      </c>
      <c r="W656" s="184" t="s">
        <v>485</v>
      </c>
      <c r="X656" s="184" t="s">
        <v>598</v>
      </c>
      <c r="Y656" s="185">
        <v>0</v>
      </c>
      <c r="Z656" s="184" t="s">
        <v>598</v>
      </c>
      <c r="AA656" s="21" t="s">
        <v>610</v>
      </c>
      <c r="AB656" s="176" t="s">
        <v>489</v>
      </c>
      <c r="AC656" s="172">
        <v>42996.328472222223</v>
      </c>
      <c r="AD656" s="32" t="s">
        <v>552</v>
      </c>
    </row>
    <row r="657" spans="1:30">
      <c r="A657" s="184">
        <v>656</v>
      </c>
      <c r="B657" s="184" t="s">
        <v>1902</v>
      </c>
      <c r="C657" s="184" t="s">
        <v>598</v>
      </c>
      <c r="D657" s="127">
        <v>42910</v>
      </c>
      <c r="E657" s="127" t="s">
        <v>598</v>
      </c>
      <c r="F657" s="184" t="s">
        <v>1903</v>
      </c>
      <c r="G657" s="185">
        <v>0</v>
      </c>
      <c r="H657" s="184" t="s">
        <v>598</v>
      </c>
      <c r="I657" s="184" t="s">
        <v>48</v>
      </c>
      <c r="J657" s="184" t="s">
        <v>84</v>
      </c>
      <c r="K657" s="184" t="s">
        <v>281</v>
      </c>
      <c r="L657" s="184" t="s">
        <v>598</v>
      </c>
      <c r="M657" s="184" t="s">
        <v>1904</v>
      </c>
      <c r="N657" s="184" t="s">
        <v>42</v>
      </c>
      <c r="O657" s="184" t="s">
        <v>598</v>
      </c>
      <c r="P657" s="186" t="s">
        <v>607</v>
      </c>
      <c r="Q657" s="184" t="s">
        <v>598</v>
      </c>
      <c r="R657" s="184" t="s">
        <v>598</v>
      </c>
      <c r="S657" s="127" t="s">
        <v>598</v>
      </c>
      <c r="T657" s="184" t="s">
        <v>598</v>
      </c>
      <c r="U657" s="184" t="s">
        <v>598</v>
      </c>
      <c r="V657" s="185">
        <v>0</v>
      </c>
      <c r="W657" s="184" t="s">
        <v>485</v>
      </c>
      <c r="X657" s="184" t="s">
        <v>598</v>
      </c>
      <c r="Y657" s="185">
        <v>0</v>
      </c>
      <c r="Z657" s="184" t="s">
        <v>598</v>
      </c>
      <c r="AA657" s="21" t="s">
        <v>610</v>
      </c>
      <c r="AB657" s="176" t="s">
        <v>489</v>
      </c>
      <c r="AC657" s="172">
        <v>42996.328472222223</v>
      </c>
      <c r="AD657" s="32" t="s">
        <v>552</v>
      </c>
    </row>
    <row r="658" spans="1:30">
      <c r="A658" s="184">
        <v>657</v>
      </c>
      <c r="B658" s="184" t="s">
        <v>1905</v>
      </c>
      <c r="C658" s="184" t="s">
        <v>598</v>
      </c>
      <c r="D658" s="127">
        <v>42910</v>
      </c>
      <c r="E658" s="127" t="s">
        <v>598</v>
      </c>
      <c r="F658" s="184" t="s">
        <v>1906</v>
      </c>
      <c r="G658" s="185">
        <v>0</v>
      </c>
      <c r="H658" s="184" t="s">
        <v>598</v>
      </c>
      <c r="I658" s="184" t="s">
        <v>48</v>
      </c>
      <c r="J658" s="184" t="s">
        <v>84</v>
      </c>
      <c r="K658" s="184" t="s">
        <v>281</v>
      </c>
      <c r="L658" s="184" t="s">
        <v>598</v>
      </c>
      <c r="M658" s="184" t="s">
        <v>1904</v>
      </c>
      <c r="N658" s="184" t="s">
        <v>42</v>
      </c>
      <c r="O658" s="184" t="s">
        <v>598</v>
      </c>
      <c r="P658" s="186" t="s">
        <v>73</v>
      </c>
      <c r="Q658" s="184" t="s">
        <v>598</v>
      </c>
      <c r="R658" s="184" t="s">
        <v>598</v>
      </c>
      <c r="S658" s="127" t="s">
        <v>598</v>
      </c>
      <c r="T658" s="184" t="s">
        <v>598</v>
      </c>
      <c r="U658" s="184" t="s">
        <v>598</v>
      </c>
      <c r="V658" s="185">
        <v>0</v>
      </c>
      <c r="W658" s="184" t="s">
        <v>485</v>
      </c>
      <c r="X658" s="184" t="s">
        <v>598</v>
      </c>
      <c r="Y658" s="185">
        <v>0</v>
      </c>
      <c r="Z658" s="184" t="s">
        <v>598</v>
      </c>
      <c r="AA658" s="21" t="s">
        <v>610</v>
      </c>
      <c r="AB658" s="176" t="s">
        <v>489</v>
      </c>
      <c r="AC658" s="172">
        <v>42996.328472222223</v>
      </c>
      <c r="AD658" s="32" t="s">
        <v>552</v>
      </c>
    </row>
    <row r="659" spans="1:30">
      <c r="A659" s="184">
        <v>658</v>
      </c>
      <c r="B659" s="184" t="s">
        <v>1907</v>
      </c>
      <c r="C659" s="184" t="s">
        <v>598</v>
      </c>
      <c r="D659" s="127">
        <v>42910</v>
      </c>
      <c r="E659" s="127" t="s">
        <v>598</v>
      </c>
      <c r="F659" s="184" t="s">
        <v>1908</v>
      </c>
      <c r="G659" s="185">
        <v>0</v>
      </c>
      <c r="H659" s="184" t="s">
        <v>598</v>
      </c>
      <c r="I659" s="184" t="s">
        <v>48</v>
      </c>
      <c r="J659" s="184" t="s">
        <v>84</v>
      </c>
      <c r="K659" s="184" t="s">
        <v>281</v>
      </c>
      <c r="L659" s="184" t="s">
        <v>598</v>
      </c>
      <c r="M659" s="184" t="s">
        <v>1904</v>
      </c>
      <c r="N659" s="184" t="s">
        <v>42</v>
      </c>
      <c r="O659" s="184" t="s">
        <v>598</v>
      </c>
      <c r="P659" s="186" t="s">
        <v>601</v>
      </c>
      <c r="Q659" s="184" t="s">
        <v>598</v>
      </c>
      <c r="R659" s="184" t="s">
        <v>598</v>
      </c>
      <c r="S659" s="127" t="s">
        <v>598</v>
      </c>
      <c r="T659" s="184" t="s">
        <v>598</v>
      </c>
      <c r="U659" s="184" t="s">
        <v>598</v>
      </c>
      <c r="V659" s="185">
        <v>0</v>
      </c>
      <c r="W659" s="184" t="s">
        <v>485</v>
      </c>
      <c r="X659" s="184" t="s">
        <v>598</v>
      </c>
      <c r="Y659" s="185">
        <v>0</v>
      </c>
      <c r="Z659" s="184" t="s">
        <v>598</v>
      </c>
      <c r="AA659" s="21" t="s">
        <v>610</v>
      </c>
      <c r="AB659" s="176" t="s">
        <v>489</v>
      </c>
      <c r="AC659" s="172">
        <v>42996.328472222223</v>
      </c>
      <c r="AD659" s="32" t="s">
        <v>552</v>
      </c>
    </row>
    <row r="660" spans="1:30">
      <c r="A660" s="184">
        <v>659</v>
      </c>
      <c r="B660" s="184" t="s">
        <v>1909</v>
      </c>
      <c r="C660" s="184" t="s">
        <v>598</v>
      </c>
      <c r="D660" s="127">
        <v>42910</v>
      </c>
      <c r="E660" s="127" t="s">
        <v>598</v>
      </c>
      <c r="F660" s="184" t="s">
        <v>1910</v>
      </c>
      <c r="G660" s="185">
        <v>0</v>
      </c>
      <c r="H660" s="184" t="s">
        <v>598</v>
      </c>
      <c r="I660" s="184" t="s">
        <v>122</v>
      </c>
      <c r="J660" s="184" t="s">
        <v>84</v>
      </c>
      <c r="K660" s="184" t="s">
        <v>291</v>
      </c>
      <c r="L660" s="184" t="s">
        <v>598</v>
      </c>
      <c r="M660" s="184" t="s">
        <v>1911</v>
      </c>
      <c r="N660" s="184" t="s">
        <v>42</v>
      </c>
      <c r="O660" s="184" t="s">
        <v>598</v>
      </c>
      <c r="P660" s="186" t="s">
        <v>32</v>
      </c>
      <c r="Q660" s="184" t="s">
        <v>598</v>
      </c>
      <c r="R660" s="184" t="s">
        <v>598</v>
      </c>
      <c r="S660" s="127" t="s">
        <v>598</v>
      </c>
      <c r="T660" s="184" t="s">
        <v>598</v>
      </c>
      <c r="U660" s="184" t="s">
        <v>598</v>
      </c>
      <c r="V660" s="185">
        <v>0</v>
      </c>
      <c r="W660" s="184" t="s">
        <v>485</v>
      </c>
      <c r="X660" s="184" t="s">
        <v>598</v>
      </c>
      <c r="Y660" s="185">
        <v>0</v>
      </c>
      <c r="Z660" s="184" t="s">
        <v>598</v>
      </c>
      <c r="AA660" s="21" t="s">
        <v>610</v>
      </c>
      <c r="AB660" s="176" t="s">
        <v>489</v>
      </c>
      <c r="AC660" s="172">
        <v>42996.328472222223</v>
      </c>
      <c r="AD660" s="32" t="s">
        <v>552</v>
      </c>
    </row>
    <row r="661" spans="1:30">
      <c r="A661" s="184">
        <v>660</v>
      </c>
      <c r="B661" s="184" t="s">
        <v>1912</v>
      </c>
      <c r="C661" s="184" t="s">
        <v>598</v>
      </c>
      <c r="D661" s="127">
        <v>42910</v>
      </c>
      <c r="E661" s="127" t="s">
        <v>598</v>
      </c>
      <c r="F661" s="184" t="s">
        <v>1913</v>
      </c>
      <c r="G661" s="185">
        <v>0</v>
      </c>
      <c r="H661" s="184" t="s">
        <v>598</v>
      </c>
      <c r="I661" s="184" t="s">
        <v>134</v>
      </c>
      <c r="J661" s="184" t="s">
        <v>84</v>
      </c>
      <c r="K661" s="184" t="s">
        <v>281</v>
      </c>
      <c r="L661" s="184" t="s">
        <v>598</v>
      </c>
      <c r="M661" s="184" t="s">
        <v>1914</v>
      </c>
      <c r="N661" s="184" t="s">
        <v>42</v>
      </c>
      <c r="O661" s="184" t="s">
        <v>598</v>
      </c>
      <c r="P661" s="186" t="s">
        <v>53</v>
      </c>
      <c r="Q661" s="184" t="s">
        <v>598</v>
      </c>
      <c r="R661" s="184" t="s">
        <v>598</v>
      </c>
      <c r="S661" s="127" t="s">
        <v>598</v>
      </c>
      <c r="T661" s="184" t="s">
        <v>598</v>
      </c>
      <c r="U661" s="184" t="s">
        <v>598</v>
      </c>
      <c r="V661" s="185">
        <v>0</v>
      </c>
      <c r="W661" s="184" t="s">
        <v>485</v>
      </c>
      <c r="X661" s="184" t="s">
        <v>598</v>
      </c>
      <c r="Y661" s="185">
        <v>0</v>
      </c>
      <c r="Z661" s="184" t="s">
        <v>598</v>
      </c>
      <c r="AA661" s="21" t="s">
        <v>610</v>
      </c>
      <c r="AB661" s="176" t="s">
        <v>489</v>
      </c>
      <c r="AC661" s="172">
        <v>42996.328472222223</v>
      </c>
      <c r="AD661" s="32" t="s">
        <v>552</v>
      </c>
    </row>
    <row r="662" spans="1:30">
      <c r="A662" s="184">
        <v>661</v>
      </c>
      <c r="B662" s="184" t="s">
        <v>1915</v>
      </c>
      <c r="C662" s="184" t="s">
        <v>598</v>
      </c>
      <c r="D662" s="127">
        <v>42908</v>
      </c>
      <c r="E662" s="127" t="s">
        <v>598</v>
      </c>
      <c r="F662" s="184" t="s">
        <v>1916</v>
      </c>
      <c r="G662" s="185">
        <v>0</v>
      </c>
      <c r="H662" s="184" t="s">
        <v>598</v>
      </c>
      <c r="I662" s="184" t="s">
        <v>134</v>
      </c>
      <c r="J662" s="184" t="s">
        <v>84</v>
      </c>
      <c r="K662" s="184" t="s">
        <v>598</v>
      </c>
      <c r="L662" s="184" t="s">
        <v>598</v>
      </c>
      <c r="M662" s="184" t="s">
        <v>1911</v>
      </c>
      <c r="N662" s="184" t="s">
        <v>42</v>
      </c>
      <c r="O662" s="184" t="s">
        <v>598</v>
      </c>
      <c r="P662" s="186" t="s">
        <v>44</v>
      </c>
      <c r="Q662" s="184" t="s">
        <v>598</v>
      </c>
      <c r="R662" s="184" t="s">
        <v>598</v>
      </c>
      <c r="S662" s="127">
        <v>42910</v>
      </c>
      <c r="T662" s="184" t="s">
        <v>34</v>
      </c>
      <c r="U662" s="184" t="s">
        <v>598</v>
      </c>
      <c r="V662" s="185">
        <v>3000</v>
      </c>
      <c r="W662" s="184" t="s">
        <v>493</v>
      </c>
      <c r="X662" s="184" t="s">
        <v>598</v>
      </c>
      <c r="Y662" s="185">
        <v>0</v>
      </c>
      <c r="Z662" s="184" t="s">
        <v>598</v>
      </c>
      <c r="AA662" s="21" t="s">
        <v>610</v>
      </c>
      <c r="AB662" s="176" t="s">
        <v>489</v>
      </c>
      <c r="AC662" s="172">
        <v>42996.328472222223</v>
      </c>
      <c r="AD662" s="32" t="s">
        <v>552</v>
      </c>
    </row>
    <row r="663" spans="1:30">
      <c r="A663" s="184">
        <v>662</v>
      </c>
      <c r="B663" s="184" t="s">
        <v>1917</v>
      </c>
      <c r="C663" s="184" t="s">
        <v>598</v>
      </c>
      <c r="D663" s="127">
        <v>42908</v>
      </c>
      <c r="E663" s="127" t="s">
        <v>598</v>
      </c>
      <c r="F663" s="184" t="s">
        <v>1918</v>
      </c>
      <c r="G663" s="185">
        <v>0</v>
      </c>
      <c r="H663" s="184" t="s">
        <v>598</v>
      </c>
      <c r="I663" s="184" t="s">
        <v>134</v>
      </c>
      <c r="J663" s="184" t="s">
        <v>84</v>
      </c>
      <c r="K663" s="184" t="s">
        <v>598</v>
      </c>
      <c r="L663" s="184" t="s">
        <v>598</v>
      </c>
      <c r="M663" s="184" t="s">
        <v>1919</v>
      </c>
      <c r="N663" s="184" t="s">
        <v>42</v>
      </c>
      <c r="O663" s="184" t="s">
        <v>598</v>
      </c>
      <c r="P663" s="186" t="s">
        <v>67</v>
      </c>
      <c r="Q663" s="184" t="s">
        <v>598</v>
      </c>
      <c r="R663" s="184" t="s">
        <v>598</v>
      </c>
      <c r="S663" s="127" t="s">
        <v>598</v>
      </c>
      <c r="T663" s="184" t="s">
        <v>598</v>
      </c>
      <c r="U663" s="184" t="s">
        <v>598</v>
      </c>
      <c r="V663" s="185">
        <v>0</v>
      </c>
      <c r="W663" s="184" t="s">
        <v>485</v>
      </c>
      <c r="X663" s="184" t="s">
        <v>598</v>
      </c>
      <c r="Y663" s="185">
        <v>0</v>
      </c>
      <c r="Z663" s="184" t="s">
        <v>598</v>
      </c>
      <c r="AA663" s="21" t="s">
        <v>610</v>
      </c>
      <c r="AB663" s="176" t="s">
        <v>489</v>
      </c>
      <c r="AC663" s="172">
        <v>42996.328472222223</v>
      </c>
      <c r="AD663" s="32" t="s">
        <v>552</v>
      </c>
    </row>
    <row r="664" spans="1:30">
      <c r="A664" s="184">
        <v>663</v>
      </c>
      <c r="B664" s="184" t="s">
        <v>1920</v>
      </c>
      <c r="C664" s="184" t="s">
        <v>598</v>
      </c>
      <c r="D664" s="127">
        <v>42908</v>
      </c>
      <c r="E664" s="127" t="s">
        <v>598</v>
      </c>
      <c r="F664" s="184" t="s">
        <v>1921</v>
      </c>
      <c r="G664" s="185">
        <v>0</v>
      </c>
      <c r="H664" s="184" t="s">
        <v>598</v>
      </c>
      <c r="I664" s="184" t="s">
        <v>134</v>
      </c>
      <c r="J664" s="184" t="s">
        <v>84</v>
      </c>
      <c r="K664" s="184" t="s">
        <v>598</v>
      </c>
      <c r="L664" s="184" t="s">
        <v>598</v>
      </c>
      <c r="M664" s="184" t="s">
        <v>1919</v>
      </c>
      <c r="N664" s="184" t="s">
        <v>42</v>
      </c>
      <c r="O664" s="184" t="s">
        <v>598</v>
      </c>
      <c r="P664" s="186" t="s">
        <v>602</v>
      </c>
      <c r="Q664" s="184" t="s">
        <v>598</v>
      </c>
      <c r="R664" s="184" t="s">
        <v>804</v>
      </c>
      <c r="S664" s="127" t="s">
        <v>598</v>
      </c>
      <c r="T664" s="184" t="s">
        <v>598</v>
      </c>
      <c r="U664" s="184" t="s">
        <v>598</v>
      </c>
      <c r="V664" s="185">
        <v>0</v>
      </c>
      <c r="W664" s="184" t="s">
        <v>485</v>
      </c>
      <c r="X664" s="184" t="s">
        <v>598</v>
      </c>
      <c r="Y664" s="185">
        <v>0</v>
      </c>
      <c r="Z664" s="184" t="s">
        <v>598</v>
      </c>
      <c r="AA664" s="21" t="s">
        <v>610</v>
      </c>
      <c r="AB664" s="176" t="s">
        <v>489</v>
      </c>
      <c r="AC664" s="172">
        <v>42996.328472222223</v>
      </c>
      <c r="AD664" s="32" t="s">
        <v>552</v>
      </c>
    </row>
    <row r="665" spans="1:30">
      <c r="A665" s="184">
        <v>664</v>
      </c>
      <c r="B665" s="184" t="s">
        <v>1922</v>
      </c>
      <c r="C665" s="184" t="s">
        <v>598</v>
      </c>
      <c r="D665" s="127">
        <v>42908</v>
      </c>
      <c r="E665" s="127" t="s">
        <v>598</v>
      </c>
      <c r="F665" s="184" t="s">
        <v>1923</v>
      </c>
      <c r="G665" s="185">
        <v>0</v>
      </c>
      <c r="H665" s="184" t="s">
        <v>598</v>
      </c>
      <c r="I665" s="184" t="s">
        <v>134</v>
      </c>
      <c r="J665" s="184" t="s">
        <v>84</v>
      </c>
      <c r="K665" s="184" t="s">
        <v>598</v>
      </c>
      <c r="L665" s="184" t="s">
        <v>598</v>
      </c>
      <c r="M665" s="184" t="s">
        <v>1919</v>
      </c>
      <c r="N665" s="184" t="s">
        <v>42</v>
      </c>
      <c r="O665" s="184" t="s">
        <v>598</v>
      </c>
      <c r="P665" s="186" t="s">
        <v>603</v>
      </c>
      <c r="Q665" s="184" t="s">
        <v>598</v>
      </c>
      <c r="R665" s="184" t="s">
        <v>804</v>
      </c>
      <c r="S665" s="127" t="s">
        <v>598</v>
      </c>
      <c r="T665" s="184" t="s">
        <v>598</v>
      </c>
      <c r="U665" s="184" t="s">
        <v>598</v>
      </c>
      <c r="V665" s="185">
        <v>0</v>
      </c>
      <c r="W665" s="184" t="s">
        <v>485</v>
      </c>
      <c r="X665" s="184" t="s">
        <v>598</v>
      </c>
      <c r="Y665" s="185">
        <v>0</v>
      </c>
      <c r="Z665" s="184" t="s">
        <v>598</v>
      </c>
      <c r="AA665" s="21" t="s">
        <v>610</v>
      </c>
      <c r="AB665" s="176" t="s">
        <v>489</v>
      </c>
      <c r="AC665" s="172">
        <v>42996.328472222223</v>
      </c>
      <c r="AD665" s="32" t="s">
        <v>552</v>
      </c>
    </row>
    <row r="666" spans="1:30">
      <c r="A666" s="184">
        <v>665</v>
      </c>
      <c r="B666" s="184" t="s">
        <v>1924</v>
      </c>
      <c r="C666" s="184" t="s">
        <v>598</v>
      </c>
      <c r="D666" s="127">
        <v>42908</v>
      </c>
      <c r="E666" s="127" t="s">
        <v>598</v>
      </c>
      <c r="F666" s="184" t="s">
        <v>1925</v>
      </c>
      <c r="G666" s="185">
        <v>0</v>
      </c>
      <c r="H666" s="184" t="s">
        <v>598</v>
      </c>
      <c r="I666" s="184" t="s">
        <v>48</v>
      </c>
      <c r="J666" s="184" t="s">
        <v>84</v>
      </c>
      <c r="K666" s="184" t="s">
        <v>292</v>
      </c>
      <c r="L666" s="184" t="s">
        <v>598</v>
      </c>
      <c r="M666" s="184" t="s">
        <v>1926</v>
      </c>
      <c r="N666" s="184" t="s">
        <v>42</v>
      </c>
      <c r="O666" s="184" t="s">
        <v>42</v>
      </c>
      <c r="P666" s="186" t="s">
        <v>604</v>
      </c>
      <c r="Q666" s="184" t="s">
        <v>598</v>
      </c>
      <c r="R666" s="184" t="s">
        <v>804</v>
      </c>
      <c r="S666" s="127" t="s">
        <v>598</v>
      </c>
      <c r="T666" s="184" t="s">
        <v>598</v>
      </c>
      <c r="U666" s="184" t="s">
        <v>598</v>
      </c>
      <c r="V666" s="185">
        <v>0</v>
      </c>
      <c r="W666" s="184" t="s">
        <v>485</v>
      </c>
      <c r="X666" s="184" t="s">
        <v>598</v>
      </c>
      <c r="Y666" s="185">
        <v>0</v>
      </c>
      <c r="Z666" s="184" t="s">
        <v>598</v>
      </c>
      <c r="AA666" s="21" t="s">
        <v>610</v>
      </c>
      <c r="AB666" s="176" t="s">
        <v>489</v>
      </c>
      <c r="AC666" s="172">
        <v>42996.328472222223</v>
      </c>
      <c r="AD666" s="32" t="s">
        <v>552</v>
      </c>
    </row>
    <row r="667" spans="1:30">
      <c r="A667" s="184">
        <v>666</v>
      </c>
      <c r="B667" s="184" t="s">
        <v>1927</v>
      </c>
      <c r="C667" s="184" t="s">
        <v>598</v>
      </c>
      <c r="D667" s="127">
        <v>42908</v>
      </c>
      <c r="E667" s="127" t="s">
        <v>598</v>
      </c>
      <c r="F667" s="184" t="s">
        <v>1928</v>
      </c>
      <c r="G667" s="185">
        <v>0</v>
      </c>
      <c r="H667" s="184" t="s">
        <v>598</v>
      </c>
      <c r="I667" s="184" t="s">
        <v>134</v>
      </c>
      <c r="J667" s="184" t="s">
        <v>84</v>
      </c>
      <c r="K667" s="184" t="s">
        <v>293</v>
      </c>
      <c r="L667" s="184" t="s">
        <v>598</v>
      </c>
      <c r="M667" s="184" t="s">
        <v>1919</v>
      </c>
      <c r="N667" s="184" t="s">
        <v>42</v>
      </c>
      <c r="O667" s="184" t="s">
        <v>42</v>
      </c>
      <c r="P667" s="186" t="s">
        <v>605</v>
      </c>
      <c r="Q667" s="184" t="s">
        <v>598</v>
      </c>
      <c r="R667" s="184" t="s">
        <v>804</v>
      </c>
      <c r="S667" s="127" t="s">
        <v>598</v>
      </c>
      <c r="T667" s="184" t="s">
        <v>598</v>
      </c>
      <c r="U667" s="184" t="s">
        <v>598</v>
      </c>
      <c r="V667" s="185">
        <v>0</v>
      </c>
      <c r="W667" s="184" t="s">
        <v>485</v>
      </c>
      <c r="X667" s="184" t="s">
        <v>598</v>
      </c>
      <c r="Y667" s="185">
        <v>0</v>
      </c>
      <c r="Z667" s="184" t="s">
        <v>598</v>
      </c>
      <c r="AA667" s="21" t="s">
        <v>610</v>
      </c>
      <c r="AB667" s="176" t="s">
        <v>489</v>
      </c>
      <c r="AC667" s="172">
        <v>42996.328472222223</v>
      </c>
      <c r="AD667" s="32" t="s">
        <v>552</v>
      </c>
    </row>
    <row r="668" spans="1:30">
      <c r="A668" s="184">
        <v>667</v>
      </c>
      <c r="B668" s="184" t="s">
        <v>1929</v>
      </c>
      <c r="C668" s="184" t="s">
        <v>598</v>
      </c>
      <c r="D668" s="127">
        <v>42908</v>
      </c>
      <c r="E668" s="127" t="s">
        <v>598</v>
      </c>
      <c r="F668" s="184" t="s">
        <v>1930</v>
      </c>
      <c r="G668" s="185">
        <v>0</v>
      </c>
      <c r="H668" s="184" t="s">
        <v>598</v>
      </c>
      <c r="I668" s="184" t="s">
        <v>134</v>
      </c>
      <c r="J668" s="184" t="s">
        <v>84</v>
      </c>
      <c r="K668" s="184" t="s">
        <v>192</v>
      </c>
      <c r="L668" s="184" t="s">
        <v>598</v>
      </c>
      <c r="M668" s="184" t="s">
        <v>1919</v>
      </c>
      <c r="N668" s="184" t="s">
        <v>42</v>
      </c>
      <c r="O668" s="184" t="s">
        <v>598</v>
      </c>
      <c r="P668" s="186" t="s">
        <v>606</v>
      </c>
      <c r="Q668" s="184" t="s">
        <v>598</v>
      </c>
      <c r="R668" s="184" t="s">
        <v>598</v>
      </c>
      <c r="S668" s="127" t="s">
        <v>598</v>
      </c>
      <c r="T668" s="184" t="s">
        <v>598</v>
      </c>
      <c r="U668" s="184" t="s">
        <v>598</v>
      </c>
      <c r="V668" s="185">
        <v>0</v>
      </c>
      <c r="W668" s="184" t="s">
        <v>485</v>
      </c>
      <c r="X668" s="184" t="s">
        <v>598</v>
      </c>
      <c r="Y668" s="185">
        <v>0</v>
      </c>
      <c r="Z668" s="184" t="s">
        <v>598</v>
      </c>
      <c r="AA668" s="21" t="s">
        <v>610</v>
      </c>
      <c r="AB668" s="176" t="s">
        <v>489</v>
      </c>
      <c r="AC668" s="172">
        <v>42996.328472222223</v>
      </c>
      <c r="AD668" s="32" t="s">
        <v>552</v>
      </c>
    </row>
    <row r="669" spans="1:30">
      <c r="A669" s="184">
        <v>668</v>
      </c>
      <c r="B669" s="184" t="s">
        <v>1931</v>
      </c>
      <c r="C669" s="184" t="s">
        <v>598</v>
      </c>
      <c r="D669" s="127">
        <v>42908</v>
      </c>
      <c r="E669" s="127" t="s">
        <v>598</v>
      </c>
      <c r="F669" s="184" t="s">
        <v>1932</v>
      </c>
      <c r="G669" s="185">
        <v>0</v>
      </c>
      <c r="H669" s="184" t="s">
        <v>598</v>
      </c>
      <c r="I669" s="184" t="s">
        <v>134</v>
      </c>
      <c r="J669" s="184" t="s">
        <v>84</v>
      </c>
      <c r="K669" s="184" t="s">
        <v>281</v>
      </c>
      <c r="L669" s="184" t="s">
        <v>598</v>
      </c>
      <c r="M669" s="184" t="s">
        <v>1933</v>
      </c>
      <c r="N669" s="184" t="s">
        <v>42</v>
      </c>
      <c r="O669" s="184" t="s">
        <v>598</v>
      </c>
      <c r="P669" s="186" t="s">
        <v>607</v>
      </c>
      <c r="Q669" s="184" t="s">
        <v>598</v>
      </c>
      <c r="R669" s="184" t="s">
        <v>598</v>
      </c>
      <c r="S669" s="127">
        <v>42914</v>
      </c>
      <c r="T669" s="184" t="s">
        <v>10</v>
      </c>
      <c r="U669" s="184" t="s">
        <v>598</v>
      </c>
      <c r="V669" s="185">
        <v>10000</v>
      </c>
      <c r="W669" s="184" t="s">
        <v>493</v>
      </c>
      <c r="X669" s="184" t="s">
        <v>598</v>
      </c>
      <c r="Y669" s="185">
        <v>0</v>
      </c>
      <c r="Z669" s="184" t="s">
        <v>598</v>
      </c>
      <c r="AA669" s="21" t="s">
        <v>610</v>
      </c>
      <c r="AB669" s="176" t="s">
        <v>489</v>
      </c>
      <c r="AC669" s="172">
        <v>42996.328472222223</v>
      </c>
      <c r="AD669" s="32" t="s">
        <v>552</v>
      </c>
    </row>
    <row r="670" spans="1:30">
      <c r="A670" s="184">
        <v>669</v>
      </c>
      <c r="B670" s="184" t="s">
        <v>1934</v>
      </c>
      <c r="C670" s="184" t="s">
        <v>598</v>
      </c>
      <c r="D670" s="127">
        <v>42907</v>
      </c>
      <c r="E670" s="127" t="s">
        <v>598</v>
      </c>
      <c r="F670" s="184" t="s">
        <v>1935</v>
      </c>
      <c r="G670" s="185">
        <v>0</v>
      </c>
      <c r="H670" s="184" t="s">
        <v>598</v>
      </c>
      <c r="I670" s="184" t="s">
        <v>115</v>
      </c>
      <c r="J670" s="184" t="s">
        <v>84</v>
      </c>
      <c r="K670" s="184" t="s">
        <v>281</v>
      </c>
      <c r="L670" s="184" t="s">
        <v>598</v>
      </c>
      <c r="M670" s="184" t="s">
        <v>598</v>
      </c>
      <c r="N670" s="184" t="s">
        <v>42</v>
      </c>
      <c r="O670" s="184" t="s">
        <v>42</v>
      </c>
      <c r="P670" s="186" t="s">
        <v>73</v>
      </c>
      <c r="Q670" s="184" t="s">
        <v>598</v>
      </c>
      <c r="R670" s="184" t="s">
        <v>598</v>
      </c>
      <c r="S670" s="127" t="s">
        <v>598</v>
      </c>
      <c r="T670" s="184" t="s">
        <v>598</v>
      </c>
      <c r="U670" s="184" t="s">
        <v>598</v>
      </c>
      <c r="V670" s="185">
        <v>0</v>
      </c>
      <c r="W670" s="184" t="s">
        <v>485</v>
      </c>
      <c r="X670" s="184" t="s">
        <v>598</v>
      </c>
      <c r="Y670" s="185">
        <v>0</v>
      </c>
      <c r="Z670" s="184" t="s">
        <v>598</v>
      </c>
      <c r="AA670" s="21" t="s">
        <v>610</v>
      </c>
      <c r="AB670" s="176" t="s">
        <v>489</v>
      </c>
      <c r="AC670" s="172">
        <v>42996.328472222223</v>
      </c>
      <c r="AD670" s="32" t="s">
        <v>552</v>
      </c>
    </row>
    <row r="671" spans="1:30">
      <c r="A671" s="184">
        <v>670</v>
      </c>
      <c r="B671" s="184" t="s">
        <v>1936</v>
      </c>
      <c r="C671" s="184" t="s">
        <v>598</v>
      </c>
      <c r="D671" s="127">
        <v>42906</v>
      </c>
      <c r="E671" s="127" t="s">
        <v>598</v>
      </c>
      <c r="F671" s="184" t="s">
        <v>1937</v>
      </c>
      <c r="G671" s="185">
        <v>0</v>
      </c>
      <c r="H671" s="184" t="s">
        <v>598</v>
      </c>
      <c r="I671" s="184" t="s">
        <v>128</v>
      </c>
      <c r="J671" s="184" t="s">
        <v>84</v>
      </c>
      <c r="K671" s="184" t="s">
        <v>276</v>
      </c>
      <c r="L671" s="184" t="s">
        <v>598</v>
      </c>
      <c r="M671" s="184" t="s">
        <v>598</v>
      </c>
      <c r="N671" s="184" t="s">
        <v>42</v>
      </c>
      <c r="O671" s="184" t="s">
        <v>42</v>
      </c>
      <c r="P671" s="186" t="s">
        <v>601</v>
      </c>
      <c r="Q671" s="184" t="s">
        <v>598</v>
      </c>
      <c r="R671" s="184" t="s">
        <v>598</v>
      </c>
      <c r="S671" s="127" t="s">
        <v>598</v>
      </c>
      <c r="T671" s="184" t="s">
        <v>598</v>
      </c>
      <c r="U671" s="184" t="s">
        <v>598</v>
      </c>
      <c r="V671" s="185">
        <v>0</v>
      </c>
      <c r="W671" s="184" t="s">
        <v>485</v>
      </c>
      <c r="X671" s="184" t="s">
        <v>598</v>
      </c>
      <c r="Y671" s="185">
        <v>0</v>
      </c>
      <c r="Z671" s="184" t="s">
        <v>598</v>
      </c>
      <c r="AA671" s="21" t="s">
        <v>610</v>
      </c>
      <c r="AB671" s="176" t="s">
        <v>489</v>
      </c>
      <c r="AC671" s="172">
        <v>42996.328472222223</v>
      </c>
      <c r="AD671" s="32" t="s">
        <v>552</v>
      </c>
    </row>
    <row r="672" spans="1:30">
      <c r="A672" s="184">
        <v>671</v>
      </c>
      <c r="B672" s="184" t="s">
        <v>1938</v>
      </c>
      <c r="C672" s="184" t="s">
        <v>598</v>
      </c>
      <c r="D672" s="127">
        <v>42906</v>
      </c>
      <c r="E672" s="127" t="s">
        <v>598</v>
      </c>
      <c r="F672" s="184" t="s">
        <v>1939</v>
      </c>
      <c r="G672" s="185">
        <v>0</v>
      </c>
      <c r="H672" s="184" t="s">
        <v>598</v>
      </c>
      <c r="I672" s="184" t="s">
        <v>134</v>
      </c>
      <c r="J672" s="184" t="s">
        <v>84</v>
      </c>
      <c r="K672" s="184" t="s">
        <v>281</v>
      </c>
      <c r="L672" s="184" t="s">
        <v>598</v>
      </c>
      <c r="M672" s="184" t="s">
        <v>598</v>
      </c>
      <c r="N672" s="184" t="s">
        <v>42</v>
      </c>
      <c r="O672" s="184" t="s">
        <v>42</v>
      </c>
      <c r="P672" s="186" t="s">
        <v>601</v>
      </c>
      <c r="Q672" s="184" t="s">
        <v>598</v>
      </c>
      <c r="R672" s="184" t="s">
        <v>598</v>
      </c>
      <c r="S672" s="127" t="s">
        <v>598</v>
      </c>
      <c r="T672" s="184" t="s">
        <v>598</v>
      </c>
      <c r="U672" s="184" t="s">
        <v>598</v>
      </c>
      <c r="V672" s="185">
        <v>0</v>
      </c>
      <c r="W672" s="184" t="s">
        <v>485</v>
      </c>
      <c r="X672" s="184" t="s">
        <v>598</v>
      </c>
      <c r="Y672" s="185">
        <v>0</v>
      </c>
      <c r="Z672" s="184" t="s">
        <v>598</v>
      </c>
      <c r="AA672" s="21" t="s">
        <v>610</v>
      </c>
      <c r="AB672" s="176" t="s">
        <v>489</v>
      </c>
      <c r="AC672" s="172">
        <v>42996.328472222223</v>
      </c>
      <c r="AD672" s="32" t="s">
        <v>552</v>
      </c>
    </row>
    <row r="673" spans="1:30">
      <c r="A673" s="184">
        <v>672</v>
      </c>
      <c r="B673" s="184" t="s">
        <v>1940</v>
      </c>
      <c r="C673" s="184" t="s">
        <v>598</v>
      </c>
      <c r="D673" s="127">
        <v>42905</v>
      </c>
      <c r="E673" s="127" t="s">
        <v>598</v>
      </c>
      <c r="F673" s="184" t="s">
        <v>1941</v>
      </c>
      <c r="G673" s="185">
        <v>0</v>
      </c>
      <c r="H673" s="184" t="s">
        <v>598</v>
      </c>
      <c r="I673" s="184" t="s">
        <v>120</v>
      </c>
      <c r="J673" s="184" t="s">
        <v>84</v>
      </c>
      <c r="K673" s="184" t="s">
        <v>292</v>
      </c>
      <c r="L673" s="184" t="s">
        <v>598</v>
      </c>
      <c r="M673" s="184" t="s">
        <v>1926</v>
      </c>
      <c r="N673" s="184" t="s">
        <v>42</v>
      </c>
      <c r="O673" s="184" t="s">
        <v>598</v>
      </c>
      <c r="P673" s="186" t="s">
        <v>32</v>
      </c>
      <c r="Q673" s="184" t="s">
        <v>598</v>
      </c>
      <c r="R673" s="184" t="s">
        <v>598</v>
      </c>
      <c r="S673" s="127" t="s">
        <v>598</v>
      </c>
      <c r="T673" s="184" t="s">
        <v>598</v>
      </c>
      <c r="U673" s="184" t="s">
        <v>598</v>
      </c>
      <c r="V673" s="185">
        <v>0</v>
      </c>
      <c r="W673" s="184" t="s">
        <v>485</v>
      </c>
      <c r="X673" s="184" t="s">
        <v>598</v>
      </c>
      <c r="Y673" s="185">
        <v>0</v>
      </c>
      <c r="Z673" s="184" t="s">
        <v>598</v>
      </c>
      <c r="AA673" s="21" t="s">
        <v>610</v>
      </c>
      <c r="AB673" s="176" t="s">
        <v>489</v>
      </c>
      <c r="AC673" s="172">
        <v>42996.328472222223</v>
      </c>
      <c r="AD673" s="32" t="s">
        <v>552</v>
      </c>
    </row>
    <row r="674" spans="1:30">
      <c r="A674" s="184">
        <v>673</v>
      </c>
      <c r="B674" s="184" t="s">
        <v>1942</v>
      </c>
      <c r="C674" s="184" t="s">
        <v>598</v>
      </c>
      <c r="D674" s="127">
        <v>42905</v>
      </c>
      <c r="E674" s="127" t="s">
        <v>598</v>
      </c>
      <c r="F674" s="184" t="s">
        <v>1943</v>
      </c>
      <c r="G674" s="185">
        <v>0</v>
      </c>
      <c r="H674" s="184" t="s">
        <v>598</v>
      </c>
      <c r="I674" s="184" t="s">
        <v>48</v>
      </c>
      <c r="J674" s="184" t="s">
        <v>84</v>
      </c>
      <c r="K674" s="184" t="s">
        <v>598</v>
      </c>
      <c r="L674" s="184" t="s">
        <v>598</v>
      </c>
      <c r="M674" s="184" t="s">
        <v>1944</v>
      </c>
      <c r="N674" s="184" t="s">
        <v>42</v>
      </c>
      <c r="O674" s="184" t="s">
        <v>598</v>
      </c>
      <c r="P674" s="186" t="s">
        <v>53</v>
      </c>
      <c r="Q674" s="184" t="s">
        <v>598</v>
      </c>
      <c r="R674" s="184" t="s">
        <v>598</v>
      </c>
      <c r="S674" s="127" t="s">
        <v>598</v>
      </c>
      <c r="T674" s="184" t="s">
        <v>598</v>
      </c>
      <c r="U674" s="184" t="s">
        <v>598</v>
      </c>
      <c r="V674" s="185">
        <v>0</v>
      </c>
      <c r="W674" s="184" t="s">
        <v>485</v>
      </c>
      <c r="X674" s="184" t="s">
        <v>598</v>
      </c>
      <c r="Y674" s="185">
        <v>0</v>
      </c>
      <c r="Z674" s="184" t="s">
        <v>598</v>
      </c>
      <c r="AA674" s="21" t="s">
        <v>610</v>
      </c>
      <c r="AB674" s="176" t="s">
        <v>489</v>
      </c>
      <c r="AC674" s="172">
        <v>42996.328472222223</v>
      </c>
      <c r="AD674" s="32" t="s">
        <v>552</v>
      </c>
    </row>
    <row r="675" spans="1:30">
      <c r="A675" s="184">
        <v>674</v>
      </c>
      <c r="B675" s="184" t="s">
        <v>1945</v>
      </c>
      <c r="C675" s="184" t="s">
        <v>598</v>
      </c>
      <c r="D675" s="127">
        <v>42905</v>
      </c>
      <c r="E675" s="127" t="s">
        <v>598</v>
      </c>
      <c r="F675" s="184" t="s">
        <v>1946</v>
      </c>
      <c r="G675" s="185">
        <v>0</v>
      </c>
      <c r="H675" s="184" t="s">
        <v>598</v>
      </c>
      <c r="I675" s="184" t="s">
        <v>48</v>
      </c>
      <c r="J675" s="184" t="s">
        <v>84</v>
      </c>
      <c r="K675" s="184" t="s">
        <v>276</v>
      </c>
      <c r="L675" s="184" t="s">
        <v>598</v>
      </c>
      <c r="M675" s="184" t="s">
        <v>1941</v>
      </c>
      <c r="N675" s="184" t="s">
        <v>42</v>
      </c>
      <c r="O675" s="184" t="s">
        <v>598</v>
      </c>
      <c r="P675" s="186" t="s">
        <v>44</v>
      </c>
      <c r="Q675" s="184" t="s">
        <v>598</v>
      </c>
      <c r="R675" s="184" t="s">
        <v>598</v>
      </c>
      <c r="S675" s="127">
        <v>42910</v>
      </c>
      <c r="T675" s="184" t="s">
        <v>10</v>
      </c>
      <c r="U675" s="184" t="s">
        <v>598</v>
      </c>
      <c r="V675" s="185">
        <v>3000</v>
      </c>
      <c r="W675" s="184" t="s">
        <v>493</v>
      </c>
      <c r="X675" s="184" t="s">
        <v>598</v>
      </c>
      <c r="Y675" s="185">
        <v>0</v>
      </c>
      <c r="Z675" s="184" t="s">
        <v>598</v>
      </c>
      <c r="AA675" s="21" t="s">
        <v>610</v>
      </c>
      <c r="AB675" s="176" t="s">
        <v>489</v>
      </c>
      <c r="AC675" s="172">
        <v>42996.328472222223</v>
      </c>
      <c r="AD675" s="32" t="s">
        <v>552</v>
      </c>
    </row>
    <row r="676" spans="1:30">
      <c r="A676" s="184">
        <v>675</v>
      </c>
      <c r="B676" s="184" t="s">
        <v>1947</v>
      </c>
      <c r="C676" s="184" t="s">
        <v>598</v>
      </c>
      <c r="D676" s="127">
        <v>42903</v>
      </c>
      <c r="E676" s="127" t="s">
        <v>598</v>
      </c>
      <c r="F676" s="184" t="s">
        <v>1948</v>
      </c>
      <c r="G676" s="185">
        <v>0</v>
      </c>
      <c r="H676" s="184" t="s">
        <v>598</v>
      </c>
      <c r="I676" s="184" t="s">
        <v>598</v>
      </c>
      <c r="J676" s="184" t="s">
        <v>84</v>
      </c>
      <c r="K676" s="184" t="s">
        <v>276</v>
      </c>
      <c r="L676" s="184" t="s">
        <v>598</v>
      </c>
      <c r="M676" s="184" t="s">
        <v>1944</v>
      </c>
      <c r="N676" s="184" t="s">
        <v>42</v>
      </c>
      <c r="O676" s="184" t="s">
        <v>598</v>
      </c>
      <c r="P676" s="186" t="s">
        <v>67</v>
      </c>
      <c r="Q676" s="184" t="s">
        <v>598</v>
      </c>
      <c r="R676" s="184" t="s">
        <v>598</v>
      </c>
      <c r="S676" s="127" t="s">
        <v>598</v>
      </c>
      <c r="T676" s="184" t="s">
        <v>598</v>
      </c>
      <c r="U676" s="184" t="s">
        <v>598</v>
      </c>
      <c r="V676" s="185">
        <v>0</v>
      </c>
      <c r="W676" s="184" t="s">
        <v>485</v>
      </c>
      <c r="X676" s="184" t="s">
        <v>598</v>
      </c>
      <c r="Y676" s="185">
        <v>0</v>
      </c>
      <c r="Z676" s="184" t="s">
        <v>598</v>
      </c>
      <c r="AA676" s="21" t="s">
        <v>610</v>
      </c>
      <c r="AB676" s="176" t="s">
        <v>489</v>
      </c>
      <c r="AC676" s="172">
        <v>42996.328472222223</v>
      </c>
      <c r="AD676" s="32" t="s">
        <v>552</v>
      </c>
    </row>
    <row r="677" spans="1:30">
      <c r="A677" s="184">
        <v>676</v>
      </c>
      <c r="B677" s="184" t="s">
        <v>1949</v>
      </c>
      <c r="C677" s="184" t="s">
        <v>598</v>
      </c>
      <c r="D677" s="127">
        <v>42901</v>
      </c>
      <c r="E677" s="127" t="s">
        <v>598</v>
      </c>
      <c r="F677" s="184" t="s">
        <v>1950</v>
      </c>
      <c r="G677" s="185">
        <v>0</v>
      </c>
      <c r="H677" s="184" t="s">
        <v>598</v>
      </c>
      <c r="I677" s="184" t="s">
        <v>115</v>
      </c>
      <c r="J677" s="184" t="s">
        <v>84</v>
      </c>
      <c r="K677" s="184" t="s">
        <v>276</v>
      </c>
      <c r="L677" s="184" t="s">
        <v>598</v>
      </c>
      <c r="M677" s="184" t="s">
        <v>1951</v>
      </c>
      <c r="N677" s="184" t="s">
        <v>42</v>
      </c>
      <c r="O677" s="184" t="s">
        <v>42</v>
      </c>
      <c r="P677" s="186" t="s">
        <v>602</v>
      </c>
      <c r="Q677" s="184" t="s">
        <v>598</v>
      </c>
      <c r="R677" s="184" t="s">
        <v>598</v>
      </c>
      <c r="S677" s="127" t="s">
        <v>598</v>
      </c>
      <c r="T677" s="184" t="s">
        <v>598</v>
      </c>
      <c r="U677" s="184" t="s">
        <v>598</v>
      </c>
      <c r="V677" s="185">
        <v>0</v>
      </c>
      <c r="W677" s="184" t="s">
        <v>485</v>
      </c>
      <c r="X677" s="184" t="s">
        <v>598</v>
      </c>
      <c r="Y677" s="185">
        <v>0</v>
      </c>
      <c r="Z677" s="184" t="s">
        <v>598</v>
      </c>
      <c r="AA677" s="21" t="s">
        <v>610</v>
      </c>
      <c r="AB677" s="176" t="s">
        <v>489</v>
      </c>
      <c r="AC677" s="172">
        <v>42996.328472222223</v>
      </c>
      <c r="AD677" s="32" t="s">
        <v>552</v>
      </c>
    </row>
    <row r="678" spans="1:30">
      <c r="A678" s="184">
        <v>677</v>
      </c>
      <c r="B678" s="184" t="s">
        <v>1952</v>
      </c>
      <c r="C678" s="184" t="s">
        <v>598</v>
      </c>
      <c r="D678" s="127">
        <v>42901</v>
      </c>
      <c r="E678" s="127" t="s">
        <v>598</v>
      </c>
      <c r="F678" s="184" t="s">
        <v>1953</v>
      </c>
      <c r="G678" s="185">
        <v>0</v>
      </c>
      <c r="H678" s="184" t="s">
        <v>598</v>
      </c>
      <c r="I678" s="184" t="s">
        <v>120</v>
      </c>
      <c r="J678" s="184" t="s">
        <v>84</v>
      </c>
      <c r="K678" s="184" t="s">
        <v>192</v>
      </c>
      <c r="L678" s="184" t="s">
        <v>598</v>
      </c>
      <c r="M678" s="184" t="s">
        <v>1954</v>
      </c>
      <c r="N678" s="184" t="s">
        <v>42</v>
      </c>
      <c r="O678" s="184" t="s">
        <v>598</v>
      </c>
      <c r="P678" s="186" t="s">
        <v>603</v>
      </c>
      <c r="Q678" s="184" t="s">
        <v>598</v>
      </c>
      <c r="R678" s="184" t="s">
        <v>598</v>
      </c>
      <c r="S678" s="127" t="s">
        <v>598</v>
      </c>
      <c r="T678" s="184" t="s">
        <v>598</v>
      </c>
      <c r="U678" s="184" t="s">
        <v>598</v>
      </c>
      <c r="V678" s="185">
        <v>0</v>
      </c>
      <c r="W678" s="184" t="s">
        <v>485</v>
      </c>
      <c r="X678" s="184" t="s">
        <v>598</v>
      </c>
      <c r="Y678" s="185">
        <v>0</v>
      </c>
      <c r="Z678" s="184" t="s">
        <v>598</v>
      </c>
      <c r="AA678" s="21" t="s">
        <v>610</v>
      </c>
      <c r="AB678" s="176" t="s">
        <v>489</v>
      </c>
      <c r="AC678" s="172">
        <v>42996.328472222223</v>
      </c>
      <c r="AD678" s="32" t="s">
        <v>552</v>
      </c>
    </row>
    <row r="679" spans="1:30">
      <c r="A679" s="184">
        <v>678</v>
      </c>
      <c r="B679" s="184" t="s">
        <v>1955</v>
      </c>
      <c r="C679" s="184" t="s">
        <v>598</v>
      </c>
      <c r="D679" s="127">
        <v>42898</v>
      </c>
      <c r="E679" s="127" t="s">
        <v>598</v>
      </c>
      <c r="F679" s="184" t="s">
        <v>1956</v>
      </c>
      <c r="G679" s="185">
        <v>0</v>
      </c>
      <c r="H679" s="184" t="s">
        <v>598</v>
      </c>
      <c r="I679" s="184" t="s">
        <v>134</v>
      </c>
      <c r="J679" s="184" t="s">
        <v>84</v>
      </c>
      <c r="K679" s="184" t="s">
        <v>293</v>
      </c>
      <c r="L679" s="184" t="s">
        <v>598</v>
      </c>
      <c r="M679" s="184" t="s">
        <v>1957</v>
      </c>
      <c r="N679" s="184" t="s">
        <v>42</v>
      </c>
      <c r="O679" s="184" t="s">
        <v>42</v>
      </c>
      <c r="P679" s="186" t="s">
        <v>604</v>
      </c>
      <c r="Q679" s="184" t="s">
        <v>598</v>
      </c>
      <c r="R679" s="184" t="s">
        <v>598</v>
      </c>
      <c r="S679" s="127">
        <v>42898</v>
      </c>
      <c r="T679" s="184" t="s">
        <v>34</v>
      </c>
      <c r="U679" s="184" t="s">
        <v>598</v>
      </c>
      <c r="V679" s="185">
        <v>3000</v>
      </c>
      <c r="W679" s="184" t="s">
        <v>493</v>
      </c>
      <c r="X679" s="184" t="s">
        <v>598</v>
      </c>
      <c r="Y679" s="185">
        <v>0</v>
      </c>
      <c r="Z679" s="184" t="s">
        <v>598</v>
      </c>
      <c r="AA679" s="21" t="s">
        <v>610</v>
      </c>
      <c r="AB679" s="176" t="s">
        <v>489</v>
      </c>
      <c r="AC679" s="172">
        <v>42996.328472222223</v>
      </c>
      <c r="AD679" s="32" t="s">
        <v>552</v>
      </c>
    </row>
    <row r="680" spans="1:30">
      <c r="A680" s="184">
        <v>679</v>
      </c>
      <c r="B680" s="184" t="s">
        <v>1958</v>
      </c>
      <c r="C680" s="184" t="s">
        <v>598</v>
      </c>
      <c r="D680" s="127">
        <v>42898</v>
      </c>
      <c r="E680" s="127" t="s">
        <v>598</v>
      </c>
      <c r="F680" s="184" t="s">
        <v>1959</v>
      </c>
      <c r="G680" s="185">
        <v>0</v>
      </c>
      <c r="H680" s="184" t="s">
        <v>598</v>
      </c>
      <c r="I680" s="184" t="s">
        <v>134</v>
      </c>
      <c r="J680" s="184" t="s">
        <v>84</v>
      </c>
      <c r="K680" s="184" t="s">
        <v>293</v>
      </c>
      <c r="L680" s="184" t="s">
        <v>598</v>
      </c>
      <c r="M680" s="184" t="s">
        <v>1957</v>
      </c>
      <c r="N680" s="184" t="s">
        <v>42</v>
      </c>
      <c r="O680" s="184" t="s">
        <v>51</v>
      </c>
      <c r="P680" s="186" t="s">
        <v>605</v>
      </c>
      <c r="Q680" s="184" t="s">
        <v>598</v>
      </c>
      <c r="R680" s="184" t="s">
        <v>598</v>
      </c>
      <c r="S680" s="127">
        <v>42903</v>
      </c>
      <c r="T680" s="184" t="s">
        <v>10</v>
      </c>
      <c r="U680" s="184" t="s">
        <v>598</v>
      </c>
      <c r="V680" s="185">
        <v>3000</v>
      </c>
      <c r="W680" s="184" t="s">
        <v>493</v>
      </c>
      <c r="X680" s="184" t="s">
        <v>598</v>
      </c>
      <c r="Y680" s="185">
        <v>0</v>
      </c>
      <c r="Z680" s="184" t="s">
        <v>598</v>
      </c>
      <c r="AA680" s="21" t="s">
        <v>610</v>
      </c>
      <c r="AB680" s="176" t="s">
        <v>489</v>
      </c>
      <c r="AC680" s="172">
        <v>42996.328472222223</v>
      </c>
      <c r="AD680" s="32" t="s">
        <v>552</v>
      </c>
    </row>
    <row r="681" spans="1:30">
      <c r="A681" s="184">
        <v>680</v>
      </c>
      <c r="B681" s="184" t="s">
        <v>1960</v>
      </c>
      <c r="C681" s="184" t="s">
        <v>598</v>
      </c>
      <c r="D681" s="127">
        <v>42898</v>
      </c>
      <c r="E681" s="127" t="s">
        <v>598</v>
      </c>
      <c r="F681" s="184" t="s">
        <v>1961</v>
      </c>
      <c r="G681" s="185">
        <v>0</v>
      </c>
      <c r="H681" s="184" t="s">
        <v>598</v>
      </c>
      <c r="I681" s="184" t="s">
        <v>115</v>
      </c>
      <c r="J681" s="184" t="s">
        <v>84</v>
      </c>
      <c r="K681" s="184" t="s">
        <v>294</v>
      </c>
      <c r="L681" s="184" t="s">
        <v>598</v>
      </c>
      <c r="M681" s="184" t="s">
        <v>1962</v>
      </c>
      <c r="N681" s="184" t="s">
        <v>42</v>
      </c>
      <c r="O681" s="184" t="s">
        <v>598</v>
      </c>
      <c r="P681" s="186" t="s">
        <v>606</v>
      </c>
      <c r="Q681" s="184" t="s">
        <v>598</v>
      </c>
      <c r="R681" s="184" t="s">
        <v>598</v>
      </c>
      <c r="S681" s="127" t="s">
        <v>598</v>
      </c>
      <c r="T681" s="184" t="s">
        <v>598</v>
      </c>
      <c r="U681" s="184" t="s">
        <v>598</v>
      </c>
      <c r="V681" s="185">
        <v>0</v>
      </c>
      <c r="W681" s="184" t="s">
        <v>485</v>
      </c>
      <c r="X681" s="184" t="s">
        <v>598</v>
      </c>
      <c r="Y681" s="185">
        <v>0</v>
      </c>
      <c r="Z681" s="184" t="s">
        <v>598</v>
      </c>
      <c r="AA681" s="21" t="s">
        <v>610</v>
      </c>
      <c r="AB681" s="176" t="s">
        <v>489</v>
      </c>
      <c r="AC681" s="172">
        <v>42996.328472222223</v>
      </c>
      <c r="AD681" s="32" t="s">
        <v>552</v>
      </c>
    </row>
    <row r="682" spans="1:30">
      <c r="A682" s="184">
        <v>681</v>
      </c>
      <c r="B682" s="184" t="s">
        <v>1963</v>
      </c>
      <c r="C682" s="184" t="s">
        <v>598</v>
      </c>
      <c r="D682" s="127">
        <v>42898</v>
      </c>
      <c r="E682" s="127" t="s">
        <v>598</v>
      </c>
      <c r="F682" s="184" t="s">
        <v>1964</v>
      </c>
      <c r="G682" s="185">
        <v>0</v>
      </c>
      <c r="H682" s="184" t="s">
        <v>598</v>
      </c>
      <c r="I682" s="184" t="s">
        <v>122</v>
      </c>
      <c r="J682" s="184" t="s">
        <v>84</v>
      </c>
      <c r="K682" s="184" t="s">
        <v>276</v>
      </c>
      <c r="L682" s="184" t="s">
        <v>598</v>
      </c>
      <c r="M682" s="184" t="s">
        <v>1965</v>
      </c>
      <c r="N682" s="184" t="s">
        <v>42</v>
      </c>
      <c r="O682" s="184" t="s">
        <v>98</v>
      </c>
      <c r="P682" s="186" t="s">
        <v>607</v>
      </c>
      <c r="Q682" s="184" t="s">
        <v>598</v>
      </c>
      <c r="R682" s="184" t="s">
        <v>598</v>
      </c>
      <c r="S682" s="127">
        <v>42902</v>
      </c>
      <c r="T682" s="184" t="s">
        <v>10</v>
      </c>
      <c r="U682" s="184" t="s">
        <v>598</v>
      </c>
      <c r="V682" s="185">
        <v>3000</v>
      </c>
      <c r="W682" s="184" t="s">
        <v>493</v>
      </c>
      <c r="X682" s="184" t="s">
        <v>598</v>
      </c>
      <c r="Y682" s="185">
        <v>0</v>
      </c>
      <c r="Z682" s="184" t="s">
        <v>598</v>
      </c>
      <c r="AA682" s="21" t="s">
        <v>610</v>
      </c>
      <c r="AB682" s="176" t="s">
        <v>489</v>
      </c>
      <c r="AC682" s="172">
        <v>42996.328472222223</v>
      </c>
      <c r="AD682" s="32" t="s">
        <v>552</v>
      </c>
    </row>
    <row r="683" spans="1:30">
      <c r="A683" s="184">
        <v>682</v>
      </c>
      <c r="B683" s="184" t="s">
        <v>1966</v>
      </c>
      <c r="C683" s="184" t="s">
        <v>598</v>
      </c>
      <c r="D683" s="127">
        <v>42896</v>
      </c>
      <c r="E683" s="127" t="s">
        <v>598</v>
      </c>
      <c r="F683" s="184" t="s">
        <v>1967</v>
      </c>
      <c r="G683" s="185">
        <v>0</v>
      </c>
      <c r="H683" s="184" t="s">
        <v>598</v>
      </c>
      <c r="I683" s="184" t="s">
        <v>134</v>
      </c>
      <c r="J683" s="184" t="s">
        <v>84</v>
      </c>
      <c r="K683" s="184" t="s">
        <v>281</v>
      </c>
      <c r="L683" s="184" t="s">
        <v>598</v>
      </c>
      <c r="M683" s="184" t="s">
        <v>598</v>
      </c>
      <c r="N683" s="184" t="s">
        <v>42</v>
      </c>
      <c r="O683" s="184" t="s">
        <v>598</v>
      </c>
      <c r="P683" s="186" t="s">
        <v>73</v>
      </c>
      <c r="Q683" s="184" t="s">
        <v>598</v>
      </c>
      <c r="R683" s="184" t="s">
        <v>598</v>
      </c>
      <c r="S683" s="127">
        <v>42896</v>
      </c>
      <c r="T683" s="184" t="s">
        <v>34</v>
      </c>
      <c r="U683" s="184" t="s">
        <v>598</v>
      </c>
      <c r="V683" s="185">
        <v>6000</v>
      </c>
      <c r="W683" s="184" t="s">
        <v>493</v>
      </c>
      <c r="X683" s="184" t="s">
        <v>598</v>
      </c>
      <c r="Y683" s="185">
        <v>0</v>
      </c>
      <c r="Z683" s="184" t="s">
        <v>598</v>
      </c>
      <c r="AA683" s="21" t="s">
        <v>610</v>
      </c>
      <c r="AB683" s="176" t="s">
        <v>489</v>
      </c>
      <c r="AC683" s="172">
        <v>42996.328472222223</v>
      </c>
      <c r="AD683" s="32" t="s">
        <v>552</v>
      </c>
    </row>
    <row r="684" spans="1:30">
      <c r="A684" s="184">
        <v>683</v>
      </c>
      <c r="B684" s="184" t="s">
        <v>1968</v>
      </c>
      <c r="C684" s="184" t="s">
        <v>598</v>
      </c>
      <c r="D684" s="127">
        <v>42896</v>
      </c>
      <c r="E684" s="127" t="s">
        <v>598</v>
      </c>
      <c r="F684" s="184" t="s">
        <v>1969</v>
      </c>
      <c r="G684" s="185">
        <v>0</v>
      </c>
      <c r="H684" s="184" t="s">
        <v>598</v>
      </c>
      <c r="I684" s="184" t="s">
        <v>120</v>
      </c>
      <c r="J684" s="184" t="s">
        <v>84</v>
      </c>
      <c r="K684" s="184" t="s">
        <v>192</v>
      </c>
      <c r="L684" s="184" t="s">
        <v>598</v>
      </c>
      <c r="M684" s="184" t="s">
        <v>1954</v>
      </c>
      <c r="N684" s="184" t="s">
        <v>42</v>
      </c>
      <c r="O684" s="184" t="s">
        <v>598</v>
      </c>
      <c r="P684" s="186" t="s">
        <v>601</v>
      </c>
      <c r="Q684" s="184" t="s">
        <v>598</v>
      </c>
      <c r="R684" s="184" t="s">
        <v>598</v>
      </c>
      <c r="S684" s="127" t="s">
        <v>598</v>
      </c>
      <c r="T684" s="184" t="s">
        <v>598</v>
      </c>
      <c r="U684" s="184" t="s">
        <v>598</v>
      </c>
      <c r="V684" s="185">
        <v>0</v>
      </c>
      <c r="W684" s="184" t="s">
        <v>485</v>
      </c>
      <c r="X684" s="184" t="s">
        <v>598</v>
      </c>
      <c r="Y684" s="185">
        <v>0</v>
      </c>
      <c r="Z684" s="184" t="s">
        <v>598</v>
      </c>
      <c r="AA684" s="21" t="s">
        <v>610</v>
      </c>
      <c r="AB684" s="176" t="s">
        <v>489</v>
      </c>
      <c r="AC684" s="172">
        <v>42996.328472222223</v>
      </c>
      <c r="AD684" s="32" t="s">
        <v>552</v>
      </c>
    </row>
    <row r="685" spans="1:30">
      <c r="A685" s="184">
        <v>684</v>
      </c>
      <c r="B685" s="184" t="s">
        <v>1970</v>
      </c>
      <c r="C685" s="184" t="s">
        <v>598</v>
      </c>
      <c r="D685" s="127">
        <v>42896</v>
      </c>
      <c r="E685" s="127" t="s">
        <v>598</v>
      </c>
      <c r="F685" s="184" t="s">
        <v>1971</v>
      </c>
      <c r="G685" s="185">
        <v>0</v>
      </c>
      <c r="H685" s="184" t="s">
        <v>598</v>
      </c>
      <c r="I685" s="184" t="s">
        <v>134</v>
      </c>
      <c r="J685" s="184" t="s">
        <v>84</v>
      </c>
      <c r="K685" s="184" t="s">
        <v>293</v>
      </c>
      <c r="L685" s="184" t="s">
        <v>598</v>
      </c>
      <c r="M685" s="184" t="s">
        <v>1954</v>
      </c>
      <c r="N685" s="184" t="s">
        <v>42</v>
      </c>
      <c r="O685" s="184" t="s">
        <v>598</v>
      </c>
      <c r="P685" s="186" t="s">
        <v>32</v>
      </c>
      <c r="Q685" s="184" t="s">
        <v>598</v>
      </c>
      <c r="R685" s="184" t="s">
        <v>598</v>
      </c>
      <c r="S685" s="127" t="s">
        <v>598</v>
      </c>
      <c r="T685" s="184" t="s">
        <v>598</v>
      </c>
      <c r="U685" s="184" t="s">
        <v>598</v>
      </c>
      <c r="V685" s="185">
        <v>0</v>
      </c>
      <c r="W685" s="184" t="s">
        <v>485</v>
      </c>
      <c r="X685" s="184" t="s">
        <v>598</v>
      </c>
      <c r="Y685" s="185">
        <v>0</v>
      </c>
      <c r="Z685" s="184" t="s">
        <v>598</v>
      </c>
      <c r="AA685" s="21" t="s">
        <v>610</v>
      </c>
      <c r="AB685" s="176" t="s">
        <v>489</v>
      </c>
      <c r="AC685" s="172">
        <v>42996.328472222223</v>
      </c>
      <c r="AD685" s="32" t="s">
        <v>552</v>
      </c>
    </row>
    <row r="686" spans="1:30">
      <c r="A686" s="184">
        <v>685</v>
      </c>
      <c r="B686" s="184" t="s">
        <v>1972</v>
      </c>
      <c r="C686" s="184" t="s">
        <v>598</v>
      </c>
      <c r="D686" s="127">
        <v>42895</v>
      </c>
      <c r="E686" s="127" t="s">
        <v>598</v>
      </c>
      <c r="F686" s="184" t="s">
        <v>1973</v>
      </c>
      <c r="G686" s="185">
        <v>0</v>
      </c>
      <c r="H686" s="184" t="s">
        <v>598</v>
      </c>
      <c r="I686" s="184" t="s">
        <v>120</v>
      </c>
      <c r="J686" s="184" t="s">
        <v>84</v>
      </c>
      <c r="K686" s="184" t="s">
        <v>295</v>
      </c>
      <c r="L686" s="184" t="s">
        <v>598</v>
      </c>
      <c r="M686" s="184" t="s">
        <v>72</v>
      </c>
      <c r="N686" s="184" t="s">
        <v>42</v>
      </c>
      <c r="O686" s="184" t="s">
        <v>598</v>
      </c>
      <c r="P686" s="186" t="s">
        <v>53</v>
      </c>
      <c r="Q686" s="184" t="s">
        <v>598</v>
      </c>
      <c r="R686" s="184" t="s">
        <v>598</v>
      </c>
      <c r="S686" s="127">
        <v>42908</v>
      </c>
      <c r="T686" s="184" t="s">
        <v>10</v>
      </c>
      <c r="U686" s="184" t="s">
        <v>598</v>
      </c>
      <c r="V686" s="185">
        <v>3000</v>
      </c>
      <c r="W686" s="184" t="s">
        <v>493</v>
      </c>
      <c r="X686" s="184" t="s">
        <v>598</v>
      </c>
      <c r="Y686" s="185">
        <v>0</v>
      </c>
      <c r="Z686" s="184" t="s">
        <v>598</v>
      </c>
      <c r="AA686" s="21" t="s">
        <v>610</v>
      </c>
      <c r="AB686" s="176" t="s">
        <v>489</v>
      </c>
      <c r="AC686" s="172">
        <v>42996.328472222223</v>
      </c>
      <c r="AD686" s="32" t="s">
        <v>552</v>
      </c>
    </row>
    <row r="687" spans="1:30">
      <c r="A687" s="184">
        <v>686</v>
      </c>
      <c r="B687" s="184" t="s">
        <v>1974</v>
      </c>
      <c r="C687" s="184" t="s">
        <v>598</v>
      </c>
      <c r="D687" s="127">
        <v>42895</v>
      </c>
      <c r="E687" s="127" t="s">
        <v>598</v>
      </c>
      <c r="F687" s="184" t="s">
        <v>1975</v>
      </c>
      <c r="G687" s="185">
        <v>0</v>
      </c>
      <c r="H687" s="184" t="s">
        <v>598</v>
      </c>
      <c r="I687" s="184" t="s">
        <v>48</v>
      </c>
      <c r="J687" s="184" t="s">
        <v>84</v>
      </c>
      <c r="K687" s="184" t="s">
        <v>291</v>
      </c>
      <c r="L687" s="184" t="s">
        <v>598</v>
      </c>
      <c r="M687" s="184" t="s">
        <v>1911</v>
      </c>
      <c r="N687" s="184" t="s">
        <v>42</v>
      </c>
      <c r="O687" s="184" t="s">
        <v>598</v>
      </c>
      <c r="P687" s="186" t="s">
        <v>44</v>
      </c>
      <c r="Q687" s="184" t="s">
        <v>598</v>
      </c>
      <c r="R687" s="184" t="s">
        <v>598</v>
      </c>
      <c r="S687" s="127" t="s">
        <v>598</v>
      </c>
      <c r="T687" s="184" t="s">
        <v>598</v>
      </c>
      <c r="U687" s="184" t="s">
        <v>598</v>
      </c>
      <c r="V687" s="185">
        <v>0</v>
      </c>
      <c r="W687" s="184" t="s">
        <v>485</v>
      </c>
      <c r="X687" s="184" t="s">
        <v>598</v>
      </c>
      <c r="Y687" s="185">
        <v>0</v>
      </c>
      <c r="Z687" s="184" t="s">
        <v>598</v>
      </c>
      <c r="AA687" s="21" t="s">
        <v>610</v>
      </c>
      <c r="AB687" s="176" t="s">
        <v>489</v>
      </c>
      <c r="AC687" s="172">
        <v>42996.328472222223</v>
      </c>
      <c r="AD687" s="32" t="s">
        <v>552</v>
      </c>
    </row>
    <row r="688" spans="1:30">
      <c r="A688" s="184">
        <v>687</v>
      </c>
      <c r="B688" s="184" t="s">
        <v>1976</v>
      </c>
      <c r="C688" s="184" t="s">
        <v>598</v>
      </c>
      <c r="D688" s="127">
        <v>42894</v>
      </c>
      <c r="E688" s="127" t="s">
        <v>598</v>
      </c>
      <c r="F688" s="184" t="s">
        <v>1977</v>
      </c>
      <c r="G688" s="185">
        <v>4647000</v>
      </c>
      <c r="H688" s="184" t="s">
        <v>598</v>
      </c>
      <c r="I688" s="184" t="s">
        <v>134</v>
      </c>
      <c r="J688" s="184" t="s">
        <v>84</v>
      </c>
      <c r="K688" s="184" t="s">
        <v>281</v>
      </c>
      <c r="L688" s="184" t="s">
        <v>598</v>
      </c>
      <c r="M688" s="184" t="s">
        <v>1978</v>
      </c>
      <c r="N688" s="184" t="s">
        <v>42</v>
      </c>
      <c r="O688" s="184" t="s">
        <v>42</v>
      </c>
      <c r="P688" s="186" t="s">
        <v>67</v>
      </c>
      <c r="Q688" s="184" t="s">
        <v>598</v>
      </c>
      <c r="R688" s="184" t="s">
        <v>598</v>
      </c>
      <c r="S688" s="127" t="s">
        <v>598</v>
      </c>
      <c r="T688" s="184" t="s">
        <v>598</v>
      </c>
      <c r="U688" s="184" t="s">
        <v>598</v>
      </c>
      <c r="V688" s="185">
        <v>0</v>
      </c>
      <c r="W688" s="184" t="s">
        <v>485</v>
      </c>
      <c r="X688" s="184" t="s">
        <v>598</v>
      </c>
      <c r="Y688" s="185">
        <v>0</v>
      </c>
      <c r="Z688" s="184" t="s">
        <v>598</v>
      </c>
      <c r="AA688" s="21" t="s">
        <v>610</v>
      </c>
      <c r="AB688" s="176" t="s">
        <v>489</v>
      </c>
      <c r="AC688" s="172">
        <v>42996.328472222223</v>
      </c>
      <c r="AD688" s="32" t="s">
        <v>552</v>
      </c>
    </row>
    <row r="689" spans="1:30">
      <c r="A689" s="184">
        <v>688</v>
      </c>
      <c r="B689" s="184" t="s">
        <v>1979</v>
      </c>
      <c r="C689" s="184" t="s">
        <v>598</v>
      </c>
      <c r="D689" s="127">
        <v>42894</v>
      </c>
      <c r="E689" s="127" t="s">
        <v>598</v>
      </c>
      <c r="F689" s="184" t="s">
        <v>1980</v>
      </c>
      <c r="G689" s="185">
        <v>0</v>
      </c>
      <c r="H689" s="184" t="s">
        <v>598</v>
      </c>
      <c r="I689" s="184" t="s">
        <v>134</v>
      </c>
      <c r="J689" s="184" t="s">
        <v>84</v>
      </c>
      <c r="K689" s="184" t="s">
        <v>598</v>
      </c>
      <c r="L689" s="184" t="s">
        <v>598</v>
      </c>
      <c r="M689" s="184" t="s">
        <v>598</v>
      </c>
      <c r="N689" s="184" t="s">
        <v>42</v>
      </c>
      <c r="O689" s="184" t="s">
        <v>598</v>
      </c>
      <c r="P689" s="186" t="s">
        <v>602</v>
      </c>
      <c r="Q689" s="184" t="s">
        <v>598</v>
      </c>
      <c r="R689" s="184" t="s">
        <v>598</v>
      </c>
      <c r="S689" s="127" t="s">
        <v>598</v>
      </c>
      <c r="T689" s="184" t="s">
        <v>598</v>
      </c>
      <c r="U689" s="184" t="s">
        <v>598</v>
      </c>
      <c r="V689" s="185">
        <v>0</v>
      </c>
      <c r="W689" s="184" t="s">
        <v>55</v>
      </c>
      <c r="X689" s="184" t="s">
        <v>598</v>
      </c>
      <c r="Y689" s="185">
        <v>0</v>
      </c>
      <c r="Z689" s="184" t="s">
        <v>598</v>
      </c>
      <c r="AA689" s="21" t="s">
        <v>822</v>
      </c>
      <c r="AB689" s="176" t="s">
        <v>489</v>
      </c>
      <c r="AC689" s="172">
        <v>42996.328472222223</v>
      </c>
      <c r="AD689" s="32" t="s">
        <v>552</v>
      </c>
    </row>
    <row r="690" spans="1:30">
      <c r="A690" s="184">
        <v>689</v>
      </c>
      <c r="B690" s="184" t="s">
        <v>1981</v>
      </c>
      <c r="C690" s="184" t="s">
        <v>598</v>
      </c>
      <c r="D690" s="127">
        <v>42894</v>
      </c>
      <c r="E690" s="127" t="s">
        <v>598</v>
      </c>
      <c r="F690" s="184" t="s">
        <v>1982</v>
      </c>
      <c r="G690" s="185">
        <v>0</v>
      </c>
      <c r="H690" s="184" t="s">
        <v>598</v>
      </c>
      <c r="I690" s="184" t="s">
        <v>134</v>
      </c>
      <c r="J690" s="184" t="s">
        <v>84</v>
      </c>
      <c r="K690" s="184" t="s">
        <v>598</v>
      </c>
      <c r="L690" s="184" t="s">
        <v>598</v>
      </c>
      <c r="M690" s="184" t="s">
        <v>598</v>
      </c>
      <c r="N690" s="184" t="s">
        <v>42</v>
      </c>
      <c r="O690" s="184" t="s">
        <v>598</v>
      </c>
      <c r="P690" s="186" t="s">
        <v>603</v>
      </c>
      <c r="Q690" s="184" t="s">
        <v>598</v>
      </c>
      <c r="R690" s="184" t="s">
        <v>598</v>
      </c>
      <c r="S690" s="127" t="s">
        <v>598</v>
      </c>
      <c r="T690" s="184" t="s">
        <v>598</v>
      </c>
      <c r="U690" s="184" t="s">
        <v>598</v>
      </c>
      <c r="V690" s="185">
        <v>0</v>
      </c>
      <c r="W690" s="184" t="s">
        <v>485</v>
      </c>
      <c r="X690" s="184" t="s">
        <v>598</v>
      </c>
      <c r="Y690" s="185">
        <v>0</v>
      </c>
      <c r="Z690" s="184" t="s">
        <v>492</v>
      </c>
      <c r="AA690" s="21" t="s">
        <v>610</v>
      </c>
      <c r="AB690" s="176" t="s">
        <v>489</v>
      </c>
      <c r="AC690" s="172">
        <v>42996.328472222223</v>
      </c>
      <c r="AD690" s="32" t="s">
        <v>552</v>
      </c>
    </row>
    <row r="691" spans="1:30">
      <c r="A691" s="184">
        <v>690</v>
      </c>
      <c r="B691" s="184" t="s">
        <v>1983</v>
      </c>
      <c r="C691" s="184" t="s">
        <v>598</v>
      </c>
      <c r="D691" s="127">
        <v>42894</v>
      </c>
      <c r="E691" s="127" t="s">
        <v>598</v>
      </c>
      <c r="F691" s="184" t="s">
        <v>1984</v>
      </c>
      <c r="G691" s="185">
        <v>0</v>
      </c>
      <c r="H691" s="184" t="s">
        <v>598</v>
      </c>
      <c r="I691" s="184" t="s">
        <v>134</v>
      </c>
      <c r="J691" s="184" t="s">
        <v>84</v>
      </c>
      <c r="K691" s="184" t="s">
        <v>281</v>
      </c>
      <c r="L691" s="184" t="s">
        <v>598</v>
      </c>
      <c r="M691" s="184" t="s">
        <v>1978</v>
      </c>
      <c r="N691" s="184" t="s">
        <v>42</v>
      </c>
      <c r="O691" s="184" t="s">
        <v>598</v>
      </c>
      <c r="P691" s="186" t="s">
        <v>604</v>
      </c>
      <c r="Q691" s="184" t="s">
        <v>598</v>
      </c>
      <c r="R691" s="184" t="s">
        <v>598</v>
      </c>
      <c r="S691" s="127" t="s">
        <v>598</v>
      </c>
      <c r="T691" s="184" t="s">
        <v>598</v>
      </c>
      <c r="U691" s="184" t="s">
        <v>598</v>
      </c>
      <c r="V691" s="185">
        <v>0</v>
      </c>
      <c r="W691" s="184" t="s">
        <v>485</v>
      </c>
      <c r="X691" s="184" t="s">
        <v>598</v>
      </c>
      <c r="Y691" s="185">
        <v>0</v>
      </c>
      <c r="Z691" s="184" t="s">
        <v>598</v>
      </c>
      <c r="AA691" s="21" t="s">
        <v>610</v>
      </c>
      <c r="AB691" s="176" t="s">
        <v>489</v>
      </c>
      <c r="AC691" s="172">
        <v>42996.328472222223</v>
      </c>
      <c r="AD691" s="32" t="s">
        <v>552</v>
      </c>
    </row>
    <row r="692" spans="1:30">
      <c r="A692" s="184">
        <v>691</v>
      </c>
      <c r="B692" s="184" t="s">
        <v>1985</v>
      </c>
      <c r="C692" s="184" t="s">
        <v>598</v>
      </c>
      <c r="D692" s="127">
        <v>42894</v>
      </c>
      <c r="E692" s="127" t="s">
        <v>598</v>
      </c>
      <c r="F692" s="184" t="s">
        <v>1986</v>
      </c>
      <c r="G692" s="185">
        <v>0</v>
      </c>
      <c r="H692" s="184" t="s">
        <v>598</v>
      </c>
      <c r="I692" s="184" t="s">
        <v>134</v>
      </c>
      <c r="J692" s="184" t="s">
        <v>84</v>
      </c>
      <c r="K692" s="184" t="s">
        <v>281</v>
      </c>
      <c r="L692" s="184" t="s">
        <v>598</v>
      </c>
      <c r="M692" s="184" t="s">
        <v>1978</v>
      </c>
      <c r="N692" s="184" t="s">
        <v>42</v>
      </c>
      <c r="O692" s="184" t="s">
        <v>598</v>
      </c>
      <c r="P692" s="186" t="s">
        <v>605</v>
      </c>
      <c r="Q692" s="184" t="s">
        <v>598</v>
      </c>
      <c r="R692" s="184" t="s">
        <v>598</v>
      </c>
      <c r="S692" s="127" t="s">
        <v>598</v>
      </c>
      <c r="T692" s="184" t="s">
        <v>598</v>
      </c>
      <c r="U692" s="184" t="s">
        <v>598</v>
      </c>
      <c r="V692" s="185">
        <v>0</v>
      </c>
      <c r="W692" s="184" t="s">
        <v>485</v>
      </c>
      <c r="X692" s="184" t="s">
        <v>598</v>
      </c>
      <c r="Y692" s="185">
        <v>0</v>
      </c>
      <c r="Z692" s="184" t="s">
        <v>598</v>
      </c>
      <c r="AA692" s="21" t="s">
        <v>610</v>
      </c>
      <c r="AB692" s="176" t="s">
        <v>489</v>
      </c>
      <c r="AC692" s="172">
        <v>42996.328472222223</v>
      </c>
      <c r="AD692" s="32" t="s">
        <v>552</v>
      </c>
    </row>
    <row r="693" spans="1:30">
      <c r="A693" s="184">
        <v>692</v>
      </c>
      <c r="B693" s="184" t="s">
        <v>1987</v>
      </c>
      <c r="C693" s="184" t="s">
        <v>598</v>
      </c>
      <c r="D693" s="127">
        <v>42893</v>
      </c>
      <c r="E693" s="127" t="s">
        <v>598</v>
      </c>
      <c r="F693" s="184" t="s">
        <v>1988</v>
      </c>
      <c r="G693" s="185">
        <v>4955000</v>
      </c>
      <c r="H693" s="184" t="s">
        <v>598</v>
      </c>
      <c r="I693" s="184" t="s">
        <v>134</v>
      </c>
      <c r="J693" s="184" t="s">
        <v>84</v>
      </c>
      <c r="K693" s="184" t="s">
        <v>293</v>
      </c>
      <c r="L693" s="184" t="s">
        <v>598</v>
      </c>
      <c r="M693" s="184" t="s">
        <v>598</v>
      </c>
      <c r="N693" s="184" t="s">
        <v>42</v>
      </c>
      <c r="O693" s="184" t="s">
        <v>42</v>
      </c>
      <c r="P693" s="186" t="s">
        <v>606</v>
      </c>
      <c r="Q693" s="184" t="s">
        <v>598</v>
      </c>
      <c r="R693" s="184" t="s">
        <v>598</v>
      </c>
      <c r="S693" s="127">
        <v>42898</v>
      </c>
      <c r="T693" s="184" t="s">
        <v>10</v>
      </c>
      <c r="U693" s="184" t="s">
        <v>598</v>
      </c>
      <c r="V693" s="185">
        <v>4000</v>
      </c>
      <c r="W693" s="184" t="s">
        <v>493</v>
      </c>
      <c r="X693" s="184" t="s">
        <v>598</v>
      </c>
      <c r="Y693" s="185">
        <v>0</v>
      </c>
      <c r="Z693" s="184" t="s">
        <v>598</v>
      </c>
      <c r="AA693" s="21" t="s">
        <v>610</v>
      </c>
      <c r="AB693" s="176" t="s">
        <v>489</v>
      </c>
      <c r="AC693" s="172">
        <v>42996.328472222223</v>
      </c>
      <c r="AD693" s="32" t="s">
        <v>552</v>
      </c>
    </row>
    <row r="694" spans="1:30">
      <c r="A694" s="184">
        <v>693</v>
      </c>
      <c r="B694" s="184" t="s">
        <v>1989</v>
      </c>
      <c r="C694" s="184" t="s">
        <v>598</v>
      </c>
      <c r="D694" s="127">
        <v>42893</v>
      </c>
      <c r="E694" s="127" t="s">
        <v>598</v>
      </c>
      <c r="F694" s="184" t="s">
        <v>1990</v>
      </c>
      <c r="G694" s="185">
        <v>2950000</v>
      </c>
      <c r="H694" s="184" t="s">
        <v>598</v>
      </c>
      <c r="I694" s="184" t="s">
        <v>134</v>
      </c>
      <c r="J694" s="184" t="s">
        <v>84</v>
      </c>
      <c r="K694" s="184" t="s">
        <v>293</v>
      </c>
      <c r="L694" s="184" t="s">
        <v>598</v>
      </c>
      <c r="M694" s="184" t="s">
        <v>598</v>
      </c>
      <c r="N694" s="184" t="s">
        <v>42</v>
      </c>
      <c r="O694" s="184" t="s">
        <v>42</v>
      </c>
      <c r="P694" s="186" t="s">
        <v>607</v>
      </c>
      <c r="Q694" s="184" t="s">
        <v>598</v>
      </c>
      <c r="R694" s="184" t="s">
        <v>598</v>
      </c>
      <c r="S694" s="127">
        <v>42895</v>
      </c>
      <c r="T694" s="184" t="s">
        <v>10</v>
      </c>
      <c r="U694" s="184" t="s">
        <v>598</v>
      </c>
      <c r="V694" s="185">
        <v>3000</v>
      </c>
      <c r="W694" s="184" t="s">
        <v>493</v>
      </c>
      <c r="X694" s="184" t="s">
        <v>598</v>
      </c>
      <c r="Y694" s="185">
        <v>0</v>
      </c>
      <c r="Z694" s="184" t="s">
        <v>598</v>
      </c>
      <c r="AA694" s="21" t="s">
        <v>610</v>
      </c>
      <c r="AB694" s="176" t="s">
        <v>489</v>
      </c>
      <c r="AC694" s="172">
        <v>42996.328472222223</v>
      </c>
      <c r="AD694" s="32" t="s">
        <v>552</v>
      </c>
    </row>
    <row r="695" spans="1:30">
      <c r="A695" s="184">
        <v>694</v>
      </c>
      <c r="B695" s="184" t="s">
        <v>1991</v>
      </c>
      <c r="C695" s="184" t="s">
        <v>598</v>
      </c>
      <c r="D695" s="127">
        <v>42893</v>
      </c>
      <c r="E695" s="127" t="s">
        <v>598</v>
      </c>
      <c r="F695" s="184" t="s">
        <v>1992</v>
      </c>
      <c r="G695" s="185">
        <v>0</v>
      </c>
      <c r="H695" s="184" t="s">
        <v>598</v>
      </c>
      <c r="I695" s="184" t="s">
        <v>48</v>
      </c>
      <c r="J695" s="184" t="s">
        <v>84</v>
      </c>
      <c r="K695" s="184" t="s">
        <v>296</v>
      </c>
      <c r="L695" s="184" t="s">
        <v>598</v>
      </c>
      <c r="M695" s="184" t="s">
        <v>598</v>
      </c>
      <c r="N695" s="184" t="s">
        <v>42</v>
      </c>
      <c r="O695" s="184" t="s">
        <v>598</v>
      </c>
      <c r="P695" s="186" t="s">
        <v>73</v>
      </c>
      <c r="Q695" s="184" t="s">
        <v>598</v>
      </c>
      <c r="R695" s="184" t="s">
        <v>598</v>
      </c>
      <c r="S695" s="127" t="s">
        <v>598</v>
      </c>
      <c r="T695" s="184" t="s">
        <v>598</v>
      </c>
      <c r="U695" s="184" t="s">
        <v>598</v>
      </c>
      <c r="V695" s="185">
        <v>0</v>
      </c>
      <c r="W695" s="184" t="s">
        <v>557</v>
      </c>
      <c r="X695" s="184" t="s">
        <v>598</v>
      </c>
      <c r="Y695" s="185">
        <v>0</v>
      </c>
      <c r="Z695" s="184" t="s">
        <v>598</v>
      </c>
      <c r="AA695" s="21" t="s">
        <v>822</v>
      </c>
      <c r="AB695" s="176" t="s">
        <v>489</v>
      </c>
      <c r="AC695" s="172">
        <v>42996.328472222223</v>
      </c>
      <c r="AD695" s="32" t="s">
        <v>552</v>
      </c>
    </row>
    <row r="696" spans="1:30">
      <c r="A696" s="184">
        <v>695</v>
      </c>
      <c r="B696" s="184" t="s">
        <v>1993</v>
      </c>
      <c r="C696" s="184" t="s">
        <v>598</v>
      </c>
      <c r="D696" s="127">
        <v>42891</v>
      </c>
      <c r="E696" s="127" t="s">
        <v>598</v>
      </c>
      <c r="F696" s="184" t="s">
        <v>1980</v>
      </c>
      <c r="G696" s="185">
        <v>0</v>
      </c>
      <c r="H696" s="184" t="s">
        <v>598</v>
      </c>
      <c r="I696" s="184" t="s">
        <v>134</v>
      </c>
      <c r="J696" s="184" t="s">
        <v>84</v>
      </c>
      <c r="K696" s="184" t="s">
        <v>598</v>
      </c>
      <c r="L696" s="184" t="s">
        <v>598</v>
      </c>
      <c r="M696" s="184" t="s">
        <v>598</v>
      </c>
      <c r="N696" s="184" t="s">
        <v>42</v>
      </c>
      <c r="O696" s="184" t="s">
        <v>598</v>
      </c>
      <c r="P696" s="186" t="s">
        <v>601</v>
      </c>
      <c r="Q696" s="184" t="s">
        <v>598</v>
      </c>
      <c r="R696" s="184" t="s">
        <v>598</v>
      </c>
      <c r="S696" s="127">
        <v>42898</v>
      </c>
      <c r="T696" s="184" t="s">
        <v>10</v>
      </c>
      <c r="U696" s="184" t="s">
        <v>598</v>
      </c>
      <c r="V696" s="185">
        <v>3000</v>
      </c>
      <c r="W696" s="184" t="s">
        <v>493</v>
      </c>
      <c r="X696" s="184" t="s">
        <v>598</v>
      </c>
      <c r="Y696" s="185">
        <v>0</v>
      </c>
      <c r="Z696" s="184" t="s">
        <v>598</v>
      </c>
      <c r="AA696" s="21" t="s">
        <v>610</v>
      </c>
      <c r="AB696" s="176" t="s">
        <v>489</v>
      </c>
      <c r="AC696" s="172">
        <v>42996.328472222223</v>
      </c>
      <c r="AD696" s="32" t="s">
        <v>552</v>
      </c>
    </row>
    <row r="697" spans="1:30">
      <c r="A697" s="184">
        <v>696</v>
      </c>
      <c r="B697" s="184" t="s">
        <v>1994</v>
      </c>
      <c r="C697" s="184" t="s">
        <v>598</v>
      </c>
      <c r="D697" s="127">
        <v>42889</v>
      </c>
      <c r="E697" s="127" t="s">
        <v>598</v>
      </c>
      <c r="F697" s="184" t="s">
        <v>1995</v>
      </c>
      <c r="G697" s="185">
        <v>0</v>
      </c>
      <c r="H697" s="184" t="s">
        <v>598</v>
      </c>
      <c r="I697" s="184" t="s">
        <v>134</v>
      </c>
      <c r="J697" s="184" t="s">
        <v>84</v>
      </c>
      <c r="K697" s="184" t="s">
        <v>297</v>
      </c>
      <c r="L697" s="184" t="s">
        <v>598</v>
      </c>
      <c r="M697" s="184" t="s">
        <v>73</v>
      </c>
      <c r="N697" s="184" t="s">
        <v>42</v>
      </c>
      <c r="O697" s="184" t="s">
        <v>598</v>
      </c>
      <c r="P697" s="186" t="s">
        <v>32</v>
      </c>
      <c r="Q697" s="184" t="s">
        <v>598</v>
      </c>
      <c r="R697" s="184" t="s">
        <v>598</v>
      </c>
      <c r="S697" s="127">
        <v>42892</v>
      </c>
      <c r="T697" s="184" t="s">
        <v>34</v>
      </c>
      <c r="U697" s="184" t="s">
        <v>598</v>
      </c>
      <c r="V697" s="185">
        <v>3000</v>
      </c>
      <c r="W697" s="184" t="s">
        <v>493</v>
      </c>
      <c r="X697" s="184" t="s">
        <v>598</v>
      </c>
      <c r="Y697" s="185">
        <v>0</v>
      </c>
      <c r="Z697" s="184" t="s">
        <v>598</v>
      </c>
      <c r="AA697" s="21" t="s">
        <v>610</v>
      </c>
      <c r="AB697" s="176" t="s">
        <v>489</v>
      </c>
      <c r="AC697" s="172">
        <v>42996.328472222223</v>
      </c>
      <c r="AD697" s="32" t="s">
        <v>552</v>
      </c>
    </row>
    <row r="698" spans="1:30">
      <c r="A698" s="184">
        <v>697</v>
      </c>
      <c r="B698" s="184" t="s">
        <v>1996</v>
      </c>
      <c r="C698" s="184" t="s">
        <v>598</v>
      </c>
      <c r="D698" s="127">
        <v>42888</v>
      </c>
      <c r="E698" s="127" t="s">
        <v>598</v>
      </c>
      <c r="F698" s="184" t="s">
        <v>1997</v>
      </c>
      <c r="G698" s="185">
        <v>0</v>
      </c>
      <c r="H698" s="184" t="s">
        <v>598</v>
      </c>
      <c r="I698" s="184" t="s">
        <v>120</v>
      </c>
      <c r="J698" s="184" t="s">
        <v>84</v>
      </c>
      <c r="K698" s="184" t="s">
        <v>293</v>
      </c>
      <c r="L698" s="184" t="s">
        <v>598</v>
      </c>
      <c r="M698" s="184" t="s">
        <v>1957</v>
      </c>
      <c r="N698" s="184" t="s">
        <v>42</v>
      </c>
      <c r="O698" s="184" t="s">
        <v>598</v>
      </c>
      <c r="P698" s="186" t="s">
        <v>53</v>
      </c>
      <c r="Q698" s="184" t="s">
        <v>598</v>
      </c>
      <c r="R698" s="184" t="s">
        <v>598</v>
      </c>
      <c r="S698" s="127" t="s">
        <v>598</v>
      </c>
      <c r="T698" s="184" t="s">
        <v>598</v>
      </c>
      <c r="U698" s="184" t="s">
        <v>598</v>
      </c>
      <c r="V698" s="185">
        <v>0</v>
      </c>
      <c r="W698" s="184" t="s">
        <v>485</v>
      </c>
      <c r="X698" s="184" t="s">
        <v>598</v>
      </c>
      <c r="Y698" s="185">
        <v>0</v>
      </c>
      <c r="Z698" s="184" t="s">
        <v>598</v>
      </c>
      <c r="AA698" s="21" t="s">
        <v>610</v>
      </c>
      <c r="AB698" s="176" t="s">
        <v>489</v>
      </c>
      <c r="AC698" s="172">
        <v>42996.328472222223</v>
      </c>
      <c r="AD698" s="32" t="s">
        <v>552</v>
      </c>
    </row>
    <row r="699" spans="1:30">
      <c r="A699" s="184">
        <v>698</v>
      </c>
      <c r="B699" s="184" t="s">
        <v>1998</v>
      </c>
      <c r="C699" s="184" t="s">
        <v>598</v>
      </c>
      <c r="D699" s="127">
        <v>42888</v>
      </c>
      <c r="E699" s="127" t="s">
        <v>598</v>
      </c>
      <c r="F699" s="184" t="s">
        <v>1999</v>
      </c>
      <c r="G699" s="185">
        <v>0</v>
      </c>
      <c r="H699" s="184" t="s">
        <v>598</v>
      </c>
      <c r="I699" s="184" t="s">
        <v>134</v>
      </c>
      <c r="J699" s="184" t="s">
        <v>84</v>
      </c>
      <c r="K699" s="184" t="s">
        <v>192</v>
      </c>
      <c r="L699" s="184" t="s">
        <v>598</v>
      </c>
      <c r="M699" s="184" t="s">
        <v>1978</v>
      </c>
      <c r="N699" s="184" t="s">
        <v>42</v>
      </c>
      <c r="O699" s="184" t="s">
        <v>598</v>
      </c>
      <c r="P699" s="186" t="s">
        <v>44</v>
      </c>
      <c r="Q699" s="184" t="s">
        <v>598</v>
      </c>
      <c r="R699" s="184" t="s">
        <v>598</v>
      </c>
      <c r="S699" s="127" t="s">
        <v>598</v>
      </c>
      <c r="T699" s="184" t="s">
        <v>598</v>
      </c>
      <c r="U699" s="184" t="s">
        <v>598</v>
      </c>
      <c r="V699" s="185">
        <v>0</v>
      </c>
      <c r="W699" s="184" t="s">
        <v>485</v>
      </c>
      <c r="X699" s="184" t="s">
        <v>598</v>
      </c>
      <c r="Y699" s="185">
        <v>0</v>
      </c>
      <c r="Z699" s="184" t="s">
        <v>598</v>
      </c>
      <c r="AA699" s="21" t="s">
        <v>610</v>
      </c>
      <c r="AB699" s="176" t="s">
        <v>489</v>
      </c>
      <c r="AC699" s="172">
        <v>42996.328472222223</v>
      </c>
      <c r="AD699" s="32" t="s">
        <v>552</v>
      </c>
    </row>
    <row r="700" spans="1:30">
      <c r="A700" s="184">
        <v>699</v>
      </c>
      <c r="B700" s="184" t="s">
        <v>2000</v>
      </c>
      <c r="C700" s="184" t="s">
        <v>598</v>
      </c>
      <c r="D700" s="127">
        <v>42888</v>
      </c>
      <c r="E700" s="127" t="s">
        <v>598</v>
      </c>
      <c r="F700" s="184" t="s">
        <v>2001</v>
      </c>
      <c r="G700" s="185">
        <v>0</v>
      </c>
      <c r="H700" s="184" t="s">
        <v>598</v>
      </c>
      <c r="I700" s="184" t="s">
        <v>135</v>
      </c>
      <c r="J700" s="184" t="s">
        <v>84</v>
      </c>
      <c r="K700" s="184" t="s">
        <v>192</v>
      </c>
      <c r="L700" s="184" t="s">
        <v>598</v>
      </c>
      <c r="M700" s="184" t="s">
        <v>1954</v>
      </c>
      <c r="N700" s="184" t="s">
        <v>42</v>
      </c>
      <c r="O700" s="184" t="s">
        <v>598</v>
      </c>
      <c r="P700" s="186" t="s">
        <v>67</v>
      </c>
      <c r="Q700" s="184" t="s">
        <v>598</v>
      </c>
      <c r="R700" s="184" t="s">
        <v>598</v>
      </c>
      <c r="S700" s="127" t="s">
        <v>598</v>
      </c>
      <c r="T700" s="184" t="s">
        <v>598</v>
      </c>
      <c r="U700" s="184" t="s">
        <v>598</v>
      </c>
      <c r="V700" s="185">
        <v>0</v>
      </c>
      <c r="W700" s="184" t="s">
        <v>485</v>
      </c>
      <c r="X700" s="184" t="s">
        <v>598</v>
      </c>
      <c r="Y700" s="185">
        <v>0</v>
      </c>
      <c r="Z700" s="184" t="s">
        <v>598</v>
      </c>
      <c r="AA700" s="21" t="s">
        <v>610</v>
      </c>
      <c r="AB700" s="176" t="s">
        <v>489</v>
      </c>
      <c r="AC700" s="172">
        <v>42996.328472222223</v>
      </c>
      <c r="AD700" s="32" t="s">
        <v>552</v>
      </c>
    </row>
    <row r="701" spans="1:30">
      <c r="A701" s="184">
        <v>700</v>
      </c>
      <c r="B701" s="184" t="s">
        <v>2002</v>
      </c>
      <c r="C701" s="184" t="s">
        <v>598</v>
      </c>
      <c r="D701" s="127">
        <v>42888</v>
      </c>
      <c r="E701" s="127" t="s">
        <v>598</v>
      </c>
      <c r="F701" s="184" t="s">
        <v>2003</v>
      </c>
      <c r="G701" s="185">
        <v>0</v>
      </c>
      <c r="H701" s="184" t="s">
        <v>598</v>
      </c>
      <c r="I701" s="184" t="s">
        <v>115</v>
      </c>
      <c r="J701" s="184" t="s">
        <v>84</v>
      </c>
      <c r="K701" s="184" t="s">
        <v>281</v>
      </c>
      <c r="L701" s="184" t="s">
        <v>598</v>
      </c>
      <c r="M701" s="184" t="s">
        <v>1962</v>
      </c>
      <c r="N701" s="184" t="s">
        <v>42</v>
      </c>
      <c r="O701" s="184" t="s">
        <v>598</v>
      </c>
      <c r="P701" s="186" t="s">
        <v>602</v>
      </c>
      <c r="Q701" s="184" t="s">
        <v>598</v>
      </c>
      <c r="R701" s="184" t="s">
        <v>598</v>
      </c>
      <c r="S701" s="127" t="s">
        <v>598</v>
      </c>
      <c r="T701" s="184" t="s">
        <v>598</v>
      </c>
      <c r="U701" s="184" t="s">
        <v>598</v>
      </c>
      <c r="V701" s="185">
        <v>0</v>
      </c>
      <c r="W701" s="184" t="s">
        <v>485</v>
      </c>
      <c r="X701" s="184" t="s">
        <v>598</v>
      </c>
      <c r="Y701" s="185">
        <v>0</v>
      </c>
      <c r="Z701" s="184" t="s">
        <v>598</v>
      </c>
      <c r="AA701" s="21" t="s">
        <v>610</v>
      </c>
      <c r="AB701" s="176" t="s">
        <v>489</v>
      </c>
      <c r="AC701" s="172">
        <v>42996.328472222223</v>
      </c>
      <c r="AD701" s="32" t="s">
        <v>552</v>
      </c>
    </row>
    <row r="702" spans="1:30">
      <c r="A702" s="184">
        <v>701</v>
      </c>
      <c r="B702" s="184" t="s">
        <v>2004</v>
      </c>
      <c r="C702" s="184" t="s">
        <v>598</v>
      </c>
      <c r="D702" s="127">
        <v>42887</v>
      </c>
      <c r="E702" s="127" t="s">
        <v>598</v>
      </c>
      <c r="F702" s="184" t="s">
        <v>2005</v>
      </c>
      <c r="G702" s="185">
        <v>0</v>
      </c>
      <c r="H702" s="184" t="s">
        <v>598</v>
      </c>
      <c r="I702" s="184" t="s">
        <v>134</v>
      </c>
      <c r="J702" s="184" t="s">
        <v>84</v>
      </c>
      <c r="K702" s="184" t="s">
        <v>298</v>
      </c>
      <c r="L702" s="184" t="s">
        <v>598</v>
      </c>
      <c r="M702" s="184" t="s">
        <v>598</v>
      </c>
      <c r="N702" s="184" t="s">
        <v>42</v>
      </c>
      <c r="O702" s="184" t="s">
        <v>598</v>
      </c>
      <c r="P702" s="186" t="s">
        <v>603</v>
      </c>
      <c r="Q702" s="184" t="s">
        <v>598</v>
      </c>
      <c r="R702" s="184" t="s">
        <v>598</v>
      </c>
      <c r="S702" s="127" t="s">
        <v>598</v>
      </c>
      <c r="T702" s="184" t="s">
        <v>598</v>
      </c>
      <c r="U702" s="184" t="s">
        <v>598</v>
      </c>
      <c r="V702" s="185">
        <v>0</v>
      </c>
      <c r="W702" s="184" t="s">
        <v>485</v>
      </c>
      <c r="X702" s="184" t="s">
        <v>598</v>
      </c>
      <c r="Y702" s="185">
        <v>0</v>
      </c>
      <c r="Z702" s="184" t="s">
        <v>598</v>
      </c>
      <c r="AA702" s="21" t="s">
        <v>610</v>
      </c>
      <c r="AB702" s="176" t="s">
        <v>489</v>
      </c>
      <c r="AC702" s="172">
        <v>42996.328472222223</v>
      </c>
      <c r="AD702" s="32" t="s">
        <v>552</v>
      </c>
    </row>
    <row r="703" spans="1:30">
      <c r="A703" s="184">
        <v>702</v>
      </c>
      <c r="B703" s="184" t="s">
        <v>2006</v>
      </c>
      <c r="C703" s="184" t="s">
        <v>598</v>
      </c>
      <c r="D703" s="127">
        <v>42887</v>
      </c>
      <c r="E703" s="127" t="s">
        <v>598</v>
      </c>
      <c r="F703" s="184" t="s">
        <v>2007</v>
      </c>
      <c r="G703" s="185">
        <v>3120000</v>
      </c>
      <c r="H703" s="184" t="s">
        <v>598</v>
      </c>
      <c r="I703" s="184" t="s">
        <v>134</v>
      </c>
      <c r="J703" s="184" t="s">
        <v>84</v>
      </c>
      <c r="K703" s="184" t="s">
        <v>192</v>
      </c>
      <c r="L703" s="184" t="s">
        <v>598</v>
      </c>
      <c r="M703" s="184" t="s">
        <v>2008</v>
      </c>
      <c r="N703" s="184" t="s">
        <v>42</v>
      </c>
      <c r="O703" s="184" t="s">
        <v>42</v>
      </c>
      <c r="P703" s="186" t="s">
        <v>604</v>
      </c>
      <c r="Q703" s="184" t="s">
        <v>598</v>
      </c>
      <c r="R703" s="184" t="s">
        <v>598</v>
      </c>
      <c r="S703" s="127" t="s">
        <v>598</v>
      </c>
      <c r="T703" s="184" t="s">
        <v>598</v>
      </c>
      <c r="U703" s="184" t="s">
        <v>598</v>
      </c>
      <c r="V703" s="185">
        <v>0</v>
      </c>
      <c r="W703" s="184" t="s">
        <v>485</v>
      </c>
      <c r="X703" s="184" t="s">
        <v>598</v>
      </c>
      <c r="Y703" s="185">
        <v>0</v>
      </c>
      <c r="Z703" s="184" t="s">
        <v>598</v>
      </c>
      <c r="AA703" s="21" t="s">
        <v>610</v>
      </c>
      <c r="AB703" s="176" t="s">
        <v>489</v>
      </c>
      <c r="AC703" s="172">
        <v>42996.328472222223</v>
      </c>
      <c r="AD703" s="32" t="s">
        <v>552</v>
      </c>
    </row>
    <row r="704" spans="1:30">
      <c r="A704" s="184">
        <v>703</v>
      </c>
      <c r="B704" s="184" t="s">
        <v>2009</v>
      </c>
      <c r="C704" s="184" t="s">
        <v>598</v>
      </c>
      <c r="D704" s="127">
        <v>42887</v>
      </c>
      <c r="E704" s="127" t="s">
        <v>598</v>
      </c>
      <c r="F704" s="184" t="s">
        <v>2010</v>
      </c>
      <c r="G704" s="185">
        <v>3120000</v>
      </c>
      <c r="H704" s="184" t="s">
        <v>598</v>
      </c>
      <c r="I704" s="184" t="s">
        <v>134</v>
      </c>
      <c r="J704" s="184" t="s">
        <v>84</v>
      </c>
      <c r="K704" s="184" t="s">
        <v>192</v>
      </c>
      <c r="L704" s="184" t="s">
        <v>598</v>
      </c>
      <c r="M704" s="184" t="s">
        <v>2008</v>
      </c>
      <c r="N704" s="184" t="s">
        <v>42</v>
      </c>
      <c r="O704" s="184" t="s">
        <v>42</v>
      </c>
      <c r="P704" s="186" t="s">
        <v>605</v>
      </c>
      <c r="Q704" s="184" t="s">
        <v>598</v>
      </c>
      <c r="R704" s="184" t="s">
        <v>598</v>
      </c>
      <c r="S704" s="127" t="s">
        <v>598</v>
      </c>
      <c r="T704" s="184" t="s">
        <v>598</v>
      </c>
      <c r="U704" s="184" t="s">
        <v>598</v>
      </c>
      <c r="V704" s="185">
        <v>0</v>
      </c>
      <c r="W704" s="184" t="s">
        <v>485</v>
      </c>
      <c r="X704" s="184" t="s">
        <v>598</v>
      </c>
      <c r="Y704" s="185">
        <v>0</v>
      </c>
      <c r="Z704" s="184" t="s">
        <v>598</v>
      </c>
      <c r="AA704" s="21" t="s">
        <v>610</v>
      </c>
      <c r="AB704" s="176" t="s">
        <v>489</v>
      </c>
      <c r="AC704" s="172">
        <v>42996.328472222223</v>
      </c>
      <c r="AD704" s="32" t="s">
        <v>552</v>
      </c>
    </row>
    <row r="705" spans="1:30">
      <c r="A705" s="184">
        <v>704</v>
      </c>
      <c r="B705" s="184" t="s">
        <v>2011</v>
      </c>
      <c r="C705" s="184" t="s">
        <v>598</v>
      </c>
      <c r="D705" s="127">
        <v>42886</v>
      </c>
      <c r="E705" s="127" t="s">
        <v>598</v>
      </c>
      <c r="F705" s="184" t="s">
        <v>2012</v>
      </c>
      <c r="G705" s="185">
        <v>5117000</v>
      </c>
      <c r="H705" s="184" t="s">
        <v>598</v>
      </c>
      <c r="I705" s="184" t="s">
        <v>598</v>
      </c>
      <c r="J705" s="184" t="s">
        <v>84</v>
      </c>
      <c r="K705" s="184" t="s">
        <v>281</v>
      </c>
      <c r="L705" s="184" t="s">
        <v>598</v>
      </c>
      <c r="M705" s="184" t="s">
        <v>2013</v>
      </c>
      <c r="N705" s="184" t="s">
        <v>42</v>
      </c>
      <c r="O705" s="184" t="s">
        <v>42</v>
      </c>
      <c r="P705" s="186" t="s">
        <v>606</v>
      </c>
      <c r="Q705" s="184" t="s">
        <v>598</v>
      </c>
      <c r="R705" s="184" t="s">
        <v>598</v>
      </c>
      <c r="S705" s="127">
        <v>42915</v>
      </c>
      <c r="T705" s="184" t="s">
        <v>10</v>
      </c>
      <c r="U705" s="184" t="s">
        <v>598</v>
      </c>
      <c r="V705" s="185">
        <v>4000</v>
      </c>
      <c r="W705" s="184" t="s">
        <v>493</v>
      </c>
      <c r="X705" s="184" t="s">
        <v>598</v>
      </c>
      <c r="Y705" s="185">
        <v>0</v>
      </c>
      <c r="Z705" s="184" t="s">
        <v>598</v>
      </c>
      <c r="AA705" s="21" t="s">
        <v>610</v>
      </c>
      <c r="AB705" s="176" t="s">
        <v>489</v>
      </c>
      <c r="AC705" s="172">
        <v>42996.328472222223</v>
      </c>
      <c r="AD705" s="32" t="s">
        <v>552</v>
      </c>
    </row>
    <row r="706" spans="1:30">
      <c r="A706" s="184">
        <v>705</v>
      </c>
      <c r="B706" s="184" t="s">
        <v>2014</v>
      </c>
      <c r="C706" s="184" t="s">
        <v>598</v>
      </c>
      <c r="D706" s="127">
        <v>42886</v>
      </c>
      <c r="E706" s="127" t="s">
        <v>598</v>
      </c>
      <c r="F706" s="184" t="s">
        <v>2015</v>
      </c>
      <c r="G706" s="185">
        <v>5117000</v>
      </c>
      <c r="H706" s="184" t="s">
        <v>598</v>
      </c>
      <c r="I706" s="184" t="s">
        <v>598</v>
      </c>
      <c r="J706" s="184" t="s">
        <v>84</v>
      </c>
      <c r="K706" s="184" t="s">
        <v>281</v>
      </c>
      <c r="L706" s="184" t="s">
        <v>598</v>
      </c>
      <c r="M706" s="184" t="s">
        <v>2013</v>
      </c>
      <c r="N706" s="184" t="s">
        <v>42</v>
      </c>
      <c r="O706" s="184" t="s">
        <v>42</v>
      </c>
      <c r="P706" s="186" t="s">
        <v>607</v>
      </c>
      <c r="Q706" s="184" t="s">
        <v>598</v>
      </c>
      <c r="R706" s="184" t="s">
        <v>598</v>
      </c>
      <c r="S706" s="127">
        <v>42915</v>
      </c>
      <c r="T706" s="184" t="s">
        <v>10</v>
      </c>
      <c r="U706" s="184" t="s">
        <v>598</v>
      </c>
      <c r="V706" s="185">
        <v>4000</v>
      </c>
      <c r="W706" s="184" t="s">
        <v>493</v>
      </c>
      <c r="X706" s="184" t="s">
        <v>598</v>
      </c>
      <c r="Y706" s="185">
        <v>0</v>
      </c>
      <c r="Z706" s="184" t="s">
        <v>598</v>
      </c>
      <c r="AA706" s="21" t="s">
        <v>610</v>
      </c>
      <c r="AB706" s="176" t="s">
        <v>489</v>
      </c>
      <c r="AC706" s="172">
        <v>42996.328472222223</v>
      </c>
      <c r="AD706" s="32" t="s">
        <v>552</v>
      </c>
    </row>
    <row r="707" spans="1:30">
      <c r="A707" s="184">
        <v>706</v>
      </c>
      <c r="B707" s="184" t="s">
        <v>2016</v>
      </c>
      <c r="C707" s="184" t="s">
        <v>598</v>
      </c>
      <c r="D707" s="127">
        <v>42886</v>
      </c>
      <c r="E707" s="127" t="s">
        <v>598</v>
      </c>
      <c r="F707" s="184" t="s">
        <v>2017</v>
      </c>
      <c r="G707" s="185">
        <v>0</v>
      </c>
      <c r="H707" s="184" t="s">
        <v>598</v>
      </c>
      <c r="I707" s="184" t="s">
        <v>115</v>
      </c>
      <c r="J707" s="184" t="s">
        <v>84</v>
      </c>
      <c r="K707" s="184" t="s">
        <v>598</v>
      </c>
      <c r="L707" s="184" t="s">
        <v>598</v>
      </c>
      <c r="M707" s="184" t="s">
        <v>2018</v>
      </c>
      <c r="N707" s="184" t="s">
        <v>42</v>
      </c>
      <c r="O707" s="184" t="s">
        <v>42</v>
      </c>
      <c r="P707" s="186" t="s">
        <v>73</v>
      </c>
      <c r="Q707" s="184" t="s">
        <v>598</v>
      </c>
      <c r="R707" s="184" t="s">
        <v>598</v>
      </c>
      <c r="S707" s="127" t="s">
        <v>598</v>
      </c>
      <c r="T707" s="184" t="s">
        <v>598</v>
      </c>
      <c r="U707" s="184" t="s">
        <v>598</v>
      </c>
      <c r="V707" s="185">
        <v>0</v>
      </c>
      <c r="W707" s="184" t="s">
        <v>485</v>
      </c>
      <c r="X707" s="184" t="s">
        <v>598</v>
      </c>
      <c r="Y707" s="185">
        <v>0</v>
      </c>
      <c r="Z707" s="184" t="s">
        <v>598</v>
      </c>
      <c r="AA707" s="21" t="s">
        <v>610</v>
      </c>
      <c r="AB707" s="176" t="s">
        <v>489</v>
      </c>
      <c r="AC707" s="172">
        <v>42996.328472222223</v>
      </c>
      <c r="AD707" s="32" t="s">
        <v>552</v>
      </c>
    </row>
    <row r="708" spans="1:30">
      <c r="A708" s="184">
        <v>707</v>
      </c>
      <c r="B708" s="184" t="s">
        <v>2019</v>
      </c>
      <c r="C708" s="184" t="s">
        <v>598</v>
      </c>
      <c r="D708" s="127">
        <v>42886</v>
      </c>
      <c r="E708" s="127" t="s">
        <v>598</v>
      </c>
      <c r="F708" s="184" t="s">
        <v>2020</v>
      </c>
      <c r="G708" s="185">
        <v>3718000</v>
      </c>
      <c r="H708" s="184" t="s">
        <v>598</v>
      </c>
      <c r="I708" s="184" t="s">
        <v>598</v>
      </c>
      <c r="J708" s="184" t="s">
        <v>84</v>
      </c>
      <c r="K708" s="184" t="s">
        <v>291</v>
      </c>
      <c r="L708" s="184" t="s">
        <v>598</v>
      </c>
      <c r="M708" s="184" t="s">
        <v>1911</v>
      </c>
      <c r="N708" s="184" t="s">
        <v>42</v>
      </c>
      <c r="O708" s="184" t="s">
        <v>42</v>
      </c>
      <c r="P708" s="186" t="s">
        <v>601</v>
      </c>
      <c r="Q708" s="184" t="s">
        <v>598</v>
      </c>
      <c r="R708" s="184" t="s">
        <v>598</v>
      </c>
      <c r="S708" s="127" t="s">
        <v>598</v>
      </c>
      <c r="T708" s="184" t="s">
        <v>598</v>
      </c>
      <c r="U708" s="184" t="s">
        <v>598</v>
      </c>
      <c r="V708" s="185">
        <v>0</v>
      </c>
      <c r="W708" s="184" t="s">
        <v>485</v>
      </c>
      <c r="X708" s="184" t="s">
        <v>598</v>
      </c>
      <c r="Y708" s="185">
        <v>0</v>
      </c>
      <c r="Z708" s="184" t="s">
        <v>598</v>
      </c>
      <c r="AA708" s="21" t="s">
        <v>610</v>
      </c>
      <c r="AB708" s="176" t="s">
        <v>489</v>
      </c>
      <c r="AC708" s="172">
        <v>42996.328472222223</v>
      </c>
      <c r="AD708" s="32" t="s">
        <v>552</v>
      </c>
    </row>
    <row r="709" spans="1:30">
      <c r="A709" s="184">
        <v>708</v>
      </c>
      <c r="B709" s="184" t="s">
        <v>2021</v>
      </c>
      <c r="C709" s="184" t="s">
        <v>598</v>
      </c>
      <c r="D709" s="127">
        <v>42886</v>
      </c>
      <c r="E709" s="127" t="s">
        <v>598</v>
      </c>
      <c r="F709" s="184" t="s">
        <v>2022</v>
      </c>
      <c r="G709" s="185">
        <v>0</v>
      </c>
      <c r="H709" s="184" t="s">
        <v>598</v>
      </c>
      <c r="I709" s="184" t="s">
        <v>598</v>
      </c>
      <c r="J709" s="184" t="s">
        <v>84</v>
      </c>
      <c r="K709" s="184" t="s">
        <v>295</v>
      </c>
      <c r="L709" s="184" t="s">
        <v>598</v>
      </c>
      <c r="M709" s="184" t="s">
        <v>72</v>
      </c>
      <c r="N709" s="184" t="s">
        <v>42</v>
      </c>
      <c r="O709" s="184" t="s">
        <v>42</v>
      </c>
      <c r="P709" s="186" t="s">
        <v>32</v>
      </c>
      <c r="Q709" s="184" t="s">
        <v>598</v>
      </c>
      <c r="R709" s="184" t="s">
        <v>598</v>
      </c>
      <c r="S709" s="127" t="s">
        <v>598</v>
      </c>
      <c r="T709" s="184" t="s">
        <v>598</v>
      </c>
      <c r="U709" s="184" t="s">
        <v>598</v>
      </c>
      <c r="V709" s="185">
        <v>0</v>
      </c>
      <c r="W709" s="184" t="s">
        <v>485</v>
      </c>
      <c r="X709" s="184" t="s">
        <v>598</v>
      </c>
      <c r="Y709" s="185">
        <v>0</v>
      </c>
      <c r="Z709" s="184" t="s">
        <v>598</v>
      </c>
      <c r="AA709" s="21" t="s">
        <v>610</v>
      </c>
      <c r="AB709" s="176" t="s">
        <v>489</v>
      </c>
      <c r="AC709" s="172">
        <v>42996.328472222223</v>
      </c>
      <c r="AD709" s="32" t="s">
        <v>552</v>
      </c>
    </row>
    <row r="710" spans="1:30">
      <c r="A710" s="184">
        <v>709</v>
      </c>
      <c r="B710" s="184" t="s">
        <v>2023</v>
      </c>
      <c r="C710" s="184" t="s">
        <v>598</v>
      </c>
      <c r="D710" s="127">
        <v>42886</v>
      </c>
      <c r="E710" s="127" t="s">
        <v>598</v>
      </c>
      <c r="F710" s="184" t="s">
        <v>1261</v>
      </c>
      <c r="G710" s="185">
        <v>1431900</v>
      </c>
      <c r="H710" s="184" t="s">
        <v>598</v>
      </c>
      <c r="I710" s="184" t="s">
        <v>598</v>
      </c>
      <c r="J710" s="184" t="s">
        <v>84</v>
      </c>
      <c r="K710" s="184" t="s">
        <v>249</v>
      </c>
      <c r="L710" s="184" t="s">
        <v>598</v>
      </c>
      <c r="M710" s="184" t="s">
        <v>2024</v>
      </c>
      <c r="N710" s="184" t="s">
        <v>42</v>
      </c>
      <c r="O710" s="184" t="s">
        <v>42</v>
      </c>
      <c r="P710" s="186" t="s">
        <v>53</v>
      </c>
      <c r="Q710" s="184" t="s">
        <v>598</v>
      </c>
      <c r="R710" s="184" t="s">
        <v>598</v>
      </c>
      <c r="S710" s="127" t="s">
        <v>598</v>
      </c>
      <c r="T710" s="184" t="s">
        <v>598</v>
      </c>
      <c r="U710" s="184" t="s">
        <v>598</v>
      </c>
      <c r="V710" s="185">
        <v>0</v>
      </c>
      <c r="W710" s="184" t="s">
        <v>485</v>
      </c>
      <c r="X710" s="184" t="s">
        <v>598</v>
      </c>
      <c r="Y710" s="185">
        <v>0</v>
      </c>
      <c r="Z710" s="184" t="s">
        <v>598</v>
      </c>
      <c r="AA710" s="21" t="s">
        <v>610</v>
      </c>
      <c r="AB710" s="176" t="s">
        <v>489</v>
      </c>
      <c r="AC710" s="172">
        <v>42996.328472222223</v>
      </c>
      <c r="AD710" s="32" t="s">
        <v>552</v>
      </c>
    </row>
    <row r="711" spans="1:30">
      <c r="A711" s="184">
        <v>710</v>
      </c>
      <c r="B711" s="184" t="s">
        <v>2025</v>
      </c>
      <c r="C711" s="184" t="s">
        <v>598</v>
      </c>
      <c r="D711" s="127">
        <v>42886</v>
      </c>
      <c r="E711" s="127" t="s">
        <v>598</v>
      </c>
      <c r="F711" s="184" t="s">
        <v>2026</v>
      </c>
      <c r="G711" s="185">
        <v>4426000</v>
      </c>
      <c r="H711" s="184" t="s">
        <v>598</v>
      </c>
      <c r="I711" s="184" t="s">
        <v>598</v>
      </c>
      <c r="J711" s="184" t="s">
        <v>84</v>
      </c>
      <c r="K711" s="184" t="s">
        <v>299</v>
      </c>
      <c r="L711" s="184" t="s">
        <v>598</v>
      </c>
      <c r="M711" s="184" t="s">
        <v>1176</v>
      </c>
      <c r="N711" s="184" t="s">
        <v>42</v>
      </c>
      <c r="O711" s="184" t="s">
        <v>42</v>
      </c>
      <c r="P711" s="186" t="s">
        <v>44</v>
      </c>
      <c r="Q711" s="184" t="s">
        <v>598</v>
      </c>
      <c r="R711" s="184" t="s">
        <v>598</v>
      </c>
      <c r="S711" s="127">
        <v>42906</v>
      </c>
      <c r="T711" s="184" t="s">
        <v>34</v>
      </c>
      <c r="U711" s="184" t="s">
        <v>598</v>
      </c>
      <c r="V711" s="185">
        <v>2500</v>
      </c>
      <c r="W711" s="184" t="s">
        <v>493</v>
      </c>
      <c r="X711" s="184" t="s">
        <v>598</v>
      </c>
      <c r="Y711" s="185">
        <v>0</v>
      </c>
      <c r="Z711" s="184" t="s">
        <v>598</v>
      </c>
      <c r="AA711" s="21" t="s">
        <v>610</v>
      </c>
      <c r="AB711" s="176" t="s">
        <v>489</v>
      </c>
      <c r="AC711" s="172">
        <v>42996.328472222223</v>
      </c>
      <c r="AD711" s="32" t="s">
        <v>552</v>
      </c>
    </row>
    <row r="712" spans="1:30">
      <c r="A712" s="184">
        <v>711</v>
      </c>
      <c r="B712" s="184" t="s">
        <v>2027</v>
      </c>
      <c r="C712" s="184" t="s">
        <v>598</v>
      </c>
      <c r="D712" s="127">
        <v>42886</v>
      </c>
      <c r="E712" s="127" t="s">
        <v>598</v>
      </c>
      <c r="F712" s="184" t="s">
        <v>2028</v>
      </c>
      <c r="G712" s="185">
        <v>6745000</v>
      </c>
      <c r="H712" s="184" t="s">
        <v>598</v>
      </c>
      <c r="I712" s="184" t="s">
        <v>598</v>
      </c>
      <c r="J712" s="184" t="s">
        <v>84</v>
      </c>
      <c r="K712" s="184" t="s">
        <v>192</v>
      </c>
      <c r="L712" s="184" t="s">
        <v>598</v>
      </c>
      <c r="M712" s="184" t="s">
        <v>598</v>
      </c>
      <c r="N712" s="184" t="s">
        <v>42</v>
      </c>
      <c r="O712" s="184" t="s">
        <v>42</v>
      </c>
      <c r="P712" s="186" t="s">
        <v>67</v>
      </c>
      <c r="Q712" s="184" t="s">
        <v>598</v>
      </c>
      <c r="R712" s="184" t="s">
        <v>598</v>
      </c>
      <c r="S712" s="127">
        <v>42895</v>
      </c>
      <c r="T712" s="184" t="s">
        <v>10</v>
      </c>
      <c r="U712" s="184" t="s">
        <v>598</v>
      </c>
      <c r="V712" s="185">
        <v>5000</v>
      </c>
      <c r="W712" s="184" t="s">
        <v>493</v>
      </c>
      <c r="X712" s="184" t="s">
        <v>598</v>
      </c>
      <c r="Y712" s="185">
        <v>0</v>
      </c>
      <c r="Z712" s="184" t="s">
        <v>598</v>
      </c>
      <c r="AA712" s="21" t="s">
        <v>610</v>
      </c>
      <c r="AB712" s="176" t="s">
        <v>489</v>
      </c>
      <c r="AC712" s="172">
        <v>42996.328472222223</v>
      </c>
      <c r="AD712" s="32" t="s">
        <v>552</v>
      </c>
    </row>
    <row r="713" spans="1:30">
      <c r="A713" s="184">
        <v>712</v>
      </c>
      <c r="B713" s="184" t="s">
        <v>2029</v>
      </c>
      <c r="C713" s="184" t="s">
        <v>598</v>
      </c>
      <c r="D713" s="127">
        <v>42885</v>
      </c>
      <c r="E713" s="127" t="s">
        <v>598</v>
      </c>
      <c r="F713" s="184" t="s">
        <v>2030</v>
      </c>
      <c r="G713" s="185">
        <v>6062000</v>
      </c>
      <c r="H713" s="184" t="s">
        <v>598</v>
      </c>
      <c r="I713" s="184" t="s">
        <v>598</v>
      </c>
      <c r="J713" s="184" t="s">
        <v>84</v>
      </c>
      <c r="K713" s="184" t="s">
        <v>276</v>
      </c>
      <c r="L713" s="184" t="s">
        <v>598</v>
      </c>
      <c r="M713" s="184" t="s">
        <v>2031</v>
      </c>
      <c r="N713" s="184" t="s">
        <v>42</v>
      </c>
      <c r="O713" s="184" t="s">
        <v>42</v>
      </c>
      <c r="P713" s="186" t="s">
        <v>602</v>
      </c>
      <c r="Q713" s="184" t="s">
        <v>598</v>
      </c>
      <c r="R713" s="184" t="s">
        <v>598</v>
      </c>
      <c r="S713" s="127" t="s">
        <v>598</v>
      </c>
      <c r="T713" s="184" t="s">
        <v>598</v>
      </c>
      <c r="U713" s="184" t="s">
        <v>598</v>
      </c>
      <c r="V713" s="185">
        <v>0</v>
      </c>
      <c r="W713" s="184" t="s">
        <v>485</v>
      </c>
      <c r="X713" s="184" t="s">
        <v>598</v>
      </c>
      <c r="Y713" s="185">
        <v>0</v>
      </c>
      <c r="Z713" s="184" t="s">
        <v>598</v>
      </c>
      <c r="AA713" s="21" t="s">
        <v>610</v>
      </c>
      <c r="AB713" s="176" t="s">
        <v>489</v>
      </c>
      <c r="AC713" s="172">
        <v>42996.328472222223</v>
      </c>
      <c r="AD713" s="32" t="s">
        <v>552</v>
      </c>
    </row>
    <row r="714" spans="1:30">
      <c r="A714" s="184">
        <v>713</v>
      </c>
      <c r="B714" s="184" t="s">
        <v>2032</v>
      </c>
      <c r="C714" s="184" t="s">
        <v>598</v>
      </c>
      <c r="D714" s="127">
        <v>42885</v>
      </c>
      <c r="E714" s="127" t="s">
        <v>598</v>
      </c>
      <c r="F714" s="184" t="s">
        <v>2033</v>
      </c>
      <c r="G714" s="185">
        <v>3995000</v>
      </c>
      <c r="H714" s="184" t="s">
        <v>598</v>
      </c>
      <c r="I714" s="184" t="s">
        <v>598</v>
      </c>
      <c r="J714" s="184" t="s">
        <v>84</v>
      </c>
      <c r="K714" s="184" t="s">
        <v>295</v>
      </c>
      <c r="L714" s="184" t="s">
        <v>598</v>
      </c>
      <c r="M714" s="184" t="s">
        <v>72</v>
      </c>
      <c r="N714" s="184" t="s">
        <v>42</v>
      </c>
      <c r="O714" s="184" t="s">
        <v>42</v>
      </c>
      <c r="P714" s="186" t="s">
        <v>603</v>
      </c>
      <c r="Q714" s="184" t="s">
        <v>598</v>
      </c>
      <c r="R714" s="184" t="s">
        <v>598</v>
      </c>
      <c r="S714" s="127" t="s">
        <v>598</v>
      </c>
      <c r="T714" s="184" t="s">
        <v>598</v>
      </c>
      <c r="U714" s="184" t="s">
        <v>598</v>
      </c>
      <c r="V714" s="185">
        <v>0</v>
      </c>
      <c r="W714" s="184" t="s">
        <v>485</v>
      </c>
      <c r="X714" s="184" t="s">
        <v>598</v>
      </c>
      <c r="Y714" s="185">
        <v>0</v>
      </c>
      <c r="Z714" s="184" t="s">
        <v>598</v>
      </c>
      <c r="AA714" s="21" t="s">
        <v>610</v>
      </c>
      <c r="AB714" s="176" t="s">
        <v>489</v>
      </c>
      <c r="AC714" s="172">
        <v>42996.328472222223</v>
      </c>
      <c r="AD714" s="32" t="s">
        <v>552</v>
      </c>
    </row>
    <row r="715" spans="1:30">
      <c r="A715" s="184">
        <v>714</v>
      </c>
      <c r="B715" s="184" t="s">
        <v>2034</v>
      </c>
      <c r="C715" s="184" t="s">
        <v>598</v>
      </c>
      <c r="D715" s="127">
        <v>42882</v>
      </c>
      <c r="E715" s="127" t="s">
        <v>598</v>
      </c>
      <c r="F715" s="184" t="s">
        <v>2035</v>
      </c>
      <c r="G715" s="185">
        <v>6302000</v>
      </c>
      <c r="H715" s="184" t="s">
        <v>598</v>
      </c>
      <c r="I715" s="184" t="s">
        <v>134</v>
      </c>
      <c r="J715" s="184" t="s">
        <v>84</v>
      </c>
      <c r="K715" s="184" t="s">
        <v>293</v>
      </c>
      <c r="L715" s="184" t="s">
        <v>598</v>
      </c>
      <c r="M715" s="184" t="s">
        <v>2036</v>
      </c>
      <c r="N715" s="184" t="s">
        <v>42</v>
      </c>
      <c r="O715" s="184" t="s">
        <v>42</v>
      </c>
      <c r="P715" s="186" t="s">
        <v>604</v>
      </c>
      <c r="Q715" s="184" t="s">
        <v>598</v>
      </c>
      <c r="R715" s="184" t="s">
        <v>598</v>
      </c>
      <c r="S715" s="127" t="s">
        <v>598</v>
      </c>
      <c r="T715" s="184" t="s">
        <v>598</v>
      </c>
      <c r="U715" s="184" t="s">
        <v>598</v>
      </c>
      <c r="V715" s="185">
        <v>0</v>
      </c>
      <c r="W715" s="184" t="s">
        <v>485</v>
      </c>
      <c r="X715" s="184" t="s">
        <v>598</v>
      </c>
      <c r="Y715" s="185">
        <v>0</v>
      </c>
      <c r="Z715" s="184" t="s">
        <v>598</v>
      </c>
      <c r="AA715" s="21" t="s">
        <v>610</v>
      </c>
      <c r="AB715" s="176" t="s">
        <v>489</v>
      </c>
      <c r="AC715" s="172">
        <v>42996.328472222223</v>
      </c>
      <c r="AD715" s="32" t="s">
        <v>552</v>
      </c>
    </row>
    <row r="716" spans="1:30">
      <c r="A716" s="184">
        <v>715</v>
      </c>
      <c r="B716" s="184" t="s">
        <v>2037</v>
      </c>
      <c r="C716" s="184" t="s">
        <v>598</v>
      </c>
      <c r="D716" s="127">
        <v>42882</v>
      </c>
      <c r="E716" s="127" t="s">
        <v>598</v>
      </c>
      <c r="F716" s="184" t="s">
        <v>2038</v>
      </c>
      <c r="G716" s="185">
        <v>6302000</v>
      </c>
      <c r="H716" s="184" t="s">
        <v>598</v>
      </c>
      <c r="I716" s="184" t="s">
        <v>134</v>
      </c>
      <c r="J716" s="184" t="s">
        <v>84</v>
      </c>
      <c r="K716" s="184" t="s">
        <v>293</v>
      </c>
      <c r="L716" s="184" t="s">
        <v>598</v>
      </c>
      <c r="M716" s="184" t="s">
        <v>2036</v>
      </c>
      <c r="N716" s="184" t="s">
        <v>42</v>
      </c>
      <c r="O716" s="184" t="s">
        <v>42</v>
      </c>
      <c r="P716" s="186" t="s">
        <v>605</v>
      </c>
      <c r="Q716" s="184" t="s">
        <v>598</v>
      </c>
      <c r="R716" s="184" t="s">
        <v>598</v>
      </c>
      <c r="S716" s="127" t="s">
        <v>598</v>
      </c>
      <c r="T716" s="184" t="s">
        <v>598</v>
      </c>
      <c r="U716" s="184" t="s">
        <v>598</v>
      </c>
      <c r="V716" s="185">
        <v>0</v>
      </c>
      <c r="W716" s="184" t="s">
        <v>485</v>
      </c>
      <c r="X716" s="184" t="s">
        <v>598</v>
      </c>
      <c r="Y716" s="185">
        <v>0</v>
      </c>
      <c r="Z716" s="184" t="s">
        <v>598</v>
      </c>
      <c r="AA716" s="21" t="s">
        <v>610</v>
      </c>
      <c r="AB716" s="176" t="s">
        <v>489</v>
      </c>
      <c r="AC716" s="172">
        <v>42996.328472222223</v>
      </c>
      <c r="AD716" s="32" t="s">
        <v>552</v>
      </c>
    </row>
    <row r="717" spans="1:30">
      <c r="A717" s="184">
        <v>716</v>
      </c>
      <c r="B717" s="184" t="s">
        <v>2039</v>
      </c>
      <c r="C717" s="184" t="s">
        <v>598</v>
      </c>
      <c r="D717" s="127">
        <v>42881</v>
      </c>
      <c r="E717" s="127" t="s">
        <v>598</v>
      </c>
      <c r="F717" s="184" t="s">
        <v>2040</v>
      </c>
      <c r="G717" s="185">
        <v>15190000</v>
      </c>
      <c r="H717" s="184" t="s">
        <v>598</v>
      </c>
      <c r="I717" s="184" t="s">
        <v>118</v>
      </c>
      <c r="J717" s="184" t="s">
        <v>84</v>
      </c>
      <c r="K717" s="184" t="s">
        <v>300</v>
      </c>
      <c r="L717" s="184" t="s">
        <v>598</v>
      </c>
      <c r="M717" s="184" t="s">
        <v>598</v>
      </c>
      <c r="N717" s="184" t="s">
        <v>42</v>
      </c>
      <c r="O717" s="184" t="s">
        <v>598</v>
      </c>
      <c r="P717" s="186" t="s">
        <v>606</v>
      </c>
      <c r="Q717" s="184" t="s">
        <v>598</v>
      </c>
      <c r="R717" s="184" t="s">
        <v>598</v>
      </c>
      <c r="S717" s="127">
        <v>42888</v>
      </c>
      <c r="T717" s="184" t="s">
        <v>10</v>
      </c>
      <c r="U717" s="184" t="s">
        <v>598</v>
      </c>
      <c r="V717" s="185">
        <v>10000</v>
      </c>
      <c r="W717" s="184" t="s">
        <v>493</v>
      </c>
      <c r="X717" s="184" t="s">
        <v>598</v>
      </c>
      <c r="Y717" s="185">
        <v>0</v>
      </c>
      <c r="Z717" s="184" t="s">
        <v>598</v>
      </c>
      <c r="AA717" s="21" t="s">
        <v>610</v>
      </c>
      <c r="AB717" s="176" t="s">
        <v>489</v>
      </c>
      <c r="AC717" s="172">
        <v>42996.328472222223</v>
      </c>
      <c r="AD717" s="32" t="s">
        <v>552</v>
      </c>
    </row>
    <row r="718" spans="1:30">
      <c r="A718" s="184">
        <v>717</v>
      </c>
      <c r="B718" s="184" t="s">
        <v>2041</v>
      </c>
      <c r="C718" s="184" t="s">
        <v>598</v>
      </c>
      <c r="D718" s="127">
        <v>42881</v>
      </c>
      <c r="E718" s="127" t="s">
        <v>598</v>
      </c>
      <c r="F718" s="184" t="s">
        <v>2042</v>
      </c>
      <c r="G718" s="185">
        <v>12020000</v>
      </c>
      <c r="H718" s="184" t="s">
        <v>598</v>
      </c>
      <c r="I718" s="184" t="s">
        <v>118</v>
      </c>
      <c r="J718" s="184" t="s">
        <v>84</v>
      </c>
      <c r="K718" s="184" t="s">
        <v>300</v>
      </c>
      <c r="L718" s="184" t="s">
        <v>598</v>
      </c>
      <c r="M718" s="184" t="s">
        <v>598</v>
      </c>
      <c r="N718" s="184" t="s">
        <v>42</v>
      </c>
      <c r="O718" s="184" t="s">
        <v>598</v>
      </c>
      <c r="P718" s="186" t="s">
        <v>607</v>
      </c>
      <c r="Q718" s="184" t="s">
        <v>598</v>
      </c>
      <c r="R718" s="184" t="s">
        <v>598</v>
      </c>
      <c r="S718" s="127">
        <v>42888</v>
      </c>
      <c r="T718" s="184" t="s">
        <v>10</v>
      </c>
      <c r="U718" s="184" t="s">
        <v>598</v>
      </c>
      <c r="V718" s="185">
        <v>10000</v>
      </c>
      <c r="W718" s="184" t="s">
        <v>493</v>
      </c>
      <c r="X718" s="184" t="s">
        <v>598</v>
      </c>
      <c r="Y718" s="185">
        <v>0</v>
      </c>
      <c r="Z718" s="184" t="s">
        <v>598</v>
      </c>
      <c r="AA718" s="21" t="s">
        <v>610</v>
      </c>
      <c r="AB718" s="176" t="s">
        <v>489</v>
      </c>
      <c r="AC718" s="172">
        <v>42996.328472222223</v>
      </c>
      <c r="AD718" s="32" t="s">
        <v>552</v>
      </c>
    </row>
    <row r="719" spans="1:30">
      <c r="A719" s="184">
        <v>718</v>
      </c>
      <c r="B719" s="184" t="s">
        <v>2043</v>
      </c>
      <c r="C719" s="184" t="s">
        <v>598</v>
      </c>
      <c r="D719" s="127">
        <v>42880</v>
      </c>
      <c r="E719" s="127" t="s">
        <v>598</v>
      </c>
      <c r="F719" s="184" t="s">
        <v>2044</v>
      </c>
      <c r="G719" s="185">
        <v>9873000</v>
      </c>
      <c r="H719" s="184" t="s">
        <v>598</v>
      </c>
      <c r="I719" s="184" t="s">
        <v>598</v>
      </c>
      <c r="J719" s="184" t="s">
        <v>84</v>
      </c>
      <c r="K719" s="184" t="s">
        <v>192</v>
      </c>
      <c r="L719" s="184" t="s">
        <v>598</v>
      </c>
      <c r="M719" s="184" t="s">
        <v>1926</v>
      </c>
      <c r="N719" s="184" t="s">
        <v>42</v>
      </c>
      <c r="O719" s="184" t="s">
        <v>598</v>
      </c>
      <c r="P719" s="186" t="s">
        <v>73</v>
      </c>
      <c r="Q719" s="184" t="s">
        <v>598</v>
      </c>
      <c r="R719" s="184" t="s">
        <v>598</v>
      </c>
      <c r="S719" s="127" t="s">
        <v>598</v>
      </c>
      <c r="T719" s="184" t="s">
        <v>598</v>
      </c>
      <c r="U719" s="184" t="s">
        <v>598</v>
      </c>
      <c r="V719" s="185">
        <v>0</v>
      </c>
      <c r="W719" s="184" t="s">
        <v>485</v>
      </c>
      <c r="X719" s="184" t="s">
        <v>598</v>
      </c>
      <c r="Y719" s="185">
        <v>0</v>
      </c>
      <c r="Z719" s="184" t="s">
        <v>598</v>
      </c>
      <c r="AA719" s="21" t="s">
        <v>610</v>
      </c>
      <c r="AB719" s="176" t="s">
        <v>489</v>
      </c>
      <c r="AC719" s="172">
        <v>42996.328472222223</v>
      </c>
      <c r="AD719" s="32" t="s">
        <v>552</v>
      </c>
    </row>
    <row r="720" spans="1:30">
      <c r="A720" s="184">
        <v>719</v>
      </c>
      <c r="B720" s="184" t="s">
        <v>2045</v>
      </c>
      <c r="C720" s="184" t="s">
        <v>598</v>
      </c>
      <c r="D720" s="127">
        <v>42879</v>
      </c>
      <c r="E720" s="127" t="s">
        <v>598</v>
      </c>
      <c r="F720" s="184" t="s">
        <v>2046</v>
      </c>
      <c r="G720" s="185">
        <v>3944000</v>
      </c>
      <c r="H720" s="184" t="s">
        <v>598</v>
      </c>
      <c r="I720" s="184" t="s">
        <v>134</v>
      </c>
      <c r="J720" s="184" t="s">
        <v>84</v>
      </c>
      <c r="K720" s="184" t="s">
        <v>276</v>
      </c>
      <c r="L720" s="184" t="s">
        <v>598</v>
      </c>
      <c r="M720" s="184" t="s">
        <v>598</v>
      </c>
      <c r="N720" s="184" t="s">
        <v>42</v>
      </c>
      <c r="O720" s="184" t="s">
        <v>598</v>
      </c>
      <c r="P720" s="186" t="s">
        <v>601</v>
      </c>
      <c r="Q720" s="184" t="s">
        <v>598</v>
      </c>
      <c r="R720" s="184" t="s">
        <v>598</v>
      </c>
      <c r="S720" s="127">
        <v>42889</v>
      </c>
      <c r="T720" s="184" t="s">
        <v>10</v>
      </c>
      <c r="U720" s="184" t="s">
        <v>598</v>
      </c>
      <c r="V720" s="185">
        <v>3000</v>
      </c>
      <c r="W720" s="184" t="s">
        <v>493</v>
      </c>
      <c r="X720" s="184" t="s">
        <v>598</v>
      </c>
      <c r="Y720" s="185">
        <v>0</v>
      </c>
      <c r="Z720" s="184" t="s">
        <v>598</v>
      </c>
      <c r="AA720" s="21" t="s">
        <v>610</v>
      </c>
      <c r="AB720" s="176" t="s">
        <v>489</v>
      </c>
      <c r="AC720" s="172">
        <v>42996.328472222223</v>
      </c>
      <c r="AD720" s="32" t="s">
        <v>552</v>
      </c>
    </row>
    <row r="721" spans="1:30">
      <c r="A721" s="184">
        <v>720</v>
      </c>
      <c r="B721" s="184" t="s">
        <v>2047</v>
      </c>
      <c r="C721" s="184" t="s">
        <v>598</v>
      </c>
      <c r="D721" s="127">
        <v>42878</v>
      </c>
      <c r="E721" s="127" t="s">
        <v>598</v>
      </c>
      <c r="F721" s="184" t="s">
        <v>2048</v>
      </c>
      <c r="G721" s="185">
        <v>211730000</v>
      </c>
      <c r="H721" s="184" t="s">
        <v>598</v>
      </c>
      <c r="I721" s="184" t="s">
        <v>115</v>
      </c>
      <c r="J721" s="184" t="s">
        <v>84</v>
      </c>
      <c r="K721" s="184" t="s">
        <v>598</v>
      </c>
      <c r="L721" s="184" t="s">
        <v>598</v>
      </c>
      <c r="M721" s="184" t="s">
        <v>1951</v>
      </c>
      <c r="N721" s="184" t="s">
        <v>42</v>
      </c>
      <c r="O721" s="184" t="s">
        <v>73</v>
      </c>
      <c r="P721" s="186" t="s">
        <v>32</v>
      </c>
      <c r="Q721" s="184" t="s">
        <v>598</v>
      </c>
      <c r="R721" s="184" t="s">
        <v>598</v>
      </c>
      <c r="S721" s="127" t="s">
        <v>598</v>
      </c>
      <c r="T721" s="184" t="s">
        <v>598</v>
      </c>
      <c r="U721" s="184" t="s">
        <v>598</v>
      </c>
      <c r="V721" s="185">
        <v>0</v>
      </c>
      <c r="W721" s="184" t="s">
        <v>485</v>
      </c>
      <c r="X721" s="184" t="s">
        <v>598</v>
      </c>
      <c r="Y721" s="185">
        <v>0</v>
      </c>
      <c r="Z721" s="184" t="s">
        <v>598</v>
      </c>
      <c r="AA721" s="21" t="s">
        <v>610</v>
      </c>
      <c r="AB721" s="176" t="s">
        <v>489</v>
      </c>
      <c r="AC721" s="172">
        <v>42996.328472222223</v>
      </c>
      <c r="AD721" s="32" t="s">
        <v>552</v>
      </c>
    </row>
    <row r="722" spans="1:30">
      <c r="A722" s="184">
        <v>721</v>
      </c>
      <c r="B722" s="184" t="s">
        <v>2049</v>
      </c>
      <c r="C722" s="184" t="s">
        <v>598</v>
      </c>
      <c r="D722" s="127">
        <v>42878</v>
      </c>
      <c r="E722" s="127" t="s">
        <v>598</v>
      </c>
      <c r="F722" s="184" t="s">
        <v>2050</v>
      </c>
      <c r="G722" s="185">
        <v>2754000</v>
      </c>
      <c r="H722" s="184" t="s">
        <v>598</v>
      </c>
      <c r="I722" s="184" t="s">
        <v>598</v>
      </c>
      <c r="J722" s="184" t="s">
        <v>84</v>
      </c>
      <c r="K722" s="184" t="s">
        <v>378</v>
      </c>
      <c r="L722" s="184" t="s">
        <v>598</v>
      </c>
      <c r="M722" s="184" t="s">
        <v>2051</v>
      </c>
      <c r="N722" s="184" t="s">
        <v>42</v>
      </c>
      <c r="O722" s="184" t="s">
        <v>42</v>
      </c>
      <c r="P722" s="186" t="s">
        <v>53</v>
      </c>
      <c r="Q722" s="184" t="s">
        <v>598</v>
      </c>
      <c r="R722" s="184" t="s">
        <v>598</v>
      </c>
      <c r="S722" s="127" t="s">
        <v>598</v>
      </c>
      <c r="T722" s="184" t="s">
        <v>598</v>
      </c>
      <c r="U722" s="184" t="s">
        <v>598</v>
      </c>
      <c r="V722" s="185">
        <v>0</v>
      </c>
      <c r="W722" s="184" t="s">
        <v>485</v>
      </c>
      <c r="X722" s="184" t="s">
        <v>598</v>
      </c>
      <c r="Y722" s="185">
        <v>0</v>
      </c>
      <c r="Z722" s="184" t="s">
        <v>598</v>
      </c>
      <c r="AA722" s="21" t="s">
        <v>610</v>
      </c>
      <c r="AB722" s="176" t="s">
        <v>489</v>
      </c>
      <c r="AC722" s="172">
        <v>42996.328472222223</v>
      </c>
      <c r="AD722" s="32" t="s">
        <v>552</v>
      </c>
    </row>
    <row r="723" spans="1:30">
      <c r="A723" s="184">
        <v>722</v>
      </c>
      <c r="B723" s="184" t="s">
        <v>2052</v>
      </c>
      <c r="C723" s="184" t="s">
        <v>598</v>
      </c>
      <c r="D723" s="127">
        <v>42878</v>
      </c>
      <c r="E723" s="127" t="s">
        <v>598</v>
      </c>
      <c r="F723" s="184" t="s">
        <v>2053</v>
      </c>
      <c r="G723" s="185">
        <v>17876000</v>
      </c>
      <c r="H723" s="184" t="s">
        <v>598</v>
      </c>
      <c r="I723" s="184" t="s">
        <v>120</v>
      </c>
      <c r="J723" s="184" t="s">
        <v>84</v>
      </c>
      <c r="K723" s="184" t="s">
        <v>276</v>
      </c>
      <c r="L723" s="184" t="s">
        <v>598</v>
      </c>
      <c r="M723" s="184" t="s">
        <v>598</v>
      </c>
      <c r="N723" s="184" t="s">
        <v>42</v>
      </c>
      <c r="O723" s="184" t="s">
        <v>42</v>
      </c>
      <c r="P723" s="186" t="s">
        <v>44</v>
      </c>
      <c r="Q723" s="184" t="s">
        <v>598</v>
      </c>
      <c r="R723" s="184" t="s">
        <v>598</v>
      </c>
      <c r="S723" s="127">
        <v>42895</v>
      </c>
      <c r="T723" s="184" t="s">
        <v>10</v>
      </c>
      <c r="U723" s="184" t="s">
        <v>598</v>
      </c>
      <c r="V723" s="185">
        <v>10000</v>
      </c>
      <c r="W723" s="184" t="s">
        <v>493</v>
      </c>
      <c r="X723" s="184" t="s">
        <v>598</v>
      </c>
      <c r="Y723" s="185">
        <v>0</v>
      </c>
      <c r="Z723" s="184" t="s">
        <v>598</v>
      </c>
      <c r="AA723" s="21" t="s">
        <v>610</v>
      </c>
      <c r="AB723" s="176" t="s">
        <v>489</v>
      </c>
      <c r="AC723" s="172">
        <v>42996.328472222223</v>
      </c>
      <c r="AD723" s="32" t="s">
        <v>552</v>
      </c>
    </row>
    <row r="724" spans="1:30">
      <c r="A724" s="184">
        <v>723</v>
      </c>
      <c r="B724" s="184" t="s">
        <v>2054</v>
      </c>
      <c r="C724" s="184" t="s">
        <v>598</v>
      </c>
      <c r="D724" s="127">
        <v>42877</v>
      </c>
      <c r="E724" s="127" t="s">
        <v>598</v>
      </c>
      <c r="F724" s="184" t="s">
        <v>2055</v>
      </c>
      <c r="G724" s="185">
        <v>3560000</v>
      </c>
      <c r="H724" s="184" t="s">
        <v>598</v>
      </c>
      <c r="I724" s="184" t="s">
        <v>598</v>
      </c>
      <c r="J724" s="184" t="s">
        <v>84</v>
      </c>
      <c r="K724" s="184" t="s">
        <v>598</v>
      </c>
      <c r="L724" s="184" t="s">
        <v>598</v>
      </c>
      <c r="M724" s="184" t="s">
        <v>598</v>
      </c>
      <c r="N724" s="184" t="s">
        <v>42</v>
      </c>
      <c r="O724" s="184" t="s">
        <v>598</v>
      </c>
      <c r="P724" s="186" t="s">
        <v>67</v>
      </c>
      <c r="Q724" s="184" t="s">
        <v>598</v>
      </c>
      <c r="R724" s="184" t="s">
        <v>598</v>
      </c>
      <c r="S724" s="127">
        <v>42889</v>
      </c>
      <c r="T724" s="184" t="s">
        <v>10</v>
      </c>
      <c r="U724" s="184" t="s">
        <v>598</v>
      </c>
      <c r="V724" s="185">
        <v>3000</v>
      </c>
      <c r="W724" s="184" t="s">
        <v>493</v>
      </c>
      <c r="X724" s="184" t="s">
        <v>598</v>
      </c>
      <c r="Y724" s="185">
        <v>0</v>
      </c>
      <c r="Z724" s="184" t="s">
        <v>598</v>
      </c>
      <c r="AA724" s="21" t="s">
        <v>610</v>
      </c>
      <c r="AB724" s="176" t="s">
        <v>489</v>
      </c>
      <c r="AC724" s="172">
        <v>42996.328472222223</v>
      </c>
      <c r="AD724" s="32" t="s">
        <v>552</v>
      </c>
    </row>
    <row r="725" spans="1:30">
      <c r="A725" s="184">
        <v>724</v>
      </c>
      <c r="B725" s="184" t="s">
        <v>2056</v>
      </c>
      <c r="C725" s="184" t="s">
        <v>598</v>
      </c>
      <c r="D725" s="127">
        <v>42877</v>
      </c>
      <c r="E725" s="127" t="s">
        <v>598</v>
      </c>
      <c r="F725" s="184" t="s">
        <v>2057</v>
      </c>
      <c r="G725" s="185">
        <v>3949000</v>
      </c>
      <c r="H725" s="184" t="s">
        <v>598</v>
      </c>
      <c r="I725" s="184" t="s">
        <v>134</v>
      </c>
      <c r="J725" s="184" t="s">
        <v>84</v>
      </c>
      <c r="K725" s="184" t="s">
        <v>301</v>
      </c>
      <c r="L725" s="184" t="s">
        <v>598</v>
      </c>
      <c r="M725" s="184" t="s">
        <v>73</v>
      </c>
      <c r="N725" s="184" t="s">
        <v>42</v>
      </c>
      <c r="O725" s="184" t="s">
        <v>73</v>
      </c>
      <c r="P725" s="186" t="s">
        <v>602</v>
      </c>
      <c r="Q725" s="184" t="s">
        <v>598</v>
      </c>
      <c r="R725" s="184" t="s">
        <v>598</v>
      </c>
      <c r="S725" s="127" t="s">
        <v>598</v>
      </c>
      <c r="T725" s="184" t="s">
        <v>598</v>
      </c>
      <c r="U725" s="184" t="s">
        <v>598</v>
      </c>
      <c r="V725" s="185">
        <v>0</v>
      </c>
      <c r="W725" s="184" t="s">
        <v>485</v>
      </c>
      <c r="X725" s="184" t="s">
        <v>598</v>
      </c>
      <c r="Y725" s="185">
        <v>0</v>
      </c>
      <c r="Z725" s="184" t="s">
        <v>598</v>
      </c>
      <c r="AA725" s="21" t="s">
        <v>610</v>
      </c>
      <c r="AB725" s="176" t="s">
        <v>489</v>
      </c>
      <c r="AC725" s="172">
        <v>42996.328472222223</v>
      </c>
      <c r="AD725" s="32" t="s">
        <v>552</v>
      </c>
    </row>
    <row r="726" spans="1:30">
      <c r="A726" s="184">
        <v>725</v>
      </c>
      <c r="B726" s="184" t="s">
        <v>2058</v>
      </c>
      <c r="C726" s="184" t="s">
        <v>598</v>
      </c>
      <c r="D726" s="127">
        <v>42875</v>
      </c>
      <c r="E726" s="127" t="s">
        <v>598</v>
      </c>
      <c r="F726" s="184" t="s">
        <v>2059</v>
      </c>
      <c r="G726" s="185">
        <v>43595000</v>
      </c>
      <c r="H726" s="184" t="s">
        <v>598</v>
      </c>
      <c r="I726" s="184" t="s">
        <v>134</v>
      </c>
      <c r="J726" s="184" t="s">
        <v>84</v>
      </c>
      <c r="K726" s="184" t="s">
        <v>281</v>
      </c>
      <c r="L726" s="184" t="s">
        <v>598</v>
      </c>
      <c r="M726" s="184" t="s">
        <v>2060</v>
      </c>
      <c r="N726" s="184" t="s">
        <v>42</v>
      </c>
      <c r="O726" s="184" t="s">
        <v>598</v>
      </c>
      <c r="P726" s="186" t="s">
        <v>603</v>
      </c>
      <c r="Q726" s="184" t="s">
        <v>598</v>
      </c>
      <c r="R726" s="184" t="s">
        <v>598</v>
      </c>
      <c r="S726" s="127" t="s">
        <v>598</v>
      </c>
      <c r="T726" s="184" t="s">
        <v>598</v>
      </c>
      <c r="U726" s="184" t="s">
        <v>598</v>
      </c>
      <c r="V726" s="185">
        <v>0</v>
      </c>
      <c r="W726" s="184" t="s">
        <v>485</v>
      </c>
      <c r="X726" s="184" t="s">
        <v>598</v>
      </c>
      <c r="Y726" s="185">
        <v>0</v>
      </c>
      <c r="Z726" s="184" t="s">
        <v>598</v>
      </c>
      <c r="AA726" s="21" t="s">
        <v>610</v>
      </c>
      <c r="AB726" s="176" t="s">
        <v>489</v>
      </c>
      <c r="AC726" s="172">
        <v>42996.328472222223</v>
      </c>
      <c r="AD726" s="32" t="s">
        <v>552</v>
      </c>
    </row>
    <row r="727" spans="1:30">
      <c r="A727" s="184">
        <v>726</v>
      </c>
      <c r="B727" s="184" t="s">
        <v>2061</v>
      </c>
      <c r="C727" s="184" t="s">
        <v>598</v>
      </c>
      <c r="D727" s="127">
        <v>42875</v>
      </c>
      <c r="E727" s="127" t="s">
        <v>598</v>
      </c>
      <c r="F727" s="184" t="s">
        <v>2062</v>
      </c>
      <c r="G727" s="185">
        <v>4600000</v>
      </c>
      <c r="H727" s="184" t="s">
        <v>598</v>
      </c>
      <c r="I727" s="184" t="s">
        <v>122</v>
      </c>
      <c r="J727" s="184" t="s">
        <v>84</v>
      </c>
      <c r="K727" s="184" t="s">
        <v>598</v>
      </c>
      <c r="L727" s="184" t="s">
        <v>598</v>
      </c>
      <c r="M727" s="184" t="s">
        <v>598</v>
      </c>
      <c r="N727" s="184" t="s">
        <v>42</v>
      </c>
      <c r="O727" s="184" t="s">
        <v>598</v>
      </c>
      <c r="P727" s="186" t="s">
        <v>604</v>
      </c>
      <c r="Q727" s="184" t="s">
        <v>598</v>
      </c>
      <c r="R727" s="184" t="s">
        <v>598</v>
      </c>
      <c r="S727" s="127">
        <v>42888</v>
      </c>
      <c r="T727" s="184" t="s">
        <v>10</v>
      </c>
      <c r="U727" s="184" t="s">
        <v>598</v>
      </c>
      <c r="V727" s="185">
        <v>3000</v>
      </c>
      <c r="W727" s="184" t="s">
        <v>493</v>
      </c>
      <c r="X727" s="184" t="s">
        <v>598</v>
      </c>
      <c r="Y727" s="185">
        <v>0</v>
      </c>
      <c r="Z727" s="184" t="s">
        <v>598</v>
      </c>
      <c r="AA727" s="21" t="s">
        <v>610</v>
      </c>
      <c r="AB727" s="176" t="s">
        <v>489</v>
      </c>
      <c r="AC727" s="172">
        <v>42996.328472222223</v>
      </c>
      <c r="AD727" s="32" t="s">
        <v>552</v>
      </c>
    </row>
    <row r="728" spans="1:30">
      <c r="A728" s="184">
        <v>727</v>
      </c>
      <c r="B728" s="184" t="s">
        <v>2063</v>
      </c>
      <c r="C728" s="184" t="s">
        <v>598</v>
      </c>
      <c r="D728" s="127">
        <v>42874</v>
      </c>
      <c r="E728" s="127" t="s">
        <v>598</v>
      </c>
      <c r="F728" s="184" t="s">
        <v>2064</v>
      </c>
      <c r="G728" s="185">
        <v>8295000</v>
      </c>
      <c r="H728" s="184" t="s">
        <v>598</v>
      </c>
      <c r="I728" s="184" t="s">
        <v>134</v>
      </c>
      <c r="J728" s="184" t="s">
        <v>84</v>
      </c>
      <c r="K728" s="184" t="s">
        <v>192</v>
      </c>
      <c r="L728" s="184" t="s">
        <v>598</v>
      </c>
      <c r="M728" s="184" t="s">
        <v>1933</v>
      </c>
      <c r="N728" s="184" t="s">
        <v>42</v>
      </c>
      <c r="O728" s="184" t="s">
        <v>42</v>
      </c>
      <c r="P728" s="186" t="s">
        <v>605</v>
      </c>
      <c r="Q728" s="184" t="s">
        <v>598</v>
      </c>
      <c r="R728" s="184" t="s">
        <v>598</v>
      </c>
      <c r="S728" s="127" t="s">
        <v>598</v>
      </c>
      <c r="T728" s="184" t="s">
        <v>598</v>
      </c>
      <c r="U728" s="184" t="s">
        <v>598</v>
      </c>
      <c r="V728" s="185">
        <v>0</v>
      </c>
      <c r="W728" s="184" t="s">
        <v>485</v>
      </c>
      <c r="X728" s="184" t="s">
        <v>598</v>
      </c>
      <c r="Y728" s="185">
        <v>0</v>
      </c>
      <c r="Z728" s="184" t="s">
        <v>598</v>
      </c>
      <c r="AA728" s="21" t="s">
        <v>610</v>
      </c>
      <c r="AB728" s="176" t="s">
        <v>489</v>
      </c>
      <c r="AC728" s="172">
        <v>42996.328472222223</v>
      </c>
      <c r="AD728" s="32" t="s">
        <v>552</v>
      </c>
    </row>
    <row r="729" spans="1:30">
      <c r="A729" s="184">
        <v>728</v>
      </c>
      <c r="B729" s="184" t="s">
        <v>2065</v>
      </c>
      <c r="C729" s="184" t="s">
        <v>598</v>
      </c>
      <c r="D729" s="127">
        <v>42874</v>
      </c>
      <c r="E729" s="127" t="s">
        <v>598</v>
      </c>
      <c r="F729" s="184" t="s">
        <v>2066</v>
      </c>
      <c r="G729" s="185">
        <v>8188000</v>
      </c>
      <c r="H729" s="184" t="s">
        <v>598</v>
      </c>
      <c r="I729" s="184" t="s">
        <v>134</v>
      </c>
      <c r="J729" s="184" t="s">
        <v>84</v>
      </c>
      <c r="K729" s="184" t="s">
        <v>379</v>
      </c>
      <c r="L729" s="184" t="s">
        <v>598</v>
      </c>
      <c r="M729" s="184" t="s">
        <v>598</v>
      </c>
      <c r="N729" s="184" t="s">
        <v>42</v>
      </c>
      <c r="O729" s="184" t="s">
        <v>598</v>
      </c>
      <c r="P729" s="186" t="s">
        <v>606</v>
      </c>
      <c r="Q729" s="184" t="s">
        <v>598</v>
      </c>
      <c r="R729" s="184" t="s">
        <v>598</v>
      </c>
      <c r="S729" s="127" t="s">
        <v>598</v>
      </c>
      <c r="T729" s="184" t="s">
        <v>598</v>
      </c>
      <c r="U729" s="184" t="s">
        <v>598</v>
      </c>
      <c r="V729" s="185">
        <v>0</v>
      </c>
      <c r="W729" s="184" t="s">
        <v>485</v>
      </c>
      <c r="X729" s="184" t="s">
        <v>598</v>
      </c>
      <c r="Y729" s="185">
        <v>0</v>
      </c>
      <c r="Z729" s="184" t="s">
        <v>598</v>
      </c>
      <c r="AA729" s="21" t="s">
        <v>610</v>
      </c>
      <c r="AB729" s="176" t="s">
        <v>489</v>
      </c>
      <c r="AC729" s="172">
        <v>42996.328472222223</v>
      </c>
      <c r="AD729" s="32" t="s">
        <v>552</v>
      </c>
    </row>
    <row r="730" spans="1:30">
      <c r="A730" s="184">
        <v>729</v>
      </c>
      <c r="B730" s="184" t="s">
        <v>2067</v>
      </c>
      <c r="C730" s="184" t="s">
        <v>598</v>
      </c>
      <c r="D730" s="127">
        <v>42874</v>
      </c>
      <c r="E730" s="127" t="s">
        <v>598</v>
      </c>
      <c r="F730" s="184" t="s">
        <v>2068</v>
      </c>
      <c r="G730" s="185">
        <v>74866000</v>
      </c>
      <c r="H730" s="184" t="s">
        <v>598</v>
      </c>
      <c r="I730" s="184" t="s">
        <v>598</v>
      </c>
      <c r="J730" s="184" t="s">
        <v>84</v>
      </c>
      <c r="K730" s="184" t="s">
        <v>380</v>
      </c>
      <c r="L730" s="184" t="s">
        <v>598</v>
      </c>
      <c r="M730" s="184" t="s">
        <v>2069</v>
      </c>
      <c r="N730" s="184" t="s">
        <v>42</v>
      </c>
      <c r="O730" s="184" t="s">
        <v>42</v>
      </c>
      <c r="P730" s="186" t="s">
        <v>607</v>
      </c>
      <c r="Q730" s="184" t="s">
        <v>598</v>
      </c>
      <c r="R730" s="184" t="s">
        <v>598</v>
      </c>
      <c r="S730" s="127" t="s">
        <v>598</v>
      </c>
      <c r="T730" s="184" t="s">
        <v>598</v>
      </c>
      <c r="U730" s="184" t="s">
        <v>598</v>
      </c>
      <c r="V730" s="185">
        <v>0</v>
      </c>
      <c r="W730" s="184" t="s">
        <v>485</v>
      </c>
      <c r="X730" s="184" t="s">
        <v>598</v>
      </c>
      <c r="Y730" s="185">
        <v>0</v>
      </c>
      <c r="Z730" s="184" t="s">
        <v>598</v>
      </c>
      <c r="AA730" s="21" t="s">
        <v>610</v>
      </c>
      <c r="AB730" s="176" t="s">
        <v>489</v>
      </c>
      <c r="AC730" s="172">
        <v>42996.328472222223</v>
      </c>
      <c r="AD730" s="32" t="s">
        <v>552</v>
      </c>
    </row>
    <row r="731" spans="1:30">
      <c r="A731" s="184">
        <v>730</v>
      </c>
      <c r="B731" s="184" t="s">
        <v>2070</v>
      </c>
      <c r="C731" s="184" t="s">
        <v>598</v>
      </c>
      <c r="D731" s="127">
        <v>42874</v>
      </c>
      <c r="E731" s="127" t="s">
        <v>598</v>
      </c>
      <c r="F731" s="184" t="s">
        <v>2071</v>
      </c>
      <c r="G731" s="185">
        <v>2911000</v>
      </c>
      <c r="H731" s="184" t="s">
        <v>598</v>
      </c>
      <c r="I731" s="184" t="s">
        <v>134</v>
      </c>
      <c r="J731" s="184" t="s">
        <v>84</v>
      </c>
      <c r="K731" s="184" t="s">
        <v>192</v>
      </c>
      <c r="L731" s="184" t="s">
        <v>598</v>
      </c>
      <c r="M731" s="184" t="s">
        <v>2008</v>
      </c>
      <c r="N731" s="184" t="s">
        <v>42</v>
      </c>
      <c r="O731" s="184" t="s">
        <v>598</v>
      </c>
      <c r="P731" s="186" t="s">
        <v>73</v>
      </c>
      <c r="Q731" s="184" t="s">
        <v>598</v>
      </c>
      <c r="R731" s="184" t="s">
        <v>598</v>
      </c>
      <c r="S731" s="127" t="s">
        <v>598</v>
      </c>
      <c r="T731" s="184" t="s">
        <v>598</v>
      </c>
      <c r="U731" s="184" t="s">
        <v>598</v>
      </c>
      <c r="V731" s="185">
        <v>0</v>
      </c>
      <c r="W731" s="184" t="s">
        <v>485</v>
      </c>
      <c r="X731" s="184" t="s">
        <v>598</v>
      </c>
      <c r="Y731" s="185">
        <v>0</v>
      </c>
      <c r="Z731" s="184" t="s">
        <v>598</v>
      </c>
      <c r="AA731" s="21" t="s">
        <v>610</v>
      </c>
      <c r="AB731" s="176" t="s">
        <v>489</v>
      </c>
      <c r="AC731" s="172">
        <v>42996.328472222223</v>
      </c>
      <c r="AD731" s="32" t="s">
        <v>552</v>
      </c>
    </row>
    <row r="732" spans="1:30">
      <c r="A732" s="184">
        <v>731</v>
      </c>
      <c r="B732" s="184" t="s">
        <v>2072</v>
      </c>
      <c r="C732" s="184" t="s">
        <v>598</v>
      </c>
      <c r="D732" s="127">
        <v>42874</v>
      </c>
      <c r="E732" s="127" t="s">
        <v>598</v>
      </c>
      <c r="F732" s="184" t="s">
        <v>2073</v>
      </c>
      <c r="G732" s="185">
        <v>4201000</v>
      </c>
      <c r="H732" s="184" t="s">
        <v>598</v>
      </c>
      <c r="I732" s="184" t="s">
        <v>134</v>
      </c>
      <c r="J732" s="184" t="s">
        <v>84</v>
      </c>
      <c r="K732" s="184" t="s">
        <v>192</v>
      </c>
      <c r="L732" s="184" t="s">
        <v>598</v>
      </c>
      <c r="M732" s="184" t="s">
        <v>1954</v>
      </c>
      <c r="N732" s="184" t="s">
        <v>42</v>
      </c>
      <c r="O732" s="184" t="s">
        <v>598</v>
      </c>
      <c r="P732" s="186" t="s">
        <v>601</v>
      </c>
      <c r="Q732" s="184" t="s">
        <v>598</v>
      </c>
      <c r="R732" s="184" t="s">
        <v>598</v>
      </c>
      <c r="S732" s="127" t="s">
        <v>598</v>
      </c>
      <c r="T732" s="184" t="s">
        <v>598</v>
      </c>
      <c r="U732" s="184" t="s">
        <v>598</v>
      </c>
      <c r="V732" s="185">
        <v>0</v>
      </c>
      <c r="W732" s="184" t="s">
        <v>485</v>
      </c>
      <c r="X732" s="184" t="s">
        <v>598</v>
      </c>
      <c r="Y732" s="185">
        <v>0</v>
      </c>
      <c r="Z732" s="184" t="s">
        <v>598</v>
      </c>
      <c r="AA732" s="21" t="s">
        <v>610</v>
      </c>
      <c r="AB732" s="176" t="s">
        <v>489</v>
      </c>
      <c r="AC732" s="172">
        <v>42996.328472222223</v>
      </c>
      <c r="AD732" s="32" t="s">
        <v>552</v>
      </c>
    </row>
    <row r="733" spans="1:30">
      <c r="A733" s="184">
        <v>732</v>
      </c>
      <c r="B733" s="184" t="s">
        <v>2074</v>
      </c>
      <c r="C733" s="184" t="s">
        <v>598</v>
      </c>
      <c r="D733" s="127">
        <v>42874</v>
      </c>
      <c r="E733" s="127" t="s">
        <v>598</v>
      </c>
      <c r="F733" s="184" t="s">
        <v>2075</v>
      </c>
      <c r="G733" s="185">
        <v>5805000</v>
      </c>
      <c r="H733" s="184" t="s">
        <v>598</v>
      </c>
      <c r="I733" s="184" t="s">
        <v>598</v>
      </c>
      <c r="J733" s="184" t="s">
        <v>84</v>
      </c>
      <c r="K733" s="184" t="s">
        <v>381</v>
      </c>
      <c r="L733" s="184" t="s">
        <v>598</v>
      </c>
      <c r="M733" s="184" t="s">
        <v>598</v>
      </c>
      <c r="N733" s="184" t="s">
        <v>42</v>
      </c>
      <c r="O733" s="184" t="s">
        <v>598</v>
      </c>
      <c r="P733" s="186" t="s">
        <v>601</v>
      </c>
      <c r="Q733" s="184" t="s">
        <v>598</v>
      </c>
      <c r="R733" s="184" t="s">
        <v>598</v>
      </c>
      <c r="S733" s="127" t="s">
        <v>598</v>
      </c>
      <c r="T733" s="184" t="s">
        <v>598</v>
      </c>
      <c r="U733" s="184" t="s">
        <v>598</v>
      </c>
      <c r="V733" s="185">
        <v>0</v>
      </c>
      <c r="W733" s="184" t="s">
        <v>485</v>
      </c>
      <c r="X733" s="184" t="s">
        <v>598</v>
      </c>
      <c r="Y733" s="185">
        <v>0</v>
      </c>
      <c r="Z733" s="184" t="s">
        <v>598</v>
      </c>
      <c r="AA733" s="21" t="s">
        <v>610</v>
      </c>
      <c r="AB733" s="176" t="s">
        <v>489</v>
      </c>
      <c r="AC733" s="172">
        <v>42996.328472222223</v>
      </c>
      <c r="AD733" s="32" t="s">
        <v>552</v>
      </c>
    </row>
    <row r="734" spans="1:30">
      <c r="A734" s="184">
        <v>733</v>
      </c>
      <c r="B734" s="184" t="s">
        <v>2076</v>
      </c>
      <c r="C734" s="184" t="s">
        <v>598</v>
      </c>
      <c r="D734" s="127">
        <v>42872</v>
      </c>
      <c r="E734" s="127" t="s">
        <v>598</v>
      </c>
      <c r="F734" s="184" t="s">
        <v>2077</v>
      </c>
      <c r="G734" s="185">
        <v>4124000</v>
      </c>
      <c r="H734" s="184" t="s">
        <v>598</v>
      </c>
      <c r="I734" s="184" t="s">
        <v>598</v>
      </c>
      <c r="J734" s="184" t="s">
        <v>84</v>
      </c>
      <c r="K734" s="184" t="s">
        <v>598</v>
      </c>
      <c r="L734" s="184" t="s">
        <v>598</v>
      </c>
      <c r="M734" s="184" t="s">
        <v>2078</v>
      </c>
      <c r="N734" s="184" t="s">
        <v>42</v>
      </c>
      <c r="O734" s="184" t="s">
        <v>42</v>
      </c>
      <c r="P734" s="186" t="s">
        <v>32</v>
      </c>
      <c r="Q734" s="184" t="s">
        <v>598</v>
      </c>
      <c r="R734" s="184" t="s">
        <v>598</v>
      </c>
      <c r="S734" s="127">
        <v>42888</v>
      </c>
      <c r="T734" s="184" t="s">
        <v>10</v>
      </c>
      <c r="U734" s="184" t="s">
        <v>598</v>
      </c>
      <c r="V734" s="185">
        <v>3000</v>
      </c>
      <c r="W734" s="184" t="s">
        <v>493</v>
      </c>
      <c r="X734" s="184" t="s">
        <v>598</v>
      </c>
      <c r="Y734" s="185">
        <v>0</v>
      </c>
      <c r="Z734" s="184" t="s">
        <v>598</v>
      </c>
      <c r="AA734" s="21" t="s">
        <v>610</v>
      </c>
      <c r="AB734" s="176" t="s">
        <v>489</v>
      </c>
      <c r="AC734" s="172">
        <v>42996.328472222223</v>
      </c>
      <c r="AD734" s="32" t="s">
        <v>552</v>
      </c>
    </row>
    <row r="735" spans="1:30">
      <c r="A735" s="184">
        <v>734</v>
      </c>
      <c r="B735" s="184" t="s">
        <v>2079</v>
      </c>
      <c r="C735" s="184" t="s">
        <v>598</v>
      </c>
      <c r="D735" s="127">
        <v>42871</v>
      </c>
      <c r="E735" s="127" t="s">
        <v>598</v>
      </c>
      <c r="F735" s="184" t="s">
        <v>2080</v>
      </c>
      <c r="G735" s="185">
        <v>6432000</v>
      </c>
      <c r="H735" s="184" t="s">
        <v>598</v>
      </c>
      <c r="I735" s="184" t="s">
        <v>122</v>
      </c>
      <c r="J735" s="184" t="s">
        <v>84</v>
      </c>
      <c r="K735" s="184" t="s">
        <v>293</v>
      </c>
      <c r="L735" s="184" t="s">
        <v>598</v>
      </c>
      <c r="M735" s="184" t="s">
        <v>598</v>
      </c>
      <c r="N735" s="184" t="s">
        <v>42</v>
      </c>
      <c r="O735" s="184" t="s">
        <v>598</v>
      </c>
      <c r="P735" s="186" t="s">
        <v>53</v>
      </c>
      <c r="Q735" s="184" t="s">
        <v>598</v>
      </c>
      <c r="R735" s="184" t="s">
        <v>598</v>
      </c>
      <c r="S735" s="127">
        <v>42888</v>
      </c>
      <c r="T735" s="184" t="s">
        <v>10</v>
      </c>
      <c r="U735" s="184" t="s">
        <v>598</v>
      </c>
      <c r="V735" s="185">
        <v>3000</v>
      </c>
      <c r="W735" s="184" t="s">
        <v>493</v>
      </c>
      <c r="X735" s="184" t="s">
        <v>598</v>
      </c>
      <c r="Y735" s="185">
        <v>0</v>
      </c>
      <c r="Z735" s="184" t="s">
        <v>598</v>
      </c>
      <c r="AA735" s="21" t="s">
        <v>610</v>
      </c>
      <c r="AB735" s="176" t="s">
        <v>489</v>
      </c>
      <c r="AC735" s="172">
        <v>42996.328472222223</v>
      </c>
      <c r="AD735" s="32" t="s">
        <v>552</v>
      </c>
    </row>
    <row r="736" spans="1:30">
      <c r="A736" s="184">
        <v>735</v>
      </c>
      <c r="B736" s="184" t="s">
        <v>2081</v>
      </c>
      <c r="C736" s="184" t="s">
        <v>598</v>
      </c>
      <c r="D736" s="127">
        <v>42868</v>
      </c>
      <c r="E736" s="127" t="s">
        <v>598</v>
      </c>
      <c r="F736" s="184" t="s">
        <v>2082</v>
      </c>
      <c r="G736" s="185">
        <v>0</v>
      </c>
      <c r="H736" s="184" t="s">
        <v>598</v>
      </c>
      <c r="I736" s="184" t="s">
        <v>115</v>
      </c>
      <c r="J736" s="184" t="s">
        <v>84</v>
      </c>
      <c r="K736" s="184" t="s">
        <v>291</v>
      </c>
      <c r="L736" s="184" t="s">
        <v>598</v>
      </c>
      <c r="M736" s="184" t="s">
        <v>1911</v>
      </c>
      <c r="N736" s="184" t="s">
        <v>42</v>
      </c>
      <c r="O736" s="184" t="s">
        <v>42</v>
      </c>
      <c r="P736" s="186" t="s">
        <v>44</v>
      </c>
      <c r="Q736" s="184" t="s">
        <v>598</v>
      </c>
      <c r="R736" s="184" t="s">
        <v>598</v>
      </c>
      <c r="S736" s="127" t="s">
        <v>598</v>
      </c>
      <c r="T736" s="184" t="s">
        <v>598</v>
      </c>
      <c r="U736" s="184" t="s">
        <v>598</v>
      </c>
      <c r="V736" s="185">
        <v>0</v>
      </c>
      <c r="W736" s="184" t="s">
        <v>485</v>
      </c>
      <c r="X736" s="184" t="s">
        <v>598</v>
      </c>
      <c r="Y736" s="185">
        <v>0</v>
      </c>
      <c r="Z736" s="184" t="s">
        <v>598</v>
      </c>
      <c r="AA736" s="21" t="s">
        <v>610</v>
      </c>
      <c r="AB736" s="176" t="s">
        <v>489</v>
      </c>
      <c r="AC736" s="172">
        <v>42996.328472222223</v>
      </c>
      <c r="AD736" s="32" t="s">
        <v>552</v>
      </c>
    </row>
    <row r="737" spans="1:30">
      <c r="A737" s="184">
        <v>736</v>
      </c>
      <c r="B737" s="184" t="s">
        <v>2083</v>
      </c>
      <c r="C737" s="184" t="s">
        <v>598</v>
      </c>
      <c r="D737" s="127">
        <v>42868</v>
      </c>
      <c r="E737" s="127" t="s">
        <v>598</v>
      </c>
      <c r="F737" s="184" t="s">
        <v>2084</v>
      </c>
      <c r="G737" s="185">
        <v>3230000</v>
      </c>
      <c r="H737" s="184" t="s">
        <v>598</v>
      </c>
      <c r="I737" s="184" t="s">
        <v>134</v>
      </c>
      <c r="J737" s="184" t="s">
        <v>84</v>
      </c>
      <c r="K737" s="184" t="s">
        <v>293</v>
      </c>
      <c r="L737" s="184" t="s">
        <v>598</v>
      </c>
      <c r="M737" s="184" t="s">
        <v>2078</v>
      </c>
      <c r="N737" s="184" t="s">
        <v>42</v>
      </c>
      <c r="O737" s="184" t="s">
        <v>598</v>
      </c>
      <c r="P737" s="186" t="s">
        <v>67</v>
      </c>
      <c r="Q737" s="184" t="s">
        <v>598</v>
      </c>
      <c r="R737" s="184" t="s">
        <v>598</v>
      </c>
      <c r="S737" s="127" t="s">
        <v>598</v>
      </c>
      <c r="T737" s="184" t="s">
        <v>598</v>
      </c>
      <c r="U737" s="184" t="s">
        <v>598</v>
      </c>
      <c r="V737" s="185">
        <v>0</v>
      </c>
      <c r="W737" s="184" t="s">
        <v>485</v>
      </c>
      <c r="X737" s="184" t="s">
        <v>598</v>
      </c>
      <c r="Y737" s="185">
        <v>0</v>
      </c>
      <c r="Z737" s="184" t="s">
        <v>598</v>
      </c>
      <c r="AA737" s="21" t="s">
        <v>610</v>
      </c>
      <c r="AB737" s="176" t="s">
        <v>489</v>
      </c>
      <c r="AC737" s="172">
        <v>42996.328472222223</v>
      </c>
      <c r="AD737" s="32" t="s">
        <v>552</v>
      </c>
    </row>
    <row r="738" spans="1:30">
      <c r="A738" s="184">
        <v>737</v>
      </c>
      <c r="B738" s="184" t="s">
        <v>2085</v>
      </c>
      <c r="C738" s="184" t="s">
        <v>598</v>
      </c>
      <c r="D738" s="127">
        <v>42866</v>
      </c>
      <c r="E738" s="127" t="s">
        <v>598</v>
      </c>
      <c r="F738" s="184" t="s">
        <v>2086</v>
      </c>
      <c r="G738" s="185">
        <v>3707000</v>
      </c>
      <c r="H738" s="184" t="s">
        <v>598</v>
      </c>
      <c r="I738" s="184" t="s">
        <v>134</v>
      </c>
      <c r="J738" s="184" t="s">
        <v>84</v>
      </c>
      <c r="K738" s="184" t="s">
        <v>192</v>
      </c>
      <c r="L738" s="184" t="s">
        <v>598</v>
      </c>
      <c r="M738" s="184" t="s">
        <v>1978</v>
      </c>
      <c r="N738" s="184" t="s">
        <v>42</v>
      </c>
      <c r="O738" s="184" t="s">
        <v>598</v>
      </c>
      <c r="P738" s="186" t="s">
        <v>602</v>
      </c>
      <c r="Q738" s="184" t="s">
        <v>598</v>
      </c>
      <c r="R738" s="184" t="s">
        <v>598</v>
      </c>
      <c r="S738" s="127" t="s">
        <v>598</v>
      </c>
      <c r="T738" s="184" t="s">
        <v>598</v>
      </c>
      <c r="U738" s="184" t="s">
        <v>598</v>
      </c>
      <c r="V738" s="185">
        <v>0</v>
      </c>
      <c r="W738" s="184" t="s">
        <v>485</v>
      </c>
      <c r="X738" s="184" t="s">
        <v>598</v>
      </c>
      <c r="Y738" s="185">
        <v>0</v>
      </c>
      <c r="Z738" s="184" t="s">
        <v>598</v>
      </c>
      <c r="AA738" s="21" t="s">
        <v>610</v>
      </c>
      <c r="AB738" s="176" t="s">
        <v>489</v>
      </c>
      <c r="AC738" s="172">
        <v>42996.328472222223</v>
      </c>
      <c r="AD738" s="32" t="s">
        <v>552</v>
      </c>
    </row>
    <row r="739" spans="1:30">
      <c r="A739" s="184">
        <v>738</v>
      </c>
      <c r="B739" s="184" t="s">
        <v>2087</v>
      </c>
      <c r="C739" s="184" t="s">
        <v>598</v>
      </c>
      <c r="D739" s="127">
        <v>42865</v>
      </c>
      <c r="E739" s="127" t="s">
        <v>598</v>
      </c>
      <c r="F739" s="184" t="s">
        <v>2088</v>
      </c>
      <c r="G739" s="185">
        <v>14513000</v>
      </c>
      <c r="H739" s="184" t="s">
        <v>598</v>
      </c>
      <c r="I739" s="184" t="s">
        <v>134</v>
      </c>
      <c r="J739" s="184" t="s">
        <v>84</v>
      </c>
      <c r="K739" s="184" t="s">
        <v>382</v>
      </c>
      <c r="L739" s="184" t="s">
        <v>598</v>
      </c>
      <c r="M739" s="184" t="s">
        <v>598</v>
      </c>
      <c r="N739" s="184" t="s">
        <v>42</v>
      </c>
      <c r="O739" s="184" t="s">
        <v>42</v>
      </c>
      <c r="P739" s="186" t="s">
        <v>603</v>
      </c>
      <c r="Q739" s="184" t="s">
        <v>598</v>
      </c>
      <c r="R739" s="184" t="s">
        <v>804</v>
      </c>
      <c r="S739" s="127" t="s">
        <v>598</v>
      </c>
      <c r="T739" s="184" t="s">
        <v>598</v>
      </c>
      <c r="U739" s="184" t="s">
        <v>598</v>
      </c>
      <c r="V739" s="185">
        <v>0</v>
      </c>
      <c r="W739" s="184" t="s">
        <v>485</v>
      </c>
      <c r="X739" s="184" t="s">
        <v>598</v>
      </c>
      <c r="Y739" s="185">
        <v>0</v>
      </c>
      <c r="Z739" s="184" t="s">
        <v>598</v>
      </c>
      <c r="AA739" s="21" t="s">
        <v>610</v>
      </c>
      <c r="AB739" s="176" t="s">
        <v>489</v>
      </c>
      <c r="AC739" s="172">
        <v>42996.328472222223</v>
      </c>
      <c r="AD739" s="32" t="s">
        <v>552</v>
      </c>
    </row>
    <row r="740" spans="1:30">
      <c r="A740" s="184">
        <v>739</v>
      </c>
      <c r="B740" s="184" t="s">
        <v>2089</v>
      </c>
      <c r="C740" s="184" t="s">
        <v>598</v>
      </c>
      <c r="D740" s="127">
        <v>42865</v>
      </c>
      <c r="E740" s="127" t="s">
        <v>598</v>
      </c>
      <c r="F740" s="184" t="s">
        <v>2090</v>
      </c>
      <c r="G740" s="185">
        <v>3981000</v>
      </c>
      <c r="H740" s="184" t="s">
        <v>598</v>
      </c>
      <c r="I740" s="184" t="s">
        <v>135</v>
      </c>
      <c r="J740" s="184" t="s">
        <v>84</v>
      </c>
      <c r="K740" s="184" t="s">
        <v>192</v>
      </c>
      <c r="L740" s="184" t="s">
        <v>598</v>
      </c>
      <c r="M740" s="184" t="s">
        <v>598</v>
      </c>
      <c r="N740" s="184" t="s">
        <v>42</v>
      </c>
      <c r="O740" s="184" t="s">
        <v>42</v>
      </c>
      <c r="P740" s="186" t="s">
        <v>604</v>
      </c>
      <c r="Q740" s="184" t="s">
        <v>598</v>
      </c>
      <c r="R740" s="184" t="s">
        <v>804</v>
      </c>
      <c r="S740" s="127">
        <v>42888</v>
      </c>
      <c r="T740" s="184" t="s">
        <v>10</v>
      </c>
      <c r="U740" s="184" t="s">
        <v>598</v>
      </c>
      <c r="V740" s="185">
        <v>3000</v>
      </c>
      <c r="W740" s="184" t="s">
        <v>493</v>
      </c>
      <c r="X740" s="184" t="s">
        <v>598</v>
      </c>
      <c r="Y740" s="185">
        <v>0</v>
      </c>
      <c r="Z740" s="184" t="s">
        <v>598</v>
      </c>
      <c r="AA740" s="21" t="s">
        <v>610</v>
      </c>
      <c r="AB740" s="176" t="s">
        <v>489</v>
      </c>
      <c r="AC740" s="172">
        <v>42996.328472222223</v>
      </c>
      <c r="AD740" s="32" t="s">
        <v>552</v>
      </c>
    </row>
    <row r="741" spans="1:30">
      <c r="A741" s="184">
        <v>740</v>
      </c>
      <c r="B741" s="184" t="s">
        <v>2091</v>
      </c>
      <c r="C741" s="184" t="s">
        <v>598</v>
      </c>
      <c r="D741" s="127">
        <v>42864</v>
      </c>
      <c r="E741" s="127" t="s">
        <v>598</v>
      </c>
      <c r="F741" s="184" t="s">
        <v>2092</v>
      </c>
      <c r="G741" s="185">
        <v>4930000</v>
      </c>
      <c r="H741" s="184" t="s">
        <v>598</v>
      </c>
      <c r="I741" s="184" t="s">
        <v>134</v>
      </c>
      <c r="J741" s="184" t="s">
        <v>84</v>
      </c>
      <c r="K741" s="184" t="s">
        <v>281</v>
      </c>
      <c r="L741" s="184" t="s">
        <v>598</v>
      </c>
      <c r="M741" s="184" t="s">
        <v>2013</v>
      </c>
      <c r="N741" s="184" t="s">
        <v>42</v>
      </c>
      <c r="O741" s="184" t="s">
        <v>42</v>
      </c>
      <c r="P741" s="186" t="s">
        <v>605</v>
      </c>
      <c r="Q741" s="184" t="s">
        <v>598</v>
      </c>
      <c r="R741" s="184" t="s">
        <v>598</v>
      </c>
      <c r="S741" s="127" t="s">
        <v>598</v>
      </c>
      <c r="T741" s="184" t="s">
        <v>598</v>
      </c>
      <c r="U741" s="184" t="s">
        <v>598</v>
      </c>
      <c r="V741" s="185">
        <v>0</v>
      </c>
      <c r="W741" s="184" t="s">
        <v>485</v>
      </c>
      <c r="X741" s="184" t="s">
        <v>598</v>
      </c>
      <c r="Y741" s="185">
        <v>0</v>
      </c>
      <c r="Z741" s="184" t="s">
        <v>598</v>
      </c>
      <c r="AA741" s="21" t="s">
        <v>610</v>
      </c>
      <c r="AB741" s="176" t="s">
        <v>489</v>
      </c>
      <c r="AC741" s="172">
        <v>42996.328472222223</v>
      </c>
      <c r="AD741" s="32" t="s">
        <v>552</v>
      </c>
    </row>
    <row r="742" spans="1:30">
      <c r="A742" s="184">
        <v>741</v>
      </c>
      <c r="B742" s="184" t="s">
        <v>2093</v>
      </c>
      <c r="C742" s="184" t="s">
        <v>598</v>
      </c>
      <c r="D742" s="127">
        <v>42863</v>
      </c>
      <c r="E742" s="127" t="s">
        <v>598</v>
      </c>
      <c r="F742" s="184" t="s">
        <v>2094</v>
      </c>
      <c r="G742" s="185">
        <v>8052000</v>
      </c>
      <c r="H742" s="184" t="s">
        <v>598</v>
      </c>
      <c r="I742" s="184" t="s">
        <v>120</v>
      </c>
      <c r="J742" s="184" t="s">
        <v>84</v>
      </c>
      <c r="K742" s="184" t="s">
        <v>281</v>
      </c>
      <c r="L742" s="184" t="s">
        <v>598</v>
      </c>
      <c r="M742" s="184" t="s">
        <v>1904</v>
      </c>
      <c r="N742" s="184" t="s">
        <v>42</v>
      </c>
      <c r="O742" s="184" t="s">
        <v>42</v>
      </c>
      <c r="P742" s="186" t="s">
        <v>606</v>
      </c>
      <c r="Q742" s="184" t="s">
        <v>598</v>
      </c>
      <c r="R742" s="184" t="s">
        <v>804</v>
      </c>
      <c r="S742" s="127" t="s">
        <v>598</v>
      </c>
      <c r="T742" s="184" t="s">
        <v>598</v>
      </c>
      <c r="U742" s="184" t="s">
        <v>598</v>
      </c>
      <c r="V742" s="185">
        <v>0</v>
      </c>
      <c r="W742" s="184" t="s">
        <v>485</v>
      </c>
      <c r="X742" s="184" t="s">
        <v>598</v>
      </c>
      <c r="Y742" s="185">
        <v>0</v>
      </c>
      <c r="Z742" s="184" t="s">
        <v>598</v>
      </c>
      <c r="AA742" s="21" t="s">
        <v>610</v>
      </c>
      <c r="AB742" s="176" t="s">
        <v>489</v>
      </c>
      <c r="AC742" s="172">
        <v>42996.328472222223</v>
      </c>
      <c r="AD742" s="32" t="s">
        <v>552</v>
      </c>
    </row>
    <row r="743" spans="1:30">
      <c r="A743" s="184">
        <v>742</v>
      </c>
      <c r="B743" s="184" t="s">
        <v>2095</v>
      </c>
      <c r="C743" s="184" t="s">
        <v>598</v>
      </c>
      <c r="D743" s="127">
        <v>42863</v>
      </c>
      <c r="E743" s="127" t="s">
        <v>598</v>
      </c>
      <c r="F743" s="184" t="s">
        <v>2096</v>
      </c>
      <c r="G743" s="185">
        <v>6025000</v>
      </c>
      <c r="H743" s="184" t="s">
        <v>598</v>
      </c>
      <c r="I743" s="184" t="s">
        <v>134</v>
      </c>
      <c r="J743" s="184" t="s">
        <v>84</v>
      </c>
      <c r="K743" s="184" t="s">
        <v>276</v>
      </c>
      <c r="L743" s="184" t="s">
        <v>598</v>
      </c>
      <c r="M743" s="184" t="s">
        <v>1951</v>
      </c>
      <c r="N743" s="184" t="s">
        <v>42</v>
      </c>
      <c r="O743" s="184" t="s">
        <v>42</v>
      </c>
      <c r="P743" s="186" t="s">
        <v>607</v>
      </c>
      <c r="Q743" s="184" t="s">
        <v>598</v>
      </c>
      <c r="R743" s="184" t="s">
        <v>804</v>
      </c>
      <c r="S743" s="127" t="s">
        <v>598</v>
      </c>
      <c r="T743" s="184" t="s">
        <v>598</v>
      </c>
      <c r="U743" s="184" t="s">
        <v>598</v>
      </c>
      <c r="V743" s="185">
        <v>0</v>
      </c>
      <c r="W743" s="184" t="s">
        <v>485</v>
      </c>
      <c r="X743" s="184" t="s">
        <v>598</v>
      </c>
      <c r="Y743" s="185">
        <v>0</v>
      </c>
      <c r="Z743" s="184" t="s">
        <v>598</v>
      </c>
      <c r="AA743" s="21" t="s">
        <v>610</v>
      </c>
      <c r="AB743" s="176" t="s">
        <v>489</v>
      </c>
      <c r="AC743" s="172">
        <v>42996.328472222223</v>
      </c>
      <c r="AD743" s="32" t="s">
        <v>552</v>
      </c>
    </row>
    <row r="744" spans="1:30">
      <c r="A744" s="184">
        <v>743</v>
      </c>
      <c r="B744" s="184" t="s">
        <v>2097</v>
      </c>
      <c r="C744" s="184" t="s">
        <v>598</v>
      </c>
      <c r="D744" s="127">
        <v>42863</v>
      </c>
      <c r="E744" s="127" t="s">
        <v>598</v>
      </c>
      <c r="F744" s="184" t="s">
        <v>2098</v>
      </c>
      <c r="G744" s="185">
        <v>6547000</v>
      </c>
      <c r="H744" s="184" t="s">
        <v>598</v>
      </c>
      <c r="I744" s="184" t="s">
        <v>120</v>
      </c>
      <c r="J744" s="184" t="s">
        <v>84</v>
      </c>
      <c r="K744" s="184" t="s">
        <v>297</v>
      </c>
      <c r="L744" s="184" t="s">
        <v>598</v>
      </c>
      <c r="M744" s="184" t="s">
        <v>73</v>
      </c>
      <c r="N744" s="184" t="s">
        <v>42</v>
      </c>
      <c r="O744" s="184" t="s">
        <v>598</v>
      </c>
      <c r="P744" s="186" t="s">
        <v>73</v>
      </c>
      <c r="Q744" s="184" t="s">
        <v>598</v>
      </c>
      <c r="R744" s="184" t="s">
        <v>598</v>
      </c>
      <c r="S744" s="127" t="s">
        <v>598</v>
      </c>
      <c r="T744" s="184" t="s">
        <v>598</v>
      </c>
      <c r="U744" s="184" t="s">
        <v>598</v>
      </c>
      <c r="V744" s="185">
        <v>0</v>
      </c>
      <c r="W744" s="184" t="s">
        <v>485</v>
      </c>
      <c r="X744" s="184" t="s">
        <v>598</v>
      </c>
      <c r="Y744" s="185">
        <v>0</v>
      </c>
      <c r="Z744" s="184" t="s">
        <v>598</v>
      </c>
      <c r="AA744" s="21" t="s">
        <v>610</v>
      </c>
      <c r="AB744" s="176" t="s">
        <v>489</v>
      </c>
      <c r="AC744" s="172">
        <v>42996.328472222223</v>
      </c>
      <c r="AD744" s="32" t="s">
        <v>552</v>
      </c>
    </row>
    <row r="745" spans="1:30">
      <c r="A745" s="184">
        <v>744</v>
      </c>
      <c r="B745" s="184" t="s">
        <v>2099</v>
      </c>
      <c r="C745" s="184" t="s">
        <v>598</v>
      </c>
      <c r="D745" s="127">
        <v>42861</v>
      </c>
      <c r="E745" s="127" t="s">
        <v>598</v>
      </c>
      <c r="F745" s="184" t="s">
        <v>2100</v>
      </c>
      <c r="G745" s="185">
        <v>3526000</v>
      </c>
      <c r="H745" s="184" t="s">
        <v>598</v>
      </c>
      <c r="I745" s="184" t="s">
        <v>134</v>
      </c>
      <c r="J745" s="184" t="s">
        <v>84</v>
      </c>
      <c r="K745" s="184" t="s">
        <v>302</v>
      </c>
      <c r="L745" s="184" t="s">
        <v>598</v>
      </c>
      <c r="M745" s="184" t="s">
        <v>73</v>
      </c>
      <c r="N745" s="184" t="s">
        <v>42</v>
      </c>
      <c r="O745" s="184" t="s">
        <v>73</v>
      </c>
      <c r="P745" s="186" t="s">
        <v>601</v>
      </c>
      <c r="Q745" s="184" t="s">
        <v>598</v>
      </c>
      <c r="R745" s="184" t="s">
        <v>598</v>
      </c>
      <c r="S745" s="127" t="s">
        <v>598</v>
      </c>
      <c r="T745" s="184" t="s">
        <v>598</v>
      </c>
      <c r="U745" s="184" t="s">
        <v>598</v>
      </c>
      <c r="V745" s="185">
        <v>0</v>
      </c>
      <c r="W745" s="184" t="s">
        <v>485</v>
      </c>
      <c r="X745" s="184" t="s">
        <v>598</v>
      </c>
      <c r="Y745" s="185">
        <v>0</v>
      </c>
      <c r="Z745" s="184" t="s">
        <v>598</v>
      </c>
      <c r="AA745" s="21" t="s">
        <v>610</v>
      </c>
      <c r="AB745" s="176" t="s">
        <v>489</v>
      </c>
      <c r="AC745" s="172">
        <v>42996.328472222223</v>
      </c>
      <c r="AD745" s="32" t="s">
        <v>552</v>
      </c>
    </row>
    <row r="746" spans="1:30">
      <c r="A746" s="184">
        <v>745</v>
      </c>
      <c r="B746" s="184" t="s">
        <v>2101</v>
      </c>
      <c r="C746" s="184" t="s">
        <v>598</v>
      </c>
      <c r="D746" s="127">
        <v>42860</v>
      </c>
      <c r="E746" s="127" t="s">
        <v>598</v>
      </c>
      <c r="F746" s="184" t="s">
        <v>2102</v>
      </c>
      <c r="G746" s="185">
        <v>4884483000</v>
      </c>
      <c r="H746" s="184" t="s">
        <v>598</v>
      </c>
      <c r="I746" s="184" t="s">
        <v>115</v>
      </c>
      <c r="J746" s="184" t="s">
        <v>84</v>
      </c>
      <c r="K746" s="184" t="s">
        <v>281</v>
      </c>
      <c r="L746" s="184" t="s">
        <v>598</v>
      </c>
      <c r="M746" s="184" t="s">
        <v>1962</v>
      </c>
      <c r="N746" s="184" t="s">
        <v>42</v>
      </c>
      <c r="O746" s="184" t="s">
        <v>598</v>
      </c>
      <c r="P746" s="186" t="s">
        <v>32</v>
      </c>
      <c r="Q746" s="184" t="s">
        <v>598</v>
      </c>
      <c r="R746" s="184" t="s">
        <v>598</v>
      </c>
      <c r="S746" s="127" t="s">
        <v>598</v>
      </c>
      <c r="T746" s="184" t="s">
        <v>598</v>
      </c>
      <c r="U746" s="184" t="s">
        <v>598</v>
      </c>
      <c r="V746" s="185">
        <v>0</v>
      </c>
      <c r="W746" s="184" t="s">
        <v>485</v>
      </c>
      <c r="X746" s="184" t="s">
        <v>598</v>
      </c>
      <c r="Y746" s="185">
        <v>0</v>
      </c>
      <c r="Z746" s="184" t="s">
        <v>598</v>
      </c>
      <c r="AA746" s="21" t="s">
        <v>610</v>
      </c>
      <c r="AB746" s="176" t="s">
        <v>489</v>
      </c>
      <c r="AC746" s="172">
        <v>42996.328472222223</v>
      </c>
      <c r="AD746" s="32" t="s">
        <v>552</v>
      </c>
    </row>
    <row r="747" spans="1:30">
      <c r="A747" s="184">
        <v>746</v>
      </c>
      <c r="B747" s="184" t="s">
        <v>2103</v>
      </c>
      <c r="C747" s="184" t="s">
        <v>598</v>
      </c>
      <c r="D747" s="127">
        <v>42858</v>
      </c>
      <c r="E747" s="127" t="s">
        <v>598</v>
      </c>
      <c r="F747" s="184" t="s">
        <v>2104</v>
      </c>
      <c r="G747" s="185">
        <v>3727563000</v>
      </c>
      <c r="H747" s="184" t="s">
        <v>598</v>
      </c>
      <c r="I747" s="184" t="s">
        <v>115</v>
      </c>
      <c r="J747" s="184" t="s">
        <v>84</v>
      </c>
      <c r="K747" s="184" t="s">
        <v>281</v>
      </c>
      <c r="L747" s="184" t="s">
        <v>598</v>
      </c>
      <c r="M747" s="184" t="s">
        <v>1962</v>
      </c>
      <c r="N747" s="184" t="s">
        <v>42</v>
      </c>
      <c r="O747" s="184" t="s">
        <v>73</v>
      </c>
      <c r="P747" s="186" t="s">
        <v>53</v>
      </c>
      <c r="Q747" s="184" t="s">
        <v>598</v>
      </c>
      <c r="R747" s="184" t="s">
        <v>804</v>
      </c>
      <c r="S747" s="127" t="s">
        <v>598</v>
      </c>
      <c r="T747" s="184" t="s">
        <v>598</v>
      </c>
      <c r="U747" s="184" t="s">
        <v>598</v>
      </c>
      <c r="V747" s="185">
        <v>0</v>
      </c>
      <c r="W747" s="184" t="s">
        <v>485</v>
      </c>
      <c r="X747" s="184" t="s">
        <v>598</v>
      </c>
      <c r="Y747" s="185">
        <v>0</v>
      </c>
      <c r="Z747" s="184" t="s">
        <v>598</v>
      </c>
      <c r="AA747" s="21" t="s">
        <v>610</v>
      </c>
      <c r="AB747" s="176" t="s">
        <v>489</v>
      </c>
      <c r="AC747" s="172">
        <v>42996.328472222223</v>
      </c>
      <c r="AD747" s="32" t="s">
        <v>552</v>
      </c>
    </row>
    <row r="748" spans="1:30">
      <c r="A748" s="184">
        <v>747</v>
      </c>
      <c r="B748" s="184" t="s">
        <v>2105</v>
      </c>
      <c r="C748" s="184" t="s">
        <v>598</v>
      </c>
      <c r="D748" s="127">
        <v>42858</v>
      </c>
      <c r="E748" s="127" t="s">
        <v>598</v>
      </c>
      <c r="F748" s="184" t="s">
        <v>2106</v>
      </c>
      <c r="G748" s="185">
        <v>3377000</v>
      </c>
      <c r="H748" s="184" t="s">
        <v>598</v>
      </c>
      <c r="I748" s="184" t="s">
        <v>134</v>
      </c>
      <c r="J748" s="184" t="s">
        <v>84</v>
      </c>
      <c r="K748" s="184" t="s">
        <v>302</v>
      </c>
      <c r="L748" s="184" t="s">
        <v>598</v>
      </c>
      <c r="M748" s="184" t="s">
        <v>73</v>
      </c>
      <c r="N748" s="184" t="s">
        <v>42</v>
      </c>
      <c r="O748" s="184" t="s">
        <v>98</v>
      </c>
      <c r="P748" s="186" t="s">
        <v>44</v>
      </c>
      <c r="Q748" s="184" t="s">
        <v>598</v>
      </c>
      <c r="R748" s="184" t="s">
        <v>598</v>
      </c>
      <c r="S748" s="127" t="s">
        <v>598</v>
      </c>
      <c r="T748" s="184" t="s">
        <v>598</v>
      </c>
      <c r="U748" s="184" t="s">
        <v>598</v>
      </c>
      <c r="V748" s="185">
        <v>0</v>
      </c>
      <c r="W748" s="184" t="s">
        <v>485</v>
      </c>
      <c r="X748" s="184" t="s">
        <v>598</v>
      </c>
      <c r="Y748" s="185">
        <v>0</v>
      </c>
      <c r="Z748" s="184" t="s">
        <v>598</v>
      </c>
      <c r="AA748" s="21" t="s">
        <v>610</v>
      </c>
      <c r="AB748" s="176" t="s">
        <v>489</v>
      </c>
      <c r="AC748" s="172">
        <v>42996.328472222223</v>
      </c>
      <c r="AD748" s="32" t="s">
        <v>552</v>
      </c>
    </row>
    <row r="749" spans="1:30">
      <c r="A749" s="184">
        <v>748</v>
      </c>
      <c r="B749" s="184" t="s">
        <v>2107</v>
      </c>
      <c r="C749" s="184" t="s">
        <v>598</v>
      </c>
      <c r="D749" s="127">
        <v>42854</v>
      </c>
      <c r="E749" s="127" t="s">
        <v>598</v>
      </c>
      <c r="F749" s="184" t="s">
        <v>2108</v>
      </c>
      <c r="G749" s="185">
        <v>0</v>
      </c>
      <c r="H749" s="184" t="s">
        <v>598</v>
      </c>
      <c r="I749" s="184" t="s">
        <v>598</v>
      </c>
      <c r="J749" s="184" t="s">
        <v>84</v>
      </c>
      <c r="K749" s="184" t="s">
        <v>276</v>
      </c>
      <c r="L749" s="184" t="s">
        <v>598</v>
      </c>
      <c r="M749" s="184" t="s">
        <v>1176</v>
      </c>
      <c r="N749" s="184" t="s">
        <v>42</v>
      </c>
      <c r="O749" s="184" t="s">
        <v>42</v>
      </c>
      <c r="P749" s="186" t="s">
        <v>67</v>
      </c>
      <c r="Q749" s="184" t="s">
        <v>598</v>
      </c>
      <c r="R749" s="184" t="s">
        <v>598</v>
      </c>
      <c r="S749" s="127" t="s">
        <v>598</v>
      </c>
      <c r="T749" s="184" t="s">
        <v>598</v>
      </c>
      <c r="U749" s="184" t="s">
        <v>598</v>
      </c>
      <c r="V749" s="185">
        <v>0</v>
      </c>
      <c r="W749" s="184" t="s">
        <v>485</v>
      </c>
      <c r="X749" s="184" t="s">
        <v>598</v>
      </c>
      <c r="Y749" s="185">
        <v>0</v>
      </c>
      <c r="Z749" s="184" t="s">
        <v>598</v>
      </c>
      <c r="AA749" s="21" t="s">
        <v>610</v>
      </c>
      <c r="AB749" s="176" t="s">
        <v>489</v>
      </c>
      <c r="AC749" s="172">
        <v>42996.328472222223</v>
      </c>
      <c r="AD749" s="32" t="s">
        <v>552</v>
      </c>
    </row>
    <row r="750" spans="1:30">
      <c r="A750" s="184">
        <v>749</v>
      </c>
      <c r="B750" s="184" t="s">
        <v>2109</v>
      </c>
      <c r="C750" s="184" t="s">
        <v>598</v>
      </c>
      <c r="D750" s="127">
        <v>42853</v>
      </c>
      <c r="E750" s="127" t="s">
        <v>598</v>
      </c>
      <c r="F750" s="184" t="s">
        <v>2110</v>
      </c>
      <c r="G750" s="185">
        <v>0</v>
      </c>
      <c r="H750" s="184" t="s">
        <v>598</v>
      </c>
      <c r="I750" s="184" t="s">
        <v>122</v>
      </c>
      <c r="J750" s="184" t="s">
        <v>84</v>
      </c>
      <c r="K750" s="184" t="s">
        <v>192</v>
      </c>
      <c r="L750" s="184" t="s">
        <v>598</v>
      </c>
      <c r="M750" s="184" t="s">
        <v>1954</v>
      </c>
      <c r="N750" s="184" t="s">
        <v>42</v>
      </c>
      <c r="O750" s="184" t="s">
        <v>98</v>
      </c>
      <c r="P750" s="186" t="s">
        <v>602</v>
      </c>
      <c r="Q750" s="184" t="s">
        <v>598</v>
      </c>
      <c r="R750" s="184" t="s">
        <v>598</v>
      </c>
      <c r="S750" s="127" t="s">
        <v>598</v>
      </c>
      <c r="T750" s="184" t="s">
        <v>598</v>
      </c>
      <c r="U750" s="184" t="s">
        <v>598</v>
      </c>
      <c r="V750" s="185">
        <v>0</v>
      </c>
      <c r="W750" s="184" t="s">
        <v>485</v>
      </c>
      <c r="X750" s="184" t="s">
        <v>598</v>
      </c>
      <c r="Y750" s="185">
        <v>0</v>
      </c>
      <c r="Z750" s="184" t="s">
        <v>598</v>
      </c>
      <c r="AA750" s="21" t="s">
        <v>610</v>
      </c>
      <c r="AB750" s="176" t="s">
        <v>489</v>
      </c>
      <c r="AC750" s="172">
        <v>42996.328472222223</v>
      </c>
      <c r="AD750" s="32" t="s">
        <v>552</v>
      </c>
    </row>
    <row r="751" spans="1:30">
      <c r="A751" s="184">
        <v>750</v>
      </c>
      <c r="B751" s="184" t="s">
        <v>2111</v>
      </c>
      <c r="C751" s="184" t="s">
        <v>598</v>
      </c>
      <c r="D751" s="127">
        <v>42852</v>
      </c>
      <c r="E751" s="127" t="s">
        <v>598</v>
      </c>
      <c r="F751" s="184" t="s">
        <v>2112</v>
      </c>
      <c r="G751" s="185">
        <v>0</v>
      </c>
      <c r="H751" s="184" t="s">
        <v>598</v>
      </c>
      <c r="I751" s="184" t="s">
        <v>134</v>
      </c>
      <c r="J751" s="184" t="s">
        <v>84</v>
      </c>
      <c r="K751" s="184" t="s">
        <v>281</v>
      </c>
      <c r="L751" s="184" t="s">
        <v>598</v>
      </c>
      <c r="M751" s="184" t="s">
        <v>2013</v>
      </c>
      <c r="N751" s="184" t="s">
        <v>42</v>
      </c>
      <c r="O751" s="184" t="s">
        <v>73</v>
      </c>
      <c r="P751" s="186" t="s">
        <v>603</v>
      </c>
      <c r="Q751" s="184" t="s">
        <v>598</v>
      </c>
      <c r="R751" s="184" t="s">
        <v>598</v>
      </c>
      <c r="S751" s="127" t="s">
        <v>598</v>
      </c>
      <c r="T751" s="184" t="s">
        <v>598</v>
      </c>
      <c r="U751" s="184" t="s">
        <v>598</v>
      </c>
      <c r="V751" s="185">
        <v>0</v>
      </c>
      <c r="W751" s="184" t="s">
        <v>485</v>
      </c>
      <c r="X751" s="184" t="s">
        <v>598</v>
      </c>
      <c r="Y751" s="185">
        <v>0</v>
      </c>
      <c r="Z751" s="184" t="s">
        <v>598</v>
      </c>
      <c r="AA751" s="21" t="s">
        <v>610</v>
      </c>
      <c r="AB751" s="176" t="s">
        <v>489</v>
      </c>
      <c r="AC751" s="172">
        <v>42996.328472222223</v>
      </c>
      <c r="AD751" s="32" t="s">
        <v>552</v>
      </c>
    </row>
    <row r="752" spans="1:30">
      <c r="A752" s="184">
        <v>751</v>
      </c>
      <c r="B752" s="184" t="s">
        <v>2113</v>
      </c>
      <c r="C752" s="184" t="s">
        <v>598</v>
      </c>
      <c r="D752" s="127">
        <v>42852</v>
      </c>
      <c r="E752" s="127" t="s">
        <v>598</v>
      </c>
      <c r="F752" s="184" t="s">
        <v>2114</v>
      </c>
      <c r="G752" s="185">
        <v>0</v>
      </c>
      <c r="H752" s="184" t="s">
        <v>598</v>
      </c>
      <c r="I752" s="184" t="s">
        <v>115</v>
      </c>
      <c r="J752" s="184" t="s">
        <v>84</v>
      </c>
      <c r="K752" s="184" t="s">
        <v>281</v>
      </c>
      <c r="L752" s="184" t="s">
        <v>598</v>
      </c>
      <c r="M752" s="184" t="s">
        <v>598</v>
      </c>
      <c r="N752" s="184" t="s">
        <v>42</v>
      </c>
      <c r="O752" s="184" t="s">
        <v>73</v>
      </c>
      <c r="P752" s="186" t="s">
        <v>604</v>
      </c>
      <c r="Q752" s="184" t="s">
        <v>598</v>
      </c>
      <c r="R752" s="184" t="s">
        <v>598</v>
      </c>
      <c r="S752" s="127" t="s">
        <v>598</v>
      </c>
      <c r="T752" s="184" t="s">
        <v>598</v>
      </c>
      <c r="U752" s="184" t="s">
        <v>598</v>
      </c>
      <c r="V752" s="185">
        <v>0</v>
      </c>
      <c r="W752" s="184" t="s">
        <v>485</v>
      </c>
      <c r="X752" s="184" t="s">
        <v>598</v>
      </c>
      <c r="Y752" s="185">
        <v>0</v>
      </c>
      <c r="Z752" s="184" t="s">
        <v>598</v>
      </c>
      <c r="AA752" s="21" t="s">
        <v>610</v>
      </c>
      <c r="AB752" s="176" t="s">
        <v>489</v>
      </c>
      <c r="AC752" s="172">
        <v>42996.328472222223</v>
      </c>
      <c r="AD752" s="32" t="s">
        <v>552</v>
      </c>
    </row>
    <row r="753" spans="1:30">
      <c r="A753" s="184">
        <v>752</v>
      </c>
      <c r="B753" s="184" t="s">
        <v>2115</v>
      </c>
      <c r="C753" s="184" t="s">
        <v>598</v>
      </c>
      <c r="D753" s="127">
        <v>42851</v>
      </c>
      <c r="E753" s="127" t="s">
        <v>598</v>
      </c>
      <c r="F753" s="184" t="s">
        <v>2116</v>
      </c>
      <c r="G753" s="185">
        <v>0</v>
      </c>
      <c r="H753" s="184" t="s">
        <v>598</v>
      </c>
      <c r="I753" s="184" t="s">
        <v>115</v>
      </c>
      <c r="J753" s="184" t="s">
        <v>84</v>
      </c>
      <c r="K753" s="184" t="s">
        <v>281</v>
      </c>
      <c r="L753" s="184" t="s">
        <v>598</v>
      </c>
      <c r="M753" s="184" t="s">
        <v>1962</v>
      </c>
      <c r="N753" s="184" t="s">
        <v>42</v>
      </c>
      <c r="O753" s="184" t="s">
        <v>42</v>
      </c>
      <c r="P753" s="186" t="s">
        <v>605</v>
      </c>
      <c r="Q753" s="184" t="s">
        <v>598</v>
      </c>
      <c r="R753" s="184" t="s">
        <v>598</v>
      </c>
      <c r="S753" s="127" t="s">
        <v>598</v>
      </c>
      <c r="T753" s="184" t="s">
        <v>598</v>
      </c>
      <c r="U753" s="184" t="s">
        <v>598</v>
      </c>
      <c r="V753" s="185">
        <v>0</v>
      </c>
      <c r="W753" s="184" t="s">
        <v>485</v>
      </c>
      <c r="X753" s="184" t="s">
        <v>598</v>
      </c>
      <c r="Y753" s="185">
        <v>0</v>
      </c>
      <c r="Z753" s="184" t="s">
        <v>598</v>
      </c>
      <c r="AA753" s="21" t="s">
        <v>610</v>
      </c>
      <c r="AB753" s="176" t="s">
        <v>489</v>
      </c>
      <c r="AC753" s="172">
        <v>42996.328472222223</v>
      </c>
      <c r="AD753" s="32" t="s">
        <v>552</v>
      </c>
    </row>
    <row r="754" spans="1:30">
      <c r="A754" s="184">
        <v>753</v>
      </c>
      <c r="B754" s="184" t="s">
        <v>2117</v>
      </c>
      <c r="C754" s="184" t="s">
        <v>598</v>
      </c>
      <c r="D754" s="127">
        <v>42850</v>
      </c>
      <c r="E754" s="127" t="s">
        <v>598</v>
      </c>
      <c r="F754" s="184" t="s">
        <v>2118</v>
      </c>
      <c r="G754" s="185">
        <v>0</v>
      </c>
      <c r="H754" s="184" t="s">
        <v>598</v>
      </c>
      <c r="I754" s="184" t="s">
        <v>134</v>
      </c>
      <c r="J754" s="184" t="s">
        <v>84</v>
      </c>
      <c r="K754" s="184" t="s">
        <v>383</v>
      </c>
      <c r="L754" s="184" t="s">
        <v>598</v>
      </c>
      <c r="M754" s="184" t="s">
        <v>1919</v>
      </c>
      <c r="N754" s="184" t="s">
        <v>42</v>
      </c>
      <c r="O754" s="184" t="s">
        <v>598</v>
      </c>
      <c r="P754" s="186" t="s">
        <v>606</v>
      </c>
      <c r="Q754" s="184" t="s">
        <v>598</v>
      </c>
      <c r="R754" s="184" t="s">
        <v>598</v>
      </c>
      <c r="S754" s="127" t="s">
        <v>598</v>
      </c>
      <c r="T754" s="184" t="s">
        <v>598</v>
      </c>
      <c r="U754" s="184" t="s">
        <v>598</v>
      </c>
      <c r="V754" s="185">
        <v>0</v>
      </c>
      <c r="W754" s="184" t="s">
        <v>485</v>
      </c>
      <c r="X754" s="184" t="s">
        <v>598</v>
      </c>
      <c r="Y754" s="185">
        <v>0</v>
      </c>
      <c r="Z754" s="184" t="s">
        <v>598</v>
      </c>
      <c r="AA754" s="21" t="s">
        <v>610</v>
      </c>
      <c r="AB754" s="176" t="s">
        <v>489</v>
      </c>
      <c r="AC754" s="172">
        <v>42996.328472222223</v>
      </c>
      <c r="AD754" s="32" t="s">
        <v>552</v>
      </c>
    </row>
    <row r="755" spans="1:30">
      <c r="A755" s="184">
        <v>754</v>
      </c>
      <c r="B755" s="184" t="s">
        <v>2119</v>
      </c>
      <c r="C755" s="184" t="s">
        <v>598</v>
      </c>
      <c r="D755" s="127">
        <v>42850</v>
      </c>
      <c r="E755" s="127" t="s">
        <v>598</v>
      </c>
      <c r="F755" s="184" t="s">
        <v>2120</v>
      </c>
      <c r="G755" s="185">
        <v>0</v>
      </c>
      <c r="H755" s="184" t="s">
        <v>598</v>
      </c>
      <c r="I755" s="184" t="s">
        <v>135</v>
      </c>
      <c r="J755" s="184" t="s">
        <v>84</v>
      </c>
      <c r="K755" s="184" t="s">
        <v>192</v>
      </c>
      <c r="L755" s="184" t="s">
        <v>598</v>
      </c>
      <c r="M755" s="184" t="s">
        <v>1954</v>
      </c>
      <c r="N755" s="184" t="s">
        <v>42</v>
      </c>
      <c r="O755" s="184" t="s">
        <v>598</v>
      </c>
      <c r="P755" s="186" t="s">
        <v>607</v>
      </c>
      <c r="Q755" s="184" t="s">
        <v>598</v>
      </c>
      <c r="R755" s="184" t="s">
        <v>598</v>
      </c>
      <c r="S755" s="127">
        <v>42888</v>
      </c>
      <c r="T755" s="184" t="s">
        <v>10</v>
      </c>
      <c r="U755" s="184" t="s">
        <v>598</v>
      </c>
      <c r="V755" s="185">
        <v>3000</v>
      </c>
      <c r="W755" s="184" t="s">
        <v>493</v>
      </c>
      <c r="X755" s="184" t="s">
        <v>598</v>
      </c>
      <c r="Y755" s="185">
        <v>0</v>
      </c>
      <c r="Z755" s="184" t="s">
        <v>598</v>
      </c>
      <c r="AA755" s="21" t="s">
        <v>610</v>
      </c>
      <c r="AB755" s="176" t="s">
        <v>489</v>
      </c>
      <c r="AC755" s="172">
        <v>42996.328472222223</v>
      </c>
      <c r="AD755" s="32" t="s">
        <v>552</v>
      </c>
    </row>
    <row r="756" spans="1:30">
      <c r="A756" s="184">
        <v>755</v>
      </c>
      <c r="B756" s="184" t="s">
        <v>2121</v>
      </c>
      <c r="C756" s="184" t="s">
        <v>598</v>
      </c>
      <c r="D756" s="127">
        <v>42849</v>
      </c>
      <c r="E756" s="127" t="s">
        <v>598</v>
      </c>
      <c r="F756" s="184" t="s">
        <v>2122</v>
      </c>
      <c r="G756" s="185">
        <v>0</v>
      </c>
      <c r="H756" s="184" t="s">
        <v>598</v>
      </c>
      <c r="I756" s="184" t="s">
        <v>120</v>
      </c>
      <c r="J756" s="184" t="s">
        <v>84</v>
      </c>
      <c r="K756" s="184" t="s">
        <v>384</v>
      </c>
      <c r="L756" s="184" t="s">
        <v>598</v>
      </c>
      <c r="M756" s="184" t="s">
        <v>1911</v>
      </c>
      <c r="N756" s="184" t="s">
        <v>42</v>
      </c>
      <c r="O756" s="184" t="s">
        <v>73</v>
      </c>
      <c r="P756" s="186" t="s">
        <v>73</v>
      </c>
      <c r="Q756" s="184" t="s">
        <v>598</v>
      </c>
      <c r="R756" s="184" t="s">
        <v>598</v>
      </c>
      <c r="S756" s="127" t="s">
        <v>598</v>
      </c>
      <c r="T756" s="184" t="s">
        <v>598</v>
      </c>
      <c r="U756" s="184" t="s">
        <v>598</v>
      </c>
      <c r="V756" s="185">
        <v>0</v>
      </c>
      <c r="W756" s="184" t="s">
        <v>485</v>
      </c>
      <c r="X756" s="184" t="s">
        <v>598</v>
      </c>
      <c r="Y756" s="185">
        <v>0</v>
      </c>
      <c r="Z756" s="184" t="s">
        <v>598</v>
      </c>
      <c r="AA756" s="21" t="s">
        <v>610</v>
      </c>
      <c r="AB756" s="176" t="s">
        <v>489</v>
      </c>
      <c r="AC756" s="172">
        <v>42996.328472222223</v>
      </c>
      <c r="AD756" s="32" t="s">
        <v>552</v>
      </c>
    </row>
    <row r="757" spans="1:30">
      <c r="A757" s="184">
        <v>756</v>
      </c>
      <c r="B757" s="184" t="s">
        <v>2123</v>
      </c>
      <c r="C757" s="184" t="s">
        <v>598</v>
      </c>
      <c r="D757" s="127">
        <v>42849</v>
      </c>
      <c r="E757" s="127" t="s">
        <v>598</v>
      </c>
      <c r="F757" s="184" t="s">
        <v>2124</v>
      </c>
      <c r="G757" s="185">
        <v>0</v>
      </c>
      <c r="H757" s="184" t="s">
        <v>598</v>
      </c>
      <c r="I757" s="184" t="s">
        <v>134</v>
      </c>
      <c r="J757" s="184" t="s">
        <v>84</v>
      </c>
      <c r="K757" s="184" t="s">
        <v>276</v>
      </c>
      <c r="L757" s="184" t="s">
        <v>598</v>
      </c>
      <c r="M757" s="184" t="s">
        <v>1176</v>
      </c>
      <c r="N757" s="184" t="s">
        <v>42</v>
      </c>
      <c r="O757" s="184" t="s">
        <v>598</v>
      </c>
      <c r="P757" s="186" t="s">
        <v>601</v>
      </c>
      <c r="Q757" s="184" t="s">
        <v>598</v>
      </c>
      <c r="R757" s="184" t="s">
        <v>598</v>
      </c>
      <c r="S757" s="127" t="s">
        <v>598</v>
      </c>
      <c r="T757" s="184" t="s">
        <v>598</v>
      </c>
      <c r="U757" s="184" t="s">
        <v>598</v>
      </c>
      <c r="V757" s="185">
        <v>0</v>
      </c>
      <c r="W757" s="184" t="s">
        <v>485</v>
      </c>
      <c r="X757" s="184" t="s">
        <v>598</v>
      </c>
      <c r="Y757" s="185">
        <v>0</v>
      </c>
      <c r="Z757" s="184" t="s">
        <v>598</v>
      </c>
      <c r="AA757" s="21" t="s">
        <v>610</v>
      </c>
      <c r="AB757" s="176" t="s">
        <v>489</v>
      </c>
      <c r="AC757" s="172">
        <v>42996.328472222223</v>
      </c>
      <c r="AD757" s="32" t="s">
        <v>552</v>
      </c>
    </row>
    <row r="758" spans="1:30">
      <c r="A758" s="184">
        <v>757</v>
      </c>
      <c r="B758" s="184" t="s">
        <v>2125</v>
      </c>
      <c r="C758" s="184" t="s">
        <v>598</v>
      </c>
      <c r="D758" s="127">
        <v>42844</v>
      </c>
      <c r="E758" s="127" t="s">
        <v>598</v>
      </c>
      <c r="F758" s="184" t="s">
        <v>2126</v>
      </c>
      <c r="G758" s="185">
        <v>0</v>
      </c>
      <c r="H758" s="184" t="s">
        <v>598</v>
      </c>
      <c r="I758" s="184" t="s">
        <v>134</v>
      </c>
      <c r="J758" s="184" t="s">
        <v>84</v>
      </c>
      <c r="K758" s="184" t="s">
        <v>303</v>
      </c>
      <c r="L758" s="184" t="s">
        <v>598</v>
      </c>
      <c r="M758" s="184" t="s">
        <v>1944</v>
      </c>
      <c r="N758" s="184" t="s">
        <v>42</v>
      </c>
      <c r="O758" s="184" t="s">
        <v>42</v>
      </c>
      <c r="P758" s="186" t="s">
        <v>32</v>
      </c>
      <c r="Q758" s="184" t="s">
        <v>598</v>
      </c>
      <c r="R758" s="184" t="s">
        <v>598</v>
      </c>
      <c r="S758" s="127">
        <v>42898</v>
      </c>
      <c r="T758" s="184" t="s">
        <v>10</v>
      </c>
      <c r="U758" s="184" t="s">
        <v>598</v>
      </c>
      <c r="V758" s="185">
        <v>3000</v>
      </c>
      <c r="W758" s="184" t="s">
        <v>493</v>
      </c>
      <c r="X758" s="184" t="s">
        <v>598</v>
      </c>
      <c r="Y758" s="185">
        <v>0</v>
      </c>
      <c r="Z758" s="184" t="s">
        <v>598</v>
      </c>
      <c r="AA758" s="21" t="s">
        <v>610</v>
      </c>
      <c r="AB758" s="176" t="s">
        <v>489</v>
      </c>
      <c r="AC758" s="172">
        <v>42996.328472222223</v>
      </c>
      <c r="AD758" s="32" t="s">
        <v>552</v>
      </c>
    </row>
    <row r="759" spans="1:30">
      <c r="A759" s="184">
        <v>758</v>
      </c>
      <c r="B759" s="184" t="s">
        <v>2127</v>
      </c>
      <c r="C759" s="184" t="s">
        <v>598</v>
      </c>
      <c r="D759" s="127">
        <v>42843</v>
      </c>
      <c r="E759" s="127" t="s">
        <v>598</v>
      </c>
      <c r="F759" s="184" t="s">
        <v>2128</v>
      </c>
      <c r="G759" s="185">
        <v>0</v>
      </c>
      <c r="H759" s="184" t="s">
        <v>598</v>
      </c>
      <c r="I759" s="184" t="s">
        <v>115</v>
      </c>
      <c r="J759" s="184" t="s">
        <v>84</v>
      </c>
      <c r="K759" s="184" t="s">
        <v>277</v>
      </c>
      <c r="L759" s="184" t="s">
        <v>598</v>
      </c>
      <c r="M759" s="184" t="s">
        <v>598</v>
      </c>
      <c r="N759" s="184" t="s">
        <v>42</v>
      </c>
      <c r="O759" s="184" t="s">
        <v>73</v>
      </c>
      <c r="P759" s="186" t="s">
        <v>53</v>
      </c>
      <c r="Q759" s="184" t="s">
        <v>598</v>
      </c>
      <c r="R759" s="184" t="s">
        <v>598</v>
      </c>
      <c r="S759" s="127" t="s">
        <v>598</v>
      </c>
      <c r="T759" s="184" t="s">
        <v>598</v>
      </c>
      <c r="U759" s="184" t="s">
        <v>598</v>
      </c>
      <c r="V759" s="185">
        <v>0</v>
      </c>
      <c r="W759" s="184" t="s">
        <v>485</v>
      </c>
      <c r="X759" s="184" t="s">
        <v>598</v>
      </c>
      <c r="Y759" s="185">
        <v>0</v>
      </c>
      <c r="Z759" s="184" t="s">
        <v>598</v>
      </c>
      <c r="AA759" s="21" t="s">
        <v>610</v>
      </c>
      <c r="AB759" s="176" t="s">
        <v>489</v>
      </c>
      <c r="AC759" s="172">
        <v>42996.328472222223</v>
      </c>
      <c r="AD759" s="32" t="s">
        <v>552</v>
      </c>
    </row>
    <row r="760" spans="1:30">
      <c r="A760" s="184">
        <v>759</v>
      </c>
      <c r="B760" s="184" t="s">
        <v>2129</v>
      </c>
      <c r="C760" s="184" t="s">
        <v>598</v>
      </c>
      <c r="D760" s="127">
        <v>42843</v>
      </c>
      <c r="E760" s="127" t="s">
        <v>598</v>
      </c>
      <c r="F760" s="184" t="s">
        <v>2130</v>
      </c>
      <c r="G760" s="185">
        <v>0</v>
      </c>
      <c r="H760" s="184" t="s">
        <v>598</v>
      </c>
      <c r="I760" s="184" t="s">
        <v>134</v>
      </c>
      <c r="J760" s="184" t="s">
        <v>84</v>
      </c>
      <c r="K760" s="184" t="s">
        <v>281</v>
      </c>
      <c r="L760" s="184" t="s">
        <v>598</v>
      </c>
      <c r="M760" s="184" t="s">
        <v>2013</v>
      </c>
      <c r="N760" s="184" t="s">
        <v>42</v>
      </c>
      <c r="O760" s="184" t="s">
        <v>73</v>
      </c>
      <c r="P760" s="186" t="s">
        <v>44</v>
      </c>
      <c r="Q760" s="184" t="s">
        <v>598</v>
      </c>
      <c r="R760" s="184" t="s">
        <v>598</v>
      </c>
      <c r="S760" s="127" t="s">
        <v>598</v>
      </c>
      <c r="T760" s="184" t="s">
        <v>598</v>
      </c>
      <c r="U760" s="184" t="s">
        <v>598</v>
      </c>
      <c r="V760" s="185">
        <v>0</v>
      </c>
      <c r="W760" s="184" t="s">
        <v>485</v>
      </c>
      <c r="X760" s="184" t="s">
        <v>598</v>
      </c>
      <c r="Y760" s="185">
        <v>0</v>
      </c>
      <c r="Z760" s="184" t="s">
        <v>598</v>
      </c>
      <c r="AA760" s="21" t="s">
        <v>610</v>
      </c>
      <c r="AB760" s="176" t="s">
        <v>489</v>
      </c>
      <c r="AC760" s="172">
        <v>42996.328472222223</v>
      </c>
      <c r="AD760" s="32" t="s">
        <v>552</v>
      </c>
    </row>
    <row r="761" spans="1:30">
      <c r="A761" s="184">
        <v>760</v>
      </c>
      <c r="B761" s="184" t="s">
        <v>2131</v>
      </c>
      <c r="C761" s="184" t="s">
        <v>598</v>
      </c>
      <c r="D761" s="127">
        <v>42843</v>
      </c>
      <c r="E761" s="127" t="s">
        <v>598</v>
      </c>
      <c r="F761" s="184" t="s">
        <v>2132</v>
      </c>
      <c r="G761" s="185">
        <v>0</v>
      </c>
      <c r="H761" s="184" t="s">
        <v>598</v>
      </c>
      <c r="I761" s="184" t="s">
        <v>135</v>
      </c>
      <c r="J761" s="184" t="s">
        <v>84</v>
      </c>
      <c r="K761" s="184" t="s">
        <v>192</v>
      </c>
      <c r="L761" s="184" t="s">
        <v>598</v>
      </c>
      <c r="M761" s="184" t="s">
        <v>1954</v>
      </c>
      <c r="N761" s="184" t="s">
        <v>42</v>
      </c>
      <c r="O761" s="184" t="s">
        <v>98</v>
      </c>
      <c r="P761" s="186" t="s">
        <v>67</v>
      </c>
      <c r="Q761" s="184" t="s">
        <v>598</v>
      </c>
      <c r="R761" s="184" t="s">
        <v>598</v>
      </c>
      <c r="S761" s="127">
        <v>42903</v>
      </c>
      <c r="T761" s="184" t="s">
        <v>10</v>
      </c>
      <c r="U761" s="184" t="s">
        <v>598</v>
      </c>
      <c r="V761" s="185">
        <v>3000</v>
      </c>
      <c r="W761" s="184" t="s">
        <v>493</v>
      </c>
      <c r="X761" s="184" t="s">
        <v>598</v>
      </c>
      <c r="Y761" s="185">
        <v>0</v>
      </c>
      <c r="Z761" s="184" t="s">
        <v>598</v>
      </c>
      <c r="AA761" s="21" t="s">
        <v>610</v>
      </c>
      <c r="AB761" s="176" t="s">
        <v>489</v>
      </c>
      <c r="AC761" s="172">
        <v>42996.328472222223</v>
      </c>
      <c r="AD761" s="32" t="s">
        <v>552</v>
      </c>
    </row>
    <row r="762" spans="1:30">
      <c r="A762" s="184">
        <v>761</v>
      </c>
      <c r="B762" s="184" t="s">
        <v>2133</v>
      </c>
      <c r="C762" s="184" t="s">
        <v>598</v>
      </c>
      <c r="D762" s="127">
        <v>42843</v>
      </c>
      <c r="E762" s="127" t="s">
        <v>598</v>
      </c>
      <c r="F762" s="184" t="s">
        <v>2134</v>
      </c>
      <c r="G762" s="185">
        <v>0</v>
      </c>
      <c r="H762" s="184" t="s">
        <v>598</v>
      </c>
      <c r="I762" s="184" t="s">
        <v>598</v>
      </c>
      <c r="J762" s="184" t="s">
        <v>84</v>
      </c>
      <c r="K762" s="184" t="s">
        <v>383</v>
      </c>
      <c r="L762" s="184" t="s">
        <v>598</v>
      </c>
      <c r="M762" s="184" t="s">
        <v>1919</v>
      </c>
      <c r="N762" s="184" t="s">
        <v>42</v>
      </c>
      <c r="O762" s="184" t="s">
        <v>42</v>
      </c>
      <c r="P762" s="186" t="s">
        <v>602</v>
      </c>
      <c r="Q762" s="184" t="s">
        <v>598</v>
      </c>
      <c r="R762" s="184" t="s">
        <v>598</v>
      </c>
      <c r="S762" s="127" t="s">
        <v>598</v>
      </c>
      <c r="T762" s="184" t="s">
        <v>598</v>
      </c>
      <c r="U762" s="184" t="s">
        <v>598</v>
      </c>
      <c r="V762" s="185">
        <v>0</v>
      </c>
      <c r="W762" s="184" t="s">
        <v>485</v>
      </c>
      <c r="X762" s="184" t="s">
        <v>598</v>
      </c>
      <c r="Y762" s="185">
        <v>0</v>
      </c>
      <c r="Z762" s="184" t="s">
        <v>598</v>
      </c>
      <c r="AA762" s="21" t="s">
        <v>610</v>
      </c>
      <c r="AB762" s="176" t="s">
        <v>489</v>
      </c>
      <c r="AC762" s="172">
        <v>42996.328472222223</v>
      </c>
      <c r="AD762" s="32" t="s">
        <v>552</v>
      </c>
    </row>
    <row r="763" spans="1:30">
      <c r="A763" s="184">
        <v>762</v>
      </c>
      <c r="B763" s="184" t="s">
        <v>2135</v>
      </c>
      <c r="C763" s="184" t="s">
        <v>598</v>
      </c>
      <c r="D763" s="127">
        <v>42842</v>
      </c>
      <c r="E763" s="127" t="s">
        <v>598</v>
      </c>
      <c r="F763" s="184" t="s">
        <v>2136</v>
      </c>
      <c r="G763" s="185">
        <v>0</v>
      </c>
      <c r="H763" s="184" t="s">
        <v>598</v>
      </c>
      <c r="I763" s="184" t="s">
        <v>598</v>
      </c>
      <c r="J763" s="184" t="s">
        <v>84</v>
      </c>
      <c r="K763" s="184" t="s">
        <v>297</v>
      </c>
      <c r="L763" s="184" t="s">
        <v>598</v>
      </c>
      <c r="M763" s="184" t="s">
        <v>73</v>
      </c>
      <c r="N763" s="184" t="s">
        <v>42</v>
      </c>
      <c r="O763" s="184" t="s">
        <v>73</v>
      </c>
      <c r="P763" s="186" t="s">
        <v>603</v>
      </c>
      <c r="Q763" s="184" t="s">
        <v>598</v>
      </c>
      <c r="R763" s="184" t="s">
        <v>598</v>
      </c>
      <c r="S763" s="127" t="s">
        <v>598</v>
      </c>
      <c r="T763" s="184" t="s">
        <v>598</v>
      </c>
      <c r="U763" s="184" t="s">
        <v>598</v>
      </c>
      <c r="V763" s="185">
        <v>0</v>
      </c>
      <c r="W763" s="184" t="s">
        <v>485</v>
      </c>
      <c r="X763" s="184" t="s">
        <v>598</v>
      </c>
      <c r="Y763" s="185">
        <v>0</v>
      </c>
      <c r="Z763" s="184" t="s">
        <v>598</v>
      </c>
      <c r="AA763" s="21" t="s">
        <v>610</v>
      </c>
      <c r="AB763" s="176" t="s">
        <v>489</v>
      </c>
      <c r="AC763" s="172">
        <v>42996.328472222223</v>
      </c>
      <c r="AD763" s="32" t="s">
        <v>552</v>
      </c>
    </row>
    <row r="764" spans="1:30">
      <c r="A764" s="184">
        <v>763</v>
      </c>
      <c r="B764" s="184" t="s">
        <v>2137</v>
      </c>
      <c r="C764" s="184" t="s">
        <v>598</v>
      </c>
      <c r="D764" s="127">
        <v>42840</v>
      </c>
      <c r="E764" s="127" t="s">
        <v>598</v>
      </c>
      <c r="F764" s="184" t="s">
        <v>2138</v>
      </c>
      <c r="G764" s="185">
        <v>0</v>
      </c>
      <c r="H764" s="184" t="s">
        <v>598</v>
      </c>
      <c r="I764" s="184" t="s">
        <v>115</v>
      </c>
      <c r="J764" s="184" t="s">
        <v>84</v>
      </c>
      <c r="K764" s="184" t="s">
        <v>281</v>
      </c>
      <c r="L764" s="184" t="s">
        <v>598</v>
      </c>
      <c r="M764" s="184" t="s">
        <v>1962</v>
      </c>
      <c r="N764" s="184" t="s">
        <v>42</v>
      </c>
      <c r="O764" s="184" t="s">
        <v>42</v>
      </c>
      <c r="P764" s="186" t="s">
        <v>604</v>
      </c>
      <c r="Q764" s="184" t="s">
        <v>598</v>
      </c>
      <c r="R764" s="184" t="s">
        <v>598</v>
      </c>
      <c r="S764" s="127" t="s">
        <v>598</v>
      </c>
      <c r="T764" s="184" t="s">
        <v>598</v>
      </c>
      <c r="U764" s="184" t="s">
        <v>598</v>
      </c>
      <c r="V764" s="185">
        <v>0</v>
      </c>
      <c r="W764" s="184" t="s">
        <v>485</v>
      </c>
      <c r="X764" s="184" t="s">
        <v>598</v>
      </c>
      <c r="Y764" s="185">
        <v>0</v>
      </c>
      <c r="Z764" s="184" t="s">
        <v>598</v>
      </c>
      <c r="AA764" s="21" t="s">
        <v>610</v>
      </c>
      <c r="AB764" s="176" t="s">
        <v>489</v>
      </c>
      <c r="AC764" s="172">
        <v>42996.328472222223</v>
      </c>
      <c r="AD764" s="32" t="s">
        <v>552</v>
      </c>
    </row>
    <row r="765" spans="1:30">
      <c r="A765" s="184">
        <v>764</v>
      </c>
      <c r="B765" s="184" t="s">
        <v>2139</v>
      </c>
      <c r="C765" s="184" t="s">
        <v>598</v>
      </c>
      <c r="D765" s="127">
        <v>42839</v>
      </c>
      <c r="E765" s="127" t="s">
        <v>598</v>
      </c>
      <c r="F765" s="184" t="s">
        <v>2140</v>
      </c>
      <c r="G765" s="185">
        <v>0</v>
      </c>
      <c r="H765" s="184" t="s">
        <v>598</v>
      </c>
      <c r="I765" s="184" t="s">
        <v>134</v>
      </c>
      <c r="J765" s="184" t="s">
        <v>84</v>
      </c>
      <c r="K765" s="184" t="s">
        <v>291</v>
      </c>
      <c r="L765" s="184" t="s">
        <v>598</v>
      </c>
      <c r="M765" s="184" t="s">
        <v>1911</v>
      </c>
      <c r="N765" s="184" t="s">
        <v>42</v>
      </c>
      <c r="O765" s="184" t="s">
        <v>42</v>
      </c>
      <c r="P765" s="186" t="s">
        <v>605</v>
      </c>
      <c r="Q765" s="184" t="s">
        <v>598</v>
      </c>
      <c r="R765" s="184" t="s">
        <v>598</v>
      </c>
      <c r="S765" s="127" t="s">
        <v>598</v>
      </c>
      <c r="T765" s="184" t="s">
        <v>598</v>
      </c>
      <c r="U765" s="184" t="s">
        <v>598</v>
      </c>
      <c r="V765" s="185">
        <v>0</v>
      </c>
      <c r="W765" s="184" t="s">
        <v>485</v>
      </c>
      <c r="X765" s="184" t="s">
        <v>598</v>
      </c>
      <c r="Y765" s="185">
        <v>0</v>
      </c>
      <c r="Z765" s="184" t="s">
        <v>598</v>
      </c>
      <c r="AA765" s="21" t="s">
        <v>610</v>
      </c>
      <c r="AB765" s="176" t="s">
        <v>489</v>
      </c>
      <c r="AC765" s="172">
        <v>42996.328472222223</v>
      </c>
      <c r="AD765" s="32" t="s">
        <v>552</v>
      </c>
    </row>
    <row r="766" spans="1:30">
      <c r="A766" s="184">
        <v>765</v>
      </c>
      <c r="B766" s="184" t="s">
        <v>2141</v>
      </c>
      <c r="C766" s="184" t="s">
        <v>598</v>
      </c>
      <c r="D766" s="127">
        <v>42800</v>
      </c>
      <c r="E766" s="127" t="s">
        <v>598</v>
      </c>
      <c r="F766" s="184" t="s">
        <v>2142</v>
      </c>
      <c r="G766" s="185">
        <v>0</v>
      </c>
      <c r="H766" s="184" t="s">
        <v>598</v>
      </c>
      <c r="I766" s="184" t="s">
        <v>598</v>
      </c>
      <c r="J766" s="184" t="s">
        <v>59</v>
      </c>
      <c r="K766" s="184" t="s">
        <v>304</v>
      </c>
      <c r="L766" s="184" t="s">
        <v>598</v>
      </c>
      <c r="M766" s="184" t="s">
        <v>914</v>
      </c>
      <c r="N766" s="184" t="s">
        <v>42</v>
      </c>
      <c r="O766" s="184" t="s">
        <v>598</v>
      </c>
      <c r="P766" s="186" t="s">
        <v>606</v>
      </c>
      <c r="Q766" s="184" t="s">
        <v>598</v>
      </c>
      <c r="R766" s="184" t="s">
        <v>598</v>
      </c>
      <c r="S766" s="127" t="s">
        <v>598</v>
      </c>
      <c r="T766" s="184" t="s">
        <v>598</v>
      </c>
      <c r="U766" s="184" t="s">
        <v>598</v>
      </c>
      <c r="V766" s="185">
        <v>0</v>
      </c>
      <c r="W766" s="184" t="s">
        <v>485</v>
      </c>
      <c r="X766" s="184" t="s">
        <v>598</v>
      </c>
      <c r="Y766" s="185">
        <v>0</v>
      </c>
      <c r="Z766" s="184" t="s">
        <v>598</v>
      </c>
      <c r="AA766" s="21" t="s">
        <v>610</v>
      </c>
      <c r="AB766" s="176" t="s">
        <v>489</v>
      </c>
      <c r="AC766" s="172">
        <v>42996.328472222223</v>
      </c>
      <c r="AD766" s="32" t="s">
        <v>552</v>
      </c>
    </row>
    <row r="767" spans="1:30">
      <c r="A767" s="184">
        <v>766</v>
      </c>
      <c r="B767" s="184" t="s">
        <v>2143</v>
      </c>
      <c r="C767" s="184" t="s">
        <v>598</v>
      </c>
      <c r="D767" s="127">
        <v>42838</v>
      </c>
      <c r="E767" s="127" t="s">
        <v>598</v>
      </c>
      <c r="F767" s="184" t="s">
        <v>2144</v>
      </c>
      <c r="G767" s="185">
        <v>0</v>
      </c>
      <c r="H767" s="184" t="s">
        <v>598</v>
      </c>
      <c r="I767" s="184" t="s">
        <v>48</v>
      </c>
      <c r="J767" s="184" t="s">
        <v>84</v>
      </c>
      <c r="K767" s="184" t="s">
        <v>385</v>
      </c>
      <c r="L767" s="184" t="s">
        <v>598</v>
      </c>
      <c r="M767" s="184" t="s">
        <v>1919</v>
      </c>
      <c r="N767" s="184" t="s">
        <v>42</v>
      </c>
      <c r="O767" s="184" t="s">
        <v>598</v>
      </c>
      <c r="P767" s="186" t="s">
        <v>607</v>
      </c>
      <c r="Q767" s="184" t="s">
        <v>598</v>
      </c>
      <c r="R767" s="184" t="s">
        <v>598</v>
      </c>
      <c r="S767" s="127" t="s">
        <v>598</v>
      </c>
      <c r="T767" s="184" t="s">
        <v>598</v>
      </c>
      <c r="U767" s="184" t="s">
        <v>598</v>
      </c>
      <c r="V767" s="185">
        <v>0</v>
      </c>
      <c r="W767" s="184" t="s">
        <v>485</v>
      </c>
      <c r="X767" s="184" t="s">
        <v>598</v>
      </c>
      <c r="Y767" s="185">
        <v>0</v>
      </c>
      <c r="Z767" s="184" t="s">
        <v>598</v>
      </c>
      <c r="AA767" s="21" t="s">
        <v>610</v>
      </c>
      <c r="AB767" s="176" t="s">
        <v>489</v>
      </c>
      <c r="AC767" s="172">
        <v>42996.328472222223</v>
      </c>
      <c r="AD767" s="32" t="s">
        <v>552</v>
      </c>
    </row>
    <row r="768" spans="1:30">
      <c r="A768" s="184">
        <v>767</v>
      </c>
      <c r="B768" s="184" t="s">
        <v>2145</v>
      </c>
      <c r="C768" s="184" t="s">
        <v>598</v>
      </c>
      <c r="D768" s="127">
        <v>42838</v>
      </c>
      <c r="E768" s="127" t="s">
        <v>598</v>
      </c>
      <c r="F768" s="184" t="s">
        <v>2146</v>
      </c>
      <c r="G768" s="185">
        <v>0</v>
      </c>
      <c r="H768" s="184" t="s">
        <v>598</v>
      </c>
      <c r="I768" s="184" t="s">
        <v>120</v>
      </c>
      <c r="J768" s="184" t="s">
        <v>84</v>
      </c>
      <c r="K768" s="184" t="s">
        <v>386</v>
      </c>
      <c r="L768" s="184" t="s">
        <v>598</v>
      </c>
      <c r="M768" s="184" t="s">
        <v>1488</v>
      </c>
      <c r="N768" s="184" t="s">
        <v>42</v>
      </c>
      <c r="O768" s="184" t="s">
        <v>42</v>
      </c>
      <c r="P768" s="186" t="s">
        <v>73</v>
      </c>
      <c r="Q768" s="184" t="s">
        <v>598</v>
      </c>
      <c r="R768" s="184" t="s">
        <v>598</v>
      </c>
      <c r="S768" s="127" t="s">
        <v>598</v>
      </c>
      <c r="T768" s="184" t="s">
        <v>598</v>
      </c>
      <c r="U768" s="184" t="s">
        <v>598</v>
      </c>
      <c r="V768" s="185">
        <v>0</v>
      </c>
      <c r="W768" s="184" t="s">
        <v>485</v>
      </c>
      <c r="X768" s="184" t="s">
        <v>598</v>
      </c>
      <c r="Y768" s="185">
        <v>0</v>
      </c>
      <c r="Z768" s="184" t="s">
        <v>598</v>
      </c>
      <c r="AA768" s="21" t="s">
        <v>610</v>
      </c>
      <c r="AB768" s="176" t="s">
        <v>489</v>
      </c>
      <c r="AC768" s="172">
        <v>42996.328472222223</v>
      </c>
      <c r="AD768" s="32" t="s">
        <v>552</v>
      </c>
    </row>
    <row r="769" spans="1:30">
      <c r="A769" s="184">
        <v>768</v>
      </c>
      <c r="B769" s="184" t="s">
        <v>2147</v>
      </c>
      <c r="C769" s="184" t="s">
        <v>598</v>
      </c>
      <c r="D769" s="127">
        <v>42837</v>
      </c>
      <c r="E769" s="127" t="s">
        <v>598</v>
      </c>
      <c r="F769" s="184" t="s">
        <v>2148</v>
      </c>
      <c r="G769" s="185">
        <v>0</v>
      </c>
      <c r="H769" s="184" t="s">
        <v>598</v>
      </c>
      <c r="I769" s="184" t="s">
        <v>134</v>
      </c>
      <c r="J769" s="184" t="s">
        <v>84</v>
      </c>
      <c r="K769" s="184" t="s">
        <v>276</v>
      </c>
      <c r="L769" s="184" t="s">
        <v>598</v>
      </c>
      <c r="M769" s="184" t="s">
        <v>1176</v>
      </c>
      <c r="N769" s="184" t="s">
        <v>42</v>
      </c>
      <c r="O769" s="184" t="s">
        <v>98</v>
      </c>
      <c r="P769" s="186" t="s">
        <v>601</v>
      </c>
      <c r="Q769" s="184" t="s">
        <v>598</v>
      </c>
      <c r="R769" s="184" t="s">
        <v>598</v>
      </c>
      <c r="S769" s="127" t="s">
        <v>598</v>
      </c>
      <c r="T769" s="184" t="s">
        <v>598</v>
      </c>
      <c r="U769" s="184" t="s">
        <v>598</v>
      </c>
      <c r="V769" s="185">
        <v>0</v>
      </c>
      <c r="W769" s="184" t="s">
        <v>485</v>
      </c>
      <c r="X769" s="184" t="s">
        <v>598</v>
      </c>
      <c r="Y769" s="185">
        <v>0</v>
      </c>
      <c r="Z769" s="184" t="s">
        <v>598</v>
      </c>
      <c r="AA769" s="21" t="s">
        <v>610</v>
      </c>
      <c r="AB769" s="176" t="s">
        <v>489</v>
      </c>
      <c r="AC769" s="172">
        <v>42996.328472222223</v>
      </c>
      <c r="AD769" s="32" t="s">
        <v>552</v>
      </c>
    </row>
    <row r="770" spans="1:30">
      <c r="A770" s="184">
        <v>769</v>
      </c>
      <c r="B770" s="184" t="s">
        <v>2149</v>
      </c>
      <c r="C770" s="184" t="s">
        <v>598</v>
      </c>
      <c r="D770" s="127">
        <v>42837</v>
      </c>
      <c r="E770" s="127" t="s">
        <v>598</v>
      </c>
      <c r="F770" s="184" t="s">
        <v>2150</v>
      </c>
      <c r="G770" s="185">
        <v>0</v>
      </c>
      <c r="H770" s="184" t="s">
        <v>598</v>
      </c>
      <c r="I770" s="184" t="s">
        <v>48</v>
      </c>
      <c r="J770" s="184" t="s">
        <v>84</v>
      </c>
      <c r="K770" s="184" t="s">
        <v>277</v>
      </c>
      <c r="L770" s="184" t="s">
        <v>598</v>
      </c>
      <c r="M770" s="184" t="s">
        <v>598</v>
      </c>
      <c r="N770" s="184" t="s">
        <v>42</v>
      </c>
      <c r="O770" s="184" t="s">
        <v>598</v>
      </c>
      <c r="P770" s="186" t="s">
        <v>32</v>
      </c>
      <c r="Q770" s="184" t="s">
        <v>598</v>
      </c>
      <c r="R770" s="184" t="s">
        <v>598</v>
      </c>
      <c r="S770" s="127" t="s">
        <v>598</v>
      </c>
      <c r="T770" s="184" t="s">
        <v>598</v>
      </c>
      <c r="U770" s="184" t="s">
        <v>598</v>
      </c>
      <c r="V770" s="185">
        <v>0</v>
      </c>
      <c r="W770" s="184" t="s">
        <v>485</v>
      </c>
      <c r="X770" s="184" t="s">
        <v>598</v>
      </c>
      <c r="Y770" s="185">
        <v>0</v>
      </c>
      <c r="Z770" s="184" t="s">
        <v>598</v>
      </c>
      <c r="AA770" s="21" t="s">
        <v>610</v>
      </c>
      <c r="AB770" s="176" t="s">
        <v>489</v>
      </c>
      <c r="AC770" s="172">
        <v>42996.328472222223</v>
      </c>
      <c r="AD770" s="32" t="s">
        <v>552</v>
      </c>
    </row>
    <row r="771" spans="1:30">
      <c r="A771" s="184">
        <v>770</v>
      </c>
      <c r="B771" s="184" t="s">
        <v>2151</v>
      </c>
      <c r="C771" s="184" t="s">
        <v>598</v>
      </c>
      <c r="D771" s="127">
        <v>42836</v>
      </c>
      <c r="E771" s="127" t="s">
        <v>598</v>
      </c>
      <c r="F771" s="184" t="s">
        <v>2152</v>
      </c>
      <c r="G771" s="185">
        <v>0</v>
      </c>
      <c r="H771" s="184" t="s">
        <v>598</v>
      </c>
      <c r="I771" s="184" t="s">
        <v>132</v>
      </c>
      <c r="J771" s="184" t="s">
        <v>84</v>
      </c>
      <c r="K771" s="184" t="s">
        <v>387</v>
      </c>
      <c r="L771" s="184" t="s">
        <v>598</v>
      </c>
      <c r="M771" s="184" t="s">
        <v>598</v>
      </c>
      <c r="N771" s="184" t="s">
        <v>42</v>
      </c>
      <c r="O771" s="184" t="s">
        <v>73</v>
      </c>
      <c r="P771" s="186" t="s">
        <v>53</v>
      </c>
      <c r="Q771" s="184" t="s">
        <v>598</v>
      </c>
      <c r="R771" s="184" t="s">
        <v>598</v>
      </c>
      <c r="S771" s="127" t="s">
        <v>598</v>
      </c>
      <c r="T771" s="184" t="s">
        <v>598</v>
      </c>
      <c r="U771" s="184" t="s">
        <v>598</v>
      </c>
      <c r="V771" s="185">
        <v>0</v>
      </c>
      <c r="W771" s="184" t="s">
        <v>485</v>
      </c>
      <c r="X771" s="184" t="s">
        <v>598</v>
      </c>
      <c r="Y771" s="185">
        <v>0</v>
      </c>
      <c r="Z771" s="184" t="s">
        <v>598</v>
      </c>
      <c r="AA771" s="21" t="s">
        <v>610</v>
      </c>
      <c r="AB771" s="176" t="s">
        <v>489</v>
      </c>
      <c r="AC771" s="172">
        <v>42996.328472222223</v>
      </c>
      <c r="AD771" s="32" t="s">
        <v>552</v>
      </c>
    </row>
    <row r="772" spans="1:30">
      <c r="A772" s="184">
        <v>771</v>
      </c>
      <c r="B772" s="184" t="s">
        <v>2153</v>
      </c>
      <c r="C772" s="184" t="s">
        <v>598</v>
      </c>
      <c r="D772" s="127">
        <v>42832</v>
      </c>
      <c r="E772" s="127" t="s">
        <v>598</v>
      </c>
      <c r="F772" s="184" t="s">
        <v>2154</v>
      </c>
      <c r="G772" s="185">
        <v>0</v>
      </c>
      <c r="H772" s="184" t="s">
        <v>598</v>
      </c>
      <c r="I772" s="184" t="s">
        <v>122</v>
      </c>
      <c r="J772" s="184" t="s">
        <v>84</v>
      </c>
      <c r="K772" s="184" t="s">
        <v>291</v>
      </c>
      <c r="L772" s="184" t="s">
        <v>598</v>
      </c>
      <c r="M772" s="184" t="s">
        <v>598</v>
      </c>
      <c r="N772" s="184" t="s">
        <v>42</v>
      </c>
      <c r="O772" s="184" t="s">
        <v>98</v>
      </c>
      <c r="P772" s="186" t="s">
        <v>44</v>
      </c>
      <c r="Q772" s="184" t="s">
        <v>598</v>
      </c>
      <c r="R772" s="184" t="s">
        <v>598</v>
      </c>
      <c r="S772" s="127" t="s">
        <v>598</v>
      </c>
      <c r="T772" s="184" t="s">
        <v>598</v>
      </c>
      <c r="U772" s="184" t="s">
        <v>598</v>
      </c>
      <c r="V772" s="185">
        <v>0</v>
      </c>
      <c r="W772" s="184" t="s">
        <v>485</v>
      </c>
      <c r="X772" s="184" t="s">
        <v>598</v>
      </c>
      <c r="Y772" s="185">
        <v>0</v>
      </c>
      <c r="Z772" s="184" t="s">
        <v>598</v>
      </c>
      <c r="AA772" s="21" t="s">
        <v>610</v>
      </c>
      <c r="AB772" s="176" t="s">
        <v>489</v>
      </c>
      <c r="AC772" s="172">
        <v>42996.328472222223</v>
      </c>
      <c r="AD772" s="32" t="s">
        <v>552</v>
      </c>
    </row>
    <row r="773" spans="1:30">
      <c r="A773" s="184">
        <v>772</v>
      </c>
      <c r="B773" s="184" t="s">
        <v>2155</v>
      </c>
      <c r="C773" s="184" t="s">
        <v>598</v>
      </c>
      <c r="D773" s="127">
        <v>42831</v>
      </c>
      <c r="E773" s="127" t="s">
        <v>598</v>
      </c>
      <c r="F773" s="184" t="s">
        <v>2156</v>
      </c>
      <c r="G773" s="185">
        <v>0</v>
      </c>
      <c r="H773" s="184" t="s">
        <v>598</v>
      </c>
      <c r="I773" s="184" t="s">
        <v>115</v>
      </c>
      <c r="J773" s="184" t="s">
        <v>84</v>
      </c>
      <c r="K773" s="184" t="s">
        <v>259</v>
      </c>
      <c r="L773" s="184" t="s">
        <v>598</v>
      </c>
      <c r="M773" s="184" t="s">
        <v>598</v>
      </c>
      <c r="N773" s="184" t="s">
        <v>42</v>
      </c>
      <c r="O773" s="184" t="s">
        <v>42</v>
      </c>
      <c r="P773" s="186" t="s">
        <v>67</v>
      </c>
      <c r="Q773" s="184" t="s">
        <v>598</v>
      </c>
      <c r="R773" s="184" t="s">
        <v>598</v>
      </c>
      <c r="S773" s="127" t="s">
        <v>598</v>
      </c>
      <c r="T773" s="184" t="s">
        <v>598</v>
      </c>
      <c r="U773" s="184" t="s">
        <v>598</v>
      </c>
      <c r="V773" s="185">
        <v>0</v>
      </c>
      <c r="W773" s="184" t="s">
        <v>485</v>
      </c>
      <c r="X773" s="184" t="s">
        <v>598</v>
      </c>
      <c r="Y773" s="185">
        <v>0</v>
      </c>
      <c r="Z773" s="184" t="s">
        <v>598</v>
      </c>
      <c r="AA773" s="21" t="s">
        <v>610</v>
      </c>
      <c r="AB773" s="176" t="s">
        <v>489</v>
      </c>
      <c r="AC773" s="172">
        <v>42996.328472222223</v>
      </c>
      <c r="AD773" s="32" t="s">
        <v>552</v>
      </c>
    </row>
    <row r="774" spans="1:30">
      <c r="A774" s="184">
        <v>773</v>
      </c>
      <c r="B774" s="184" t="s">
        <v>2157</v>
      </c>
      <c r="C774" s="184" t="s">
        <v>598</v>
      </c>
      <c r="D774" s="127">
        <v>42826</v>
      </c>
      <c r="E774" s="127" t="s">
        <v>598</v>
      </c>
      <c r="F774" s="184" t="s">
        <v>2158</v>
      </c>
      <c r="G774" s="185">
        <v>0</v>
      </c>
      <c r="H774" s="184" t="s">
        <v>598</v>
      </c>
      <c r="I774" s="184" t="s">
        <v>134</v>
      </c>
      <c r="J774" s="184" t="s">
        <v>84</v>
      </c>
      <c r="K774" s="184" t="s">
        <v>388</v>
      </c>
      <c r="L774" s="184" t="s">
        <v>598</v>
      </c>
      <c r="M774" s="184" t="s">
        <v>73</v>
      </c>
      <c r="N774" s="184" t="s">
        <v>42</v>
      </c>
      <c r="O774" s="184" t="s">
        <v>598</v>
      </c>
      <c r="P774" s="186" t="s">
        <v>602</v>
      </c>
      <c r="Q774" s="184" t="s">
        <v>598</v>
      </c>
      <c r="R774" s="184" t="s">
        <v>598</v>
      </c>
      <c r="S774" s="127" t="s">
        <v>598</v>
      </c>
      <c r="T774" s="184" t="s">
        <v>598</v>
      </c>
      <c r="U774" s="184" t="s">
        <v>598</v>
      </c>
      <c r="V774" s="185">
        <v>0</v>
      </c>
      <c r="W774" s="184" t="s">
        <v>485</v>
      </c>
      <c r="X774" s="184" t="s">
        <v>598</v>
      </c>
      <c r="Y774" s="185">
        <v>0</v>
      </c>
      <c r="Z774" s="184" t="s">
        <v>598</v>
      </c>
      <c r="AA774" s="21" t="s">
        <v>610</v>
      </c>
      <c r="AB774" s="176" t="s">
        <v>489</v>
      </c>
      <c r="AC774" s="172">
        <v>42996.328472222223</v>
      </c>
      <c r="AD774" s="32" t="s">
        <v>552</v>
      </c>
    </row>
    <row r="775" spans="1:30">
      <c r="A775" s="184">
        <v>774</v>
      </c>
      <c r="B775" s="184" t="s">
        <v>2159</v>
      </c>
      <c r="C775" s="184" t="s">
        <v>598</v>
      </c>
      <c r="D775" s="127">
        <v>42825</v>
      </c>
      <c r="E775" s="127" t="s">
        <v>598</v>
      </c>
      <c r="F775" s="184" t="s">
        <v>2160</v>
      </c>
      <c r="G775" s="185">
        <v>0</v>
      </c>
      <c r="H775" s="184" t="s">
        <v>598</v>
      </c>
      <c r="I775" s="184" t="s">
        <v>115</v>
      </c>
      <c r="J775" s="184" t="s">
        <v>84</v>
      </c>
      <c r="K775" s="184" t="s">
        <v>276</v>
      </c>
      <c r="L775" s="184" t="s">
        <v>598</v>
      </c>
      <c r="M775" s="184" t="s">
        <v>1951</v>
      </c>
      <c r="N775" s="184" t="s">
        <v>42</v>
      </c>
      <c r="O775" s="184" t="s">
        <v>598</v>
      </c>
      <c r="P775" s="186" t="s">
        <v>603</v>
      </c>
      <c r="Q775" s="184" t="s">
        <v>598</v>
      </c>
      <c r="R775" s="184" t="s">
        <v>598</v>
      </c>
      <c r="S775" s="127" t="s">
        <v>598</v>
      </c>
      <c r="T775" s="184" t="s">
        <v>598</v>
      </c>
      <c r="U775" s="184" t="s">
        <v>598</v>
      </c>
      <c r="V775" s="185">
        <v>0</v>
      </c>
      <c r="W775" s="184" t="s">
        <v>485</v>
      </c>
      <c r="X775" s="184" t="s">
        <v>598</v>
      </c>
      <c r="Y775" s="185">
        <v>0</v>
      </c>
      <c r="Z775" s="184" t="s">
        <v>598</v>
      </c>
      <c r="AA775" s="21" t="s">
        <v>610</v>
      </c>
      <c r="AB775" s="176" t="s">
        <v>489</v>
      </c>
      <c r="AC775" s="172">
        <v>42996.328472222223</v>
      </c>
      <c r="AD775" s="32" t="s">
        <v>552</v>
      </c>
    </row>
    <row r="776" spans="1:30">
      <c r="A776" s="184">
        <v>775</v>
      </c>
      <c r="B776" s="184" t="s">
        <v>2161</v>
      </c>
      <c r="C776" s="184" t="s">
        <v>598</v>
      </c>
      <c r="D776" s="127">
        <v>42825</v>
      </c>
      <c r="E776" s="127" t="s">
        <v>598</v>
      </c>
      <c r="F776" s="184" t="s">
        <v>2162</v>
      </c>
      <c r="G776" s="185">
        <v>0</v>
      </c>
      <c r="H776" s="184" t="s">
        <v>598</v>
      </c>
      <c r="I776" s="184" t="s">
        <v>598</v>
      </c>
      <c r="J776" s="184" t="s">
        <v>84</v>
      </c>
      <c r="K776" s="184" t="s">
        <v>293</v>
      </c>
      <c r="L776" s="184" t="s">
        <v>598</v>
      </c>
      <c r="M776" s="184" t="s">
        <v>1919</v>
      </c>
      <c r="N776" s="184" t="s">
        <v>42</v>
      </c>
      <c r="O776" s="184" t="s">
        <v>598</v>
      </c>
      <c r="P776" s="186" t="s">
        <v>604</v>
      </c>
      <c r="Q776" s="184" t="s">
        <v>598</v>
      </c>
      <c r="R776" s="184" t="s">
        <v>598</v>
      </c>
      <c r="S776" s="127" t="s">
        <v>598</v>
      </c>
      <c r="T776" s="184" t="s">
        <v>598</v>
      </c>
      <c r="U776" s="184" t="s">
        <v>598</v>
      </c>
      <c r="V776" s="185">
        <v>0</v>
      </c>
      <c r="W776" s="184" t="s">
        <v>485</v>
      </c>
      <c r="X776" s="184" t="s">
        <v>598</v>
      </c>
      <c r="Y776" s="185">
        <v>0</v>
      </c>
      <c r="Z776" s="184" t="s">
        <v>598</v>
      </c>
      <c r="AA776" s="21" t="s">
        <v>610</v>
      </c>
      <c r="AB776" s="176" t="s">
        <v>489</v>
      </c>
      <c r="AC776" s="172">
        <v>42996.328472222223</v>
      </c>
      <c r="AD776" s="32" t="s">
        <v>552</v>
      </c>
    </row>
    <row r="777" spans="1:30">
      <c r="A777" s="184">
        <v>776</v>
      </c>
      <c r="B777" s="184" t="s">
        <v>2163</v>
      </c>
      <c r="C777" s="184" t="s">
        <v>598</v>
      </c>
      <c r="D777" s="127">
        <v>42824</v>
      </c>
      <c r="E777" s="127" t="s">
        <v>598</v>
      </c>
      <c r="F777" s="184" t="s">
        <v>2164</v>
      </c>
      <c r="G777" s="185">
        <v>0</v>
      </c>
      <c r="H777" s="184" t="s">
        <v>598</v>
      </c>
      <c r="I777" s="184" t="s">
        <v>134</v>
      </c>
      <c r="J777" s="184" t="s">
        <v>84</v>
      </c>
      <c r="K777" s="184" t="s">
        <v>192</v>
      </c>
      <c r="L777" s="184" t="s">
        <v>598</v>
      </c>
      <c r="M777" s="184" t="s">
        <v>2008</v>
      </c>
      <c r="N777" s="184" t="s">
        <v>42</v>
      </c>
      <c r="O777" s="184" t="s">
        <v>598</v>
      </c>
      <c r="P777" s="186" t="s">
        <v>605</v>
      </c>
      <c r="Q777" s="184" t="s">
        <v>598</v>
      </c>
      <c r="R777" s="184" t="s">
        <v>598</v>
      </c>
      <c r="S777" s="127" t="s">
        <v>598</v>
      </c>
      <c r="T777" s="184" t="s">
        <v>598</v>
      </c>
      <c r="U777" s="184" t="s">
        <v>598</v>
      </c>
      <c r="V777" s="185">
        <v>0</v>
      </c>
      <c r="W777" s="184" t="s">
        <v>485</v>
      </c>
      <c r="X777" s="184" t="s">
        <v>598</v>
      </c>
      <c r="Y777" s="185">
        <v>0</v>
      </c>
      <c r="Z777" s="184" t="s">
        <v>598</v>
      </c>
      <c r="AA777" s="21" t="s">
        <v>610</v>
      </c>
      <c r="AB777" s="176" t="s">
        <v>489</v>
      </c>
      <c r="AC777" s="172">
        <v>42996.328472222223</v>
      </c>
      <c r="AD777" s="32" t="s">
        <v>552</v>
      </c>
    </row>
    <row r="778" spans="1:30">
      <c r="A778" s="184">
        <v>777</v>
      </c>
      <c r="B778" s="184" t="s">
        <v>2165</v>
      </c>
      <c r="C778" s="184" t="s">
        <v>598</v>
      </c>
      <c r="D778" s="127">
        <v>42821</v>
      </c>
      <c r="E778" s="127" t="s">
        <v>598</v>
      </c>
      <c r="F778" s="184" t="s">
        <v>2166</v>
      </c>
      <c r="G778" s="185">
        <v>0</v>
      </c>
      <c r="H778" s="184" t="s">
        <v>598</v>
      </c>
      <c r="I778" s="184" t="s">
        <v>598</v>
      </c>
      <c r="J778" s="184" t="s">
        <v>84</v>
      </c>
      <c r="K778" s="184" t="s">
        <v>281</v>
      </c>
      <c r="L778" s="184" t="s">
        <v>598</v>
      </c>
      <c r="M778" s="184" t="s">
        <v>2060</v>
      </c>
      <c r="N778" s="184" t="s">
        <v>42</v>
      </c>
      <c r="O778" s="184" t="s">
        <v>598</v>
      </c>
      <c r="P778" s="186" t="s">
        <v>606</v>
      </c>
      <c r="Q778" s="184" t="s">
        <v>598</v>
      </c>
      <c r="R778" s="184" t="s">
        <v>598</v>
      </c>
      <c r="S778" s="127" t="s">
        <v>598</v>
      </c>
      <c r="T778" s="184" t="s">
        <v>598</v>
      </c>
      <c r="U778" s="184" t="s">
        <v>598</v>
      </c>
      <c r="V778" s="185">
        <v>0</v>
      </c>
      <c r="W778" s="184" t="s">
        <v>485</v>
      </c>
      <c r="X778" s="184" t="s">
        <v>598</v>
      </c>
      <c r="Y778" s="185">
        <v>0</v>
      </c>
      <c r="Z778" s="184" t="s">
        <v>598</v>
      </c>
      <c r="AA778" s="21" t="s">
        <v>610</v>
      </c>
      <c r="AB778" s="176" t="s">
        <v>489</v>
      </c>
      <c r="AC778" s="172">
        <v>42996.328472222223</v>
      </c>
      <c r="AD778" s="32" t="s">
        <v>552</v>
      </c>
    </row>
    <row r="779" spans="1:30">
      <c r="A779" s="184">
        <v>778</v>
      </c>
      <c r="B779" s="184" t="s">
        <v>2167</v>
      </c>
      <c r="C779" s="184" t="s">
        <v>598</v>
      </c>
      <c r="D779" s="127">
        <v>42821</v>
      </c>
      <c r="E779" s="127" t="s">
        <v>598</v>
      </c>
      <c r="F779" s="184" t="s">
        <v>2168</v>
      </c>
      <c r="G779" s="185">
        <v>0</v>
      </c>
      <c r="H779" s="184" t="s">
        <v>598</v>
      </c>
      <c r="I779" s="184" t="s">
        <v>598</v>
      </c>
      <c r="J779" s="184" t="s">
        <v>84</v>
      </c>
      <c r="K779" s="184" t="s">
        <v>293</v>
      </c>
      <c r="L779" s="184" t="s">
        <v>598</v>
      </c>
      <c r="M779" s="184" t="s">
        <v>2060</v>
      </c>
      <c r="N779" s="184" t="s">
        <v>42</v>
      </c>
      <c r="O779" s="184" t="s">
        <v>598</v>
      </c>
      <c r="P779" s="186" t="s">
        <v>607</v>
      </c>
      <c r="Q779" s="184" t="s">
        <v>598</v>
      </c>
      <c r="R779" s="184" t="s">
        <v>598</v>
      </c>
      <c r="S779" s="127" t="s">
        <v>598</v>
      </c>
      <c r="T779" s="184" t="s">
        <v>598</v>
      </c>
      <c r="U779" s="184" t="s">
        <v>598</v>
      </c>
      <c r="V779" s="185">
        <v>0</v>
      </c>
      <c r="W779" s="184" t="s">
        <v>485</v>
      </c>
      <c r="X779" s="184" t="s">
        <v>598</v>
      </c>
      <c r="Y779" s="185">
        <v>0</v>
      </c>
      <c r="Z779" s="184" t="s">
        <v>598</v>
      </c>
      <c r="AA779" s="21" t="s">
        <v>610</v>
      </c>
      <c r="AB779" s="176" t="s">
        <v>489</v>
      </c>
      <c r="AC779" s="172">
        <v>42996.328472222223</v>
      </c>
      <c r="AD779" s="32" t="s">
        <v>552</v>
      </c>
    </row>
    <row r="780" spans="1:30">
      <c r="A780" s="184">
        <v>779</v>
      </c>
      <c r="B780" s="184" t="s">
        <v>2169</v>
      </c>
      <c r="C780" s="184" t="s">
        <v>598</v>
      </c>
      <c r="D780" s="127">
        <v>42819</v>
      </c>
      <c r="E780" s="127" t="s">
        <v>598</v>
      </c>
      <c r="F780" s="184" t="s">
        <v>2170</v>
      </c>
      <c r="G780" s="185">
        <v>0</v>
      </c>
      <c r="H780" s="184" t="s">
        <v>598</v>
      </c>
      <c r="I780" s="184" t="s">
        <v>115</v>
      </c>
      <c r="J780" s="184" t="s">
        <v>84</v>
      </c>
      <c r="K780" s="184" t="s">
        <v>281</v>
      </c>
      <c r="L780" s="184" t="s">
        <v>598</v>
      </c>
      <c r="M780" s="184" t="s">
        <v>85</v>
      </c>
      <c r="N780" s="184" t="s">
        <v>42</v>
      </c>
      <c r="O780" s="184" t="s">
        <v>598</v>
      </c>
      <c r="P780" s="186" t="s">
        <v>73</v>
      </c>
      <c r="Q780" s="184" t="s">
        <v>598</v>
      </c>
      <c r="R780" s="184" t="s">
        <v>598</v>
      </c>
      <c r="S780" s="127" t="s">
        <v>598</v>
      </c>
      <c r="T780" s="184" t="s">
        <v>598</v>
      </c>
      <c r="U780" s="184" t="s">
        <v>598</v>
      </c>
      <c r="V780" s="185">
        <v>0</v>
      </c>
      <c r="W780" s="184" t="s">
        <v>485</v>
      </c>
      <c r="X780" s="184" t="s">
        <v>598</v>
      </c>
      <c r="Y780" s="185">
        <v>0</v>
      </c>
      <c r="Z780" s="184" t="s">
        <v>598</v>
      </c>
      <c r="AA780" s="21" t="s">
        <v>610</v>
      </c>
      <c r="AB780" s="176" t="s">
        <v>489</v>
      </c>
      <c r="AC780" s="172">
        <v>42996.328472222223</v>
      </c>
      <c r="AD780" s="32" t="s">
        <v>552</v>
      </c>
    </row>
    <row r="781" spans="1:30">
      <c r="A781" s="184">
        <v>780</v>
      </c>
      <c r="B781" s="184" t="s">
        <v>2171</v>
      </c>
      <c r="C781" s="184" t="s">
        <v>598</v>
      </c>
      <c r="D781" s="127">
        <v>42819</v>
      </c>
      <c r="E781" s="127" t="s">
        <v>598</v>
      </c>
      <c r="F781" s="184" t="s">
        <v>2170</v>
      </c>
      <c r="G781" s="185">
        <v>0</v>
      </c>
      <c r="H781" s="184" t="s">
        <v>598</v>
      </c>
      <c r="I781" s="184" t="s">
        <v>115</v>
      </c>
      <c r="J781" s="184" t="s">
        <v>84</v>
      </c>
      <c r="K781" s="184" t="s">
        <v>281</v>
      </c>
      <c r="L781" s="184" t="s">
        <v>598</v>
      </c>
      <c r="M781" s="184" t="s">
        <v>85</v>
      </c>
      <c r="N781" s="184" t="s">
        <v>42</v>
      </c>
      <c r="O781" s="184" t="s">
        <v>598</v>
      </c>
      <c r="P781" s="186" t="s">
        <v>601</v>
      </c>
      <c r="Q781" s="184" t="s">
        <v>598</v>
      </c>
      <c r="R781" s="184" t="s">
        <v>598</v>
      </c>
      <c r="S781" s="127" t="s">
        <v>598</v>
      </c>
      <c r="T781" s="184" t="s">
        <v>598</v>
      </c>
      <c r="U781" s="184" t="s">
        <v>598</v>
      </c>
      <c r="V781" s="185">
        <v>0</v>
      </c>
      <c r="W781" s="184" t="s">
        <v>485</v>
      </c>
      <c r="X781" s="184" t="s">
        <v>598</v>
      </c>
      <c r="Y781" s="185">
        <v>0</v>
      </c>
      <c r="Z781" s="184" t="s">
        <v>598</v>
      </c>
      <c r="AA781" s="21" t="s">
        <v>610</v>
      </c>
      <c r="AB781" s="176" t="s">
        <v>489</v>
      </c>
      <c r="AC781" s="172">
        <v>42996.328472222223</v>
      </c>
      <c r="AD781" s="32" t="s">
        <v>552</v>
      </c>
    </row>
    <row r="782" spans="1:30">
      <c r="A782" s="184">
        <v>781</v>
      </c>
      <c r="B782" s="184" t="s">
        <v>2172</v>
      </c>
      <c r="C782" s="184" t="s">
        <v>598</v>
      </c>
      <c r="D782" s="127">
        <v>42817</v>
      </c>
      <c r="E782" s="127" t="s">
        <v>598</v>
      </c>
      <c r="F782" s="184" t="s">
        <v>2173</v>
      </c>
      <c r="G782" s="185">
        <v>0</v>
      </c>
      <c r="H782" s="184" t="s">
        <v>598</v>
      </c>
      <c r="I782" s="184" t="s">
        <v>134</v>
      </c>
      <c r="J782" s="184" t="s">
        <v>84</v>
      </c>
      <c r="K782" s="184" t="s">
        <v>281</v>
      </c>
      <c r="L782" s="184" t="s">
        <v>598</v>
      </c>
      <c r="M782" s="184" t="s">
        <v>2174</v>
      </c>
      <c r="N782" s="184" t="s">
        <v>42</v>
      </c>
      <c r="O782" s="184" t="s">
        <v>598</v>
      </c>
      <c r="P782" s="186" t="s">
        <v>32</v>
      </c>
      <c r="Q782" s="184" t="s">
        <v>598</v>
      </c>
      <c r="R782" s="184" t="s">
        <v>598</v>
      </c>
      <c r="S782" s="127" t="s">
        <v>598</v>
      </c>
      <c r="T782" s="184" t="s">
        <v>598</v>
      </c>
      <c r="U782" s="184" t="s">
        <v>598</v>
      </c>
      <c r="V782" s="185">
        <v>0</v>
      </c>
      <c r="W782" s="184" t="s">
        <v>485</v>
      </c>
      <c r="X782" s="184" t="s">
        <v>598</v>
      </c>
      <c r="Y782" s="185">
        <v>0</v>
      </c>
      <c r="Z782" s="184" t="s">
        <v>598</v>
      </c>
      <c r="AA782" s="21" t="s">
        <v>610</v>
      </c>
      <c r="AB782" s="176" t="s">
        <v>489</v>
      </c>
      <c r="AC782" s="172">
        <v>42996.328472222223</v>
      </c>
      <c r="AD782" s="32" t="s">
        <v>552</v>
      </c>
    </row>
    <row r="783" spans="1:30">
      <c r="A783" s="184">
        <v>782</v>
      </c>
      <c r="B783" s="184" t="s">
        <v>2175</v>
      </c>
      <c r="C783" s="184" t="s">
        <v>598</v>
      </c>
      <c r="D783" s="127">
        <v>42817</v>
      </c>
      <c r="E783" s="127" t="s">
        <v>598</v>
      </c>
      <c r="F783" s="184" t="s">
        <v>2176</v>
      </c>
      <c r="G783" s="185">
        <v>0</v>
      </c>
      <c r="H783" s="184" t="s">
        <v>598</v>
      </c>
      <c r="I783" s="184" t="s">
        <v>134</v>
      </c>
      <c r="J783" s="184" t="s">
        <v>84</v>
      </c>
      <c r="K783" s="184" t="s">
        <v>281</v>
      </c>
      <c r="L783" s="184" t="s">
        <v>598</v>
      </c>
      <c r="M783" s="184" t="s">
        <v>178</v>
      </c>
      <c r="N783" s="184" t="s">
        <v>42</v>
      </c>
      <c r="O783" s="184" t="s">
        <v>73</v>
      </c>
      <c r="P783" s="186" t="s">
        <v>53</v>
      </c>
      <c r="Q783" s="184" t="s">
        <v>598</v>
      </c>
      <c r="R783" s="184" t="s">
        <v>598</v>
      </c>
      <c r="S783" s="127" t="s">
        <v>598</v>
      </c>
      <c r="T783" s="184" t="s">
        <v>598</v>
      </c>
      <c r="U783" s="184" t="s">
        <v>598</v>
      </c>
      <c r="V783" s="185">
        <v>0</v>
      </c>
      <c r="W783" s="184" t="s">
        <v>485</v>
      </c>
      <c r="X783" s="184" t="s">
        <v>598</v>
      </c>
      <c r="Y783" s="185">
        <v>0</v>
      </c>
      <c r="Z783" s="184" t="s">
        <v>598</v>
      </c>
      <c r="AA783" s="21" t="s">
        <v>610</v>
      </c>
      <c r="AB783" s="176" t="s">
        <v>489</v>
      </c>
      <c r="AC783" s="172">
        <v>42996.328472222223</v>
      </c>
      <c r="AD783" s="32" t="s">
        <v>552</v>
      </c>
    </row>
    <row r="784" spans="1:30">
      <c r="A784" s="184">
        <v>783</v>
      </c>
      <c r="B784" s="184" t="s">
        <v>2177</v>
      </c>
      <c r="C784" s="184" t="s">
        <v>598</v>
      </c>
      <c r="D784" s="127">
        <v>42817</v>
      </c>
      <c r="E784" s="127" t="s">
        <v>598</v>
      </c>
      <c r="F784" s="184" t="s">
        <v>2178</v>
      </c>
      <c r="G784" s="185">
        <v>0</v>
      </c>
      <c r="H784" s="184" t="s">
        <v>598</v>
      </c>
      <c r="I784" s="184" t="s">
        <v>122</v>
      </c>
      <c r="J784" s="184" t="s">
        <v>84</v>
      </c>
      <c r="K784" s="184" t="s">
        <v>276</v>
      </c>
      <c r="L784" s="184" t="s">
        <v>598</v>
      </c>
      <c r="M784" s="184" t="s">
        <v>2179</v>
      </c>
      <c r="N784" s="184" t="s">
        <v>42</v>
      </c>
      <c r="O784" s="184" t="s">
        <v>598</v>
      </c>
      <c r="P784" s="186" t="s">
        <v>44</v>
      </c>
      <c r="Q784" s="184" t="s">
        <v>598</v>
      </c>
      <c r="R784" s="184" t="s">
        <v>598</v>
      </c>
      <c r="S784" s="127" t="s">
        <v>598</v>
      </c>
      <c r="T784" s="184" t="s">
        <v>598</v>
      </c>
      <c r="U784" s="184" t="s">
        <v>598</v>
      </c>
      <c r="V784" s="185">
        <v>0</v>
      </c>
      <c r="W784" s="184" t="s">
        <v>485</v>
      </c>
      <c r="X784" s="184" t="s">
        <v>598</v>
      </c>
      <c r="Y784" s="185">
        <v>0</v>
      </c>
      <c r="Z784" s="184" t="s">
        <v>598</v>
      </c>
      <c r="AA784" s="21" t="s">
        <v>610</v>
      </c>
      <c r="AB784" s="176" t="s">
        <v>489</v>
      </c>
      <c r="AC784" s="172">
        <v>42996.328472222223</v>
      </c>
      <c r="AD784" s="32" t="s">
        <v>552</v>
      </c>
    </row>
    <row r="785" spans="1:30">
      <c r="A785" s="184">
        <v>784</v>
      </c>
      <c r="B785" s="184" t="s">
        <v>2180</v>
      </c>
      <c r="C785" s="184" t="s">
        <v>598</v>
      </c>
      <c r="D785" s="127">
        <v>42822</v>
      </c>
      <c r="E785" s="127" t="s">
        <v>598</v>
      </c>
      <c r="F785" s="184" t="s">
        <v>2181</v>
      </c>
      <c r="G785" s="185">
        <v>0</v>
      </c>
      <c r="H785" s="184" t="s">
        <v>598</v>
      </c>
      <c r="I785" s="184" t="s">
        <v>598</v>
      </c>
      <c r="J785" s="184" t="s">
        <v>59</v>
      </c>
      <c r="K785" s="184" t="s">
        <v>389</v>
      </c>
      <c r="L785" s="184" t="s">
        <v>598</v>
      </c>
      <c r="M785" s="184" t="s">
        <v>1919</v>
      </c>
      <c r="N785" s="184" t="s">
        <v>42</v>
      </c>
      <c r="O785" s="184" t="s">
        <v>598</v>
      </c>
      <c r="P785" s="186" t="s">
        <v>67</v>
      </c>
      <c r="Q785" s="184" t="s">
        <v>598</v>
      </c>
      <c r="R785" s="184" t="s">
        <v>598</v>
      </c>
      <c r="S785" s="127" t="s">
        <v>598</v>
      </c>
      <c r="T785" s="184" t="s">
        <v>598</v>
      </c>
      <c r="U785" s="184" t="s">
        <v>598</v>
      </c>
      <c r="V785" s="185">
        <v>0</v>
      </c>
      <c r="W785" s="184" t="s">
        <v>485</v>
      </c>
      <c r="X785" s="184" t="s">
        <v>598</v>
      </c>
      <c r="Y785" s="185">
        <v>0</v>
      </c>
      <c r="Z785" s="184" t="s">
        <v>598</v>
      </c>
      <c r="AA785" s="21" t="s">
        <v>610</v>
      </c>
      <c r="AB785" s="176" t="s">
        <v>489</v>
      </c>
      <c r="AC785" s="172">
        <v>42996.328472222223</v>
      </c>
      <c r="AD785" s="32" t="s">
        <v>552</v>
      </c>
    </row>
    <row r="786" spans="1:30">
      <c r="A786" s="184">
        <v>785</v>
      </c>
      <c r="B786" s="184" t="s">
        <v>2182</v>
      </c>
      <c r="C786" s="184" t="s">
        <v>598</v>
      </c>
      <c r="D786" s="127">
        <v>42817</v>
      </c>
      <c r="E786" s="127" t="s">
        <v>598</v>
      </c>
      <c r="F786" s="184" t="s">
        <v>2183</v>
      </c>
      <c r="G786" s="185">
        <v>0</v>
      </c>
      <c r="H786" s="184" t="s">
        <v>598</v>
      </c>
      <c r="I786" s="184" t="s">
        <v>134</v>
      </c>
      <c r="J786" s="184" t="s">
        <v>84</v>
      </c>
      <c r="K786" s="184" t="s">
        <v>297</v>
      </c>
      <c r="L786" s="184" t="s">
        <v>598</v>
      </c>
      <c r="M786" s="184" t="s">
        <v>73</v>
      </c>
      <c r="N786" s="184" t="s">
        <v>42</v>
      </c>
      <c r="O786" s="184" t="s">
        <v>598</v>
      </c>
      <c r="P786" s="186" t="s">
        <v>602</v>
      </c>
      <c r="Q786" s="184" t="s">
        <v>598</v>
      </c>
      <c r="R786" s="184" t="s">
        <v>598</v>
      </c>
      <c r="S786" s="127" t="s">
        <v>598</v>
      </c>
      <c r="T786" s="184" t="s">
        <v>598</v>
      </c>
      <c r="U786" s="184" t="s">
        <v>598</v>
      </c>
      <c r="V786" s="185">
        <v>0</v>
      </c>
      <c r="W786" s="184" t="s">
        <v>485</v>
      </c>
      <c r="X786" s="184" t="s">
        <v>598</v>
      </c>
      <c r="Y786" s="185">
        <v>0</v>
      </c>
      <c r="Z786" s="184" t="s">
        <v>598</v>
      </c>
      <c r="AA786" s="21" t="s">
        <v>610</v>
      </c>
      <c r="AB786" s="176" t="s">
        <v>489</v>
      </c>
      <c r="AC786" s="172">
        <v>42996.328472222223</v>
      </c>
      <c r="AD786" s="32" t="s">
        <v>552</v>
      </c>
    </row>
    <row r="787" spans="1:30">
      <c r="A787" s="184">
        <v>786</v>
      </c>
      <c r="B787" s="184" t="s">
        <v>2184</v>
      </c>
      <c r="C787" s="184" t="s">
        <v>598</v>
      </c>
      <c r="D787" s="127">
        <v>42817</v>
      </c>
      <c r="E787" s="127" t="s">
        <v>598</v>
      </c>
      <c r="F787" s="184" t="s">
        <v>2185</v>
      </c>
      <c r="G787" s="185">
        <v>0</v>
      </c>
      <c r="H787" s="184" t="s">
        <v>598</v>
      </c>
      <c r="I787" s="184" t="s">
        <v>120</v>
      </c>
      <c r="J787" s="184" t="s">
        <v>84</v>
      </c>
      <c r="K787" s="184" t="s">
        <v>302</v>
      </c>
      <c r="L787" s="184" t="s">
        <v>598</v>
      </c>
      <c r="M787" s="184" t="s">
        <v>73</v>
      </c>
      <c r="N787" s="184" t="s">
        <v>42</v>
      </c>
      <c r="O787" s="184" t="s">
        <v>598</v>
      </c>
      <c r="P787" s="186" t="s">
        <v>603</v>
      </c>
      <c r="Q787" s="184" t="s">
        <v>598</v>
      </c>
      <c r="R787" s="184" t="s">
        <v>598</v>
      </c>
      <c r="S787" s="127" t="s">
        <v>598</v>
      </c>
      <c r="T787" s="184" t="s">
        <v>598</v>
      </c>
      <c r="U787" s="184" t="s">
        <v>598</v>
      </c>
      <c r="V787" s="185">
        <v>0</v>
      </c>
      <c r="W787" s="184" t="s">
        <v>485</v>
      </c>
      <c r="X787" s="184" t="s">
        <v>598</v>
      </c>
      <c r="Y787" s="185">
        <v>0</v>
      </c>
      <c r="Z787" s="184" t="s">
        <v>598</v>
      </c>
      <c r="AA787" s="21" t="s">
        <v>610</v>
      </c>
      <c r="AB787" s="176" t="s">
        <v>489</v>
      </c>
      <c r="AC787" s="172">
        <v>42996.328472222223</v>
      </c>
      <c r="AD787" s="32" t="s">
        <v>552</v>
      </c>
    </row>
    <row r="788" spans="1:30">
      <c r="A788" s="184">
        <v>787</v>
      </c>
      <c r="B788" s="184" t="s">
        <v>2186</v>
      </c>
      <c r="C788" s="184" t="s">
        <v>598</v>
      </c>
      <c r="D788" s="127">
        <v>42816</v>
      </c>
      <c r="E788" s="127" t="s">
        <v>598</v>
      </c>
      <c r="F788" s="184" t="s">
        <v>2187</v>
      </c>
      <c r="G788" s="185">
        <v>0</v>
      </c>
      <c r="H788" s="184" t="s">
        <v>598</v>
      </c>
      <c r="I788" s="184" t="s">
        <v>134</v>
      </c>
      <c r="J788" s="184" t="s">
        <v>84</v>
      </c>
      <c r="K788" s="184" t="s">
        <v>281</v>
      </c>
      <c r="L788" s="184" t="s">
        <v>598</v>
      </c>
      <c r="M788" s="184" t="s">
        <v>2013</v>
      </c>
      <c r="N788" s="184" t="s">
        <v>42</v>
      </c>
      <c r="O788" s="184" t="s">
        <v>598</v>
      </c>
      <c r="P788" s="186" t="s">
        <v>604</v>
      </c>
      <c r="Q788" s="184" t="s">
        <v>598</v>
      </c>
      <c r="R788" s="184" t="s">
        <v>598</v>
      </c>
      <c r="S788" s="127" t="s">
        <v>598</v>
      </c>
      <c r="T788" s="184" t="s">
        <v>598</v>
      </c>
      <c r="U788" s="184" t="s">
        <v>598</v>
      </c>
      <c r="V788" s="185">
        <v>0</v>
      </c>
      <c r="W788" s="184" t="s">
        <v>485</v>
      </c>
      <c r="X788" s="184" t="s">
        <v>598</v>
      </c>
      <c r="Y788" s="185">
        <v>0</v>
      </c>
      <c r="Z788" s="184" t="s">
        <v>598</v>
      </c>
      <c r="AA788" s="21" t="s">
        <v>610</v>
      </c>
      <c r="AB788" s="176" t="s">
        <v>489</v>
      </c>
      <c r="AC788" s="172">
        <v>42996.328472222223</v>
      </c>
      <c r="AD788" s="32" t="s">
        <v>552</v>
      </c>
    </row>
    <row r="789" spans="1:30">
      <c r="A789" s="184">
        <v>788</v>
      </c>
      <c r="B789" s="184" t="s">
        <v>2188</v>
      </c>
      <c r="C789" s="184" t="s">
        <v>598</v>
      </c>
      <c r="D789" s="127">
        <v>42816</v>
      </c>
      <c r="E789" s="127" t="s">
        <v>598</v>
      </c>
      <c r="F789" s="184" t="s">
        <v>2189</v>
      </c>
      <c r="G789" s="185">
        <v>0</v>
      </c>
      <c r="H789" s="184" t="s">
        <v>598</v>
      </c>
      <c r="I789" s="184" t="s">
        <v>120</v>
      </c>
      <c r="J789" s="184" t="s">
        <v>84</v>
      </c>
      <c r="K789" s="184" t="s">
        <v>297</v>
      </c>
      <c r="L789" s="184" t="s">
        <v>598</v>
      </c>
      <c r="M789" s="184" t="s">
        <v>73</v>
      </c>
      <c r="N789" s="184" t="s">
        <v>42</v>
      </c>
      <c r="O789" s="184" t="s">
        <v>598</v>
      </c>
      <c r="P789" s="186" t="s">
        <v>605</v>
      </c>
      <c r="Q789" s="184" t="s">
        <v>598</v>
      </c>
      <c r="R789" s="184" t="s">
        <v>598</v>
      </c>
      <c r="S789" s="127" t="s">
        <v>598</v>
      </c>
      <c r="T789" s="184" t="s">
        <v>598</v>
      </c>
      <c r="U789" s="184" t="s">
        <v>598</v>
      </c>
      <c r="V789" s="185">
        <v>0</v>
      </c>
      <c r="W789" s="184" t="s">
        <v>485</v>
      </c>
      <c r="X789" s="184" t="s">
        <v>598</v>
      </c>
      <c r="Y789" s="185">
        <v>0</v>
      </c>
      <c r="Z789" s="184" t="s">
        <v>598</v>
      </c>
      <c r="AA789" s="21" t="s">
        <v>610</v>
      </c>
      <c r="AB789" s="176" t="s">
        <v>489</v>
      </c>
      <c r="AC789" s="172">
        <v>42996.328472222223</v>
      </c>
      <c r="AD789" s="32" t="s">
        <v>552</v>
      </c>
    </row>
    <row r="790" spans="1:30">
      <c r="A790" s="184">
        <v>789</v>
      </c>
      <c r="B790" s="184" t="s">
        <v>2190</v>
      </c>
      <c r="C790" s="184" t="s">
        <v>598</v>
      </c>
      <c r="D790" s="127">
        <v>42812</v>
      </c>
      <c r="E790" s="127" t="s">
        <v>598</v>
      </c>
      <c r="F790" s="184" t="s">
        <v>2191</v>
      </c>
      <c r="G790" s="185">
        <v>0</v>
      </c>
      <c r="H790" s="184" t="s">
        <v>598</v>
      </c>
      <c r="I790" s="184" t="s">
        <v>120</v>
      </c>
      <c r="J790" s="184" t="s">
        <v>84</v>
      </c>
      <c r="K790" s="184" t="s">
        <v>291</v>
      </c>
      <c r="L790" s="184" t="s">
        <v>598</v>
      </c>
      <c r="M790" s="184" t="s">
        <v>1911</v>
      </c>
      <c r="N790" s="184" t="s">
        <v>42</v>
      </c>
      <c r="O790" s="184" t="s">
        <v>98</v>
      </c>
      <c r="P790" s="186" t="s">
        <v>606</v>
      </c>
      <c r="Q790" s="184" t="s">
        <v>598</v>
      </c>
      <c r="R790" s="184" t="s">
        <v>598</v>
      </c>
      <c r="S790" s="127" t="s">
        <v>598</v>
      </c>
      <c r="T790" s="184" t="s">
        <v>598</v>
      </c>
      <c r="U790" s="184" t="s">
        <v>598</v>
      </c>
      <c r="V790" s="185">
        <v>0</v>
      </c>
      <c r="W790" s="184" t="s">
        <v>485</v>
      </c>
      <c r="X790" s="184" t="s">
        <v>598</v>
      </c>
      <c r="Y790" s="185">
        <v>0</v>
      </c>
      <c r="Z790" s="184" t="s">
        <v>598</v>
      </c>
      <c r="AA790" s="21" t="s">
        <v>610</v>
      </c>
      <c r="AB790" s="176" t="s">
        <v>489</v>
      </c>
      <c r="AC790" s="172">
        <v>42996.328472222223</v>
      </c>
      <c r="AD790" s="32" t="s">
        <v>552</v>
      </c>
    </row>
    <row r="791" spans="1:30">
      <c r="A791" s="184">
        <v>790</v>
      </c>
      <c r="B791" s="184" t="s">
        <v>2192</v>
      </c>
      <c r="C791" s="184" t="s">
        <v>598</v>
      </c>
      <c r="D791" s="127">
        <v>42810</v>
      </c>
      <c r="E791" s="127" t="s">
        <v>598</v>
      </c>
      <c r="F791" s="184" t="s">
        <v>2193</v>
      </c>
      <c r="G791" s="185">
        <v>0</v>
      </c>
      <c r="H791" s="184" t="s">
        <v>598</v>
      </c>
      <c r="I791" s="184" t="s">
        <v>134</v>
      </c>
      <c r="J791" s="184" t="s">
        <v>84</v>
      </c>
      <c r="K791" s="184" t="s">
        <v>281</v>
      </c>
      <c r="L791" s="184" t="s">
        <v>598</v>
      </c>
      <c r="M791" s="184" t="s">
        <v>1978</v>
      </c>
      <c r="N791" s="184" t="s">
        <v>42</v>
      </c>
      <c r="O791" s="184" t="s">
        <v>73</v>
      </c>
      <c r="P791" s="186" t="s">
        <v>607</v>
      </c>
      <c r="Q791" s="184" t="s">
        <v>598</v>
      </c>
      <c r="R791" s="184" t="s">
        <v>598</v>
      </c>
      <c r="S791" s="127" t="s">
        <v>598</v>
      </c>
      <c r="T791" s="184" t="s">
        <v>598</v>
      </c>
      <c r="U791" s="184" t="s">
        <v>598</v>
      </c>
      <c r="V791" s="185">
        <v>0</v>
      </c>
      <c r="W791" s="184" t="s">
        <v>485</v>
      </c>
      <c r="X791" s="184" t="s">
        <v>598</v>
      </c>
      <c r="Y791" s="185">
        <v>0</v>
      </c>
      <c r="Z791" s="184" t="s">
        <v>598</v>
      </c>
      <c r="AA791" s="21" t="s">
        <v>610</v>
      </c>
      <c r="AB791" s="176" t="s">
        <v>489</v>
      </c>
      <c r="AC791" s="172">
        <v>42996.328472222223</v>
      </c>
      <c r="AD791" s="32" t="s">
        <v>552</v>
      </c>
    </row>
    <row r="792" spans="1:30">
      <c r="A792" s="184">
        <v>791</v>
      </c>
      <c r="B792" s="184" t="s">
        <v>2194</v>
      </c>
      <c r="C792" s="184" t="s">
        <v>598</v>
      </c>
      <c r="D792" s="127">
        <v>42810</v>
      </c>
      <c r="E792" s="127" t="s">
        <v>598</v>
      </c>
      <c r="F792" s="184" t="s">
        <v>2195</v>
      </c>
      <c r="G792" s="185">
        <v>0</v>
      </c>
      <c r="H792" s="184" t="s">
        <v>598</v>
      </c>
      <c r="I792" s="184" t="s">
        <v>134</v>
      </c>
      <c r="J792" s="184" t="s">
        <v>84</v>
      </c>
      <c r="K792" s="184" t="s">
        <v>301</v>
      </c>
      <c r="L792" s="184" t="s">
        <v>598</v>
      </c>
      <c r="M792" s="184" t="s">
        <v>73</v>
      </c>
      <c r="N792" s="184" t="s">
        <v>42</v>
      </c>
      <c r="O792" s="184" t="s">
        <v>598</v>
      </c>
      <c r="P792" s="186" t="s">
        <v>73</v>
      </c>
      <c r="Q792" s="184" t="s">
        <v>598</v>
      </c>
      <c r="R792" s="184" t="s">
        <v>598</v>
      </c>
      <c r="S792" s="127" t="s">
        <v>598</v>
      </c>
      <c r="T792" s="184" t="s">
        <v>598</v>
      </c>
      <c r="U792" s="184" t="s">
        <v>598</v>
      </c>
      <c r="V792" s="185">
        <v>0</v>
      </c>
      <c r="W792" s="184" t="s">
        <v>485</v>
      </c>
      <c r="X792" s="184" t="s">
        <v>598</v>
      </c>
      <c r="Y792" s="185">
        <v>0</v>
      </c>
      <c r="Z792" s="184" t="s">
        <v>598</v>
      </c>
      <c r="AA792" s="21" t="s">
        <v>610</v>
      </c>
      <c r="AB792" s="176" t="s">
        <v>489</v>
      </c>
      <c r="AC792" s="172">
        <v>42996.328472222223</v>
      </c>
      <c r="AD792" s="32" t="s">
        <v>552</v>
      </c>
    </row>
    <row r="793" spans="1:30">
      <c r="A793" s="184">
        <v>792</v>
      </c>
      <c r="B793" s="184" t="s">
        <v>2196</v>
      </c>
      <c r="C793" s="184" t="s">
        <v>598</v>
      </c>
      <c r="D793" s="127">
        <v>42803</v>
      </c>
      <c r="E793" s="127" t="s">
        <v>598</v>
      </c>
      <c r="F793" s="184" t="s">
        <v>2197</v>
      </c>
      <c r="G793" s="185">
        <v>0</v>
      </c>
      <c r="H793" s="184" t="s">
        <v>598</v>
      </c>
      <c r="I793" s="184" t="s">
        <v>598</v>
      </c>
      <c r="J793" s="184" t="s">
        <v>84</v>
      </c>
      <c r="K793" s="184" t="s">
        <v>192</v>
      </c>
      <c r="L793" s="184" t="s">
        <v>598</v>
      </c>
      <c r="M793" s="184" t="s">
        <v>1954</v>
      </c>
      <c r="N793" s="184" t="s">
        <v>42</v>
      </c>
      <c r="O793" s="184" t="s">
        <v>598</v>
      </c>
      <c r="P793" s="186" t="s">
        <v>601</v>
      </c>
      <c r="Q793" s="184" t="s">
        <v>598</v>
      </c>
      <c r="R793" s="184" t="s">
        <v>598</v>
      </c>
      <c r="S793" s="127" t="s">
        <v>598</v>
      </c>
      <c r="T793" s="184" t="s">
        <v>598</v>
      </c>
      <c r="U793" s="184" t="s">
        <v>598</v>
      </c>
      <c r="V793" s="185">
        <v>0</v>
      </c>
      <c r="W793" s="184" t="s">
        <v>485</v>
      </c>
      <c r="X793" s="184" t="s">
        <v>598</v>
      </c>
      <c r="Y793" s="185">
        <v>0</v>
      </c>
      <c r="Z793" s="184" t="s">
        <v>598</v>
      </c>
      <c r="AA793" s="21" t="s">
        <v>610</v>
      </c>
      <c r="AB793" s="176" t="s">
        <v>489</v>
      </c>
      <c r="AC793" s="172">
        <v>42996.328472222223</v>
      </c>
      <c r="AD793" s="32" t="s">
        <v>552</v>
      </c>
    </row>
    <row r="794" spans="1:30">
      <c r="A794" s="184">
        <v>793</v>
      </c>
      <c r="B794" s="184" t="s">
        <v>2198</v>
      </c>
      <c r="C794" s="184" t="s">
        <v>598</v>
      </c>
      <c r="D794" s="127">
        <v>42803</v>
      </c>
      <c r="E794" s="127" t="s">
        <v>598</v>
      </c>
      <c r="F794" s="184" t="s">
        <v>2199</v>
      </c>
      <c r="G794" s="185">
        <v>0</v>
      </c>
      <c r="H794" s="184" t="s">
        <v>598</v>
      </c>
      <c r="I794" s="184" t="s">
        <v>115</v>
      </c>
      <c r="J794" s="184" t="s">
        <v>84</v>
      </c>
      <c r="K794" s="184" t="s">
        <v>276</v>
      </c>
      <c r="L794" s="184" t="s">
        <v>598</v>
      </c>
      <c r="M794" s="184" t="s">
        <v>1951</v>
      </c>
      <c r="N794" s="184" t="s">
        <v>42</v>
      </c>
      <c r="O794" s="184" t="s">
        <v>598</v>
      </c>
      <c r="P794" s="186" t="s">
        <v>601</v>
      </c>
      <c r="Q794" s="184" t="s">
        <v>598</v>
      </c>
      <c r="R794" s="184" t="s">
        <v>598</v>
      </c>
      <c r="S794" s="127" t="s">
        <v>598</v>
      </c>
      <c r="T794" s="184" t="s">
        <v>598</v>
      </c>
      <c r="U794" s="184" t="s">
        <v>598</v>
      </c>
      <c r="V794" s="185">
        <v>0</v>
      </c>
      <c r="W794" s="184" t="s">
        <v>485</v>
      </c>
      <c r="X794" s="184" t="s">
        <v>598</v>
      </c>
      <c r="Y794" s="185">
        <v>0</v>
      </c>
      <c r="Z794" s="184" t="s">
        <v>598</v>
      </c>
      <c r="AA794" s="21" t="s">
        <v>610</v>
      </c>
      <c r="AB794" s="176" t="s">
        <v>489</v>
      </c>
      <c r="AC794" s="172">
        <v>42996.328472222223</v>
      </c>
      <c r="AD794" s="32" t="s">
        <v>552</v>
      </c>
    </row>
    <row r="795" spans="1:30">
      <c r="A795" s="184">
        <v>794</v>
      </c>
      <c r="B795" s="184" t="s">
        <v>2200</v>
      </c>
      <c r="C795" s="184" t="s">
        <v>598</v>
      </c>
      <c r="D795" s="127">
        <v>42803</v>
      </c>
      <c r="E795" s="127" t="s">
        <v>598</v>
      </c>
      <c r="F795" s="184" t="s">
        <v>2201</v>
      </c>
      <c r="G795" s="185">
        <v>0</v>
      </c>
      <c r="H795" s="184" t="s">
        <v>598</v>
      </c>
      <c r="I795" s="184" t="s">
        <v>598</v>
      </c>
      <c r="J795" s="184" t="s">
        <v>84</v>
      </c>
      <c r="K795" s="184" t="s">
        <v>390</v>
      </c>
      <c r="L795" s="184" t="s">
        <v>598</v>
      </c>
      <c r="M795" s="184" t="s">
        <v>2202</v>
      </c>
      <c r="N795" s="184" t="s">
        <v>42</v>
      </c>
      <c r="O795" s="184" t="s">
        <v>598</v>
      </c>
      <c r="P795" s="186" t="s">
        <v>32</v>
      </c>
      <c r="Q795" s="184" t="s">
        <v>598</v>
      </c>
      <c r="R795" s="184" t="s">
        <v>804</v>
      </c>
      <c r="S795" s="127" t="s">
        <v>598</v>
      </c>
      <c r="T795" s="184" t="s">
        <v>598</v>
      </c>
      <c r="U795" s="184" t="s">
        <v>598</v>
      </c>
      <c r="V795" s="185">
        <v>0</v>
      </c>
      <c r="W795" s="184" t="s">
        <v>485</v>
      </c>
      <c r="X795" s="184" t="s">
        <v>598</v>
      </c>
      <c r="Y795" s="185">
        <v>0</v>
      </c>
      <c r="Z795" s="184" t="s">
        <v>598</v>
      </c>
      <c r="AA795" s="21" t="s">
        <v>610</v>
      </c>
      <c r="AB795" s="176" t="s">
        <v>489</v>
      </c>
      <c r="AC795" s="172">
        <v>42996.328472222223</v>
      </c>
      <c r="AD795" s="32" t="s">
        <v>552</v>
      </c>
    </row>
    <row r="796" spans="1:30">
      <c r="A796" s="184">
        <v>795</v>
      </c>
      <c r="B796" s="184" t="s">
        <v>2203</v>
      </c>
      <c r="C796" s="184" t="s">
        <v>598</v>
      </c>
      <c r="D796" s="127">
        <v>42802</v>
      </c>
      <c r="E796" s="127" t="s">
        <v>598</v>
      </c>
      <c r="F796" s="184" t="s">
        <v>2204</v>
      </c>
      <c r="G796" s="185">
        <v>0</v>
      </c>
      <c r="H796" s="184" t="s">
        <v>598</v>
      </c>
      <c r="I796" s="184" t="s">
        <v>48</v>
      </c>
      <c r="J796" s="184" t="s">
        <v>84</v>
      </c>
      <c r="K796" s="184" t="s">
        <v>276</v>
      </c>
      <c r="L796" s="184" t="s">
        <v>598</v>
      </c>
      <c r="M796" s="184" t="s">
        <v>1176</v>
      </c>
      <c r="N796" s="184" t="s">
        <v>42</v>
      </c>
      <c r="O796" s="184" t="s">
        <v>73</v>
      </c>
      <c r="P796" s="186" t="s">
        <v>53</v>
      </c>
      <c r="Q796" s="184" t="s">
        <v>598</v>
      </c>
      <c r="R796" s="184" t="s">
        <v>598</v>
      </c>
      <c r="S796" s="127" t="s">
        <v>598</v>
      </c>
      <c r="T796" s="184" t="s">
        <v>598</v>
      </c>
      <c r="U796" s="184" t="s">
        <v>598</v>
      </c>
      <c r="V796" s="185">
        <v>0</v>
      </c>
      <c r="W796" s="184" t="s">
        <v>485</v>
      </c>
      <c r="X796" s="184" t="s">
        <v>598</v>
      </c>
      <c r="Y796" s="185">
        <v>0</v>
      </c>
      <c r="Z796" s="184" t="s">
        <v>598</v>
      </c>
      <c r="AA796" s="21" t="s">
        <v>610</v>
      </c>
      <c r="AB796" s="176" t="s">
        <v>489</v>
      </c>
      <c r="AC796" s="172">
        <v>42996.328472222223</v>
      </c>
      <c r="AD796" s="32" t="s">
        <v>552</v>
      </c>
    </row>
    <row r="797" spans="1:30">
      <c r="A797" s="184">
        <v>796</v>
      </c>
      <c r="B797" s="184" t="s">
        <v>2205</v>
      </c>
      <c r="C797" s="184" t="s">
        <v>598</v>
      </c>
      <c r="D797" s="127">
        <v>42797</v>
      </c>
      <c r="E797" s="127" t="s">
        <v>598</v>
      </c>
      <c r="F797" s="184" t="s">
        <v>2206</v>
      </c>
      <c r="G797" s="185">
        <v>0</v>
      </c>
      <c r="H797" s="184" t="s">
        <v>598</v>
      </c>
      <c r="I797" s="184" t="s">
        <v>120</v>
      </c>
      <c r="J797" s="184" t="s">
        <v>84</v>
      </c>
      <c r="K797" s="184" t="s">
        <v>391</v>
      </c>
      <c r="L797" s="184" t="s">
        <v>598</v>
      </c>
      <c r="M797" s="184" t="s">
        <v>73</v>
      </c>
      <c r="N797" s="184" t="s">
        <v>42</v>
      </c>
      <c r="O797" s="184" t="s">
        <v>73</v>
      </c>
      <c r="P797" s="186" t="s">
        <v>44</v>
      </c>
      <c r="Q797" s="184" t="s">
        <v>598</v>
      </c>
      <c r="R797" s="184" t="s">
        <v>598</v>
      </c>
      <c r="S797" s="127" t="s">
        <v>598</v>
      </c>
      <c r="T797" s="184" t="s">
        <v>598</v>
      </c>
      <c r="U797" s="184" t="s">
        <v>598</v>
      </c>
      <c r="V797" s="185">
        <v>0</v>
      </c>
      <c r="W797" s="184" t="s">
        <v>485</v>
      </c>
      <c r="X797" s="184" t="s">
        <v>598</v>
      </c>
      <c r="Y797" s="185">
        <v>0</v>
      </c>
      <c r="Z797" s="184" t="s">
        <v>598</v>
      </c>
      <c r="AA797" s="21" t="s">
        <v>610</v>
      </c>
      <c r="AB797" s="176" t="s">
        <v>489</v>
      </c>
      <c r="AC797" s="172">
        <v>42996.328472222223</v>
      </c>
      <c r="AD797" s="32" t="s">
        <v>552</v>
      </c>
    </row>
    <row r="798" spans="1:30">
      <c r="A798" s="184">
        <v>797</v>
      </c>
      <c r="B798" s="184" t="s">
        <v>2207</v>
      </c>
      <c r="C798" s="184" t="s">
        <v>598</v>
      </c>
      <c r="D798" s="127">
        <v>42796</v>
      </c>
      <c r="E798" s="127" t="s">
        <v>598</v>
      </c>
      <c r="F798" s="184" t="s">
        <v>2208</v>
      </c>
      <c r="G798" s="185">
        <v>0</v>
      </c>
      <c r="H798" s="184" t="s">
        <v>598</v>
      </c>
      <c r="I798" s="184" t="s">
        <v>598</v>
      </c>
      <c r="J798" s="184" t="s">
        <v>84</v>
      </c>
      <c r="K798" s="184" t="s">
        <v>302</v>
      </c>
      <c r="L798" s="184" t="s">
        <v>598</v>
      </c>
      <c r="M798" s="184" t="s">
        <v>73</v>
      </c>
      <c r="N798" s="184" t="s">
        <v>42</v>
      </c>
      <c r="O798" s="184" t="s">
        <v>73</v>
      </c>
      <c r="P798" s="186" t="s">
        <v>67</v>
      </c>
      <c r="Q798" s="184" t="s">
        <v>598</v>
      </c>
      <c r="R798" s="184" t="s">
        <v>598</v>
      </c>
      <c r="S798" s="127" t="s">
        <v>598</v>
      </c>
      <c r="T798" s="184" t="s">
        <v>598</v>
      </c>
      <c r="U798" s="184" t="s">
        <v>598</v>
      </c>
      <c r="V798" s="185">
        <v>0</v>
      </c>
      <c r="W798" s="184" t="s">
        <v>485</v>
      </c>
      <c r="X798" s="184" t="s">
        <v>598</v>
      </c>
      <c r="Y798" s="185">
        <v>0</v>
      </c>
      <c r="Z798" s="184" t="s">
        <v>598</v>
      </c>
      <c r="AA798" s="21" t="s">
        <v>610</v>
      </c>
      <c r="AB798" s="176" t="s">
        <v>489</v>
      </c>
      <c r="AC798" s="172">
        <v>42996.328472222223</v>
      </c>
      <c r="AD798" s="32" t="s">
        <v>552</v>
      </c>
    </row>
    <row r="799" spans="1:30">
      <c r="A799" s="184">
        <v>798</v>
      </c>
      <c r="B799" s="184" t="s">
        <v>2209</v>
      </c>
      <c r="C799" s="184" t="s">
        <v>598</v>
      </c>
      <c r="D799" s="127">
        <v>42783</v>
      </c>
      <c r="E799" s="127" t="s">
        <v>598</v>
      </c>
      <c r="F799" s="184" t="s">
        <v>2210</v>
      </c>
      <c r="G799" s="185">
        <v>0</v>
      </c>
      <c r="H799" s="184" t="s">
        <v>598</v>
      </c>
      <c r="I799" s="184" t="s">
        <v>134</v>
      </c>
      <c r="J799" s="184" t="s">
        <v>84</v>
      </c>
      <c r="K799" s="184" t="s">
        <v>281</v>
      </c>
      <c r="L799" s="184" t="s">
        <v>598</v>
      </c>
      <c r="M799" s="184" t="s">
        <v>1919</v>
      </c>
      <c r="N799" s="184" t="s">
        <v>42</v>
      </c>
      <c r="O799" s="184" t="s">
        <v>42</v>
      </c>
      <c r="P799" s="186" t="s">
        <v>602</v>
      </c>
      <c r="Q799" s="184" t="s">
        <v>598</v>
      </c>
      <c r="R799" s="184" t="s">
        <v>598</v>
      </c>
      <c r="S799" s="127" t="s">
        <v>598</v>
      </c>
      <c r="T799" s="184" t="s">
        <v>598</v>
      </c>
      <c r="U799" s="184" t="s">
        <v>598</v>
      </c>
      <c r="V799" s="185">
        <v>0</v>
      </c>
      <c r="W799" s="184" t="s">
        <v>485</v>
      </c>
      <c r="X799" s="184" t="s">
        <v>598</v>
      </c>
      <c r="Y799" s="185">
        <v>0</v>
      </c>
      <c r="Z799" s="184" t="s">
        <v>598</v>
      </c>
      <c r="AA799" s="21" t="s">
        <v>610</v>
      </c>
      <c r="AB799" s="176" t="s">
        <v>489</v>
      </c>
      <c r="AC799" s="172">
        <v>42996.328472222223</v>
      </c>
      <c r="AD799" s="32" t="s">
        <v>552</v>
      </c>
    </row>
    <row r="800" spans="1:30">
      <c r="A800" s="184">
        <v>799</v>
      </c>
      <c r="B800" s="184" t="s">
        <v>2211</v>
      </c>
      <c r="C800" s="184" t="s">
        <v>598</v>
      </c>
      <c r="D800" s="127">
        <v>42783</v>
      </c>
      <c r="E800" s="127" t="s">
        <v>598</v>
      </c>
      <c r="F800" s="184" t="s">
        <v>2212</v>
      </c>
      <c r="G800" s="185">
        <v>0</v>
      </c>
      <c r="H800" s="184" t="s">
        <v>598</v>
      </c>
      <c r="I800" s="184" t="s">
        <v>48</v>
      </c>
      <c r="J800" s="184" t="s">
        <v>84</v>
      </c>
      <c r="K800" s="184" t="s">
        <v>244</v>
      </c>
      <c r="L800" s="184" t="s">
        <v>598</v>
      </c>
      <c r="M800" s="184" t="s">
        <v>1919</v>
      </c>
      <c r="N800" s="184" t="s">
        <v>42</v>
      </c>
      <c r="O800" s="184" t="s">
        <v>42</v>
      </c>
      <c r="P800" s="186" t="s">
        <v>603</v>
      </c>
      <c r="Q800" s="184" t="s">
        <v>598</v>
      </c>
      <c r="R800" s="184" t="s">
        <v>598</v>
      </c>
      <c r="S800" s="127" t="s">
        <v>598</v>
      </c>
      <c r="T800" s="184" t="s">
        <v>598</v>
      </c>
      <c r="U800" s="184" t="s">
        <v>598</v>
      </c>
      <c r="V800" s="185">
        <v>0</v>
      </c>
      <c r="W800" s="184" t="s">
        <v>485</v>
      </c>
      <c r="X800" s="184" t="s">
        <v>598</v>
      </c>
      <c r="Y800" s="185">
        <v>0</v>
      </c>
      <c r="Z800" s="184" t="s">
        <v>598</v>
      </c>
      <c r="AA800" s="21" t="s">
        <v>610</v>
      </c>
      <c r="AB800" s="176" t="s">
        <v>489</v>
      </c>
      <c r="AC800" s="172">
        <v>42996.328472222223</v>
      </c>
      <c r="AD800" s="32" t="s">
        <v>552</v>
      </c>
    </row>
    <row r="801" spans="1:30">
      <c r="A801" s="184">
        <v>800</v>
      </c>
      <c r="B801" s="184" t="s">
        <v>2213</v>
      </c>
      <c r="C801" s="184" t="s">
        <v>598</v>
      </c>
      <c r="D801" s="127">
        <v>42782</v>
      </c>
      <c r="E801" s="127" t="s">
        <v>598</v>
      </c>
      <c r="F801" s="184" t="s">
        <v>2214</v>
      </c>
      <c r="G801" s="185">
        <v>0</v>
      </c>
      <c r="H801" s="184" t="s">
        <v>598</v>
      </c>
      <c r="I801" s="184" t="s">
        <v>48</v>
      </c>
      <c r="J801" s="184" t="s">
        <v>84</v>
      </c>
      <c r="K801" s="184" t="s">
        <v>192</v>
      </c>
      <c r="L801" s="184" t="s">
        <v>598</v>
      </c>
      <c r="M801" s="184" t="s">
        <v>2008</v>
      </c>
      <c r="N801" s="184" t="s">
        <v>42</v>
      </c>
      <c r="O801" s="184" t="s">
        <v>73</v>
      </c>
      <c r="P801" s="186" t="s">
        <v>604</v>
      </c>
      <c r="Q801" s="184" t="s">
        <v>598</v>
      </c>
      <c r="R801" s="184" t="s">
        <v>598</v>
      </c>
      <c r="S801" s="127" t="s">
        <v>598</v>
      </c>
      <c r="T801" s="184" t="s">
        <v>598</v>
      </c>
      <c r="U801" s="184" t="s">
        <v>598</v>
      </c>
      <c r="V801" s="185">
        <v>0</v>
      </c>
      <c r="W801" s="184" t="s">
        <v>485</v>
      </c>
      <c r="X801" s="184" t="s">
        <v>598</v>
      </c>
      <c r="Y801" s="185">
        <v>0</v>
      </c>
      <c r="Z801" s="184" t="s">
        <v>598</v>
      </c>
      <c r="AA801" s="21" t="s">
        <v>610</v>
      </c>
      <c r="AB801" s="176" t="s">
        <v>489</v>
      </c>
      <c r="AC801" s="172">
        <v>42996.328472222223</v>
      </c>
      <c r="AD801" s="32" t="s">
        <v>552</v>
      </c>
    </row>
    <row r="802" spans="1:30">
      <c r="A802" s="184">
        <v>801</v>
      </c>
      <c r="B802" s="184" t="s">
        <v>2215</v>
      </c>
      <c r="C802" s="184" t="s">
        <v>598</v>
      </c>
      <c r="D802" s="127">
        <v>42782</v>
      </c>
      <c r="E802" s="127" t="s">
        <v>598</v>
      </c>
      <c r="F802" s="184" t="s">
        <v>2216</v>
      </c>
      <c r="G802" s="185">
        <v>0</v>
      </c>
      <c r="H802" s="184" t="s">
        <v>598</v>
      </c>
      <c r="I802" s="184" t="s">
        <v>120</v>
      </c>
      <c r="J802" s="184" t="s">
        <v>84</v>
      </c>
      <c r="K802" s="184" t="s">
        <v>276</v>
      </c>
      <c r="L802" s="184" t="s">
        <v>598</v>
      </c>
      <c r="M802" s="184" t="s">
        <v>2024</v>
      </c>
      <c r="N802" s="184" t="s">
        <v>42</v>
      </c>
      <c r="O802" s="184" t="s">
        <v>73</v>
      </c>
      <c r="P802" s="186" t="s">
        <v>605</v>
      </c>
      <c r="Q802" s="184" t="s">
        <v>598</v>
      </c>
      <c r="R802" s="184" t="s">
        <v>598</v>
      </c>
      <c r="S802" s="127" t="s">
        <v>598</v>
      </c>
      <c r="T802" s="184" t="s">
        <v>598</v>
      </c>
      <c r="U802" s="184" t="s">
        <v>598</v>
      </c>
      <c r="V802" s="185">
        <v>0</v>
      </c>
      <c r="W802" s="184" t="s">
        <v>485</v>
      </c>
      <c r="X802" s="184" t="s">
        <v>598</v>
      </c>
      <c r="Y802" s="185">
        <v>0</v>
      </c>
      <c r="Z802" s="184" t="s">
        <v>598</v>
      </c>
      <c r="AA802" s="21" t="s">
        <v>610</v>
      </c>
      <c r="AB802" s="176" t="s">
        <v>489</v>
      </c>
      <c r="AC802" s="172">
        <v>42996.328472222223</v>
      </c>
      <c r="AD802" s="32" t="s">
        <v>552</v>
      </c>
    </row>
    <row r="803" spans="1:30">
      <c r="A803" s="184">
        <v>802</v>
      </c>
      <c r="B803" s="184" t="s">
        <v>2217</v>
      </c>
      <c r="C803" s="184" t="s">
        <v>598</v>
      </c>
      <c r="D803" s="127">
        <v>42779</v>
      </c>
      <c r="E803" s="127" t="s">
        <v>598</v>
      </c>
      <c r="F803" s="184" t="s">
        <v>2218</v>
      </c>
      <c r="G803" s="185">
        <v>0</v>
      </c>
      <c r="H803" s="184" t="s">
        <v>598</v>
      </c>
      <c r="I803" s="184" t="s">
        <v>134</v>
      </c>
      <c r="J803" s="184" t="s">
        <v>84</v>
      </c>
      <c r="K803" s="184" t="s">
        <v>276</v>
      </c>
      <c r="L803" s="184" t="s">
        <v>598</v>
      </c>
      <c r="M803" s="184" t="s">
        <v>1176</v>
      </c>
      <c r="N803" s="184" t="s">
        <v>42</v>
      </c>
      <c r="O803" s="184" t="s">
        <v>73</v>
      </c>
      <c r="P803" s="186" t="s">
        <v>606</v>
      </c>
      <c r="Q803" s="184" t="s">
        <v>598</v>
      </c>
      <c r="R803" s="184" t="s">
        <v>598</v>
      </c>
      <c r="S803" s="127" t="s">
        <v>598</v>
      </c>
      <c r="T803" s="184" t="s">
        <v>598</v>
      </c>
      <c r="U803" s="184" t="s">
        <v>598</v>
      </c>
      <c r="V803" s="185">
        <v>0</v>
      </c>
      <c r="W803" s="184" t="s">
        <v>485</v>
      </c>
      <c r="X803" s="184" t="s">
        <v>598</v>
      </c>
      <c r="Y803" s="185">
        <v>0</v>
      </c>
      <c r="Z803" s="184" t="s">
        <v>598</v>
      </c>
      <c r="AA803" s="21" t="s">
        <v>610</v>
      </c>
      <c r="AB803" s="176" t="s">
        <v>489</v>
      </c>
      <c r="AC803" s="172">
        <v>42996.328472222223</v>
      </c>
      <c r="AD803" s="32" t="s">
        <v>552</v>
      </c>
    </row>
    <row r="804" spans="1:30">
      <c r="A804" s="184">
        <v>803</v>
      </c>
      <c r="B804" s="184" t="s">
        <v>2219</v>
      </c>
      <c r="C804" s="184" t="s">
        <v>598</v>
      </c>
      <c r="D804" s="127">
        <v>42777</v>
      </c>
      <c r="E804" s="127" t="s">
        <v>598</v>
      </c>
      <c r="F804" s="184" t="s">
        <v>2220</v>
      </c>
      <c r="G804" s="185">
        <v>0</v>
      </c>
      <c r="H804" s="184" t="s">
        <v>598</v>
      </c>
      <c r="I804" s="184" t="s">
        <v>134</v>
      </c>
      <c r="J804" s="184" t="s">
        <v>84</v>
      </c>
      <c r="K804" s="184" t="s">
        <v>183</v>
      </c>
      <c r="L804" s="184" t="s">
        <v>598</v>
      </c>
      <c r="M804" s="184" t="s">
        <v>2060</v>
      </c>
      <c r="N804" s="184" t="s">
        <v>42</v>
      </c>
      <c r="O804" s="184" t="s">
        <v>42</v>
      </c>
      <c r="P804" s="186" t="s">
        <v>607</v>
      </c>
      <c r="Q804" s="184" t="s">
        <v>598</v>
      </c>
      <c r="R804" s="184" t="s">
        <v>598</v>
      </c>
      <c r="S804" s="127" t="s">
        <v>598</v>
      </c>
      <c r="T804" s="184" t="s">
        <v>598</v>
      </c>
      <c r="U804" s="184" t="s">
        <v>598</v>
      </c>
      <c r="V804" s="185">
        <v>0</v>
      </c>
      <c r="W804" s="184" t="s">
        <v>485</v>
      </c>
      <c r="X804" s="184" t="s">
        <v>598</v>
      </c>
      <c r="Y804" s="185">
        <v>0</v>
      </c>
      <c r="Z804" s="184" t="s">
        <v>598</v>
      </c>
      <c r="AA804" s="21" t="s">
        <v>610</v>
      </c>
      <c r="AB804" s="176" t="s">
        <v>489</v>
      </c>
      <c r="AC804" s="172">
        <v>42996.328472222223</v>
      </c>
      <c r="AD804" s="32" t="s">
        <v>552</v>
      </c>
    </row>
    <row r="805" spans="1:30">
      <c r="A805" s="184">
        <v>804</v>
      </c>
      <c r="B805" s="184" t="s">
        <v>2221</v>
      </c>
      <c r="C805" s="184" t="s">
        <v>598</v>
      </c>
      <c r="D805" s="127">
        <v>42777</v>
      </c>
      <c r="E805" s="127" t="s">
        <v>598</v>
      </c>
      <c r="F805" s="184" t="s">
        <v>2222</v>
      </c>
      <c r="G805" s="185">
        <v>0</v>
      </c>
      <c r="H805" s="184" t="s">
        <v>598</v>
      </c>
      <c r="I805" s="184" t="s">
        <v>134</v>
      </c>
      <c r="J805" s="184" t="s">
        <v>84</v>
      </c>
      <c r="K805" s="184" t="s">
        <v>297</v>
      </c>
      <c r="L805" s="184" t="s">
        <v>598</v>
      </c>
      <c r="M805" s="184" t="s">
        <v>73</v>
      </c>
      <c r="N805" s="184" t="s">
        <v>42</v>
      </c>
      <c r="O805" s="184" t="s">
        <v>73</v>
      </c>
      <c r="P805" s="186" t="s">
        <v>73</v>
      </c>
      <c r="Q805" s="184" t="s">
        <v>598</v>
      </c>
      <c r="R805" s="184" t="s">
        <v>598</v>
      </c>
      <c r="S805" s="127" t="s">
        <v>598</v>
      </c>
      <c r="T805" s="184" t="s">
        <v>598</v>
      </c>
      <c r="U805" s="184" t="s">
        <v>598</v>
      </c>
      <c r="V805" s="185">
        <v>0</v>
      </c>
      <c r="W805" s="184" t="s">
        <v>485</v>
      </c>
      <c r="X805" s="184" t="s">
        <v>598</v>
      </c>
      <c r="Y805" s="185">
        <v>0</v>
      </c>
      <c r="Z805" s="184" t="s">
        <v>598</v>
      </c>
      <c r="AA805" s="21" t="s">
        <v>610</v>
      </c>
      <c r="AB805" s="176" t="s">
        <v>489</v>
      </c>
      <c r="AC805" s="172">
        <v>42996.328472222223</v>
      </c>
      <c r="AD805" s="32" t="s">
        <v>552</v>
      </c>
    </row>
    <row r="806" spans="1:30">
      <c r="A806" s="184">
        <v>805</v>
      </c>
      <c r="B806" s="184" t="s">
        <v>2223</v>
      </c>
      <c r="C806" s="184" t="s">
        <v>598</v>
      </c>
      <c r="D806" s="127">
        <v>42773</v>
      </c>
      <c r="E806" s="127" t="s">
        <v>598</v>
      </c>
      <c r="F806" s="184" t="s">
        <v>2224</v>
      </c>
      <c r="G806" s="185">
        <v>0</v>
      </c>
      <c r="H806" s="184" t="s">
        <v>598</v>
      </c>
      <c r="I806" s="184" t="s">
        <v>115</v>
      </c>
      <c r="J806" s="184" t="s">
        <v>84</v>
      </c>
      <c r="K806" s="184" t="s">
        <v>281</v>
      </c>
      <c r="L806" s="184" t="s">
        <v>598</v>
      </c>
      <c r="M806" s="184" t="s">
        <v>598</v>
      </c>
      <c r="N806" s="184" t="s">
        <v>42</v>
      </c>
      <c r="O806" s="184" t="s">
        <v>73</v>
      </c>
      <c r="P806" s="186" t="s">
        <v>601</v>
      </c>
      <c r="Q806" s="184" t="s">
        <v>598</v>
      </c>
      <c r="R806" s="184" t="s">
        <v>598</v>
      </c>
      <c r="S806" s="127" t="s">
        <v>598</v>
      </c>
      <c r="T806" s="184" t="s">
        <v>598</v>
      </c>
      <c r="U806" s="184" t="s">
        <v>598</v>
      </c>
      <c r="V806" s="185">
        <v>0</v>
      </c>
      <c r="W806" s="184" t="s">
        <v>485</v>
      </c>
      <c r="X806" s="184" t="s">
        <v>598</v>
      </c>
      <c r="Y806" s="185">
        <v>0</v>
      </c>
      <c r="Z806" s="184" t="s">
        <v>598</v>
      </c>
      <c r="AA806" s="21" t="s">
        <v>610</v>
      </c>
      <c r="AB806" s="176" t="s">
        <v>489</v>
      </c>
      <c r="AC806" s="172">
        <v>42996.328472222223</v>
      </c>
      <c r="AD806" s="32" t="s">
        <v>552</v>
      </c>
    </row>
    <row r="807" spans="1:30">
      <c r="A807" s="184">
        <v>806</v>
      </c>
      <c r="B807" s="184" t="s">
        <v>2225</v>
      </c>
      <c r="C807" s="184" t="s">
        <v>598</v>
      </c>
      <c r="D807" s="127">
        <v>42766</v>
      </c>
      <c r="E807" s="127" t="s">
        <v>598</v>
      </c>
      <c r="F807" s="184" t="s">
        <v>2226</v>
      </c>
      <c r="G807" s="185">
        <v>0</v>
      </c>
      <c r="H807" s="184" t="s">
        <v>598</v>
      </c>
      <c r="I807" s="184" t="s">
        <v>134</v>
      </c>
      <c r="J807" s="184" t="s">
        <v>84</v>
      </c>
      <c r="K807" s="184" t="s">
        <v>297</v>
      </c>
      <c r="L807" s="184" t="s">
        <v>598</v>
      </c>
      <c r="M807" s="184" t="s">
        <v>73</v>
      </c>
      <c r="N807" s="184" t="s">
        <v>42</v>
      </c>
      <c r="O807" s="184" t="s">
        <v>73</v>
      </c>
      <c r="P807" s="186" t="s">
        <v>32</v>
      </c>
      <c r="Q807" s="184" t="s">
        <v>598</v>
      </c>
      <c r="R807" s="184" t="s">
        <v>598</v>
      </c>
      <c r="S807" s="127" t="s">
        <v>598</v>
      </c>
      <c r="T807" s="184" t="s">
        <v>598</v>
      </c>
      <c r="U807" s="184" t="s">
        <v>598</v>
      </c>
      <c r="V807" s="185">
        <v>0</v>
      </c>
      <c r="W807" s="184" t="s">
        <v>485</v>
      </c>
      <c r="X807" s="184" t="s">
        <v>598</v>
      </c>
      <c r="Y807" s="185">
        <v>0</v>
      </c>
      <c r="Z807" s="184" t="s">
        <v>598</v>
      </c>
      <c r="AA807" s="21" t="s">
        <v>610</v>
      </c>
      <c r="AB807" s="176" t="s">
        <v>489</v>
      </c>
      <c r="AC807" s="172">
        <v>42996.328472222223</v>
      </c>
      <c r="AD807" s="32" t="s">
        <v>552</v>
      </c>
    </row>
    <row r="808" spans="1:30">
      <c r="A808" s="184">
        <v>807</v>
      </c>
      <c r="B808" s="184" t="s">
        <v>2227</v>
      </c>
      <c r="C808" s="184" t="s">
        <v>598</v>
      </c>
      <c r="D808" s="127">
        <v>42765</v>
      </c>
      <c r="E808" s="127" t="s">
        <v>598</v>
      </c>
      <c r="F808" s="184" t="s">
        <v>2228</v>
      </c>
      <c r="G808" s="185">
        <v>0</v>
      </c>
      <c r="H808" s="184" t="s">
        <v>598</v>
      </c>
      <c r="I808" s="184" t="s">
        <v>122</v>
      </c>
      <c r="J808" s="184" t="s">
        <v>84</v>
      </c>
      <c r="K808" s="184" t="s">
        <v>297</v>
      </c>
      <c r="L808" s="184" t="s">
        <v>598</v>
      </c>
      <c r="M808" s="184" t="s">
        <v>73</v>
      </c>
      <c r="N808" s="184" t="s">
        <v>42</v>
      </c>
      <c r="O808" s="184" t="s">
        <v>73</v>
      </c>
      <c r="P808" s="186" t="s">
        <v>53</v>
      </c>
      <c r="Q808" s="184" t="s">
        <v>598</v>
      </c>
      <c r="R808" s="184" t="s">
        <v>598</v>
      </c>
      <c r="S808" s="127" t="s">
        <v>598</v>
      </c>
      <c r="T808" s="184" t="s">
        <v>598</v>
      </c>
      <c r="U808" s="184" t="s">
        <v>598</v>
      </c>
      <c r="V808" s="185">
        <v>0</v>
      </c>
      <c r="W808" s="184" t="s">
        <v>485</v>
      </c>
      <c r="X808" s="184" t="s">
        <v>598</v>
      </c>
      <c r="Y808" s="185">
        <v>0</v>
      </c>
      <c r="Z808" s="184" t="s">
        <v>598</v>
      </c>
      <c r="AA808" s="21" t="s">
        <v>610</v>
      </c>
      <c r="AB808" s="176" t="s">
        <v>489</v>
      </c>
      <c r="AC808" s="172">
        <v>42996.328472222223</v>
      </c>
      <c r="AD808" s="32" t="s">
        <v>552</v>
      </c>
    </row>
    <row r="809" spans="1:30">
      <c r="A809" s="184">
        <v>808</v>
      </c>
      <c r="B809" s="184" t="s">
        <v>2229</v>
      </c>
      <c r="C809" s="184" t="s">
        <v>598</v>
      </c>
      <c r="D809" s="127">
        <v>42763</v>
      </c>
      <c r="E809" s="127" t="s">
        <v>598</v>
      </c>
      <c r="F809" s="184" t="s">
        <v>2230</v>
      </c>
      <c r="G809" s="185">
        <v>0</v>
      </c>
      <c r="H809" s="184" t="s">
        <v>598</v>
      </c>
      <c r="I809" s="184" t="s">
        <v>135</v>
      </c>
      <c r="J809" s="184" t="s">
        <v>84</v>
      </c>
      <c r="K809" s="184" t="s">
        <v>2231</v>
      </c>
      <c r="L809" s="184" t="s">
        <v>598</v>
      </c>
      <c r="M809" s="184" t="s">
        <v>2202</v>
      </c>
      <c r="N809" s="184" t="s">
        <v>42</v>
      </c>
      <c r="O809" s="184" t="s">
        <v>598</v>
      </c>
      <c r="P809" s="186" t="s">
        <v>44</v>
      </c>
      <c r="Q809" s="184" t="s">
        <v>598</v>
      </c>
      <c r="R809" s="184" t="s">
        <v>598</v>
      </c>
      <c r="S809" s="127" t="s">
        <v>598</v>
      </c>
      <c r="T809" s="184" t="s">
        <v>598</v>
      </c>
      <c r="U809" s="184" t="s">
        <v>598</v>
      </c>
      <c r="V809" s="185">
        <v>0</v>
      </c>
      <c r="W809" s="184" t="s">
        <v>485</v>
      </c>
      <c r="X809" s="184" t="s">
        <v>598</v>
      </c>
      <c r="Y809" s="185">
        <v>0</v>
      </c>
      <c r="Z809" s="184" t="s">
        <v>598</v>
      </c>
      <c r="AA809" s="21" t="s">
        <v>610</v>
      </c>
      <c r="AB809" s="176" t="s">
        <v>489</v>
      </c>
      <c r="AC809" s="172">
        <v>42996.328472222223</v>
      </c>
      <c r="AD809" s="32" t="s">
        <v>552</v>
      </c>
    </row>
    <row r="810" spans="1:30">
      <c r="A810" s="184">
        <v>809</v>
      </c>
      <c r="B810" s="184" t="s">
        <v>2232</v>
      </c>
      <c r="C810" s="184" t="s">
        <v>598</v>
      </c>
      <c r="D810" s="127">
        <v>42762</v>
      </c>
      <c r="E810" s="127" t="s">
        <v>598</v>
      </c>
      <c r="F810" s="184" t="s">
        <v>2233</v>
      </c>
      <c r="G810" s="185">
        <v>0</v>
      </c>
      <c r="H810" s="184" t="s">
        <v>598</v>
      </c>
      <c r="I810" s="184" t="s">
        <v>120</v>
      </c>
      <c r="J810" s="184" t="s">
        <v>84</v>
      </c>
      <c r="K810" s="184" t="s">
        <v>281</v>
      </c>
      <c r="L810" s="184" t="s">
        <v>598</v>
      </c>
      <c r="M810" s="184" t="s">
        <v>2013</v>
      </c>
      <c r="N810" s="184" t="s">
        <v>42</v>
      </c>
      <c r="O810" s="184" t="s">
        <v>73</v>
      </c>
      <c r="P810" s="186" t="s">
        <v>67</v>
      </c>
      <c r="Q810" s="184" t="s">
        <v>598</v>
      </c>
      <c r="R810" s="184" t="s">
        <v>598</v>
      </c>
      <c r="S810" s="127" t="s">
        <v>598</v>
      </c>
      <c r="T810" s="184" t="s">
        <v>598</v>
      </c>
      <c r="U810" s="184" t="s">
        <v>598</v>
      </c>
      <c r="V810" s="185">
        <v>0</v>
      </c>
      <c r="W810" s="184" t="s">
        <v>485</v>
      </c>
      <c r="X810" s="184" t="s">
        <v>598</v>
      </c>
      <c r="Y810" s="185">
        <v>0</v>
      </c>
      <c r="Z810" s="184" t="s">
        <v>598</v>
      </c>
      <c r="AA810" s="21" t="s">
        <v>610</v>
      </c>
      <c r="AB810" s="176" t="s">
        <v>489</v>
      </c>
      <c r="AC810" s="172">
        <v>42996.328472222223</v>
      </c>
      <c r="AD810" s="32" t="s">
        <v>552</v>
      </c>
    </row>
    <row r="811" spans="1:30">
      <c r="A811" s="184">
        <v>810</v>
      </c>
      <c r="B811" s="184" t="s">
        <v>2234</v>
      </c>
      <c r="C811" s="184" t="s">
        <v>598</v>
      </c>
      <c r="D811" s="127">
        <v>42762</v>
      </c>
      <c r="E811" s="127" t="s">
        <v>598</v>
      </c>
      <c r="F811" s="184" t="s">
        <v>2235</v>
      </c>
      <c r="G811" s="185">
        <v>0</v>
      </c>
      <c r="H811" s="184" t="s">
        <v>598</v>
      </c>
      <c r="I811" s="184" t="s">
        <v>120</v>
      </c>
      <c r="J811" s="184" t="s">
        <v>84</v>
      </c>
      <c r="K811" s="184" t="s">
        <v>276</v>
      </c>
      <c r="L811" s="184" t="s">
        <v>598</v>
      </c>
      <c r="M811" s="184" t="s">
        <v>2013</v>
      </c>
      <c r="N811" s="184" t="s">
        <v>42</v>
      </c>
      <c r="O811" s="184" t="s">
        <v>73</v>
      </c>
      <c r="P811" s="186" t="s">
        <v>602</v>
      </c>
      <c r="Q811" s="184" t="s">
        <v>598</v>
      </c>
      <c r="R811" s="184" t="s">
        <v>598</v>
      </c>
      <c r="S811" s="127" t="s">
        <v>598</v>
      </c>
      <c r="T811" s="184" t="s">
        <v>598</v>
      </c>
      <c r="U811" s="184" t="s">
        <v>598</v>
      </c>
      <c r="V811" s="185">
        <v>0</v>
      </c>
      <c r="W811" s="184" t="s">
        <v>485</v>
      </c>
      <c r="X811" s="184" t="s">
        <v>598</v>
      </c>
      <c r="Y811" s="185">
        <v>0</v>
      </c>
      <c r="Z811" s="184" t="s">
        <v>598</v>
      </c>
      <c r="AA811" s="21" t="s">
        <v>610</v>
      </c>
      <c r="AB811" s="176" t="s">
        <v>489</v>
      </c>
      <c r="AC811" s="172">
        <v>42996.328472222223</v>
      </c>
      <c r="AD811" s="32" t="s">
        <v>552</v>
      </c>
    </row>
    <row r="812" spans="1:30">
      <c r="A812" s="184">
        <v>811</v>
      </c>
      <c r="B812" s="184" t="s">
        <v>2236</v>
      </c>
      <c r="C812" s="184" t="s">
        <v>598</v>
      </c>
      <c r="D812" s="127">
        <v>42759</v>
      </c>
      <c r="E812" s="127" t="s">
        <v>598</v>
      </c>
      <c r="F812" s="184" t="s">
        <v>2237</v>
      </c>
      <c r="G812" s="185">
        <v>0</v>
      </c>
      <c r="H812" s="184" t="s">
        <v>598</v>
      </c>
      <c r="I812" s="184" t="s">
        <v>134</v>
      </c>
      <c r="J812" s="184" t="s">
        <v>84</v>
      </c>
      <c r="K812" s="184" t="s">
        <v>281</v>
      </c>
      <c r="L812" s="184" t="s">
        <v>598</v>
      </c>
      <c r="M812" s="184" t="s">
        <v>1926</v>
      </c>
      <c r="N812" s="184" t="s">
        <v>42</v>
      </c>
      <c r="O812" s="184" t="s">
        <v>42</v>
      </c>
      <c r="P812" s="186" t="s">
        <v>603</v>
      </c>
      <c r="Q812" s="184" t="s">
        <v>598</v>
      </c>
      <c r="R812" s="184" t="s">
        <v>598</v>
      </c>
      <c r="S812" s="127" t="s">
        <v>598</v>
      </c>
      <c r="T812" s="184" t="s">
        <v>598</v>
      </c>
      <c r="U812" s="184" t="s">
        <v>598</v>
      </c>
      <c r="V812" s="185">
        <v>0</v>
      </c>
      <c r="W812" s="184" t="s">
        <v>485</v>
      </c>
      <c r="X812" s="184" t="s">
        <v>598</v>
      </c>
      <c r="Y812" s="185">
        <v>0</v>
      </c>
      <c r="Z812" s="184" t="s">
        <v>598</v>
      </c>
      <c r="AA812" s="21" t="s">
        <v>610</v>
      </c>
      <c r="AB812" s="176" t="s">
        <v>489</v>
      </c>
      <c r="AC812" s="172">
        <v>42996.328472222223</v>
      </c>
      <c r="AD812" s="32" t="s">
        <v>552</v>
      </c>
    </row>
    <row r="813" spans="1:30">
      <c r="A813" s="184">
        <v>812</v>
      </c>
      <c r="B813" s="184" t="s">
        <v>2238</v>
      </c>
      <c r="C813" s="184" t="s">
        <v>598</v>
      </c>
      <c r="D813" s="127">
        <v>42758</v>
      </c>
      <c r="E813" s="127" t="s">
        <v>598</v>
      </c>
      <c r="F813" s="184" t="s">
        <v>2239</v>
      </c>
      <c r="G813" s="185">
        <v>0</v>
      </c>
      <c r="H813" s="184" t="s">
        <v>598</v>
      </c>
      <c r="I813" s="184" t="s">
        <v>120</v>
      </c>
      <c r="J813" s="184" t="s">
        <v>84</v>
      </c>
      <c r="K813" s="184" t="s">
        <v>291</v>
      </c>
      <c r="L813" s="184" t="s">
        <v>598</v>
      </c>
      <c r="M813" s="184" t="s">
        <v>1911</v>
      </c>
      <c r="N813" s="184" t="s">
        <v>42</v>
      </c>
      <c r="O813" s="184" t="s">
        <v>42</v>
      </c>
      <c r="P813" s="186" t="s">
        <v>604</v>
      </c>
      <c r="Q813" s="184" t="s">
        <v>598</v>
      </c>
      <c r="R813" s="184" t="s">
        <v>598</v>
      </c>
      <c r="S813" s="127" t="s">
        <v>598</v>
      </c>
      <c r="T813" s="184" t="s">
        <v>598</v>
      </c>
      <c r="U813" s="184" t="s">
        <v>598</v>
      </c>
      <c r="V813" s="185">
        <v>0</v>
      </c>
      <c r="W813" s="184" t="s">
        <v>485</v>
      </c>
      <c r="X813" s="184" t="s">
        <v>598</v>
      </c>
      <c r="Y813" s="185">
        <v>0</v>
      </c>
      <c r="Z813" s="184" t="s">
        <v>598</v>
      </c>
      <c r="AA813" s="21" t="s">
        <v>610</v>
      </c>
      <c r="AB813" s="176" t="s">
        <v>489</v>
      </c>
      <c r="AC813" s="172">
        <v>42996.328472222223</v>
      </c>
      <c r="AD813" s="32" t="s">
        <v>552</v>
      </c>
    </row>
    <row r="814" spans="1:30">
      <c r="A814" s="184">
        <v>813</v>
      </c>
      <c r="B814" s="184" t="s">
        <v>2240</v>
      </c>
      <c r="C814" s="184" t="s">
        <v>598</v>
      </c>
      <c r="D814" s="127">
        <v>42758</v>
      </c>
      <c r="E814" s="127" t="s">
        <v>598</v>
      </c>
      <c r="F814" s="184" t="s">
        <v>2241</v>
      </c>
      <c r="G814" s="185">
        <v>0</v>
      </c>
      <c r="H814" s="184" t="s">
        <v>598</v>
      </c>
      <c r="I814" s="184" t="s">
        <v>120</v>
      </c>
      <c r="J814" s="184" t="s">
        <v>84</v>
      </c>
      <c r="K814" s="184" t="s">
        <v>291</v>
      </c>
      <c r="L814" s="184" t="s">
        <v>598</v>
      </c>
      <c r="M814" s="184" t="s">
        <v>1911</v>
      </c>
      <c r="N814" s="184" t="s">
        <v>42</v>
      </c>
      <c r="O814" s="184" t="s">
        <v>42</v>
      </c>
      <c r="P814" s="186" t="s">
        <v>605</v>
      </c>
      <c r="Q814" s="184" t="s">
        <v>598</v>
      </c>
      <c r="R814" s="184" t="s">
        <v>598</v>
      </c>
      <c r="S814" s="127" t="s">
        <v>598</v>
      </c>
      <c r="T814" s="184" t="s">
        <v>598</v>
      </c>
      <c r="U814" s="184" t="s">
        <v>598</v>
      </c>
      <c r="V814" s="185">
        <v>0</v>
      </c>
      <c r="W814" s="184" t="s">
        <v>485</v>
      </c>
      <c r="X814" s="184" t="s">
        <v>598</v>
      </c>
      <c r="Y814" s="185">
        <v>0</v>
      </c>
      <c r="Z814" s="184" t="s">
        <v>598</v>
      </c>
      <c r="AA814" s="21" t="s">
        <v>610</v>
      </c>
      <c r="AB814" s="176" t="s">
        <v>489</v>
      </c>
      <c r="AC814" s="172">
        <v>42996.328472222223</v>
      </c>
      <c r="AD814" s="32" t="s">
        <v>552</v>
      </c>
    </row>
    <row r="815" spans="1:30">
      <c r="A815" s="184">
        <v>814</v>
      </c>
      <c r="B815" s="184" t="s">
        <v>2242</v>
      </c>
      <c r="C815" s="184" t="s">
        <v>598</v>
      </c>
      <c r="D815" s="127">
        <v>42758</v>
      </c>
      <c r="E815" s="127" t="s">
        <v>598</v>
      </c>
      <c r="F815" s="184" t="s">
        <v>2243</v>
      </c>
      <c r="G815" s="185">
        <v>0</v>
      </c>
      <c r="H815" s="184" t="s">
        <v>598</v>
      </c>
      <c r="I815" s="184" t="s">
        <v>120</v>
      </c>
      <c r="J815" s="184" t="s">
        <v>84</v>
      </c>
      <c r="K815" s="184" t="s">
        <v>291</v>
      </c>
      <c r="L815" s="184" t="s">
        <v>598</v>
      </c>
      <c r="M815" s="184" t="s">
        <v>1911</v>
      </c>
      <c r="N815" s="184" t="s">
        <v>42</v>
      </c>
      <c r="O815" s="184" t="s">
        <v>42</v>
      </c>
      <c r="P815" s="186" t="s">
        <v>606</v>
      </c>
      <c r="Q815" s="184" t="s">
        <v>598</v>
      </c>
      <c r="R815" s="184" t="s">
        <v>598</v>
      </c>
      <c r="S815" s="127" t="s">
        <v>598</v>
      </c>
      <c r="T815" s="184" t="s">
        <v>598</v>
      </c>
      <c r="U815" s="184" t="s">
        <v>598</v>
      </c>
      <c r="V815" s="185">
        <v>0</v>
      </c>
      <c r="W815" s="184" t="s">
        <v>485</v>
      </c>
      <c r="X815" s="184" t="s">
        <v>598</v>
      </c>
      <c r="Y815" s="185">
        <v>0</v>
      </c>
      <c r="Z815" s="184" t="s">
        <v>598</v>
      </c>
      <c r="AA815" s="21" t="s">
        <v>610</v>
      </c>
      <c r="AB815" s="176" t="s">
        <v>489</v>
      </c>
      <c r="AC815" s="172">
        <v>42996.328472222223</v>
      </c>
      <c r="AD815" s="32" t="s">
        <v>552</v>
      </c>
    </row>
    <row r="816" spans="1:30">
      <c r="A816" s="184">
        <v>815</v>
      </c>
      <c r="B816" s="184" t="s">
        <v>2244</v>
      </c>
      <c r="C816" s="184" t="s">
        <v>598</v>
      </c>
      <c r="D816" s="127">
        <v>42758</v>
      </c>
      <c r="E816" s="127" t="s">
        <v>598</v>
      </c>
      <c r="F816" s="184" t="s">
        <v>2245</v>
      </c>
      <c r="G816" s="185">
        <v>0</v>
      </c>
      <c r="H816" s="184" t="s">
        <v>598</v>
      </c>
      <c r="I816" s="184" t="s">
        <v>120</v>
      </c>
      <c r="J816" s="184" t="s">
        <v>84</v>
      </c>
      <c r="K816" s="184" t="s">
        <v>291</v>
      </c>
      <c r="L816" s="184" t="s">
        <v>598</v>
      </c>
      <c r="M816" s="184" t="s">
        <v>1911</v>
      </c>
      <c r="N816" s="184" t="s">
        <v>42</v>
      </c>
      <c r="O816" s="184" t="s">
        <v>42</v>
      </c>
      <c r="P816" s="186" t="s">
        <v>607</v>
      </c>
      <c r="Q816" s="184" t="s">
        <v>598</v>
      </c>
      <c r="R816" s="184" t="s">
        <v>598</v>
      </c>
      <c r="S816" s="127" t="s">
        <v>598</v>
      </c>
      <c r="T816" s="184" t="s">
        <v>598</v>
      </c>
      <c r="U816" s="184" t="s">
        <v>598</v>
      </c>
      <c r="V816" s="185">
        <v>0</v>
      </c>
      <c r="W816" s="184" t="s">
        <v>485</v>
      </c>
      <c r="X816" s="184" t="s">
        <v>598</v>
      </c>
      <c r="Y816" s="185">
        <v>0</v>
      </c>
      <c r="Z816" s="184" t="s">
        <v>598</v>
      </c>
      <c r="AA816" s="21" t="s">
        <v>610</v>
      </c>
      <c r="AB816" s="176" t="s">
        <v>489</v>
      </c>
      <c r="AC816" s="172">
        <v>42996.328472222223</v>
      </c>
      <c r="AD816" s="32" t="s">
        <v>552</v>
      </c>
    </row>
    <row r="817" spans="1:30">
      <c r="A817" s="184">
        <v>816</v>
      </c>
      <c r="B817" s="184" t="s">
        <v>2246</v>
      </c>
      <c r="C817" s="184" t="s">
        <v>598</v>
      </c>
      <c r="D817" s="127">
        <v>42751</v>
      </c>
      <c r="E817" s="127" t="s">
        <v>598</v>
      </c>
      <c r="F817" s="184" t="s">
        <v>2247</v>
      </c>
      <c r="G817" s="185">
        <v>0</v>
      </c>
      <c r="H817" s="184" t="s">
        <v>598</v>
      </c>
      <c r="I817" s="184" t="s">
        <v>134</v>
      </c>
      <c r="J817" s="184" t="s">
        <v>84</v>
      </c>
      <c r="K817" s="184" t="s">
        <v>281</v>
      </c>
      <c r="L817" s="184" t="s">
        <v>598</v>
      </c>
      <c r="M817" s="184" t="s">
        <v>1926</v>
      </c>
      <c r="N817" s="184" t="s">
        <v>42</v>
      </c>
      <c r="O817" s="184" t="s">
        <v>42</v>
      </c>
      <c r="P817" s="186" t="s">
        <v>73</v>
      </c>
      <c r="Q817" s="184" t="s">
        <v>598</v>
      </c>
      <c r="R817" s="184" t="s">
        <v>598</v>
      </c>
      <c r="S817" s="127" t="s">
        <v>598</v>
      </c>
      <c r="T817" s="184" t="s">
        <v>598</v>
      </c>
      <c r="U817" s="184" t="s">
        <v>598</v>
      </c>
      <c r="V817" s="185">
        <v>0</v>
      </c>
      <c r="W817" s="184" t="s">
        <v>485</v>
      </c>
      <c r="X817" s="184" t="s">
        <v>598</v>
      </c>
      <c r="Y817" s="185">
        <v>0</v>
      </c>
      <c r="Z817" s="184" t="s">
        <v>598</v>
      </c>
      <c r="AA817" s="21" t="s">
        <v>610</v>
      </c>
      <c r="AB817" s="176" t="s">
        <v>489</v>
      </c>
      <c r="AC817" s="172">
        <v>42996.328472222223</v>
      </c>
      <c r="AD817" s="32" t="s">
        <v>552</v>
      </c>
    </row>
    <row r="818" spans="1:30">
      <c r="A818" s="184">
        <v>817</v>
      </c>
      <c r="B818" s="184" t="s">
        <v>2248</v>
      </c>
      <c r="C818" s="184" t="s">
        <v>598</v>
      </c>
      <c r="D818" s="127">
        <v>42747</v>
      </c>
      <c r="E818" s="127" t="s">
        <v>598</v>
      </c>
      <c r="F818" s="184" t="s">
        <v>2249</v>
      </c>
      <c r="G818" s="185">
        <v>0</v>
      </c>
      <c r="H818" s="184" t="s">
        <v>598</v>
      </c>
      <c r="I818" s="184" t="s">
        <v>134</v>
      </c>
      <c r="J818" s="184" t="s">
        <v>84</v>
      </c>
      <c r="K818" s="184" t="s">
        <v>2250</v>
      </c>
      <c r="L818" s="184" t="s">
        <v>598</v>
      </c>
      <c r="M818" s="184" t="s">
        <v>2251</v>
      </c>
      <c r="N818" s="184" t="s">
        <v>42</v>
      </c>
      <c r="O818" s="184" t="s">
        <v>598</v>
      </c>
      <c r="P818" s="186" t="s">
        <v>601</v>
      </c>
      <c r="Q818" s="184" t="s">
        <v>598</v>
      </c>
      <c r="R818" s="184" t="s">
        <v>598</v>
      </c>
      <c r="S818" s="127" t="s">
        <v>598</v>
      </c>
      <c r="T818" s="184" t="s">
        <v>598</v>
      </c>
      <c r="U818" s="184" t="s">
        <v>598</v>
      </c>
      <c r="V818" s="185">
        <v>0</v>
      </c>
      <c r="W818" s="184" t="s">
        <v>485</v>
      </c>
      <c r="X818" s="184" t="s">
        <v>598</v>
      </c>
      <c r="Y818" s="185">
        <v>0</v>
      </c>
      <c r="Z818" s="184" t="s">
        <v>598</v>
      </c>
      <c r="AA818" s="21" t="s">
        <v>610</v>
      </c>
      <c r="AB818" s="176" t="s">
        <v>489</v>
      </c>
      <c r="AC818" s="172">
        <v>42996.328472222223</v>
      </c>
      <c r="AD818" s="32" t="s">
        <v>552</v>
      </c>
    </row>
    <row r="819" spans="1:30">
      <c r="A819" s="184">
        <v>818</v>
      </c>
      <c r="B819" s="184" t="s">
        <v>2252</v>
      </c>
      <c r="C819" s="184" t="s">
        <v>598</v>
      </c>
      <c r="D819" s="127">
        <v>42739</v>
      </c>
      <c r="E819" s="127" t="s">
        <v>598</v>
      </c>
      <c r="F819" s="184" t="s">
        <v>2253</v>
      </c>
      <c r="G819" s="185">
        <v>0</v>
      </c>
      <c r="H819" s="184" t="s">
        <v>598</v>
      </c>
      <c r="I819" s="184" t="s">
        <v>115</v>
      </c>
      <c r="J819" s="184" t="s">
        <v>84</v>
      </c>
      <c r="K819" s="184" t="s">
        <v>281</v>
      </c>
      <c r="L819" s="184" t="s">
        <v>598</v>
      </c>
      <c r="M819" s="184" t="s">
        <v>2254</v>
      </c>
      <c r="N819" s="184" t="s">
        <v>42</v>
      </c>
      <c r="O819" s="184" t="s">
        <v>598</v>
      </c>
      <c r="P819" s="186" t="s">
        <v>32</v>
      </c>
      <c r="Q819" s="184" t="s">
        <v>598</v>
      </c>
      <c r="R819" s="184" t="s">
        <v>598</v>
      </c>
      <c r="S819" s="127" t="s">
        <v>598</v>
      </c>
      <c r="T819" s="184" t="s">
        <v>598</v>
      </c>
      <c r="U819" s="184" t="s">
        <v>598</v>
      </c>
      <c r="V819" s="185">
        <v>0</v>
      </c>
      <c r="W819" s="184" t="s">
        <v>485</v>
      </c>
      <c r="X819" s="184" t="s">
        <v>598</v>
      </c>
      <c r="Y819" s="185">
        <v>0</v>
      </c>
      <c r="Z819" s="184" t="s">
        <v>598</v>
      </c>
      <c r="AA819" s="21" t="s">
        <v>610</v>
      </c>
      <c r="AB819" s="176" t="s">
        <v>489</v>
      </c>
      <c r="AC819" s="172">
        <v>42996.328472222223</v>
      </c>
      <c r="AD819" s="32" t="s">
        <v>552</v>
      </c>
    </row>
    <row r="820" spans="1:30">
      <c r="A820" s="184">
        <v>819</v>
      </c>
      <c r="B820" s="184" t="s">
        <v>2255</v>
      </c>
      <c r="C820" s="184" t="s">
        <v>598</v>
      </c>
      <c r="D820" s="127">
        <v>42730</v>
      </c>
      <c r="E820" s="127" t="s">
        <v>598</v>
      </c>
      <c r="F820" s="184" t="s">
        <v>2256</v>
      </c>
      <c r="G820" s="185">
        <v>0</v>
      </c>
      <c r="H820" s="184" t="s">
        <v>598</v>
      </c>
      <c r="I820" s="184" t="s">
        <v>122</v>
      </c>
      <c r="J820" s="184" t="s">
        <v>84</v>
      </c>
      <c r="K820" s="184" t="s">
        <v>392</v>
      </c>
      <c r="L820" s="184" t="s">
        <v>598</v>
      </c>
      <c r="M820" s="184" t="s">
        <v>1176</v>
      </c>
      <c r="N820" s="184" t="s">
        <v>42</v>
      </c>
      <c r="O820" s="184" t="s">
        <v>42</v>
      </c>
      <c r="P820" s="186" t="s">
        <v>53</v>
      </c>
      <c r="Q820" s="184" t="s">
        <v>598</v>
      </c>
      <c r="R820" s="184" t="s">
        <v>598</v>
      </c>
      <c r="S820" s="127" t="s">
        <v>598</v>
      </c>
      <c r="T820" s="184" t="s">
        <v>598</v>
      </c>
      <c r="U820" s="184" t="s">
        <v>598</v>
      </c>
      <c r="V820" s="185">
        <v>0</v>
      </c>
      <c r="W820" s="184" t="s">
        <v>485</v>
      </c>
      <c r="X820" s="184" t="s">
        <v>598</v>
      </c>
      <c r="Y820" s="185">
        <v>0</v>
      </c>
      <c r="Z820" s="184" t="s">
        <v>598</v>
      </c>
      <c r="AA820" s="21" t="s">
        <v>610</v>
      </c>
      <c r="AB820" s="176" t="s">
        <v>489</v>
      </c>
      <c r="AC820" s="172">
        <v>42996.328472222223</v>
      </c>
      <c r="AD820" s="32" t="s">
        <v>552</v>
      </c>
    </row>
    <row r="821" spans="1:30">
      <c r="A821" s="184">
        <v>820</v>
      </c>
      <c r="B821" s="184" t="s">
        <v>2257</v>
      </c>
      <c r="C821" s="184" t="s">
        <v>598</v>
      </c>
      <c r="D821" s="127">
        <v>42720</v>
      </c>
      <c r="E821" s="127" t="s">
        <v>598</v>
      </c>
      <c r="F821" s="184" t="s">
        <v>2258</v>
      </c>
      <c r="G821" s="185">
        <v>0</v>
      </c>
      <c r="H821" s="184" t="s">
        <v>598</v>
      </c>
      <c r="I821" s="184" t="s">
        <v>115</v>
      </c>
      <c r="J821" s="184" t="s">
        <v>84</v>
      </c>
      <c r="K821" s="184" t="s">
        <v>276</v>
      </c>
      <c r="L821" s="184" t="s">
        <v>598</v>
      </c>
      <c r="M821" s="184" t="s">
        <v>2259</v>
      </c>
      <c r="N821" s="184" t="s">
        <v>42</v>
      </c>
      <c r="O821" s="184" t="s">
        <v>73</v>
      </c>
      <c r="P821" s="186" t="s">
        <v>44</v>
      </c>
      <c r="Q821" s="184" t="s">
        <v>598</v>
      </c>
      <c r="R821" s="184" t="s">
        <v>598</v>
      </c>
      <c r="S821" s="127" t="s">
        <v>598</v>
      </c>
      <c r="T821" s="184" t="s">
        <v>598</v>
      </c>
      <c r="U821" s="184" t="s">
        <v>598</v>
      </c>
      <c r="V821" s="185">
        <v>0</v>
      </c>
      <c r="W821" s="184" t="s">
        <v>485</v>
      </c>
      <c r="X821" s="184" t="s">
        <v>598</v>
      </c>
      <c r="Y821" s="185">
        <v>0</v>
      </c>
      <c r="Z821" s="184" t="s">
        <v>598</v>
      </c>
      <c r="AA821" s="21" t="s">
        <v>610</v>
      </c>
      <c r="AB821" s="176" t="s">
        <v>489</v>
      </c>
      <c r="AC821" s="172">
        <v>42996.328472222223</v>
      </c>
      <c r="AD821" s="32" t="s">
        <v>552</v>
      </c>
    </row>
    <row r="822" spans="1:30">
      <c r="A822" s="184">
        <v>821</v>
      </c>
      <c r="B822" s="184" t="s">
        <v>2260</v>
      </c>
      <c r="C822" s="184" t="s">
        <v>598</v>
      </c>
      <c r="D822" s="127">
        <v>42720</v>
      </c>
      <c r="E822" s="127" t="s">
        <v>598</v>
      </c>
      <c r="F822" s="184" t="s">
        <v>2261</v>
      </c>
      <c r="G822" s="185">
        <v>0</v>
      </c>
      <c r="H822" s="184" t="s">
        <v>598</v>
      </c>
      <c r="I822" s="184" t="s">
        <v>115</v>
      </c>
      <c r="J822" s="184" t="s">
        <v>84</v>
      </c>
      <c r="K822" s="184" t="s">
        <v>259</v>
      </c>
      <c r="L822" s="184" t="s">
        <v>598</v>
      </c>
      <c r="M822" s="184" t="s">
        <v>2262</v>
      </c>
      <c r="N822" s="184" t="s">
        <v>42</v>
      </c>
      <c r="O822" s="184" t="s">
        <v>73</v>
      </c>
      <c r="P822" s="186" t="s">
        <v>67</v>
      </c>
      <c r="Q822" s="184" t="s">
        <v>598</v>
      </c>
      <c r="R822" s="184" t="s">
        <v>598</v>
      </c>
      <c r="S822" s="127" t="s">
        <v>598</v>
      </c>
      <c r="T822" s="184" t="s">
        <v>598</v>
      </c>
      <c r="U822" s="184" t="s">
        <v>598</v>
      </c>
      <c r="V822" s="185">
        <v>0</v>
      </c>
      <c r="W822" s="184" t="s">
        <v>485</v>
      </c>
      <c r="X822" s="184" t="s">
        <v>598</v>
      </c>
      <c r="Y822" s="185">
        <v>0</v>
      </c>
      <c r="Z822" s="184" t="s">
        <v>598</v>
      </c>
      <c r="AA822" s="21" t="s">
        <v>610</v>
      </c>
      <c r="AB822" s="176" t="s">
        <v>489</v>
      </c>
      <c r="AC822" s="172">
        <v>42996.328472222223</v>
      </c>
      <c r="AD822" s="32" t="s">
        <v>552</v>
      </c>
    </row>
    <row r="823" spans="1:30">
      <c r="A823" s="184">
        <v>822</v>
      </c>
      <c r="B823" s="184" t="s">
        <v>2263</v>
      </c>
      <c r="C823" s="184" t="s">
        <v>598</v>
      </c>
      <c r="D823" s="127">
        <v>42718</v>
      </c>
      <c r="E823" s="127" t="s">
        <v>598</v>
      </c>
      <c r="F823" s="184" t="s">
        <v>2264</v>
      </c>
      <c r="G823" s="185">
        <v>0</v>
      </c>
      <c r="H823" s="184" t="s">
        <v>598</v>
      </c>
      <c r="I823" s="184" t="s">
        <v>598</v>
      </c>
      <c r="J823" s="184" t="s">
        <v>84</v>
      </c>
      <c r="K823" s="184" t="s">
        <v>393</v>
      </c>
      <c r="L823" s="184" t="s">
        <v>598</v>
      </c>
      <c r="M823" s="184" t="s">
        <v>73</v>
      </c>
      <c r="N823" s="184" t="s">
        <v>42</v>
      </c>
      <c r="O823" s="184" t="s">
        <v>73</v>
      </c>
      <c r="P823" s="186" t="s">
        <v>602</v>
      </c>
      <c r="Q823" s="184" t="s">
        <v>598</v>
      </c>
      <c r="R823" s="184" t="s">
        <v>598</v>
      </c>
      <c r="S823" s="127" t="s">
        <v>598</v>
      </c>
      <c r="T823" s="184" t="s">
        <v>598</v>
      </c>
      <c r="U823" s="184" t="s">
        <v>598</v>
      </c>
      <c r="V823" s="185">
        <v>0</v>
      </c>
      <c r="W823" s="184" t="s">
        <v>485</v>
      </c>
      <c r="X823" s="184" t="s">
        <v>598</v>
      </c>
      <c r="Y823" s="185">
        <v>0</v>
      </c>
      <c r="Z823" s="184" t="s">
        <v>598</v>
      </c>
      <c r="AA823" s="21" t="s">
        <v>610</v>
      </c>
      <c r="AB823" s="176" t="s">
        <v>489</v>
      </c>
      <c r="AC823" s="172">
        <v>42996.328472222223</v>
      </c>
      <c r="AD823" s="32" t="s">
        <v>552</v>
      </c>
    </row>
    <row r="824" spans="1:30">
      <c r="A824" s="184">
        <v>823</v>
      </c>
      <c r="B824" s="184" t="s">
        <v>2265</v>
      </c>
      <c r="C824" s="184" t="s">
        <v>598</v>
      </c>
      <c r="D824" s="127">
        <v>42718</v>
      </c>
      <c r="E824" s="127" t="s">
        <v>598</v>
      </c>
      <c r="F824" s="184" t="s">
        <v>2266</v>
      </c>
      <c r="G824" s="185">
        <v>0</v>
      </c>
      <c r="H824" s="184" t="s">
        <v>598</v>
      </c>
      <c r="I824" s="184" t="s">
        <v>115</v>
      </c>
      <c r="J824" s="184" t="s">
        <v>84</v>
      </c>
      <c r="K824" s="184" t="s">
        <v>276</v>
      </c>
      <c r="L824" s="184" t="s">
        <v>598</v>
      </c>
      <c r="M824" s="184" t="s">
        <v>2267</v>
      </c>
      <c r="N824" s="184" t="s">
        <v>42</v>
      </c>
      <c r="O824" s="184" t="s">
        <v>73</v>
      </c>
      <c r="P824" s="186" t="s">
        <v>603</v>
      </c>
      <c r="Q824" s="184" t="s">
        <v>598</v>
      </c>
      <c r="R824" s="184" t="s">
        <v>598</v>
      </c>
      <c r="S824" s="127" t="s">
        <v>598</v>
      </c>
      <c r="T824" s="184" t="s">
        <v>598</v>
      </c>
      <c r="U824" s="184" t="s">
        <v>598</v>
      </c>
      <c r="V824" s="185">
        <v>0</v>
      </c>
      <c r="W824" s="184" t="s">
        <v>485</v>
      </c>
      <c r="X824" s="184" t="s">
        <v>598</v>
      </c>
      <c r="Y824" s="185">
        <v>0</v>
      </c>
      <c r="Z824" s="184" t="s">
        <v>598</v>
      </c>
      <c r="AA824" s="21" t="s">
        <v>610</v>
      </c>
      <c r="AB824" s="176" t="s">
        <v>489</v>
      </c>
      <c r="AC824" s="172">
        <v>42996.328472222223</v>
      </c>
      <c r="AD824" s="32" t="s">
        <v>552</v>
      </c>
    </row>
    <row r="825" spans="1:30">
      <c r="A825" s="184">
        <v>824</v>
      </c>
      <c r="B825" s="184" t="s">
        <v>2268</v>
      </c>
      <c r="C825" s="184" t="s">
        <v>598</v>
      </c>
      <c r="D825" s="127">
        <v>42717</v>
      </c>
      <c r="E825" s="127" t="s">
        <v>598</v>
      </c>
      <c r="F825" s="184" t="s">
        <v>2269</v>
      </c>
      <c r="G825" s="185">
        <v>0</v>
      </c>
      <c r="H825" s="184" t="s">
        <v>598</v>
      </c>
      <c r="I825" s="184" t="s">
        <v>120</v>
      </c>
      <c r="J825" s="184" t="s">
        <v>84</v>
      </c>
      <c r="K825" s="184" t="s">
        <v>390</v>
      </c>
      <c r="L825" s="184" t="s">
        <v>598</v>
      </c>
      <c r="M825" s="184" t="s">
        <v>2202</v>
      </c>
      <c r="N825" s="184" t="s">
        <v>42</v>
      </c>
      <c r="O825" s="184" t="s">
        <v>73</v>
      </c>
      <c r="P825" s="186" t="s">
        <v>604</v>
      </c>
      <c r="Q825" s="184" t="s">
        <v>598</v>
      </c>
      <c r="R825" s="184" t="s">
        <v>598</v>
      </c>
      <c r="S825" s="127" t="s">
        <v>598</v>
      </c>
      <c r="T825" s="184" t="s">
        <v>598</v>
      </c>
      <c r="U825" s="184" t="s">
        <v>598</v>
      </c>
      <c r="V825" s="185">
        <v>0</v>
      </c>
      <c r="W825" s="184" t="s">
        <v>485</v>
      </c>
      <c r="X825" s="184" t="s">
        <v>598</v>
      </c>
      <c r="Y825" s="185">
        <v>0</v>
      </c>
      <c r="Z825" s="184" t="s">
        <v>598</v>
      </c>
      <c r="AA825" s="21" t="s">
        <v>610</v>
      </c>
      <c r="AB825" s="176" t="s">
        <v>489</v>
      </c>
      <c r="AC825" s="172">
        <v>42996.328472222223</v>
      </c>
      <c r="AD825" s="32" t="s">
        <v>552</v>
      </c>
    </row>
    <row r="826" spans="1:30">
      <c r="A826" s="184">
        <v>825</v>
      </c>
      <c r="B826" s="184" t="s">
        <v>2270</v>
      </c>
      <c r="C826" s="184" t="s">
        <v>598</v>
      </c>
      <c r="D826" s="127">
        <v>42705</v>
      </c>
      <c r="E826" s="127" t="s">
        <v>598</v>
      </c>
      <c r="F826" s="184" t="s">
        <v>2271</v>
      </c>
      <c r="G826" s="185">
        <v>0</v>
      </c>
      <c r="H826" s="184" t="s">
        <v>598</v>
      </c>
      <c r="I826" s="184" t="s">
        <v>122</v>
      </c>
      <c r="J826" s="184" t="s">
        <v>84</v>
      </c>
      <c r="K826" s="184" t="s">
        <v>393</v>
      </c>
      <c r="L826" s="184" t="s">
        <v>598</v>
      </c>
      <c r="M826" s="184" t="s">
        <v>73</v>
      </c>
      <c r="N826" s="184" t="s">
        <v>42</v>
      </c>
      <c r="O826" s="184" t="s">
        <v>73</v>
      </c>
      <c r="P826" s="186" t="s">
        <v>605</v>
      </c>
      <c r="Q826" s="184" t="s">
        <v>598</v>
      </c>
      <c r="R826" s="184" t="s">
        <v>598</v>
      </c>
      <c r="S826" s="127" t="s">
        <v>598</v>
      </c>
      <c r="T826" s="184" t="s">
        <v>598</v>
      </c>
      <c r="U826" s="184" t="s">
        <v>598</v>
      </c>
      <c r="V826" s="185">
        <v>0</v>
      </c>
      <c r="W826" s="184" t="s">
        <v>485</v>
      </c>
      <c r="X826" s="184" t="s">
        <v>598</v>
      </c>
      <c r="Y826" s="185">
        <v>0</v>
      </c>
      <c r="Z826" s="184" t="s">
        <v>598</v>
      </c>
      <c r="AA826" s="21" t="s">
        <v>610</v>
      </c>
      <c r="AB826" s="176" t="s">
        <v>489</v>
      </c>
      <c r="AC826" s="172">
        <v>42996.328472222223</v>
      </c>
      <c r="AD826" s="32" t="s">
        <v>552</v>
      </c>
    </row>
    <row r="827" spans="1:30">
      <c r="A827" s="184">
        <v>826</v>
      </c>
      <c r="B827" s="184" t="s">
        <v>2272</v>
      </c>
      <c r="C827" s="184" t="s">
        <v>598</v>
      </c>
      <c r="D827" s="127">
        <v>42704</v>
      </c>
      <c r="E827" s="127" t="s">
        <v>598</v>
      </c>
      <c r="F827" s="184" t="s">
        <v>2273</v>
      </c>
      <c r="G827" s="185">
        <v>0</v>
      </c>
      <c r="H827" s="184" t="s">
        <v>598</v>
      </c>
      <c r="I827" s="184" t="s">
        <v>134</v>
      </c>
      <c r="J827" s="184" t="s">
        <v>84</v>
      </c>
      <c r="K827" s="184" t="s">
        <v>598</v>
      </c>
      <c r="L827" s="184" t="s">
        <v>598</v>
      </c>
      <c r="M827" s="184" t="s">
        <v>73</v>
      </c>
      <c r="N827" s="184" t="s">
        <v>42</v>
      </c>
      <c r="O827" s="184" t="s">
        <v>598</v>
      </c>
      <c r="P827" s="186" t="s">
        <v>606</v>
      </c>
      <c r="Q827" s="184" t="s">
        <v>598</v>
      </c>
      <c r="R827" s="184" t="s">
        <v>598</v>
      </c>
      <c r="S827" s="127" t="s">
        <v>598</v>
      </c>
      <c r="T827" s="184" t="s">
        <v>598</v>
      </c>
      <c r="U827" s="184" t="s">
        <v>598</v>
      </c>
      <c r="V827" s="185">
        <v>0</v>
      </c>
      <c r="W827" s="184" t="s">
        <v>485</v>
      </c>
      <c r="X827" s="184" t="s">
        <v>598</v>
      </c>
      <c r="Y827" s="185">
        <v>0</v>
      </c>
      <c r="Z827" s="184" t="s">
        <v>598</v>
      </c>
      <c r="AA827" s="21" t="s">
        <v>610</v>
      </c>
      <c r="AB827" s="176" t="s">
        <v>489</v>
      </c>
      <c r="AC827" s="172">
        <v>42996.328472222223</v>
      </c>
      <c r="AD827" s="32" t="s">
        <v>552</v>
      </c>
    </row>
    <row r="828" spans="1:30">
      <c r="A828" s="184">
        <v>827</v>
      </c>
      <c r="B828" s="184" t="s">
        <v>2274</v>
      </c>
      <c r="C828" s="184" t="s">
        <v>598</v>
      </c>
      <c r="D828" s="127">
        <v>42703</v>
      </c>
      <c r="E828" s="127" t="s">
        <v>598</v>
      </c>
      <c r="F828" s="184" t="s">
        <v>2275</v>
      </c>
      <c r="G828" s="185">
        <v>0</v>
      </c>
      <c r="H828" s="184" t="s">
        <v>598</v>
      </c>
      <c r="I828" s="184" t="s">
        <v>115</v>
      </c>
      <c r="J828" s="184" t="s">
        <v>84</v>
      </c>
      <c r="K828" s="184" t="s">
        <v>598</v>
      </c>
      <c r="L828" s="184" t="s">
        <v>598</v>
      </c>
      <c r="M828" s="184" t="s">
        <v>2262</v>
      </c>
      <c r="N828" s="184" t="s">
        <v>42</v>
      </c>
      <c r="O828" s="184" t="s">
        <v>598</v>
      </c>
      <c r="P828" s="186" t="s">
        <v>607</v>
      </c>
      <c r="Q828" s="184" t="s">
        <v>598</v>
      </c>
      <c r="R828" s="184" t="s">
        <v>598</v>
      </c>
      <c r="S828" s="127" t="s">
        <v>598</v>
      </c>
      <c r="T828" s="184" t="s">
        <v>598</v>
      </c>
      <c r="U828" s="184" t="s">
        <v>598</v>
      </c>
      <c r="V828" s="185">
        <v>0</v>
      </c>
      <c r="W828" s="184" t="s">
        <v>485</v>
      </c>
      <c r="X828" s="184" t="s">
        <v>598</v>
      </c>
      <c r="Y828" s="185">
        <v>0</v>
      </c>
      <c r="Z828" s="184" t="s">
        <v>598</v>
      </c>
      <c r="AA828" s="21" t="s">
        <v>610</v>
      </c>
      <c r="AB828" s="176" t="s">
        <v>489</v>
      </c>
      <c r="AC828" s="172">
        <v>42996.328472222223</v>
      </c>
      <c r="AD828" s="32" t="s">
        <v>552</v>
      </c>
    </row>
    <row r="829" spans="1:30">
      <c r="A829" s="184">
        <v>828</v>
      </c>
      <c r="B829" s="184" t="s">
        <v>2276</v>
      </c>
      <c r="C829" s="184" t="s">
        <v>598</v>
      </c>
      <c r="D829" s="127">
        <v>42702</v>
      </c>
      <c r="E829" s="127" t="s">
        <v>598</v>
      </c>
      <c r="F829" s="184" t="s">
        <v>2277</v>
      </c>
      <c r="G829" s="185">
        <v>0</v>
      </c>
      <c r="H829" s="184" t="s">
        <v>598</v>
      </c>
      <c r="I829" s="184" t="s">
        <v>598</v>
      </c>
      <c r="J829" s="184" t="s">
        <v>84</v>
      </c>
      <c r="K829" s="184" t="s">
        <v>297</v>
      </c>
      <c r="L829" s="184" t="s">
        <v>598</v>
      </c>
      <c r="M829" s="184" t="s">
        <v>73</v>
      </c>
      <c r="N829" s="184" t="s">
        <v>42</v>
      </c>
      <c r="O829" s="184" t="s">
        <v>73</v>
      </c>
      <c r="P829" s="186" t="s">
        <v>73</v>
      </c>
      <c r="Q829" s="184" t="s">
        <v>598</v>
      </c>
      <c r="R829" s="184" t="s">
        <v>598</v>
      </c>
      <c r="S829" s="127" t="s">
        <v>598</v>
      </c>
      <c r="T829" s="184" t="s">
        <v>598</v>
      </c>
      <c r="U829" s="184" t="s">
        <v>598</v>
      </c>
      <c r="V829" s="185">
        <v>0</v>
      </c>
      <c r="W829" s="184" t="s">
        <v>485</v>
      </c>
      <c r="X829" s="184" t="s">
        <v>598</v>
      </c>
      <c r="Y829" s="185">
        <v>0</v>
      </c>
      <c r="Z829" s="184" t="s">
        <v>598</v>
      </c>
      <c r="AA829" s="21" t="s">
        <v>610</v>
      </c>
      <c r="AB829" s="176" t="s">
        <v>489</v>
      </c>
      <c r="AC829" s="172">
        <v>42996.328472222223</v>
      </c>
      <c r="AD829" s="32" t="s">
        <v>552</v>
      </c>
    </row>
    <row r="830" spans="1:30">
      <c r="A830" s="184">
        <v>829</v>
      </c>
      <c r="B830" s="184" t="s">
        <v>2278</v>
      </c>
      <c r="C830" s="184" t="s">
        <v>598</v>
      </c>
      <c r="D830" s="127">
        <v>42699</v>
      </c>
      <c r="E830" s="127" t="s">
        <v>598</v>
      </c>
      <c r="F830" s="184" t="s">
        <v>2279</v>
      </c>
      <c r="G830" s="185">
        <v>0</v>
      </c>
      <c r="H830" s="184" t="s">
        <v>598</v>
      </c>
      <c r="I830" s="184" t="s">
        <v>598</v>
      </c>
      <c r="J830" s="184" t="s">
        <v>84</v>
      </c>
      <c r="K830" s="184" t="s">
        <v>276</v>
      </c>
      <c r="L830" s="184" t="s">
        <v>598</v>
      </c>
      <c r="M830" s="184" t="s">
        <v>598</v>
      </c>
      <c r="N830" s="184" t="s">
        <v>42</v>
      </c>
      <c r="O830" s="184" t="s">
        <v>598</v>
      </c>
      <c r="P830" s="186" t="s">
        <v>601</v>
      </c>
      <c r="Q830" s="184" t="s">
        <v>598</v>
      </c>
      <c r="R830" s="184" t="s">
        <v>598</v>
      </c>
      <c r="S830" s="127" t="s">
        <v>598</v>
      </c>
      <c r="T830" s="184" t="s">
        <v>598</v>
      </c>
      <c r="U830" s="184" t="s">
        <v>598</v>
      </c>
      <c r="V830" s="185">
        <v>0</v>
      </c>
      <c r="W830" s="184" t="s">
        <v>485</v>
      </c>
      <c r="X830" s="184" t="s">
        <v>598</v>
      </c>
      <c r="Y830" s="185">
        <v>0</v>
      </c>
      <c r="Z830" s="184" t="s">
        <v>598</v>
      </c>
      <c r="AA830" s="21" t="s">
        <v>610</v>
      </c>
      <c r="AB830" s="176" t="s">
        <v>489</v>
      </c>
      <c r="AC830" s="172">
        <v>42996.328472222223</v>
      </c>
      <c r="AD830" s="32" t="s">
        <v>552</v>
      </c>
    </row>
    <row r="831" spans="1:30">
      <c r="A831" s="184">
        <v>830</v>
      </c>
      <c r="B831" s="184" t="s">
        <v>2280</v>
      </c>
      <c r="C831" s="184" t="s">
        <v>598</v>
      </c>
      <c r="D831" s="127">
        <v>42697</v>
      </c>
      <c r="E831" s="127" t="s">
        <v>598</v>
      </c>
      <c r="F831" s="184" t="s">
        <v>2281</v>
      </c>
      <c r="G831" s="185">
        <v>0</v>
      </c>
      <c r="H831" s="184" t="s">
        <v>598</v>
      </c>
      <c r="I831" s="184" t="s">
        <v>134</v>
      </c>
      <c r="J831" s="184" t="s">
        <v>84</v>
      </c>
      <c r="K831" s="184" t="s">
        <v>281</v>
      </c>
      <c r="L831" s="184" t="s">
        <v>598</v>
      </c>
      <c r="M831" s="184" t="s">
        <v>305</v>
      </c>
      <c r="N831" s="184" t="s">
        <v>42</v>
      </c>
      <c r="O831" s="184" t="s">
        <v>598</v>
      </c>
      <c r="P831" s="186" t="s">
        <v>32</v>
      </c>
      <c r="Q831" s="184" t="s">
        <v>598</v>
      </c>
      <c r="R831" s="184" t="s">
        <v>598</v>
      </c>
      <c r="S831" s="127" t="s">
        <v>598</v>
      </c>
      <c r="T831" s="184" t="s">
        <v>598</v>
      </c>
      <c r="U831" s="184" t="s">
        <v>598</v>
      </c>
      <c r="V831" s="185">
        <v>0</v>
      </c>
      <c r="W831" s="184" t="s">
        <v>485</v>
      </c>
      <c r="X831" s="184" t="s">
        <v>598</v>
      </c>
      <c r="Y831" s="185">
        <v>0</v>
      </c>
      <c r="Z831" s="184" t="s">
        <v>598</v>
      </c>
      <c r="AA831" s="21" t="s">
        <v>610</v>
      </c>
      <c r="AB831" s="176" t="s">
        <v>489</v>
      </c>
      <c r="AC831" s="172">
        <v>42996.328472222223</v>
      </c>
      <c r="AD831" s="32" t="s">
        <v>552</v>
      </c>
    </row>
    <row r="832" spans="1:30">
      <c r="A832" s="184">
        <v>831</v>
      </c>
      <c r="B832" s="184" t="s">
        <v>2282</v>
      </c>
      <c r="C832" s="184" t="s">
        <v>598</v>
      </c>
      <c r="D832" s="127">
        <v>42692</v>
      </c>
      <c r="E832" s="127" t="s">
        <v>598</v>
      </c>
      <c r="F832" s="184" t="s">
        <v>2283</v>
      </c>
      <c r="G832" s="185">
        <v>0</v>
      </c>
      <c r="H832" s="184" t="s">
        <v>598</v>
      </c>
      <c r="I832" s="184" t="s">
        <v>122</v>
      </c>
      <c r="J832" s="184" t="s">
        <v>84</v>
      </c>
      <c r="K832" s="184" t="s">
        <v>276</v>
      </c>
      <c r="L832" s="184" t="s">
        <v>598</v>
      </c>
      <c r="M832" s="184" t="s">
        <v>598</v>
      </c>
      <c r="N832" s="184" t="s">
        <v>42</v>
      </c>
      <c r="O832" s="184" t="s">
        <v>73</v>
      </c>
      <c r="P832" s="186" t="s">
        <v>53</v>
      </c>
      <c r="Q832" s="184" t="s">
        <v>598</v>
      </c>
      <c r="R832" s="184" t="s">
        <v>598</v>
      </c>
      <c r="S832" s="127" t="s">
        <v>598</v>
      </c>
      <c r="T832" s="184" t="s">
        <v>598</v>
      </c>
      <c r="U832" s="184" t="s">
        <v>598</v>
      </c>
      <c r="V832" s="185">
        <v>0</v>
      </c>
      <c r="W832" s="184" t="s">
        <v>485</v>
      </c>
      <c r="X832" s="184" t="s">
        <v>598</v>
      </c>
      <c r="Y832" s="185">
        <v>0</v>
      </c>
      <c r="Z832" s="184" t="s">
        <v>598</v>
      </c>
      <c r="AA832" s="21" t="s">
        <v>610</v>
      </c>
      <c r="AB832" s="176" t="s">
        <v>489</v>
      </c>
      <c r="AC832" s="172">
        <v>42996.328472222223</v>
      </c>
      <c r="AD832" s="32" t="s">
        <v>552</v>
      </c>
    </row>
    <row r="833" spans="1:30">
      <c r="A833" s="184">
        <v>832</v>
      </c>
      <c r="B833" s="184" t="s">
        <v>2284</v>
      </c>
      <c r="C833" s="184" t="s">
        <v>598</v>
      </c>
      <c r="D833" s="127">
        <v>42690</v>
      </c>
      <c r="E833" s="127" t="s">
        <v>598</v>
      </c>
      <c r="F833" s="184" t="s">
        <v>2285</v>
      </c>
      <c r="G833" s="185">
        <v>0</v>
      </c>
      <c r="H833" s="184" t="s">
        <v>598</v>
      </c>
      <c r="I833" s="184" t="s">
        <v>134</v>
      </c>
      <c r="J833" s="184" t="s">
        <v>84</v>
      </c>
      <c r="K833" s="184" t="s">
        <v>291</v>
      </c>
      <c r="L833" s="184" t="s">
        <v>598</v>
      </c>
      <c r="M833" s="184" t="s">
        <v>1911</v>
      </c>
      <c r="N833" s="184" t="s">
        <v>42</v>
      </c>
      <c r="O833" s="184" t="s">
        <v>73</v>
      </c>
      <c r="P833" s="186" t="s">
        <v>44</v>
      </c>
      <c r="Q833" s="184" t="s">
        <v>598</v>
      </c>
      <c r="R833" s="184" t="s">
        <v>598</v>
      </c>
      <c r="S833" s="127" t="s">
        <v>598</v>
      </c>
      <c r="T833" s="184" t="s">
        <v>598</v>
      </c>
      <c r="U833" s="184" t="s">
        <v>598</v>
      </c>
      <c r="V833" s="185">
        <v>0</v>
      </c>
      <c r="W833" s="184" t="s">
        <v>485</v>
      </c>
      <c r="X833" s="184" t="s">
        <v>598</v>
      </c>
      <c r="Y833" s="185">
        <v>0</v>
      </c>
      <c r="Z833" s="184" t="s">
        <v>598</v>
      </c>
      <c r="AA833" s="21" t="s">
        <v>610</v>
      </c>
      <c r="AB833" s="176" t="s">
        <v>489</v>
      </c>
      <c r="AC833" s="172">
        <v>42996.328472222223</v>
      </c>
      <c r="AD833" s="32" t="s">
        <v>552</v>
      </c>
    </row>
    <row r="834" spans="1:30">
      <c r="A834" s="184">
        <v>833</v>
      </c>
      <c r="B834" s="184" t="s">
        <v>2286</v>
      </c>
      <c r="C834" s="184" t="s">
        <v>598</v>
      </c>
      <c r="D834" s="127">
        <v>42689</v>
      </c>
      <c r="E834" s="127" t="s">
        <v>598</v>
      </c>
      <c r="F834" s="184" t="s">
        <v>2287</v>
      </c>
      <c r="G834" s="185">
        <v>0</v>
      </c>
      <c r="H834" s="184" t="s">
        <v>598</v>
      </c>
      <c r="I834" s="184" t="s">
        <v>132</v>
      </c>
      <c r="J834" s="184" t="s">
        <v>84</v>
      </c>
      <c r="K834" s="184" t="s">
        <v>174</v>
      </c>
      <c r="L834" s="184" t="s">
        <v>598</v>
      </c>
      <c r="M834" s="184" t="s">
        <v>73</v>
      </c>
      <c r="N834" s="184" t="s">
        <v>42</v>
      </c>
      <c r="O834" s="184" t="s">
        <v>73</v>
      </c>
      <c r="P834" s="186" t="s">
        <v>67</v>
      </c>
      <c r="Q834" s="184" t="s">
        <v>598</v>
      </c>
      <c r="R834" s="184" t="s">
        <v>598</v>
      </c>
      <c r="S834" s="127" t="s">
        <v>598</v>
      </c>
      <c r="T834" s="184" t="s">
        <v>598</v>
      </c>
      <c r="U834" s="184" t="s">
        <v>598</v>
      </c>
      <c r="V834" s="185">
        <v>0</v>
      </c>
      <c r="W834" s="184" t="s">
        <v>485</v>
      </c>
      <c r="X834" s="184" t="s">
        <v>598</v>
      </c>
      <c r="Y834" s="185">
        <v>0</v>
      </c>
      <c r="Z834" s="184" t="s">
        <v>598</v>
      </c>
      <c r="AA834" s="21" t="s">
        <v>610</v>
      </c>
      <c r="AB834" s="176" t="s">
        <v>489</v>
      </c>
      <c r="AC834" s="172">
        <v>42996.328472222223</v>
      </c>
      <c r="AD834" s="32" t="s">
        <v>552</v>
      </c>
    </row>
    <row r="835" spans="1:30">
      <c r="A835" s="184">
        <v>834</v>
      </c>
      <c r="B835" s="184" t="s">
        <v>2288</v>
      </c>
      <c r="C835" s="184" t="s">
        <v>598</v>
      </c>
      <c r="D835" s="127">
        <v>42686</v>
      </c>
      <c r="E835" s="127" t="s">
        <v>598</v>
      </c>
      <c r="F835" s="184" t="s">
        <v>2289</v>
      </c>
      <c r="G835" s="185">
        <v>0</v>
      </c>
      <c r="H835" s="184" t="s">
        <v>598</v>
      </c>
      <c r="I835" s="184" t="s">
        <v>598</v>
      </c>
      <c r="J835" s="184" t="s">
        <v>84</v>
      </c>
      <c r="K835" s="184" t="s">
        <v>394</v>
      </c>
      <c r="L835" s="184" t="s">
        <v>598</v>
      </c>
      <c r="M835" s="184" t="s">
        <v>598</v>
      </c>
      <c r="N835" s="184" t="s">
        <v>42</v>
      </c>
      <c r="O835" s="184" t="s">
        <v>51</v>
      </c>
      <c r="P835" s="186" t="s">
        <v>602</v>
      </c>
      <c r="Q835" s="184" t="s">
        <v>598</v>
      </c>
      <c r="R835" s="184" t="s">
        <v>598</v>
      </c>
      <c r="S835" s="127" t="s">
        <v>598</v>
      </c>
      <c r="T835" s="184" t="s">
        <v>598</v>
      </c>
      <c r="U835" s="184" t="s">
        <v>598</v>
      </c>
      <c r="V835" s="185">
        <v>0</v>
      </c>
      <c r="W835" s="184" t="s">
        <v>485</v>
      </c>
      <c r="X835" s="184" t="s">
        <v>598</v>
      </c>
      <c r="Y835" s="185">
        <v>0</v>
      </c>
      <c r="Z835" s="184" t="s">
        <v>598</v>
      </c>
      <c r="AA835" s="21" t="s">
        <v>610</v>
      </c>
      <c r="AB835" s="176" t="s">
        <v>489</v>
      </c>
      <c r="AC835" s="172">
        <v>42996.328472222223</v>
      </c>
      <c r="AD835" s="32" t="s">
        <v>552</v>
      </c>
    </row>
    <row r="836" spans="1:30">
      <c r="A836" s="184">
        <v>835</v>
      </c>
      <c r="B836" s="184" t="s">
        <v>2290</v>
      </c>
      <c r="C836" s="184" t="s">
        <v>598</v>
      </c>
      <c r="D836" s="127">
        <v>42683</v>
      </c>
      <c r="E836" s="127" t="s">
        <v>598</v>
      </c>
      <c r="F836" s="184" t="s">
        <v>2291</v>
      </c>
      <c r="G836" s="185">
        <v>0</v>
      </c>
      <c r="H836" s="184" t="s">
        <v>598</v>
      </c>
      <c r="I836" s="184" t="s">
        <v>120</v>
      </c>
      <c r="J836" s="184" t="s">
        <v>84</v>
      </c>
      <c r="K836" s="184" t="s">
        <v>395</v>
      </c>
      <c r="L836" s="184" t="s">
        <v>598</v>
      </c>
      <c r="M836" s="184" t="s">
        <v>2069</v>
      </c>
      <c r="N836" s="184" t="s">
        <v>42</v>
      </c>
      <c r="O836" s="184" t="s">
        <v>73</v>
      </c>
      <c r="P836" s="186" t="s">
        <v>603</v>
      </c>
      <c r="Q836" s="184" t="s">
        <v>598</v>
      </c>
      <c r="R836" s="184" t="s">
        <v>598</v>
      </c>
      <c r="S836" s="127" t="s">
        <v>598</v>
      </c>
      <c r="T836" s="184" t="s">
        <v>598</v>
      </c>
      <c r="U836" s="184" t="s">
        <v>598</v>
      </c>
      <c r="V836" s="185">
        <v>0</v>
      </c>
      <c r="W836" s="184" t="s">
        <v>485</v>
      </c>
      <c r="X836" s="184" t="s">
        <v>598</v>
      </c>
      <c r="Y836" s="185">
        <v>0</v>
      </c>
      <c r="Z836" s="184" t="s">
        <v>598</v>
      </c>
      <c r="AA836" s="21" t="s">
        <v>610</v>
      </c>
      <c r="AB836" s="176" t="s">
        <v>489</v>
      </c>
      <c r="AC836" s="172">
        <v>42996.328472222223</v>
      </c>
      <c r="AD836" s="32" t="s">
        <v>552</v>
      </c>
    </row>
    <row r="837" spans="1:30">
      <c r="A837" s="184">
        <v>836</v>
      </c>
      <c r="B837" s="184" t="s">
        <v>2292</v>
      </c>
      <c r="C837" s="184" t="s">
        <v>598</v>
      </c>
      <c r="D837" s="127">
        <v>42683</v>
      </c>
      <c r="E837" s="127" t="s">
        <v>598</v>
      </c>
      <c r="F837" s="184" t="s">
        <v>2293</v>
      </c>
      <c r="G837" s="185">
        <v>0</v>
      </c>
      <c r="H837" s="184" t="s">
        <v>598</v>
      </c>
      <c r="I837" s="184" t="s">
        <v>126</v>
      </c>
      <c r="J837" s="184" t="s">
        <v>84</v>
      </c>
      <c r="K837" s="184" t="s">
        <v>396</v>
      </c>
      <c r="L837" s="184" t="s">
        <v>598</v>
      </c>
      <c r="M837" s="184" t="s">
        <v>598</v>
      </c>
      <c r="N837" s="184" t="s">
        <v>42</v>
      </c>
      <c r="O837" s="184" t="s">
        <v>598</v>
      </c>
      <c r="P837" s="186" t="s">
        <v>604</v>
      </c>
      <c r="Q837" s="184" t="s">
        <v>598</v>
      </c>
      <c r="R837" s="184" t="s">
        <v>598</v>
      </c>
      <c r="S837" s="127" t="s">
        <v>598</v>
      </c>
      <c r="T837" s="184" t="s">
        <v>598</v>
      </c>
      <c r="U837" s="184" t="s">
        <v>598</v>
      </c>
      <c r="V837" s="185">
        <v>0</v>
      </c>
      <c r="W837" s="184" t="s">
        <v>485</v>
      </c>
      <c r="X837" s="184" t="s">
        <v>598</v>
      </c>
      <c r="Y837" s="185">
        <v>0</v>
      </c>
      <c r="Z837" s="184" t="s">
        <v>598</v>
      </c>
      <c r="AA837" s="21" t="s">
        <v>822</v>
      </c>
      <c r="AB837" s="176" t="s">
        <v>489</v>
      </c>
      <c r="AC837" s="172">
        <v>42996.328472222223</v>
      </c>
      <c r="AD837" s="32" t="s">
        <v>552</v>
      </c>
    </row>
    <row r="838" spans="1:30">
      <c r="A838" s="184">
        <v>837</v>
      </c>
      <c r="B838" s="184" t="s">
        <v>2294</v>
      </c>
      <c r="C838" s="184" t="s">
        <v>598</v>
      </c>
      <c r="D838" s="127">
        <v>42681</v>
      </c>
      <c r="E838" s="127" t="s">
        <v>598</v>
      </c>
      <c r="F838" s="184" t="s">
        <v>2295</v>
      </c>
      <c r="G838" s="185">
        <v>0</v>
      </c>
      <c r="H838" s="184" t="s">
        <v>598</v>
      </c>
      <c r="I838" s="184" t="s">
        <v>598</v>
      </c>
      <c r="J838" s="184" t="s">
        <v>84</v>
      </c>
      <c r="K838" s="184" t="s">
        <v>392</v>
      </c>
      <c r="L838" s="184" t="s">
        <v>598</v>
      </c>
      <c r="M838" s="184" t="s">
        <v>2013</v>
      </c>
      <c r="N838" s="184" t="s">
        <v>42</v>
      </c>
      <c r="O838" s="184" t="s">
        <v>73</v>
      </c>
      <c r="P838" s="186" t="s">
        <v>605</v>
      </c>
      <c r="Q838" s="184" t="s">
        <v>598</v>
      </c>
      <c r="R838" s="184" t="s">
        <v>598</v>
      </c>
      <c r="S838" s="127" t="s">
        <v>598</v>
      </c>
      <c r="T838" s="184" t="s">
        <v>598</v>
      </c>
      <c r="U838" s="184" t="s">
        <v>598</v>
      </c>
      <c r="V838" s="185">
        <v>0</v>
      </c>
      <c r="W838" s="184" t="s">
        <v>485</v>
      </c>
      <c r="X838" s="184" t="s">
        <v>598</v>
      </c>
      <c r="Y838" s="185">
        <v>0</v>
      </c>
      <c r="Z838" s="184" t="s">
        <v>598</v>
      </c>
      <c r="AA838" s="21" t="s">
        <v>610</v>
      </c>
      <c r="AB838" s="176" t="s">
        <v>489</v>
      </c>
      <c r="AC838" s="172">
        <v>42996.328472222223</v>
      </c>
      <c r="AD838" s="32" t="s">
        <v>552</v>
      </c>
    </row>
    <row r="839" spans="1:30">
      <c r="A839" s="184">
        <v>838</v>
      </c>
      <c r="B839" s="184" t="s">
        <v>2296</v>
      </c>
      <c r="C839" s="184" t="s">
        <v>598</v>
      </c>
      <c r="D839" s="127">
        <v>42674</v>
      </c>
      <c r="E839" s="127" t="s">
        <v>598</v>
      </c>
      <c r="F839" s="184" t="s">
        <v>2297</v>
      </c>
      <c r="G839" s="185">
        <v>0</v>
      </c>
      <c r="H839" s="184" t="s">
        <v>598</v>
      </c>
      <c r="I839" s="184" t="s">
        <v>122</v>
      </c>
      <c r="J839" s="184" t="s">
        <v>84</v>
      </c>
      <c r="K839" s="184" t="s">
        <v>276</v>
      </c>
      <c r="L839" s="184" t="s">
        <v>598</v>
      </c>
      <c r="M839" s="184" t="s">
        <v>1176</v>
      </c>
      <c r="N839" s="184" t="s">
        <v>42</v>
      </c>
      <c r="O839" s="184" t="s">
        <v>73</v>
      </c>
      <c r="P839" s="186" t="s">
        <v>606</v>
      </c>
      <c r="Q839" s="184" t="s">
        <v>598</v>
      </c>
      <c r="R839" s="184" t="s">
        <v>598</v>
      </c>
      <c r="S839" s="127" t="s">
        <v>598</v>
      </c>
      <c r="T839" s="184" t="s">
        <v>598</v>
      </c>
      <c r="U839" s="184" t="s">
        <v>598</v>
      </c>
      <c r="V839" s="185">
        <v>0</v>
      </c>
      <c r="W839" s="184" t="s">
        <v>485</v>
      </c>
      <c r="X839" s="184" t="s">
        <v>598</v>
      </c>
      <c r="Y839" s="185">
        <v>0</v>
      </c>
      <c r="Z839" s="184" t="s">
        <v>598</v>
      </c>
      <c r="AA839" s="21" t="s">
        <v>610</v>
      </c>
      <c r="AB839" s="176" t="s">
        <v>489</v>
      </c>
      <c r="AC839" s="172">
        <v>42996.328472222223</v>
      </c>
      <c r="AD839" s="32" t="s">
        <v>552</v>
      </c>
    </row>
    <row r="840" spans="1:30">
      <c r="A840" s="184">
        <v>839</v>
      </c>
      <c r="B840" s="184" t="s">
        <v>2298</v>
      </c>
      <c r="C840" s="184" t="s">
        <v>598</v>
      </c>
      <c r="D840" s="127">
        <v>42657</v>
      </c>
      <c r="E840" s="127" t="s">
        <v>598</v>
      </c>
      <c r="F840" s="184" t="s">
        <v>2299</v>
      </c>
      <c r="G840" s="185">
        <v>0</v>
      </c>
      <c r="H840" s="184" t="s">
        <v>598</v>
      </c>
      <c r="I840" s="184" t="s">
        <v>115</v>
      </c>
      <c r="J840" s="184" t="s">
        <v>84</v>
      </c>
      <c r="K840" s="184" t="s">
        <v>380</v>
      </c>
      <c r="L840" s="184" t="s">
        <v>598</v>
      </c>
      <c r="M840" s="184" t="s">
        <v>2300</v>
      </c>
      <c r="N840" s="184" t="s">
        <v>42</v>
      </c>
      <c r="O840" s="184" t="s">
        <v>73</v>
      </c>
      <c r="P840" s="186" t="s">
        <v>607</v>
      </c>
      <c r="Q840" s="184" t="s">
        <v>598</v>
      </c>
      <c r="R840" s="184" t="s">
        <v>598</v>
      </c>
      <c r="S840" s="127" t="s">
        <v>598</v>
      </c>
      <c r="T840" s="184" t="s">
        <v>598</v>
      </c>
      <c r="U840" s="184" t="s">
        <v>598</v>
      </c>
      <c r="V840" s="185">
        <v>0</v>
      </c>
      <c r="W840" s="184" t="s">
        <v>485</v>
      </c>
      <c r="X840" s="184" t="s">
        <v>598</v>
      </c>
      <c r="Y840" s="185">
        <v>0</v>
      </c>
      <c r="Z840" s="184" t="s">
        <v>598</v>
      </c>
      <c r="AA840" s="21" t="s">
        <v>610</v>
      </c>
      <c r="AB840" s="176" t="s">
        <v>489</v>
      </c>
      <c r="AC840" s="172">
        <v>42996.328472222223</v>
      </c>
      <c r="AD840" s="32" t="s">
        <v>552</v>
      </c>
    </row>
    <row r="841" spans="1:30">
      <c r="A841" s="184">
        <v>840</v>
      </c>
      <c r="B841" s="184" t="s">
        <v>2301</v>
      </c>
      <c r="C841" s="184" t="s">
        <v>598</v>
      </c>
      <c r="D841" s="127">
        <v>42656</v>
      </c>
      <c r="E841" s="127" t="s">
        <v>598</v>
      </c>
      <c r="F841" s="184" t="s">
        <v>2302</v>
      </c>
      <c r="G841" s="185">
        <v>0</v>
      </c>
      <c r="H841" s="184" t="s">
        <v>598</v>
      </c>
      <c r="I841" s="184" t="s">
        <v>598</v>
      </c>
      <c r="J841" s="184" t="s">
        <v>84</v>
      </c>
      <c r="K841" s="184" t="s">
        <v>169</v>
      </c>
      <c r="L841" s="184" t="s">
        <v>598</v>
      </c>
      <c r="M841" s="184" t="s">
        <v>2267</v>
      </c>
      <c r="N841" s="184" t="s">
        <v>42</v>
      </c>
      <c r="O841" s="184" t="s">
        <v>598</v>
      </c>
      <c r="P841" s="186" t="s">
        <v>73</v>
      </c>
      <c r="Q841" s="184" t="s">
        <v>598</v>
      </c>
      <c r="R841" s="184" t="s">
        <v>598</v>
      </c>
      <c r="S841" s="127" t="s">
        <v>598</v>
      </c>
      <c r="T841" s="184" t="s">
        <v>598</v>
      </c>
      <c r="U841" s="184" t="s">
        <v>598</v>
      </c>
      <c r="V841" s="185">
        <v>0</v>
      </c>
      <c r="W841" s="184" t="s">
        <v>485</v>
      </c>
      <c r="X841" s="184" t="s">
        <v>598</v>
      </c>
      <c r="Y841" s="185">
        <v>0</v>
      </c>
      <c r="Z841" s="184" t="s">
        <v>598</v>
      </c>
      <c r="AA841" s="21" t="s">
        <v>610</v>
      </c>
      <c r="AB841" s="176" t="s">
        <v>489</v>
      </c>
      <c r="AC841" s="172">
        <v>42996.328472222223</v>
      </c>
      <c r="AD841" s="32" t="s">
        <v>552</v>
      </c>
    </row>
    <row r="842" spans="1:30">
      <c r="A842" s="184">
        <v>841</v>
      </c>
      <c r="B842" s="184" t="s">
        <v>2303</v>
      </c>
      <c r="C842" s="184" t="s">
        <v>598</v>
      </c>
      <c r="D842" s="127">
        <v>42650</v>
      </c>
      <c r="E842" s="127" t="s">
        <v>598</v>
      </c>
      <c r="F842" s="184" t="s">
        <v>2304</v>
      </c>
      <c r="G842" s="185">
        <v>0</v>
      </c>
      <c r="H842" s="184" t="s">
        <v>598</v>
      </c>
      <c r="I842" s="184" t="s">
        <v>598</v>
      </c>
      <c r="J842" s="184" t="s">
        <v>84</v>
      </c>
      <c r="K842" s="184" t="s">
        <v>384</v>
      </c>
      <c r="L842" s="184" t="s">
        <v>598</v>
      </c>
      <c r="M842" s="184" t="s">
        <v>1911</v>
      </c>
      <c r="N842" s="184" t="s">
        <v>42</v>
      </c>
      <c r="O842" s="184" t="s">
        <v>598</v>
      </c>
      <c r="P842" s="186" t="s">
        <v>601</v>
      </c>
      <c r="Q842" s="184" t="s">
        <v>598</v>
      </c>
      <c r="R842" s="184" t="s">
        <v>598</v>
      </c>
      <c r="S842" s="127" t="s">
        <v>598</v>
      </c>
      <c r="T842" s="184" t="s">
        <v>598</v>
      </c>
      <c r="U842" s="184" t="s">
        <v>598</v>
      </c>
      <c r="V842" s="185">
        <v>0</v>
      </c>
      <c r="W842" s="184" t="s">
        <v>485</v>
      </c>
      <c r="X842" s="184" t="s">
        <v>598</v>
      </c>
      <c r="Y842" s="185">
        <v>0</v>
      </c>
      <c r="Z842" s="184" t="s">
        <v>598</v>
      </c>
      <c r="AA842" s="21" t="s">
        <v>610</v>
      </c>
      <c r="AB842" s="176" t="s">
        <v>489</v>
      </c>
      <c r="AC842" s="172">
        <v>42996.328472222223</v>
      </c>
      <c r="AD842" s="32" t="s">
        <v>552</v>
      </c>
    </row>
    <row r="843" spans="1:30">
      <c r="A843" s="184">
        <v>842</v>
      </c>
      <c r="B843" s="184" t="s">
        <v>2305</v>
      </c>
      <c r="C843" s="184" t="s">
        <v>598</v>
      </c>
      <c r="D843" s="127">
        <v>42635</v>
      </c>
      <c r="E843" s="127" t="s">
        <v>598</v>
      </c>
      <c r="F843" s="184" t="s">
        <v>2306</v>
      </c>
      <c r="G843" s="185">
        <v>0</v>
      </c>
      <c r="H843" s="184" t="s">
        <v>598</v>
      </c>
      <c r="I843" s="184" t="s">
        <v>134</v>
      </c>
      <c r="J843" s="184" t="s">
        <v>84</v>
      </c>
      <c r="K843" s="184" t="s">
        <v>281</v>
      </c>
      <c r="L843" s="184" t="s">
        <v>598</v>
      </c>
      <c r="M843" s="184" t="s">
        <v>1911</v>
      </c>
      <c r="N843" s="184" t="s">
        <v>42</v>
      </c>
      <c r="O843" s="184" t="s">
        <v>73</v>
      </c>
      <c r="P843" s="186" t="s">
        <v>32</v>
      </c>
      <c r="Q843" s="184" t="s">
        <v>598</v>
      </c>
      <c r="R843" s="184" t="s">
        <v>598</v>
      </c>
      <c r="S843" s="127" t="s">
        <v>598</v>
      </c>
      <c r="T843" s="184" t="s">
        <v>598</v>
      </c>
      <c r="U843" s="184" t="s">
        <v>598</v>
      </c>
      <c r="V843" s="185">
        <v>0</v>
      </c>
      <c r="W843" s="184" t="s">
        <v>485</v>
      </c>
      <c r="X843" s="184" t="s">
        <v>598</v>
      </c>
      <c r="Y843" s="185">
        <v>0</v>
      </c>
      <c r="Z843" s="184" t="s">
        <v>598</v>
      </c>
      <c r="AA843" s="21" t="s">
        <v>610</v>
      </c>
      <c r="AB843" s="176" t="s">
        <v>489</v>
      </c>
      <c r="AC843" s="172">
        <v>42996.328472222223</v>
      </c>
      <c r="AD843" s="32" t="s">
        <v>552</v>
      </c>
    </row>
    <row r="844" spans="1:30">
      <c r="A844" s="184">
        <v>843</v>
      </c>
      <c r="B844" s="184" t="s">
        <v>2307</v>
      </c>
      <c r="C844" s="184" t="s">
        <v>598</v>
      </c>
      <c r="D844" s="127">
        <v>42633</v>
      </c>
      <c r="E844" s="127" t="s">
        <v>598</v>
      </c>
      <c r="F844" s="184" t="s">
        <v>2308</v>
      </c>
      <c r="G844" s="185">
        <v>0</v>
      </c>
      <c r="H844" s="184" t="s">
        <v>598</v>
      </c>
      <c r="I844" s="184" t="s">
        <v>122</v>
      </c>
      <c r="J844" s="184" t="s">
        <v>84</v>
      </c>
      <c r="K844" s="184" t="s">
        <v>397</v>
      </c>
      <c r="L844" s="184" t="s">
        <v>598</v>
      </c>
      <c r="M844" s="184" t="s">
        <v>1911</v>
      </c>
      <c r="N844" s="184" t="s">
        <v>42</v>
      </c>
      <c r="O844" s="184" t="s">
        <v>73</v>
      </c>
      <c r="P844" s="186" t="s">
        <v>53</v>
      </c>
      <c r="Q844" s="184" t="s">
        <v>598</v>
      </c>
      <c r="R844" s="184" t="s">
        <v>598</v>
      </c>
      <c r="S844" s="127" t="s">
        <v>598</v>
      </c>
      <c r="T844" s="184" t="s">
        <v>598</v>
      </c>
      <c r="U844" s="184" t="s">
        <v>598</v>
      </c>
      <c r="V844" s="185">
        <v>0</v>
      </c>
      <c r="W844" s="184" t="s">
        <v>485</v>
      </c>
      <c r="X844" s="184" t="s">
        <v>598</v>
      </c>
      <c r="Y844" s="185">
        <v>0</v>
      </c>
      <c r="Z844" s="184" t="s">
        <v>598</v>
      </c>
      <c r="AA844" s="21" t="s">
        <v>610</v>
      </c>
      <c r="AB844" s="176" t="s">
        <v>489</v>
      </c>
      <c r="AC844" s="172">
        <v>42996.328472222223</v>
      </c>
      <c r="AD844" s="32" t="s">
        <v>552</v>
      </c>
    </row>
    <row r="845" spans="1:30">
      <c r="A845" s="184">
        <v>844</v>
      </c>
      <c r="B845" s="184" t="s">
        <v>2309</v>
      </c>
      <c r="C845" s="184" t="s">
        <v>598</v>
      </c>
      <c r="D845" s="127">
        <v>42621</v>
      </c>
      <c r="E845" s="127" t="s">
        <v>598</v>
      </c>
      <c r="F845" s="184" t="s">
        <v>2310</v>
      </c>
      <c r="G845" s="185">
        <v>0</v>
      </c>
      <c r="H845" s="184" t="s">
        <v>598</v>
      </c>
      <c r="I845" s="184" t="s">
        <v>598</v>
      </c>
      <c r="J845" s="184" t="s">
        <v>84</v>
      </c>
      <c r="K845" s="184" t="s">
        <v>281</v>
      </c>
      <c r="L845" s="184" t="s">
        <v>598</v>
      </c>
      <c r="M845" s="184" t="s">
        <v>2311</v>
      </c>
      <c r="N845" s="184" t="s">
        <v>42</v>
      </c>
      <c r="O845" s="184" t="s">
        <v>598</v>
      </c>
      <c r="P845" s="186" t="s">
        <v>44</v>
      </c>
      <c r="Q845" s="184" t="s">
        <v>598</v>
      </c>
      <c r="R845" s="184" t="s">
        <v>598</v>
      </c>
      <c r="S845" s="127" t="s">
        <v>598</v>
      </c>
      <c r="T845" s="184" t="s">
        <v>598</v>
      </c>
      <c r="U845" s="184" t="s">
        <v>598</v>
      </c>
      <c r="V845" s="185">
        <v>0</v>
      </c>
      <c r="W845" s="184" t="s">
        <v>485</v>
      </c>
      <c r="X845" s="184" t="s">
        <v>598</v>
      </c>
      <c r="Y845" s="185">
        <v>0</v>
      </c>
      <c r="Z845" s="184" t="s">
        <v>598</v>
      </c>
      <c r="AA845" s="21" t="s">
        <v>610</v>
      </c>
      <c r="AB845" s="176" t="s">
        <v>489</v>
      </c>
      <c r="AC845" s="172">
        <v>42996.328472222223</v>
      </c>
      <c r="AD845" s="32" t="s">
        <v>552</v>
      </c>
    </row>
    <row r="846" spans="1:30">
      <c r="A846" s="184">
        <v>845</v>
      </c>
      <c r="B846" s="184" t="s">
        <v>2312</v>
      </c>
      <c r="C846" s="184" t="s">
        <v>598</v>
      </c>
      <c r="D846" s="127">
        <v>42598</v>
      </c>
      <c r="E846" s="127" t="s">
        <v>598</v>
      </c>
      <c r="F846" s="184" t="s">
        <v>2313</v>
      </c>
      <c r="G846" s="185">
        <v>0</v>
      </c>
      <c r="H846" s="184" t="s">
        <v>598</v>
      </c>
      <c r="I846" s="184" t="s">
        <v>132</v>
      </c>
      <c r="J846" s="184" t="s">
        <v>84</v>
      </c>
      <c r="K846" s="184" t="s">
        <v>297</v>
      </c>
      <c r="L846" s="184" t="s">
        <v>598</v>
      </c>
      <c r="M846" s="184" t="s">
        <v>73</v>
      </c>
      <c r="N846" s="184" t="s">
        <v>42</v>
      </c>
      <c r="O846" s="184" t="s">
        <v>598</v>
      </c>
      <c r="P846" s="186" t="s">
        <v>67</v>
      </c>
      <c r="Q846" s="184" t="s">
        <v>598</v>
      </c>
      <c r="R846" s="184" t="s">
        <v>598</v>
      </c>
      <c r="S846" s="127" t="s">
        <v>598</v>
      </c>
      <c r="T846" s="184" t="s">
        <v>598</v>
      </c>
      <c r="U846" s="184" t="s">
        <v>598</v>
      </c>
      <c r="V846" s="185">
        <v>0</v>
      </c>
      <c r="W846" s="184" t="s">
        <v>485</v>
      </c>
      <c r="X846" s="184" t="s">
        <v>598</v>
      </c>
      <c r="Y846" s="185">
        <v>0</v>
      </c>
      <c r="Z846" s="184" t="s">
        <v>598</v>
      </c>
      <c r="AA846" s="21" t="s">
        <v>610</v>
      </c>
      <c r="AB846" s="176" t="s">
        <v>489</v>
      </c>
      <c r="AC846" s="172">
        <v>42996.328472222223</v>
      </c>
      <c r="AD846" s="32" t="s">
        <v>552</v>
      </c>
    </row>
    <row r="847" spans="1:30">
      <c r="A847" s="184">
        <v>846</v>
      </c>
      <c r="B847" s="184" t="s">
        <v>2314</v>
      </c>
      <c r="C847" s="184" t="s">
        <v>598</v>
      </c>
      <c r="D847" s="127">
        <v>42592</v>
      </c>
      <c r="E847" s="127" t="s">
        <v>598</v>
      </c>
      <c r="F847" s="184" t="s">
        <v>2315</v>
      </c>
      <c r="G847" s="185">
        <v>0</v>
      </c>
      <c r="H847" s="184" t="s">
        <v>598</v>
      </c>
      <c r="I847" s="184" t="s">
        <v>134</v>
      </c>
      <c r="J847" s="184" t="s">
        <v>84</v>
      </c>
      <c r="K847" s="184" t="s">
        <v>297</v>
      </c>
      <c r="L847" s="184" t="s">
        <v>598</v>
      </c>
      <c r="M847" s="184" t="s">
        <v>73</v>
      </c>
      <c r="N847" s="184" t="s">
        <v>42</v>
      </c>
      <c r="O847" s="184" t="s">
        <v>598</v>
      </c>
      <c r="P847" s="186" t="s">
        <v>602</v>
      </c>
      <c r="Q847" s="184" t="s">
        <v>598</v>
      </c>
      <c r="R847" s="184" t="s">
        <v>598</v>
      </c>
      <c r="S847" s="127" t="s">
        <v>598</v>
      </c>
      <c r="T847" s="184" t="s">
        <v>598</v>
      </c>
      <c r="U847" s="184" t="s">
        <v>598</v>
      </c>
      <c r="V847" s="185">
        <v>0</v>
      </c>
      <c r="W847" s="184" t="s">
        <v>485</v>
      </c>
      <c r="X847" s="184" t="s">
        <v>598</v>
      </c>
      <c r="Y847" s="185">
        <v>0</v>
      </c>
      <c r="Z847" s="184" t="s">
        <v>598</v>
      </c>
      <c r="AA847" s="21" t="s">
        <v>610</v>
      </c>
      <c r="AB847" s="176" t="s">
        <v>489</v>
      </c>
      <c r="AC847" s="172">
        <v>42996.328472222223</v>
      </c>
      <c r="AD847" s="32" t="s">
        <v>552</v>
      </c>
    </row>
    <row r="848" spans="1:30">
      <c r="A848" s="184">
        <v>847</v>
      </c>
      <c r="B848" s="184" t="s">
        <v>2316</v>
      </c>
      <c r="C848" s="184" t="s">
        <v>598</v>
      </c>
      <c r="D848" s="127">
        <v>42585</v>
      </c>
      <c r="E848" s="127" t="s">
        <v>598</v>
      </c>
      <c r="F848" s="184" t="s">
        <v>2317</v>
      </c>
      <c r="G848" s="185">
        <v>0</v>
      </c>
      <c r="H848" s="184" t="s">
        <v>598</v>
      </c>
      <c r="I848" s="184" t="s">
        <v>122</v>
      </c>
      <c r="J848" s="184" t="s">
        <v>84</v>
      </c>
      <c r="K848" s="184" t="s">
        <v>276</v>
      </c>
      <c r="L848" s="184" t="s">
        <v>598</v>
      </c>
      <c r="M848" s="184" t="s">
        <v>1176</v>
      </c>
      <c r="N848" s="184" t="s">
        <v>42</v>
      </c>
      <c r="O848" s="184" t="s">
        <v>598</v>
      </c>
      <c r="P848" s="186" t="s">
        <v>603</v>
      </c>
      <c r="Q848" s="184" t="s">
        <v>598</v>
      </c>
      <c r="R848" s="184" t="s">
        <v>598</v>
      </c>
      <c r="S848" s="127" t="s">
        <v>598</v>
      </c>
      <c r="T848" s="184" t="s">
        <v>598</v>
      </c>
      <c r="U848" s="184" t="s">
        <v>598</v>
      </c>
      <c r="V848" s="185">
        <v>0</v>
      </c>
      <c r="W848" s="184" t="s">
        <v>485</v>
      </c>
      <c r="X848" s="184" t="s">
        <v>598</v>
      </c>
      <c r="Y848" s="185">
        <v>0</v>
      </c>
      <c r="Z848" s="184" t="s">
        <v>598</v>
      </c>
      <c r="AA848" s="21" t="s">
        <v>610</v>
      </c>
      <c r="AB848" s="176" t="s">
        <v>489</v>
      </c>
      <c r="AC848" s="172">
        <v>42996.328472222223</v>
      </c>
      <c r="AD848" s="32" t="s">
        <v>552</v>
      </c>
    </row>
    <row r="849" spans="1:30">
      <c r="A849" s="184">
        <v>848</v>
      </c>
      <c r="B849" s="184" t="s">
        <v>2318</v>
      </c>
      <c r="C849" s="184" t="s">
        <v>598</v>
      </c>
      <c r="D849" s="127">
        <v>42522</v>
      </c>
      <c r="E849" s="127" t="s">
        <v>598</v>
      </c>
      <c r="F849" s="184" t="s">
        <v>2319</v>
      </c>
      <c r="G849" s="185">
        <v>0</v>
      </c>
      <c r="H849" s="184" t="s">
        <v>598</v>
      </c>
      <c r="I849" s="184" t="s">
        <v>115</v>
      </c>
      <c r="J849" s="184" t="s">
        <v>84</v>
      </c>
      <c r="K849" s="184" t="s">
        <v>598</v>
      </c>
      <c r="L849" s="184" t="s">
        <v>598</v>
      </c>
      <c r="M849" s="184" t="s">
        <v>2320</v>
      </c>
      <c r="N849" s="184" t="s">
        <v>42</v>
      </c>
      <c r="O849" s="184" t="s">
        <v>73</v>
      </c>
      <c r="P849" s="186" t="s">
        <v>604</v>
      </c>
      <c r="Q849" s="184" t="s">
        <v>598</v>
      </c>
      <c r="R849" s="184" t="s">
        <v>598</v>
      </c>
      <c r="S849" s="127" t="s">
        <v>598</v>
      </c>
      <c r="T849" s="184" t="s">
        <v>598</v>
      </c>
      <c r="U849" s="184" t="s">
        <v>598</v>
      </c>
      <c r="V849" s="185">
        <v>0</v>
      </c>
      <c r="W849" s="184" t="s">
        <v>485</v>
      </c>
      <c r="X849" s="184" t="s">
        <v>598</v>
      </c>
      <c r="Y849" s="185">
        <v>0</v>
      </c>
      <c r="Z849" s="184" t="s">
        <v>598</v>
      </c>
      <c r="AA849" s="21" t="s">
        <v>610</v>
      </c>
      <c r="AB849" s="176" t="s">
        <v>489</v>
      </c>
      <c r="AC849" s="172">
        <v>42996.328472222223</v>
      </c>
      <c r="AD849" s="32" t="s">
        <v>552</v>
      </c>
    </row>
    <row r="850" spans="1:30">
      <c r="A850" s="184">
        <v>849</v>
      </c>
      <c r="B850" s="184" t="s">
        <v>2321</v>
      </c>
      <c r="C850" s="184" t="s">
        <v>598</v>
      </c>
      <c r="D850" s="127">
        <v>42521</v>
      </c>
      <c r="E850" s="127" t="s">
        <v>598</v>
      </c>
      <c r="F850" s="184" t="s">
        <v>2322</v>
      </c>
      <c r="G850" s="185">
        <v>0</v>
      </c>
      <c r="H850" s="184" t="s">
        <v>598</v>
      </c>
      <c r="I850" s="184" t="s">
        <v>115</v>
      </c>
      <c r="J850" s="184" t="s">
        <v>84</v>
      </c>
      <c r="K850" s="184" t="s">
        <v>281</v>
      </c>
      <c r="L850" s="184" t="s">
        <v>598</v>
      </c>
      <c r="M850" s="184" t="s">
        <v>2262</v>
      </c>
      <c r="N850" s="184" t="s">
        <v>42</v>
      </c>
      <c r="O850" s="184" t="s">
        <v>73</v>
      </c>
      <c r="P850" s="186" t="s">
        <v>605</v>
      </c>
      <c r="Q850" s="184" t="s">
        <v>598</v>
      </c>
      <c r="R850" s="184" t="s">
        <v>598</v>
      </c>
      <c r="S850" s="127" t="s">
        <v>598</v>
      </c>
      <c r="T850" s="184" t="s">
        <v>598</v>
      </c>
      <c r="U850" s="184" t="s">
        <v>598</v>
      </c>
      <c r="V850" s="185">
        <v>0</v>
      </c>
      <c r="W850" s="184" t="s">
        <v>485</v>
      </c>
      <c r="X850" s="184" t="s">
        <v>598</v>
      </c>
      <c r="Y850" s="185">
        <v>0</v>
      </c>
      <c r="Z850" s="184" t="s">
        <v>598</v>
      </c>
      <c r="AA850" s="21" t="s">
        <v>610</v>
      </c>
      <c r="AB850" s="176" t="s">
        <v>489</v>
      </c>
      <c r="AC850" s="172">
        <v>42996.328472222223</v>
      </c>
      <c r="AD850" s="32" t="s">
        <v>552</v>
      </c>
    </row>
    <row r="851" spans="1:30">
      <c r="A851" s="184">
        <v>850</v>
      </c>
      <c r="B851" s="184" t="s">
        <v>2323</v>
      </c>
      <c r="C851" s="184" t="s">
        <v>598</v>
      </c>
      <c r="D851" s="127">
        <v>42503</v>
      </c>
      <c r="E851" s="127" t="s">
        <v>598</v>
      </c>
      <c r="F851" s="184" t="s">
        <v>2324</v>
      </c>
      <c r="G851" s="185">
        <v>0</v>
      </c>
      <c r="H851" s="184" t="s">
        <v>598</v>
      </c>
      <c r="I851" s="184" t="s">
        <v>115</v>
      </c>
      <c r="J851" s="184" t="s">
        <v>84</v>
      </c>
      <c r="K851" s="184" t="s">
        <v>281</v>
      </c>
      <c r="L851" s="184" t="s">
        <v>598</v>
      </c>
      <c r="M851" s="184" t="s">
        <v>2262</v>
      </c>
      <c r="N851" s="184" t="s">
        <v>42</v>
      </c>
      <c r="O851" s="184" t="s">
        <v>73</v>
      </c>
      <c r="P851" s="186" t="s">
        <v>606</v>
      </c>
      <c r="Q851" s="184" t="s">
        <v>598</v>
      </c>
      <c r="R851" s="184" t="s">
        <v>598</v>
      </c>
      <c r="S851" s="127" t="s">
        <v>598</v>
      </c>
      <c r="T851" s="184" t="s">
        <v>598</v>
      </c>
      <c r="U851" s="184" t="s">
        <v>598</v>
      </c>
      <c r="V851" s="185">
        <v>0</v>
      </c>
      <c r="W851" s="184" t="s">
        <v>485</v>
      </c>
      <c r="X851" s="184" t="s">
        <v>598</v>
      </c>
      <c r="Y851" s="185">
        <v>0</v>
      </c>
      <c r="Z851" s="184" t="s">
        <v>598</v>
      </c>
      <c r="AA851" s="21" t="s">
        <v>610</v>
      </c>
      <c r="AB851" s="176" t="s">
        <v>489</v>
      </c>
      <c r="AC851" s="172">
        <v>42996.328472222223</v>
      </c>
      <c r="AD851" s="32" t="s">
        <v>552</v>
      </c>
    </row>
    <row r="852" spans="1:30">
      <c r="A852" s="184">
        <v>851</v>
      </c>
      <c r="B852" s="184" t="s">
        <v>2325</v>
      </c>
      <c r="C852" s="184" t="s">
        <v>598</v>
      </c>
      <c r="D852" s="127">
        <v>39712</v>
      </c>
      <c r="E852" s="127" t="s">
        <v>598</v>
      </c>
      <c r="F852" s="184" t="s">
        <v>2326</v>
      </c>
      <c r="G852" s="185">
        <v>0</v>
      </c>
      <c r="H852" s="184" t="s">
        <v>598</v>
      </c>
      <c r="I852" s="184" t="s">
        <v>134</v>
      </c>
      <c r="J852" s="184" t="s">
        <v>84</v>
      </c>
      <c r="K852" s="184" t="s">
        <v>397</v>
      </c>
      <c r="L852" s="184" t="s">
        <v>598</v>
      </c>
      <c r="M852" s="184" t="s">
        <v>1911</v>
      </c>
      <c r="N852" s="184" t="s">
        <v>42</v>
      </c>
      <c r="O852" s="184" t="s">
        <v>73</v>
      </c>
      <c r="P852" s="186" t="s">
        <v>607</v>
      </c>
      <c r="Q852" s="184" t="s">
        <v>598</v>
      </c>
      <c r="R852" s="184" t="s">
        <v>598</v>
      </c>
      <c r="S852" s="127" t="s">
        <v>598</v>
      </c>
      <c r="T852" s="184" t="s">
        <v>598</v>
      </c>
      <c r="U852" s="184" t="s">
        <v>598</v>
      </c>
      <c r="V852" s="185">
        <v>0</v>
      </c>
      <c r="W852" s="184" t="s">
        <v>485</v>
      </c>
      <c r="X852" s="184" t="s">
        <v>598</v>
      </c>
      <c r="Y852" s="185">
        <v>0</v>
      </c>
      <c r="Z852" s="184" t="s">
        <v>598</v>
      </c>
      <c r="AA852" s="21" t="s">
        <v>610</v>
      </c>
      <c r="AB852" s="176" t="s">
        <v>489</v>
      </c>
      <c r="AC852" s="172">
        <v>42996.328472222223</v>
      </c>
      <c r="AD852" s="32" t="s">
        <v>552</v>
      </c>
    </row>
    <row r="853" spans="1:30">
      <c r="A853" s="184">
        <v>852</v>
      </c>
      <c r="B853" s="184" t="s">
        <v>2327</v>
      </c>
      <c r="C853" s="184" t="s">
        <v>598</v>
      </c>
      <c r="D853" s="127">
        <v>42670</v>
      </c>
      <c r="E853" s="127" t="s">
        <v>598</v>
      </c>
      <c r="F853" s="184" t="s">
        <v>2328</v>
      </c>
      <c r="G853" s="185">
        <v>0</v>
      </c>
      <c r="H853" s="184" t="s">
        <v>598</v>
      </c>
      <c r="I853" s="184" t="s">
        <v>134</v>
      </c>
      <c r="J853" s="184" t="s">
        <v>84</v>
      </c>
      <c r="K853" s="184" t="s">
        <v>291</v>
      </c>
      <c r="L853" s="184" t="s">
        <v>598</v>
      </c>
      <c r="M853" s="184" t="s">
        <v>1911</v>
      </c>
      <c r="N853" s="184" t="s">
        <v>42</v>
      </c>
      <c r="O853" s="184" t="s">
        <v>42</v>
      </c>
      <c r="P853" s="186" t="s">
        <v>73</v>
      </c>
      <c r="Q853" s="184" t="s">
        <v>598</v>
      </c>
      <c r="R853" s="184" t="s">
        <v>598</v>
      </c>
      <c r="S853" s="127" t="s">
        <v>598</v>
      </c>
      <c r="T853" s="184" t="s">
        <v>598</v>
      </c>
      <c r="U853" s="184" t="s">
        <v>598</v>
      </c>
      <c r="V853" s="185">
        <v>0</v>
      </c>
      <c r="W853" s="184" t="s">
        <v>485</v>
      </c>
      <c r="X853" s="184" t="s">
        <v>598</v>
      </c>
      <c r="Y853" s="185">
        <v>0</v>
      </c>
      <c r="Z853" s="184" t="s">
        <v>598</v>
      </c>
      <c r="AA853" s="21" t="s">
        <v>610</v>
      </c>
      <c r="AB853" s="176" t="s">
        <v>489</v>
      </c>
      <c r="AC853" s="172">
        <v>42996.328472222223</v>
      </c>
      <c r="AD853" s="32" t="s">
        <v>552</v>
      </c>
    </row>
    <row r="854" spans="1:30">
      <c r="A854" s="184">
        <v>853</v>
      </c>
      <c r="B854" s="184" t="s">
        <v>2329</v>
      </c>
      <c r="C854" s="184" t="s">
        <v>598</v>
      </c>
      <c r="D854" s="127">
        <v>42669</v>
      </c>
      <c r="E854" s="127" t="s">
        <v>598</v>
      </c>
      <c r="F854" s="184" t="s">
        <v>2330</v>
      </c>
      <c r="G854" s="185">
        <v>0</v>
      </c>
      <c r="H854" s="184" t="s">
        <v>598</v>
      </c>
      <c r="I854" s="184" t="s">
        <v>120</v>
      </c>
      <c r="J854" s="184" t="s">
        <v>84</v>
      </c>
      <c r="K854" s="184" t="s">
        <v>380</v>
      </c>
      <c r="L854" s="184" t="s">
        <v>598</v>
      </c>
      <c r="M854" s="184" t="s">
        <v>2069</v>
      </c>
      <c r="N854" s="184" t="s">
        <v>42</v>
      </c>
      <c r="O854" s="184" t="s">
        <v>73</v>
      </c>
      <c r="P854" s="186" t="s">
        <v>601</v>
      </c>
      <c r="Q854" s="184" t="s">
        <v>598</v>
      </c>
      <c r="R854" s="184" t="s">
        <v>598</v>
      </c>
      <c r="S854" s="127" t="s">
        <v>598</v>
      </c>
      <c r="T854" s="184" t="s">
        <v>598</v>
      </c>
      <c r="U854" s="184" t="s">
        <v>598</v>
      </c>
      <c r="V854" s="185">
        <v>0</v>
      </c>
      <c r="W854" s="184" t="s">
        <v>485</v>
      </c>
      <c r="X854" s="184" t="s">
        <v>598</v>
      </c>
      <c r="Y854" s="185">
        <v>0</v>
      </c>
      <c r="Z854" s="184" t="s">
        <v>598</v>
      </c>
      <c r="AA854" s="21" t="s">
        <v>610</v>
      </c>
      <c r="AB854" s="176" t="s">
        <v>489</v>
      </c>
      <c r="AC854" s="172">
        <v>42996.328472222223</v>
      </c>
      <c r="AD854" s="32" t="s">
        <v>552</v>
      </c>
    </row>
    <row r="855" spans="1:30">
      <c r="A855" s="184">
        <v>854</v>
      </c>
      <c r="B855" s="184" t="s">
        <v>2331</v>
      </c>
      <c r="C855" s="184" t="s">
        <v>598</v>
      </c>
      <c r="D855" s="127">
        <v>42572</v>
      </c>
      <c r="E855" s="127" t="s">
        <v>598</v>
      </c>
      <c r="F855" s="184" t="s">
        <v>2332</v>
      </c>
      <c r="G855" s="185">
        <v>0</v>
      </c>
      <c r="H855" s="184" t="s">
        <v>598</v>
      </c>
      <c r="I855" s="184" t="s">
        <v>122</v>
      </c>
      <c r="J855" s="184" t="s">
        <v>84</v>
      </c>
      <c r="K855" s="184" t="s">
        <v>392</v>
      </c>
      <c r="L855" s="184" t="s">
        <v>598</v>
      </c>
      <c r="M855" s="184" t="s">
        <v>1176</v>
      </c>
      <c r="N855" s="184" t="s">
        <v>42</v>
      </c>
      <c r="O855" s="184" t="s">
        <v>73</v>
      </c>
      <c r="P855" s="186" t="s">
        <v>601</v>
      </c>
      <c r="Q855" s="184" t="s">
        <v>598</v>
      </c>
      <c r="R855" s="184" t="s">
        <v>598</v>
      </c>
      <c r="S855" s="127" t="s">
        <v>598</v>
      </c>
      <c r="T855" s="184" t="s">
        <v>598</v>
      </c>
      <c r="U855" s="184" t="s">
        <v>598</v>
      </c>
      <c r="V855" s="185">
        <v>0</v>
      </c>
      <c r="W855" s="184" t="s">
        <v>485</v>
      </c>
      <c r="X855" s="184" t="s">
        <v>598</v>
      </c>
      <c r="Y855" s="185">
        <v>0</v>
      </c>
      <c r="Z855" s="184" t="s">
        <v>598</v>
      </c>
      <c r="AA855" s="21" t="s">
        <v>610</v>
      </c>
      <c r="AB855" s="176" t="s">
        <v>489</v>
      </c>
      <c r="AC855" s="172">
        <v>42996.328472222223</v>
      </c>
      <c r="AD855" s="32" t="s">
        <v>552</v>
      </c>
    </row>
    <row r="856" spans="1:30">
      <c r="A856" s="184">
        <v>855</v>
      </c>
      <c r="B856" s="184" t="s">
        <v>2333</v>
      </c>
      <c r="C856" s="184" t="s">
        <v>598</v>
      </c>
      <c r="D856" s="127">
        <v>42527</v>
      </c>
      <c r="E856" s="127" t="s">
        <v>598</v>
      </c>
      <c r="F856" s="184" t="s">
        <v>2334</v>
      </c>
      <c r="G856" s="185">
        <v>0</v>
      </c>
      <c r="H856" s="184" t="s">
        <v>598</v>
      </c>
      <c r="I856" s="184" t="s">
        <v>598</v>
      </c>
      <c r="J856" s="184" t="s">
        <v>84</v>
      </c>
      <c r="K856" s="184" t="s">
        <v>297</v>
      </c>
      <c r="L856" s="184" t="s">
        <v>598</v>
      </c>
      <c r="M856" s="184" t="s">
        <v>73</v>
      </c>
      <c r="N856" s="184" t="s">
        <v>42</v>
      </c>
      <c r="O856" s="184" t="s">
        <v>598</v>
      </c>
      <c r="P856" s="186" t="s">
        <v>32</v>
      </c>
      <c r="Q856" s="184" t="s">
        <v>598</v>
      </c>
      <c r="R856" s="184" t="s">
        <v>598</v>
      </c>
      <c r="S856" s="127" t="s">
        <v>598</v>
      </c>
      <c r="T856" s="184" t="s">
        <v>598</v>
      </c>
      <c r="U856" s="184" t="s">
        <v>598</v>
      </c>
      <c r="V856" s="185">
        <v>0</v>
      </c>
      <c r="W856" s="184" t="s">
        <v>485</v>
      </c>
      <c r="X856" s="184" t="s">
        <v>598</v>
      </c>
      <c r="Y856" s="185">
        <v>0</v>
      </c>
      <c r="Z856" s="184" t="s">
        <v>598</v>
      </c>
      <c r="AA856" s="21" t="s">
        <v>610</v>
      </c>
      <c r="AB856" s="176" t="s">
        <v>489</v>
      </c>
      <c r="AC856" s="172">
        <v>42996.328472222223</v>
      </c>
      <c r="AD856" s="32" t="s">
        <v>552</v>
      </c>
    </row>
    <row r="857" spans="1:30">
      <c r="A857" s="184">
        <v>856</v>
      </c>
      <c r="B857" s="184" t="s">
        <v>2335</v>
      </c>
      <c r="C857" s="184" t="s">
        <v>598</v>
      </c>
      <c r="D857" s="127">
        <v>42523</v>
      </c>
      <c r="E857" s="127" t="s">
        <v>598</v>
      </c>
      <c r="F857" s="184" t="s">
        <v>2336</v>
      </c>
      <c r="G857" s="185">
        <v>0</v>
      </c>
      <c r="H857" s="184" t="s">
        <v>598</v>
      </c>
      <c r="I857" s="184" t="s">
        <v>115</v>
      </c>
      <c r="J857" s="184" t="s">
        <v>84</v>
      </c>
      <c r="K857" s="184" t="s">
        <v>281</v>
      </c>
      <c r="L857" s="184" t="s">
        <v>598</v>
      </c>
      <c r="M857" s="184" t="s">
        <v>2262</v>
      </c>
      <c r="N857" s="184" t="s">
        <v>42</v>
      </c>
      <c r="O857" s="184" t="s">
        <v>73</v>
      </c>
      <c r="P857" s="186" t="s">
        <v>53</v>
      </c>
      <c r="Q857" s="184" t="s">
        <v>598</v>
      </c>
      <c r="R857" s="184" t="s">
        <v>598</v>
      </c>
      <c r="S857" s="127" t="s">
        <v>598</v>
      </c>
      <c r="T857" s="184" t="s">
        <v>598</v>
      </c>
      <c r="U857" s="184" t="s">
        <v>598</v>
      </c>
      <c r="V857" s="185">
        <v>0</v>
      </c>
      <c r="W857" s="184" t="s">
        <v>485</v>
      </c>
      <c r="X857" s="184" t="s">
        <v>598</v>
      </c>
      <c r="Y857" s="185">
        <v>0</v>
      </c>
      <c r="Z857" s="184" t="s">
        <v>598</v>
      </c>
      <c r="AA857" s="21" t="s">
        <v>610</v>
      </c>
      <c r="AB857" s="176" t="s">
        <v>489</v>
      </c>
      <c r="AC857" s="172">
        <v>42996.328472222223</v>
      </c>
      <c r="AD857" s="32" t="s">
        <v>552</v>
      </c>
    </row>
    <row r="858" spans="1:30">
      <c r="A858" s="184">
        <v>857</v>
      </c>
      <c r="B858" s="184" t="s">
        <v>2337</v>
      </c>
      <c r="C858" s="184" t="s">
        <v>598</v>
      </c>
      <c r="D858" s="127">
        <v>42916</v>
      </c>
      <c r="E858" s="127" t="s">
        <v>598</v>
      </c>
      <c r="F858" s="184" t="s">
        <v>2338</v>
      </c>
      <c r="G858" s="185">
        <v>0</v>
      </c>
      <c r="H858" s="184" t="s">
        <v>598</v>
      </c>
      <c r="I858" s="184" t="s">
        <v>598</v>
      </c>
      <c r="J858" s="184" t="s">
        <v>551</v>
      </c>
      <c r="K858" s="184" t="s">
        <v>302</v>
      </c>
      <c r="L858" s="184" t="s">
        <v>598</v>
      </c>
      <c r="M858" s="184" t="s">
        <v>598</v>
      </c>
      <c r="N858" s="184" t="s">
        <v>85</v>
      </c>
      <c r="O858" s="184" t="s">
        <v>598</v>
      </c>
      <c r="P858" s="186" t="s">
        <v>44</v>
      </c>
      <c r="Q858" s="184" t="s">
        <v>598</v>
      </c>
      <c r="R858" s="184" t="s">
        <v>598</v>
      </c>
      <c r="S858" s="127">
        <v>42912</v>
      </c>
      <c r="T858" s="184" t="s">
        <v>34</v>
      </c>
      <c r="U858" s="184" t="s">
        <v>598</v>
      </c>
      <c r="V858" s="185">
        <v>10000</v>
      </c>
      <c r="W858" s="184" t="s">
        <v>493</v>
      </c>
      <c r="X858" s="184" t="s">
        <v>598</v>
      </c>
      <c r="Y858" s="185">
        <v>0</v>
      </c>
      <c r="Z858" s="184" t="s">
        <v>598</v>
      </c>
      <c r="AA858" s="21" t="s">
        <v>610</v>
      </c>
      <c r="AB858" s="176" t="s">
        <v>489</v>
      </c>
      <c r="AC858" s="172">
        <v>42996.328472222223</v>
      </c>
      <c r="AD858" s="32" t="s">
        <v>552</v>
      </c>
    </row>
    <row r="859" spans="1:30">
      <c r="A859" s="184">
        <v>858</v>
      </c>
      <c r="B859" s="184" t="s">
        <v>2339</v>
      </c>
      <c r="C859" s="184" t="s">
        <v>598</v>
      </c>
      <c r="D859" s="127">
        <v>42916</v>
      </c>
      <c r="E859" s="127" t="s">
        <v>598</v>
      </c>
      <c r="F859" s="184" t="s">
        <v>2340</v>
      </c>
      <c r="G859" s="185">
        <v>0</v>
      </c>
      <c r="H859" s="184" t="s">
        <v>598</v>
      </c>
      <c r="I859" s="184" t="s">
        <v>127</v>
      </c>
      <c r="J859" s="184" t="s">
        <v>551</v>
      </c>
      <c r="K859" s="184" t="s">
        <v>598</v>
      </c>
      <c r="L859" s="184" t="s">
        <v>598</v>
      </c>
      <c r="M859" s="184" t="s">
        <v>598</v>
      </c>
      <c r="N859" s="184" t="s">
        <v>85</v>
      </c>
      <c r="O859" s="184" t="s">
        <v>598</v>
      </c>
      <c r="P859" s="186" t="s">
        <v>67</v>
      </c>
      <c r="Q859" s="184" t="s">
        <v>598</v>
      </c>
      <c r="R859" s="184" t="s">
        <v>598</v>
      </c>
      <c r="S859" s="127">
        <v>42916</v>
      </c>
      <c r="T859" s="184" t="s">
        <v>34</v>
      </c>
      <c r="U859" s="184" t="s">
        <v>598</v>
      </c>
      <c r="V859" s="185">
        <v>500</v>
      </c>
      <c r="W859" s="184" t="s">
        <v>493</v>
      </c>
      <c r="X859" s="184" t="s">
        <v>598</v>
      </c>
      <c r="Y859" s="185">
        <v>0</v>
      </c>
      <c r="Z859" s="184" t="s">
        <v>598</v>
      </c>
      <c r="AA859" s="21" t="s">
        <v>610</v>
      </c>
      <c r="AB859" s="176" t="s">
        <v>489</v>
      </c>
      <c r="AC859" s="172">
        <v>42996.328472222223</v>
      </c>
      <c r="AD859" s="32" t="s">
        <v>552</v>
      </c>
    </row>
    <row r="860" spans="1:30">
      <c r="A860" s="184">
        <v>859</v>
      </c>
      <c r="B860" s="184" t="s">
        <v>2341</v>
      </c>
      <c r="C860" s="184" t="s">
        <v>598</v>
      </c>
      <c r="D860" s="127">
        <v>42915</v>
      </c>
      <c r="E860" s="127" t="s">
        <v>598</v>
      </c>
      <c r="F860" s="184" t="s">
        <v>2342</v>
      </c>
      <c r="G860" s="185">
        <v>0</v>
      </c>
      <c r="H860" s="184" t="s">
        <v>598</v>
      </c>
      <c r="I860" s="184" t="s">
        <v>58</v>
      </c>
      <c r="J860" s="184" t="s">
        <v>551</v>
      </c>
      <c r="K860" s="184" t="s">
        <v>306</v>
      </c>
      <c r="L860" s="184" t="s">
        <v>598</v>
      </c>
      <c r="M860" s="184" t="s">
        <v>598</v>
      </c>
      <c r="N860" s="184" t="s">
        <v>85</v>
      </c>
      <c r="O860" s="184" t="s">
        <v>73</v>
      </c>
      <c r="P860" s="186" t="s">
        <v>602</v>
      </c>
      <c r="Q860" s="184" t="s">
        <v>598</v>
      </c>
      <c r="R860" s="184" t="s">
        <v>598</v>
      </c>
      <c r="S860" s="127" t="s">
        <v>598</v>
      </c>
      <c r="T860" s="184" t="s">
        <v>598</v>
      </c>
      <c r="U860" s="184" t="s">
        <v>598</v>
      </c>
      <c r="V860" s="185">
        <v>0</v>
      </c>
      <c r="W860" s="184" t="s">
        <v>485</v>
      </c>
      <c r="X860" s="184" t="s">
        <v>598</v>
      </c>
      <c r="Y860" s="185">
        <v>0</v>
      </c>
      <c r="Z860" s="184" t="s">
        <v>598</v>
      </c>
      <c r="AA860" s="21" t="s">
        <v>610</v>
      </c>
      <c r="AB860" s="176" t="s">
        <v>489</v>
      </c>
      <c r="AC860" s="172">
        <v>42996.328472222223</v>
      </c>
      <c r="AD860" s="32" t="s">
        <v>552</v>
      </c>
    </row>
    <row r="861" spans="1:30">
      <c r="A861" s="184">
        <v>860</v>
      </c>
      <c r="B861" s="184" t="s">
        <v>2343</v>
      </c>
      <c r="C861" s="184" t="s">
        <v>598</v>
      </c>
      <c r="D861" s="127">
        <v>42915</v>
      </c>
      <c r="E861" s="127" t="s">
        <v>598</v>
      </c>
      <c r="F861" s="184" t="s">
        <v>2344</v>
      </c>
      <c r="G861" s="185">
        <v>0</v>
      </c>
      <c r="H861" s="184" t="s">
        <v>598</v>
      </c>
      <c r="I861" s="184" t="s">
        <v>598</v>
      </c>
      <c r="J861" s="184" t="s">
        <v>551</v>
      </c>
      <c r="K861" s="184" t="s">
        <v>307</v>
      </c>
      <c r="L861" s="184" t="s">
        <v>598</v>
      </c>
      <c r="M861" s="184" t="s">
        <v>598</v>
      </c>
      <c r="N861" s="184" t="s">
        <v>85</v>
      </c>
      <c r="O861" s="184" t="s">
        <v>598</v>
      </c>
      <c r="P861" s="186" t="s">
        <v>603</v>
      </c>
      <c r="Q861" s="184" t="s">
        <v>598</v>
      </c>
      <c r="R861" s="184" t="s">
        <v>598</v>
      </c>
      <c r="S861" s="127">
        <v>42916</v>
      </c>
      <c r="T861" s="184" t="s">
        <v>34</v>
      </c>
      <c r="U861" s="184" t="s">
        <v>598</v>
      </c>
      <c r="V861" s="185">
        <v>2000</v>
      </c>
      <c r="W861" s="184" t="s">
        <v>493</v>
      </c>
      <c r="X861" s="184" t="s">
        <v>598</v>
      </c>
      <c r="Y861" s="185">
        <v>0</v>
      </c>
      <c r="Z861" s="184" t="s">
        <v>598</v>
      </c>
      <c r="AA861" s="21" t="s">
        <v>610</v>
      </c>
      <c r="AB861" s="176" t="s">
        <v>489</v>
      </c>
      <c r="AC861" s="172">
        <v>42996.328472222223</v>
      </c>
      <c r="AD861" s="32" t="s">
        <v>552</v>
      </c>
    </row>
    <row r="862" spans="1:30">
      <c r="A862" s="184">
        <v>861</v>
      </c>
      <c r="B862" s="184" t="s">
        <v>2345</v>
      </c>
      <c r="C862" s="184" t="s">
        <v>598</v>
      </c>
      <c r="D862" s="127">
        <v>42913</v>
      </c>
      <c r="E862" s="127" t="s">
        <v>598</v>
      </c>
      <c r="F862" s="184" t="s">
        <v>2346</v>
      </c>
      <c r="G862" s="185">
        <v>0</v>
      </c>
      <c r="H862" s="184" t="s">
        <v>598</v>
      </c>
      <c r="I862" s="184" t="s">
        <v>58</v>
      </c>
      <c r="J862" s="184" t="s">
        <v>551</v>
      </c>
      <c r="K862" s="184" t="s">
        <v>308</v>
      </c>
      <c r="L862" s="184" t="s">
        <v>598</v>
      </c>
      <c r="M862" s="184" t="s">
        <v>598</v>
      </c>
      <c r="N862" s="184" t="s">
        <v>85</v>
      </c>
      <c r="O862" s="184" t="s">
        <v>73</v>
      </c>
      <c r="P862" s="186" t="s">
        <v>604</v>
      </c>
      <c r="Q862" s="184" t="s">
        <v>598</v>
      </c>
      <c r="R862" s="184" t="s">
        <v>598</v>
      </c>
      <c r="S862" s="127">
        <v>42915</v>
      </c>
      <c r="T862" s="184" t="s">
        <v>34</v>
      </c>
      <c r="U862" s="184" t="s">
        <v>598</v>
      </c>
      <c r="V862" s="185">
        <v>6000</v>
      </c>
      <c r="W862" s="184" t="s">
        <v>493</v>
      </c>
      <c r="X862" s="184" t="s">
        <v>598</v>
      </c>
      <c r="Y862" s="185">
        <v>0</v>
      </c>
      <c r="Z862" s="184" t="s">
        <v>598</v>
      </c>
      <c r="AA862" s="21" t="s">
        <v>610</v>
      </c>
      <c r="AB862" s="176" t="s">
        <v>489</v>
      </c>
      <c r="AC862" s="172">
        <v>42996.328472222223</v>
      </c>
      <c r="AD862" s="32" t="s">
        <v>552</v>
      </c>
    </row>
    <row r="863" spans="1:30">
      <c r="A863" s="184">
        <v>862</v>
      </c>
      <c r="B863" s="184" t="s">
        <v>2347</v>
      </c>
      <c r="C863" s="184" t="s">
        <v>598</v>
      </c>
      <c r="D863" s="127">
        <v>42912</v>
      </c>
      <c r="E863" s="127" t="s">
        <v>598</v>
      </c>
      <c r="F863" s="184" t="s">
        <v>2348</v>
      </c>
      <c r="G863" s="185">
        <v>0</v>
      </c>
      <c r="H863" s="184" t="s">
        <v>598</v>
      </c>
      <c r="I863" s="184" t="s">
        <v>135</v>
      </c>
      <c r="J863" s="184" t="s">
        <v>551</v>
      </c>
      <c r="K863" s="184" t="s">
        <v>306</v>
      </c>
      <c r="L863" s="184" t="s">
        <v>598</v>
      </c>
      <c r="M863" s="184" t="s">
        <v>598</v>
      </c>
      <c r="N863" s="184" t="s">
        <v>85</v>
      </c>
      <c r="O863" s="184" t="s">
        <v>73</v>
      </c>
      <c r="P863" s="186" t="s">
        <v>605</v>
      </c>
      <c r="Q863" s="184" t="s">
        <v>598</v>
      </c>
      <c r="R863" s="184" t="s">
        <v>598</v>
      </c>
      <c r="S863" s="127" t="s">
        <v>598</v>
      </c>
      <c r="T863" s="184" t="s">
        <v>598</v>
      </c>
      <c r="U863" s="184" t="s">
        <v>598</v>
      </c>
      <c r="V863" s="185">
        <v>0</v>
      </c>
      <c r="W863" s="184" t="s">
        <v>485</v>
      </c>
      <c r="X863" s="184" t="s">
        <v>598</v>
      </c>
      <c r="Y863" s="185">
        <v>0</v>
      </c>
      <c r="Z863" s="184" t="s">
        <v>598</v>
      </c>
      <c r="AA863" s="21" t="s">
        <v>610</v>
      </c>
      <c r="AB863" s="176" t="s">
        <v>489</v>
      </c>
      <c r="AC863" s="172">
        <v>42996.328472222223</v>
      </c>
      <c r="AD863" s="32" t="s">
        <v>552</v>
      </c>
    </row>
    <row r="864" spans="1:30">
      <c r="A864" s="184">
        <v>863</v>
      </c>
      <c r="B864" s="184" t="s">
        <v>2349</v>
      </c>
      <c r="C864" s="184" t="s">
        <v>598</v>
      </c>
      <c r="D864" s="127">
        <v>42910</v>
      </c>
      <c r="E864" s="127" t="s">
        <v>598</v>
      </c>
      <c r="F864" s="184" t="s">
        <v>2350</v>
      </c>
      <c r="G864" s="185">
        <v>0</v>
      </c>
      <c r="H864" s="184" t="s">
        <v>598</v>
      </c>
      <c r="I864" s="184" t="s">
        <v>134</v>
      </c>
      <c r="J864" s="184" t="s">
        <v>551</v>
      </c>
      <c r="K864" s="184" t="s">
        <v>297</v>
      </c>
      <c r="L864" s="184" t="s">
        <v>598</v>
      </c>
      <c r="M864" s="184" t="s">
        <v>598</v>
      </c>
      <c r="N864" s="184" t="s">
        <v>85</v>
      </c>
      <c r="O864" s="184" t="s">
        <v>598</v>
      </c>
      <c r="P864" s="186" t="s">
        <v>606</v>
      </c>
      <c r="Q864" s="184" t="s">
        <v>598</v>
      </c>
      <c r="R864" s="184" t="s">
        <v>598</v>
      </c>
      <c r="S864" s="127" t="s">
        <v>598</v>
      </c>
      <c r="T864" s="184" t="s">
        <v>598</v>
      </c>
      <c r="U864" s="184" t="s">
        <v>598</v>
      </c>
      <c r="V864" s="185">
        <v>0</v>
      </c>
      <c r="W864" s="184" t="s">
        <v>485</v>
      </c>
      <c r="X864" s="184" t="s">
        <v>598</v>
      </c>
      <c r="Y864" s="185">
        <v>0</v>
      </c>
      <c r="Z864" s="184" t="s">
        <v>598</v>
      </c>
      <c r="AA864" s="21" t="s">
        <v>610</v>
      </c>
      <c r="AB864" s="176" t="s">
        <v>489</v>
      </c>
      <c r="AC864" s="172">
        <v>42996.328472222223</v>
      </c>
      <c r="AD864" s="32" t="s">
        <v>552</v>
      </c>
    </row>
    <row r="865" spans="1:30">
      <c r="A865" s="184">
        <v>864</v>
      </c>
      <c r="B865" s="184" t="s">
        <v>2351</v>
      </c>
      <c r="C865" s="184" t="s">
        <v>598</v>
      </c>
      <c r="D865" s="127">
        <v>42910</v>
      </c>
      <c r="E865" s="127" t="s">
        <v>598</v>
      </c>
      <c r="F865" s="184" t="s">
        <v>2352</v>
      </c>
      <c r="G865" s="185">
        <v>0</v>
      </c>
      <c r="H865" s="184" t="s">
        <v>598</v>
      </c>
      <c r="I865" s="184" t="s">
        <v>134</v>
      </c>
      <c r="J865" s="184" t="s">
        <v>551</v>
      </c>
      <c r="K865" s="184" t="s">
        <v>297</v>
      </c>
      <c r="L865" s="184" t="s">
        <v>598</v>
      </c>
      <c r="M865" s="184" t="s">
        <v>598</v>
      </c>
      <c r="N865" s="184" t="s">
        <v>85</v>
      </c>
      <c r="O865" s="184" t="s">
        <v>598</v>
      </c>
      <c r="P865" s="186" t="s">
        <v>607</v>
      </c>
      <c r="Q865" s="184" t="s">
        <v>598</v>
      </c>
      <c r="R865" s="184" t="s">
        <v>598</v>
      </c>
      <c r="S865" s="127" t="s">
        <v>598</v>
      </c>
      <c r="T865" s="184" t="s">
        <v>598</v>
      </c>
      <c r="U865" s="184" t="s">
        <v>598</v>
      </c>
      <c r="V865" s="185">
        <v>0</v>
      </c>
      <c r="W865" s="184" t="s">
        <v>485</v>
      </c>
      <c r="X865" s="184" t="s">
        <v>598</v>
      </c>
      <c r="Y865" s="185">
        <v>0</v>
      </c>
      <c r="Z865" s="184" t="s">
        <v>598</v>
      </c>
      <c r="AA865" s="21" t="s">
        <v>610</v>
      </c>
      <c r="AB865" s="176" t="s">
        <v>489</v>
      </c>
      <c r="AC865" s="172">
        <v>42996.328472222223</v>
      </c>
      <c r="AD865" s="32" t="s">
        <v>552</v>
      </c>
    </row>
    <row r="866" spans="1:30">
      <c r="A866" s="184">
        <v>865</v>
      </c>
      <c r="B866" s="184" t="s">
        <v>2353</v>
      </c>
      <c r="C866" s="184" t="s">
        <v>598</v>
      </c>
      <c r="D866" s="127">
        <v>42908</v>
      </c>
      <c r="E866" s="127" t="s">
        <v>598</v>
      </c>
      <c r="F866" s="184" t="s">
        <v>2354</v>
      </c>
      <c r="G866" s="185">
        <v>0</v>
      </c>
      <c r="H866" s="184" t="s">
        <v>598</v>
      </c>
      <c r="I866" s="184" t="s">
        <v>132</v>
      </c>
      <c r="J866" s="184" t="s">
        <v>551</v>
      </c>
      <c r="K866" s="184" t="s">
        <v>277</v>
      </c>
      <c r="L866" s="184" t="s">
        <v>598</v>
      </c>
      <c r="M866" s="184" t="s">
        <v>598</v>
      </c>
      <c r="N866" s="184" t="s">
        <v>85</v>
      </c>
      <c r="O866" s="184" t="s">
        <v>73</v>
      </c>
      <c r="P866" s="186" t="s">
        <v>73</v>
      </c>
      <c r="Q866" s="184" t="s">
        <v>598</v>
      </c>
      <c r="R866" s="184" t="s">
        <v>598</v>
      </c>
      <c r="S866" s="127" t="s">
        <v>598</v>
      </c>
      <c r="T866" s="184" t="s">
        <v>598</v>
      </c>
      <c r="U866" s="184" t="s">
        <v>598</v>
      </c>
      <c r="V866" s="185">
        <v>0</v>
      </c>
      <c r="W866" s="184" t="s">
        <v>485</v>
      </c>
      <c r="X866" s="184" t="s">
        <v>598</v>
      </c>
      <c r="Y866" s="185">
        <v>0</v>
      </c>
      <c r="Z866" s="184" t="s">
        <v>598</v>
      </c>
      <c r="AA866" s="21" t="s">
        <v>610</v>
      </c>
      <c r="AB866" s="176" t="s">
        <v>489</v>
      </c>
      <c r="AC866" s="172">
        <v>42996.328472222223</v>
      </c>
      <c r="AD866" s="32" t="s">
        <v>552</v>
      </c>
    </row>
    <row r="867" spans="1:30">
      <c r="A867" s="184">
        <v>866</v>
      </c>
      <c r="B867" s="184" t="s">
        <v>2355</v>
      </c>
      <c r="C867" s="184" t="s">
        <v>598</v>
      </c>
      <c r="D867" s="127">
        <v>42908</v>
      </c>
      <c r="E867" s="127" t="s">
        <v>598</v>
      </c>
      <c r="F867" s="184" t="s">
        <v>2356</v>
      </c>
      <c r="G867" s="185">
        <v>0</v>
      </c>
      <c r="H867" s="184" t="s">
        <v>598</v>
      </c>
      <c r="I867" s="184" t="s">
        <v>48</v>
      </c>
      <c r="J867" s="184" t="s">
        <v>551</v>
      </c>
      <c r="K867" s="184" t="s">
        <v>189</v>
      </c>
      <c r="L867" s="184" t="s">
        <v>598</v>
      </c>
      <c r="M867" s="184" t="s">
        <v>598</v>
      </c>
      <c r="N867" s="184" t="s">
        <v>85</v>
      </c>
      <c r="O867" s="184" t="s">
        <v>73</v>
      </c>
      <c r="P867" s="186" t="s">
        <v>601</v>
      </c>
      <c r="Q867" s="184" t="s">
        <v>598</v>
      </c>
      <c r="R867" s="184" t="s">
        <v>598</v>
      </c>
      <c r="S867" s="127" t="s">
        <v>598</v>
      </c>
      <c r="T867" s="184" t="s">
        <v>598</v>
      </c>
      <c r="U867" s="184" t="s">
        <v>598</v>
      </c>
      <c r="V867" s="185">
        <v>0</v>
      </c>
      <c r="W867" s="184" t="s">
        <v>485</v>
      </c>
      <c r="X867" s="184" t="s">
        <v>598</v>
      </c>
      <c r="Y867" s="185">
        <v>0</v>
      </c>
      <c r="Z867" s="184" t="s">
        <v>598</v>
      </c>
      <c r="AA867" s="21" t="s">
        <v>610</v>
      </c>
      <c r="AB867" s="176" t="s">
        <v>489</v>
      </c>
      <c r="AC867" s="172">
        <v>42996.328472222223</v>
      </c>
      <c r="AD867" s="32" t="s">
        <v>552</v>
      </c>
    </row>
    <row r="868" spans="1:30">
      <c r="A868" s="184">
        <v>867</v>
      </c>
      <c r="B868" s="184" t="s">
        <v>2357</v>
      </c>
      <c r="C868" s="184" t="s">
        <v>598</v>
      </c>
      <c r="D868" s="127">
        <v>42907</v>
      </c>
      <c r="E868" s="127" t="s">
        <v>598</v>
      </c>
      <c r="F868" s="184" t="s">
        <v>2358</v>
      </c>
      <c r="G868" s="185">
        <v>0</v>
      </c>
      <c r="H868" s="184" t="s">
        <v>598</v>
      </c>
      <c r="I868" s="184" t="s">
        <v>48</v>
      </c>
      <c r="J868" s="184" t="s">
        <v>551</v>
      </c>
      <c r="K868" s="184" t="s">
        <v>297</v>
      </c>
      <c r="L868" s="184" t="s">
        <v>598</v>
      </c>
      <c r="M868" s="184" t="s">
        <v>598</v>
      </c>
      <c r="N868" s="184" t="s">
        <v>85</v>
      </c>
      <c r="O868" s="184" t="s">
        <v>73</v>
      </c>
      <c r="P868" s="186" t="s">
        <v>32</v>
      </c>
      <c r="Q868" s="184" t="s">
        <v>598</v>
      </c>
      <c r="R868" s="184" t="s">
        <v>598</v>
      </c>
      <c r="S868" s="127" t="s">
        <v>598</v>
      </c>
      <c r="T868" s="184" t="s">
        <v>598</v>
      </c>
      <c r="U868" s="184" t="s">
        <v>598</v>
      </c>
      <c r="V868" s="185">
        <v>0</v>
      </c>
      <c r="W868" s="184" t="s">
        <v>485</v>
      </c>
      <c r="X868" s="184" t="s">
        <v>598</v>
      </c>
      <c r="Y868" s="185">
        <v>0</v>
      </c>
      <c r="Z868" s="184" t="s">
        <v>598</v>
      </c>
      <c r="AA868" s="21" t="s">
        <v>610</v>
      </c>
      <c r="AB868" s="176" t="s">
        <v>489</v>
      </c>
      <c r="AC868" s="172">
        <v>42996.328472222223</v>
      </c>
      <c r="AD868" s="32" t="s">
        <v>552</v>
      </c>
    </row>
    <row r="869" spans="1:30">
      <c r="A869" s="184">
        <v>868</v>
      </c>
      <c r="B869" s="184" t="s">
        <v>2359</v>
      </c>
      <c r="C869" s="184" t="s">
        <v>598</v>
      </c>
      <c r="D869" s="127">
        <v>42907</v>
      </c>
      <c r="E869" s="127" t="s">
        <v>598</v>
      </c>
      <c r="F869" s="184" t="s">
        <v>2360</v>
      </c>
      <c r="G869" s="185">
        <v>0</v>
      </c>
      <c r="H869" s="184" t="s">
        <v>598</v>
      </c>
      <c r="I869" s="184" t="s">
        <v>122</v>
      </c>
      <c r="J869" s="184" t="s">
        <v>551</v>
      </c>
      <c r="K869" s="184" t="s">
        <v>297</v>
      </c>
      <c r="L869" s="184" t="s">
        <v>598</v>
      </c>
      <c r="M869" s="184" t="s">
        <v>598</v>
      </c>
      <c r="N869" s="184" t="s">
        <v>85</v>
      </c>
      <c r="O869" s="184" t="s">
        <v>73</v>
      </c>
      <c r="P869" s="186" t="s">
        <v>53</v>
      </c>
      <c r="Q869" s="184" t="s">
        <v>598</v>
      </c>
      <c r="R869" s="184" t="s">
        <v>598</v>
      </c>
      <c r="S869" s="127" t="s">
        <v>598</v>
      </c>
      <c r="T869" s="184" t="s">
        <v>598</v>
      </c>
      <c r="U869" s="184" t="s">
        <v>598</v>
      </c>
      <c r="V869" s="185">
        <v>0</v>
      </c>
      <c r="W869" s="184" t="s">
        <v>485</v>
      </c>
      <c r="X869" s="184" t="s">
        <v>598</v>
      </c>
      <c r="Y869" s="185">
        <v>0</v>
      </c>
      <c r="Z869" s="184" t="s">
        <v>598</v>
      </c>
      <c r="AA869" s="21" t="s">
        <v>610</v>
      </c>
      <c r="AB869" s="176" t="s">
        <v>489</v>
      </c>
      <c r="AC869" s="172">
        <v>42996.328472222223</v>
      </c>
      <c r="AD869" s="32" t="s">
        <v>552</v>
      </c>
    </row>
    <row r="870" spans="1:30">
      <c r="A870" s="184">
        <v>869</v>
      </c>
      <c r="B870" s="184" t="s">
        <v>2361</v>
      </c>
      <c r="C870" s="184" t="s">
        <v>598</v>
      </c>
      <c r="D870" s="127">
        <v>42906</v>
      </c>
      <c r="E870" s="127" t="s">
        <v>598</v>
      </c>
      <c r="F870" s="184" t="s">
        <v>2362</v>
      </c>
      <c r="G870" s="185">
        <v>0</v>
      </c>
      <c r="H870" s="184" t="s">
        <v>598</v>
      </c>
      <c r="I870" s="184" t="s">
        <v>118</v>
      </c>
      <c r="J870" s="184" t="s">
        <v>551</v>
      </c>
      <c r="K870" s="184" t="s">
        <v>309</v>
      </c>
      <c r="L870" s="184" t="s">
        <v>598</v>
      </c>
      <c r="M870" s="184" t="s">
        <v>598</v>
      </c>
      <c r="N870" s="184" t="s">
        <v>85</v>
      </c>
      <c r="O870" s="184" t="s">
        <v>85</v>
      </c>
      <c r="P870" s="186" t="s">
        <v>44</v>
      </c>
      <c r="Q870" s="184" t="s">
        <v>598</v>
      </c>
      <c r="R870" s="184" t="s">
        <v>598</v>
      </c>
      <c r="S870" s="127" t="s">
        <v>598</v>
      </c>
      <c r="T870" s="184" t="s">
        <v>598</v>
      </c>
      <c r="U870" s="184" t="s">
        <v>598</v>
      </c>
      <c r="V870" s="185">
        <v>0</v>
      </c>
      <c r="W870" s="184" t="s">
        <v>485</v>
      </c>
      <c r="X870" s="184" t="s">
        <v>598</v>
      </c>
      <c r="Y870" s="185">
        <v>0</v>
      </c>
      <c r="Z870" s="184" t="s">
        <v>598</v>
      </c>
      <c r="AA870" s="21" t="s">
        <v>610</v>
      </c>
      <c r="AB870" s="176" t="s">
        <v>489</v>
      </c>
      <c r="AC870" s="172">
        <v>42996.328472222223</v>
      </c>
      <c r="AD870" s="32" t="s">
        <v>552</v>
      </c>
    </row>
    <row r="871" spans="1:30">
      <c r="A871" s="184">
        <v>870</v>
      </c>
      <c r="B871" s="184" t="s">
        <v>2363</v>
      </c>
      <c r="C871" s="184" t="s">
        <v>598</v>
      </c>
      <c r="D871" s="127">
        <v>42906</v>
      </c>
      <c r="E871" s="127" t="s">
        <v>598</v>
      </c>
      <c r="F871" s="184" t="s">
        <v>86</v>
      </c>
      <c r="G871" s="185">
        <v>0</v>
      </c>
      <c r="H871" s="184" t="s">
        <v>598</v>
      </c>
      <c r="I871" s="184" t="s">
        <v>598</v>
      </c>
      <c r="J871" s="184" t="s">
        <v>551</v>
      </c>
      <c r="K871" s="184" t="s">
        <v>310</v>
      </c>
      <c r="L871" s="184" t="s">
        <v>598</v>
      </c>
      <c r="M871" s="184" t="s">
        <v>598</v>
      </c>
      <c r="N871" s="184" t="s">
        <v>85</v>
      </c>
      <c r="O871" s="184" t="s">
        <v>85</v>
      </c>
      <c r="P871" s="186" t="s">
        <v>67</v>
      </c>
      <c r="Q871" s="184" t="s">
        <v>598</v>
      </c>
      <c r="R871" s="184" t="s">
        <v>598</v>
      </c>
      <c r="S871" s="127">
        <v>42907</v>
      </c>
      <c r="T871" s="184" t="s">
        <v>34</v>
      </c>
      <c r="U871" s="184" t="s">
        <v>598</v>
      </c>
      <c r="V871" s="185">
        <v>3000</v>
      </c>
      <c r="W871" s="184" t="s">
        <v>493</v>
      </c>
      <c r="X871" s="184" t="s">
        <v>598</v>
      </c>
      <c r="Y871" s="185">
        <v>0</v>
      </c>
      <c r="Z871" s="184" t="s">
        <v>598</v>
      </c>
      <c r="AA871" s="21" t="s">
        <v>610</v>
      </c>
      <c r="AB871" s="176" t="s">
        <v>489</v>
      </c>
      <c r="AC871" s="172">
        <v>42996.328472222223</v>
      </c>
      <c r="AD871" s="32" t="s">
        <v>552</v>
      </c>
    </row>
    <row r="872" spans="1:30">
      <c r="A872" s="184">
        <v>871</v>
      </c>
      <c r="B872" s="184" t="s">
        <v>2364</v>
      </c>
      <c r="C872" s="184" t="s">
        <v>598</v>
      </c>
      <c r="D872" s="127">
        <v>42905</v>
      </c>
      <c r="E872" s="127" t="s">
        <v>598</v>
      </c>
      <c r="F872" s="184" t="s">
        <v>2365</v>
      </c>
      <c r="G872" s="185">
        <v>0</v>
      </c>
      <c r="H872" s="184" t="s">
        <v>598</v>
      </c>
      <c r="I872" s="184" t="s">
        <v>134</v>
      </c>
      <c r="J872" s="184" t="s">
        <v>551</v>
      </c>
      <c r="K872" s="184" t="s">
        <v>302</v>
      </c>
      <c r="L872" s="184" t="s">
        <v>598</v>
      </c>
      <c r="M872" s="184" t="s">
        <v>598</v>
      </c>
      <c r="N872" s="184" t="s">
        <v>85</v>
      </c>
      <c r="O872" s="184" t="s">
        <v>51</v>
      </c>
      <c r="P872" s="186" t="s">
        <v>602</v>
      </c>
      <c r="Q872" s="184" t="s">
        <v>598</v>
      </c>
      <c r="R872" s="184" t="s">
        <v>598</v>
      </c>
      <c r="S872" s="127">
        <v>42909</v>
      </c>
      <c r="T872" s="184" t="s">
        <v>10</v>
      </c>
      <c r="U872" s="184" t="s">
        <v>598</v>
      </c>
      <c r="V872" s="185">
        <v>3000</v>
      </c>
      <c r="W872" s="184" t="s">
        <v>493</v>
      </c>
      <c r="X872" s="184" t="s">
        <v>598</v>
      </c>
      <c r="Y872" s="185">
        <v>0</v>
      </c>
      <c r="Z872" s="184" t="s">
        <v>598</v>
      </c>
      <c r="AA872" s="21" t="s">
        <v>610</v>
      </c>
      <c r="AB872" s="176" t="s">
        <v>489</v>
      </c>
      <c r="AC872" s="172">
        <v>42996.328472222223</v>
      </c>
      <c r="AD872" s="32" t="s">
        <v>552</v>
      </c>
    </row>
    <row r="873" spans="1:30">
      <c r="A873" s="184">
        <v>872</v>
      </c>
      <c r="B873" s="184" t="s">
        <v>2366</v>
      </c>
      <c r="C873" s="184" t="s">
        <v>598</v>
      </c>
      <c r="D873" s="127">
        <v>42901</v>
      </c>
      <c r="E873" s="127" t="s">
        <v>598</v>
      </c>
      <c r="F873" s="184" t="s">
        <v>2367</v>
      </c>
      <c r="G873" s="185">
        <v>0</v>
      </c>
      <c r="H873" s="184" t="s">
        <v>598</v>
      </c>
      <c r="I873" s="184" t="s">
        <v>48</v>
      </c>
      <c r="J873" s="184" t="s">
        <v>551</v>
      </c>
      <c r="K873" s="184" t="s">
        <v>301</v>
      </c>
      <c r="L873" s="184" t="s">
        <v>598</v>
      </c>
      <c r="M873" s="184" t="s">
        <v>598</v>
      </c>
      <c r="N873" s="184" t="s">
        <v>85</v>
      </c>
      <c r="O873" s="184" t="s">
        <v>73</v>
      </c>
      <c r="P873" s="186" t="s">
        <v>603</v>
      </c>
      <c r="Q873" s="184" t="s">
        <v>598</v>
      </c>
      <c r="R873" s="184" t="s">
        <v>598</v>
      </c>
      <c r="S873" s="127">
        <v>42916</v>
      </c>
      <c r="T873" s="184" t="s">
        <v>10</v>
      </c>
      <c r="U873" s="184" t="s">
        <v>598</v>
      </c>
      <c r="V873" s="185">
        <v>6000</v>
      </c>
      <c r="W873" s="184" t="s">
        <v>493</v>
      </c>
      <c r="X873" s="184" t="s">
        <v>598</v>
      </c>
      <c r="Y873" s="185">
        <v>0</v>
      </c>
      <c r="Z873" s="184" t="s">
        <v>598</v>
      </c>
      <c r="AA873" s="21" t="s">
        <v>610</v>
      </c>
      <c r="AB873" s="176" t="s">
        <v>489</v>
      </c>
      <c r="AC873" s="172">
        <v>42996.328472222223</v>
      </c>
      <c r="AD873" s="32" t="s">
        <v>552</v>
      </c>
    </row>
    <row r="874" spans="1:30">
      <c r="A874" s="184">
        <v>873</v>
      </c>
      <c r="B874" s="184" t="s">
        <v>2368</v>
      </c>
      <c r="C874" s="184" t="s">
        <v>598</v>
      </c>
      <c r="D874" s="127">
        <v>42901</v>
      </c>
      <c r="E874" s="127" t="s">
        <v>598</v>
      </c>
      <c r="F874" s="184" t="s">
        <v>2369</v>
      </c>
      <c r="G874" s="185">
        <v>0</v>
      </c>
      <c r="H874" s="184" t="s">
        <v>598</v>
      </c>
      <c r="I874" s="184" t="s">
        <v>122</v>
      </c>
      <c r="J874" s="184" t="s">
        <v>551</v>
      </c>
      <c r="K874" s="184" t="s">
        <v>311</v>
      </c>
      <c r="L874" s="184" t="s">
        <v>598</v>
      </c>
      <c r="M874" s="184" t="s">
        <v>598</v>
      </c>
      <c r="N874" s="184" t="s">
        <v>85</v>
      </c>
      <c r="O874" s="184" t="s">
        <v>73</v>
      </c>
      <c r="P874" s="186" t="s">
        <v>604</v>
      </c>
      <c r="Q874" s="184" t="s">
        <v>598</v>
      </c>
      <c r="R874" s="184" t="s">
        <v>598</v>
      </c>
      <c r="S874" s="127" t="s">
        <v>598</v>
      </c>
      <c r="T874" s="184" t="s">
        <v>598</v>
      </c>
      <c r="U874" s="184" t="s">
        <v>598</v>
      </c>
      <c r="V874" s="185">
        <v>0</v>
      </c>
      <c r="W874" s="184" t="s">
        <v>485</v>
      </c>
      <c r="X874" s="184" t="s">
        <v>598</v>
      </c>
      <c r="Y874" s="185">
        <v>0</v>
      </c>
      <c r="Z874" s="184" t="s">
        <v>598</v>
      </c>
      <c r="AA874" s="21" t="s">
        <v>610</v>
      </c>
      <c r="AB874" s="176" t="s">
        <v>489</v>
      </c>
      <c r="AC874" s="172">
        <v>42996.328472222223</v>
      </c>
      <c r="AD874" s="32" t="s">
        <v>552</v>
      </c>
    </row>
    <row r="875" spans="1:30">
      <c r="A875" s="184">
        <v>874</v>
      </c>
      <c r="B875" s="184" t="s">
        <v>2370</v>
      </c>
      <c r="C875" s="184" t="s">
        <v>598</v>
      </c>
      <c r="D875" s="127">
        <v>42901</v>
      </c>
      <c r="E875" s="127" t="s">
        <v>598</v>
      </c>
      <c r="F875" s="184" t="s">
        <v>2371</v>
      </c>
      <c r="G875" s="185">
        <v>0</v>
      </c>
      <c r="H875" s="184" t="s">
        <v>598</v>
      </c>
      <c r="I875" s="184" t="s">
        <v>58</v>
      </c>
      <c r="J875" s="184" t="s">
        <v>551</v>
      </c>
      <c r="K875" s="184" t="s">
        <v>311</v>
      </c>
      <c r="L875" s="184" t="s">
        <v>598</v>
      </c>
      <c r="M875" s="184" t="s">
        <v>598</v>
      </c>
      <c r="N875" s="184" t="s">
        <v>85</v>
      </c>
      <c r="O875" s="184" t="s">
        <v>73</v>
      </c>
      <c r="P875" s="186" t="s">
        <v>605</v>
      </c>
      <c r="Q875" s="184" t="s">
        <v>598</v>
      </c>
      <c r="R875" s="184" t="s">
        <v>598</v>
      </c>
      <c r="S875" s="127" t="s">
        <v>598</v>
      </c>
      <c r="T875" s="184" t="s">
        <v>598</v>
      </c>
      <c r="U875" s="184" t="s">
        <v>598</v>
      </c>
      <c r="V875" s="185">
        <v>0</v>
      </c>
      <c r="W875" s="184" t="s">
        <v>485</v>
      </c>
      <c r="X875" s="184" t="s">
        <v>598</v>
      </c>
      <c r="Y875" s="185">
        <v>0</v>
      </c>
      <c r="Z875" s="184" t="s">
        <v>598</v>
      </c>
      <c r="AA875" s="21" t="s">
        <v>610</v>
      </c>
      <c r="AB875" s="176" t="s">
        <v>489</v>
      </c>
      <c r="AC875" s="172">
        <v>42996.328472222223</v>
      </c>
      <c r="AD875" s="32" t="s">
        <v>552</v>
      </c>
    </row>
    <row r="876" spans="1:30">
      <c r="A876" s="184">
        <v>875</v>
      </c>
      <c r="B876" s="184" t="s">
        <v>2372</v>
      </c>
      <c r="C876" s="184" t="s">
        <v>598</v>
      </c>
      <c r="D876" s="127">
        <v>42900</v>
      </c>
      <c r="E876" s="127" t="s">
        <v>598</v>
      </c>
      <c r="F876" s="184" t="s">
        <v>2373</v>
      </c>
      <c r="G876" s="185">
        <v>0</v>
      </c>
      <c r="H876" s="184" t="s">
        <v>598</v>
      </c>
      <c r="I876" s="184" t="s">
        <v>132</v>
      </c>
      <c r="J876" s="184" t="s">
        <v>551</v>
      </c>
      <c r="K876" s="184" t="s">
        <v>301</v>
      </c>
      <c r="L876" s="184" t="s">
        <v>598</v>
      </c>
      <c r="M876" s="184" t="s">
        <v>598</v>
      </c>
      <c r="N876" s="184" t="s">
        <v>85</v>
      </c>
      <c r="O876" s="184" t="s">
        <v>598</v>
      </c>
      <c r="P876" s="186"/>
      <c r="Q876" s="184" t="s">
        <v>598</v>
      </c>
      <c r="R876" s="184" t="s">
        <v>598</v>
      </c>
      <c r="S876" s="127" t="s">
        <v>598</v>
      </c>
      <c r="T876" s="184" t="s">
        <v>598</v>
      </c>
      <c r="U876" s="184" t="s">
        <v>598</v>
      </c>
      <c r="V876" s="185">
        <v>0</v>
      </c>
      <c r="W876" s="184" t="s">
        <v>485</v>
      </c>
      <c r="X876" s="184" t="s">
        <v>598</v>
      </c>
      <c r="Y876" s="185">
        <v>0</v>
      </c>
      <c r="Z876" s="184" t="s">
        <v>598</v>
      </c>
      <c r="AA876" s="21" t="s">
        <v>610</v>
      </c>
      <c r="AB876" s="176" t="s">
        <v>489</v>
      </c>
      <c r="AC876" s="172">
        <v>42996.328472222223</v>
      </c>
      <c r="AD876" s="32" t="s">
        <v>552</v>
      </c>
    </row>
    <row r="877" spans="1:30">
      <c r="A877" s="184">
        <v>876</v>
      </c>
      <c r="B877" s="184" t="s">
        <v>2374</v>
      </c>
      <c r="C877" s="184" t="s">
        <v>598</v>
      </c>
      <c r="D877" s="127">
        <v>42898</v>
      </c>
      <c r="E877" s="127" t="s">
        <v>598</v>
      </c>
      <c r="F877" s="184" t="s">
        <v>2375</v>
      </c>
      <c r="G877" s="185">
        <v>17761000</v>
      </c>
      <c r="H877" s="184" t="s">
        <v>598</v>
      </c>
      <c r="I877" s="184" t="s">
        <v>132</v>
      </c>
      <c r="J877" s="184" t="s">
        <v>551</v>
      </c>
      <c r="K877" s="184" t="s">
        <v>312</v>
      </c>
      <c r="L877" s="184" t="s">
        <v>598</v>
      </c>
      <c r="M877" s="184" t="s">
        <v>598</v>
      </c>
      <c r="N877" s="184" t="s">
        <v>85</v>
      </c>
      <c r="O877" s="184" t="s">
        <v>98</v>
      </c>
      <c r="P877" s="186" t="s">
        <v>607</v>
      </c>
      <c r="Q877" s="184" t="s">
        <v>598</v>
      </c>
      <c r="R877" s="184" t="s">
        <v>598</v>
      </c>
      <c r="S877" s="127" t="s">
        <v>598</v>
      </c>
      <c r="T877" s="184" t="s">
        <v>598</v>
      </c>
      <c r="U877" s="184" t="s">
        <v>598</v>
      </c>
      <c r="V877" s="185">
        <v>0</v>
      </c>
      <c r="W877" s="184" t="s">
        <v>55</v>
      </c>
      <c r="X877" s="184" t="s">
        <v>598</v>
      </c>
      <c r="Y877" s="185">
        <v>0</v>
      </c>
      <c r="Z877" s="184" t="s">
        <v>598</v>
      </c>
      <c r="AA877" s="21" t="s">
        <v>822</v>
      </c>
      <c r="AB877" s="176" t="s">
        <v>489</v>
      </c>
      <c r="AC877" s="172">
        <v>42996.328472222223</v>
      </c>
      <c r="AD877" s="32" t="s">
        <v>552</v>
      </c>
    </row>
    <row r="878" spans="1:30">
      <c r="A878" s="184">
        <v>877</v>
      </c>
      <c r="B878" s="184" t="s">
        <v>2376</v>
      </c>
      <c r="C878" s="184" t="s">
        <v>598</v>
      </c>
      <c r="D878" s="127">
        <v>42896</v>
      </c>
      <c r="E878" s="127" t="s">
        <v>598</v>
      </c>
      <c r="F878" s="184" t="s">
        <v>2377</v>
      </c>
      <c r="G878" s="185">
        <v>0</v>
      </c>
      <c r="H878" s="184" t="s">
        <v>598</v>
      </c>
      <c r="I878" s="184" t="s">
        <v>48</v>
      </c>
      <c r="J878" s="184" t="s">
        <v>551</v>
      </c>
      <c r="K878" s="184" t="s">
        <v>309</v>
      </c>
      <c r="L878" s="184" t="s">
        <v>598</v>
      </c>
      <c r="M878" s="184" t="s">
        <v>598</v>
      </c>
      <c r="N878" s="184" t="s">
        <v>85</v>
      </c>
      <c r="O878" s="184" t="s">
        <v>598</v>
      </c>
      <c r="P878" s="186" t="s">
        <v>73</v>
      </c>
      <c r="Q878" s="184" t="s">
        <v>598</v>
      </c>
      <c r="R878" s="184" t="s">
        <v>598</v>
      </c>
      <c r="S878" s="127">
        <v>42898</v>
      </c>
      <c r="T878" s="184" t="s">
        <v>34</v>
      </c>
      <c r="U878" s="184" t="s">
        <v>598</v>
      </c>
      <c r="V878" s="185">
        <v>2000</v>
      </c>
      <c r="W878" s="184" t="s">
        <v>493</v>
      </c>
      <c r="X878" s="184" t="s">
        <v>598</v>
      </c>
      <c r="Y878" s="185">
        <v>0</v>
      </c>
      <c r="Z878" s="184" t="s">
        <v>598</v>
      </c>
      <c r="AA878" s="21" t="s">
        <v>610</v>
      </c>
      <c r="AB878" s="176" t="s">
        <v>489</v>
      </c>
      <c r="AC878" s="172">
        <v>42996.328472222223</v>
      </c>
      <c r="AD878" s="32" t="s">
        <v>552</v>
      </c>
    </row>
    <row r="879" spans="1:30">
      <c r="A879" s="184">
        <v>878</v>
      </c>
      <c r="B879" s="184" t="s">
        <v>2378</v>
      </c>
      <c r="C879" s="184" t="s">
        <v>598</v>
      </c>
      <c r="D879" s="127">
        <v>42895</v>
      </c>
      <c r="E879" s="127" t="s">
        <v>598</v>
      </c>
      <c r="F879" s="184" t="s">
        <v>2379</v>
      </c>
      <c r="G879" s="185">
        <v>123440000</v>
      </c>
      <c r="H879" s="184" t="s">
        <v>598</v>
      </c>
      <c r="I879" s="184" t="s">
        <v>118</v>
      </c>
      <c r="J879" s="184" t="s">
        <v>551</v>
      </c>
      <c r="K879" s="184" t="s">
        <v>306</v>
      </c>
      <c r="L879" s="184" t="s">
        <v>598</v>
      </c>
      <c r="M879" s="184" t="s">
        <v>598</v>
      </c>
      <c r="N879" s="184" t="s">
        <v>85</v>
      </c>
      <c r="O879" s="184" t="s">
        <v>73</v>
      </c>
      <c r="P879" s="186" t="s">
        <v>601</v>
      </c>
      <c r="Q879" s="184" t="s">
        <v>598</v>
      </c>
      <c r="R879" s="184" t="s">
        <v>598</v>
      </c>
      <c r="S879" s="127" t="s">
        <v>598</v>
      </c>
      <c r="T879" s="184" t="s">
        <v>598</v>
      </c>
      <c r="U879" s="184" t="s">
        <v>598</v>
      </c>
      <c r="V879" s="185">
        <v>0</v>
      </c>
      <c r="W879" s="184" t="s">
        <v>485</v>
      </c>
      <c r="X879" s="184" t="s">
        <v>598</v>
      </c>
      <c r="Y879" s="185">
        <v>0</v>
      </c>
      <c r="Z879" s="184" t="s">
        <v>598</v>
      </c>
      <c r="AA879" s="21" t="s">
        <v>610</v>
      </c>
      <c r="AB879" s="176" t="s">
        <v>489</v>
      </c>
      <c r="AC879" s="172">
        <v>42996.328472222223</v>
      </c>
      <c r="AD879" s="32" t="s">
        <v>552</v>
      </c>
    </row>
    <row r="880" spans="1:30">
      <c r="A880" s="184">
        <v>879</v>
      </c>
      <c r="B880" s="184" t="s">
        <v>2380</v>
      </c>
      <c r="C880" s="184" t="s">
        <v>598</v>
      </c>
      <c r="D880" s="127">
        <v>42894</v>
      </c>
      <c r="E880" s="127" t="s">
        <v>598</v>
      </c>
      <c r="F880" s="184" t="s">
        <v>2381</v>
      </c>
      <c r="G880" s="185">
        <v>7000000</v>
      </c>
      <c r="H880" s="184" t="s">
        <v>598</v>
      </c>
      <c r="I880" s="184" t="s">
        <v>135</v>
      </c>
      <c r="J880" s="184" t="s">
        <v>551</v>
      </c>
      <c r="K880" s="184" t="s">
        <v>311</v>
      </c>
      <c r="L880" s="184" t="s">
        <v>598</v>
      </c>
      <c r="M880" s="184" t="s">
        <v>598</v>
      </c>
      <c r="N880" s="184" t="s">
        <v>85</v>
      </c>
      <c r="O880" s="184" t="s">
        <v>73</v>
      </c>
      <c r="P880" s="186" t="s">
        <v>32</v>
      </c>
      <c r="Q880" s="184" t="s">
        <v>598</v>
      </c>
      <c r="R880" s="184" t="s">
        <v>598</v>
      </c>
      <c r="S880" s="127">
        <v>42894</v>
      </c>
      <c r="T880" s="184" t="s">
        <v>34</v>
      </c>
      <c r="U880" s="184" t="s">
        <v>598</v>
      </c>
      <c r="V880" s="185">
        <v>3000</v>
      </c>
      <c r="W880" s="184" t="s">
        <v>493</v>
      </c>
      <c r="X880" s="184" t="s">
        <v>598</v>
      </c>
      <c r="Y880" s="185">
        <v>0</v>
      </c>
      <c r="Z880" s="184" t="s">
        <v>598</v>
      </c>
      <c r="AA880" s="21" t="s">
        <v>610</v>
      </c>
      <c r="AB880" s="176" t="s">
        <v>489</v>
      </c>
      <c r="AC880" s="172">
        <v>42996.328472222223</v>
      </c>
      <c r="AD880" s="32" t="s">
        <v>552</v>
      </c>
    </row>
    <row r="881" spans="1:30">
      <c r="A881" s="184">
        <v>880</v>
      </c>
      <c r="B881" s="184" t="s">
        <v>2382</v>
      </c>
      <c r="C881" s="184" t="s">
        <v>598</v>
      </c>
      <c r="D881" s="127">
        <v>42894</v>
      </c>
      <c r="E881" s="127" t="s">
        <v>598</v>
      </c>
      <c r="F881" s="184" t="s">
        <v>2383</v>
      </c>
      <c r="G881" s="185">
        <v>5008000</v>
      </c>
      <c r="H881" s="184" t="s">
        <v>598</v>
      </c>
      <c r="I881" s="184" t="s">
        <v>132</v>
      </c>
      <c r="J881" s="184" t="s">
        <v>551</v>
      </c>
      <c r="K881" s="184" t="s">
        <v>301</v>
      </c>
      <c r="L881" s="184" t="s">
        <v>598</v>
      </c>
      <c r="M881" s="184" t="s">
        <v>598</v>
      </c>
      <c r="N881" s="184" t="s">
        <v>85</v>
      </c>
      <c r="O881" s="184" t="s">
        <v>73</v>
      </c>
      <c r="P881" s="186" t="s">
        <v>53</v>
      </c>
      <c r="Q881" s="184" t="s">
        <v>598</v>
      </c>
      <c r="R881" s="184" t="s">
        <v>598</v>
      </c>
      <c r="S881" s="127">
        <v>42901</v>
      </c>
      <c r="T881" s="184" t="s">
        <v>10</v>
      </c>
      <c r="U881" s="184" t="s">
        <v>598</v>
      </c>
      <c r="V881" s="185">
        <v>3000</v>
      </c>
      <c r="W881" s="184" t="s">
        <v>493</v>
      </c>
      <c r="X881" s="184" t="s">
        <v>598</v>
      </c>
      <c r="Y881" s="185">
        <v>0</v>
      </c>
      <c r="Z881" s="184" t="s">
        <v>598</v>
      </c>
      <c r="AA881" s="21" t="s">
        <v>610</v>
      </c>
      <c r="AB881" s="176" t="s">
        <v>489</v>
      </c>
      <c r="AC881" s="172">
        <v>42996.328472222223</v>
      </c>
      <c r="AD881" s="32" t="s">
        <v>552</v>
      </c>
    </row>
    <row r="882" spans="1:30">
      <c r="A882" s="184">
        <v>881</v>
      </c>
      <c r="B882" s="184" t="s">
        <v>2384</v>
      </c>
      <c r="C882" s="184" t="s">
        <v>598</v>
      </c>
      <c r="D882" s="127">
        <v>42894</v>
      </c>
      <c r="E882" s="127" t="s">
        <v>598</v>
      </c>
      <c r="F882" s="184" t="s">
        <v>2385</v>
      </c>
      <c r="G882" s="185">
        <v>4567000</v>
      </c>
      <c r="H882" s="184" t="s">
        <v>598</v>
      </c>
      <c r="I882" s="184" t="s">
        <v>132</v>
      </c>
      <c r="J882" s="184" t="s">
        <v>551</v>
      </c>
      <c r="K882" s="184" t="s">
        <v>297</v>
      </c>
      <c r="L882" s="184" t="s">
        <v>598</v>
      </c>
      <c r="M882" s="184" t="s">
        <v>598</v>
      </c>
      <c r="N882" s="184" t="s">
        <v>85</v>
      </c>
      <c r="O882" s="184" t="s">
        <v>73</v>
      </c>
      <c r="P882" s="186" t="s">
        <v>44</v>
      </c>
      <c r="Q882" s="184" t="s">
        <v>598</v>
      </c>
      <c r="R882" s="184" t="s">
        <v>598</v>
      </c>
      <c r="S882" s="127" t="s">
        <v>598</v>
      </c>
      <c r="T882" s="184" t="s">
        <v>598</v>
      </c>
      <c r="U882" s="184" t="s">
        <v>598</v>
      </c>
      <c r="V882" s="185">
        <v>0</v>
      </c>
      <c r="W882" s="184" t="s">
        <v>485</v>
      </c>
      <c r="X882" s="184" t="s">
        <v>598</v>
      </c>
      <c r="Y882" s="185">
        <v>0</v>
      </c>
      <c r="Z882" s="184" t="s">
        <v>598</v>
      </c>
      <c r="AA882" s="21" t="s">
        <v>610</v>
      </c>
      <c r="AB882" s="176" t="s">
        <v>489</v>
      </c>
      <c r="AC882" s="172">
        <v>42996.328472222223</v>
      </c>
      <c r="AD882" s="32" t="s">
        <v>552</v>
      </c>
    </row>
    <row r="883" spans="1:30">
      <c r="A883" s="184">
        <v>882</v>
      </c>
      <c r="B883" s="184" t="s">
        <v>2386</v>
      </c>
      <c r="C883" s="184" t="s">
        <v>598</v>
      </c>
      <c r="D883" s="127">
        <v>42894</v>
      </c>
      <c r="E883" s="127" t="s">
        <v>598</v>
      </c>
      <c r="F883" s="184" t="s">
        <v>2387</v>
      </c>
      <c r="G883" s="185">
        <v>0</v>
      </c>
      <c r="H883" s="184" t="s">
        <v>598</v>
      </c>
      <c r="I883" s="184" t="s">
        <v>134</v>
      </c>
      <c r="J883" s="184" t="s">
        <v>551</v>
      </c>
      <c r="K883" s="184" t="s">
        <v>262</v>
      </c>
      <c r="L883" s="184" t="s">
        <v>598</v>
      </c>
      <c r="M883" s="184" t="s">
        <v>598</v>
      </c>
      <c r="N883" s="184" t="s">
        <v>85</v>
      </c>
      <c r="O883" s="184" t="s">
        <v>51</v>
      </c>
      <c r="P883" s="186" t="s">
        <v>67</v>
      </c>
      <c r="Q883" s="184" t="s">
        <v>598</v>
      </c>
      <c r="R883" s="184" t="s">
        <v>598</v>
      </c>
      <c r="S883" s="127">
        <v>42896</v>
      </c>
      <c r="T883" s="184" t="s">
        <v>34</v>
      </c>
      <c r="U883" s="184" t="s">
        <v>598</v>
      </c>
      <c r="V883" s="185">
        <v>3000</v>
      </c>
      <c r="W883" s="184" t="s">
        <v>493</v>
      </c>
      <c r="X883" s="184" t="s">
        <v>598</v>
      </c>
      <c r="Y883" s="185">
        <v>0</v>
      </c>
      <c r="Z883" s="184" t="s">
        <v>598</v>
      </c>
      <c r="AA883" s="21" t="s">
        <v>610</v>
      </c>
      <c r="AB883" s="176" t="s">
        <v>489</v>
      </c>
      <c r="AC883" s="172">
        <v>42996.328472222223</v>
      </c>
      <c r="AD883" s="32" t="s">
        <v>552</v>
      </c>
    </row>
    <row r="884" spans="1:30">
      <c r="A884" s="184">
        <v>883</v>
      </c>
      <c r="B884" s="184" t="s">
        <v>2388</v>
      </c>
      <c r="C884" s="184" t="s">
        <v>598</v>
      </c>
      <c r="D884" s="127">
        <v>42891</v>
      </c>
      <c r="E884" s="127" t="s">
        <v>598</v>
      </c>
      <c r="F884" s="184" t="s">
        <v>2389</v>
      </c>
      <c r="G884" s="185">
        <v>16866000</v>
      </c>
      <c r="H884" s="184" t="s">
        <v>598</v>
      </c>
      <c r="I884" s="184" t="s">
        <v>135</v>
      </c>
      <c r="J884" s="184" t="s">
        <v>70</v>
      </c>
      <c r="K884" s="184" t="s">
        <v>304</v>
      </c>
      <c r="L884" s="184" t="s">
        <v>598</v>
      </c>
      <c r="M884" s="184" t="s">
        <v>598</v>
      </c>
      <c r="N884" s="184" t="s">
        <v>85</v>
      </c>
      <c r="O884" s="184" t="s">
        <v>85</v>
      </c>
      <c r="P884" s="186" t="s">
        <v>602</v>
      </c>
      <c r="Q884" s="184" t="s">
        <v>598</v>
      </c>
      <c r="R884" s="184" t="s">
        <v>598</v>
      </c>
      <c r="S884" s="127" t="s">
        <v>598</v>
      </c>
      <c r="T884" s="184" t="s">
        <v>598</v>
      </c>
      <c r="U884" s="184" t="s">
        <v>598</v>
      </c>
      <c r="V884" s="185">
        <v>0</v>
      </c>
      <c r="W884" s="184" t="s">
        <v>485</v>
      </c>
      <c r="X884" s="184" t="s">
        <v>598</v>
      </c>
      <c r="Y884" s="185">
        <v>0</v>
      </c>
      <c r="Z884" s="184" t="s">
        <v>598</v>
      </c>
      <c r="AA884" s="21" t="s">
        <v>610</v>
      </c>
      <c r="AB884" s="176" t="s">
        <v>489</v>
      </c>
      <c r="AC884" s="172">
        <v>42996.328472222223</v>
      </c>
      <c r="AD884" s="32" t="s">
        <v>552</v>
      </c>
    </row>
    <row r="885" spans="1:30">
      <c r="A885" s="184">
        <v>884</v>
      </c>
      <c r="B885" s="184" t="s">
        <v>2390</v>
      </c>
      <c r="C885" s="184" t="s">
        <v>598</v>
      </c>
      <c r="D885" s="127">
        <v>42891</v>
      </c>
      <c r="E885" s="127" t="s">
        <v>598</v>
      </c>
      <c r="F885" s="184" t="s">
        <v>2391</v>
      </c>
      <c r="G885" s="185">
        <v>9314000</v>
      </c>
      <c r="H885" s="184" t="s">
        <v>598</v>
      </c>
      <c r="I885" s="184" t="s">
        <v>58</v>
      </c>
      <c r="J885" s="184" t="s">
        <v>70</v>
      </c>
      <c r="K885" s="184" t="s">
        <v>272</v>
      </c>
      <c r="L885" s="184" t="s">
        <v>598</v>
      </c>
      <c r="M885" s="184" t="s">
        <v>598</v>
      </c>
      <c r="N885" s="184" t="s">
        <v>85</v>
      </c>
      <c r="O885" s="184" t="s">
        <v>85</v>
      </c>
      <c r="P885" s="186" t="s">
        <v>603</v>
      </c>
      <c r="Q885" s="184" t="s">
        <v>598</v>
      </c>
      <c r="R885" s="184" t="s">
        <v>598</v>
      </c>
      <c r="S885" s="127">
        <v>42903</v>
      </c>
      <c r="T885" s="184" t="s">
        <v>10</v>
      </c>
      <c r="U885" s="184" t="s">
        <v>598</v>
      </c>
      <c r="V885" s="185">
        <v>7920</v>
      </c>
      <c r="W885" s="184" t="s">
        <v>493</v>
      </c>
      <c r="X885" s="184" t="s">
        <v>598</v>
      </c>
      <c r="Y885" s="185">
        <v>0</v>
      </c>
      <c r="Z885" s="184" t="s">
        <v>598</v>
      </c>
      <c r="AA885" s="21" t="s">
        <v>610</v>
      </c>
      <c r="AB885" s="176" t="s">
        <v>489</v>
      </c>
      <c r="AC885" s="172">
        <v>42996.328472222223</v>
      </c>
      <c r="AD885" s="32" t="s">
        <v>552</v>
      </c>
    </row>
    <row r="886" spans="1:30">
      <c r="A886" s="184">
        <v>885</v>
      </c>
      <c r="B886" s="184" t="s">
        <v>2392</v>
      </c>
      <c r="C886" s="184" t="s">
        <v>598</v>
      </c>
      <c r="D886" s="127">
        <v>42891</v>
      </c>
      <c r="E886" s="127" t="s">
        <v>598</v>
      </c>
      <c r="F886" s="184" t="s">
        <v>2393</v>
      </c>
      <c r="G886" s="185">
        <v>0</v>
      </c>
      <c r="H886" s="184" t="s">
        <v>598</v>
      </c>
      <c r="I886" s="184" t="s">
        <v>58</v>
      </c>
      <c r="J886" s="184" t="s">
        <v>70</v>
      </c>
      <c r="K886" s="184" t="s">
        <v>272</v>
      </c>
      <c r="L886" s="184" t="s">
        <v>598</v>
      </c>
      <c r="M886" s="184" t="s">
        <v>598</v>
      </c>
      <c r="N886" s="184" t="s">
        <v>85</v>
      </c>
      <c r="O886" s="184" t="s">
        <v>598</v>
      </c>
      <c r="P886" s="186" t="s">
        <v>604</v>
      </c>
      <c r="Q886" s="184" t="s">
        <v>598</v>
      </c>
      <c r="R886" s="184" t="s">
        <v>598</v>
      </c>
      <c r="S886" s="127" t="s">
        <v>598</v>
      </c>
      <c r="T886" s="184" t="s">
        <v>598</v>
      </c>
      <c r="U886" s="184" t="s">
        <v>598</v>
      </c>
      <c r="V886" s="185">
        <v>0</v>
      </c>
      <c r="W886" s="184" t="s">
        <v>485</v>
      </c>
      <c r="X886" s="184" t="s">
        <v>598</v>
      </c>
      <c r="Y886" s="185">
        <v>0</v>
      </c>
      <c r="Z886" s="184" t="s">
        <v>598</v>
      </c>
      <c r="AA886" s="21" t="s">
        <v>610</v>
      </c>
      <c r="AB886" s="176" t="s">
        <v>489</v>
      </c>
      <c r="AC886" s="172">
        <v>42996.328472222223</v>
      </c>
      <c r="AD886" s="32" t="s">
        <v>552</v>
      </c>
    </row>
    <row r="887" spans="1:30">
      <c r="A887" s="184">
        <v>886</v>
      </c>
      <c r="B887" s="184" t="s">
        <v>2394</v>
      </c>
      <c r="C887" s="184" t="s">
        <v>598</v>
      </c>
      <c r="D887" s="127">
        <v>42891</v>
      </c>
      <c r="E887" s="127" t="s">
        <v>598</v>
      </c>
      <c r="F887" s="184" t="s">
        <v>2395</v>
      </c>
      <c r="G887" s="185">
        <v>0</v>
      </c>
      <c r="H887" s="184" t="s">
        <v>598</v>
      </c>
      <c r="I887" s="184" t="s">
        <v>58</v>
      </c>
      <c r="J887" s="184" t="s">
        <v>70</v>
      </c>
      <c r="K887" s="184" t="s">
        <v>272</v>
      </c>
      <c r="L887" s="184" t="s">
        <v>598</v>
      </c>
      <c r="M887" s="184" t="s">
        <v>598</v>
      </c>
      <c r="N887" s="184" t="s">
        <v>85</v>
      </c>
      <c r="O887" s="184" t="s">
        <v>598</v>
      </c>
      <c r="P887" s="186" t="s">
        <v>605</v>
      </c>
      <c r="Q887" s="184" t="s">
        <v>598</v>
      </c>
      <c r="R887" s="184" t="s">
        <v>598</v>
      </c>
      <c r="S887" s="127" t="s">
        <v>598</v>
      </c>
      <c r="T887" s="184" t="s">
        <v>598</v>
      </c>
      <c r="U887" s="184" t="s">
        <v>598</v>
      </c>
      <c r="V887" s="185">
        <v>0</v>
      </c>
      <c r="W887" s="184" t="s">
        <v>485</v>
      </c>
      <c r="X887" s="184" t="s">
        <v>598</v>
      </c>
      <c r="Y887" s="185">
        <v>0</v>
      </c>
      <c r="Z887" s="184" t="s">
        <v>598</v>
      </c>
      <c r="AA887" s="21" t="s">
        <v>610</v>
      </c>
      <c r="AB887" s="176" t="s">
        <v>489</v>
      </c>
      <c r="AC887" s="172">
        <v>42996.328472222223</v>
      </c>
      <c r="AD887" s="32" t="s">
        <v>552</v>
      </c>
    </row>
    <row r="888" spans="1:30">
      <c r="A888" s="184">
        <v>887</v>
      </c>
      <c r="B888" s="184" t="s">
        <v>2396</v>
      </c>
      <c r="C888" s="184" t="s">
        <v>598</v>
      </c>
      <c r="D888" s="127">
        <v>42893</v>
      </c>
      <c r="E888" s="127" t="s">
        <v>598</v>
      </c>
      <c r="F888" s="184" t="s">
        <v>2391</v>
      </c>
      <c r="G888" s="185">
        <v>4970000</v>
      </c>
      <c r="H888" s="184" t="s">
        <v>598</v>
      </c>
      <c r="I888" s="184" t="s">
        <v>58</v>
      </c>
      <c r="J888" s="184" t="s">
        <v>70</v>
      </c>
      <c r="K888" s="184" t="s">
        <v>272</v>
      </c>
      <c r="L888" s="184" t="s">
        <v>598</v>
      </c>
      <c r="M888" s="184" t="s">
        <v>598</v>
      </c>
      <c r="N888" s="184" t="s">
        <v>85</v>
      </c>
      <c r="O888" s="184" t="s">
        <v>73</v>
      </c>
      <c r="P888" s="186"/>
      <c r="Q888" s="184" t="s">
        <v>598</v>
      </c>
      <c r="R888" s="184" t="s">
        <v>598</v>
      </c>
      <c r="S888" s="127">
        <v>42903</v>
      </c>
      <c r="T888" s="184" t="s">
        <v>10</v>
      </c>
      <c r="U888" s="184" t="s">
        <v>598</v>
      </c>
      <c r="V888" s="185">
        <v>5400</v>
      </c>
      <c r="W888" s="184" t="s">
        <v>493</v>
      </c>
      <c r="X888" s="184" t="s">
        <v>598</v>
      </c>
      <c r="Y888" s="185">
        <v>0</v>
      </c>
      <c r="Z888" s="184" t="s">
        <v>598</v>
      </c>
      <c r="AA888" s="21" t="s">
        <v>610</v>
      </c>
      <c r="AB888" s="176" t="s">
        <v>489</v>
      </c>
      <c r="AC888" s="172">
        <v>42996.328472222223</v>
      </c>
      <c r="AD888" s="32" t="s">
        <v>552</v>
      </c>
    </row>
    <row r="889" spans="1:30">
      <c r="A889" s="184">
        <v>888</v>
      </c>
      <c r="B889" s="184" t="s">
        <v>2397</v>
      </c>
      <c r="C889" s="184" t="s">
        <v>598</v>
      </c>
      <c r="D889" s="127">
        <v>42900</v>
      </c>
      <c r="E889" s="127" t="s">
        <v>598</v>
      </c>
      <c r="F889" s="184" t="s">
        <v>2398</v>
      </c>
      <c r="G889" s="185">
        <v>7121000</v>
      </c>
      <c r="H889" s="184" t="s">
        <v>598</v>
      </c>
      <c r="I889" s="184" t="s">
        <v>58</v>
      </c>
      <c r="J889" s="184" t="s">
        <v>70</v>
      </c>
      <c r="K889" s="184" t="s">
        <v>272</v>
      </c>
      <c r="L889" s="184" t="s">
        <v>598</v>
      </c>
      <c r="M889" s="184" t="s">
        <v>598</v>
      </c>
      <c r="N889" s="184" t="s">
        <v>85</v>
      </c>
      <c r="O889" s="184" t="s">
        <v>85</v>
      </c>
      <c r="P889" s="186" t="s">
        <v>607</v>
      </c>
      <c r="Q889" s="184" t="s">
        <v>598</v>
      </c>
      <c r="R889" s="184" t="s">
        <v>598</v>
      </c>
      <c r="S889" s="127">
        <v>42909</v>
      </c>
      <c r="T889" s="184" t="s">
        <v>10</v>
      </c>
      <c r="U889" s="184" t="s">
        <v>598</v>
      </c>
      <c r="V889" s="185">
        <v>13500</v>
      </c>
      <c r="W889" s="184" t="s">
        <v>493</v>
      </c>
      <c r="X889" s="184" t="s">
        <v>598</v>
      </c>
      <c r="Y889" s="185">
        <v>0</v>
      </c>
      <c r="Z889" s="184" t="s">
        <v>598</v>
      </c>
      <c r="AA889" s="21" t="s">
        <v>610</v>
      </c>
      <c r="AB889" s="176" t="s">
        <v>489</v>
      </c>
      <c r="AC889" s="172">
        <v>42996.328472222223</v>
      </c>
      <c r="AD889" s="32" t="s">
        <v>552</v>
      </c>
    </row>
    <row r="890" spans="1:30">
      <c r="A890" s="184">
        <v>889</v>
      </c>
      <c r="B890" s="184" t="s">
        <v>2399</v>
      </c>
      <c r="C890" s="184" t="s">
        <v>598</v>
      </c>
      <c r="D890" s="127">
        <v>42901</v>
      </c>
      <c r="E890" s="127" t="s">
        <v>598</v>
      </c>
      <c r="F890" s="184" t="s">
        <v>2400</v>
      </c>
      <c r="G890" s="185">
        <v>0</v>
      </c>
      <c r="H890" s="184" t="s">
        <v>598</v>
      </c>
      <c r="I890" s="184" t="s">
        <v>120</v>
      </c>
      <c r="J890" s="184" t="s">
        <v>70</v>
      </c>
      <c r="K890" s="184" t="s">
        <v>272</v>
      </c>
      <c r="L890" s="184" t="s">
        <v>598</v>
      </c>
      <c r="M890" s="184" t="s">
        <v>598</v>
      </c>
      <c r="N890" s="184" t="s">
        <v>85</v>
      </c>
      <c r="O890" s="184" t="s">
        <v>598</v>
      </c>
      <c r="P890" s="186" t="s">
        <v>73</v>
      </c>
      <c r="Q890" s="184" t="s">
        <v>598</v>
      </c>
      <c r="R890" s="184" t="s">
        <v>598</v>
      </c>
      <c r="S890" s="127" t="s">
        <v>598</v>
      </c>
      <c r="T890" s="184" t="s">
        <v>598</v>
      </c>
      <c r="U890" s="184" t="s">
        <v>598</v>
      </c>
      <c r="V890" s="185">
        <v>0</v>
      </c>
      <c r="W890" s="184" t="s">
        <v>485</v>
      </c>
      <c r="X890" s="184" t="s">
        <v>598</v>
      </c>
      <c r="Y890" s="185">
        <v>0</v>
      </c>
      <c r="Z890" s="184" t="s">
        <v>598</v>
      </c>
      <c r="AA890" s="21" t="s">
        <v>610</v>
      </c>
      <c r="AB890" s="176" t="s">
        <v>489</v>
      </c>
      <c r="AC890" s="172">
        <v>42996.328472222223</v>
      </c>
      <c r="AD890" s="32" t="s">
        <v>552</v>
      </c>
    </row>
    <row r="891" spans="1:30">
      <c r="A891" s="184">
        <v>890</v>
      </c>
      <c r="B891" s="184" t="s">
        <v>2401</v>
      </c>
      <c r="C891" s="184" t="s">
        <v>598</v>
      </c>
      <c r="D891" s="127">
        <v>42905</v>
      </c>
      <c r="E891" s="127" t="s">
        <v>598</v>
      </c>
      <c r="F891" s="184" t="s">
        <v>2402</v>
      </c>
      <c r="G891" s="185">
        <v>0</v>
      </c>
      <c r="H891" s="184" t="s">
        <v>598</v>
      </c>
      <c r="I891" s="184" t="s">
        <v>598</v>
      </c>
      <c r="J891" s="184" t="s">
        <v>70</v>
      </c>
      <c r="K891" s="184" t="s">
        <v>313</v>
      </c>
      <c r="L891" s="184" t="s">
        <v>598</v>
      </c>
      <c r="M891" s="184" t="s">
        <v>598</v>
      </c>
      <c r="N891" s="184" t="s">
        <v>85</v>
      </c>
      <c r="O891" s="184" t="s">
        <v>598</v>
      </c>
      <c r="P891" s="186" t="s">
        <v>601</v>
      </c>
      <c r="Q891" s="184" t="s">
        <v>598</v>
      </c>
      <c r="R891" s="184" t="s">
        <v>598</v>
      </c>
      <c r="S891" s="127" t="s">
        <v>598</v>
      </c>
      <c r="T891" s="184" t="s">
        <v>598</v>
      </c>
      <c r="U891" s="184" t="s">
        <v>598</v>
      </c>
      <c r="V891" s="185">
        <v>0</v>
      </c>
      <c r="W891" s="184" t="s">
        <v>485</v>
      </c>
      <c r="X891" s="184" t="s">
        <v>598</v>
      </c>
      <c r="Y891" s="185">
        <v>0</v>
      </c>
      <c r="Z891" s="184" t="s">
        <v>598</v>
      </c>
      <c r="AA891" s="21" t="s">
        <v>610</v>
      </c>
      <c r="AB891" s="176" t="s">
        <v>489</v>
      </c>
      <c r="AC891" s="172">
        <v>42996.328472222223</v>
      </c>
      <c r="AD891" s="32" t="s">
        <v>552</v>
      </c>
    </row>
    <row r="892" spans="1:30">
      <c r="A892" s="184">
        <v>891</v>
      </c>
      <c r="B892" s="184" t="s">
        <v>2403</v>
      </c>
      <c r="C892" s="184" t="s">
        <v>598</v>
      </c>
      <c r="D892" s="127">
        <v>42905</v>
      </c>
      <c r="E892" s="127" t="s">
        <v>598</v>
      </c>
      <c r="F892" s="184" t="s">
        <v>2404</v>
      </c>
      <c r="G892" s="185">
        <v>0</v>
      </c>
      <c r="H892" s="184" t="s">
        <v>598</v>
      </c>
      <c r="I892" s="184" t="s">
        <v>598</v>
      </c>
      <c r="J892" s="184" t="s">
        <v>70</v>
      </c>
      <c r="K892" s="184" t="s">
        <v>313</v>
      </c>
      <c r="L892" s="184" t="s">
        <v>598</v>
      </c>
      <c r="M892" s="184" t="s">
        <v>598</v>
      </c>
      <c r="N892" s="184" t="s">
        <v>85</v>
      </c>
      <c r="O892" s="184" t="s">
        <v>598</v>
      </c>
      <c r="P892" s="186" t="s">
        <v>32</v>
      </c>
      <c r="Q892" s="184" t="s">
        <v>598</v>
      </c>
      <c r="R892" s="184" t="s">
        <v>598</v>
      </c>
      <c r="S892" s="127" t="s">
        <v>598</v>
      </c>
      <c r="T892" s="184" t="s">
        <v>598</v>
      </c>
      <c r="U892" s="184" t="s">
        <v>598</v>
      </c>
      <c r="V892" s="185">
        <v>0</v>
      </c>
      <c r="W892" s="184" t="s">
        <v>485</v>
      </c>
      <c r="X892" s="184" t="s">
        <v>598</v>
      </c>
      <c r="Y892" s="185">
        <v>0</v>
      </c>
      <c r="Z892" s="184" t="s">
        <v>598</v>
      </c>
      <c r="AA892" s="21" t="s">
        <v>610</v>
      </c>
      <c r="AB892" s="176" t="s">
        <v>489</v>
      </c>
      <c r="AC892" s="172">
        <v>42996.328472222223</v>
      </c>
      <c r="AD892" s="32" t="s">
        <v>552</v>
      </c>
    </row>
    <row r="893" spans="1:30">
      <c r="A893" s="184">
        <v>892</v>
      </c>
      <c r="B893" s="184" t="s">
        <v>2405</v>
      </c>
      <c r="C893" s="184" t="s">
        <v>598</v>
      </c>
      <c r="D893" s="127">
        <v>42905</v>
      </c>
      <c r="E893" s="127" t="s">
        <v>598</v>
      </c>
      <c r="F893" s="184" t="s">
        <v>2406</v>
      </c>
      <c r="G893" s="185">
        <v>0</v>
      </c>
      <c r="H893" s="184" t="s">
        <v>598</v>
      </c>
      <c r="I893" s="184" t="s">
        <v>598</v>
      </c>
      <c r="J893" s="184" t="s">
        <v>70</v>
      </c>
      <c r="K893" s="184" t="s">
        <v>313</v>
      </c>
      <c r="L893" s="184" t="s">
        <v>598</v>
      </c>
      <c r="M893" s="184" t="s">
        <v>598</v>
      </c>
      <c r="N893" s="184" t="s">
        <v>85</v>
      </c>
      <c r="O893" s="184" t="s">
        <v>598</v>
      </c>
      <c r="P893" s="186" t="s">
        <v>53</v>
      </c>
      <c r="Q893" s="184" t="s">
        <v>598</v>
      </c>
      <c r="R893" s="184" t="s">
        <v>598</v>
      </c>
      <c r="S893" s="127" t="s">
        <v>598</v>
      </c>
      <c r="T893" s="184" t="s">
        <v>598</v>
      </c>
      <c r="U893" s="184" t="s">
        <v>598</v>
      </c>
      <c r="V893" s="185">
        <v>0</v>
      </c>
      <c r="W893" s="184" t="s">
        <v>485</v>
      </c>
      <c r="X893" s="184" t="s">
        <v>598</v>
      </c>
      <c r="Y893" s="185">
        <v>0</v>
      </c>
      <c r="Z893" s="184" t="s">
        <v>598</v>
      </c>
      <c r="AA893" s="21" t="s">
        <v>610</v>
      </c>
      <c r="AB893" s="176" t="s">
        <v>489</v>
      </c>
      <c r="AC893" s="172">
        <v>42996.328472222223</v>
      </c>
      <c r="AD893" s="32" t="s">
        <v>552</v>
      </c>
    </row>
    <row r="894" spans="1:30">
      <c r="A894" s="184">
        <v>893</v>
      </c>
      <c r="B894" s="184" t="s">
        <v>2407</v>
      </c>
      <c r="C894" s="184" t="s">
        <v>598</v>
      </c>
      <c r="D894" s="127">
        <v>42905</v>
      </c>
      <c r="E894" s="127" t="s">
        <v>598</v>
      </c>
      <c r="F894" s="184" t="s">
        <v>2408</v>
      </c>
      <c r="G894" s="185">
        <v>0</v>
      </c>
      <c r="H894" s="184" t="s">
        <v>598</v>
      </c>
      <c r="I894" s="184" t="s">
        <v>134</v>
      </c>
      <c r="J894" s="184" t="s">
        <v>70</v>
      </c>
      <c r="K894" s="184" t="s">
        <v>313</v>
      </c>
      <c r="L894" s="184" t="s">
        <v>598</v>
      </c>
      <c r="M894" s="184" t="s">
        <v>598</v>
      </c>
      <c r="N894" s="184" t="s">
        <v>85</v>
      </c>
      <c r="O894" s="184" t="s">
        <v>598</v>
      </c>
      <c r="P894" s="186" t="s">
        <v>44</v>
      </c>
      <c r="Q894" s="184" t="s">
        <v>598</v>
      </c>
      <c r="R894" s="184" t="s">
        <v>598</v>
      </c>
      <c r="S894" s="127" t="s">
        <v>598</v>
      </c>
      <c r="T894" s="184" t="s">
        <v>598</v>
      </c>
      <c r="U894" s="184" t="s">
        <v>598</v>
      </c>
      <c r="V894" s="185">
        <v>0</v>
      </c>
      <c r="W894" s="184" t="s">
        <v>485</v>
      </c>
      <c r="X894" s="184" t="s">
        <v>598</v>
      </c>
      <c r="Y894" s="185">
        <v>0</v>
      </c>
      <c r="Z894" s="184" t="s">
        <v>598</v>
      </c>
      <c r="AA894" s="21" t="s">
        <v>610</v>
      </c>
      <c r="AB894" s="176" t="s">
        <v>489</v>
      </c>
      <c r="AC894" s="172">
        <v>42996.328472222223</v>
      </c>
      <c r="AD894" s="32" t="s">
        <v>552</v>
      </c>
    </row>
    <row r="895" spans="1:30">
      <c r="A895" s="184">
        <v>894</v>
      </c>
      <c r="B895" s="184" t="s">
        <v>2409</v>
      </c>
      <c r="C895" s="184" t="s">
        <v>598</v>
      </c>
      <c r="D895" s="127">
        <v>42908</v>
      </c>
      <c r="E895" s="127" t="s">
        <v>598</v>
      </c>
      <c r="F895" s="184" t="s">
        <v>2410</v>
      </c>
      <c r="G895" s="185">
        <v>0</v>
      </c>
      <c r="H895" s="184" t="s">
        <v>598</v>
      </c>
      <c r="I895" s="184" t="s">
        <v>135</v>
      </c>
      <c r="J895" s="184" t="s">
        <v>70</v>
      </c>
      <c r="K895" s="184" t="s">
        <v>2411</v>
      </c>
      <c r="L895" s="184" t="s">
        <v>598</v>
      </c>
      <c r="M895" s="184" t="s">
        <v>598</v>
      </c>
      <c r="N895" s="184" t="s">
        <v>85</v>
      </c>
      <c r="O895" s="184" t="s">
        <v>85</v>
      </c>
      <c r="P895" s="186" t="s">
        <v>67</v>
      </c>
      <c r="Q895" s="184" t="s">
        <v>598</v>
      </c>
      <c r="R895" s="184" t="s">
        <v>598</v>
      </c>
      <c r="S895" s="127">
        <v>42908</v>
      </c>
      <c r="T895" s="184" t="s">
        <v>10</v>
      </c>
      <c r="U895" s="184" t="s">
        <v>598</v>
      </c>
      <c r="V895" s="185">
        <v>11025</v>
      </c>
      <c r="W895" s="184" t="s">
        <v>493</v>
      </c>
      <c r="X895" s="184" t="s">
        <v>598</v>
      </c>
      <c r="Y895" s="185">
        <v>0</v>
      </c>
      <c r="Z895" s="184" t="s">
        <v>598</v>
      </c>
      <c r="AA895" s="21" t="s">
        <v>610</v>
      </c>
      <c r="AB895" s="176" t="s">
        <v>489</v>
      </c>
      <c r="AC895" s="172">
        <v>42996.328472222223</v>
      </c>
      <c r="AD895" s="32" t="s">
        <v>552</v>
      </c>
    </row>
    <row r="896" spans="1:30">
      <c r="A896" s="184">
        <v>895</v>
      </c>
      <c r="B896" s="184" t="s">
        <v>2412</v>
      </c>
      <c r="C896" s="184" t="s">
        <v>598</v>
      </c>
      <c r="D896" s="127">
        <v>42915</v>
      </c>
      <c r="E896" s="127" t="s">
        <v>598</v>
      </c>
      <c r="F896" s="184" t="s">
        <v>2413</v>
      </c>
      <c r="G896" s="185">
        <v>0</v>
      </c>
      <c r="H896" s="184" t="s">
        <v>598</v>
      </c>
      <c r="I896" s="184" t="s">
        <v>134</v>
      </c>
      <c r="J896" s="184" t="s">
        <v>70</v>
      </c>
      <c r="K896" s="184" t="s">
        <v>272</v>
      </c>
      <c r="L896" s="184" t="s">
        <v>598</v>
      </c>
      <c r="M896" s="184" t="s">
        <v>598</v>
      </c>
      <c r="N896" s="184" t="s">
        <v>85</v>
      </c>
      <c r="O896" s="184" t="s">
        <v>598</v>
      </c>
      <c r="P896" s="186" t="s">
        <v>602</v>
      </c>
      <c r="Q896" s="184" t="s">
        <v>598</v>
      </c>
      <c r="R896" s="184" t="s">
        <v>598</v>
      </c>
      <c r="S896" s="127" t="s">
        <v>598</v>
      </c>
      <c r="T896" s="184" t="s">
        <v>598</v>
      </c>
      <c r="U896" s="184" t="s">
        <v>598</v>
      </c>
      <c r="V896" s="185">
        <v>0</v>
      </c>
      <c r="W896" s="184" t="s">
        <v>485</v>
      </c>
      <c r="X896" s="184" t="s">
        <v>598</v>
      </c>
      <c r="Y896" s="185">
        <v>0</v>
      </c>
      <c r="Z896" s="184" t="s">
        <v>598</v>
      </c>
      <c r="AA896" s="21" t="s">
        <v>610</v>
      </c>
      <c r="AB896" s="176" t="s">
        <v>489</v>
      </c>
      <c r="AC896" s="172">
        <v>42996.328472222223</v>
      </c>
      <c r="AD896" s="32" t="s">
        <v>552</v>
      </c>
    </row>
    <row r="897" spans="1:30">
      <c r="A897" s="184">
        <v>896</v>
      </c>
      <c r="B897" s="184" t="s">
        <v>2414</v>
      </c>
      <c r="C897" s="184" t="s">
        <v>598</v>
      </c>
      <c r="D897" s="127">
        <v>42888</v>
      </c>
      <c r="E897" s="127" t="s">
        <v>598</v>
      </c>
      <c r="F897" s="184" t="s">
        <v>2415</v>
      </c>
      <c r="G897" s="185">
        <v>0</v>
      </c>
      <c r="H897" s="184" t="s">
        <v>598</v>
      </c>
      <c r="I897" s="184" t="s">
        <v>126</v>
      </c>
      <c r="J897" s="184" t="s">
        <v>77</v>
      </c>
      <c r="K897" s="184" t="s">
        <v>162</v>
      </c>
      <c r="L897" s="184" t="s">
        <v>598</v>
      </c>
      <c r="M897" s="184" t="s">
        <v>598</v>
      </c>
      <c r="N897" s="184" t="s">
        <v>85</v>
      </c>
      <c r="O897" s="184" t="s">
        <v>598</v>
      </c>
      <c r="P897" s="186" t="s">
        <v>603</v>
      </c>
      <c r="Q897" s="184" t="s">
        <v>598</v>
      </c>
      <c r="R897" s="184" t="s">
        <v>598</v>
      </c>
      <c r="S897" s="127">
        <v>42888</v>
      </c>
      <c r="T897" s="184" t="s">
        <v>10</v>
      </c>
      <c r="U897" s="184" t="s">
        <v>598</v>
      </c>
      <c r="V897" s="185">
        <v>1000</v>
      </c>
      <c r="W897" s="184" t="s">
        <v>493</v>
      </c>
      <c r="X897" s="184" t="s">
        <v>598</v>
      </c>
      <c r="Y897" s="185">
        <v>0</v>
      </c>
      <c r="Z897" s="184" t="s">
        <v>598</v>
      </c>
      <c r="AA897" s="21" t="s">
        <v>610</v>
      </c>
      <c r="AB897" s="176" t="s">
        <v>489</v>
      </c>
      <c r="AC897" s="172">
        <v>42996.328472222223</v>
      </c>
      <c r="AD897" s="32" t="s">
        <v>552</v>
      </c>
    </row>
    <row r="898" spans="1:30">
      <c r="A898" s="184">
        <v>897</v>
      </c>
      <c r="B898" s="184" t="s">
        <v>2416</v>
      </c>
      <c r="C898" s="184" t="s">
        <v>598</v>
      </c>
      <c r="D898" s="127">
        <v>42889</v>
      </c>
      <c r="E898" s="127" t="s">
        <v>598</v>
      </c>
      <c r="F898" s="184" t="s">
        <v>2417</v>
      </c>
      <c r="G898" s="185">
        <v>0</v>
      </c>
      <c r="H898" s="184" t="s">
        <v>598</v>
      </c>
      <c r="I898" s="184" t="s">
        <v>126</v>
      </c>
      <c r="J898" s="184" t="s">
        <v>77</v>
      </c>
      <c r="K898" s="184" t="s">
        <v>162</v>
      </c>
      <c r="L898" s="184" t="s">
        <v>598</v>
      </c>
      <c r="M898" s="184" t="s">
        <v>598</v>
      </c>
      <c r="N898" s="184" t="s">
        <v>85</v>
      </c>
      <c r="O898" s="184" t="s">
        <v>598</v>
      </c>
      <c r="P898" s="186" t="s">
        <v>604</v>
      </c>
      <c r="Q898" s="184" t="s">
        <v>598</v>
      </c>
      <c r="R898" s="184" t="s">
        <v>598</v>
      </c>
      <c r="S898" s="127">
        <v>42888</v>
      </c>
      <c r="T898" s="184" t="s">
        <v>10</v>
      </c>
      <c r="U898" s="184" t="s">
        <v>598</v>
      </c>
      <c r="V898" s="185">
        <v>1000</v>
      </c>
      <c r="W898" s="184" t="s">
        <v>493</v>
      </c>
      <c r="X898" s="184" t="s">
        <v>598</v>
      </c>
      <c r="Y898" s="185">
        <v>0</v>
      </c>
      <c r="Z898" s="184" t="s">
        <v>598</v>
      </c>
      <c r="AA898" s="21" t="s">
        <v>610</v>
      </c>
      <c r="AB898" s="176" t="s">
        <v>489</v>
      </c>
      <c r="AC898" s="172">
        <v>42996.328472222223</v>
      </c>
      <c r="AD898" s="32" t="s">
        <v>552</v>
      </c>
    </row>
    <row r="899" spans="1:30">
      <c r="A899" s="184">
        <v>898</v>
      </c>
      <c r="B899" s="184" t="s">
        <v>2418</v>
      </c>
      <c r="C899" s="184" t="s">
        <v>598</v>
      </c>
      <c r="D899" s="127">
        <v>42891</v>
      </c>
      <c r="E899" s="127" t="s">
        <v>598</v>
      </c>
      <c r="F899" s="184" t="s">
        <v>2419</v>
      </c>
      <c r="G899" s="185">
        <v>0</v>
      </c>
      <c r="H899" s="184" t="s">
        <v>598</v>
      </c>
      <c r="I899" s="184" t="s">
        <v>118</v>
      </c>
      <c r="J899" s="184" t="s">
        <v>77</v>
      </c>
      <c r="K899" s="184" t="s">
        <v>242</v>
      </c>
      <c r="L899" s="184" t="s">
        <v>598</v>
      </c>
      <c r="M899" s="184" t="s">
        <v>598</v>
      </c>
      <c r="N899" s="184" t="s">
        <v>85</v>
      </c>
      <c r="O899" s="184" t="s">
        <v>85</v>
      </c>
      <c r="P899" s="186" t="s">
        <v>605</v>
      </c>
      <c r="Q899" s="184" t="s">
        <v>598</v>
      </c>
      <c r="R899" s="184" t="s">
        <v>598</v>
      </c>
      <c r="S899" s="127" t="s">
        <v>598</v>
      </c>
      <c r="T899" s="184" t="s">
        <v>598</v>
      </c>
      <c r="U899" s="184" t="s">
        <v>598</v>
      </c>
      <c r="V899" s="185">
        <v>0</v>
      </c>
      <c r="W899" s="184" t="s">
        <v>485</v>
      </c>
      <c r="X899" s="184" t="s">
        <v>598</v>
      </c>
      <c r="Y899" s="185">
        <v>0</v>
      </c>
      <c r="Z899" s="184" t="s">
        <v>598</v>
      </c>
      <c r="AA899" s="21" t="s">
        <v>610</v>
      </c>
      <c r="AB899" s="176" t="s">
        <v>489</v>
      </c>
      <c r="AC899" s="172">
        <v>42996.328472222223</v>
      </c>
      <c r="AD899" s="32" t="s">
        <v>552</v>
      </c>
    </row>
    <row r="900" spans="1:30">
      <c r="A900" s="184">
        <v>899</v>
      </c>
      <c r="B900" s="184" t="s">
        <v>2420</v>
      </c>
      <c r="C900" s="184" t="s">
        <v>598</v>
      </c>
      <c r="D900" s="127">
        <v>42893</v>
      </c>
      <c r="E900" s="127" t="s">
        <v>598</v>
      </c>
      <c r="F900" s="184" t="s">
        <v>2421</v>
      </c>
      <c r="G900" s="185">
        <v>0</v>
      </c>
      <c r="H900" s="184" t="s">
        <v>598</v>
      </c>
      <c r="I900" s="184" t="s">
        <v>130</v>
      </c>
      <c r="J900" s="184" t="s">
        <v>77</v>
      </c>
      <c r="K900" s="184" t="s">
        <v>183</v>
      </c>
      <c r="L900" s="184" t="s">
        <v>598</v>
      </c>
      <c r="M900" s="184" t="s">
        <v>598</v>
      </c>
      <c r="N900" s="184" t="s">
        <v>85</v>
      </c>
      <c r="O900" s="184" t="s">
        <v>98</v>
      </c>
      <c r="P900" s="186"/>
      <c r="Q900" s="184" t="s">
        <v>598</v>
      </c>
      <c r="R900" s="184" t="s">
        <v>598</v>
      </c>
      <c r="S900" s="127">
        <v>42900</v>
      </c>
      <c r="T900" s="184" t="s">
        <v>10</v>
      </c>
      <c r="U900" s="184" t="s">
        <v>598</v>
      </c>
      <c r="V900" s="185">
        <v>5175</v>
      </c>
      <c r="W900" s="184" t="s">
        <v>493</v>
      </c>
      <c r="X900" s="184" t="s">
        <v>598</v>
      </c>
      <c r="Y900" s="185">
        <v>0</v>
      </c>
      <c r="Z900" s="184" t="s">
        <v>598</v>
      </c>
      <c r="AA900" s="21" t="s">
        <v>610</v>
      </c>
      <c r="AB900" s="176" t="s">
        <v>489</v>
      </c>
      <c r="AC900" s="172">
        <v>42996.328472222223</v>
      </c>
      <c r="AD900" s="32" t="s">
        <v>552</v>
      </c>
    </row>
    <row r="901" spans="1:30">
      <c r="A901" s="184">
        <v>900</v>
      </c>
      <c r="B901" s="184" t="s">
        <v>2422</v>
      </c>
      <c r="C901" s="184" t="s">
        <v>598</v>
      </c>
      <c r="D901" s="127">
        <v>42896</v>
      </c>
      <c r="E901" s="127" t="s">
        <v>598</v>
      </c>
      <c r="F901" s="184" t="s">
        <v>2423</v>
      </c>
      <c r="G901" s="185">
        <v>0</v>
      </c>
      <c r="H901" s="184" t="s">
        <v>598</v>
      </c>
      <c r="I901" s="184" t="s">
        <v>134</v>
      </c>
      <c r="J901" s="184" t="s">
        <v>77</v>
      </c>
      <c r="K901" s="184" t="s">
        <v>183</v>
      </c>
      <c r="L901" s="184" t="s">
        <v>598</v>
      </c>
      <c r="M901" s="184" t="s">
        <v>598</v>
      </c>
      <c r="N901" s="184" t="s">
        <v>85</v>
      </c>
      <c r="O901" s="184" t="s">
        <v>598</v>
      </c>
      <c r="P901" s="186" t="s">
        <v>607</v>
      </c>
      <c r="Q901" s="184" t="s">
        <v>598</v>
      </c>
      <c r="R901" s="184" t="s">
        <v>598</v>
      </c>
      <c r="S901" s="127">
        <v>42910</v>
      </c>
      <c r="T901" s="184" t="s">
        <v>34</v>
      </c>
      <c r="U901" s="184" t="s">
        <v>598</v>
      </c>
      <c r="V901" s="185">
        <v>4000</v>
      </c>
      <c r="W901" s="184" t="s">
        <v>493</v>
      </c>
      <c r="X901" s="184" t="s">
        <v>598</v>
      </c>
      <c r="Y901" s="185">
        <v>0</v>
      </c>
      <c r="Z901" s="184" t="s">
        <v>598</v>
      </c>
      <c r="AA901" s="21" t="s">
        <v>610</v>
      </c>
      <c r="AB901" s="176" t="s">
        <v>489</v>
      </c>
      <c r="AC901" s="172">
        <v>42996.328472222223</v>
      </c>
      <c r="AD901" s="32" t="s">
        <v>552</v>
      </c>
    </row>
    <row r="902" spans="1:30">
      <c r="A902" s="184">
        <v>901</v>
      </c>
      <c r="B902" s="184" t="s">
        <v>2424</v>
      </c>
      <c r="C902" s="184" t="s">
        <v>598</v>
      </c>
      <c r="D902" s="127">
        <v>42899</v>
      </c>
      <c r="E902" s="127" t="s">
        <v>598</v>
      </c>
      <c r="F902" s="184" t="s">
        <v>2425</v>
      </c>
      <c r="G902" s="185">
        <v>0</v>
      </c>
      <c r="H902" s="184" t="s">
        <v>598</v>
      </c>
      <c r="I902" s="184" t="s">
        <v>134</v>
      </c>
      <c r="J902" s="184" t="s">
        <v>77</v>
      </c>
      <c r="K902" s="184" t="s">
        <v>242</v>
      </c>
      <c r="L902" s="184" t="s">
        <v>598</v>
      </c>
      <c r="M902" s="184" t="s">
        <v>598</v>
      </c>
      <c r="N902" s="184" t="s">
        <v>85</v>
      </c>
      <c r="O902" s="184" t="s">
        <v>98</v>
      </c>
      <c r="P902" s="186" t="s">
        <v>73</v>
      </c>
      <c r="Q902" s="184" t="s">
        <v>598</v>
      </c>
      <c r="R902" s="184" t="s">
        <v>598</v>
      </c>
      <c r="S902" s="127">
        <v>42899</v>
      </c>
      <c r="T902" s="184" t="s">
        <v>34</v>
      </c>
      <c r="U902" s="184" t="s">
        <v>598</v>
      </c>
      <c r="V902" s="185">
        <v>4000</v>
      </c>
      <c r="W902" s="184" t="s">
        <v>493</v>
      </c>
      <c r="X902" s="184" t="s">
        <v>598</v>
      </c>
      <c r="Y902" s="185">
        <v>0</v>
      </c>
      <c r="Z902" s="184" t="s">
        <v>598</v>
      </c>
      <c r="AA902" s="21" t="s">
        <v>610</v>
      </c>
      <c r="AB902" s="176" t="s">
        <v>489</v>
      </c>
      <c r="AC902" s="172">
        <v>42996.328472222223</v>
      </c>
      <c r="AD902" s="32" t="s">
        <v>552</v>
      </c>
    </row>
    <row r="903" spans="1:30">
      <c r="A903" s="184">
        <v>902</v>
      </c>
      <c r="B903" s="184" t="s">
        <v>2426</v>
      </c>
      <c r="C903" s="184" t="s">
        <v>598</v>
      </c>
      <c r="D903" s="127">
        <v>42899</v>
      </c>
      <c r="E903" s="127" t="s">
        <v>598</v>
      </c>
      <c r="F903" s="184" t="s">
        <v>2427</v>
      </c>
      <c r="G903" s="185">
        <v>0</v>
      </c>
      <c r="H903" s="184" t="s">
        <v>598</v>
      </c>
      <c r="I903" s="184" t="s">
        <v>127</v>
      </c>
      <c r="J903" s="184" t="s">
        <v>77</v>
      </c>
      <c r="K903" s="184" t="s">
        <v>183</v>
      </c>
      <c r="L903" s="184" t="s">
        <v>598</v>
      </c>
      <c r="M903" s="184" t="s">
        <v>598</v>
      </c>
      <c r="N903" s="184" t="s">
        <v>85</v>
      </c>
      <c r="O903" s="184" t="s">
        <v>598</v>
      </c>
      <c r="P903" s="186" t="s">
        <v>601</v>
      </c>
      <c r="Q903" s="184" t="s">
        <v>598</v>
      </c>
      <c r="R903" s="184" t="s">
        <v>598</v>
      </c>
      <c r="S903" s="127" t="s">
        <v>598</v>
      </c>
      <c r="T903" s="184" t="s">
        <v>598</v>
      </c>
      <c r="U903" s="184" t="s">
        <v>598</v>
      </c>
      <c r="V903" s="185">
        <v>0</v>
      </c>
      <c r="W903" s="184" t="s">
        <v>485</v>
      </c>
      <c r="X903" s="184" t="s">
        <v>598</v>
      </c>
      <c r="Y903" s="185">
        <v>0</v>
      </c>
      <c r="Z903" s="184" t="s">
        <v>598</v>
      </c>
      <c r="AA903" s="21" t="s">
        <v>610</v>
      </c>
      <c r="AB903" s="176" t="s">
        <v>489</v>
      </c>
      <c r="AC903" s="172">
        <v>42996.328472222223</v>
      </c>
      <c r="AD903" s="32" t="s">
        <v>552</v>
      </c>
    </row>
    <row r="904" spans="1:30">
      <c r="A904" s="184">
        <v>903</v>
      </c>
      <c r="B904" s="184" t="s">
        <v>2428</v>
      </c>
      <c r="C904" s="184" t="s">
        <v>598</v>
      </c>
      <c r="D904" s="127">
        <v>42900</v>
      </c>
      <c r="E904" s="127" t="s">
        <v>598</v>
      </c>
      <c r="F904" s="184" t="s">
        <v>2429</v>
      </c>
      <c r="G904" s="185">
        <v>0</v>
      </c>
      <c r="H904" s="184" t="s">
        <v>598</v>
      </c>
      <c r="I904" s="184" t="s">
        <v>118</v>
      </c>
      <c r="J904" s="184" t="s">
        <v>77</v>
      </c>
      <c r="K904" s="184" t="s">
        <v>242</v>
      </c>
      <c r="L904" s="184" t="s">
        <v>598</v>
      </c>
      <c r="M904" s="184" t="s">
        <v>598</v>
      </c>
      <c r="N904" s="184" t="s">
        <v>85</v>
      </c>
      <c r="O904" s="184" t="s">
        <v>98</v>
      </c>
      <c r="P904" s="186" t="s">
        <v>32</v>
      </c>
      <c r="Q904" s="184" t="s">
        <v>598</v>
      </c>
      <c r="R904" s="184" t="s">
        <v>598</v>
      </c>
      <c r="S904" s="127">
        <v>42901</v>
      </c>
      <c r="T904" s="184" t="s">
        <v>34</v>
      </c>
      <c r="U904" s="184" t="s">
        <v>598</v>
      </c>
      <c r="V904" s="185">
        <v>2500</v>
      </c>
      <c r="W904" s="184" t="s">
        <v>493</v>
      </c>
      <c r="X904" s="184" t="s">
        <v>598</v>
      </c>
      <c r="Y904" s="185">
        <v>0</v>
      </c>
      <c r="Z904" s="184" t="s">
        <v>598</v>
      </c>
      <c r="AA904" s="21" t="s">
        <v>610</v>
      </c>
      <c r="AB904" s="176" t="s">
        <v>489</v>
      </c>
      <c r="AC904" s="172">
        <v>42996.328472222223</v>
      </c>
      <c r="AD904" s="32" t="s">
        <v>552</v>
      </c>
    </row>
    <row r="905" spans="1:30">
      <c r="A905" s="184">
        <v>904</v>
      </c>
      <c r="B905" s="184" t="s">
        <v>2430</v>
      </c>
      <c r="C905" s="184" t="s">
        <v>598</v>
      </c>
      <c r="D905" s="127">
        <v>42900</v>
      </c>
      <c r="E905" s="127" t="s">
        <v>598</v>
      </c>
      <c r="F905" s="184" t="s">
        <v>2429</v>
      </c>
      <c r="G905" s="185">
        <v>0</v>
      </c>
      <c r="H905" s="184" t="s">
        <v>598</v>
      </c>
      <c r="I905" s="184" t="s">
        <v>122</v>
      </c>
      <c r="J905" s="184" t="s">
        <v>77</v>
      </c>
      <c r="K905" s="184" t="s">
        <v>242</v>
      </c>
      <c r="L905" s="184" t="s">
        <v>598</v>
      </c>
      <c r="M905" s="184" t="s">
        <v>598</v>
      </c>
      <c r="N905" s="184" t="s">
        <v>85</v>
      </c>
      <c r="O905" s="184" t="s">
        <v>98</v>
      </c>
      <c r="P905" s="186" t="s">
        <v>53</v>
      </c>
      <c r="Q905" s="184" t="s">
        <v>598</v>
      </c>
      <c r="R905" s="184" t="s">
        <v>598</v>
      </c>
      <c r="S905" s="127">
        <v>42901</v>
      </c>
      <c r="T905" s="184" t="s">
        <v>34</v>
      </c>
      <c r="U905" s="184" t="s">
        <v>598</v>
      </c>
      <c r="V905" s="185">
        <v>2500</v>
      </c>
      <c r="W905" s="184" t="s">
        <v>493</v>
      </c>
      <c r="X905" s="184" t="s">
        <v>598</v>
      </c>
      <c r="Y905" s="185">
        <v>0</v>
      </c>
      <c r="Z905" s="184" t="s">
        <v>598</v>
      </c>
      <c r="AA905" s="21" t="s">
        <v>610</v>
      </c>
      <c r="AB905" s="176" t="s">
        <v>489</v>
      </c>
      <c r="AC905" s="172">
        <v>42996.328472222223</v>
      </c>
      <c r="AD905" s="32" t="s">
        <v>552</v>
      </c>
    </row>
    <row r="906" spans="1:30">
      <c r="A906" s="184">
        <v>905</v>
      </c>
      <c r="B906" s="184" t="s">
        <v>2431</v>
      </c>
      <c r="C906" s="184" t="s">
        <v>598</v>
      </c>
      <c r="D906" s="127">
        <v>42902</v>
      </c>
      <c r="E906" s="127" t="s">
        <v>598</v>
      </c>
      <c r="F906" s="184" t="s">
        <v>2432</v>
      </c>
      <c r="G906" s="185">
        <v>0</v>
      </c>
      <c r="H906" s="184" t="s">
        <v>598</v>
      </c>
      <c r="I906" s="184" t="s">
        <v>134</v>
      </c>
      <c r="J906" s="184" t="s">
        <v>77</v>
      </c>
      <c r="K906" s="184" t="s">
        <v>183</v>
      </c>
      <c r="L906" s="184" t="s">
        <v>598</v>
      </c>
      <c r="M906" s="184" t="s">
        <v>598</v>
      </c>
      <c r="N906" s="184" t="s">
        <v>85</v>
      </c>
      <c r="O906" s="184" t="s">
        <v>85</v>
      </c>
      <c r="P906" s="186" t="s">
        <v>44</v>
      </c>
      <c r="Q906" s="184" t="s">
        <v>598</v>
      </c>
      <c r="R906" s="184" t="s">
        <v>598</v>
      </c>
      <c r="S906" s="127" t="s">
        <v>598</v>
      </c>
      <c r="T906" s="184" t="s">
        <v>598</v>
      </c>
      <c r="U906" s="184" t="s">
        <v>598</v>
      </c>
      <c r="V906" s="185">
        <v>0</v>
      </c>
      <c r="W906" s="184" t="s">
        <v>485</v>
      </c>
      <c r="X906" s="184" t="s">
        <v>598</v>
      </c>
      <c r="Y906" s="185">
        <v>0</v>
      </c>
      <c r="Z906" s="184" t="s">
        <v>598</v>
      </c>
      <c r="AA906" s="21" t="s">
        <v>610</v>
      </c>
      <c r="AB906" s="176" t="s">
        <v>489</v>
      </c>
      <c r="AC906" s="172">
        <v>42996.328472222223</v>
      </c>
      <c r="AD906" s="32" t="s">
        <v>552</v>
      </c>
    </row>
    <row r="907" spans="1:30">
      <c r="A907" s="184">
        <v>906</v>
      </c>
      <c r="B907" s="184" t="s">
        <v>2433</v>
      </c>
      <c r="C907" s="184" t="s">
        <v>598</v>
      </c>
      <c r="D907" s="127">
        <v>42905</v>
      </c>
      <c r="E907" s="127" t="s">
        <v>598</v>
      </c>
      <c r="F907" s="184" t="s">
        <v>2434</v>
      </c>
      <c r="G907" s="185">
        <v>0</v>
      </c>
      <c r="H907" s="184" t="s">
        <v>598</v>
      </c>
      <c r="I907" s="184" t="s">
        <v>118</v>
      </c>
      <c r="J907" s="184" t="s">
        <v>77</v>
      </c>
      <c r="K907" s="184" t="s">
        <v>183</v>
      </c>
      <c r="L907" s="184" t="s">
        <v>598</v>
      </c>
      <c r="M907" s="184" t="s">
        <v>598</v>
      </c>
      <c r="N907" s="184" t="s">
        <v>85</v>
      </c>
      <c r="O907" s="184" t="s">
        <v>598</v>
      </c>
      <c r="P907" s="186" t="s">
        <v>67</v>
      </c>
      <c r="Q907" s="184" t="s">
        <v>598</v>
      </c>
      <c r="R907" s="184" t="s">
        <v>598</v>
      </c>
      <c r="S907" s="127" t="s">
        <v>598</v>
      </c>
      <c r="T907" s="184" t="s">
        <v>598</v>
      </c>
      <c r="U907" s="184" t="s">
        <v>598</v>
      </c>
      <c r="V907" s="185">
        <v>0</v>
      </c>
      <c r="W907" s="184" t="s">
        <v>485</v>
      </c>
      <c r="X907" s="184" t="s">
        <v>598</v>
      </c>
      <c r="Y907" s="185">
        <v>0</v>
      </c>
      <c r="Z907" s="184" t="s">
        <v>598</v>
      </c>
      <c r="AA907" s="21" t="s">
        <v>610</v>
      </c>
      <c r="AB907" s="176" t="s">
        <v>489</v>
      </c>
      <c r="AC907" s="172">
        <v>42996.328472222223</v>
      </c>
      <c r="AD907" s="32" t="s">
        <v>552</v>
      </c>
    </row>
    <row r="908" spans="1:30">
      <c r="A908" s="184">
        <v>907</v>
      </c>
      <c r="B908" s="184" t="s">
        <v>2435</v>
      </c>
      <c r="C908" s="184" t="s">
        <v>598</v>
      </c>
      <c r="D908" s="127">
        <v>42906</v>
      </c>
      <c r="E908" s="127" t="s">
        <v>598</v>
      </c>
      <c r="F908" s="184" t="s">
        <v>86</v>
      </c>
      <c r="G908" s="185">
        <v>0</v>
      </c>
      <c r="H908" s="184" t="s">
        <v>598</v>
      </c>
      <c r="I908" s="184" t="s">
        <v>598</v>
      </c>
      <c r="J908" s="184" t="s">
        <v>77</v>
      </c>
      <c r="K908" s="184" t="s">
        <v>598</v>
      </c>
      <c r="L908" s="184" t="s">
        <v>598</v>
      </c>
      <c r="M908" s="184" t="s">
        <v>598</v>
      </c>
      <c r="N908" s="184" t="s">
        <v>85</v>
      </c>
      <c r="O908" s="184" t="s">
        <v>598</v>
      </c>
      <c r="P908" s="186" t="s">
        <v>602</v>
      </c>
      <c r="Q908" s="184" t="s">
        <v>598</v>
      </c>
      <c r="R908" s="184" t="s">
        <v>598</v>
      </c>
      <c r="S908" s="127" t="s">
        <v>598</v>
      </c>
      <c r="T908" s="184" t="s">
        <v>598</v>
      </c>
      <c r="U908" s="184" t="s">
        <v>598</v>
      </c>
      <c r="V908" s="185">
        <v>0</v>
      </c>
      <c r="W908" s="184" t="s">
        <v>55</v>
      </c>
      <c r="X908" s="184" t="s">
        <v>598</v>
      </c>
      <c r="Y908" s="185">
        <v>0</v>
      </c>
      <c r="Z908" s="184" t="s">
        <v>598</v>
      </c>
      <c r="AA908" s="21" t="s">
        <v>822</v>
      </c>
      <c r="AB908" s="176" t="s">
        <v>489</v>
      </c>
      <c r="AC908" s="172">
        <v>42996.328472222223</v>
      </c>
      <c r="AD908" s="32" t="s">
        <v>552</v>
      </c>
    </row>
    <row r="909" spans="1:30">
      <c r="A909" s="184">
        <v>908</v>
      </c>
      <c r="B909" s="184" t="s">
        <v>2436</v>
      </c>
      <c r="C909" s="184" t="s">
        <v>598</v>
      </c>
      <c r="D909" s="127">
        <v>42909</v>
      </c>
      <c r="E909" s="127" t="s">
        <v>598</v>
      </c>
      <c r="F909" s="184" t="s">
        <v>2437</v>
      </c>
      <c r="G909" s="185">
        <v>0</v>
      </c>
      <c r="H909" s="184" t="s">
        <v>598</v>
      </c>
      <c r="I909" s="184" t="s">
        <v>135</v>
      </c>
      <c r="J909" s="184" t="s">
        <v>77</v>
      </c>
      <c r="K909" s="184" t="s">
        <v>183</v>
      </c>
      <c r="L909" s="184" t="s">
        <v>598</v>
      </c>
      <c r="M909" s="184" t="s">
        <v>598</v>
      </c>
      <c r="N909" s="184" t="s">
        <v>85</v>
      </c>
      <c r="O909" s="184" t="s">
        <v>98</v>
      </c>
      <c r="P909" s="186" t="s">
        <v>603</v>
      </c>
      <c r="Q909" s="184" t="s">
        <v>598</v>
      </c>
      <c r="R909" s="184" t="s">
        <v>598</v>
      </c>
      <c r="S909" s="127">
        <v>42909</v>
      </c>
      <c r="T909" s="184" t="s">
        <v>10</v>
      </c>
      <c r="U909" s="184" t="s">
        <v>598</v>
      </c>
      <c r="V909" s="185">
        <v>3000</v>
      </c>
      <c r="W909" s="184" t="s">
        <v>493</v>
      </c>
      <c r="X909" s="184" t="s">
        <v>598</v>
      </c>
      <c r="Y909" s="185">
        <v>0</v>
      </c>
      <c r="Z909" s="184" t="s">
        <v>598</v>
      </c>
      <c r="AA909" s="21" t="s">
        <v>610</v>
      </c>
      <c r="AB909" s="176" t="s">
        <v>489</v>
      </c>
      <c r="AC909" s="172">
        <v>42996.328472222223</v>
      </c>
      <c r="AD909" s="32" t="s">
        <v>552</v>
      </c>
    </row>
    <row r="910" spans="1:30">
      <c r="A910" s="184">
        <v>909</v>
      </c>
      <c r="B910" s="184" t="s">
        <v>2438</v>
      </c>
      <c r="C910" s="184" t="s">
        <v>598</v>
      </c>
      <c r="D910" s="127">
        <v>42916</v>
      </c>
      <c r="E910" s="127" t="s">
        <v>598</v>
      </c>
      <c r="F910" s="184" t="s">
        <v>2439</v>
      </c>
      <c r="G910" s="185">
        <v>0</v>
      </c>
      <c r="H910" s="184" t="s">
        <v>598</v>
      </c>
      <c r="I910" s="184" t="s">
        <v>127</v>
      </c>
      <c r="J910" s="184" t="s">
        <v>77</v>
      </c>
      <c r="K910" s="184" t="s">
        <v>598</v>
      </c>
      <c r="L910" s="184" t="s">
        <v>598</v>
      </c>
      <c r="M910" s="184" t="s">
        <v>598</v>
      </c>
      <c r="N910" s="184" t="s">
        <v>85</v>
      </c>
      <c r="O910" s="184" t="s">
        <v>598</v>
      </c>
      <c r="P910" s="186" t="s">
        <v>604</v>
      </c>
      <c r="Q910" s="184" t="s">
        <v>598</v>
      </c>
      <c r="R910" s="184" t="s">
        <v>598</v>
      </c>
      <c r="S910" s="127" t="s">
        <v>598</v>
      </c>
      <c r="T910" s="184" t="s">
        <v>598</v>
      </c>
      <c r="U910" s="184" t="s">
        <v>598</v>
      </c>
      <c r="V910" s="185">
        <v>0</v>
      </c>
      <c r="W910" s="184" t="s">
        <v>485</v>
      </c>
      <c r="X910" s="184" t="s">
        <v>598</v>
      </c>
      <c r="Y910" s="185">
        <v>0</v>
      </c>
      <c r="Z910" s="184" t="s">
        <v>598</v>
      </c>
      <c r="AA910" s="21" t="s">
        <v>610</v>
      </c>
      <c r="AB910" s="176" t="s">
        <v>489</v>
      </c>
      <c r="AC910" s="172">
        <v>42996.328472222223</v>
      </c>
      <c r="AD910" s="32" t="s">
        <v>552</v>
      </c>
    </row>
    <row r="911" spans="1:30">
      <c r="A911" s="184">
        <v>910</v>
      </c>
      <c r="B911" s="184" t="s">
        <v>2440</v>
      </c>
      <c r="C911" s="184" t="s">
        <v>598</v>
      </c>
      <c r="D911" s="127">
        <v>42894</v>
      </c>
      <c r="E911" s="127" t="s">
        <v>598</v>
      </c>
      <c r="F911" s="184" t="s">
        <v>2441</v>
      </c>
      <c r="G911" s="185">
        <v>7951000</v>
      </c>
      <c r="H911" s="184" t="s">
        <v>598</v>
      </c>
      <c r="I911" s="184" t="s">
        <v>134</v>
      </c>
      <c r="J911" s="184" t="s">
        <v>551</v>
      </c>
      <c r="K911" s="184" t="s">
        <v>301</v>
      </c>
      <c r="L911" s="184" t="s">
        <v>598</v>
      </c>
      <c r="M911" s="184" t="s">
        <v>598</v>
      </c>
      <c r="N911" s="184" t="s">
        <v>85</v>
      </c>
      <c r="O911" s="184" t="s">
        <v>73</v>
      </c>
      <c r="P911" s="186" t="s">
        <v>605</v>
      </c>
      <c r="Q911" s="184" t="s">
        <v>598</v>
      </c>
      <c r="R911" s="184" t="s">
        <v>598</v>
      </c>
      <c r="S911" s="127">
        <v>42894</v>
      </c>
      <c r="T911" s="184" t="s">
        <v>34</v>
      </c>
      <c r="U911" s="184" t="s">
        <v>598</v>
      </c>
      <c r="V911" s="185">
        <v>3000</v>
      </c>
      <c r="W911" s="184" t="s">
        <v>493</v>
      </c>
      <c r="X911" s="184" t="s">
        <v>598</v>
      </c>
      <c r="Y911" s="185">
        <v>0</v>
      </c>
      <c r="Z911" s="184" t="s">
        <v>598</v>
      </c>
      <c r="AA911" s="21" t="s">
        <v>610</v>
      </c>
      <c r="AB911" s="176" t="s">
        <v>489</v>
      </c>
      <c r="AC911" s="172">
        <v>42996.328472222223</v>
      </c>
      <c r="AD911" s="32" t="s">
        <v>552</v>
      </c>
    </row>
    <row r="912" spans="1:30">
      <c r="A912" s="184">
        <v>911</v>
      </c>
      <c r="B912" s="184" t="s">
        <v>2442</v>
      </c>
      <c r="C912" s="184" t="s">
        <v>598</v>
      </c>
      <c r="D912" s="127">
        <v>42887</v>
      </c>
      <c r="E912" s="127" t="s">
        <v>598</v>
      </c>
      <c r="F912" s="184" t="s">
        <v>2443</v>
      </c>
      <c r="G912" s="185">
        <v>2370000</v>
      </c>
      <c r="H912" s="184" t="s">
        <v>598</v>
      </c>
      <c r="I912" s="184" t="s">
        <v>58</v>
      </c>
      <c r="J912" s="184" t="s">
        <v>551</v>
      </c>
      <c r="K912" s="184" t="s">
        <v>306</v>
      </c>
      <c r="L912" s="184" t="s">
        <v>598</v>
      </c>
      <c r="M912" s="184" t="s">
        <v>598</v>
      </c>
      <c r="N912" s="184" t="s">
        <v>85</v>
      </c>
      <c r="O912" s="184" t="s">
        <v>98</v>
      </c>
      <c r="P912" s="186"/>
      <c r="Q912" s="184" t="s">
        <v>598</v>
      </c>
      <c r="R912" s="184" t="s">
        <v>598</v>
      </c>
      <c r="S912" s="127">
        <v>42888</v>
      </c>
      <c r="T912" s="184" t="s">
        <v>34</v>
      </c>
      <c r="U912" s="184" t="s">
        <v>598</v>
      </c>
      <c r="V912" s="185">
        <v>3500</v>
      </c>
      <c r="W912" s="184" t="s">
        <v>493</v>
      </c>
      <c r="X912" s="184" t="s">
        <v>598</v>
      </c>
      <c r="Y912" s="185">
        <v>0</v>
      </c>
      <c r="Z912" s="184" t="s">
        <v>598</v>
      </c>
      <c r="AA912" s="21" t="s">
        <v>610</v>
      </c>
      <c r="AB912" s="176" t="s">
        <v>489</v>
      </c>
      <c r="AC912" s="172">
        <v>42996.328472222223</v>
      </c>
      <c r="AD912" s="32" t="s">
        <v>552</v>
      </c>
    </row>
    <row r="913" spans="1:30">
      <c r="A913" s="184">
        <v>912</v>
      </c>
      <c r="B913" s="184" t="s">
        <v>2444</v>
      </c>
      <c r="C913" s="184" t="s">
        <v>598</v>
      </c>
      <c r="D913" s="127">
        <v>42885</v>
      </c>
      <c r="E913" s="127" t="s">
        <v>598</v>
      </c>
      <c r="F913" s="184" t="s">
        <v>2445</v>
      </c>
      <c r="G913" s="185">
        <v>55858000</v>
      </c>
      <c r="H913" s="184" t="s">
        <v>598</v>
      </c>
      <c r="I913" s="184" t="s">
        <v>598</v>
      </c>
      <c r="J913" s="184" t="s">
        <v>551</v>
      </c>
      <c r="K913" s="184" t="s">
        <v>307</v>
      </c>
      <c r="L913" s="184" t="s">
        <v>598</v>
      </c>
      <c r="M913" s="184" t="s">
        <v>598</v>
      </c>
      <c r="N913" s="184" t="s">
        <v>85</v>
      </c>
      <c r="O913" s="184" t="s">
        <v>598</v>
      </c>
      <c r="P913" s="186" t="s">
        <v>607</v>
      </c>
      <c r="Q913" s="184" t="s">
        <v>598</v>
      </c>
      <c r="R913" s="184" t="s">
        <v>598</v>
      </c>
      <c r="S913" s="127" t="s">
        <v>598</v>
      </c>
      <c r="T913" s="184" t="s">
        <v>598</v>
      </c>
      <c r="U913" s="184" t="s">
        <v>598</v>
      </c>
      <c r="V913" s="185">
        <v>0</v>
      </c>
      <c r="W913" s="184" t="s">
        <v>485</v>
      </c>
      <c r="X913" s="184" t="s">
        <v>598</v>
      </c>
      <c r="Y913" s="185">
        <v>0</v>
      </c>
      <c r="Z913" s="184" t="s">
        <v>598</v>
      </c>
      <c r="AA913" s="21" t="s">
        <v>610</v>
      </c>
      <c r="AB913" s="176" t="s">
        <v>489</v>
      </c>
      <c r="AC913" s="172">
        <v>42996.328472222223</v>
      </c>
      <c r="AD913" s="32" t="s">
        <v>552</v>
      </c>
    </row>
    <row r="914" spans="1:30">
      <c r="A914" s="184">
        <v>913</v>
      </c>
      <c r="B914" s="184" t="s">
        <v>2446</v>
      </c>
      <c r="C914" s="184" t="s">
        <v>598</v>
      </c>
      <c r="D914" s="127">
        <v>42373</v>
      </c>
      <c r="E914" s="127" t="s">
        <v>598</v>
      </c>
      <c r="F914" s="184" t="s">
        <v>2447</v>
      </c>
      <c r="G914" s="185">
        <v>0</v>
      </c>
      <c r="H914" s="184" t="s">
        <v>598</v>
      </c>
      <c r="I914" s="184" t="s">
        <v>598</v>
      </c>
      <c r="J914" s="184" t="s">
        <v>70</v>
      </c>
      <c r="K914" s="184" t="s">
        <v>313</v>
      </c>
      <c r="L914" s="184" t="s">
        <v>598</v>
      </c>
      <c r="M914" s="184" t="s">
        <v>598</v>
      </c>
      <c r="N914" s="184" t="s">
        <v>85</v>
      </c>
      <c r="O914" s="184" t="s">
        <v>598</v>
      </c>
      <c r="P914" s="186" t="s">
        <v>73</v>
      </c>
      <c r="Q914" s="184" t="s">
        <v>598</v>
      </c>
      <c r="R914" s="184" t="s">
        <v>598</v>
      </c>
      <c r="S914" s="127" t="s">
        <v>598</v>
      </c>
      <c r="T914" s="184" t="s">
        <v>598</v>
      </c>
      <c r="U914" s="184" t="s">
        <v>598</v>
      </c>
      <c r="V914" s="185">
        <v>0</v>
      </c>
      <c r="W914" s="184" t="s">
        <v>485</v>
      </c>
      <c r="X914" s="184" t="s">
        <v>598</v>
      </c>
      <c r="Y914" s="185">
        <v>0</v>
      </c>
      <c r="Z914" s="184" t="s">
        <v>598</v>
      </c>
      <c r="AA914" s="21" t="s">
        <v>610</v>
      </c>
      <c r="AB914" s="176" t="s">
        <v>489</v>
      </c>
      <c r="AC914" s="172">
        <v>42996.328472222223</v>
      </c>
      <c r="AD914" s="32" t="s">
        <v>552</v>
      </c>
    </row>
    <row r="915" spans="1:30">
      <c r="A915" s="184">
        <v>914</v>
      </c>
      <c r="B915" s="184" t="s">
        <v>2448</v>
      </c>
      <c r="C915" s="184" t="s">
        <v>598</v>
      </c>
      <c r="D915" s="127">
        <v>42884</v>
      </c>
      <c r="E915" s="127" t="s">
        <v>598</v>
      </c>
      <c r="F915" s="184" t="s">
        <v>2449</v>
      </c>
      <c r="G915" s="185">
        <v>4750000</v>
      </c>
      <c r="H915" s="184" t="s">
        <v>598</v>
      </c>
      <c r="I915" s="184" t="s">
        <v>118</v>
      </c>
      <c r="J915" s="184" t="s">
        <v>551</v>
      </c>
      <c r="K915" s="184" t="s">
        <v>306</v>
      </c>
      <c r="L915" s="184" t="s">
        <v>598</v>
      </c>
      <c r="M915" s="184" t="s">
        <v>598</v>
      </c>
      <c r="N915" s="184" t="s">
        <v>85</v>
      </c>
      <c r="O915" s="184" t="s">
        <v>598</v>
      </c>
      <c r="P915" s="186" t="s">
        <v>601</v>
      </c>
      <c r="Q915" s="184" t="s">
        <v>598</v>
      </c>
      <c r="R915" s="184" t="s">
        <v>598</v>
      </c>
      <c r="S915" s="127">
        <v>42899</v>
      </c>
      <c r="T915" s="184" t="s">
        <v>10</v>
      </c>
      <c r="U915" s="184" t="s">
        <v>598</v>
      </c>
      <c r="V915" s="185">
        <v>2000</v>
      </c>
      <c r="W915" s="184" t="s">
        <v>493</v>
      </c>
      <c r="X915" s="184" t="s">
        <v>598</v>
      </c>
      <c r="Y915" s="185">
        <v>0</v>
      </c>
      <c r="Z915" s="184" t="s">
        <v>598</v>
      </c>
      <c r="AA915" s="21" t="s">
        <v>610</v>
      </c>
      <c r="AB915" s="176" t="s">
        <v>489</v>
      </c>
      <c r="AC915" s="172">
        <v>42996.328472222223</v>
      </c>
      <c r="AD915" s="32" t="s">
        <v>552</v>
      </c>
    </row>
    <row r="916" spans="1:30">
      <c r="A916" s="184">
        <v>915</v>
      </c>
      <c r="B916" s="184" t="s">
        <v>2450</v>
      </c>
      <c r="C916" s="184" t="s">
        <v>598</v>
      </c>
      <c r="D916" s="127">
        <v>42884</v>
      </c>
      <c r="E916" s="127" t="s">
        <v>598</v>
      </c>
      <c r="F916" s="184" t="s">
        <v>2451</v>
      </c>
      <c r="G916" s="185">
        <v>10734497</v>
      </c>
      <c r="H916" s="184" t="s">
        <v>598</v>
      </c>
      <c r="I916" s="184" t="s">
        <v>118</v>
      </c>
      <c r="J916" s="184" t="s">
        <v>551</v>
      </c>
      <c r="K916" s="184" t="s">
        <v>306</v>
      </c>
      <c r="L916" s="184" t="s">
        <v>598</v>
      </c>
      <c r="M916" s="184" t="s">
        <v>598</v>
      </c>
      <c r="N916" s="184" t="s">
        <v>85</v>
      </c>
      <c r="O916" s="184" t="s">
        <v>598</v>
      </c>
      <c r="P916" s="186" t="s">
        <v>601</v>
      </c>
      <c r="Q916" s="184" t="s">
        <v>598</v>
      </c>
      <c r="R916" s="184" t="s">
        <v>598</v>
      </c>
      <c r="S916" s="127">
        <v>42899</v>
      </c>
      <c r="T916" s="184" t="s">
        <v>10</v>
      </c>
      <c r="U916" s="184" t="s">
        <v>598</v>
      </c>
      <c r="V916" s="185">
        <v>10000</v>
      </c>
      <c r="W916" s="184" t="s">
        <v>493</v>
      </c>
      <c r="X916" s="184" t="s">
        <v>598</v>
      </c>
      <c r="Y916" s="185">
        <v>0</v>
      </c>
      <c r="Z916" s="184" t="s">
        <v>598</v>
      </c>
      <c r="AA916" s="21" t="s">
        <v>610</v>
      </c>
      <c r="AB916" s="176" t="s">
        <v>489</v>
      </c>
      <c r="AC916" s="172">
        <v>42996.328472222223</v>
      </c>
      <c r="AD916" s="32" t="s">
        <v>552</v>
      </c>
    </row>
    <row r="917" spans="1:30">
      <c r="A917" s="184">
        <v>916</v>
      </c>
      <c r="B917" s="184" t="s">
        <v>2452</v>
      </c>
      <c r="C917" s="184" t="s">
        <v>598</v>
      </c>
      <c r="D917" s="127">
        <v>42873</v>
      </c>
      <c r="E917" s="127" t="s">
        <v>598</v>
      </c>
      <c r="F917" s="184" t="s">
        <v>2453</v>
      </c>
      <c r="G917" s="185">
        <v>7396000</v>
      </c>
      <c r="H917" s="184" t="s">
        <v>598</v>
      </c>
      <c r="I917" s="184" t="s">
        <v>58</v>
      </c>
      <c r="J917" s="184" t="s">
        <v>551</v>
      </c>
      <c r="K917" s="184" t="s">
        <v>307</v>
      </c>
      <c r="L917" s="184" t="s">
        <v>598</v>
      </c>
      <c r="M917" s="184" t="s">
        <v>598</v>
      </c>
      <c r="N917" s="184" t="s">
        <v>85</v>
      </c>
      <c r="O917" s="184" t="s">
        <v>598</v>
      </c>
      <c r="P917" s="186" t="s">
        <v>32</v>
      </c>
      <c r="Q917" s="184" t="s">
        <v>598</v>
      </c>
      <c r="R917" s="184" t="s">
        <v>598</v>
      </c>
      <c r="S917" s="127" t="s">
        <v>598</v>
      </c>
      <c r="T917" s="184" t="s">
        <v>598</v>
      </c>
      <c r="U917" s="184" t="s">
        <v>598</v>
      </c>
      <c r="V917" s="185">
        <v>0</v>
      </c>
      <c r="W917" s="184" t="s">
        <v>485</v>
      </c>
      <c r="X917" s="184" t="s">
        <v>598</v>
      </c>
      <c r="Y917" s="185">
        <v>0</v>
      </c>
      <c r="Z917" s="184" t="s">
        <v>598</v>
      </c>
      <c r="AA917" s="21" t="s">
        <v>610</v>
      </c>
      <c r="AB917" s="176" t="s">
        <v>489</v>
      </c>
      <c r="AC917" s="172">
        <v>42996.328472222223</v>
      </c>
      <c r="AD917" s="32" t="s">
        <v>552</v>
      </c>
    </row>
    <row r="918" spans="1:30">
      <c r="A918" s="184">
        <v>917</v>
      </c>
      <c r="B918" s="184" t="s">
        <v>2454</v>
      </c>
      <c r="C918" s="184" t="s">
        <v>598</v>
      </c>
      <c r="D918" s="127">
        <v>42872</v>
      </c>
      <c r="E918" s="127" t="s">
        <v>598</v>
      </c>
      <c r="F918" s="184" t="s">
        <v>2455</v>
      </c>
      <c r="G918" s="185">
        <v>3540000</v>
      </c>
      <c r="H918" s="184" t="s">
        <v>598</v>
      </c>
      <c r="I918" s="184" t="s">
        <v>58</v>
      </c>
      <c r="J918" s="184" t="s">
        <v>551</v>
      </c>
      <c r="K918" s="184" t="s">
        <v>311</v>
      </c>
      <c r="L918" s="184" t="s">
        <v>598</v>
      </c>
      <c r="M918" s="184" t="s">
        <v>598</v>
      </c>
      <c r="N918" s="184" t="s">
        <v>85</v>
      </c>
      <c r="O918" s="184" t="s">
        <v>73</v>
      </c>
      <c r="P918" s="186" t="s">
        <v>53</v>
      </c>
      <c r="Q918" s="184" t="s">
        <v>598</v>
      </c>
      <c r="R918" s="184" t="s">
        <v>598</v>
      </c>
      <c r="S918" s="127" t="s">
        <v>598</v>
      </c>
      <c r="T918" s="184" t="s">
        <v>598</v>
      </c>
      <c r="U918" s="184" t="s">
        <v>598</v>
      </c>
      <c r="V918" s="185">
        <v>0</v>
      </c>
      <c r="W918" s="184" t="s">
        <v>485</v>
      </c>
      <c r="X918" s="184" t="s">
        <v>598</v>
      </c>
      <c r="Y918" s="185">
        <v>0</v>
      </c>
      <c r="Z918" s="184" t="s">
        <v>598</v>
      </c>
      <c r="AA918" s="21" t="s">
        <v>610</v>
      </c>
      <c r="AB918" s="176" t="s">
        <v>489</v>
      </c>
      <c r="AC918" s="172">
        <v>42996.328472222223</v>
      </c>
      <c r="AD918" s="32" t="s">
        <v>552</v>
      </c>
    </row>
    <row r="919" spans="1:30">
      <c r="A919" s="184">
        <v>918</v>
      </c>
      <c r="B919" s="184" t="s">
        <v>2456</v>
      </c>
      <c r="C919" s="184" t="s">
        <v>598</v>
      </c>
      <c r="D919" s="127">
        <v>42871</v>
      </c>
      <c r="E919" s="127" t="s">
        <v>598</v>
      </c>
      <c r="F919" s="184" t="s">
        <v>2457</v>
      </c>
      <c r="G919" s="185">
        <v>15472000</v>
      </c>
      <c r="H919" s="184" t="s">
        <v>598</v>
      </c>
      <c r="I919" s="184" t="s">
        <v>48</v>
      </c>
      <c r="J919" s="184" t="s">
        <v>551</v>
      </c>
      <c r="K919" s="184" t="s">
        <v>311</v>
      </c>
      <c r="L919" s="184" t="s">
        <v>598</v>
      </c>
      <c r="M919" s="184" t="s">
        <v>598</v>
      </c>
      <c r="N919" s="184" t="s">
        <v>85</v>
      </c>
      <c r="O919" s="184" t="s">
        <v>73</v>
      </c>
      <c r="P919" s="186" t="s">
        <v>44</v>
      </c>
      <c r="Q919" s="184" t="s">
        <v>598</v>
      </c>
      <c r="R919" s="184" t="s">
        <v>598</v>
      </c>
      <c r="S919" s="127" t="s">
        <v>598</v>
      </c>
      <c r="T919" s="184" t="s">
        <v>598</v>
      </c>
      <c r="U919" s="184" t="s">
        <v>598</v>
      </c>
      <c r="V919" s="185">
        <v>0</v>
      </c>
      <c r="W919" s="184" t="s">
        <v>485</v>
      </c>
      <c r="X919" s="184" t="s">
        <v>598</v>
      </c>
      <c r="Y919" s="185">
        <v>0</v>
      </c>
      <c r="Z919" s="184" t="s">
        <v>598</v>
      </c>
      <c r="AA919" s="21" t="s">
        <v>610</v>
      </c>
      <c r="AB919" s="176" t="s">
        <v>489</v>
      </c>
      <c r="AC919" s="172">
        <v>42996.328472222223</v>
      </c>
      <c r="AD919" s="32" t="s">
        <v>552</v>
      </c>
    </row>
    <row r="920" spans="1:30">
      <c r="A920" s="184">
        <v>919</v>
      </c>
      <c r="B920" s="184" t="s">
        <v>2458</v>
      </c>
      <c r="C920" s="184" t="s">
        <v>598</v>
      </c>
      <c r="D920" s="127">
        <v>42860</v>
      </c>
      <c r="E920" s="127" t="s">
        <v>598</v>
      </c>
      <c r="F920" s="184" t="s">
        <v>2459</v>
      </c>
      <c r="G920" s="185">
        <v>5126000</v>
      </c>
      <c r="H920" s="184" t="s">
        <v>598</v>
      </c>
      <c r="I920" s="184" t="s">
        <v>134</v>
      </c>
      <c r="J920" s="184" t="s">
        <v>551</v>
      </c>
      <c r="K920" s="184" t="s">
        <v>398</v>
      </c>
      <c r="L920" s="184" t="s">
        <v>598</v>
      </c>
      <c r="M920" s="184" t="s">
        <v>598</v>
      </c>
      <c r="N920" s="184" t="s">
        <v>85</v>
      </c>
      <c r="O920" s="184" t="s">
        <v>73</v>
      </c>
      <c r="P920" s="186" t="s">
        <v>67</v>
      </c>
      <c r="Q920" s="184" t="s">
        <v>598</v>
      </c>
      <c r="R920" s="184" t="s">
        <v>598</v>
      </c>
      <c r="S920" s="127" t="s">
        <v>598</v>
      </c>
      <c r="T920" s="184" t="s">
        <v>598</v>
      </c>
      <c r="U920" s="184" t="s">
        <v>598</v>
      </c>
      <c r="V920" s="185">
        <v>0</v>
      </c>
      <c r="W920" s="184" t="s">
        <v>485</v>
      </c>
      <c r="X920" s="184" t="s">
        <v>598</v>
      </c>
      <c r="Y920" s="185">
        <v>0</v>
      </c>
      <c r="Z920" s="184" t="s">
        <v>492</v>
      </c>
      <c r="AA920" s="21" t="s">
        <v>610</v>
      </c>
      <c r="AB920" s="176" t="s">
        <v>489</v>
      </c>
      <c r="AC920" s="172">
        <v>42996.328472222223</v>
      </c>
      <c r="AD920" s="32" t="s">
        <v>552</v>
      </c>
    </row>
    <row r="921" spans="1:30">
      <c r="A921" s="184">
        <v>920</v>
      </c>
      <c r="B921" s="184" t="s">
        <v>2460</v>
      </c>
      <c r="C921" s="184" t="s">
        <v>598</v>
      </c>
      <c r="D921" s="127">
        <v>42845</v>
      </c>
      <c r="E921" s="127" t="s">
        <v>598</v>
      </c>
      <c r="F921" s="184" t="s">
        <v>2461</v>
      </c>
      <c r="G921" s="185">
        <v>0</v>
      </c>
      <c r="H921" s="184" t="s">
        <v>598</v>
      </c>
      <c r="I921" s="184" t="s">
        <v>118</v>
      </c>
      <c r="J921" s="184" t="s">
        <v>551</v>
      </c>
      <c r="K921" s="184" t="s">
        <v>307</v>
      </c>
      <c r="L921" s="184" t="s">
        <v>598</v>
      </c>
      <c r="M921" s="184" t="s">
        <v>598</v>
      </c>
      <c r="N921" s="184" t="s">
        <v>85</v>
      </c>
      <c r="O921" s="184" t="s">
        <v>85</v>
      </c>
      <c r="P921" s="186" t="s">
        <v>602</v>
      </c>
      <c r="Q921" s="184" t="s">
        <v>598</v>
      </c>
      <c r="R921" s="184" t="s">
        <v>598</v>
      </c>
      <c r="S921" s="127" t="s">
        <v>598</v>
      </c>
      <c r="T921" s="184" t="s">
        <v>598</v>
      </c>
      <c r="U921" s="184" t="s">
        <v>598</v>
      </c>
      <c r="V921" s="185">
        <v>0</v>
      </c>
      <c r="W921" s="184" t="s">
        <v>485</v>
      </c>
      <c r="X921" s="184" t="s">
        <v>598</v>
      </c>
      <c r="Y921" s="185">
        <v>0</v>
      </c>
      <c r="Z921" s="184" t="s">
        <v>598</v>
      </c>
      <c r="AA921" s="21" t="s">
        <v>610</v>
      </c>
      <c r="AB921" s="176" t="s">
        <v>489</v>
      </c>
      <c r="AC921" s="172">
        <v>42996.328472222223</v>
      </c>
      <c r="AD921" s="32" t="s">
        <v>552</v>
      </c>
    </row>
    <row r="922" spans="1:30">
      <c r="A922" s="184">
        <v>921</v>
      </c>
      <c r="B922" s="184" t="s">
        <v>2462</v>
      </c>
      <c r="C922" s="184" t="s">
        <v>598</v>
      </c>
      <c r="D922" s="127">
        <v>42845</v>
      </c>
      <c r="E922" s="127" t="s">
        <v>598</v>
      </c>
      <c r="F922" s="184" t="s">
        <v>2461</v>
      </c>
      <c r="G922" s="185">
        <v>0</v>
      </c>
      <c r="H922" s="184" t="s">
        <v>598</v>
      </c>
      <c r="I922" s="184" t="s">
        <v>118</v>
      </c>
      <c r="J922" s="184" t="s">
        <v>551</v>
      </c>
      <c r="K922" s="184" t="s">
        <v>307</v>
      </c>
      <c r="L922" s="184" t="s">
        <v>598</v>
      </c>
      <c r="M922" s="184" t="s">
        <v>598</v>
      </c>
      <c r="N922" s="184" t="s">
        <v>85</v>
      </c>
      <c r="O922" s="184" t="s">
        <v>85</v>
      </c>
      <c r="P922" s="186" t="s">
        <v>603</v>
      </c>
      <c r="Q922" s="184" t="s">
        <v>598</v>
      </c>
      <c r="R922" s="184" t="s">
        <v>598</v>
      </c>
      <c r="S922" s="127" t="s">
        <v>598</v>
      </c>
      <c r="T922" s="184" t="s">
        <v>598</v>
      </c>
      <c r="U922" s="184" t="s">
        <v>598</v>
      </c>
      <c r="V922" s="185">
        <v>0</v>
      </c>
      <c r="W922" s="184" t="s">
        <v>485</v>
      </c>
      <c r="X922" s="184" t="s">
        <v>598</v>
      </c>
      <c r="Y922" s="185">
        <v>0</v>
      </c>
      <c r="Z922" s="184" t="s">
        <v>598</v>
      </c>
      <c r="AA922" s="21" t="s">
        <v>610</v>
      </c>
      <c r="AB922" s="176" t="s">
        <v>489</v>
      </c>
      <c r="AC922" s="172">
        <v>42996.328472222223</v>
      </c>
      <c r="AD922" s="32" t="s">
        <v>552</v>
      </c>
    </row>
    <row r="923" spans="1:30">
      <c r="A923" s="184">
        <v>922</v>
      </c>
      <c r="B923" s="184" t="s">
        <v>2463</v>
      </c>
      <c r="C923" s="184" t="s">
        <v>598</v>
      </c>
      <c r="D923" s="127">
        <v>42845</v>
      </c>
      <c r="E923" s="127" t="s">
        <v>598</v>
      </c>
      <c r="F923" s="184" t="s">
        <v>2461</v>
      </c>
      <c r="G923" s="185">
        <v>0</v>
      </c>
      <c r="H923" s="184" t="s">
        <v>598</v>
      </c>
      <c r="I923" s="184" t="s">
        <v>118</v>
      </c>
      <c r="J923" s="184" t="s">
        <v>551</v>
      </c>
      <c r="K923" s="184" t="s">
        <v>307</v>
      </c>
      <c r="L923" s="184" t="s">
        <v>598</v>
      </c>
      <c r="M923" s="184" t="s">
        <v>598</v>
      </c>
      <c r="N923" s="184" t="s">
        <v>85</v>
      </c>
      <c r="O923" s="184" t="s">
        <v>85</v>
      </c>
      <c r="P923" s="186" t="s">
        <v>604</v>
      </c>
      <c r="Q923" s="184" t="s">
        <v>598</v>
      </c>
      <c r="R923" s="184" t="s">
        <v>598</v>
      </c>
      <c r="S923" s="127" t="s">
        <v>598</v>
      </c>
      <c r="T923" s="184" t="s">
        <v>598</v>
      </c>
      <c r="U923" s="184" t="s">
        <v>598</v>
      </c>
      <c r="V923" s="185">
        <v>0</v>
      </c>
      <c r="W923" s="184" t="s">
        <v>485</v>
      </c>
      <c r="X923" s="184" t="s">
        <v>598</v>
      </c>
      <c r="Y923" s="185">
        <v>0</v>
      </c>
      <c r="Z923" s="184" t="s">
        <v>598</v>
      </c>
      <c r="AA923" s="21" t="s">
        <v>610</v>
      </c>
      <c r="AB923" s="176" t="s">
        <v>489</v>
      </c>
      <c r="AC923" s="172">
        <v>42996.328472222223</v>
      </c>
      <c r="AD923" s="32" t="s">
        <v>552</v>
      </c>
    </row>
    <row r="924" spans="1:30">
      <c r="A924" s="184">
        <v>923</v>
      </c>
      <c r="B924" s="184" t="s">
        <v>2464</v>
      </c>
      <c r="C924" s="184" t="s">
        <v>598</v>
      </c>
      <c r="D924" s="127">
        <v>42845</v>
      </c>
      <c r="E924" s="127" t="s">
        <v>598</v>
      </c>
      <c r="F924" s="184" t="s">
        <v>2461</v>
      </c>
      <c r="G924" s="185">
        <v>0</v>
      </c>
      <c r="H924" s="184" t="s">
        <v>598</v>
      </c>
      <c r="I924" s="184" t="s">
        <v>118</v>
      </c>
      <c r="J924" s="184" t="s">
        <v>551</v>
      </c>
      <c r="K924" s="184" t="s">
        <v>307</v>
      </c>
      <c r="L924" s="184" t="s">
        <v>598</v>
      </c>
      <c r="M924" s="184" t="s">
        <v>598</v>
      </c>
      <c r="N924" s="184" t="s">
        <v>85</v>
      </c>
      <c r="O924" s="184" t="s">
        <v>85</v>
      </c>
      <c r="P924" s="186" t="s">
        <v>605</v>
      </c>
      <c r="Q924" s="184" t="s">
        <v>598</v>
      </c>
      <c r="R924" s="184" t="s">
        <v>598</v>
      </c>
      <c r="S924" s="127" t="s">
        <v>598</v>
      </c>
      <c r="T924" s="184" t="s">
        <v>598</v>
      </c>
      <c r="U924" s="184" t="s">
        <v>598</v>
      </c>
      <c r="V924" s="185">
        <v>0</v>
      </c>
      <c r="W924" s="184" t="s">
        <v>485</v>
      </c>
      <c r="X924" s="184" t="s">
        <v>598</v>
      </c>
      <c r="Y924" s="185">
        <v>0</v>
      </c>
      <c r="Z924" s="184" t="s">
        <v>598</v>
      </c>
      <c r="AA924" s="21" t="s">
        <v>610</v>
      </c>
      <c r="AB924" s="176" t="s">
        <v>489</v>
      </c>
      <c r="AC924" s="172">
        <v>42996.328472222223</v>
      </c>
      <c r="AD924" s="32" t="s">
        <v>552</v>
      </c>
    </row>
    <row r="925" spans="1:30">
      <c r="A925" s="184">
        <v>924</v>
      </c>
      <c r="B925" s="184" t="s">
        <v>2465</v>
      </c>
      <c r="C925" s="184" t="s">
        <v>598</v>
      </c>
      <c r="D925" s="127">
        <v>42845</v>
      </c>
      <c r="E925" s="127" t="s">
        <v>598</v>
      </c>
      <c r="F925" s="184" t="s">
        <v>2461</v>
      </c>
      <c r="G925" s="185">
        <v>0</v>
      </c>
      <c r="H925" s="184" t="s">
        <v>598</v>
      </c>
      <c r="I925" s="184" t="s">
        <v>118</v>
      </c>
      <c r="J925" s="184" t="s">
        <v>551</v>
      </c>
      <c r="K925" s="184" t="s">
        <v>307</v>
      </c>
      <c r="L925" s="184" t="s">
        <v>598</v>
      </c>
      <c r="M925" s="184" t="s">
        <v>598</v>
      </c>
      <c r="N925" s="184" t="s">
        <v>85</v>
      </c>
      <c r="O925" s="184" t="s">
        <v>85</v>
      </c>
      <c r="P925" s="186"/>
      <c r="Q925" s="184" t="s">
        <v>598</v>
      </c>
      <c r="R925" s="184" t="s">
        <v>598</v>
      </c>
      <c r="S925" s="127" t="s">
        <v>598</v>
      </c>
      <c r="T925" s="184" t="s">
        <v>598</v>
      </c>
      <c r="U925" s="184" t="s">
        <v>598</v>
      </c>
      <c r="V925" s="185">
        <v>0</v>
      </c>
      <c r="W925" s="184" t="s">
        <v>485</v>
      </c>
      <c r="X925" s="184" t="s">
        <v>598</v>
      </c>
      <c r="Y925" s="185">
        <v>0</v>
      </c>
      <c r="Z925" s="184" t="s">
        <v>598</v>
      </c>
      <c r="AA925" s="21" t="s">
        <v>610</v>
      </c>
      <c r="AB925" s="176" t="s">
        <v>489</v>
      </c>
      <c r="AC925" s="172">
        <v>42996.328472222223</v>
      </c>
      <c r="AD925" s="32" t="s">
        <v>552</v>
      </c>
    </row>
    <row r="926" spans="1:30">
      <c r="A926" s="184">
        <v>925</v>
      </c>
      <c r="B926" s="184" t="s">
        <v>2466</v>
      </c>
      <c r="C926" s="184" t="s">
        <v>598</v>
      </c>
      <c r="D926" s="127">
        <v>42829</v>
      </c>
      <c r="E926" s="127" t="s">
        <v>598</v>
      </c>
      <c r="F926" s="184" t="s">
        <v>2467</v>
      </c>
      <c r="G926" s="185">
        <v>0</v>
      </c>
      <c r="H926" s="184" t="s">
        <v>598</v>
      </c>
      <c r="I926" s="184" t="s">
        <v>134</v>
      </c>
      <c r="J926" s="184" t="s">
        <v>551</v>
      </c>
      <c r="K926" s="184" t="s">
        <v>309</v>
      </c>
      <c r="L926" s="184" t="s">
        <v>598</v>
      </c>
      <c r="M926" s="184" t="s">
        <v>598</v>
      </c>
      <c r="N926" s="184" t="s">
        <v>85</v>
      </c>
      <c r="O926" s="184" t="s">
        <v>98</v>
      </c>
      <c r="P926" s="186" t="s">
        <v>607</v>
      </c>
      <c r="Q926" s="184" t="s">
        <v>598</v>
      </c>
      <c r="R926" s="184" t="s">
        <v>598</v>
      </c>
      <c r="S926" s="127" t="s">
        <v>598</v>
      </c>
      <c r="T926" s="184" t="s">
        <v>598</v>
      </c>
      <c r="U926" s="184" t="s">
        <v>598</v>
      </c>
      <c r="V926" s="185">
        <v>0</v>
      </c>
      <c r="W926" s="184" t="s">
        <v>485</v>
      </c>
      <c r="X926" s="184" t="s">
        <v>598</v>
      </c>
      <c r="Y926" s="185">
        <v>0</v>
      </c>
      <c r="Z926" s="184" t="s">
        <v>598</v>
      </c>
      <c r="AA926" s="21" t="s">
        <v>610</v>
      </c>
      <c r="AB926" s="176" t="s">
        <v>489</v>
      </c>
      <c r="AC926" s="172">
        <v>42996.328472222223</v>
      </c>
      <c r="AD926" s="32" t="s">
        <v>552</v>
      </c>
    </row>
    <row r="927" spans="1:30">
      <c r="A927" s="184">
        <v>926</v>
      </c>
      <c r="B927" s="184" t="s">
        <v>2468</v>
      </c>
      <c r="C927" s="184" t="s">
        <v>598</v>
      </c>
      <c r="D927" s="127">
        <v>42450</v>
      </c>
      <c r="E927" s="127" t="s">
        <v>598</v>
      </c>
      <c r="F927" s="184" t="s">
        <v>2469</v>
      </c>
      <c r="G927" s="185">
        <v>0</v>
      </c>
      <c r="H927" s="184" t="s">
        <v>598</v>
      </c>
      <c r="I927" s="184" t="s">
        <v>120</v>
      </c>
      <c r="J927" s="184" t="s">
        <v>77</v>
      </c>
      <c r="K927" s="184" t="s">
        <v>242</v>
      </c>
      <c r="L927" s="184" t="s">
        <v>598</v>
      </c>
      <c r="M927" s="184" t="s">
        <v>598</v>
      </c>
      <c r="N927" s="184" t="s">
        <v>85</v>
      </c>
      <c r="O927" s="184" t="s">
        <v>85</v>
      </c>
      <c r="P927" s="186" t="s">
        <v>73</v>
      </c>
      <c r="Q927" s="184" t="s">
        <v>598</v>
      </c>
      <c r="R927" s="184" t="s">
        <v>598</v>
      </c>
      <c r="S927" s="127" t="s">
        <v>598</v>
      </c>
      <c r="T927" s="184" t="s">
        <v>598</v>
      </c>
      <c r="U927" s="184" t="s">
        <v>598</v>
      </c>
      <c r="V927" s="185">
        <v>0</v>
      </c>
      <c r="W927" s="184" t="s">
        <v>485</v>
      </c>
      <c r="X927" s="184" t="s">
        <v>598</v>
      </c>
      <c r="Y927" s="185">
        <v>0</v>
      </c>
      <c r="Z927" s="184" t="s">
        <v>598</v>
      </c>
      <c r="AA927" s="21" t="s">
        <v>610</v>
      </c>
      <c r="AB927" s="176" t="s">
        <v>489</v>
      </c>
      <c r="AC927" s="172">
        <v>42996.328472222223</v>
      </c>
      <c r="AD927" s="32" t="s">
        <v>552</v>
      </c>
    </row>
    <row r="928" spans="1:30">
      <c r="A928" s="184">
        <v>927</v>
      </c>
      <c r="B928" s="184" t="s">
        <v>2470</v>
      </c>
      <c r="C928" s="184" t="s">
        <v>598</v>
      </c>
      <c r="D928" s="127">
        <v>42455</v>
      </c>
      <c r="E928" s="127" t="s">
        <v>598</v>
      </c>
      <c r="F928" s="184" t="s">
        <v>2471</v>
      </c>
      <c r="G928" s="185">
        <v>0</v>
      </c>
      <c r="H928" s="184" t="s">
        <v>598</v>
      </c>
      <c r="I928" s="184" t="s">
        <v>122</v>
      </c>
      <c r="J928" s="184" t="s">
        <v>77</v>
      </c>
      <c r="K928" s="184" t="s">
        <v>242</v>
      </c>
      <c r="L928" s="184" t="s">
        <v>598</v>
      </c>
      <c r="M928" s="184" t="s">
        <v>598</v>
      </c>
      <c r="N928" s="184" t="s">
        <v>85</v>
      </c>
      <c r="O928" s="184" t="s">
        <v>598</v>
      </c>
      <c r="P928" s="186" t="s">
        <v>601</v>
      </c>
      <c r="Q928" s="184" t="s">
        <v>598</v>
      </c>
      <c r="R928" s="184" t="s">
        <v>598</v>
      </c>
      <c r="S928" s="127" t="s">
        <v>598</v>
      </c>
      <c r="T928" s="184" t="s">
        <v>598</v>
      </c>
      <c r="U928" s="184" t="s">
        <v>598</v>
      </c>
      <c r="V928" s="185">
        <v>0</v>
      </c>
      <c r="W928" s="184" t="s">
        <v>485</v>
      </c>
      <c r="X928" s="184" t="s">
        <v>598</v>
      </c>
      <c r="Y928" s="185">
        <v>0</v>
      </c>
      <c r="Z928" s="184" t="s">
        <v>598</v>
      </c>
      <c r="AA928" s="21" t="s">
        <v>610</v>
      </c>
      <c r="AB928" s="176" t="s">
        <v>489</v>
      </c>
      <c r="AC928" s="172">
        <v>42996.328472222223</v>
      </c>
      <c r="AD928" s="32" t="s">
        <v>552</v>
      </c>
    </row>
    <row r="929" spans="1:30">
      <c r="A929" s="184">
        <v>928</v>
      </c>
      <c r="B929" s="184" t="s">
        <v>2472</v>
      </c>
      <c r="C929" s="184" t="s">
        <v>598</v>
      </c>
      <c r="D929" s="127">
        <v>42478</v>
      </c>
      <c r="E929" s="127" t="s">
        <v>598</v>
      </c>
      <c r="F929" s="184" t="s">
        <v>2473</v>
      </c>
      <c r="G929" s="185">
        <v>0</v>
      </c>
      <c r="H929" s="184" t="s">
        <v>598</v>
      </c>
      <c r="I929" s="184" t="s">
        <v>135</v>
      </c>
      <c r="J929" s="184" t="s">
        <v>77</v>
      </c>
      <c r="K929" s="184" t="s">
        <v>242</v>
      </c>
      <c r="L929" s="184" t="s">
        <v>598</v>
      </c>
      <c r="M929" s="184" t="s">
        <v>598</v>
      </c>
      <c r="N929" s="184" t="s">
        <v>85</v>
      </c>
      <c r="O929" s="184" t="s">
        <v>598</v>
      </c>
      <c r="P929" s="186" t="s">
        <v>32</v>
      </c>
      <c r="Q929" s="184" t="s">
        <v>598</v>
      </c>
      <c r="R929" s="184" t="s">
        <v>598</v>
      </c>
      <c r="S929" s="127" t="s">
        <v>598</v>
      </c>
      <c r="T929" s="184" t="s">
        <v>598</v>
      </c>
      <c r="U929" s="184" t="s">
        <v>598</v>
      </c>
      <c r="V929" s="185">
        <v>0</v>
      </c>
      <c r="W929" s="184" t="s">
        <v>485</v>
      </c>
      <c r="X929" s="184" t="s">
        <v>598</v>
      </c>
      <c r="Y929" s="185">
        <v>0</v>
      </c>
      <c r="Z929" s="184" t="s">
        <v>598</v>
      </c>
      <c r="AA929" s="21" t="s">
        <v>610</v>
      </c>
      <c r="AB929" s="176" t="s">
        <v>489</v>
      </c>
      <c r="AC929" s="172">
        <v>42996.328472222223</v>
      </c>
      <c r="AD929" s="32" t="s">
        <v>552</v>
      </c>
    </row>
    <row r="930" spans="1:30">
      <c r="A930" s="184">
        <v>929</v>
      </c>
      <c r="B930" s="184" t="s">
        <v>2474</v>
      </c>
      <c r="C930" s="184" t="s">
        <v>598</v>
      </c>
      <c r="D930" s="127">
        <v>42479</v>
      </c>
      <c r="E930" s="127" t="s">
        <v>598</v>
      </c>
      <c r="F930" s="184" t="s">
        <v>2475</v>
      </c>
      <c r="G930" s="185">
        <v>0</v>
      </c>
      <c r="H930" s="184" t="s">
        <v>598</v>
      </c>
      <c r="I930" s="184" t="s">
        <v>598</v>
      </c>
      <c r="J930" s="184" t="s">
        <v>77</v>
      </c>
      <c r="K930" s="184" t="s">
        <v>242</v>
      </c>
      <c r="L930" s="184" t="s">
        <v>598</v>
      </c>
      <c r="M930" s="184" t="s">
        <v>598</v>
      </c>
      <c r="N930" s="184" t="s">
        <v>85</v>
      </c>
      <c r="O930" s="184" t="s">
        <v>598</v>
      </c>
      <c r="P930" s="186" t="s">
        <v>53</v>
      </c>
      <c r="Q930" s="184" t="s">
        <v>598</v>
      </c>
      <c r="R930" s="184" t="s">
        <v>598</v>
      </c>
      <c r="S930" s="127" t="s">
        <v>598</v>
      </c>
      <c r="T930" s="184" t="s">
        <v>598</v>
      </c>
      <c r="U930" s="184" t="s">
        <v>598</v>
      </c>
      <c r="V930" s="185">
        <v>0</v>
      </c>
      <c r="W930" s="184" t="s">
        <v>485</v>
      </c>
      <c r="X930" s="184" t="s">
        <v>598</v>
      </c>
      <c r="Y930" s="185">
        <v>0</v>
      </c>
      <c r="Z930" s="184" t="s">
        <v>598</v>
      </c>
      <c r="AA930" s="21" t="s">
        <v>610</v>
      </c>
      <c r="AB930" s="176" t="s">
        <v>489</v>
      </c>
      <c r="AC930" s="172">
        <v>42996.328472222223</v>
      </c>
      <c r="AD930" s="32" t="s">
        <v>552</v>
      </c>
    </row>
    <row r="931" spans="1:30">
      <c r="A931" s="184">
        <v>930</v>
      </c>
      <c r="B931" s="184" t="s">
        <v>2476</v>
      </c>
      <c r="C931" s="184" t="s">
        <v>598</v>
      </c>
      <c r="D931" s="127">
        <v>42825</v>
      </c>
      <c r="E931" s="127" t="s">
        <v>598</v>
      </c>
      <c r="F931" s="184" t="s">
        <v>2477</v>
      </c>
      <c r="G931" s="185">
        <v>0</v>
      </c>
      <c r="H931" s="184" t="s">
        <v>598</v>
      </c>
      <c r="I931" s="184" t="s">
        <v>598</v>
      </c>
      <c r="J931" s="184" t="s">
        <v>551</v>
      </c>
      <c r="K931" s="184" t="s">
        <v>309</v>
      </c>
      <c r="L931" s="184" t="s">
        <v>598</v>
      </c>
      <c r="M931" s="184" t="s">
        <v>598</v>
      </c>
      <c r="N931" s="184" t="s">
        <v>85</v>
      </c>
      <c r="O931" s="184" t="s">
        <v>598</v>
      </c>
      <c r="P931" s="186" t="s">
        <v>44</v>
      </c>
      <c r="Q931" s="184" t="s">
        <v>598</v>
      </c>
      <c r="R931" s="184" t="s">
        <v>598</v>
      </c>
      <c r="S931" s="127" t="s">
        <v>598</v>
      </c>
      <c r="T931" s="184" t="s">
        <v>598</v>
      </c>
      <c r="U931" s="184" t="s">
        <v>598</v>
      </c>
      <c r="V931" s="185">
        <v>0</v>
      </c>
      <c r="W931" s="184" t="s">
        <v>485</v>
      </c>
      <c r="X931" s="184" t="s">
        <v>598</v>
      </c>
      <c r="Y931" s="185">
        <v>0</v>
      </c>
      <c r="Z931" s="184" t="s">
        <v>598</v>
      </c>
      <c r="AA931" s="21" t="s">
        <v>610</v>
      </c>
      <c r="AB931" s="176" t="s">
        <v>489</v>
      </c>
      <c r="AC931" s="172">
        <v>42996.328472222223</v>
      </c>
      <c r="AD931" s="32" t="s">
        <v>552</v>
      </c>
    </row>
    <row r="932" spans="1:30">
      <c r="A932" s="184">
        <v>931</v>
      </c>
      <c r="B932" s="184" t="s">
        <v>2478</v>
      </c>
      <c r="C932" s="184" t="s">
        <v>598</v>
      </c>
      <c r="D932" s="127">
        <v>42496</v>
      </c>
      <c r="E932" s="127" t="s">
        <v>598</v>
      </c>
      <c r="F932" s="184" t="s">
        <v>2479</v>
      </c>
      <c r="G932" s="185">
        <v>0</v>
      </c>
      <c r="H932" s="184" t="s">
        <v>598</v>
      </c>
      <c r="I932" s="184" t="s">
        <v>598</v>
      </c>
      <c r="J932" s="184" t="s">
        <v>77</v>
      </c>
      <c r="K932" s="184" t="s">
        <v>280</v>
      </c>
      <c r="L932" s="184" t="s">
        <v>598</v>
      </c>
      <c r="M932" s="184" t="s">
        <v>598</v>
      </c>
      <c r="N932" s="184" t="s">
        <v>85</v>
      </c>
      <c r="O932" s="184" t="s">
        <v>598</v>
      </c>
      <c r="P932" s="186" t="s">
        <v>67</v>
      </c>
      <c r="Q932" s="184" t="s">
        <v>598</v>
      </c>
      <c r="R932" s="184" t="s">
        <v>598</v>
      </c>
      <c r="S932" s="127" t="s">
        <v>598</v>
      </c>
      <c r="T932" s="184" t="s">
        <v>598</v>
      </c>
      <c r="U932" s="184" t="s">
        <v>598</v>
      </c>
      <c r="V932" s="185">
        <v>0</v>
      </c>
      <c r="W932" s="184" t="s">
        <v>485</v>
      </c>
      <c r="X932" s="184" t="s">
        <v>598</v>
      </c>
      <c r="Y932" s="185">
        <v>0</v>
      </c>
      <c r="Z932" s="184" t="s">
        <v>598</v>
      </c>
      <c r="AA932" s="21" t="s">
        <v>610</v>
      </c>
      <c r="AB932" s="176" t="s">
        <v>489</v>
      </c>
      <c r="AC932" s="172">
        <v>42996.328472222223</v>
      </c>
      <c r="AD932" s="32" t="s">
        <v>552</v>
      </c>
    </row>
    <row r="933" spans="1:30">
      <c r="A933" s="184">
        <v>932</v>
      </c>
      <c r="B933" s="184" t="s">
        <v>2480</v>
      </c>
      <c r="C933" s="184" t="s">
        <v>598</v>
      </c>
      <c r="D933" s="127">
        <v>42816</v>
      </c>
      <c r="E933" s="127" t="s">
        <v>598</v>
      </c>
      <c r="F933" s="184" t="s">
        <v>2481</v>
      </c>
      <c r="G933" s="185">
        <v>0</v>
      </c>
      <c r="H933" s="184" t="s">
        <v>598</v>
      </c>
      <c r="I933" s="184" t="s">
        <v>48</v>
      </c>
      <c r="J933" s="184" t="s">
        <v>551</v>
      </c>
      <c r="K933" s="184" t="s">
        <v>311</v>
      </c>
      <c r="L933" s="184" t="s">
        <v>598</v>
      </c>
      <c r="M933" s="184" t="s">
        <v>598</v>
      </c>
      <c r="N933" s="184" t="s">
        <v>85</v>
      </c>
      <c r="O933" s="184" t="s">
        <v>73</v>
      </c>
      <c r="P933" s="186" t="s">
        <v>602</v>
      </c>
      <c r="Q933" s="184" t="s">
        <v>598</v>
      </c>
      <c r="R933" s="184" t="s">
        <v>598</v>
      </c>
      <c r="S933" s="127" t="s">
        <v>598</v>
      </c>
      <c r="T933" s="184" t="s">
        <v>598</v>
      </c>
      <c r="U933" s="184" t="s">
        <v>598</v>
      </c>
      <c r="V933" s="185">
        <v>0</v>
      </c>
      <c r="W933" s="184" t="s">
        <v>485</v>
      </c>
      <c r="X933" s="184" t="s">
        <v>598</v>
      </c>
      <c r="Y933" s="185">
        <v>0</v>
      </c>
      <c r="Z933" s="184" t="s">
        <v>598</v>
      </c>
      <c r="AA933" s="21" t="s">
        <v>610</v>
      </c>
      <c r="AB933" s="176" t="s">
        <v>489</v>
      </c>
      <c r="AC933" s="172">
        <v>42996.328472222223</v>
      </c>
      <c r="AD933" s="32" t="s">
        <v>552</v>
      </c>
    </row>
    <row r="934" spans="1:30">
      <c r="A934" s="184">
        <v>933</v>
      </c>
      <c r="B934" s="184" t="s">
        <v>2482</v>
      </c>
      <c r="C934" s="184" t="s">
        <v>598</v>
      </c>
      <c r="D934" s="127">
        <v>42814</v>
      </c>
      <c r="E934" s="127" t="s">
        <v>598</v>
      </c>
      <c r="F934" s="184" t="s">
        <v>2483</v>
      </c>
      <c r="G934" s="185">
        <v>0</v>
      </c>
      <c r="H934" s="184" t="s">
        <v>598</v>
      </c>
      <c r="I934" s="184" t="s">
        <v>598</v>
      </c>
      <c r="J934" s="184" t="s">
        <v>551</v>
      </c>
      <c r="K934" s="184" t="s">
        <v>308</v>
      </c>
      <c r="L934" s="184" t="s">
        <v>598</v>
      </c>
      <c r="M934" s="184" t="s">
        <v>598</v>
      </c>
      <c r="N934" s="184" t="s">
        <v>85</v>
      </c>
      <c r="O934" s="184" t="s">
        <v>73</v>
      </c>
      <c r="P934" s="186" t="s">
        <v>603</v>
      </c>
      <c r="Q934" s="184" t="s">
        <v>598</v>
      </c>
      <c r="R934" s="184" t="s">
        <v>598</v>
      </c>
      <c r="S934" s="127" t="s">
        <v>598</v>
      </c>
      <c r="T934" s="184" t="s">
        <v>598</v>
      </c>
      <c r="U934" s="184" t="s">
        <v>598</v>
      </c>
      <c r="V934" s="185">
        <v>0</v>
      </c>
      <c r="W934" s="184" t="s">
        <v>485</v>
      </c>
      <c r="X934" s="184" t="s">
        <v>598</v>
      </c>
      <c r="Y934" s="185">
        <v>0</v>
      </c>
      <c r="Z934" s="184" t="s">
        <v>598</v>
      </c>
      <c r="AA934" s="21" t="s">
        <v>610</v>
      </c>
      <c r="AB934" s="176" t="s">
        <v>489</v>
      </c>
      <c r="AC934" s="172">
        <v>42996.328472222223</v>
      </c>
      <c r="AD934" s="32" t="s">
        <v>552</v>
      </c>
    </row>
    <row r="935" spans="1:30">
      <c r="A935" s="184">
        <v>934</v>
      </c>
      <c r="B935" s="184" t="s">
        <v>2484</v>
      </c>
      <c r="C935" s="184" t="s">
        <v>598</v>
      </c>
      <c r="D935" s="127">
        <v>42814</v>
      </c>
      <c r="E935" s="127" t="s">
        <v>598</v>
      </c>
      <c r="F935" s="184" t="s">
        <v>2483</v>
      </c>
      <c r="G935" s="185">
        <v>0</v>
      </c>
      <c r="H935" s="184" t="s">
        <v>598</v>
      </c>
      <c r="I935" s="184" t="s">
        <v>598</v>
      </c>
      <c r="J935" s="184" t="s">
        <v>551</v>
      </c>
      <c r="K935" s="184" t="s">
        <v>308</v>
      </c>
      <c r="L935" s="184" t="s">
        <v>598</v>
      </c>
      <c r="M935" s="184" t="s">
        <v>598</v>
      </c>
      <c r="N935" s="184" t="s">
        <v>85</v>
      </c>
      <c r="O935" s="184" t="s">
        <v>73</v>
      </c>
      <c r="P935" s="186" t="s">
        <v>604</v>
      </c>
      <c r="Q935" s="184" t="s">
        <v>598</v>
      </c>
      <c r="R935" s="184" t="s">
        <v>598</v>
      </c>
      <c r="S935" s="127" t="s">
        <v>598</v>
      </c>
      <c r="T935" s="184" t="s">
        <v>598</v>
      </c>
      <c r="U935" s="184" t="s">
        <v>598</v>
      </c>
      <c r="V935" s="185">
        <v>0</v>
      </c>
      <c r="W935" s="184" t="s">
        <v>485</v>
      </c>
      <c r="X935" s="184" t="s">
        <v>598</v>
      </c>
      <c r="Y935" s="185">
        <v>0</v>
      </c>
      <c r="Z935" s="184" t="s">
        <v>598</v>
      </c>
      <c r="AA935" s="21" t="s">
        <v>610</v>
      </c>
      <c r="AB935" s="176" t="s">
        <v>489</v>
      </c>
      <c r="AC935" s="172">
        <v>42996.328472222223</v>
      </c>
      <c r="AD935" s="32" t="s">
        <v>552</v>
      </c>
    </row>
    <row r="936" spans="1:30">
      <c r="A936" s="184">
        <v>935</v>
      </c>
      <c r="B936" s="184" t="s">
        <v>2485</v>
      </c>
      <c r="C936" s="184" t="s">
        <v>598</v>
      </c>
      <c r="D936" s="127">
        <v>42814</v>
      </c>
      <c r="E936" s="127" t="s">
        <v>598</v>
      </c>
      <c r="F936" s="184" t="s">
        <v>2486</v>
      </c>
      <c r="G936" s="185">
        <v>0</v>
      </c>
      <c r="H936" s="184" t="s">
        <v>598</v>
      </c>
      <c r="I936" s="184" t="s">
        <v>58</v>
      </c>
      <c r="J936" s="184" t="s">
        <v>551</v>
      </c>
      <c r="K936" s="184" t="s">
        <v>308</v>
      </c>
      <c r="L936" s="184" t="s">
        <v>598</v>
      </c>
      <c r="M936" s="184" t="s">
        <v>598</v>
      </c>
      <c r="N936" s="184" t="s">
        <v>85</v>
      </c>
      <c r="O936" s="184" t="s">
        <v>73</v>
      </c>
      <c r="P936" s="186" t="s">
        <v>605</v>
      </c>
      <c r="Q936" s="184" t="s">
        <v>598</v>
      </c>
      <c r="R936" s="184" t="s">
        <v>598</v>
      </c>
      <c r="S936" s="127" t="s">
        <v>598</v>
      </c>
      <c r="T936" s="184" t="s">
        <v>598</v>
      </c>
      <c r="U936" s="184" t="s">
        <v>598</v>
      </c>
      <c r="V936" s="185">
        <v>0</v>
      </c>
      <c r="W936" s="184" t="s">
        <v>485</v>
      </c>
      <c r="X936" s="184" t="s">
        <v>598</v>
      </c>
      <c r="Y936" s="185">
        <v>0</v>
      </c>
      <c r="Z936" s="184" t="s">
        <v>598</v>
      </c>
      <c r="AA936" s="21" t="s">
        <v>610</v>
      </c>
      <c r="AB936" s="176" t="s">
        <v>489</v>
      </c>
      <c r="AC936" s="172">
        <v>42996.328472222223</v>
      </c>
      <c r="AD936" s="32" t="s">
        <v>552</v>
      </c>
    </row>
    <row r="937" spans="1:30">
      <c r="A937" s="184">
        <v>936</v>
      </c>
      <c r="B937" s="184" t="s">
        <v>2487</v>
      </c>
      <c r="C937" s="184" t="s">
        <v>598</v>
      </c>
      <c r="D937" s="127">
        <v>42801</v>
      </c>
      <c r="E937" s="127" t="s">
        <v>598</v>
      </c>
      <c r="F937" s="184" t="s">
        <v>2488</v>
      </c>
      <c r="G937" s="185">
        <v>0</v>
      </c>
      <c r="H937" s="184" t="s">
        <v>598</v>
      </c>
      <c r="I937" s="184" t="s">
        <v>135</v>
      </c>
      <c r="J937" s="184" t="s">
        <v>551</v>
      </c>
      <c r="K937" s="184" t="s">
        <v>308</v>
      </c>
      <c r="L937" s="184" t="s">
        <v>598</v>
      </c>
      <c r="M937" s="184" t="s">
        <v>598</v>
      </c>
      <c r="N937" s="184" t="s">
        <v>85</v>
      </c>
      <c r="O937" s="184" t="s">
        <v>73</v>
      </c>
      <c r="P937" s="186"/>
      <c r="Q937" s="184" t="s">
        <v>598</v>
      </c>
      <c r="R937" s="184" t="s">
        <v>598</v>
      </c>
      <c r="S937" s="127" t="s">
        <v>598</v>
      </c>
      <c r="T937" s="184" t="s">
        <v>598</v>
      </c>
      <c r="U937" s="184" t="s">
        <v>598</v>
      </c>
      <c r="V937" s="185">
        <v>0</v>
      </c>
      <c r="W937" s="184" t="s">
        <v>485</v>
      </c>
      <c r="X937" s="184" t="s">
        <v>598</v>
      </c>
      <c r="Y937" s="185">
        <v>0</v>
      </c>
      <c r="Z937" s="184" t="s">
        <v>598</v>
      </c>
      <c r="AA937" s="21" t="s">
        <v>610</v>
      </c>
      <c r="AB937" s="176" t="s">
        <v>489</v>
      </c>
      <c r="AC937" s="172">
        <v>42996.328472222223</v>
      </c>
      <c r="AD937" s="32" t="s">
        <v>552</v>
      </c>
    </row>
    <row r="938" spans="1:30">
      <c r="A938" s="184">
        <v>937</v>
      </c>
      <c r="B938" s="184" t="s">
        <v>2489</v>
      </c>
      <c r="C938" s="184" t="s">
        <v>598</v>
      </c>
      <c r="D938" s="127">
        <v>42796</v>
      </c>
      <c r="E938" s="127" t="s">
        <v>598</v>
      </c>
      <c r="F938" s="184" t="s">
        <v>2490</v>
      </c>
      <c r="G938" s="185">
        <v>0</v>
      </c>
      <c r="H938" s="184" t="s">
        <v>598</v>
      </c>
      <c r="I938" s="184" t="s">
        <v>58</v>
      </c>
      <c r="J938" s="184" t="s">
        <v>551</v>
      </c>
      <c r="K938" s="184" t="s">
        <v>309</v>
      </c>
      <c r="L938" s="184" t="s">
        <v>598</v>
      </c>
      <c r="M938" s="184" t="s">
        <v>598</v>
      </c>
      <c r="N938" s="184" t="s">
        <v>85</v>
      </c>
      <c r="O938" s="184" t="s">
        <v>85</v>
      </c>
      <c r="P938" s="186" t="s">
        <v>607</v>
      </c>
      <c r="Q938" s="184" t="s">
        <v>598</v>
      </c>
      <c r="R938" s="184" t="s">
        <v>598</v>
      </c>
      <c r="S938" s="127" t="s">
        <v>598</v>
      </c>
      <c r="T938" s="184" t="s">
        <v>598</v>
      </c>
      <c r="U938" s="184" t="s">
        <v>598</v>
      </c>
      <c r="V938" s="185">
        <v>0</v>
      </c>
      <c r="W938" s="184" t="s">
        <v>485</v>
      </c>
      <c r="X938" s="184" t="s">
        <v>598</v>
      </c>
      <c r="Y938" s="185">
        <v>0</v>
      </c>
      <c r="Z938" s="184" t="s">
        <v>598</v>
      </c>
      <c r="AA938" s="21" t="s">
        <v>610</v>
      </c>
      <c r="AB938" s="176" t="s">
        <v>489</v>
      </c>
      <c r="AC938" s="172">
        <v>42996.328472222223</v>
      </c>
      <c r="AD938" s="32" t="s">
        <v>552</v>
      </c>
    </row>
    <row r="939" spans="1:30">
      <c r="A939" s="184">
        <v>938</v>
      </c>
      <c r="B939" s="184" t="s">
        <v>2491</v>
      </c>
      <c r="C939" s="184" t="s">
        <v>598</v>
      </c>
      <c r="D939" s="127">
        <v>42786</v>
      </c>
      <c r="E939" s="127" t="s">
        <v>598</v>
      </c>
      <c r="F939" s="184" t="s">
        <v>2492</v>
      </c>
      <c r="G939" s="185">
        <v>0</v>
      </c>
      <c r="H939" s="184" t="s">
        <v>598</v>
      </c>
      <c r="I939" s="184" t="s">
        <v>598</v>
      </c>
      <c r="J939" s="184" t="s">
        <v>551</v>
      </c>
      <c r="K939" s="184" t="s">
        <v>309</v>
      </c>
      <c r="L939" s="184" t="s">
        <v>598</v>
      </c>
      <c r="M939" s="184" t="s">
        <v>598</v>
      </c>
      <c r="N939" s="184" t="s">
        <v>85</v>
      </c>
      <c r="O939" s="184" t="s">
        <v>598</v>
      </c>
      <c r="P939" s="186" t="s">
        <v>73</v>
      </c>
      <c r="Q939" s="184" t="s">
        <v>598</v>
      </c>
      <c r="R939" s="184" t="s">
        <v>598</v>
      </c>
      <c r="S939" s="127" t="s">
        <v>598</v>
      </c>
      <c r="T939" s="184" t="s">
        <v>598</v>
      </c>
      <c r="U939" s="184" t="s">
        <v>598</v>
      </c>
      <c r="V939" s="185">
        <v>0</v>
      </c>
      <c r="W939" s="184" t="s">
        <v>485</v>
      </c>
      <c r="X939" s="184" t="s">
        <v>598</v>
      </c>
      <c r="Y939" s="185">
        <v>0</v>
      </c>
      <c r="Z939" s="184" t="s">
        <v>598</v>
      </c>
      <c r="AA939" s="21" t="s">
        <v>610</v>
      </c>
      <c r="AB939" s="176" t="s">
        <v>489</v>
      </c>
      <c r="AC939" s="172">
        <v>42996.328472222223</v>
      </c>
      <c r="AD939" s="32" t="s">
        <v>552</v>
      </c>
    </row>
    <row r="940" spans="1:30">
      <c r="A940" s="184">
        <v>939</v>
      </c>
      <c r="B940" s="184" t="s">
        <v>2493</v>
      </c>
      <c r="C940" s="184" t="s">
        <v>598</v>
      </c>
      <c r="D940" s="127">
        <v>42786</v>
      </c>
      <c r="E940" s="127" t="s">
        <v>598</v>
      </c>
      <c r="F940" s="184" t="s">
        <v>2494</v>
      </c>
      <c r="G940" s="185">
        <v>0</v>
      </c>
      <c r="H940" s="184" t="s">
        <v>598</v>
      </c>
      <c r="I940" s="184" t="s">
        <v>598</v>
      </c>
      <c r="J940" s="184" t="s">
        <v>551</v>
      </c>
      <c r="K940" s="184" t="s">
        <v>399</v>
      </c>
      <c r="L940" s="184" t="s">
        <v>598</v>
      </c>
      <c r="M940" s="184" t="s">
        <v>598</v>
      </c>
      <c r="N940" s="184" t="s">
        <v>85</v>
      </c>
      <c r="O940" s="184" t="s">
        <v>598</v>
      </c>
      <c r="P940" s="186" t="s">
        <v>601</v>
      </c>
      <c r="Q940" s="184" t="s">
        <v>598</v>
      </c>
      <c r="R940" s="184" t="s">
        <v>598</v>
      </c>
      <c r="S940" s="127" t="s">
        <v>598</v>
      </c>
      <c r="T940" s="184" t="s">
        <v>598</v>
      </c>
      <c r="U940" s="184" t="s">
        <v>598</v>
      </c>
      <c r="V940" s="185">
        <v>0</v>
      </c>
      <c r="W940" s="184" t="s">
        <v>485</v>
      </c>
      <c r="X940" s="184" t="s">
        <v>598</v>
      </c>
      <c r="Y940" s="185">
        <v>0</v>
      </c>
      <c r="Z940" s="184" t="s">
        <v>598</v>
      </c>
      <c r="AA940" s="21" t="s">
        <v>610</v>
      </c>
      <c r="AB940" s="176" t="s">
        <v>489</v>
      </c>
      <c r="AC940" s="172">
        <v>42996.328472222223</v>
      </c>
      <c r="AD940" s="32" t="s">
        <v>552</v>
      </c>
    </row>
    <row r="941" spans="1:30">
      <c r="A941" s="184">
        <v>940</v>
      </c>
      <c r="B941" s="184" t="s">
        <v>2495</v>
      </c>
      <c r="C941" s="184" t="s">
        <v>598</v>
      </c>
      <c r="D941" s="127">
        <v>42784</v>
      </c>
      <c r="E941" s="127" t="s">
        <v>598</v>
      </c>
      <c r="F941" s="184" t="s">
        <v>2496</v>
      </c>
      <c r="G941" s="185">
        <v>0</v>
      </c>
      <c r="H941" s="184" t="s">
        <v>598</v>
      </c>
      <c r="I941" s="184" t="s">
        <v>598</v>
      </c>
      <c r="J941" s="184" t="s">
        <v>551</v>
      </c>
      <c r="K941" s="184" t="s">
        <v>308</v>
      </c>
      <c r="L941" s="184" t="s">
        <v>598</v>
      </c>
      <c r="M941" s="184" t="s">
        <v>598</v>
      </c>
      <c r="N941" s="184" t="s">
        <v>85</v>
      </c>
      <c r="O941" s="184" t="s">
        <v>73</v>
      </c>
      <c r="P941" s="186" t="s">
        <v>32</v>
      </c>
      <c r="Q941" s="184" t="s">
        <v>598</v>
      </c>
      <c r="R941" s="184" t="s">
        <v>598</v>
      </c>
      <c r="S941" s="127" t="s">
        <v>598</v>
      </c>
      <c r="T941" s="184" t="s">
        <v>598</v>
      </c>
      <c r="U941" s="184" t="s">
        <v>598</v>
      </c>
      <c r="V941" s="185">
        <v>0</v>
      </c>
      <c r="W941" s="184" t="s">
        <v>485</v>
      </c>
      <c r="X941" s="184" t="s">
        <v>598</v>
      </c>
      <c r="Y941" s="185">
        <v>0</v>
      </c>
      <c r="Z941" s="184" t="s">
        <v>598</v>
      </c>
      <c r="AA941" s="21" t="s">
        <v>610</v>
      </c>
      <c r="AB941" s="176" t="s">
        <v>489</v>
      </c>
      <c r="AC941" s="172">
        <v>42996.328472222223</v>
      </c>
      <c r="AD941" s="32" t="s">
        <v>552</v>
      </c>
    </row>
    <row r="942" spans="1:30">
      <c r="A942" s="184">
        <v>941</v>
      </c>
      <c r="B942" s="184" t="s">
        <v>2497</v>
      </c>
      <c r="C942" s="184" t="s">
        <v>598</v>
      </c>
      <c r="D942" s="127">
        <v>42783</v>
      </c>
      <c r="E942" s="127" t="s">
        <v>598</v>
      </c>
      <c r="F942" s="184" t="s">
        <v>2498</v>
      </c>
      <c r="G942" s="185">
        <v>0</v>
      </c>
      <c r="H942" s="184" t="s">
        <v>598</v>
      </c>
      <c r="I942" s="184" t="s">
        <v>598</v>
      </c>
      <c r="J942" s="184" t="s">
        <v>551</v>
      </c>
      <c r="K942" s="184" t="s">
        <v>309</v>
      </c>
      <c r="L942" s="184" t="s">
        <v>598</v>
      </c>
      <c r="M942" s="184" t="s">
        <v>598</v>
      </c>
      <c r="N942" s="184" t="s">
        <v>85</v>
      </c>
      <c r="O942" s="184" t="s">
        <v>85</v>
      </c>
      <c r="P942" s="186" t="s">
        <v>53</v>
      </c>
      <c r="Q942" s="184" t="s">
        <v>598</v>
      </c>
      <c r="R942" s="184" t="s">
        <v>598</v>
      </c>
      <c r="S942" s="127" t="s">
        <v>598</v>
      </c>
      <c r="T942" s="184" t="s">
        <v>598</v>
      </c>
      <c r="U942" s="184" t="s">
        <v>598</v>
      </c>
      <c r="V942" s="185">
        <v>0</v>
      </c>
      <c r="W942" s="184" t="s">
        <v>485</v>
      </c>
      <c r="X942" s="184" t="s">
        <v>598</v>
      </c>
      <c r="Y942" s="185">
        <v>0</v>
      </c>
      <c r="Z942" s="184" t="s">
        <v>598</v>
      </c>
      <c r="AA942" s="21" t="s">
        <v>610</v>
      </c>
      <c r="AB942" s="176" t="s">
        <v>489</v>
      </c>
      <c r="AC942" s="172">
        <v>42996.328472222223</v>
      </c>
      <c r="AD942" s="32" t="s">
        <v>552</v>
      </c>
    </row>
    <row r="943" spans="1:30">
      <c r="A943" s="184">
        <v>942</v>
      </c>
      <c r="B943" s="184" t="s">
        <v>2499</v>
      </c>
      <c r="C943" s="184" t="s">
        <v>598</v>
      </c>
      <c r="D943" s="127">
        <v>42571</v>
      </c>
      <c r="E943" s="127" t="s">
        <v>598</v>
      </c>
      <c r="F943" s="184" t="s">
        <v>2500</v>
      </c>
      <c r="G943" s="185">
        <v>0</v>
      </c>
      <c r="H943" s="184" t="s">
        <v>598</v>
      </c>
      <c r="I943" s="184" t="s">
        <v>598</v>
      </c>
      <c r="J943" s="184" t="s">
        <v>77</v>
      </c>
      <c r="K943" s="184" t="s">
        <v>400</v>
      </c>
      <c r="L943" s="184" t="s">
        <v>598</v>
      </c>
      <c r="M943" s="184" t="s">
        <v>598</v>
      </c>
      <c r="N943" s="184" t="s">
        <v>85</v>
      </c>
      <c r="O943" s="184" t="s">
        <v>85</v>
      </c>
      <c r="P943" s="186" t="s">
        <v>44</v>
      </c>
      <c r="Q943" s="184" t="s">
        <v>598</v>
      </c>
      <c r="R943" s="184" t="s">
        <v>598</v>
      </c>
      <c r="S943" s="127" t="s">
        <v>598</v>
      </c>
      <c r="T943" s="184" t="s">
        <v>598</v>
      </c>
      <c r="U943" s="184" t="s">
        <v>598</v>
      </c>
      <c r="V943" s="185">
        <v>0</v>
      </c>
      <c r="W943" s="184" t="s">
        <v>485</v>
      </c>
      <c r="X943" s="184" t="s">
        <v>598</v>
      </c>
      <c r="Y943" s="185">
        <v>0</v>
      </c>
      <c r="Z943" s="184" t="s">
        <v>598</v>
      </c>
      <c r="AA943" s="21" t="s">
        <v>610</v>
      </c>
      <c r="AB943" s="176" t="s">
        <v>489</v>
      </c>
      <c r="AC943" s="172">
        <v>42996.328472222223</v>
      </c>
      <c r="AD943" s="32" t="s">
        <v>552</v>
      </c>
    </row>
    <row r="944" spans="1:30">
      <c r="A944" s="184">
        <v>943</v>
      </c>
      <c r="B944" s="184" t="s">
        <v>2501</v>
      </c>
      <c r="C944" s="184" t="s">
        <v>598</v>
      </c>
      <c r="D944" s="127">
        <v>42780</v>
      </c>
      <c r="E944" s="127" t="s">
        <v>598</v>
      </c>
      <c r="F944" s="184" t="s">
        <v>2498</v>
      </c>
      <c r="G944" s="185">
        <v>0</v>
      </c>
      <c r="H944" s="184" t="s">
        <v>598</v>
      </c>
      <c r="I944" s="184" t="s">
        <v>598</v>
      </c>
      <c r="J944" s="184" t="s">
        <v>551</v>
      </c>
      <c r="K944" s="184" t="s">
        <v>309</v>
      </c>
      <c r="L944" s="184" t="s">
        <v>598</v>
      </c>
      <c r="M944" s="184" t="s">
        <v>598</v>
      </c>
      <c r="N944" s="184" t="s">
        <v>85</v>
      </c>
      <c r="O944" s="184" t="s">
        <v>598</v>
      </c>
      <c r="P944" s="186" t="s">
        <v>67</v>
      </c>
      <c r="Q944" s="184" t="s">
        <v>598</v>
      </c>
      <c r="R944" s="184" t="s">
        <v>598</v>
      </c>
      <c r="S944" s="127" t="s">
        <v>598</v>
      </c>
      <c r="T944" s="184" t="s">
        <v>598</v>
      </c>
      <c r="U944" s="184" t="s">
        <v>598</v>
      </c>
      <c r="V944" s="185">
        <v>0</v>
      </c>
      <c r="W944" s="184" t="s">
        <v>485</v>
      </c>
      <c r="X944" s="184" t="s">
        <v>598</v>
      </c>
      <c r="Y944" s="185">
        <v>0</v>
      </c>
      <c r="Z944" s="184" t="s">
        <v>598</v>
      </c>
      <c r="AA944" s="21" t="s">
        <v>610</v>
      </c>
      <c r="AB944" s="176" t="s">
        <v>489</v>
      </c>
      <c r="AC944" s="172">
        <v>42996.328472222223</v>
      </c>
      <c r="AD944" s="32" t="s">
        <v>552</v>
      </c>
    </row>
    <row r="945" spans="1:30">
      <c r="A945" s="184">
        <v>944</v>
      </c>
      <c r="B945" s="184" t="s">
        <v>2502</v>
      </c>
      <c r="C945" s="184" t="s">
        <v>598</v>
      </c>
      <c r="D945" s="127">
        <v>42776</v>
      </c>
      <c r="E945" s="127" t="s">
        <v>598</v>
      </c>
      <c r="F945" s="184" t="s">
        <v>2503</v>
      </c>
      <c r="G945" s="185">
        <v>0</v>
      </c>
      <c r="H945" s="184" t="s">
        <v>598</v>
      </c>
      <c r="I945" s="184" t="s">
        <v>598</v>
      </c>
      <c r="J945" s="184" t="s">
        <v>551</v>
      </c>
      <c r="K945" s="184" t="s">
        <v>309</v>
      </c>
      <c r="L945" s="184" t="s">
        <v>598</v>
      </c>
      <c r="M945" s="184" t="s">
        <v>598</v>
      </c>
      <c r="N945" s="184" t="s">
        <v>85</v>
      </c>
      <c r="O945" s="184" t="s">
        <v>598</v>
      </c>
      <c r="P945" s="186" t="s">
        <v>602</v>
      </c>
      <c r="Q945" s="184" t="s">
        <v>598</v>
      </c>
      <c r="R945" s="184" t="s">
        <v>598</v>
      </c>
      <c r="S945" s="127" t="s">
        <v>598</v>
      </c>
      <c r="T945" s="184" t="s">
        <v>598</v>
      </c>
      <c r="U945" s="184" t="s">
        <v>598</v>
      </c>
      <c r="V945" s="185">
        <v>0</v>
      </c>
      <c r="W945" s="184" t="s">
        <v>485</v>
      </c>
      <c r="X945" s="184" t="s">
        <v>598</v>
      </c>
      <c r="Y945" s="185">
        <v>0</v>
      </c>
      <c r="Z945" s="184" t="s">
        <v>598</v>
      </c>
      <c r="AA945" s="21" t="s">
        <v>610</v>
      </c>
      <c r="AB945" s="176" t="s">
        <v>489</v>
      </c>
      <c r="AC945" s="172">
        <v>42996.328472222223</v>
      </c>
      <c r="AD945" s="32" t="s">
        <v>552</v>
      </c>
    </row>
    <row r="946" spans="1:30">
      <c r="A946" s="184">
        <v>945</v>
      </c>
      <c r="B946" s="184" t="s">
        <v>2504</v>
      </c>
      <c r="C946" s="184" t="s">
        <v>598</v>
      </c>
      <c r="D946" s="127">
        <v>42733</v>
      </c>
      <c r="E946" s="127" t="s">
        <v>598</v>
      </c>
      <c r="F946" s="184" t="s">
        <v>2505</v>
      </c>
      <c r="G946" s="185">
        <v>0</v>
      </c>
      <c r="H946" s="184" t="s">
        <v>598</v>
      </c>
      <c r="I946" s="184" t="s">
        <v>118</v>
      </c>
      <c r="J946" s="184" t="s">
        <v>551</v>
      </c>
      <c r="K946" s="184" t="s">
        <v>314</v>
      </c>
      <c r="L946" s="184" t="s">
        <v>598</v>
      </c>
      <c r="M946" s="184" t="s">
        <v>598</v>
      </c>
      <c r="N946" s="184" t="s">
        <v>85</v>
      </c>
      <c r="O946" s="184" t="s">
        <v>85</v>
      </c>
      <c r="P946" s="186" t="s">
        <v>603</v>
      </c>
      <c r="Q946" s="184" t="s">
        <v>598</v>
      </c>
      <c r="R946" s="184" t="s">
        <v>598</v>
      </c>
      <c r="S946" s="127">
        <v>42893</v>
      </c>
      <c r="T946" s="184" t="s">
        <v>10</v>
      </c>
      <c r="U946" s="184" t="s">
        <v>598</v>
      </c>
      <c r="V946" s="185">
        <v>2700</v>
      </c>
      <c r="W946" s="184" t="s">
        <v>493</v>
      </c>
      <c r="X946" s="184" t="s">
        <v>598</v>
      </c>
      <c r="Y946" s="185">
        <v>0</v>
      </c>
      <c r="Z946" s="184" t="s">
        <v>598</v>
      </c>
      <c r="AA946" s="21" t="s">
        <v>610</v>
      </c>
      <c r="AB946" s="176" t="s">
        <v>489</v>
      </c>
      <c r="AC946" s="172">
        <v>42996.328472222223</v>
      </c>
      <c r="AD946" s="32" t="s">
        <v>552</v>
      </c>
    </row>
    <row r="947" spans="1:30">
      <c r="A947" s="184">
        <v>946</v>
      </c>
      <c r="B947" s="184" t="s">
        <v>2506</v>
      </c>
      <c r="C947" s="184" t="s">
        <v>598</v>
      </c>
      <c r="D947" s="127">
        <v>42703</v>
      </c>
      <c r="E947" s="127" t="s">
        <v>598</v>
      </c>
      <c r="F947" s="184" t="s">
        <v>2507</v>
      </c>
      <c r="G947" s="185">
        <v>0</v>
      </c>
      <c r="H947" s="184" t="s">
        <v>598</v>
      </c>
      <c r="I947" s="184" t="s">
        <v>48</v>
      </c>
      <c r="J947" s="184" t="s">
        <v>551</v>
      </c>
      <c r="K947" s="184" t="s">
        <v>306</v>
      </c>
      <c r="L947" s="184" t="s">
        <v>598</v>
      </c>
      <c r="M947" s="184" t="s">
        <v>598</v>
      </c>
      <c r="N947" s="184" t="s">
        <v>85</v>
      </c>
      <c r="O947" s="184" t="s">
        <v>73</v>
      </c>
      <c r="P947" s="186" t="s">
        <v>604</v>
      </c>
      <c r="Q947" s="184" t="s">
        <v>598</v>
      </c>
      <c r="R947" s="184" t="s">
        <v>598</v>
      </c>
      <c r="S947" s="127" t="s">
        <v>598</v>
      </c>
      <c r="T947" s="184" t="s">
        <v>598</v>
      </c>
      <c r="U947" s="184" t="s">
        <v>598</v>
      </c>
      <c r="V947" s="185">
        <v>0</v>
      </c>
      <c r="W947" s="184" t="s">
        <v>485</v>
      </c>
      <c r="X947" s="184" t="s">
        <v>598</v>
      </c>
      <c r="Y947" s="185">
        <v>0</v>
      </c>
      <c r="Z947" s="184" t="s">
        <v>598</v>
      </c>
      <c r="AA947" s="21" t="s">
        <v>610</v>
      </c>
      <c r="AB947" s="176" t="s">
        <v>489</v>
      </c>
      <c r="AC947" s="172">
        <v>42996.328472222223</v>
      </c>
      <c r="AD947" s="32" t="s">
        <v>552</v>
      </c>
    </row>
    <row r="948" spans="1:30">
      <c r="A948" s="184">
        <v>947</v>
      </c>
      <c r="B948" s="184" t="s">
        <v>2508</v>
      </c>
      <c r="C948" s="184" t="s">
        <v>598</v>
      </c>
      <c r="D948" s="127">
        <v>42598</v>
      </c>
      <c r="E948" s="127" t="s">
        <v>598</v>
      </c>
      <c r="F948" s="184" t="s">
        <v>2509</v>
      </c>
      <c r="G948" s="185">
        <v>0</v>
      </c>
      <c r="H948" s="184" t="s">
        <v>598</v>
      </c>
      <c r="I948" s="184" t="s">
        <v>598</v>
      </c>
      <c r="J948" s="184" t="s">
        <v>77</v>
      </c>
      <c r="K948" s="184" t="s">
        <v>183</v>
      </c>
      <c r="L948" s="184" t="s">
        <v>598</v>
      </c>
      <c r="M948" s="184" t="s">
        <v>598</v>
      </c>
      <c r="N948" s="184" t="s">
        <v>85</v>
      </c>
      <c r="O948" s="184" t="s">
        <v>85</v>
      </c>
      <c r="P948" s="186" t="s">
        <v>605</v>
      </c>
      <c r="Q948" s="184" t="s">
        <v>598</v>
      </c>
      <c r="R948" s="184" t="s">
        <v>598</v>
      </c>
      <c r="S948" s="127">
        <v>42909</v>
      </c>
      <c r="T948" s="184" t="s">
        <v>10</v>
      </c>
      <c r="U948" s="184" t="s">
        <v>598</v>
      </c>
      <c r="V948" s="185">
        <v>2375</v>
      </c>
      <c r="W948" s="184" t="s">
        <v>493</v>
      </c>
      <c r="X948" s="184">
        <v>2375</v>
      </c>
      <c r="Y948" s="185">
        <v>0</v>
      </c>
      <c r="Z948" s="184" t="s">
        <v>598</v>
      </c>
      <c r="AA948" s="21" t="s">
        <v>610</v>
      </c>
      <c r="AB948" s="176" t="s">
        <v>489</v>
      </c>
      <c r="AC948" s="172">
        <v>42996.328472222223</v>
      </c>
      <c r="AD948" s="32" t="s">
        <v>552</v>
      </c>
    </row>
    <row r="949" spans="1:30">
      <c r="A949" s="184">
        <v>948</v>
      </c>
      <c r="B949" s="184" t="s">
        <v>2510</v>
      </c>
      <c r="C949" s="184" t="s">
        <v>598</v>
      </c>
      <c r="D949" s="127">
        <v>42703</v>
      </c>
      <c r="E949" s="127" t="s">
        <v>598</v>
      </c>
      <c r="F949" s="184" t="s">
        <v>2507</v>
      </c>
      <c r="G949" s="185">
        <v>0</v>
      </c>
      <c r="H949" s="184" t="s">
        <v>598</v>
      </c>
      <c r="I949" s="184" t="s">
        <v>48</v>
      </c>
      <c r="J949" s="184" t="s">
        <v>551</v>
      </c>
      <c r="K949" s="184" t="s">
        <v>306</v>
      </c>
      <c r="L949" s="184" t="s">
        <v>598</v>
      </c>
      <c r="M949" s="184" t="s">
        <v>598</v>
      </c>
      <c r="N949" s="184" t="s">
        <v>85</v>
      </c>
      <c r="O949" s="184" t="s">
        <v>73</v>
      </c>
      <c r="P949" s="186"/>
      <c r="Q949" s="184" t="s">
        <v>598</v>
      </c>
      <c r="R949" s="184" t="s">
        <v>598</v>
      </c>
      <c r="S949" s="127" t="s">
        <v>598</v>
      </c>
      <c r="T949" s="184" t="s">
        <v>598</v>
      </c>
      <c r="U949" s="184" t="s">
        <v>598</v>
      </c>
      <c r="V949" s="185">
        <v>0</v>
      </c>
      <c r="W949" s="184" t="s">
        <v>485</v>
      </c>
      <c r="X949" s="184" t="s">
        <v>598</v>
      </c>
      <c r="Y949" s="185">
        <v>0</v>
      </c>
      <c r="Z949" s="184" t="s">
        <v>598</v>
      </c>
      <c r="AA949" s="21" t="s">
        <v>610</v>
      </c>
      <c r="AB949" s="176" t="s">
        <v>489</v>
      </c>
      <c r="AC949" s="172">
        <v>42996.328472222223</v>
      </c>
      <c r="AD949" s="32" t="s">
        <v>552</v>
      </c>
    </row>
    <row r="950" spans="1:30">
      <c r="A950" s="184">
        <v>949</v>
      </c>
      <c r="B950" s="184" t="s">
        <v>2511</v>
      </c>
      <c r="C950" s="184" t="s">
        <v>598</v>
      </c>
      <c r="D950" s="127">
        <v>42703</v>
      </c>
      <c r="E950" s="127" t="s">
        <v>598</v>
      </c>
      <c r="F950" s="184" t="s">
        <v>2507</v>
      </c>
      <c r="G950" s="185">
        <v>0</v>
      </c>
      <c r="H950" s="184" t="s">
        <v>598</v>
      </c>
      <c r="I950" s="184" t="s">
        <v>48</v>
      </c>
      <c r="J950" s="184" t="s">
        <v>551</v>
      </c>
      <c r="K950" s="184" t="s">
        <v>306</v>
      </c>
      <c r="L950" s="184" t="s">
        <v>598</v>
      </c>
      <c r="M950" s="184" t="s">
        <v>598</v>
      </c>
      <c r="N950" s="184" t="s">
        <v>85</v>
      </c>
      <c r="O950" s="184" t="s">
        <v>73</v>
      </c>
      <c r="P950" s="186" t="s">
        <v>607</v>
      </c>
      <c r="Q950" s="184" t="s">
        <v>598</v>
      </c>
      <c r="R950" s="184" t="s">
        <v>598</v>
      </c>
      <c r="S950" s="127" t="s">
        <v>598</v>
      </c>
      <c r="T950" s="184" t="s">
        <v>598</v>
      </c>
      <c r="U950" s="184" t="s">
        <v>598</v>
      </c>
      <c r="V950" s="185">
        <v>0</v>
      </c>
      <c r="W950" s="184" t="s">
        <v>485</v>
      </c>
      <c r="X950" s="184" t="s">
        <v>598</v>
      </c>
      <c r="Y950" s="185">
        <v>0</v>
      </c>
      <c r="Z950" s="184" t="s">
        <v>598</v>
      </c>
      <c r="AA950" s="21" t="s">
        <v>610</v>
      </c>
      <c r="AB950" s="176" t="s">
        <v>489</v>
      </c>
      <c r="AC950" s="172">
        <v>42996.328472222223</v>
      </c>
      <c r="AD950" s="32" t="s">
        <v>552</v>
      </c>
    </row>
    <row r="951" spans="1:30">
      <c r="A951" s="184">
        <v>950</v>
      </c>
      <c r="B951" s="184" t="s">
        <v>2512</v>
      </c>
      <c r="C951" s="184" t="s">
        <v>598</v>
      </c>
      <c r="D951" s="127">
        <v>42682</v>
      </c>
      <c r="E951" s="127" t="s">
        <v>598</v>
      </c>
      <c r="F951" s="184" t="s">
        <v>2513</v>
      </c>
      <c r="G951" s="185">
        <v>0</v>
      </c>
      <c r="H951" s="184" t="s">
        <v>598</v>
      </c>
      <c r="I951" s="184" t="s">
        <v>120</v>
      </c>
      <c r="J951" s="184" t="s">
        <v>551</v>
      </c>
      <c r="K951" s="184" t="s">
        <v>309</v>
      </c>
      <c r="L951" s="184" t="s">
        <v>598</v>
      </c>
      <c r="M951" s="184" t="s">
        <v>598</v>
      </c>
      <c r="N951" s="184" t="s">
        <v>85</v>
      </c>
      <c r="O951" s="184" t="s">
        <v>85</v>
      </c>
      <c r="P951" s="186" t="s">
        <v>73</v>
      </c>
      <c r="Q951" s="184" t="s">
        <v>598</v>
      </c>
      <c r="R951" s="184" t="s">
        <v>598</v>
      </c>
      <c r="S951" s="127" t="s">
        <v>598</v>
      </c>
      <c r="T951" s="184" t="s">
        <v>598</v>
      </c>
      <c r="U951" s="184" t="s">
        <v>598</v>
      </c>
      <c r="V951" s="185">
        <v>0</v>
      </c>
      <c r="W951" s="184" t="s">
        <v>485</v>
      </c>
      <c r="X951" s="184" t="s">
        <v>598</v>
      </c>
      <c r="Y951" s="185">
        <v>0</v>
      </c>
      <c r="Z951" s="184" t="s">
        <v>598</v>
      </c>
      <c r="AA951" s="21" t="s">
        <v>610</v>
      </c>
      <c r="AB951" s="176" t="s">
        <v>489</v>
      </c>
      <c r="AC951" s="172">
        <v>42996.328472222223</v>
      </c>
      <c r="AD951" s="32" t="s">
        <v>552</v>
      </c>
    </row>
    <row r="952" spans="1:30">
      <c r="A952" s="184">
        <v>951</v>
      </c>
      <c r="B952" s="184" t="s">
        <v>2514</v>
      </c>
      <c r="C952" s="184" t="s">
        <v>598</v>
      </c>
      <c r="D952" s="127">
        <v>42681</v>
      </c>
      <c r="E952" s="127" t="s">
        <v>598</v>
      </c>
      <c r="F952" s="184" t="s">
        <v>2515</v>
      </c>
      <c r="G952" s="185">
        <v>0</v>
      </c>
      <c r="H952" s="184" t="s">
        <v>598</v>
      </c>
      <c r="I952" s="184" t="s">
        <v>58</v>
      </c>
      <c r="J952" s="184" t="s">
        <v>551</v>
      </c>
      <c r="K952" s="184" t="s">
        <v>306</v>
      </c>
      <c r="L952" s="184" t="s">
        <v>598</v>
      </c>
      <c r="M952" s="184" t="s">
        <v>598</v>
      </c>
      <c r="N952" s="184" t="s">
        <v>85</v>
      </c>
      <c r="O952" s="184" t="s">
        <v>73</v>
      </c>
      <c r="P952" s="186" t="s">
        <v>601</v>
      </c>
      <c r="Q952" s="184" t="s">
        <v>598</v>
      </c>
      <c r="R952" s="184" t="s">
        <v>598</v>
      </c>
      <c r="S952" s="127" t="s">
        <v>598</v>
      </c>
      <c r="T952" s="184" t="s">
        <v>598</v>
      </c>
      <c r="U952" s="184" t="s">
        <v>598</v>
      </c>
      <c r="V952" s="185">
        <v>0</v>
      </c>
      <c r="W952" s="184" t="s">
        <v>485</v>
      </c>
      <c r="X952" s="184" t="s">
        <v>598</v>
      </c>
      <c r="Y952" s="185">
        <v>0</v>
      </c>
      <c r="Z952" s="184" t="s">
        <v>598</v>
      </c>
      <c r="AA952" s="21" t="s">
        <v>610</v>
      </c>
      <c r="AB952" s="176" t="s">
        <v>489</v>
      </c>
      <c r="AC952" s="172">
        <v>42996.328472222223</v>
      </c>
      <c r="AD952" s="32" t="s">
        <v>552</v>
      </c>
    </row>
    <row r="953" spans="1:30">
      <c r="A953" s="184">
        <v>952</v>
      </c>
      <c r="B953" s="184" t="s">
        <v>2516</v>
      </c>
      <c r="C953" s="184" t="s">
        <v>598</v>
      </c>
      <c r="D953" s="127">
        <v>42629</v>
      </c>
      <c r="E953" s="127" t="s">
        <v>598</v>
      </c>
      <c r="F953" s="184" t="s">
        <v>2517</v>
      </c>
      <c r="G953" s="185">
        <v>0</v>
      </c>
      <c r="H953" s="184" t="s">
        <v>598</v>
      </c>
      <c r="I953" s="184" t="s">
        <v>598</v>
      </c>
      <c r="J953" s="184" t="s">
        <v>77</v>
      </c>
      <c r="K953" s="184" t="s">
        <v>183</v>
      </c>
      <c r="L953" s="184" t="s">
        <v>598</v>
      </c>
      <c r="M953" s="184" t="s">
        <v>598</v>
      </c>
      <c r="N953" s="184" t="s">
        <v>85</v>
      </c>
      <c r="O953" s="184" t="s">
        <v>85</v>
      </c>
      <c r="P953" s="186" t="s">
        <v>32</v>
      </c>
      <c r="Q953" s="184" t="s">
        <v>598</v>
      </c>
      <c r="R953" s="184" t="s">
        <v>598</v>
      </c>
      <c r="S953" s="127" t="s">
        <v>598</v>
      </c>
      <c r="T953" s="184" t="s">
        <v>598</v>
      </c>
      <c r="U953" s="184" t="s">
        <v>598</v>
      </c>
      <c r="V953" s="185">
        <v>0</v>
      </c>
      <c r="W953" s="184" t="s">
        <v>485</v>
      </c>
      <c r="X953" s="184">
        <v>10000</v>
      </c>
      <c r="Y953" s="185">
        <v>0</v>
      </c>
      <c r="Z953" s="184" t="s">
        <v>598</v>
      </c>
      <c r="AA953" s="21" t="s">
        <v>610</v>
      </c>
      <c r="AB953" s="176" t="s">
        <v>489</v>
      </c>
      <c r="AC953" s="172">
        <v>42996.328472222223</v>
      </c>
      <c r="AD953" s="32" t="s">
        <v>552</v>
      </c>
    </row>
    <row r="954" spans="1:30">
      <c r="A954" s="184">
        <v>953</v>
      </c>
      <c r="B954" s="184" t="s">
        <v>2518</v>
      </c>
      <c r="C954" s="184" t="s">
        <v>598</v>
      </c>
      <c r="D954" s="127">
        <v>42681</v>
      </c>
      <c r="E954" s="127" t="s">
        <v>598</v>
      </c>
      <c r="F954" s="184" t="s">
        <v>2515</v>
      </c>
      <c r="G954" s="185">
        <v>0</v>
      </c>
      <c r="H954" s="184" t="s">
        <v>598</v>
      </c>
      <c r="I954" s="184" t="s">
        <v>58</v>
      </c>
      <c r="J954" s="184" t="s">
        <v>551</v>
      </c>
      <c r="K954" s="184" t="s">
        <v>306</v>
      </c>
      <c r="L954" s="184" t="s">
        <v>598</v>
      </c>
      <c r="M954" s="184" t="s">
        <v>598</v>
      </c>
      <c r="N954" s="184" t="s">
        <v>85</v>
      </c>
      <c r="O954" s="184" t="s">
        <v>73</v>
      </c>
      <c r="P954" s="186" t="s">
        <v>53</v>
      </c>
      <c r="Q954" s="184" t="s">
        <v>598</v>
      </c>
      <c r="R954" s="184" t="s">
        <v>598</v>
      </c>
      <c r="S954" s="127" t="s">
        <v>598</v>
      </c>
      <c r="T954" s="184" t="s">
        <v>598</v>
      </c>
      <c r="U954" s="184" t="s">
        <v>598</v>
      </c>
      <c r="V954" s="185">
        <v>0</v>
      </c>
      <c r="W954" s="184" t="s">
        <v>485</v>
      </c>
      <c r="X954" s="184" t="s">
        <v>598</v>
      </c>
      <c r="Y954" s="185">
        <v>0</v>
      </c>
      <c r="Z954" s="184" t="s">
        <v>598</v>
      </c>
      <c r="AA954" s="21" t="s">
        <v>610</v>
      </c>
      <c r="AB954" s="176" t="s">
        <v>489</v>
      </c>
      <c r="AC954" s="172">
        <v>42996.328472222223</v>
      </c>
      <c r="AD954" s="32" t="s">
        <v>552</v>
      </c>
    </row>
    <row r="955" spans="1:30">
      <c r="A955" s="184">
        <v>954</v>
      </c>
      <c r="B955" s="184" t="s">
        <v>2519</v>
      </c>
      <c r="C955" s="184" t="s">
        <v>598</v>
      </c>
      <c r="D955" s="127">
        <v>42661</v>
      </c>
      <c r="E955" s="127" t="s">
        <v>598</v>
      </c>
      <c r="F955" s="184" t="s">
        <v>2520</v>
      </c>
      <c r="G955" s="185">
        <v>0</v>
      </c>
      <c r="H955" s="184" t="s">
        <v>598</v>
      </c>
      <c r="I955" s="184" t="s">
        <v>115</v>
      </c>
      <c r="J955" s="184" t="s">
        <v>77</v>
      </c>
      <c r="K955" s="184" t="s">
        <v>183</v>
      </c>
      <c r="L955" s="184" t="s">
        <v>598</v>
      </c>
      <c r="M955" s="184" t="s">
        <v>598</v>
      </c>
      <c r="N955" s="184" t="s">
        <v>85</v>
      </c>
      <c r="O955" s="184" t="s">
        <v>85</v>
      </c>
      <c r="P955" s="186" t="s">
        <v>44</v>
      </c>
      <c r="Q955" s="184" t="s">
        <v>598</v>
      </c>
      <c r="R955" s="184" t="s">
        <v>598</v>
      </c>
      <c r="S955" s="127" t="s">
        <v>598</v>
      </c>
      <c r="T955" s="184" t="s">
        <v>598</v>
      </c>
      <c r="U955" s="184" t="s">
        <v>598</v>
      </c>
      <c r="V955" s="185">
        <v>0</v>
      </c>
      <c r="W955" s="184" t="s">
        <v>485</v>
      </c>
      <c r="X955" s="184">
        <v>10000</v>
      </c>
      <c r="Y955" s="185">
        <v>0</v>
      </c>
      <c r="Z955" s="184" t="s">
        <v>598</v>
      </c>
      <c r="AA955" s="21" t="s">
        <v>610</v>
      </c>
      <c r="AB955" s="176" t="s">
        <v>489</v>
      </c>
      <c r="AC955" s="172">
        <v>42996.328472222223</v>
      </c>
      <c r="AD955" s="32" t="s">
        <v>552</v>
      </c>
    </row>
    <row r="956" spans="1:30">
      <c r="A956" s="184">
        <v>955</v>
      </c>
      <c r="B956" s="184" t="s">
        <v>2521</v>
      </c>
      <c r="C956" s="184" t="s">
        <v>598</v>
      </c>
      <c r="D956" s="127">
        <v>42653</v>
      </c>
      <c r="E956" s="127" t="s">
        <v>598</v>
      </c>
      <c r="F956" s="184" t="s">
        <v>2522</v>
      </c>
      <c r="G956" s="185">
        <v>0</v>
      </c>
      <c r="H956" s="184" t="s">
        <v>598</v>
      </c>
      <c r="I956" s="184" t="s">
        <v>598</v>
      </c>
      <c r="J956" s="184" t="s">
        <v>70</v>
      </c>
      <c r="K956" s="184" t="s">
        <v>313</v>
      </c>
      <c r="L956" s="184" t="s">
        <v>598</v>
      </c>
      <c r="M956" s="184" t="s">
        <v>598</v>
      </c>
      <c r="N956" s="184" t="s">
        <v>85</v>
      </c>
      <c r="O956" s="184" t="s">
        <v>85</v>
      </c>
      <c r="P956" s="186" t="s">
        <v>67</v>
      </c>
      <c r="Q956" s="184" t="s">
        <v>598</v>
      </c>
      <c r="R956" s="184" t="s">
        <v>598</v>
      </c>
      <c r="S956" s="127" t="s">
        <v>598</v>
      </c>
      <c r="T956" s="184" t="s">
        <v>598</v>
      </c>
      <c r="U956" s="184" t="s">
        <v>598</v>
      </c>
      <c r="V956" s="185">
        <v>0</v>
      </c>
      <c r="W956" s="184" t="s">
        <v>485</v>
      </c>
      <c r="X956" s="184" t="s">
        <v>598</v>
      </c>
      <c r="Y956" s="185">
        <v>0</v>
      </c>
      <c r="Z956" s="184" t="s">
        <v>598</v>
      </c>
      <c r="AA956" s="21" t="s">
        <v>610</v>
      </c>
      <c r="AB956" s="176" t="s">
        <v>489</v>
      </c>
      <c r="AC956" s="172">
        <v>42996.328472222223</v>
      </c>
      <c r="AD956" s="32" t="s">
        <v>552</v>
      </c>
    </row>
    <row r="957" spans="1:30">
      <c r="A957" s="184">
        <v>956</v>
      </c>
      <c r="B957" s="184" t="s">
        <v>2523</v>
      </c>
      <c r="C957" s="184" t="s">
        <v>598</v>
      </c>
      <c r="D957" s="127">
        <v>42681</v>
      </c>
      <c r="E957" s="127" t="s">
        <v>598</v>
      </c>
      <c r="F957" s="184" t="s">
        <v>2515</v>
      </c>
      <c r="G957" s="185">
        <v>0</v>
      </c>
      <c r="H957" s="184" t="s">
        <v>598</v>
      </c>
      <c r="I957" s="184" t="s">
        <v>58</v>
      </c>
      <c r="J957" s="184" t="s">
        <v>551</v>
      </c>
      <c r="K957" s="184" t="s">
        <v>306</v>
      </c>
      <c r="L957" s="184" t="s">
        <v>598</v>
      </c>
      <c r="M957" s="184" t="s">
        <v>598</v>
      </c>
      <c r="N957" s="184" t="s">
        <v>85</v>
      </c>
      <c r="O957" s="184" t="s">
        <v>73</v>
      </c>
      <c r="P957" s="186" t="s">
        <v>602</v>
      </c>
      <c r="Q957" s="184" t="s">
        <v>598</v>
      </c>
      <c r="R957" s="184" t="s">
        <v>598</v>
      </c>
      <c r="S957" s="127" t="s">
        <v>598</v>
      </c>
      <c r="T957" s="184" t="s">
        <v>598</v>
      </c>
      <c r="U957" s="184" t="s">
        <v>598</v>
      </c>
      <c r="V957" s="185">
        <v>0</v>
      </c>
      <c r="W957" s="184" t="s">
        <v>485</v>
      </c>
      <c r="X957" s="184" t="s">
        <v>598</v>
      </c>
      <c r="Y957" s="185">
        <v>0</v>
      </c>
      <c r="Z957" s="184" t="s">
        <v>598</v>
      </c>
      <c r="AA957" s="21" t="s">
        <v>610</v>
      </c>
      <c r="AB957" s="176" t="s">
        <v>489</v>
      </c>
      <c r="AC957" s="172">
        <v>42996.328472222223</v>
      </c>
      <c r="AD957" s="32" t="s">
        <v>552</v>
      </c>
    </row>
    <row r="958" spans="1:30">
      <c r="A958" s="184">
        <v>957</v>
      </c>
      <c r="B958" s="184" t="s">
        <v>2524</v>
      </c>
      <c r="C958" s="184" t="s">
        <v>598</v>
      </c>
      <c r="D958" s="127">
        <v>42663</v>
      </c>
      <c r="E958" s="127" t="s">
        <v>598</v>
      </c>
      <c r="F958" s="184" t="s">
        <v>2525</v>
      </c>
      <c r="G958" s="185">
        <v>0</v>
      </c>
      <c r="H958" s="184" t="s">
        <v>598</v>
      </c>
      <c r="I958" s="184" t="s">
        <v>48</v>
      </c>
      <c r="J958" s="184" t="s">
        <v>551</v>
      </c>
      <c r="K958" s="184" t="s">
        <v>307</v>
      </c>
      <c r="L958" s="184" t="s">
        <v>598</v>
      </c>
      <c r="M958" s="184" t="s">
        <v>598</v>
      </c>
      <c r="N958" s="184" t="s">
        <v>85</v>
      </c>
      <c r="O958" s="184" t="s">
        <v>85</v>
      </c>
      <c r="P958" s="186" t="s">
        <v>603</v>
      </c>
      <c r="Q958" s="184" t="s">
        <v>598</v>
      </c>
      <c r="R958" s="184" t="s">
        <v>598</v>
      </c>
      <c r="S958" s="127" t="s">
        <v>598</v>
      </c>
      <c r="T958" s="184" t="s">
        <v>598</v>
      </c>
      <c r="U958" s="184" t="s">
        <v>598</v>
      </c>
      <c r="V958" s="185">
        <v>0</v>
      </c>
      <c r="W958" s="184" t="s">
        <v>485</v>
      </c>
      <c r="X958" s="184" t="s">
        <v>598</v>
      </c>
      <c r="Y958" s="185">
        <v>0</v>
      </c>
      <c r="Z958" s="184" t="s">
        <v>598</v>
      </c>
      <c r="AA958" s="21" t="s">
        <v>610</v>
      </c>
      <c r="AB958" s="176" t="s">
        <v>489</v>
      </c>
      <c r="AC958" s="172">
        <v>42996.328472222223</v>
      </c>
      <c r="AD958" s="32" t="s">
        <v>552</v>
      </c>
    </row>
    <row r="959" spans="1:30">
      <c r="A959" s="184">
        <v>958</v>
      </c>
      <c r="B959" s="184" t="s">
        <v>2526</v>
      </c>
      <c r="C959" s="184" t="s">
        <v>598</v>
      </c>
      <c r="D959" s="127">
        <v>42640</v>
      </c>
      <c r="E959" s="127" t="s">
        <v>598</v>
      </c>
      <c r="F959" s="184" t="s">
        <v>2527</v>
      </c>
      <c r="G959" s="185">
        <v>0</v>
      </c>
      <c r="H959" s="184" t="s">
        <v>598</v>
      </c>
      <c r="I959" s="184" t="s">
        <v>58</v>
      </c>
      <c r="J959" s="184" t="s">
        <v>551</v>
      </c>
      <c r="K959" s="184" t="s">
        <v>401</v>
      </c>
      <c r="L959" s="184" t="s">
        <v>598</v>
      </c>
      <c r="M959" s="184" t="s">
        <v>598</v>
      </c>
      <c r="N959" s="184" t="s">
        <v>85</v>
      </c>
      <c r="O959" s="184" t="s">
        <v>598</v>
      </c>
      <c r="P959" s="186" t="s">
        <v>604</v>
      </c>
      <c r="Q959" s="184" t="s">
        <v>598</v>
      </c>
      <c r="R959" s="184" t="s">
        <v>598</v>
      </c>
      <c r="S959" s="127" t="s">
        <v>598</v>
      </c>
      <c r="T959" s="184" t="s">
        <v>598</v>
      </c>
      <c r="U959" s="184" t="s">
        <v>598</v>
      </c>
      <c r="V959" s="185">
        <v>0</v>
      </c>
      <c r="W959" s="184" t="s">
        <v>485</v>
      </c>
      <c r="X959" s="184" t="s">
        <v>598</v>
      </c>
      <c r="Y959" s="185">
        <v>0</v>
      </c>
      <c r="Z959" s="184" t="s">
        <v>598</v>
      </c>
      <c r="AA959" s="21" t="s">
        <v>610</v>
      </c>
      <c r="AB959" s="176" t="s">
        <v>489</v>
      </c>
      <c r="AC959" s="172">
        <v>42996.328472222223</v>
      </c>
      <c r="AD959" s="32" t="s">
        <v>552</v>
      </c>
    </row>
    <row r="960" spans="1:30">
      <c r="A960" s="184">
        <v>959</v>
      </c>
      <c r="B960" s="184" t="s">
        <v>2528</v>
      </c>
      <c r="C960" s="184" t="s">
        <v>598</v>
      </c>
      <c r="D960" s="127">
        <v>42614</v>
      </c>
      <c r="E960" s="127" t="s">
        <v>598</v>
      </c>
      <c r="F960" s="184" t="s">
        <v>2529</v>
      </c>
      <c r="G960" s="185">
        <v>0</v>
      </c>
      <c r="H960" s="184" t="s">
        <v>598</v>
      </c>
      <c r="I960" s="184" t="s">
        <v>58</v>
      </c>
      <c r="J960" s="184" t="s">
        <v>551</v>
      </c>
      <c r="K960" s="184" t="s">
        <v>311</v>
      </c>
      <c r="L960" s="184" t="s">
        <v>598</v>
      </c>
      <c r="M960" s="184" t="s">
        <v>598</v>
      </c>
      <c r="N960" s="184" t="s">
        <v>85</v>
      </c>
      <c r="O960" s="184" t="s">
        <v>73</v>
      </c>
      <c r="P960" s="186" t="s">
        <v>605</v>
      </c>
      <c r="Q960" s="184" t="s">
        <v>598</v>
      </c>
      <c r="R960" s="184" t="s">
        <v>598</v>
      </c>
      <c r="S960" s="127" t="s">
        <v>598</v>
      </c>
      <c r="T960" s="184" t="s">
        <v>598</v>
      </c>
      <c r="U960" s="184" t="s">
        <v>598</v>
      </c>
      <c r="V960" s="185">
        <v>0</v>
      </c>
      <c r="W960" s="184" t="s">
        <v>485</v>
      </c>
      <c r="X960" s="184" t="s">
        <v>598</v>
      </c>
      <c r="Y960" s="185">
        <v>0</v>
      </c>
      <c r="Z960" s="184" t="s">
        <v>598</v>
      </c>
      <c r="AA960" s="21" t="s">
        <v>610</v>
      </c>
      <c r="AB960" s="176" t="s">
        <v>489</v>
      </c>
      <c r="AC960" s="172">
        <v>42996.328472222223</v>
      </c>
      <c r="AD960" s="32" t="s">
        <v>552</v>
      </c>
    </row>
    <row r="961" spans="1:30">
      <c r="A961" s="184">
        <v>960</v>
      </c>
      <c r="B961" s="184" t="s">
        <v>2530</v>
      </c>
      <c r="C961" s="184" t="s">
        <v>598</v>
      </c>
      <c r="D961" s="127">
        <v>42604</v>
      </c>
      <c r="E961" s="127" t="s">
        <v>598</v>
      </c>
      <c r="F961" s="184" t="s">
        <v>2531</v>
      </c>
      <c r="G961" s="185">
        <v>0</v>
      </c>
      <c r="H961" s="184" t="s">
        <v>598</v>
      </c>
      <c r="I961" s="184" t="s">
        <v>58</v>
      </c>
      <c r="J961" s="184" t="s">
        <v>551</v>
      </c>
      <c r="K961" s="184" t="s">
        <v>402</v>
      </c>
      <c r="L961" s="184" t="s">
        <v>598</v>
      </c>
      <c r="M961" s="184" t="s">
        <v>598</v>
      </c>
      <c r="N961" s="184" t="s">
        <v>85</v>
      </c>
      <c r="O961" s="184" t="s">
        <v>598</v>
      </c>
      <c r="P961" s="186"/>
      <c r="Q961" s="184" t="s">
        <v>598</v>
      </c>
      <c r="R961" s="184" t="s">
        <v>598</v>
      </c>
      <c r="S961" s="127" t="s">
        <v>598</v>
      </c>
      <c r="T961" s="184" t="s">
        <v>598</v>
      </c>
      <c r="U961" s="184" t="s">
        <v>598</v>
      </c>
      <c r="V961" s="185">
        <v>0</v>
      </c>
      <c r="W961" s="184" t="s">
        <v>485</v>
      </c>
      <c r="X961" s="184" t="s">
        <v>598</v>
      </c>
      <c r="Y961" s="185">
        <v>0</v>
      </c>
      <c r="Z961" s="184" t="s">
        <v>598</v>
      </c>
      <c r="AA961" s="21" t="s">
        <v>610</v>
      </c>
      <c r="AB961" s="176" t="s">
        <v>489</v>
      </c>
      <c r="AC961" s="172">
        <v>42996.328472222223</v>
      </c>
      <c r="AD961" s="32" t="s">
        <v>552</v>
      </c>
    </row>
    <row r="962" spans="1:30">
      <c r="A962" s="184">
        <v>961</v>
      </c>
      <c r="B962" s="184" t="s">
        <v>2532</v>
      </c>
      <c r="C962" s="184" t="s">
        <v>598</v>
      </c>
      <c r="D962" s="127">
        <v>42593</v>
      </c>
      <c r="E962" s="127" t="s">
        <v>598</v>
      </c>
      <c r="F962" s="184" t="s">
        <v>2533</v>
      </c>
      <c r="G962" s="185">
        <v>0</v>
      </c>
      <c r="H962" s="184" t="s">
        <v>598</v>
      </c>
      <c r="I962" s="184" t="s">
        <v>48</v>
      </c>
      <c r="J962" s="184" t="s">
        <v>551</v>
      </c>
      <c r="K962" s="184" t="s">
        <v>311</v>
      </c>
      <c r="L962" s="184" t="s">
        <v>598</v>
      </c>
      <c r="M962" s="184" t="s">
        <v>598</v>
      </c>
      <c r="N962" s="184" t="s">
        <v>85</v>
      </c>
      <c r="O962" s="184" t="s">
        <v>598</v>
      </c>
      <c r="P962" s="186" t="s">
        <v>607</v>
      </c>
      <c r="Q962" s="184" t="s">
        <v>598</v>
      </c>
      <c r="R962" s="184" t="s">
        <v>598</v>
      </c>
      <c r="S962" s="127" t="s">
        <v>598</v>
      </c>
      <c r="T962" s="184" t="s">
        <v>598</v>
      </c>
      <c r="U962" s="184" t="s">
        <v>598</v>
      </c>
      <c r="V962" s="185">
        <v>0</v>
      </c>
      <c r="W962" s="184" t="s">
        <v>485</v>
      </c>
      <c r="X962" s="184" t="s">
        <v>598</v>
      </c>
      <c r="Y962" s="185">
        <v>0</v>
      </c>
      <c r="Z962" s="184" t="s">
        <v>598</v>
      </c>
      <c r="AA962" s="21" t="s">
        <v>610</v>
      </c>
      <c r="AB962" s="176" t="s">
        <v>489</v>
      </c>
      <c r="AC962" s="172">
        <v>42996.328472222223</v>
      </c>
      <c r="AD962" s="32" t="s">
        <v>552</v>
      </c>
    </row>
    <row r="963" spans="1:30">
      <c r="A963" s="184">
        <v>962</v>
      </c>
      <c r="B963" s="184" t="s">
        <v>2534</v>
      </c>
      <c r="C963" s="184" t="s">
        <v>598</v>
      </c>
      <c r="D963" s="127">
        <v>42593</v>
      </c>
      <c r="E963" s="127" t="s">
        <v>598</v>
      </c>
      <c r="F963" s="184" t="s">
        <v>2535</v>
      </c>
      <c r="G963" s="185">
        <v>0</v>
      </c>
      <c r="H963" s="184" t="s">
        <v>598</v>
      </c>
      <c r="I963" s="184" t="s">
        <v>48</v>
      </c>
      <c r="J963" s="184" t="s">
        <v>551</v>
      </c>
      <c r="K963" s="184" t="s">
        <v>306</v>
      </c>
      <c r="L963" s="184" t="s">
        <v>598</v>
      </c>
      <c r="M963" s="184" t="s">
        <v>598</v>
      </c>
      <c r="N963" s="184" t="s">
        <v>85</v>
      </c>
      <c r="O963" s="184" t="s">
        <v>598</v>
      </c>
      <c r="P963" s="186" t="s">
        <v>73</v>
      </c>
      <c r="Q963" s="184" t="s">
        <v>598</v>
      </c>
      <c r="R963" s="184" t="s">
        <v>598</v>
      </c>
      <c r="S963" s="127" t="s">
        <v>598</v>
      </c>
      <c r="T963" s="184" t="s">
        <v>598</v>
      </c>
      <c r="U963" s="184" t="s">
        <v>598</v>
      </c>
      <c r="V963" s="185">
        <v>0</v>
      </c>
      <c r="W963" s="184" t="s">
        <v>485</v>
      </c>
      <c r="X963" s="184" t="s">
        <v>598</v>
      </c>
      <c r="Y963" s="185">
        <v>0</v>
      </c>
      <c r="Z963" s="184" t="s">
        <v>598</v>
      </c>
      <c r="AA963" s="21" t="s">
        <v>610</v>
      </c>
      <c r="AB963" s="176" t="s">
        <v>489</v>
      </c>
      <c r="AC963" s="172">
        <v>42996.328472222223</v>
      </c>
      <c r="AD963" s="32" t="s">
        <v>552</v>
      </c>
    </row>
    <row r="964" spans="1:30">
      <c r="A964" s="184">
        <v>963</v>
      </c>
      <c r="B964" s="184" t="s">
        <v>2536</v>
      </c>
      <c r="C964" s="184" t="s">
        <v>598</v>
      </c>
      <c r="D964" s="127">
        <v>42681</v>
      </c>
      <c r="E964" s="127" t="s">
        <v>598</v>
      </c>
      <c r="F964" s="184" t="s">
        <v>2537</v>
      </c>
      <c r="G964" s="185">
        <v>0</v>
      </c>
      <c r="H964" s="184" t="s">
        <v>598</v>
      </c>
      <c r="I964" s="184" t="s">
        <v>134</v>
      </c>
      <c r="J964" s="184" t="s">
        <v>77</v>
      </c>
      <c r="K964" s="184" t="s">
        <v>183</v>
      </c>
      <c r="L964" s="184" t="s">
        <v>598</v>
      </c>
      <c r="M964" s="184" t="s">
        <v>598</v>
      </c>
      <c r="N964" s="184" t="s">
        <v>85</v>
      </c>
      <c r="O964" s="184" t="s">
        <v>85</v>
      </c>
      <c r="P964" s="186" t="s">
        <v>601</v>
      </c>
      <c r="Q964" s="184" t="s">
        <v>598</v>
      </c>
      <c r="R964" s="184" t="s">
        <v>598</v>
      </c>
      <c r="S964" s="127" t="s">
        <v>598</v>
      </c>
      <c r="T964" s="184" t="s">
        <v>598</v>
      </c>
      <c r="U964" s="184" t="s">
        <v>598</v>
      </c>
      <c r="V964" s="185">
        <v>0</v>
      </c>
      <c r="W964" s="184" t="s">
        <v>485</v>
      </c>
      <c r="X964" s="184">
        <v>3875</v>
      </c>
      <c r="Y964" s="185">
        <v>0</v>
      </c>
      <c r="Z964" s="184" t="s">
        <v>598</v>
      </c>
      <c r="AA964" s="21" t="s">
        <v>610</v>
      </c>
      <c r="AB964" s="176" t="s">
        <v>489</v>
      </c>
      <c r="AC964" s="172">
        <v>42996.328472222223</v>
      </c>
      <c r="AD964" s="32" t="s">
        <v>552</v>
      </c>
    </row>
    <row r="965" spans="1:30">
      <c r="A965" s="184">
        <v>964</v>
      </c>
      <c r="B965" s="184" t="s">
        <v>2538</v>
      </c>
      <c r="C965" s="184" t="s">
        <v>598</v>
      </c>
      <c r="D965" s="127">
        <v>42682</v>
      </c>
      <c r="E965" s="127" t="s">
        <v>598</v>
      </c>
      <c r="F965" s="184" t="s">
        <v>2539</v>
      </c>
      <c r="G965" s="185">
        <v>0</v>
      </c>
      <c r="H965" s="184" t="s">
        <v>598</v>
      </c>
      <c r="I965" s="184" t="s">
        <v>134</v>
      </c>
      <c r="J965" s="184" t="s">
        <v>77</v>
      </c>
      <c r="K965" s="184" t="s">
        <v>183</v>
      </c>
      <c r="L965" s="184" t="s">
        <v>598</v>
      </c>
      <c r="M965" s="184" t="s">
        <v>598</v>
      </c>
      <c r="N965" s="184" t="s">
        <v>85</v>
      </c>
      <c r="O965" s="184" t="s">
        <v>85</v>
      </c>
      <c r="P965" s="186" t="s">
        <v>32</v>
      </c>
      <c r="Q965" s="184" t="s">
        <v>598</v>
      </c>
      <c r="R965" s="184" t="s">
        <v>598</v>
      </c>
      <c r="S965" s="127">
        <v>42909</v>
      </c>
      <c r="T965" s="184" t="s">
        <v>10</v>
      </c>
      <c r="U965" s="184" t="s">
        <v>598</v>
      </c>
      <c r="V965" s="185">
        <v>3125</v>
      </c>
      <c r="W965" s="184" t="s">
        <v>493</v>
      </c>
      <c r="X965" s="184">
        <v>3125</v>
      </c>
      <c r="Y965" s="185">
        <v>0</v>
      </c>
      <c r="Z965" s="184" t="s">
        <v>598</v>
      </c>
      <c r="AA965" s="21" t="s">
        <v>610</v>
      </c>
      <c r="AB965" s="176" t="s">
        <v>489</v>
      </c>
      <c r="AC965" s="172">
        <v>42996.328472222223</v>
      </c>
      <c r="AD965" s="32" t="s">
        <v>552</v>
      </c>
    </row>
    <row r="966" spans="1:30">
      <c r="A966" s="184">
        <v>965</v>
      </c>
      <c r="B966" s="184" t="s">
        <v>2540</v>
      </c>
      <c r="C966" s="184" t="s">
        <v>598</v>
      </c>
      <c r="D966" s="127">
        <v>42683</v>
      </c>
      <c r="E966" s="127" t="s">
        <v>598</v>
      </c>
      <c r="F966" s="184" t="s">
        <v>2541</v>
      </c>
      <c r="G966" s="185">
        <v>0</v>
      </c>
      <c r="H966" s="184" t="s">
        <v>598</v>
      </c>
      <c r="I966" s="184" t="s">
        <v>115</v>
      </c>
      <c r="J966" s="184" t="s">
        <v>77</v>
      </c>
      <c r="K966" s="184" t="s">
        <v>403</v>
      </c>
      <c r="L966" s="184" t="s">
        <v>598</v>
      </c>
      <c r="M966" s="184" t="s">
        <v>598</v>
      </c>
      <c r="N966" s="184" t="s">
        <v>85</v>
      </c>
      <c r="O966" s="184" t="s">
        <v>85</v>
      </c>
      <c r="P966" s="186" t="s">
        <v>53</v>
      </c>
      <c r="Q966" s="184" t="s">
        <v>598</v>
      </c>
      <c r="R966" s="184" t="s">
        <v>598</v>
      </c>
      <c r="S966" s="127" t="s">
        <v>598</v>
      </c>
      <c r="T966" s="184" t="s">
        <v>598</v>
      </c>
      <c r="U966" s="184" t="s">
        <v>598</v>
      </c>
      <c r="V966" s="185">
        <v>0</v>
      </c>
      <c r="W966" s="184" t="s">
        <v>485</v>
      </c>
      <c r="X966" s="184" t="s">
        <v>598</v>
      </c>
      <c r="Y966" s="185">
        <v>0</v>
      </c>
      <c r="Z966" s="184" t="s">
        <v>598</v>
      </c>
      <c r="AA966" s="21" t="s">
        <v>610</v>
      </c>
      <c r="AB966" s="176" t="s">
        <v>489</v>
      </c>
      <c r="AC966" s="172">
        <v>42996.328472222223</v>
      </c>
      <c r="AD966" s="32" t="s">
        <v>552</v>
      </c>
    </row>
    <row r="967" spans="1:30">
      <c r="A967" s="184">
        <v>966</v>
      </c>
      <c r="B967" s="184" t="s">
        <v>2542</v>
      </c>
      <c r="C967" s="184" t="s">
        <v>598</v>
      </c>
      <c r="D967" s="127">
        <v>42689</v>
      </c>
      <c r="E967" s="127" t="s">
        <v>598</v>
      </c>
      <c r="F967" s="184" t="s">
        <v>2543</v>
      </c>
      <c r="G967" s="185">
        <v>0</v>
      </c>
      <c r="H967" s="184" t="s">
        <v>598</v>
      </c>
      <c r="I967" s="184" t="s">
        <v>134</v>
      </c>
      <c r="J967" s="184" t="s">
        <v>77</v>
      </c>
      <c r="K967" s="184" t="s">
        <v>183</v>
      </c>
      <c r="L967" s="184" t="s">
        <v>598</v>
      </c>
      <c r="M967" s="184" t="s">
        <v>598</v>
      </c>
      <c r="N967" s="184" t="s">
        <v>85</v>
      </c>
      <c r="O967" s="184" t="s">
        <v>85</v>
      </c>
      <c r="P967" s="186" t="s">
        <v>44</v>
      </c>
      <c r="Q967" s="184" t="s">
        <v>598</v>
      </c>
      <c r="R967" s="184" t="s">
        <v>598</v>
      </c>
      <c r="S967" s="127" t="s">
        <v>598</v>
      </c>
      <c r="T967" s="184" t="s">
        <v>598</v>
      </c>
      <c r="U967" s="184" t="s">
        <v>598</v>
      </c>
      <c r="V967" s="185">
        <v>0</v>
      </c>
      <c r="W967" s="184" t="s">
        <v>485</v>
      </c>
      <c r="X967" s="184">
        <v>9250</v>
      </c>
      <c r="Y967" s="185">
        <v>0</v>
      </c>
      <c r="Z967" s="184" t="s">
        <v>598</v>
      </c>
      <c r="AA967" s="21" t="s">
        <v>610</v>
      </c>
      <c r="AB967" s="176" t="s">
        <v>489</v>
      </c>
      <c r="AC967" s="172">
        <v>42996.328472222223</v>
      </c>
      <c r="AD967" s="32" t="s">
        <v>552</v>
      </c>
    </row>
    <row r="968" spans="1:30">
      <c r="A968" s="184">
        <v>967</v>
      </c>
      <c r="B968" s="184" t="s">
        <v>2544</v>
      </c>
      <c r="C968" s="184" t="s">
        <v>598</v>
      </c>
      <c r="D968" s="127">
        <v>42692</v>
      </c>
      <c r="E968" s="127" t="s">
        <v>598</v>
      </c>
      <c r="F968" s="184" t="s">
        <v>2545</v>
      </c>
      <c r="G968" s="185">
        <v>0</v>
      </c>
      <c r="H968" s="184" t="s">
        <v>598</v>
      </c>
      <c r="I968" s="184" t="s">
        <v>115</v>
      </c>
      <c r="J968" s="184" t="s">
        <v>77</v>
      </c>
      <c r="K968" s="184" t="s">
        <v>403</v>
      </c>
      <c r="L968" s="184" t="s">
        <v>598</v>
      </c>
      <c r="M968" s="184" t="s">
        <v>598</v>
      </c>
      <c r="N968" s="184" t="s">
        <v>85</v>
      </c>
      <c r="O968" s="184" t="s">
        <v>85</v>
      </c>
      <c r="P968" s="186" t="s">
        <v>67</v>
      </c>
      <c r="Q968" s="184" t="s">
        <v>598</v>
      </c>
      <c r="R968" s="184" t="s">
        <v>598</v>
      </c>
      <c r="S968" s="127" t="s">
        <v>598</v>
      </c>
      <c r="T968" s="184" t="s">
        <v>598</v>
      </c>
      <c r="U968" s="184" t="s">
        <v>598</v>
      </c>
      <c r="V968" s="185">
        <v>0</v>
      </c>
      <c r="W968" s="184" t="s">
        <v>485</v>
      </c>
      <c r="X968" s="184" t="s">
        <v>598</v>
      </c>
      <c r="Y968" s="185">
        <v>0</v>
      </c>
      <c r="Z968" s="184" t="s">
        <v>598</v>
      </c>
      <c r="AA968" s="21" t="s">
        <v>610</v>
      </c>
      <c r="AB968" s="176" t="s">
        <v>489</v>
      </c>
      <c r="AC968" s="172">
        <v>42996.328472222223</v>
      </c>
      <c r="AD968" s="32" t="s">
        <v>552</v>
      </c>
    </row>
    <row r="969" spans="1:30">
      <c r="A969" s="184">
        <v>968</v>
      </c>
      <c r="B969" s="184" t="s">
        <v>2546</v>
      </c>
      <c r="C969" s="184" t="s">
        <v>598</v>
      </c>
      <c r="D969" s="127">
        <v>42702</v>
      </c>
      <c r="E969" s="127" t="s">
        <v>598</v>
      </c>
      <c r="F969" s="184" t="s">
        <v>2547</v>
      </c>
      <c r="G969" s="185">
        <v>0</v>
      </c>
      <c r="H969" s="184" t="s">
        <v>598</v>
      </c>
      <c r="I969" s="184" t="s">
        <v>598</v>
      </c>
      <c r="J969" s="184" t="s">
        <v>77</v>
      </c>
      <c r="K969" s="184" t="s">
        <v>201</v>
      </c>
      <c r="L969" s="184" t="s">
        <v>598</v>
      </c>
      <c r="M969" s="184" t="s">
        <v>598</v>
      </c>
      <c r="N969" s="184" t="s">
        <v>85</v>
      </c>
      <c r="O969" s="184" t="s">
        <v>85</v>
      </c>
      <c r="P969" s="186" t="s">
        <v>602</v>
      </c>
      <c r="Q969" s="184" t="s">
        <v>598</v>
      </c>
      <c r="R969" s="184" t="s">
        <v>598</v>
      </c>
      <c r="S969" s="127" t="s">
        <v>598</v>
      </c>
      <c r="T969" s="184" t="s">
        <v>598</v>
      </c>
      <c r="U969" s="184" t="s">
        <v>598</v>
      </c>
      <c r="V969" s="185">
        <v>0</v>
      </c>
      <c r="W969" s="184" t="s">
        <v>485</v>
      </c>
      <c r="X969" s="184" t="s">
        <v>598</v>
      </c>
      <c r="Y969" s="185">
        <v>0</v>
      </c>
      <c r="Z969" s="184" t="s">
        <v>598</v>
      </c>
      <c r="AA969" s="21" t="s">
        <v>610</v>
      </c>
      <c r="AB969" s="176" t="s">
        <v>489</v>
      </c>
      <c r="AC969" s="172">
        <v>42996.328472222223</v>
      </c>
      <c r="AD969" s="32" t="s">
        <v>552</v>
      </c>
    </row>
    <row r="970" spans="1:30">
      <c r="A970" s="184">
        <v>969</v>
      </c>
      <c r="B970" s="184" t="s">
        <v>2548</v>
      </c>
      <c r="C970" s="184" t="s">
        <v>598</v>
      </c>
      <c r="D970" s="127">
        <v>42703</v>
      </c>
      <c r="E970" s="127" t="s">
        <v>598</v>
      </c>
      <c r="F970" s="184" t="s">
        <v>2549</v>
      </c>
      <c r="G970" s="185">
        <v>0</v>
      </c>
      <c r="H970" s="184" t="s">
        <v>598</v>
      </c>
      <c r="I970" s="184" t="s">
        <v>122</v>
      </c>
      <c r="J970" s="184" t="s">
        <v>77</v>
      </c>
      <c r="K970" s="184" t="s">
        <v>2550</v>
      </c>
      <c r="L970" s="184" t="s">
        <v>598</v>
      </c>
      <c r="M970" s="184" t="s">
        <v>598</v>
      </c>
      <c r="N970" s="184" t="s">
        <v>85</v>
      </c>
      <c r="O970" s="184" t="s">
        <v>85</v>
      </c>
      <c r="P970" s="186" t="s">
        <v>603</v>
      </c>
      <c r="Q970" s="184" t="s">
        <v>598</v>
      </c>
      <c r="R970" s="184" t="s">
        <v>598</v>
      </c>
      <c r="S970" s="127" t="s">
        <v>598</v>
      </c>
      <c r="T970" s="184" t="s">
        <v>598</v>
      </c>
      <c r="U970" s="184" t="s">
        <v>598</v>
      </c>
      <c r="V970" s="185">
        <v>0</v>
      </c>
      <c r="W970" s="184" t="s">
        <v>485</v>
      </c>
      <c r="X970" s="184" t="s">
        <v>598</v>
      </c>
      <c r="Y970" s="185">
        <v>0</v>
      </c>
      <c r="Z970" s="184" t="s">
        <v>598</v>
      </c>
      <c r="AA970" s="21" t="s">
        <v>610</v>
      </c>
      <c r="AB970" s="176" t="s">
        <v>489</v>
      </c>
      <c r="AC970" s="172">
        <v>42996.328472222223</v>
      </c>
      <c r="AD970" s="32" t="s">
        <v>552</v>
      </c>
    </row>
    <row r="971" spans="1:30">
      <c r="A971" s="184">
        <v>970</v>
      </c>
      <c r="B971" s="184" t="s">
        <v>2551</v>
      </c>
      <c r="C971" s="184" t="s">
        <v>598</v>
      </c>
      <c r="D971" s="127">
        <v>42583</v>
      </c>
      <c r="E971" s="127" t="s">
        <v>598</v>
      </c>
      <c r="F971" s="184" t="s">
        <v>2552</v>
      </c>
      <c r="G971" s="185">
        <v>0</v>
      </c>
      <c r="H971" s="184" t="s">
        <v>598</v>
      </c>
      <c r="I971" s="184" t="s">
        <v>122</v>
      </c>
      <c r="J971" s="184" t="s">
        <v>551</v>
      </c>
      <c r="K971" s="184" t="s">
        <v>309</v>
      </c>
      <c r="L971" s="184" t="s">
        <v>598</v>
      </c>
      <c r="M971" s="184" t="s">
        <v>598</v>
      </c>
      <c r="N971" s="184" t="s">
        <v>85</v>
      </c>
      <c r="O971" s="184" t="s">
        <v>85</v>
      </c>
      <c r="P971" s="186" t="s">
        <v>604</v>
      </c>
      <c r="Q971" s="184" t="s">
        <v>598</v>
      </c>
      <c r="R971" s="184" t="s">
        <v>598</v>
      </c>
      <c r="S971" s="127" t="s">
        <v>598</v>
      </c>
      <c r="T971" s="184" t="s">
        <v>598</v>
      </c>
      <c r="U971" s="184" t="s">
        <v>598</v>
      </c>
      <c r="V971" s="185">
        <v>0</v>
      </c>
      <c r="W971" s="184" t="s">
        <v>485</v>
      </c>
      <c r="X971" s="184" t="s">
        <v>598</v>
      </c>
      <c r="Y971" s="185">
        <v>0</v>
      </c>
      <c r="Z971" s="184" t="s">
        <v>598</v>
      </c>
      <c r="AA971" s="21" t="s">
        <v>610</v>
      </c>
      <c r="AB971" s="176" t="s">
        <v>489</v>
      </c>
      <c r="AC971" s="172">
        <v>42996.328472222223</v>
      </c>
      <c r="AD971" s="32" t="s">
        <v>552</v>
      </c>
    </row>
    <row r="972" spans="1:30">
      <c r="A972" s="184">
        <v>971</v>
      </c>
      <c r="B972" s="184" t="s">
        <v>2553</v>
      </c>
      <c r="C972" s="184" t="s">
        <v>598</v>
      </c>
      <c r="D972" s="127">
        <v>42707</v>
      </c>
      <c r="E972" s="127" t="s">
        <v>598</v>
      </c>
      <c r="F972" s="184" t="s">
        <v>2554</v>
      </c>
      <c r="G972" s="185">
        <v>0</v>
      </c>
      <c r="H972" s="184" t="s">
        <v>598</v>
      </c>
      <c r="I972" s="184" t="s">
        <v>134</v>
      </c>
      <c r="J972" s="184" t="s">
        <v>77</v>
      </c>
      <c r="K972" s="184" t="s">
        <v>183</v>
      </c>
      <c r="L972" s="184" t="s">
        <v>598</v>
      </c>
      <c r="M972" s="184" t="s">
        <v>598</v>
      </c>
      <c r="N972" s="184" t="s">
        <v>85</v>
      </c>
      <c r="O972" s="184" t="s">
        <v>85</v>
      </c>
      <c r="P972" s="186" t="s">
        <v>605</v>
      </c>
      <c r="Q972" s="184" t="s">
        <v>598</v>
      </c>
      <c r="R972" s="184" t="s">
        <v>598</v>
      </c>
      <c r="S972" s="127">
        <v>42909</v>
      </c>
      <c r="T972" s="184" t="s">
        <v>10</v>
      </c>
      <c r="U972" s="184" t="s">
        <v>598</v>
      </c>
      <c r="V972" s="185">
        <v>3000</v>
      </c>
      <c r="W972" s="184" t="s">
        <v>493</v>
      </c>
      <c r="X972" s="184">
        <v>3000</v>
      </c>
      <c r="Y972" s="185">
        <v>0</v>
      </c>
      <c r="Z972" s="184" t="s">
        <v>598</v>
      </c>
      <c r="AA972" s="21" t="s">
        <v>610</v>
      </c>
      <c r="AB972" s="176" t="s">
        <v>489</v>
      </c>
      <c r="AC972" s="172">
        <v>42996.328472222223</v>
      </c>
      <c r="AD972" s="32" t="s">
        <v>552</v>
      </c>
    </row>
    <row r="973" spans="1:30">
      <c r="A973" s="184">
        <v>972</v>
      </c>
      <c r="B973" s="184" t="s">
        <v>2555</v>
      </c>
      <c r="C973" s="184" t="s">
        <v>598</v>
      </c>
      <c r="D973" s="127">
        <v>42709</v>
      </c>
      <c r="E973" s="127" t="s">
        <v>598</v>
      </c>
      <c r="F973" s="184" t="s">
        <v>2556</v>
      </c>
      <c r="G973" s="185">
        <v>0</v>
      </c>
      <c r="H973" s="184" t="s">
        <v>598</v>
      </c>
      <c r="I973" s="184" t="s">
        <v>598</v>
      </c>
      <c r="J973" s="184" t="s">
        <v>77</v>
      </c>
      <c r="K973" s="184" t="s">
        <v>404</v>
      </c>
      <c r="L973" s="184" t="s">
        <v>598</v>
      </c>
      <c r="M973" s="184" t="s">
        <v>598</v>
      </c>
      <c r="N973" s="184" t="s">
        <v>85</v>
      </c>
      <c r="O973" s="184" t="s">
        <v>85</v>
      </c>
      <c r="P973" s="186"/>
      <c r="Q973" s="184" t="s">
        <v>598</v>
      </c>
      <c r="R973" s="184" t="s">
        <v>598</v>
      </c>
      <c r="S973" s="127" t="s">
        <v>598</v>
      </c>
      <c r="T973" s="184" t="s">
        <v>598</v>
      </c>
      <c r="U973" s="184" t="s">
        <v>598</v>
      </c>
      <c r="V973" s="185">
        <v>0</v>
      </c>
      <c r="W973" s="184" t="s">
        <v>485</v>
      </c>
      <c r="X973" s="184" t="s">
        <v>598</v>
      </c>
      <c r="Y973" s="185">
        <v>0</v>
      </c>
      <c r="Z973" s="184" t="s">
        <v>598</v>
      </c>
      <c r="AA973" s="21" t="s">
        <v>610</v>
      </c>
      <c r="AB973" s="176" t="s">
        <v>489</v>
      </c>
      <c r="AC973" s="172">
        <v>42996.328472222223</v>
      </c>
      <c r="AD973" s="32" t="s">
        <v>552</v>
      </c>
    </row>
    <row r="974" spans="1:30">
      <c r="A974" s="184">
        <v>973</v>
      </c>
      <c r="B974" s="184" t="s">
        <v>2557</v>
      </c>
      <c r="C974" s="184" t="s">
        <v>598</v>
      </c>
      <c r="D974" s="127">
        <v>42711</v>
      </c>
      <c r="E974" s="127" t="s">
        <v>598</v>
      </c>
      <c r="F974" s="184" t="s">
        <v>2558</v>
      </c>
      <c r="G974" s="185">
        <v>0</v>
      </c>
      <c r="H974" s="184" t="s">
        <v>598</v>
      </c>
      <c r="I974" s="184" t="s">
        <v>134</v>
      </c>
      <c r="J974" s="184" t="s">
        <v>77</v>
      </c>
      <c r="K974" s="184" t="s">
        <v>403</v>
      </c>
      <c r="L974" s="184" t="s">
        <v>598</v>
      </c>
      <c r="M974" s="184" t="s">
        <v>598</v>
      </c>
      <c r="N974" s="184" t="s">
        <v>85</v>
      </c>
      <c r="O974" s="184" t="s">
        <v>85</v>
      </c>
      <c r="P974" s="186" t="s">
        <v>607</v>
      </c>
      <c r="Q974" s="184" t="s">
        <v>598</v>
      </c>
      <c r="R974" s="184" t="s">
        <v>598</v>
      </c>
      <c r="S974" s="127" t="s">
        <v>598</v>
      </c>
      <c r="T974" s="184" t="s">
        <v>598</v>
      </c>
      <c r="U974" s="184" t="s">
        <v>598</v>
      </c>
      <c r="V974" s="185">
        <v>0</v>
      </c>
      <c r="W974" s="184" t="s">
        <v>485</v>
      </c>
      <c r="X974" s="184" t="s">
        <v>598</v>
      </c>
      <c r="Y974" s="185">
        <v>0</v>
      </c>
      <c r="Z974" s="184" t="s">
        <v>598</v>
      </c>
      <c r="AA974" s="21" t="s">
        <v>610</v>
      </c>
      <c r="AB974" s="176" t="s">
        <v>489</v>
      </c>
      <c r="AC974" s="172">
        <v>42996.328472222223</v>
      </c>
      <c r="AD974" s="32" t="s">
        <v>552</v>
      </c>
    </row>
    <row r="975" spans="1:30">
      <c r="A975" s="184">
        <v>974</v>
      </c>
      <c r="B975" s="184" t="s">
        <v>2559</v>
      </c>
      <c r="C975" s="184" t="s">
        <v>598</v>
      </c>
      <c r="D975" s="127">
        <v>42711</v>
      </c>
      <c r="E975" s="127" t="s">
        <v>598</v>
      </c>
      <c r="F975" s="184" t="s">
        <v>2560</v>
      </c>
      <c r="G975" s="185">
        <v>0</v>
      </c>
      <c r="H975" s="184" t="s">
        <v>598</v>
      </c>
      <c r="I975" s="184" t="s">
        <v>134</v>
      </c>
      <c r="J975" s="184" t="s">
        <v>77</v>
      </c>
      <c r="K975" s="184" t="s">
        <v>403</v>
      </c>
      <c r="L975" s="184" t="s">
        <v>598</v>
      </c>
      <c r="M975" s="184" t="s">
        <v>598</v>
      </c>
      <c r="N975" s="184" t="s">
        <v>85</v>
      </c>
      <c r="O975" s="184" t="s">
        <v>85</v>
      </c>
      <c r="P975" s="186" t="s">
        <v>73</v>
      </c>
      <c r="Q975" s="184" t="s">
        <v>598</v>
      </c>
      <c r="R975" s="184" t="s">
        <v>598</v>
      </c>
      <c r="S975" s="127" t="s">
        <v>598</v>
      </c>
      <c r="T975" s="184" t="s">
        <v>598</v>
      </c>
      <c r="U975" s="184" t="s">
        <v>598</v>
      </c>
      <c r="V975" s="185">
        <v>0</v>
      </c>
      <c r="W975" s="184" t="s">
        <v>485</v>
      </c>
      <c r="X975" s="184" t="s">
        <v>598</v>
      </c>
      <c r="Y975" s="185">
        <v>0</v>
      </c>
      <c r="Z975" s="184" t="s">
        <v>598</v>
      </c>
      <c r="AA975" s="21" t="s">
        <v>610</v>
      </c>
      <c r="AB975" s="176" t="s">
        <v>489</v>
      </c>
      <c r="AC975" s="172">
        <v>42996.328472222223</v>
      </c>
      <c r="AD975" s="32" t="s">
        <v>552</v>
      </c>
    </row>
    <row r="976" spans="1:30">
      <c r="A976" s="184">
        <v>975</v>
      </c>
      <c r="B976" s="184" t="s">
        <v>2561</v>
      </c>
      <c r="C976" s="184" t="s">
        <v>598</v>
      </c>
      <c r="D976" s="127">
        <v>42711</v>
      </c>
      <c r="E976" s="127" t="s">
        <v>598</v>
      </c>
      <c r="F976" s="184" t="s">
        <v>2562</v>
      </c>
      <c r="G976" s="185">
        <v>0</v>
      </c>
      <c r="H976" s="184" t="s">
        <v>598</v>
      </c>
      <c r="I976" s="184" t="s">
        <v>134</v>
      </c>
      <c r="J976" s="184" t="s">
        <v>77</v>
      </c>
      <c r="K976" s="184" t="s">
        <v>403</v>
      </c>
      <c r="L976" s="184" t="s">
        <v>598</v>
      </c>
      <c r="M976" s="184" t="s">
        <v>598</v>
      </c>
      <c r="N976" s="184" t="s">
        <v>85</v>
      </c>
      <c r="O976" s="184" t="s">
        <v>85</v>
      </c>
      <c r="P976" s="186" t="s">
        <v>601</v>
      </c>
      <c r="Q976" s="184" t="s">
        <v>598</v>
      </c>
      <c r="R976" s="184" t="s">
        <v>598</v>
      </c>
      <c r="S976" s="127" t="s">
        <v>598</v>
      </c>
      <c r="T976" s="184" t="s">
        <v>598</v>
      </c>
      <c r="U976" s="184" t="s">
        <v>598</v>
      </c>
      <c r="V976" s="185">
        <v>0</v>
      </c>
      <c r="W976" s="184" t="s">
        <v>485</v>
      </c>
      <c r="X976" s="184" t="s">
        <v>598</v>
      </c>
      <c r="Y976" s="185">
        <v>0</v>
      </c>
      <c r="Z976" s="184" t="s">
        <v>598</v>
      </c>
      <c r="AA976" s="21" t="s">
        <v>610</v>
      </c>
      <c r="AB976" s="176" t="s">
        <v>489</v>
      </c>
      <c r="AC976" s="172">
        <v>42996.328472222223</v>
      </c>
      <c r="AD976" s="32" t="s">
        <v>552</v>
      </c>
    </row>
    <row r="977" spans="1:30">
      <c r="A977" s="184">
        <v>976</v>
      </c>
      <c r="B977" s="184" t="s">
        <v>2563</v>
      </c>
      <c r="C977" s="184" t="s">
        <v>598</v>
      </c>
      <c r="D977" s="127">
        <v>42711</v>
      </c>
      <c r="E977" s="127" t="s">
        <v>598</v>
      </c>
      <c r="F977" s="184" t="s">
        <v>2564</v>
      </c>
      <c r="G977" s="185">
        <v>0</v>
      </c>
      <c r="H977" s="184" t="s">
        <v>598</v>
      </c>
      <c r="I977" s="184" t="s">
        <v>134</v>
      </c>
      <c r="J977" s="184" t="s">
        <v>77</v>
      </c>
      <c r="K977" s="184" t="s">
        <v>403</v>
      </c>
      <c r="L977" s="184" t="s">
        <v>598</v>
      </c>
      <c r="M977" s="184" t="s">
        <v>598</v>
      </c>
      <c r="N977" s="184" t="s">
        <v>85</v>
      </c>
      <c r="O977" s="184" t="s">
        <v>85</v>
      </c>
      <c r="P977" s="186" t="s">
        <v>601</v>
      </c>
      <c r="Q977" s="184" t="s">
        <v>598</v>
      </c>
      <c r="R977" s="184" t="s">
        <v>598</v>
      </c>
      <c r="S977" s="127" t="s">
        <v>598</v>
      </c>
      <c r="T977" s="184" t="s">
        <v>598</v>
      </c>
      <c r="U977" s="184" t="s">
        <v>598</v>
      </c>
      <c r="V977" s="185">
        <v>0</v>
      </c>
      <c r="W977" s="184" t="s">
        <v>485</v>
      </c>
      <c r="X977" s="184" t="s">
        <v>598</v>
      </c>
      <c r="Y977" s="185">
        <v>0</v>
      </c>
      <c r="Z977" s="184" t="s">
        <v>598</v>
      </c>
      <c r="AA977" s="21" t="s">
        <v>610</v>
      </c>
      <c r="AB977" s="176" t="s">
        <v>489</v>
      </c>
      <c r="AC977" s="172">
        <v>42996.328472222223</v>
      </c>
      <c r="AD977" s="32" t="s">
        <v>552</v>
      </c>
    </row>
    <row r="978" spans="1:30">
      <c r="A978" s="184">
        <v>977</v>
      </c>
      <c r="B978" s="184" t="s">
        <v>2565</v>
      </c>
      <c r="C978" s="184" t="s">
        <v>598</v>
      </c>
      <c r="D978" s="127">
        <v>42711</v>
      </c>
      <c r="E978" s="127" t="s">
        <v>598</v>
      </c>
      <c r="F978" s="184" t="s">
        <v>2566</v>
      </c>
      <c r="G978" s="185">
        <v>0</v>
      </c>
      <c r="H978" s="184" t="s">
        <v>598</v>
      </c>
      <c r="I978" s="184" t="s">
        <v>134</v>
      </c>
      <c r="J978" s="184" t="s">
        <v>77</v>
      </c>
      <c r="K978" s="184" t="s">
        <v>404</v>
      </c>
      <c r="L978" s="184" t="s">
        <v>598</v>
      </c>
      <c r="M978" s="184" t="s">
        <v>598</v>
      </c>
      <c r="N978" s="184" t="s">
        <v>85</v>
      </c>
      <c r="O978" s="184" t="s">
        <v>85</v>
      </c>
      <c r="P978" s="186" t="s">
        <v>32</v>
      </c>
      <c r="Q978" s="184" t="s">
        <v>598</v>
      </c>
      <c r="R978" s="184" t="s">
        <v>598</v>
      </c>
      <c r="S978" s="127" t="s">
        <v>598</v>
      </c>
      <c r="T978" s="184" t="s">
        <v>598</v>
      </c>
      <c r="U978" s="184" t="s">
        <v>598</v>
      </c>
      <c r="V978" s="185">
        <v>0</v>
      </c>
      <c r="W978" s="184" t="s">
        <v>485</v>
      </c>
      <c r="X978" s="184" t="s">
        <v>598</v>
      </c>
      <c r="Y978" s="185">
        <v>0</v>
      </c>
      <c r="Z978" s="184" t="s">
        <v>598</v>
      </c>
      <c r="AA978" s="21" t="s">
        <v>610</v>
      </c>
      <c r="AB978" s="176" t="s">
        <v>489</v>
      </c>
      <c r="AC978" s="172">
        <v>42996.328472222223</v>
      </c>
      <c r="AD978" s="32" t="s">
        <v>552</v>
      </c>
    </row>
    <row r="979" spans="1:30">
      <c r="A979" s="184">
        <v>978</v>
      </c>
      <c r="B979" s="184" t="s">
        <v>2567</v>
      </c>
      <c r="C979" s="184" t="s">
        <v>598</v>
      </c>
      <c r="D979" s="127">
        <v>42721</v>
      </c>
      <c r="E979" s="127" t="s">
        <v>598</v>
      </c>
      <c r="F979" s="184" t="s">
        <v>2568</v>
      </c>
      <c r="G979" s="185">
        <v>0</v>
      </c>
      <c r="H979" s="184" t="s">
        <v>598</v>
      </c>
      <c r="I979" s="184" t="s">
        <v>120</v>
      </c>
      <c r="J979" s="184" t="s">
        <v>77</v>
      </c>
      <c r="K979" s="184" t="s">
        <v>405</v>
      </c>
      <c r="L979" s="184" t="s">
        <v>598</v>
      </c>
      <c r="M979" s="184" t="s">
        <v>598</v>
      </c>
      <c r="N979" s="184" t="s">
        <v>85</v>
      </c>
      <c r="O979" s="184" t="s">
        <v>85</v>
      </c>
      <c r="P979" s="186" t="s">
        <v>53</v>
      </c>
      <c r="Q979" s="184" t="s">
        <v>598</v>
      </c>
      <c r="R979" s="184" t="s">
        <v>598</v>
      </c>
      <c r="S979" s="127" t="s">
        <v>598</v>
      </c>
      <c r="T979" s="184" t="s">
        <v>598</v>
      </c>
      <c r="U979" s="184" t="s">
        <v>598</v>
      </c>
      <c r="V979" s="185">
        <v>0</v>
      </c>
      <c r="W979" s="184" t="s">
        <v>485</v>
      </c>
      <c r="X979" s="184" t="s">
        <v>598</v>
      </c>
      <c r="Y979" s="185">
        <v>0</v>
      </c>
      <c r="Z979" s="184" t="s">
        <v>598</v>
      </c>
      <c r="AA979" s="21" t="s">
        <v>610</v>
      </c>
      <c r="AB979" s="176" t="s">
        <v>489</v>
      </c>
      <c r="AC979" s="172">
        <v>42996.328472222223</v>
      </c>
      <c r="AD979" s="32" t="s">
        <v>552</v>
      </c>
    </row>
    <row r="980" spans="1:30">
      <c r="A980" s="184">
        <v>979</v>
      </c>
      <c r="B980" s="184" t="s">
        <v>2569</v>
      </c>
      <c r="C980" s="184" t="s">
        <v>598</v>
      </c>
      <c r="D980" s="127">
        <v>42741</v>
      </c>
      <c r="E980" s="127" t="s">
        <v>598</v>
      </c>
      <c r="F980" s="184" t="s">
        <v>2570</v>
      </c>
      <c r="G980" s="185">
        <v>0</v>
      </c>
      <c r="H980" s="184" t="s">
        <v>598</v>
      </c>
      <c r="I980" s="184" t="s">
        <v>134</v>
      </c>
      <c r="J980" s="184" t="s">
        <v>77</v>
      </c>
      <c r="K980" s="184" t="s">
        <v>183</v>
      </c>
      <c r="L980" s="184" t="s">
        <v>598</v>
      </c>
      <c r="M980" s="184" t="s">
        <v>598</v>
      </c>
      <c r="N980" s="184" t="s">
        <v>85</v>
      </c>
      <c r="O980" s="184" t="s">
        <v>85</v>
      </c>
      <c r="P980" s="186" t="s">
        <v>44</v>
      </c>
      <c r="Q980" s="184" t="s">
        <v>598</v>
      </c>
      <c r="R980" s="184" t="s">
        <v>598</v>
      </c>
      <c r="S980" s="127">
        <v>42909</v>
      </c>
      <c r="T980" s="184" t="s">
        <v>10</v>
      </c>
      <c r="U980" s="184" t="s">
        <v>598</v>
      </c>
      <c r="V980" s="185">
        <v>3375</v>
      </c>
      <c r="W980" s="184" t="s">
        <v>493</v>
      </c>
      <c r="X980" s="184">
        <v>3375</v>
      </c>
      <c r="Y980" s="185">
        <v>0</v>
      </c>
      <c r="Z980" s="184" t="s">
        <v>598</v>
      </c>
      <c r="AA980" s="21" t="s">
        <v>610</v>
      </c>
      <c r="AB980" s="176" t="s">
        <v>489</v>
      </c>
      <c r="AC980" s="172">
        <v>42996.328472222223</v>
      </c>
      <c r="AD980" s="32" t="s">
        <v>552</v>
      </c>
    </row>
    <row r="981" spans="1:30">
      <c r="A981" s="184">
        <v>980</v>
      </c>
      <c r="B981" s="184" t="s">
        <v>2571</v>
      </c>
      <c r="C981" s="184" t="s">
        <v>598</v>
      </c>
      <c r="D981" s="127">
        <v>42745</v>
      </c>
      <c r="E981" s="127" t="s">
        <v>598</v>
      </c>
      <c r="F981" s="184" t="s">
        <v>2572</v>
      </c>
      <c r="G981" s="185">
        <v>0</v>
      </c>
      <c r="H981" s="184" t="s">
        <v>598</v>
      </c>
      <c r="I981" s="184" t="s">
        <v>118</v>
      </c>
      <c r="J981" s="184" t="s">
        <v>77</v>
      </c>
      <c r="K981" s="184" t="s">
        <v>183</v>
      </c>
      <c r="L981" s="184" t="s">
        <v>598</v>
      </c>
      <c r="M981" s="184" t="s">
        <v>598</v>
      </c>
      <c r="N981" s="184" t="s">
        <v>85</v>
      </c>
      <c r="O981" s="184" t="s">
        <v>85</v>
      </c>
      <c r="P981" s="186" t="s">
        <v>67</v>
      </c>
      <c r="Q981" s="184" t="s">
        <v>598</v>
      </c>
      <c r="R981" s="184" t="s">
        <v>598</v>
      </c>
      <c r="S981" s="127">
        <v>42909</v>
      </c>
      <c r="T981" s="184" t="s">
        <v>10</v>
      </c>
      <c r="U981" s="184" t="s">
        <v>598</v>
      </c>
      <c r="V981" s="185">
        <v>3875</v>
      </c>
      <c r="W981" s="184" t="s">
        <v>493</v>
      </c>
      <c r="X981" s="184">
        <v>3875</v>
      </c>
      <c r="Y981" s="185">
        <v>0</v>
      </c>
      <c r="Z981" s="184" t="s">
        <v>598</v>
      </c>
      <c r="AA981" s="21" t="s">
        <v>610</v>
      </c>
      <c r="AB981" s="176" t="s">
        <v>489</v>
      </c>
      <c r="AC981" s="172">
        <v>42996.328472222223</v>
      </c>
      <c r="AD981" s="32" t="s">
        <v>552</v>
      </c>
    </row>
    <row r="982" spans="1:30">
      <c r="A982" s="184">
        <v>981</v>
      </c>
      <c r="B982" s="184" t="s">
        <v>2573</v>
      </c>
      <c r="C982" s="184" t="s">
        <v>598</v>
      </c>
      <c r="D982" s="127">
        <v>42760</v>
      </c>
      <c r="E982" s="127" t="s">
        <v>598</v>
      </c>
      <c r="F982" s="184" t="s">
        <v>2574</v>
      </c>
      <c r="G982" s="185">
        <v>0</v>
      </c>
      <c r="H982" s="184" t="s">
        <v>598</v>
      </c>
      <c r="I982" s="184" t="s">
        <v>598</v>
      </c>
      <c r="J982" s="184" t="s">
        <v>77</v>
      </c>
      <c r="K982" s="184" t="s">
        <v>403</v>
      </c>
      <c r="L982" s="184" t="s">
        <v>598</v>
      </c>
      <c r="M982" s="184" t="s">
        <v>598</v>
      </c>
      <c r="N982" s="184" t="s">
        <v>85</v>
      </c>
      <c r="O982" s="184" t="s">
        <v>85</v>
      </c>
      <c r="P982" s="186" t="s">
        <v>602</v>
      </c>
      <c r="Q982" s="184" t="s">
        <v>598</v>
      </c>
      <c r="R982" s="184" t="s">
        <v>598</v>
      </c>
      <c r="S982" s="127" t="s">
        <v>598</v>
      </c>
      <c r="T982" s="184" t="s">
        <v>598</v>
      </c>
      <c r="U982" s="184" t="s">
        <v>598</v>
      </c>
      <c r="V982" s="185">
        <v>0</v>
      </c>
      <c r="W982" s="184" t="s">
        <v>485</v>
      </c>
      <c r="X982" s="184" t="s">
        <v>598</v>
      </c>
      <c r="Y982" s="185">
        <v>0</v>
      </c>
      <c r="Z982" s="184" t="s">
        <v>598</v>
      </c>
      <c r="AA982" s="21" t="s">
        <v>610</v>
      </c>
      <c r="AB982" s="176" t="s">
        <v>489</v>
      </c>
      <c r="AC982" s="172">
        <v>42996.328472222223</v>
      </c>
      <c r="AD982" s="32" t="s">
        <v>552</v>
      </c>
    </row>
    <row r="983" spans="1:30">
      <c r="A983" s="184">
        <v>982</v>
      </c>
      <c r="B983" s="184" t="s">
        <v>2575</v>
      </c>
      <c r="C983" s="184" t="s">
        <v>598</v>
      </c>
      <c r="D983" s="127">
        <v>42576</v>
      </c>
      <c r="E983" s="127" t="s">
        <v>598</v>
      </c>
      <c r="F983" s="184" t="s">
        <v>2576</v>
      </c>
      <c r="G983" s="185">
        <v>0</v>
      </c>
      <c r="H983" s="184" t="s">
        <v>598</v>
      </c>
      <c r="I983" s="184" t="s">
        <v>122</v>
      </c>
      <c r="J983" s="184" t="s">
        <v>551</v>
      </c>
      <c r="K983" s="184" t="s">
        <v>307</v>
      </c>
      <c r="L983" s="184" t="s">
        <v>598</v>
      </c>
      <c r="M983" s="184" t="s">
        <v>598</v>
      </c>
      <c r="N983" s="184" t="s">
        <v>85</v>
      </c>
      <c r="O983" s="184" t="s">
        <v>73</v>
      </c>
      <c r="P983" s="186" t="s">
        <v>603</v>
      </c>
      <c r="Q983" s="184" t="s">
        <v>598</v>
      </c>
      <c r="R983" s="184" t="s">
        <v>598</v>
      </c>
      <c r="S983" s="127" t="s">
        <v>598</v>
      </c>
      <c r="T983" s="184" t="s">
        <v>598</v>
      </c>
      <c r="U983" s="184" t="s">
        <v>598</v>
      </c>
      <c r="V983" s="185">
        <v>0</v>
      </c>
      <c r="W983" s="184" t="s">
        <v>485</v>
      </c>
      <c r="X983" s="184" t="s">
        <v>598</v>
      </c>
      <c r="Y983" s="185">
        <v>0</v>
      </c>
      <c r="Z983" s="184" t="s">
        <v>598</v>
      </c>
      <c r="AA983" s="21" t="s">
        <v>610</v>
      </c>
      <c r="AB983" s="176" t="s">
        <v>489</v>
      </c>
      <c r="AC983" s="172">
        <v>42996.328472222223</v>
      </c>
      <c r="AD983" s="32" t="s">
        <v>552</v>
      </c>
    </row>
    <row r="984" spans="1:30">
      <c r="A984" s="184">
        <v>983</v>
      </c>
      <c r="B984" s="184" t="s">
        <v>2577</v>
      </c>
      <c r="C984" s="184" t="s">
        <v>598</v>
      </c>
      <c r="D984" s="127">
        <v>42535</v>
      </c>
      <c r="E984" s="127" t="s">
        <v>598</v>
      </c>
      <c r="F984" s="184" t="s">
        <v>2578</v>
      </c>
      <c r="G984" s="185">
        <v>0</v>
      </c>
      <c r="H984" s="184" t="s">
        <v>598</v>
      </c>
      <c r="I984" s="184" t="s">
        <v>134</v>
      </c>
      <c r="J984" s="184" t="s">
        <v>551</v>
      </c>
      <c r="K984" s="184" t="s">
        <v>297</v>
      </c>
      <c r="L984" s="184" t="s">
        <v>598</v>
      </c>
      <c r="M984" s="184" t="s">
        <v>598</v>
      </c>
      <c r="N984" s="184" t="s">
        <v>85</v>
      </c>
      <c r="O984" s="184" t="s">
        <v>73</v>
      </c>
      <c r="P984" s="186" t="s">
        <v>604</v>
      </c>
      <c r="Q984" s="184" t="s">
        <v>598</v>
      </c>
      <c r="R984" s="184" t="s">
        <v>598</v>
      </c>
      <c r="S984" s="127" t="s">
        <v>598</v>
      </c>
      <c r="T984" s="184" t="s">
        <v>598</v>
      </c>
      <c r="U984" s="184" t="s">
        <v>598</v>
      </c>
      <c r="V984" s="185">
        <v>0</v>
      </c>
      <c r="W984" s="184" t="s">
        <v>485</v>
      </c>
      <c r="X984" s="184" t="s">
        <v>598</v>
      </c>
      <c r="Y984" s="185">
        <v>0</v>
      </c>
      <c r="Z984" s="184" t="s">
        <v>598</v>
      </c>
      <c r="AA984" s="21" t="s">
        <v>610</v>
      </c>
      <c r="AB984" s="176" t="s">
        <v>489</v>
      </c>
      <c r="AC984" s="172">
        <v>42996.328472222223</v>
      </c>
      <c r="AD984" s="32" t="s">
        <v>552</v>
      </c>
    </row>
    <row r="985" spans="1:30">
      <c r="A985" s="184">
        <v>984</v>
      </c>
      <c r="B985" s="184" t="s">
        <v>2579</v>
      </c>
      <c r="C985" s="184" t="s">
        <v>598</v>
      </c>
      <c r="D985" s="127">
        <v>42535</v>
      </c>
      <c r="E985" s="127" t="s">
        <v>598</v>
      </c>
      <c r="F985" s="184" t="s">
        <v>2580</v>
      </c>
      <c r="G985" s="185">
        <v>0</v>
      </c>
      <c r="H985" s="184" t="s">
        <v>598</v>
      </c>
      <c r="I985" s="184" t="s">
        <v>598</v>
      </c>
      <c r="J985" s="184" t="s">
        <v>551</v>
      </c>
      <c r="K985" s="184" t="s">
        <v>302</v>
      </c>
      <c r="L985" s="184" t="s">
        <v>598</v>
      </c>
      <c r="M985" s="184" t="s">
        <v>598</v>
      </c>
      <c r="N985" s="184" t="s">
        <v>85</v>
      </c>
      <c r="O985" s="184" t="s">
        <v>598</v>
      </c>
      <c r="P985" s="186" t="s">
        <v>605</v>
      </c>
      <c r="Q985" s="184" t="s">
        <v>598</v>
      </c>
      <c r="R985" s="184" t="s">
        <v>598</v>
      </c>
      <c r="S985" s="127" t="s">
        <v>598</v>
      </c>
      <c r="T985" s="184" t="s">
        <v>598</v>
      </c>
      <c r="U985" s="184" t="s">
        <v>598</v>
      </c>
      <c r="V985" s="185">
        <v>0</v>
      </c>
      <c r="W985" s="184" t="s">
        <v>485</v>
      </c>
      <c r="X985" s="184" t="s">
        <v>598</v>
      </c>
      <c r="Y985" s="185">
        <v>0</v>
      </c>
      <c r="Z985" s="184" t="s">
        <v>598</v>
      </c>
      <c r="AA985" s="21" t="s">
        <v>610</v>
      </c>
      <c r="AB985" s="176" t="s">
        <v>489</v>
      </c>
      <c r="AC985" s="172">
        <v>42996.328472222223</v>
      </c>
      <c r="AD985" s="32" t="s">
        <v>552</v>
      </c>
    </row>
    <row r="986" spans="1:30">
      <c r="A986" s="184">
        <v>985</v>
      </c>
      <c r="B986" s="184" t="s">
        <v>2581</v>
      </c>
      <c r="C986" s="184" t="s">
        <v>598</v>
      </c>
      <c r="D986" s="127">
        <v>42530</v>
      </c>
      <c r="E986" s="127" t="s">
        <v>598</v>
      </c>
      <c r="F986" s="184" t="s">
        <v>2582</v>
      </c>
      <c r="G986" s="185">
        <v>0</v>
      </c>
      <c r="H986" s="184" t="s">
        <v>598</v>
      </c>
      <c r="I986" s="184" t="s">
        <v>134</v>
      </c>
      <c r="J986" s="184" t="s">
        <v>551</v>
      </c>
      <c r="K986" s="184" t="s">
        <v>297</v>
      </c>
      <c r="L986" s="184" t="s">
        <v>598</v>
      </c>
      <c r="M986" s="184" t="s">
        <v>598</v>
      </c>
      <c r="N986" s="184" t="s">
        <v>85</v>
      </c>
      <c r="O986" s="184" t="s">
        <v>73</v>
      </c>
      <c r="P986" s="186"/>
      <c r="Q986" s="184" t="s">
        <v>598</v>
      </c>
      <c r="R986" s="184" t="s">
        <v>598</v>
      </c>
      <c r="S986" s="127" t="s">
        <v>598</v>
      </c>
      <c r="T986" s="184" t="s">
        <v>598</v>
      </c>
      <c r="U986" s="184" t="s">
        <v>598</v>
      </c>
      <c r="V986" s="185">
        <v>0</v>
      </c>
      <c r="W986" s="184" t="s">
        <v>485</v>
      </c>
      <c r="X986" s="184" t="s">
        <v>598</v>
      </c>
      <c r="Y986" s="185">
        <v>0</v>
      </c>
      <c r="Z986" s="184" t="s">
        <v>598</v>
      </c>
      <c r="AA986" s="21" t="s">
        <v>610</v>
      </c>
      <c r="AB986" s="176" t="s">
        <v>489</v>
      </c>
      <c r="AC986" s="172">
        <v>42996.328472222223</v>
      </c>
      <c r="AD986" s="32" t="s">
        <v>552</v>
      </c>
    </row>
    <row r="987" spans="1:30">
      <c r="A987" s="184">
        <v>986</v>
      </c>
      <c r="B987" s="184" t="s">
        <v>2583</v>
      </c>
      <c r="C987" s="184" t="s">
        <v>598</v>
      </c>
      <c r="D987" s="127">
        <v>42530</v>
      </c>
      <c r="E987" s="127" t="s">
        <v>598</v>
      </c>
      <c r="F987" s="184" t="s">
        <v>2584</v>
      </c>
      <c r="G987" s="185">
        <v>0</v>
      </c>
      <c r="H987" s="184" t="s">
        <v>598</v>
      </c>
      <c r="I987" s="184" t="s">
        <v>134</v>
      </c>
      <c r="J987" s="184" t="s">
        <v>551</v>
      </c>
      <c r="K987" s="184" t="s">
        <v>297</v>
      </c>
      <c r="L987" s="184" t="s">
        <v>598</v>
      </c>
      <c r="M987" s="184" t="s">
        <v>598</v>
      </c>
      <c r="N987" s="184" t="s">
        <v>85</v>
      </c>
      <c r="O987" s="184" t="s">
        <v>51</v>
      </c>
      <c r="P987" s="186"/>
      <c r="Q987" s="184" t="s">
        <v>598</v>
      </c>
      <c r="R987" s="184" t="s">
        <v>598</v>
      </c>
      <c r="S987" s="127" t="s">
        <v>598</v>
      </c>
      <c r="T987" s="184" t="s">
        <v>598</v>
      </c>
      <c r="U987" s="184" t="s">
        <v>598</v>
      </c>
      <c r="V987" s="185">
        <v>0</v>
      </c>
      <c r="W987" s="184" t="s">
        <v>485</v>
      </c>
      <c r="X987" s="184" t="s">
        <v>598</v>
      </c>
      <c r="Y987" s="185">
        <v>0</v>
      </c>
      <c r="Z987" s="184" t="s">
        <v>598</v>
      </c>
      <c r="AA987" s="21" t="s">
        <v>610</v>
      </c>
      <c r="AB987" s="176" t="s">
        <v>489</v>
      </c>
      <c r="AC987" s="172">
        <v>42996.328472222223</v>
      </c>
      <c r="AD987" s="32" t="s">
        <v>552</v>
      </c>
    </row>
    <row r="988" spans="1:30">
      <c r="A988" s="184">
        <v>987</v>
      </c>
      <c r="B988" s="184" t="s">
        <v>2585</v>
      </c>
      <c r="C988" s="184" t="s">
        <v>598</v>
      </c>
      <c r="D988" s="127">
        <v>42530</v>
      </c>
      <c r="E988" s="127" t="s">
        <v>598</v>
      </c>
      <c r="F988" s="184" t="s">
        <v>2586</v>
      </c>
      <c r="G988" s="185">
        <v>0</v>
      </c>
      <c r="H988" s="184" t="s">
        <v>598</v>
      </c>
      <c r="I988" s="184" t="s">
        <v>118</v>
      </c>
      <c r="J988" s="184" t="s">
        <v>551</v>
      </c>
      <c r="K988" s="184" t="s">
        <v>307</v>
      </c>
      <c r="L988" s="184" t="s">
        <v>598</v>
      </c>
      <c r="M988" s="184" t="s">
        <v>598</v>
      </c>
      <c r="N988" s="184" t="s">
        <v>85</v>
      </c>
      <c r="O988" s="184" t="s">
        <v>73</v>
      </c>
      <c r="P988" s="186" t="s">
        <v>73</v>
      </c>
      <c r="Q988" s="184" t="s">
        <v>598</v>
      </c>
      <c r="R988" s="184" t="s">
        <v>598</v>
      </c>
      <c r="S988" s="127" t="s">
        <v>598</v>
      </c>
      <c r="T988" s="184" t="s">
        <v>598</v>
      </c>
      <c r="U988" s="184" t="s">
        <v>598</v>
      </c>
      <c r="V988" s="185">
        <v>0</v>
      </c>
      <c r="W988" s="184" t="s">
        <v>485</v>
      </c>
      <c r="X988" s="184" t="s">
        <v>598</v>
      </c>
      <c r="Y988" s="185">
        <v>0</v>
      </c>
      <c r="Z988" s="184" t="s">
        <v>598</v>
      </c>
      <c r="AA988" s="21" t="s">
        <v>610</v>
      </c>
      <c r="AB988" s="176" t="s">
        <v>489</v>
      </c>
      <c r="AC988" s="172">
        <v>42996.328472222223</v>
      </c>
      <c r="AD988" s="32" t="s">
        <v>552</v>
      </c>
    </row>
    <row r="989" spans="1:30">
      <c r="A989" s="184">
        <v>988</v>
      </c>
      <c r="B989" s="184" t="s">
        <v>2587</v>
      </c>
      <c r="C989" s="184" t="s">
        <v>598</v>
      </c>
      <c r="D989" s="127">
        <v>42530</v>
      </c>
      <c r="E989" s="127" t="s">
        <v>598</v>
      </c>
      <c r="F989" s="184" t="s">
        <v>2586</v>
      </c>
      <c r="G989" s="185">
        <v>0</v>
      </c>
      <c r="H989" s="184" t="s">
        <v>598</v>
      </c>
      <c r="I989" s="184" t="s">
        <v>118</v>
      </c>
      <c r="J989" s="184" t="s">
        <v>551</v>
      </c>
      <c r="K989" s="184" t="s">
        <v>307</v>
      </c>
      <c r="L989" s="184" t="s">
        <v>598</v>
      </c>
      <c r="M989" s="184" t="s">
        <v>598</v>
      </c>
      <c r="N989" s="184" t="s">
        <v>85</v>
      </c>
      <c r="O989" s="184" t="s">
        <v>73</v>
      </c>
      <c r="P989" s="186" t="s">
        <v>601</v>
      </c>
      <c r="Q989" s="184" t="s">
        <v>598</v>
      </c>
      <c r="R989" s="184" t="s">
        <v>598</v>
      </c>
      <c r="S989" s="127" t="s">
        <v>598</v>
      </c>
      <c r="T989" s="184" t="s">
        <v>598</v>
      </c>
      <c r="U989" s="184" t="s">
        <v>598</v>
      </c>
      <c r="V989" s="185">
        <v>0</v>
      </c>
      <c r="W989" s="184" t="s">
        <v>485</v>
      </c>
      <c r="X989" s="184" t="s">
        <v>598</v>
      </c>
      <c r="Y989" s="185">
        <v>0</v>
      </c>
      <c r="Z989" s="184" t="s">
        <v>598</v>
      </c>
      <c r="AA989" s="21" t="s">
        <v>610</v>
      </c>
      <c r="AB989" s="176" t="s">
        <v>489</v>
      </c>
      <c r="AC989" s="172">
        <v>42996.328472222223</v>
      </c>
      <c r="AD989" s="32" t="s">
        <v>552</v>
      </c>
    </row>
    <row r="990" spans="1:30">
      <c r="A990" s="184">
        <v>989</v>
      </c>
      <c r="B990" s="184" t="s">
        <v>2588</v>
      </c>
      <c r="C990" s="184" t="s">
        <v>598</v>
      </c>
      <c r="D990" s="127">
        <v>42504</v>
      </c>
      <c r="E990" s="127" t="s">
        <v>598</v>
      </c>
      <c r="F990" s="184" t="s">
        <v>2589</v>
      </c>
      <c r="G990" s="185">
        <v>0</v>
      </c>
      <c r="H990" s="184" t="s">
        <v>598</v>
      </c>
      <c r="I990" s="184" t="s">
        <v>598</v>
      </c>
      <c r="J990" s="184" t="s">
        <v>551</v>
      </c>
      <c r="K990" s="184" t="s">
        <v>306</v>
      </c>
      <c r="L990" s="184" t="s">
        <v>598</v>
      </c>
      <c r="M990" s="184" t="s">
        <v>598</v>
      </c>
      <c r="N990" s="184" t="s">
        <v>85</v>
      </c>
      <c r="O990" s="184" t="s">
        <v>73</v>
      </c>
      <c r="P990" s="186" t="s">
        <v>32</v>
      </c>
      <c r="Q990" s="184" t="s">
        <v>598</v>
      </c>
      <c r="R990" s="184" t="s">
        <v>598</v>
      </c>
      <c r="S990" s="127" t="s">
        <v>598</v>
      </c>
      <c r="T990" s="184" t="s">
        <v>598</v>
      </c>
      <c r="U990" s="184" t="s">
        <v>598</v>
      </c>
      <c r="V990" s="185">
        <v>0</v>
      </c>
      <c r="W990" s="184" t="s">
        <v>485</v>
      </c>
      <c r="X990" s="184" t="s">
        <v>598</v>
      </c>
      <c r="Y990" s="185">
        <v>0</v>
      </c>
      <c r="Z990" s="184" t="s">
        <v>598</v>
      </c>
      <c r="AA990" s="21" t="s">
        <v>610</v>
      </c>
      <c r="AB990" s="176" t="s">
        <v>489</v>
      </c>
      <c r="AC990" s="172">
        <v>42996.328472222223</v>
      </c>
      <c r="AD990" s="32" t="s">
        <v>552</v>
      </c>
    </row>
    <row r="991" spans="1:30">
      <c r="A991" s="184">
        <v>990</v>
      </c>
      <c r="B991" s="184" t="s">
        <v>2590</v>
      </c>
      <c r="C991" s="184" t="s">
        <v>598</v>
      </c>
      <c r="D991" s="127">
        <v>42458</v>
      </c>
      <c r="E991" s="127" t="s">
        <v>598</v>
      </c>
      <c r="F991" s="184" t="s">
        <v>2591</v>
      </c>
      <c r="G991" s="185">
        <v>0</v>
      </c>
      <c r="H991" s="184" t="s">
        <v>598</v>
      </c>
      <c r="I991" s="184" t="s">
        <v>48</v>
      </c>
      <c r="J991" s="184" t="s">
        <v>551</v>
      </c>
      <c r="K991" s="184" t="s">
        <v>315</v>
      </c>
      <c r="L991" s="184" t="s">
        <v>598</v>
      </c>
      <c r="M991" s="184" t="s">
        <v>598</v>
      </c>
      <c r="N991" s="184" t="s">
        <v>85</v>
      </c>
      <c r="O991" s="184" t="s">
        <v>73</v>
      </c>
      <c r="P991" s="186" t="s">
        <v>53</v>
      </c>
      <c r="Q991" s="184" t="s">
        <v>598</v>
      </c>
      <c r="R991" s="184" t="s">
        <v>598</v>
      </c>
      <c r="S991" s="127">
        <v>42899</v>
      </c>
      <c r="T991" s="184" t="s">
        <v>10</v>
      </c>
      <c r="U991" s="184" t="s">
        <v>598</v>
      </c>
      <c r="V991" s="185">
        <v>6187</v>
      </c>
      <c r="W991" s="184" t="s">
        <v>493</v>
      </c>
      <c r="X991" s="184" t="s">
        <v>598</v>
      </c>
      <c r="Y991" s="185">
        <v>0</v>
      </c>
      <c r="Z991" s="184" t="s">
        <v>598</v>
      </c>
      <c r="AA991" s="21" t="s">
        <v>610</v>
      </c>
      <c r="AB991" s="176" t="s">
        <v>489</v>
      </c>
      <c r="AC991" s="172">
        <v>42996.328472222223</v>
      </c>
      <c r="AD991" s="32" t="s">
        <v>552</v>
      </c>
    </row>
    <row r="992" spans="1:30">
      <c r="A992" s="184">
        <v>991</v>
      </c>
      <c r="B992" s="184" t="s">
        <v>2592</v>
      </c>
      <c r="C992" s="184" t="s">
        <v>598</v>
      </c>
      <c r="D992" s="127">
        <v>42458</v>
      </c>
      <c r="E992" s="127" t="s">
        <v>598</v>
      </c>
      <c r="F992" s="184" t="s">
        <v>2593</v>
      </c>
      <c r="G992" s="185">
        <v>0</v>
      </c>
      <c r="H992" s="184" t="s">
        <v>598</v>
      </c>
      <c r="I992" s="184" t="s">
        <v>48</v>
      </c>
      <c r="J992" s="184" t="s">
        <v>551</v>
      </c>
      <c r="K992" s="184" t="s">
        <v>315</v>
      </c>
      <c r="L992" s="184" t="s">
        <v>598</v>
      </c>
      <c r="M992" s="184" t="s">
        <v>598</v>
      </c>
      <c r="N992" s="184" t="s">
        <v>85</v>
      </c>
      <c r="O992" s="184" t="s">
        <v>85</v>
      </c>
      <c r="P992" s="186" t="s">
        <v>44</v>
      </c>
      <c r="Q992" s="184" t="s">
        <v>598</v>
      </c>
      <c r="R992" s="184" t="s">
        <v>598</v>
      </c>
      <c r="S992" s="127">
        <v>42899</v>
      </c>
      <c r="T992" s="184" t="s">
        <v>10</v>
      </c>
      <c r="U992" s="184" t="s">
        <v>598</v>
      </c>
      <c r="V992" s="185">
        <v>9000</v>
      </c>
      <c r="W992" s="184" t="s">
        <v>493</v>
      </c>
      <c r="X992" s="184" t="s">
        <v>598</v>
      </c>
      <c r="Y992" s="185">
        <v>0</v>
      </c>
      <c r="Z992" s="184" t="s">
        <v>598</v>
      </c>
      <c r="AA992" s="21" t="s">
        <v>610</v>
      </c>
      <c r="AB992" s="176" t="s">
        <v>489</v>
      </c>
      <c r="AC992" s="172">
        <v>42996.328472222223</v>
      </c>
      <c r="AD992" s="32" t="s">
        <v>552</v>
      </c>
    </row>
    <row r="993" spans="1:30">
      <c r="A993" s="184">
        <v>992</v>
      </c>
      <c r="B993" s="184" t="s">
        <v>2594</v>
      </c>
      <c r="C993" s="184" t="s">
        <v>598</v>
      </c>
      <c r="D993" s="127">
        <v>42458</v>
      </c>
      <c r="E993" s="127" t="s">
        <v>598</v>
      </c>
      <c r="F993" s="184" t="s">
        <v>2595</v>
      </c>
      <c r="G993" s="185">
        <v>0</v>
      </c>
      <c r="H993" s="184" t="s">
        <v>598</v>
      </c>
      <c r="I993" s="184" t="s">
        <v>118</v>
      </c>
      <c r="J993" s="184" t="s">
        <v>551</v>
      </c>
      <c r="K993" s="184" t="s">
        <v>309</v>
      </c>
      <c r="L993" s="184" t="s">
        <v>598</v>
      </c>
      <c r="M993" s="184" t="s">
        <v>598</v>
      </c>
      <c r="N993" s="184" t="s">
        <v>85</v>
      </c>
      <c r="O993" s="184" t="s">
        <v>51</v>
      </c>
      <c r="P993" s="186" t="s">
        <v>67</v>
      </c>
      <c r="Q993" s="184" t="s">
        <v>598</v>
      </c>
      <c r="R993" s="184" t="s">
        <v>598</v>
      </c>
      <c r="S993" s="127" t="s">
        <v>598</v>
      </c>
      <c r="T993" s="184" t="s">
        <v>598</v>
      </c>
      <c r="U993" s="184" t="s">
        <v>598</v>
      </c>
      <c r="V993" s="185">
        <v>0</v>
      </c>
      <c r="W993" s="184" t="s">
        <v>485</v>
      </c>
      <c r="X993" s="184" t="s">
        <v>598</v>
      </c>
      <c r="Y993" s="185">
        <v>0</v>
      </c>
      <c r="Z993" s="184" t="s">
        <v>598</v>
      </c>
      <c r="AA993" s="21" t="s">
        <v>610</v>
      </c>
      <c r="AB993" s="176" t="s">
        <v>489</v>
      </c>
      <c r="AC993" s="172">
        <v>42996.328472222223</v>
      </c>
      <c r="AD993" s="32" t="s">
        <v>552</v>
      </c>
    </row>
    <row r="994" spans="1:30">
      <c r="A994" s="184">
        <v>993</v>
      </c>
      <c r="B994" s="184" t="s">
        <v>2596</v>
      </c>
      <c r="C994" s="184" t="s">
        <v>598</v>
      </c>
      <c r="D994" s="127">
        <v>42458</v>
      </c>
      <c r="E994" s="127" t="s">
        <v>598</v>
      </c>
      <c r="F994" s="184" t="s">
        <v>2597</v>
      </c>
      <c r="G994" s="185">
        <v>0</v>
      </c>
      <c r="H994" s="184" t="s">
        <v>598</v>
      </c>
      <c r="I994" s="184" t="s">
        <v>120</v>
      </c>
      <c r="J994" s="184" t="s">
        <v>551</v>
      </c>
      <c r="K994" s="184" t="s">
        <v>309</v>
      </c>
      <c r="L994" s="184" t="s">
        <v>598</v>
      </c>
      <c r="M994" s="184" t="s">
        <v>598</v>
      </c>
      <c r="N994" s="184" t="s">
        <v>85</v>
      </c>
      <c r="O994" s="184" t="s">
        <v>598</v>
      </c>
      <c r="P994" s="186" t="s">
        <v>602</v>
      </c>
      <c r="Q994" s="184" t="s">
        <v>598</v>
      </c>
      <c r="R994" s="184" t="s">
        <v>598</v>
      </c>
      <c r="S994" s="127" t="s">
        <v>598</v>
      </c>
      <c r="T994" s="184" t="s">
        <v>598</v>
      </c>
      <c r="U994" s="184" t="s">
        <v>598</v>
      </c>
      <c r="V994" s="185">
        <v>0</v>
      </c>
      <c r="W994" s="184" t="s">
        <v>485</v>
      </c>
      <c r="X994" s="184" t="s">
        <v>598</v>
      </c>
      <c r="Y994" s="185">
        <v>0</v>
      </c>
      <c r="Z994" s="184" t="s">
        <v>598</v>
      </c>
      <c r="AA994" s="21" t="s">
        <v>610</v>
      </c>
      <c r="AB994" s="176" t="s">
        <v>489</v>
      </c>
      <c r="AC994" s="172">
        <v>42996.328472222223</v>
      </c>
      <c r="AD994" s="32" t="s">
        <v>552</v>
      </c>
    </row>
    <row r="995" spans="1:30">
      <c r="A995" s="184">
        <v>994</v>
      </c>
      <c r="B995" s="184" t="s">
        <v>2598</v>
      </c>
      <c r="C995" s="184" t="s">
        <v>598</v>
      </c>
      <c r="D995" s="127">
        <v>42458</v>
      </c>
      <c r="E995" s="127" t="s">
        <v>598</v>
      </c>
      <c r="F995" s="184" t="s">
        <v>2597</v>
      </c>
      <c r="G995" s="185">
        <v>0</v>
      </c>
      <c r="H995" s="184" t="s">
        <v>598</v>
      </c>
      <c r="I995" s="184" t="s">
        <v>120</v>
      </c>
      <c r="J995" s="184" t="s">
        <v>551</v>
      </c>
      <c r="K995" s="184" t="s">
        <v>309</v>
      </c>
      <c r="L995" s="184" t="s">
        <v>598</v>
      </c>
      <c r="M995" s="184" t="s">
        <v>598</v>
      </c>
      <c r="N995" s="184" t="s">
        <v>85</v>
      </c>
      <c r="O995" s="184" t="s">
        <v>85</v>
      </c>
      <c r="P995" s="186" t="s">
        <v>603</v>
      </c>
      <c r="Q995" s="184" t="s">
        <v>598</v>
      </c>
      <c r="R995" s="184" t="s">
        <v>598</v>
      </c>
      <c r="S995" s="127" t="s">
        <v>598</v>
      </c>
      <c r="T995" s="184" t="s">
        <v>598</v>
      </c>
      <c r="U995" s="184" t="s">
        <v>598</v>
      </c>
      <c r="V995" s="185">
        <v>0</v>
      </c>
      <c r="W995" s="184" t="s">
        <v>485</v>
      </c>
      <c r="X995" s="184" t="s">
        <v>598</v>
      </c>
      <c r="Y995" s="185">
        <v>0</v>
      </c>
      <c r="Z995" s="184" t="s">
        <v>598</v>
      </c>
      <c r="AA995" s="21" t="s">
        <v>610</v>
      </c>
      <c r="AB995" s="176" t="s">
        <v>489</v>
      </c>
      <c r="AC995" s="172">
        <v>42996.328472222223</v>
      </c>
      <c r="AD995" s="32" t="s">
        <v>552</v>
      </c>
    </row>
    <row r="996" spans="1:30">
      <c r="A996" s="184">
        <v>995</v>
      </c>
      <c r="B996" s="184" t="s">
        <v>2599</v>
      </c>
      <c r="C996" s="184" t="s">
        <v>598</v>
      </c>
      <c r="D996" s="127">
        <v>42564</v>
      </c>
      <c r="E996" s="127" t="s">
        <v>598</v>
      </c>
      <c r="F996" s="184" t="s">
        <v>2600</v>
      </c>
      <c r="G996" s="185">
        <v>0</v>
      </c>
      <c r="H996" s="184" t="s">
        <v>598</v>
      </c>
      <c r="I996" s="184" t="s">
        <v>58</v>
      </c>
      <c r="J996" s="184" t="s">
        <v>70</v>
      </c>
      <c r="K996" s="184" t="s">
        <v>272</v>
      </c>
      <c r="L996" s="184" t="s">
        <v>598</v>
      </c>
      <c r="M996" s="184" t="s">
        <v>598</v>
      </c>
      <c r="N996" s="184" t="s">
        <v>85</v>
      </c>
      <c r="O996" s="184" t="s">
        <v>85</v>
      </c>
      <c r="P996" s="186" t="s">
        <v>604</v>
      </c>
      <c r="Q996" s="184" t="s">
        <v>598</v>
      </c>
      <c r="R996" s="184" t="s">
        <v>598</v>
      </c>
      <c r="S996" s="127" t="s">
        <v>598</v>
      </c>
      <c r="T996" s="184" t="s">
        <v>598</v>
      </c>
      <c r="U996" s="184" t="s">
        <v>598</v>
      </c>
      <c r="V996" s="185">
        <v>0</v>
      </c>
      <c r="W996" s="184" t="s">
        <v>485</v>
      </c>
      <c r="X996" s="184" t="s">
        <v>598</v>
      </c>
      <c r="Y996" s="185">
        <v>0</v>
      </c>
      <c r="Z996" s="184" t="s">
        <v>598</v>
      </c>
      <c r="AA996" s="21" t="s">
        <v>610</v>
      </c>
      <c r="AB996" s="176" t="s">
        <v>489</v>
      </c>
      <c r="AC996" s="172">
        <v>42996.328472222223</v>
      </c>
      <c r="AD996" s="32" t="s">
        <v>552</v>
      </c>
    </row>
    <row r="997" spans="1:30">
      <c r="A997" s="184">
        <v>996</v>
      </c>
      <c r="B997" s="184" t="s">
        <v>2601</v>
      </c>
      <c r="C997" s="184" t="s">
        <v>598</v>
      </c>
      <c r="D997" s="127">
        <v>42564</v>
      </c>
      <c r="E997" s="127" t="s">
        <v>598</v>
      </c>
      <c r="F997" s="184" t="s">
        <v>2602</v>
      </c>
      <c r="G997" s="185">
        <v>0</v>
      </c>
      <c r="H997" s="184" t="s">
        <v>598</v>
      </c>
      <c r="I997" s="184" t="s">
        <v>58</v>
      </c>
      <c r="J997" s="184" t="s">
        <v>70</v>
      </c>
      <c r="K997" s="184" t="s">
        <v>272</v>
      </c>
      <c r="L997" s="184" t="s">
        <v>598</v>
      </c>
      <c r="M997" s="184" t="s">
        <v>598</v>
      </c>
      <c r="N997" s="184" t="s">
        <v>85</v>
      </c>
      <c r="O997" s="184" t="s">
        <v>85</v>
      </c>
      <c r="P997" s="186" t="s">
        <v>605</v>
      </c>
      <c r="Q997" s="184" t="s">
        <v>598</v>
      </c>
      <c r="R997" s="184" t="s">
        <v>598</v>
      </c>
      <c r="S997" s="127" t="s">
        <v>598</v>
      </c>
      <c r="T997" s="184" t="s">
        <v>598</v>
      </c>
      <c r="U997" s="184" t="s">
        <v>598</v>
      </c>
      <c r="V997" s="185">
        <v>0</v>
      </c>
      <c r="W997" s="184" t="s">
        <v>485</v>
      </c>
      <c r="X997" s="184" t="s">
        <v>598</v>
      </c>
      <c r="Y997" s="185">
        <v>0</v>
      </c>
      <c r="Z997" s="184" t="s">
        <v>598</v>
      </c>
      <c r="AA997" s="21" t="s">
        <v>610</v>
      </c>
      <c r="AB997" s="176" t="s">
        <v>489</v>
      </c>
      <c r="AC997" s="172">
        <v>42996.328472222223</v>
      </c>
      <c r="AD997" s="32" t="s">
        <v>552</v>
      </c>
    </row>
    <row r="998" spans="1:30">
      <c r="A998" s="184">
        <v>997</v>
      </c>
      <c r="B998" s="184" t="s">
        <v>2603</v>
      </c>
      <c r="C998" s="184" t="s">
        <v>598</v>
      </c>
      <c r="D998" s="127">
        <v>42559</v>
      </c>
      <c r="E998" s="127" t="s">
        <v>598</v>
      </c>
      <c r="F998" s="184" t="s">
        <v>2604</v>
      </c>
      <c r="G998" s="185">
        <v>0</v>
      </c>
      <c r="H998" s="184" t="s">
        <v>598</v>
      </c>
      <c r="I998" s="184" t="s">
        <v>598</v>
      </c>
      <c r="J998" s="184" t="s">
        <v>77</v>
      </c>
      <c r="K998" s="184" t="s">
        <v>242</v>
      </c>
      <c r="L998" s="184" t="s">
        <v>598</v>
      </c>
      <c r="M998" s="184" t="s">
        <v>598</v>
      </c>
      <c r="N998" s="184" t="s">
        <v>85</v>
      </c>
      <c r="O998" s="184" t="s">
        <v>598</v>
      </c>
      <c r="P998" s="186"/>
      <c r="Q998" s="184" t="s">
        <v>598</v>
      </c>
      <c r="R998" s="184" t="s">
        <v>598</v>
      </c>
      <c r="S998" s="127" t="s">
        <v>598</v>
      </c>
      <c r="T998" s="184" t="s">
        <v>598</v>
      </c>
      <c r="U998" s="184" t="s">
        <v>598</v>
      </c>
      <c r="V998" s="185">
        <v>0</v>
      </c>
      <c r="W998" s="184" t="s">
        <v>485</v>
      </c>
      <c r="X998" s="184" t="s">
        <v>598</v>
      </c>
      <c r="Y998" s="185">
        <v>0</v>
      </c>
      <c r="Z998" s="184" t="s">
        <v>598</v>
      </c>
      <c r="AA998" s="21" t="s">
        <v>610</v>
      </c>
      <c r="AB998" s="176" t="s">
        <v>489</v>
      </c>
      <c r="AC998" s="172">
        <v>42996.328472222223</v>
      </c>
      <c r="AD998" s="32" t="s">
        <v>552</v>
      </c>
    </row>
    <row r="999" spans="1:30">
      <c r="A999" s="184">
        <v>998</v>
      </c>
      <c r="B999" s="184" t="s">
        <v>2605</v>
      </c>
      <c r="C999" s="184" t="s">
        <v>598</v>
      </c>
      <c r="D999" s="127">
        <v>42556</v>
      </c>
      <c r="E999" s="127" t="s">
        <v>598</v>
      </c>
      <c r="F999" s="184" t="s">
        <v>2606</v>
      </c>
      <c r="G999" s="185">
        <v>0</v>
      </c>
      <c r="H999" s="184" t="s">
        <v>598</v>
      </c>
      <c r="I999" s="184" t="s">
        <v>598</v>
      </c>
      <c r="J999" s="184" t="s">
        <v>77</v>
      </c>
      <c r="K999" s="184" t="s">
        <v>183</v>
      </c>
      <c r="L999" s="184" t="s">
        <v>598</v>
      </c>
      <c r="M999" s="184" t="s">
        <v>598</v>
      </c>
      <c r="N999" s="184" t="s">
        <v>85</v>
      </c>
      <c r="O999" s="184" t="s">
        <v>598</v>
      </c>
      <c r="P999" s="186"/>
      <c r="Q999" s="184" t="s">
        <v>598</v>
      </c>
      <c r="R999" s="184" t="s">
        <v>598</v>
      </c>
      <c r="S999" s="127">
        <v>42909</v>
      </c>
      <c r="T999" s="184" t="s">
        <v>10</v>
      </c>
      <c r="U999" s="184" t="s">
        <v>598</v>
      </c>
      <c r="V999" s="185">
        <v>3000</v>
      </c>
      <c r="W999" s="184" t="s">
        <v>493</v>
      </c>
      <c r="X999" s="184">
        <v>3000</v>
      </c>
      <c r="Y999" s="185">
        <v>0</v>
      </c>
      <c r="Z999" s="184" t="s">
        <v>598</v>
      </c>
      <c r="AA999" s="21" t="s">
        <v>610</v>
      </c>
      <c r="AB999" s="176" t="s">
        <v>489</v>
      </c>
      <c r="AC999" s="172">
        <v>42996.328472222223</v>
      </c>
      <c r="AD999" s="32" t="s">
        <v>552</v>
      </c>
    </row>
    <row r="1000" spans="1:30">
      <c r="A1000" s="184">
        <v>999</v>
      </c>
      <c r="B1000" s="184" t="s">
        <v>2607</v>
      </c>
      <c r="C1000" s="184" t="s">
        <v>598</v>
      </c>
      <c r="D1000" s="127">
        <v>42555</v>
      </c>
      <c r="E1000" s="127" t="s">
        <v>598</v>
      </c>
      <c r="F1000" s="184" t="s">
        <v>2608</v>
      </c>
      <c r="G1000" s="185">
        <v>0</v>
      </c>
      <c r="H1000" s="184" t="s">
        <v>598</v>
      </c>
      <c r="I1000" s="184" t="s">
        <v>134</v>
      </c>
      <c r="J1000" s="184" t="s">
        <v>77</v>
      </c>
      <c r="K1000" s="184" t="s">
        <v>183</v>
      </c>
      <c r="L1000" s="184" t="s">
        <v>598</v>
      </c>
      <c r="M1000" s="184" t="s">
        <v>598</v>
      </c>
      <c r="N1000" s="184" t="s">
        <v>85</v>
      </c>
      <c r="O1000" s="184" t="s">
        <v>598</v>
      </c>
      <c r="P1000" s="186" t="s">
        <v>73</v>
      </c>
      <c r="Q1000" s="184" t="s">
        <v>598</v>
      </c>
      <c r="R1000" s="184" t="s">
        <v>598</v>
      </c>
      <c r="S1000" s="127">
        <v>42909</v>
      </c>
      <c r="T1000" s="184" t="s">
        <v>10</v>
      </c>
      <c r="U1000" s="184" t="s">
        <v>598</v>
      </c>
      <c r="V1000" s="185">
        <v>4625</v>
      </c>
      <c r="W1000" s="184" t="s">
        <v>493</v>
      </c>
      <c r="X1000" s="184">
        <v>4625</v>
      </c>
      <c r="Y1000" s="185">
        <v>0</v>
      </c>
      <c r="Z1000" s="184" t="s">
        <v>598</v>
      </c>
      <c r="AA1000" s="21" t="s">
        <v>610</v>
      </c>
      <c r="AB1000" s="176" t="s">
        <v>489</v>
      </c>
      <c r="AC1000" s="172">
        <v>42996.328472222223</v>
      </c>
      <c r="AD1000" s="32" t="s">
        <v>552</v>
      </c>
    </row>
    <row r="1001" spans="1:30">
      <c r="A1001" s="184">
        <v>1000</v>
      </c>
      <c r="B1001" s="184" t="s">
        <v>2609</v>
      </c>
      <c r="C1001" s="184" t="s">
        <v>598</v>
      </c>
      <c r="D1001" s="127">
        <v>42545</v>
      </c>
      <c r="E1001" s="127" t="s">
        <v>598</v>
      </c>
      <c r="F1001" s="184" t="s">
        <v>2610</v>
      </c>
      <c r="G1001" s="185">
        <v>0</v>
      </c>
      <c r="H1001" s="184" t="s">
        <v>598</v>
      </c>
      <c r="I1001" s="184" t="s">
        <v>118</v>
      </c>
      <c r="J1001" s="184" t="s">
        <v>77</v>
      </c>
      <c r="K1001" s="184" t="s">
        <v>183</v>
      </c>
      <c r="L1001" s="184" t="s">
        <v>598</v>
      </c>
      <c r="M1001" s="184" t="s">
        <v>598</v>
      </c>
      <c r="N1001" s="184" t="s">
        <v>85</v>
      </c>
      <c r="O1001" s="184" t="s">
        <v>598</v>
      </c>
      <c r="P1001" s="186" t="s">
        <v>601</v>
      </c>
      <c r="Q1001" s="184" t="s">
        <v>598</v>
      </c>
      <c r="R1001" s="184" t="s">
        <v>598</v>
      </c>
      <c r="S1001" s="127">
        <v>42909</v>
      </c>
      <c r="T1001" s="184" t="s">
        <v>10</v>
      </c>
      <c r="U1001" s="184" t="s">
        <v>598</v>
      </c>
      <c r="V1001" s="185">
        <v>2378</v>
      </c>
      <c r="W1001" s="184" t="s">
        <v>493</v>
      </c>
      <c r="X1001" s="184">
        <v>3000</v>
      </c>
      <c r="Y1001" s="185">
        <v>0</v>
      </c>
      <c r="Z1001" s="184" t="s">
        <v>598</v>
      </c>
      <c r="AA1001" s="21" t="s">
        <v>610</v>
      </c>
      <c r="AB1001" s="176" t="s">
        <v>489</v>
      </c>
      <c r="AC1001" s="172">
        <v>42996.328472222223</v>
      </c>
      <c r="AD1001" s="32" t="s">
        <v>552</v>
      </c>
    </row>
    <row r="1002" spans="1:30">
      <c r="A1002" s="184">
        <v>1001</v>
      </c>
      <c r="B1002" s="184" t="s">
        <v>2611</v>
      </c>
      <c r="C1002" s="184" t="s">
        <v>598</v>
      </c>
      <c r="D1002" s="127">
        <v>42458</v>
      </c>
      <c r="E1002" s="127" t="s">
        <v>598</v>
      </c>
      <c r="F1002" s="184" t="s">
        <v>2597</v>
      </c>
      <c r="G1002" s="185">
        <v>0</v>
      </c>
      <c r="H1002" s="184" t="s">
        <v>598</v>
      </c>
      <c r="I1002" s="184" t="s">
        <v>120</v>
      </c>
      <c r="J1002" s="184" t="s">
        <v>551</v>
      </c>
      <c r="K1002" s="184" t="s">
        <v>309</v>
      </c>
      <c r="L1002" s="184" t="s">
        <v>598</v>
      </c>
      <c r="M1002" s="184" t="s">
        <v>598</v>
      </c>
      <c r="N1002" s="184" t="s">
        <v>85</v>
      </c>
      <c r="O1002" s="184" t="s">
        <v>85</v>
      </c>
      <c r="P1002" s="186" t="s">
        <v>32</v>
      </c>
      <c r="Q1002" s="184" t="s">
        <v>598</v>
      </c>
      <c r="R1002" s="184" t="s">
        <v>598</v>
      </c>
      <c r="S1002" s="127" t="s">
        <v>598</v>
      </c>
      <c r="T1002" s="184" t="s">
        <v>598</v>
      </c>
      <c r="U1002" s="184" t="s">
        <v>598</v>
      </c>
      <c r="V1002" s="185">
        <v>0</v>
      </c>
      <c r="W1002" s="184" t="s">
        <v>485</v>
      </c>
      <c r="X1002" s="184" t="s">
        <v>598</v>
      </c>
      <c r="Y1002" s="185">
        <v>0</v>
      </c>
      <c r="Z1002" s="184" t="s">
        <v>598</v>
      </c>
      <c r="AA1002" s="21" t="s">
        <v>610</v>
      </c>
      <c r="AB1002" s="176" t="s">
        <v>489</v>
      </c>
      <c r="AC1002" s="172">
        <v>42996.328472222223</v>
      </c>
      <c r="AD1002" s="32" t="s">
        <v>552</v>
      </c>
    </row>
    <row r="1003" spans="1:30">
      <c r="A1003" s="184">
        <v>1002</v>
      </c>
      <c r="B1003" s="184" t="s">
        <v>2612</v>
      </c>
      <c r="C1003" s="184" t="s">
        <v>598</v>
      </c>
      <c r="D1003" s="127">
        <v>42458</v>
      </c>
      <c r="E1003" s="127" t="s">
        <v>598</v>
      </c>
      <c r="F1003" s="184" t="s">
        <v>2597</v>
      </c>
      <c r="G1003" s="185">
        <v>0</v>
      </c>
      <c r="H1003" s="184" t="s">
        <v>598</v>
      </c>
      <c r="I1003" s="184" t="s">
        <v>120</v>
      </c>
      <c r="J1003" s="184" t="s">
        <v>551</v>
      </c>
      <c r="K1003" s="184" t="s">
        <v>309</v>
      </c>
      <c r="L1003" s="184" t="s">
        <v>598</v>
      </c>
      <c r="M1003" s="184" t="s">
        <v>598</v>
      </c>
      <c r="N1003" s="184" t="s">
        <v>85</v>
      </c>
      <c r="O1003" s="184" t="s">
        <v>85</v>
      </c>
      <c r="P1003" s="186" t="s">
        <v>53</v>
      </c>
      <c r="Q1003" s="184" t="s">
        <v>598</v>
      </c>
      <c r="R1003" s="184" t="s">
        <v>598</v>
      </c>
      <c r="S1003" s="127" t="s">
        <v>598</v>
      </c>
      <c r="T1003" s="184" t="s">
        <v>598</v>
      </c>
      <c r="U1003" s="184" t="s">
        <v>598</v>
      </c>
      <c r="V1003" s="185">
        <v>0</v>
      </c>
      <c r="W1003" s="184" t="s">
        <v>485</v>
      </c>
      <c r="X1003" s="184" t="s">
        <v>598</v>
      </c>
      <c r="Y1003" s="185">
        <v>0</v>
      </c>
      <c r="Z1003" s="184" t="s">
        <v>598</v>
      </c>
      <c r="AA1003" s="21" t="s">
        <v>610</v>
      </c>
      <c r="AB1003" s="176" t="s">
        <v>489</v>
      </c>
      <c r="AC1003" s="172">
        <v>42996.328472222223</v>
      </c>
      <c r="AD1003" s="32" t="s">
        <v>552</v>
      </c>
    </row>
    <row r="1004" spans="1:30">
      <c r="A1004" s="184">
        <v>1003</v>
      </c>
      <c r="B1004" s="184" t="s">
        <v>2613</v>
      </c>
      <c r="C1004" s="184" t="s">
        <v>598</v>
      </c>
      <c r="D1004" s="127">
        <v>42440</v>
      </c>
      <c r="E1004" s="127" t="s">
        <v>598</v>
      </c>
      <c r="F1004" s="184" t="s">
        <v>2614</v>
      </c>
      <c r="G1004" s="185">
        <v>0</v>
      </c>
      <c r="H1004" s="184" t="s">
        <v>598</v>
      </c>
      <c r="I1004" s="184" t="s">
        <v>118</v>
      </c>
      <c r="J1004" s="184" t="s">
        <v>551</v>
      </c>
      <c r="K1004" s="184" t="s">
        <v>309</v>
      </c>
      <c r="L1004" s="184" t="s">
        <v>598</v>
      </c>
      <c r="M1004" s="184" t="s">
        <v>598</v>
      </c>
      <c r="N1004" s="184" t="s">
        <v>85</v>
      </c>
      <c r="O1004" s="184" t="s">
        <v>85</v>
      </c>
      <c r="P1004" s="186" t="s">
        <v>44</v>
      </c>
      <c r="Q1004" s="184" t="s">
        <v>598</v>
      </c>
      <c r="R1004" s="184" t="s">
        <v>598</v>
      </c>
      <c r="S1004" s="127" t="s">
        <v>598</v>
      </c>
      <c r="T1004" s="184" t="s">
        <v>598</v>
      </c>
      <c r="U1004" s="184" t="s">
        <v>598</v>
      </c>
      <c r="V1004" s="185">
        <v>0</v>
      </c>
      <c r="W1004" s="184" t="s">
        <v>485</v>
      </c>
      <c r="X1004" s="184" t="s">
        <v>598</v>
      </c>
      <c r="Y1004" s="185">
        <v>0</v>
      </c>
      <c r="Z1004" s="184" t="s">
        <v>598</v>
      </c>
      <c r="AA1004" s="21" t="s">
        <v>610</v>
      </c>
      <c r="AB1004" s="176" t="s">
        <v>489</v>
      </c>
      <c r="AC1004" s="172">
        <v>42996.328472222223</v>
      </c>
      <c r="AD1004" s="32" t="s">
        <v>552</v>
      </c>
    </row>
    <row r="1005" spans="1:30">
      <c r="A1005" s="184">
        <v>1004</v>
      </c>
      <c r="B1005" s="184" t="s">
        <v>2615</v>
      </c>
      <c r="C1005" s="184" t="s">
        <v>598</v>
      </c>
      <c r="D1005" s="127">
        <v>42436</v>
      </c>
      <c r="E1005" s="127" t="s">
        <v>598</v>
      </c>
      <c r="F1005" s="184" t="s">
        <v>2616</v>
      </c>
      <c r="G1005" s="185">
        <v>0</v>
      </c>
      <c r="H1005" s="184" t="s">
        <v>598</v>
      </c>
      <c r="I1005" s="184" t="s">
        <v>37</v>
      </c>
      <c r="J1005" s="184" t="s">
        <v>551</v>
      </c>
      <c r="K1005" s="184" t="s">
        <v>306</v>
      </c>
      <c r="L1005" s="184" t="s">
        <v>598</v>
      </c>
      <c r="M1005" s="184" t="s">
        <v>598</v>
      </c>
      <c r="N1005" s="184" t="s">
        <v>85</v>
      </c>
      <c r="O1005" s="184" t="s">
        <v>42</v>
      </c>
      <c r="P1005" s="186" t="s">
        <v>67</v>
      </c>
      <c r="Q1005" s="184" t="s">
        <v>598</v>
      </c>
      <c r="R1005" s="184" t="s">
        <v>598</v>
      </c>
      <c r="S1005" s="127" t="s">
        <v>598</v>
      </c>
      <c r="T1005" s="184" t="s">
        <v>598</v>
      </c>
      <c r="U1005" s="184" t="s">
        <v>598</v>
      </c>
      <c r="V1005" s="185">
        <v>0</v>
      </c>
      <c r="W1005" s="184" t="s">
        <v>485</v>
      </c>
      <c r="X1005" s="184" t="s">
        <v>598</v>
      </c>
      <c r="Y1005" s="185">
        <v>0</v>
      </c>
      <c r="Z1005" s="184" t="s">
        <v>598</v>
      </c>
      <c r="AA1005" s="21" t="s">
        <v>610</v>
      </c>
      <c r="AB1005" s="176" t="s">
        <v>489</v>
      </c>
      <c r="AC1005" s="172">
        <v>42996.328472222223</v>
      </c>
      <c r="AD1005" s="32" t="s">
        <v>552</v>
      </c>
    </row>
    <row r="1006" spans="1:30">
      <c r="A1006" s="184">
        <v>1005</v>
      </c>
      <c r="B1006" s="184" t="s">
        <v>2617</v>
      </c>
      <c r="C1006" s="184" t="s">
        <v>598</v>
      </c>
      <c r="D1006" s="127">
        <v>42404</v>
      </c>
      <c r="E1006" s="127" t="s">
        <v>598</v>
      </c>
      <c r="F1006" s="184" t="s">
        <v>2618</v>
      </c>
      <c r="G1006" s="185">
        <v>0</v>
      </c>
      <c r="H1006" s="184" t="s">
        <v>598</v>
      </c>
      <c r="I1006" s="184" t="s">
        <v>598</v>
      </c>
      <c r="J1006" s="184" t="s">
        <v>551</v>
      </c>
      <c r="K1006" s="184" t="s">
        <v>311</v>
      </c>
      <c r="L1006" s="184" t="s">
        <v>598</v>
      </c>
      <c r="M1006" s="184" t="s">
        <v>598</v>
      </c>
      <c r="N1006" s="184" t="s">
        <v>85</v>
      </c>
      <c r="O1006" s="184" t="s">
        <v>598</v>
      </c>
      <c r="P1006" s="186" t="s">
        <v>602</v>
      </c>
      <c r="Q1006" s="184" t="s">
        <v>598</v>
      </c>
      <c r="R1006" s="184" t="s">
        <v>598</v>
      </c>
      <c r="S1006" s="127" t="s">
        <v>598</v>
      </c>
      <c r="T1006" s="184" t="s">
        <v>598</v>
      </c>
      <c r="U1006" s="184" t="s">
        <v>598</v>
      </c>
      <c r="V1006" s="185">
        <v>0</v>
      </c>
      <c r="W1006" s="184" t="s">
        <v>485</v>
      </c>
      <c r="X1006" s="184" t="s">
        <v>598</v>
      </c>
      <c r="Y1006" s="185">
        <v>0</v>
      </c>
      <c r="Z1006" s="184" t="s">
        <v>598</v>
      </c>
      <c r="AA1006" s="21" t="s">
        <v>610</v>
      </c>
      <c r="AB1006" s="176" t="s">
        <v>489</v>
      </c>
      <c r="AC1006" s="172">
        <v>42996.328472222223</v>
      </c>
      <c r="AD1006" s="32" t="s">
        <v>552</v>
      </c>
    </row>
    <row r="1007" spans="1:30">
      <c r="A1007" s="184">
        <v>1006</v>
      </c>
      <c r="B1007" s="184" t="s">
        <v>2619</v>
      </c>
      <c r="C1007" s="184" t="s">
        <v>598</v>
      </c>
      <c r="D1007" s="127">
        <v>42397</v>
      </c>
      <c r="E1007" s="127" t="s">
        <v>598</v>
      </c>
      <c r="F1007" s="184" t="s">
        <v>2620</v>
      </c>
      <c r="G1007" s="185">
        <v>0</v>
      </c>
      <c r="H1007" s="184" t="s">
        <v>598</v>
      </c>
      <c r="I1007" s="184" t="s">
        <v>598</v>
      </c>
      <c r="J1007" s="184" t="s">
        <v>551</v>
      </c>
      <c r="K1007" s="184" t="s">
        <v>308</v>
      </c>
      <c r="L1007" s="184" t="s">
        <v>598</v>
      </c>
      <c r="M1007" s="184" t="s">
        <v>598</v>
      </c>
      <c r="N1007" s="184" t="s">
        <v>85</v>
      </c>
      <c r="O1007" s="184" t="s">
        <v>598</v>
      </c>
      <c r="P1007" s="186" t="s">
        <v>603</v>
      </c>
      <c r="Q1007" s="184" t="s">
        <v>598</v>
      </c>
      <c r="R1007" s="184" t="s">
        <v>598</v>
      </c>
      <c r="S1007" s="127" t="s">
        <v>598</v>
      </c>
      <c r="T1007" s="184" t="s">
        <v>598</v>
      </c>
      <c r="U1007" s="184" t="s">
        <v>598</v>
      </c>
      <c r="V1007" s="185">
        <v>0</v>
      </c>
      <c r="W1007" s="184" t="s">
        <v>485</v>
      </c>
      <c r="X1007" s="184" t="s">
        <v>598</v>
      </c>
      <c r="Y1007" s="185">
        <v>0</v>
      </c>
      <c r="Z1007" s="184" t="s">
        <v>598</v>
      </c>
      <c r="AA1007" s="21" t="s">
        <v>610</v>
      </c>
      <c r="AB1007" s="176" t="s">
        <v>489</v>
      </c>
      <c r="AC1007" s="172">
        <v>42996.328472222223</v>
      </c>
      <c r="AD1007" s="32" t="s">
        <v>552</v>
      </c>
    </row>
    <row r="1008" spans="1:30">
      <c r="A1008" s="184">
        <v>1007</v>
      </c>
      <c r="B1008" s="184" t="s">
        <v>2621</v>
      </c>
      <c r="C1008" s="184" t="s">
        <v>598</v>
      </c>
      <c r="D1008" s="127">
        <v>42458</v>
      </c>
      <c r="E1008" s="127" t="s">
        <v>598</v>
      </c>
      <c r="F1008" s="184" t="s">
        <v>2622</v>
      </c>
      <c r="G1008" s="185">
        <v>0</v>
      </c>
      <c r="H1008" s="184" t="s">
        <v>598</v>
      </c>
      <c r="I1008" s="184" t="s">
        <v>134</v>
      </c>
      <c r="J1008" s="184" t="s">
        <v>77</v>
      </c>
      <c r="K1008" s="184" t="s">
        <v>164</v>
      </c>
      <c r="L1008" s="184" t="s">
        <v>598</v>
      </c>
      <c r="M1008" s="184" t="s">
        <v>598</v>
      </c>
      <c r="N1008" s="184" t="s">
        <v>85</v>
      </c>
      <c r="O1008" s="184" t="s">
        <v>598</v>
      </c>
      <c r="P1008" s="186" t="s">
        <v>604</v>
      </c>
      <c r="Q1008" s="184" t="s">
        <v>598</v>
      </c>
      <c r="R1008" s="184" t="s">
        <v>598</v>
      </c>
      <c r="S1008" s="127" t="s">
        <v>598</v>
      </c>
      <c r="T1008" s="184" t="s">
        <v>598</v>
      </c>
      <c r="U1008" s="184" t="s">
        <v>598</v>
      </c>
      <c r="V1008" s="185">
        <v>0</v>
      </c>
      <c r="W1008" s="184" t="s">
        <v>549</v>
      </c>
      <c r="X1008" s="184" t="s">
        <v>598</v>
      </c>
      <c r="Y1008" s="185">
        <v>0</v>
      </c>
      <c r="Z1008" s="184" t="s">
        <v>493</v>
      </c>
      <c r="AA1008" s="21" t="s">
        <v>822</v>
      </c>
      <c r="AB1008" s="176" t="s">
        <v>489</v>
      </c>
      <c r="AC1008" s="172">
        <v>42996.328472222223</v>
      </c>
      <c r="AD1008" s="32" t="s">
        <v>552</v>
      </c>
    </row>
    <row r="1009" spans="1:30">
      <c r="A1009" s="184">
        <v>1008</v>
      </c>
      <c r="B1009" s="184" t="s">
        <v>2623</v>
      </c>
      <c r="C1009" s="184" t="s">
        <v>598</v>
      </c>
      <c r="D1009" s="127">
        <v>42851</v>
      </c>
      <c r="E1009" s="127" t="s">
        <v>598</v>
      </c>
      <c r="F1009" s="184" t="s">
        <v>2624</v>
      </c>
      <c r="G1009" s="185">
        <v>0</v>
      </c>
      <c r="H1009" s="184" t="s">
        <v>598</v>
      </c>
      <c r="I1009" s="184" t="s">
        <v>598</v>
      </c>
      <c r="J1009" s="184" t="s">
        <v>77</v>
      </c>
      <c r="K1009" s="184" t="s">
        <v>183</v>
      </c>
      <c r="L1009" s="184" t="s">
        <v>598</v>
      </c>
      <c r="M1009" s="184" t="s">
        <v>598</v>
      </c>
      <c r="N1009" s="184" t="s">
        <v>85</v>
      </c>
      <c r="O1009" s="184" t="s">
        <v>85</v>
      </c>
      <c r="P1009" s="186" t="s">
        <v>605</v>
      </c>
      <c r="Q1009" s="184" t="s">
        <v>598</v>
      </c>
      <c r="R1009" s="184" t="s">
        <v>598</v>
      </c>
      <c r="S1009" s="127" t="s">
        <v>598</v>
      </c>
      <c r="T1009" s="184" t="s">
        <v>598</v>
      </c>
      <c r="U1009" s="184" t="s">
        <v>598</v>
      </c>
      <c r="V1009" s="185">
        <v>0</v>
      </c>
      <c r="W1009" s="184" t="s">
        <v>485</v>
      </c>
      <c r="X1009" s="184">
        <v>10000</v>
      </c>
      <c r="Y1009" s="185">
        <v>0</v>
      </c>
      <c r="Z1009" s="184" t="s">
        <v>598</v>
      </c>
      <c r="AA1009" s="21" t="s">
        <v>610</v>
      </c>
      <c r="AB1009" s="176" t="s">
        <v>489</v>
      </c>
      <c r="AC1009" s="172">
        <v>42996.328472222223</v>
      </c>
      <c r="AD1009" s="32" t="s">
        <v>552</v>
      </c>
    </row>
    <row r="1010" spans="1:30">
      <c r="A1010" s="184">
        <v>1009</v>
      </c>
      <c r="B1010" s="184" t="s">
        <v>2625</v>
      </c>
      <c r="C1010" s="184" t="s">
        <v>598</v>
      </c>
      <c r="D1010" s="127">
        <v>42396</v>
      </c>
      <c r="E1010" s="127" t="s">
        <v>598</v>
      </c>
      <c r="F1010" s="184" t="s">
        <v>2626</v>
      </c>
      <c r="G1010" s="185">
        <v>0</v>
      </c>
      <c r="H1010" s="184" t="s">
        <v>598</v>
      </c>
      <c r="I1010" s="184" t="s">
        <v>598</v>
      </c>
      <c r="J1010" s="184" t="s">
        <v>551</v>
      </c>
      <c r="K1010" s="184" t="s">
        <v>406</v>
      </c>
      <c r="L1010" s="184" t="s">
        <v>598</v>
      </c>
      <c r="M1010" s="184" t="s">
        <v>598</v>
      </c>
      <c r="N1010" s="184" t="s">
        <v>85</v>
      </c>
      <c r="O1010" s="184" t="s">
        <v>598</v>
      </c>
      <c r="P1010" s="186"/>
      <c r="Q1010" s="184" t="s">
        <v>598</v>
      </c>
      <c r="R1010" s="184" t="s">
        <v>598</v>
      </c>
      <c r="S1010" s="127" t="s">
        <v>598</v>
      </c>
      <c r="T1010" s="184" t="s">
        <v>598</v>
      </c>
      <c r="U1010" s="184" t="s">
        <v>598</v>
      </c>
      <c r="V1010" s="185">
        <v>0</v>
      </c>
      <c r="W1010" s="184" t="s">
        <v>485</v>
      </c>
      <c r="X1010" s="184" t="s">
        <v>598</v>
      </c>
      <c r="Y1010" s="185">
        <v>0</v>
      </c>
      <c r="Z1010" s="184" t="s">
        <v>598</v>
      </c>
      <c r="AA1010" s="21" t="s">
        <v>610</v>
      </c>
      <c r="AB1010" s="176" t="s">
        <v>489</v>
      </c>
      <c r="AC1010" s="172">
        <v>42996.328472222223</v>
      </c>
      <c r="AD1010" s="32" t="s">
        <v>552</v>
      </c>
    </row>
    <row r="1011" spans="1:30">
      <c r="A1011" s="184">
        <v>1010</v>
      </c>
      <c r="B1011" s="184" t="s">
        <v>2627</v>
      </c>
      <c r="C1011" s="184" t="s">
        <v>598</v>
      </c>
      <c r="D1011" s="127">
        <v>42396</v>
      </c>
      <c r="E1011" s="127" t="s">
        <v>598</v>
      </c>
      <c r="F1011" s="184" t="s">
        <v>2626</v>
      </c>
      <c r="G1011" s="185">
        <v>0</v>
      </c>
      <c r="H1011" s="184" t="s">
        <v>598</v>
      </c>
      <c r="I1011" s="184" t="s">
        <v>598</v>
      </c>
      <c r="J1011" s="184" t="s">
        <v>551</v>
      </c>
      <c r="K1011" s="184" t="s">
        <v>406</v>
      </c>
      <c r="L1011" s="184" t="s">
        <v>598</v>
      </c>
      <c r="M1011" s="184" t="s">
        <v>598</v>
      </c>
      <c r="N1011" s="184" t="s">
        <v>85</v>
      </c>
      <c r="O1011" s="184" t="s">
        <v>598</v>
      </c>
      <c r="P1011" s="186"/>
      <c r="Q1011" s="184" t="s">
        <v>598</v>
      </c>
      <c r="R1011" s="184" t="s">
        <v>598</v>
      </c>
      <c r="S1011" s="127" t="s">
        <v>598</v>
      </c>
      <c r="T1011" s="184" t="s">
        <v>598</v>
      </c>
      <c r="U1011" s="184" t="s">
        <v>598</v>
      </c>
      <c r="V1011" s="185">
        <v>0</v>
      </c>
      <c r="W1011" s="184" t="s">
        <v>485</v>
      </c>
      <c r="X1011" s="184" t="s">
        <v>598</v>
      </c>
      <c r="Y1011" s="185">
        <v>0</v>
      </c>
      <c r="Z1011" s="184" t="s">
        <v>598</v>
      </c>
      <c r="AA1011" s="21" t="s">
        <v>610</v>
      </c>
      <c r="AB1011" s="176" t="s">
        <v>489</v>
      </c>
      <c r="AC1011" s="172">
        <v>42996.328472222223</v>
      </c>
      <c r="AD1011" s="32" t="s">
        <v>552</v>
      </c>
    </row>
    <row r="1012" spans="1:30">
      <c r="A1012" s="184">
        <v>1011</v>
      </c>
      <c r="B1012" s="184" t="s">
        <v>2628</v>
      </c>
      <c r="C1012" s="184" t="s">
        <v>598</v>
      </c>
      <c r="D1012" s="127">
        <v>42396</v>
      </c>
      <c r="E1012" s="127" t="s">
        <v>598</v>
      </c>
      <c r="F1012" s="184" t="s">
        <v>2626</v>
      </c>
      <c r="G1012" s="185">
        <v>0</v>
      </c>
      <c r="H1012" s="184" t="s">
        <v>598</v>
      </c>
      <c r="I1012" s="184" t="s">
        <v>598</v>
      </c>
      <c r="J1012" s="184" t="s">
        <v>551</v>
      </c>
      <c r="K1012" s="184" t="s">
        <v>406</v>
      </c>
      <c r="L1012" s="184" t="s">
        <v>598</v>
      </c>
      <c r="M1012" s="184" t="s">
        <v>598</v>
      </c>
      <c r="N1012" s="184" t="s">
        <v>85</v>
      </c>
      <c r="O1012" s="184" t="s">
        <v>598</v>
      </c>
      <c r="P1012" s="186" t="s">
        <v>73</v>
      </c>
      <c r="Q1012" s="184" t="s">
        <v>598</v>
      </c>
      <c r="R1012" s="184" t="s">
        <v>598</v>
      </c>
      <c r="S1012" s="127" t="s">
        <v>598</v>
      </c>
      <c r="T1012" s="184" t="s">
        <v>598</v>
      </c>
      <c r="U1012" s="184" t="s">
        <v>598</v>
      </c>
      <c r="V1012" s="185">
        <v>0</v>
      </c>
      <c r="W1012" s="184" t="s">
        <v>485</v>
      </c>
      <c r="X1012" s="184" t="s">
        <v>598</v>
      </c>
      <c r="Y1012" s="185">
        <v>0</v>
      </c>
      <c r="Z1012" s="184" t="s">
        <v>598</v>
      </c>
      <c r="AA1012" s="21" t="s">
        <v>610</v>
      </c>
      <c r="AB1012" s="176" t="s">
        <v>489</v>
      </c>
      <c r="AC1012" s="172">
        <v>42996.328472222223</v>
      </c>
      <c r="AD1012" s="32" t="s">
        <v>552</v>
      </c>
    </row>
    <row r="1013" spans="1:30">
      <c r="A1013" s="184">
        <v>1012</v>
      </c>
      <c r="B1013" s="184" t="s">
        <v>2629</v>
      </c>
      <c r="C1013" s="184" t="s">
        <v>598</v>
      </c>
      <c r="D1013" s="127">
        <v>42396</v>
      </c>
      <c r="E1013" s="127" t="s">
        <v>598</v>
      </c>
      <c r="F1013" s="184" t="s">
        <v>2626</v>
      </c>
      <c r="G1013" s="185">
        <v>0</v>
      </c>
      <c r="H1013" s="184" t="s">
        <v>598</v>
      </c>
      <c r="I1013" s="184" t="s">
        <v>598</v>
      </c>
      <c r="J1013" s="184" t="s">
        <v>551</v>
      </c>
      <c r="K1013" s="184" t="s">
        <v>406</v>
      </c>
      <c r="L1013" s="184" t="s">
        <v>598</v>
      </c>
      <c r="M1013" s="184" t="s">
        <v>598</v>
      </c>
      <c r="N1013" s="184" t="s">
        <v>85</v>
      </c>
      <c r="O1013" s="184" t="s">
        <v>598</v>
      </c>
      <c r="P1013" s="186" t="s">
        <v>601</v>
      </c>
      <c r="Q1013" s="184" t="s">
        <v>598</v>
      </c>
      <c r="R1013" s="184" t="s">
        <v>598</v>
      </c>
      <c r="S1013" s="127" t="s">
        <v>598</v>
      </c>
      <c r="T1013" s="184" t="s">
        <v>598</v>
      </c>
      <c r="U1013" s="184" t="s">
        <v>598</v>
      </c>
      <c r="V1013" s="185">
        <v>0</v>
      </c>
      <c r="W1013" s="184" t="s">
        <v>485</v>
      </c>
      <c r="X1013" s="184" t="s">
        <v>598</v>
      </c>
      <c r="Y1013" s="185">
        <v>0</v>
      </c>
      <c r="Z1013" s="184" t="s">
        <v>598</v>
      </c>
      <c r="AA1013" s="21" t="s">
        <v>610</v>
      </c>
      <c r="AB1013" s="176" t="s">
        <v>489</v>
      </c>
      <c r="AC1013" s="172">
        <v>42996.328472222223</v>
      </c>
      <c r="AD1013" s="32" t="s">
        <v>552</v>
      </c>
    </row>
    <row r="1014" spans="1:30">
      <c r="A1014" s="184">
        <v>1013</v>
      </c>
      <c r="B1014" s="184" t="s">
        <v>2630</v>
      </c>
      <c r="C1014" s="184" t="s">
        <v>598</v>
      </c>
      <c r="D1014" s="127">
        <v>42345</v>
      </c>
      <c r="E1014" s="127" t="s">
        <v>598</v>
      </c>
      <c r="F1014" s="184" t="s">
        <v>2631</v>
      </c>
      <c r="G1014" s="185">
        <v>0</v>
      </c>
      <c r="H1014" s="184" t="s">
        <v>598</v>
      </c>
      <c r="I1014" s="184" t="s">
        <v>598</v>
      </c>
      <c r="J1014" s="184" t="s">
        <v>551</v>
      </c>
      <c r="K1014" s="184" t="s">
        <v>302</v>
      </c>
      <c r="L1014" s="184" t="s">
        <v>598</v>
      </c>
      <c r="M1014" s="184" t="s">
        <v>598</v>
      </c>
      <c r="N1014" s="184" t="s">
        <v>85</v>
      </c>
      <c r="O1014" s="184" t="s">
        <v>598</v>
      </c>
      <c r="P1014" s="186" t="s">
        <v>32</v>
      </c>
      <c r="Q1014" s="184" t="s">
        <v>598</v>
      </c>
      <c r="R1014" s="184" t="s">
        <v>598</v>
      </c>
      <c r="S1014" s="127" t="s">
        <v>598</v>
      </c>
      <c r="T1014" s="184" t="s">
        <v>598</v>
      </c>
      <c r="U1014" s="184" t="s">
        <v>598</v>
      </c>
      <c r="V1014" s="185">
        <v>0</v>
      </c>
      <c r="W1014" s="184" t="s">
        <v>485</v>
      </c>
      <c r="X1014" s="184" t="s">
        <v>598</v>
      </c>
      <c r="Y1014" s="185">
        <v>0</v>
      </c>
      <c r="Z1014" s="184" t="s">
        <v>598</v>
      </c>
      <c r="AA1014" s="21" t="s">
        <v>610</v>
      </c>
      <c r="AB1014" s="176" t="s">
        <v>489</v>
      </c>
      <c r="AC1014" s="172">
        <v>42996.328472222223</v>
      </c>
      <c r="AD1014" s="32" t="s">
        <v>552</v>
      </c>
    </row>
    <row r="1015" spans="1:30">
      <c r="A1015" s="184">
        <v>1014</v>
      </c>
      <c r="B1015" s="184" t="s">
        <v>2632</v>
      </c>
      <c r="C1015" s="184" t="s">
        <v>598</v>
      </c>
      <c r="D1015" s="127">
        <v>42335</v>
      </c>
      <c r="E1015" s="127" t="s">
        <v>598</v>
      </c>
      <c r="F1015" s="184" t="s">
        <v>2633</v>
      </c>
      <c r="G1015" s="185">
        <v>0</v>
      </c>
      <c r="H1015" s="184" t="s">
        <v>598</v>
      </c>
      <c r="I1015" s="184" t="s">
        <v>598</v>
      </c>
      <c r="J1015" s="184" t="s">
        <v>551</v>
      </c>
      <c r="K1015" s="184" t="s">
        <v>308</v>
      </c>
      <c r="L1015" s="184" t="s">
        <v>598</v>
      </c>
      <c r="M1015" s="184" t="s">
        <v>598</v>
      </c>
      <c r="N1015" s="184" t="s">
        <v>85</v>
      </c>
      <c r="O1015" s="184" t="s">
        <v>598</v>
      </c>
      <c r="P1015" s="186" t="s">
        <v>53</v>
      </c>
      <c r="Q1015" s="184" t="s">
        <v>598</v>
      </c>
      <c r="R1015" s="184" t="s">
        <v>598</v>
      </c>
      <c r="S1015" s="127" t="s">
        <v>598</v>
      </c>
      <c r="T1015" s="184" t="s">
        <v>598</v>
      </c>
      <c r="U1015" s="184" t="s">
        <v>598</v>
      </c>
      <c r="V1015" s="185">
        <v>0</v>
      </c>
      <c r="W1015" s="184" t="s">
        <v>485</v>
      </c>
      <c r="X1015" s="184" t="s">
        <v>598</v>
      </c>
      <c r="Y1015" s="185">
        <v>0</v>
      </c>
      <c r="Z1015" s="184" t="s">
        <v>598</v>
      </c>
      <c r="AA1015" s="21" t="s">
        <v>610</v>
      </c>
      <c r="AB1015" s="176" t="s">
        <v>489</v>
      </c>
      <c r="AC1015" s="172">
        <v>42996.328472222223</v>
      </c>
      <c r="AD1015" s="32" t="s">
        <v>552</v>
      </c>
    </row>
    <row r="1016" spans="1:30">
      <c r="A1016" s="184">
        <v>1015</v>
      </c>
      <c r="B1016" s="184" t="s">
        <v>2634</v>
      </c>
      <c r="C1016" s="184" t="s">
        <v>598</v>
      </c>
      <c r="D1016" s="127">
        <v>39711</v>
      </c>
      <c r="E1016" s="127" t="s">
        <v>598</v>
      </c>
      <c r="F1016" s="184" t="s">
        <v>2635</v>
      </c>
      <c r="G1016" s="185">
        <v>0</v>
      </c>
      <c r="H1016" s="184" t="s">
        <v>598</v>
      </c>
      <c r="I1016" s="184" t="s">
        <v>58</v>
      </c>
      <c r="J1016" s="184" t="s">
        <v>551</v>
      </c>
      <c r="K1016" s="184" t="s">
        <v>306</v>
      </c>
      <c r="L1016" s="184" t="s">
        <v>598</v>
      </c>
      <c r="M1016" s="184" t="s">
        <v>598</v>
      </c>
      <c r="N1016" s="184" t="s">
        <v>85</v>
      </c>
      <c r="O1016" s="184" t="s">
        <v>73</v>
      </c>
      <c r="P1016" s="186" t="s">
        <v>44</v>
      </c>
      <c r="Q1016" s="184" t="s">
        <v>598</v>
      </c>
      <c r="R1016" s="184" t="s">
        <v>598</v>
      </c>
      <c r="S1016" s="127" t="s">
        <v>598</v>
      </c>
      <c r="T1016" s="184" t="s">
        <v>598</v>
      </c>
      <c r="U1016" s="184" t="s">
        <v>598</v>
      </c>
      <c r="V1016" s="185">
        <v>0</v>
      </c>
      <c r="W1016" s="184" t="s">
        <v>485</v>
      </c>
      <c r="X1016" s="184" t="s">
        <v>598</v>
      </c>
      <c r="Y1016" s="185">
        <v>0</v>
      </c>
      <c r="Z1016" s="184" t="s">
        <v>598</v>
      </c>
      <c r="AA1016" s="21" t="s">
        <v>610</v>
      </c>
      <c r="AB1016" s="176" t="s">
        <v>489</v>
      </c>
      <c r="AC1016" s="172">
        <v>42996.328472222223</v>
      </c>
      <c r="AD1016" s="32" t="s">
        <v>552</v>
      </c>
    </row>
    <row r="1017" spans="1:30">
      <c r="A1017" s="184">
        <v>1016</v>
      </c>
      <c r="B1017" s="184" t="s">
        <v>2636</v>
      </c>
      <c r="C1017" s="184" t="s">
        <v>598</v>
      </c>
      <c r="D1017" s="127">
        <v>42871</v>
      </c>
      <c r="E1017" s="127" t="s">
        <v>598</v>
      </c>
      <c r="F1017" s="184" t="s">
        <v>2637</v>
      </c>
      <c r="G1017" s="185">
        <v>8185000</v>
      </c>
      <c r="H1017" s="184" t="s">
        <v>598</v>
      </c>
      <c r="I1017" s="184" t="s">
        <v>598</v>
      </c>
      <c r="J1017" s="184" t="s">
        <v>70</v>
      </c>
      <c r="K1017" s="184" t="s">
        <v>272</v>
      </c>
      <c r="L1017" s="184" t="s">
        <v>598</v>
      </c>
      <c r="M1017" s="184" t="s">
        <v>598</v>
      </c>
      <c r="N1017" s="184" t="s">
        <v>85</v>
      </c>
      <c r="O1017" s="184" t="s">
        <v>98</v>
      </c>
      <c r="P1017" s="186" t="s">
        <v>67</v>
      </c>
      <c r="Q1017" s="184" t="s">
        <v>598</v>
      </c>
      <c r="R1017" s="184" t="s">
        <v>598</v>
      </c>
      <c r="S1017" s="127">
        <v>42903</v>
      </c>
      <c r="T1017" s="184" t="s">
        <v>10</v>
      </c>
      <c r="U1017" s="184" t="s">
        <v>598</v>
      </c>
      <c r="V1017" s="185">
        <v>8325</v>
      </c>
      <c r="W1017" s="184" t="s">
        <v>493</v>
      </c>
      <c r="X1017" s="184" t="s">
        <v>598</v>
      </c>
      <c r="Y1017" s="185">
        <v>0</v>
      </c>
      <c r="Z1017" s="184" t="s">
        <v>598</v>
      </c>
      <c r="AA1017" s="21" t="s">
        <v>610</v>
      </c>
      <c r="AB1017" s="176" t="s">
        <v>489</v>
      </c>
      <c r="AC1017" s="172">
        <v>42996.328472222223</v>
      </c>
      <c r="AD1017" s="32" t="s">
        <v>552</v>
      </c>
    </row>
    <row r="1018" spans="1:30">
      <c r="A1018" s="184">
        <v>1017</v>
      </c>
      <c r="B1018" s="184" t="s">
        <v>2638</v>
      </c>
      <c r="C1018" s="184" t="s">
        <v>598</v>
      </c>
      <c r="D1018" s="127">
        <v>42871</v>
      </c>
      <c r="E1018" s="127" t="s">
        <v>598</v>
      </c>
      <c r="F1018" s="184" t="s">
        <v>2639</v>
      </c>
      <c r="G1018" s="185">
        <v>9027000</v>
      </c>
      <c r="H1018" s="184" t="s">
        <v>598</v>
      </c>
      <c r="I1018" s="184" t="s">
        <v>598</v>
      </c>
      <c r="J1018" s="184" t="s">
        <v>70</v>
      </c>
      <c r="K1018" s="184" t="s">
        <v>272</v>
      </c>
      <c r="L1018" s="184" t="s">
        <v>598</v>
      </c>
      <c r="M1018" s="184" t="s">
        <v>598</v>
      </c>
      <c r="N1018" s="184" t="s">
        <v>85</v>
      </c>
      <c r="O1018" s="184" t="s">
        <v>98</v>
      </c>
      <c r="P1018" s="186" t="s">
        <v>602</v>
      </c>
      <c r="Q1018" s="184" t="s">
        <v>598</v>
      </c>
      <c r="R1018" s="184" t="s">
        <v>598</v>
      </c>
      <c r="S1018" s="127">
        <v>42903</v>
      </c>
      <c r="T1018" s="184" t="s">
        <v>10</v>
      </c>
      <c r="U1018" s="184" t="s">
        <v>598</v>
      </c>
      <c r="V1018" s="185">
        <v>8775</v>
      </c>
      <c r="W1018" s="184" t="s">
        <v>493</v>
      </c>
      <c r="X1018" s="184" t="s">
        <v>598</v>
      </c>
      <c r="Y1018" s="185">
        <v>0</v>
      </c>
      <c r="Z1018" s="184" t="s">
        <v>598</v>
      </c>
      <c r="AA1018" s="21" t="s">
        <v>610</v>
      </c>
      <c r="AB1018" s="176" t="s">
        <v>489</v>
      </c>
      <c r="AC1018" s="172">
        <v>42996.328472222223</v>
      </c>
      <c r="AD1018" s="32" t="s">
        <v>552</v>
      </c>
    </row>
    <row r="1019" spans="1:30">
      <c r="A1019" s="184">
        <v>1018</v>
      </c>
      <c r="B1019" s="184" t="s">
        <v>2640</v>
      </c>
      <c r="C1019" s="184" t="s">
        <v>598</v>
      </c>
      <c r="D1019" s="127">
        <v>42871</v>
      </c>
      <c r="E1019" s="127" t="s">
        <v>598</v>
      </c>
      <c r="F1019" s="184" t="s">
        <v>2641</v>
      </c>
      <c r="G1019" s="185">
        <v>0</v>
      </c>
      <c r="H1019" s="184" t="s">
        <v>598</v>
      </c>
      <c r="I1019" s="184" t="s">
        <v>135</v>
      </c>
      <c r="J1019" s="184" t="s">
        <v>70</v>
      </c>
      <c r="K1019" s="184" t="s">
        <v>272</v>
      </c>
      <c r="L1019" s="184" t="s">
        <v>598</v>
      </c>
      <c r="M1019" s="184" t="s">
        <v>598</v>
      </c>
      <c r="N1019" s="184" t="s">
        <v>85</v>
      </c>
      <c r="O1019" s="184" t="s">
        <v>85</v>
      </c>
      <c r="P1019" s="186" t="s">
        <v>603</v>
      </c>
      <c r="Q1019" s="184" t="s">
        <v>598</v>
      </c>
      <c r="R1019" s="184" t="s">
        <v>598</v>
      </c>
      <c r="S1019" s="127" t="s">
        <v>598</v>
      </c>
      <c r="T1019" s="184" t="s">
        <v>598</v>
      </c>
      <c r="U1019" s="184" t="s">
        <v>598</v>
      </c>
      <c r="V1019" s="185">
        <v>0</v>
      </c>
      <c r="W1019" s="184" t="s">
        <v>485</v>
      </c>
      <c r="X1019" s="184" t="s">
        <v>598</v>
      </c>
      <c r="Y1019" s="185">
        <v>0</v>
      </c>
      <c r="Z1019" s="184" t="s">
        <v>598</v>
      </c>
      <c r="AA1019" s="21" t="s">
        <v>610</v>
      </c>
      <c r="AB1019" s="176" t="s">
        <v>489</v>
      </c>
      <c r="AC1019" s="172">
        <v>42996.328472222223</v>
      </c>
      <c r="AD1019" s="32" t="s">
        <v>552</v>
      </c>
    </row>
    <row r="1020" spans="1:30">
      <c r="A1020" s="184">
        <v>1019</v>
      </c>
      <c r="B1020" s="184" t="s">
        <v>2642</v>
      </c>
      <c r="C1020" s="184" t="s">
        <v>598</v>
      </c>
      <c r="D1020" s="127">
        <v>42871</v>
      </c>
      <c r="E1020" s="127" t="s">
        <v>598</v>
      </c>
      <c r="F1020" s="184" t="s">
        <v>2643</v>
      </c>
      <c r="G1020" s="185">
        <v>9831000</v>
      </c>
      <c r="H1020" s="184" t="s">
        <v>598</v>
      </c>
      <c r="I1020" s="184" t="s">
        <v>598</v>
      </c>
      <c r="J1020" s="184" t="s">
        <v>70</v>
      </c>
      <c r="K1020" s="184" t="s">
        <v>272</v>
      </c>
      <c r="L1020" s="184" t="s">
        <v>598</v>
      </c>
      <c r="M1020" s="184" t="s">
        <v>598</v>
      </c>
      <c r="N1020" s="184" t="s">
        <v>85</v>
      </c>
      <c r="O1020" s="184" t="s">
        <v>73</v>
      </c>
      <c r="P1020" s="186" t="s">
        <v>604</v>
      </c>
      <c r="Q1020" s="184" t="s">
        <v>598</v>
      </c>
      <c r="R1020" s="184" t="s">
        <v>598</v>
      </c>
      <c r="S1020" s="127">
        <v>42903</v>
      </c>
      <c r="T1020" s="184" t="s">
        <v>10</v>
      </c>
      <c r="U1020" s="184" t="s">
        <v>598</v>
      </c>
      <c r="V1020" s="185">
        <v>8775</v>
      </c>
      <c r="W1020" s="184" t="s">
        <v>493</v>
      </c>
      <c r="X1020" s="184" t="s">
        <v>598</v>
      </c>
      <c r="Y1020" s="185">
        <v>0</v>
      </c>
      <c r="Z1020" s="184" t="s">
        <v>598</v>
      </c>
      <c r="AA1020" s="21" t="s">
        <v>610</v>
      </c>
      <c r="AB1020" s="176" t="s">
        <v>489</v>
      </c>
      <c r="AC1020" s="172">
        <v>42996.328472222223</v>
      </c>
      <c r="AD1020" s="32" t="s">
        <v>552</v>
      </c>
    </row>
    <row r="1021" spans="1:30">
      <c r="A1021" s="184">
        <v>1020</v>
      </c>
      <c r="B1021" s="184" t="s">
        <v>2644</v>
      </c>
      <c r="C1021" s="184" t="s">
        <v>598</v>
      </c>
      <c r="D1021" s="127">
        <v>42871</v>
      </c>
      <c r="E1021" s="127" t="s">
        <v>598</v>
      </c>
      <c r="F1021" s="184" t="s">
        <v>2645</v>
      </c>
      <c r="G1021" s="185">
        <v>9831000</v>
      </c>
      <c r="H1021" s="184" t="s">
        <v>598</v>
      </c>
      <c r="I1021" s="184" t="s">
        <v>598</v>
      </c>
      <c r="J1021" s="184" t="s">
        <v>70</v>
      </c>
      <c r="K1021" s="184" t="s">
        <v>272</v>
      </c>
      <c r="L1021" s="184" t="s">
        <v>598</v>
      </c>
      <c r="M1021" s="184" t="s">
        <v>598</v>
      </c>
      <c r="N1021" s="184" t="s">
        <v>85</v>
      </c>
      <c r="O1021" s="184" t="s">
        <v>73</v>
      </c>
      <c r="P1021" s="186" t="s">
        <v>605</v>
      </c>
      <c r="Q1021" s="184" t="s">
        <v>598</v>
      </c>
      <c r="R1021" s="184" t="s">
        <v>598</v>
      </c>
      <c r="S1021" s="127">
        <v>42903</v>
      </c>
      <c r="T1021" s="184" t="s">
        <v>10</v>
      </c>
      <c r="U1021" s="184" t="s">
        <v>598</v>
      </c>
      <c r="V1021" s="185">
        <v>8775</v>
      </c>
      <c r="W1021" s="184" t="s">
        <v>493</v>
      </c>
      <c r="X1021" s="184" t="s">
        <v>598</v>
      </c>
      <c r="Y1021" s="185">
        <v>0</v>
      </c>
      <c r="Z1021" s="184" t="s">
        <v>598</v>
      </c>
      <c r="AA1021" s="21" t="s">
        <v>610</v>
      </c>
      <c r="AB1021" s="176" t="s">
        <v>489</v>
      </c>
      <c r="AC1021" s="172">
        <v>42996.328472222223</v>
      </c>
      <c r="AD1021" s="32" t="s">
        <v>552</v>
      </c>
    </row>
    <row r="1022" spans="1:30">
      <c r="A1022" s="184">
        <v>1021</v>
      </c>
      <c r="B1022" s="184" t="s">
        <v>2646</v>
      </c>
      <c r="C1022" s="184" t="s">
        <v>598</v>
      </c>
      <c r="D1022" s="127">
        <v>42873</v>
      </c>
      <c r="E1022" s="127" t="s">
        <v>598</v>
      </c>
      <c r="F1022" s="184" t="s">
        <v>2647</v>
      </c>
      <c r="G1022" s="185">
        <v>12356000</v>
      </c>
      <c r="H1022" s="184" t="s">
        <v>598</v>
      </c>
      <c r="I1022" s="184" t="s">
        <v>58</v>
      </c>
      <c r="J1022" s="184" t="s">
        <v>70</v>
      </c>
      <c r="K1022" s="184" t="s">
        <v>272</v>
      </c>
      <c r="L1022" s="184" t="s">
        <v>598</v>
      </c>
      <c r="M1022" s="184" t="s">
        <v>598</v>
      </c>
      <c r="N1022" s="184" t="s">
        <v>85</v>
      </c>
      <c r="O1022" s="184" t="s">
        <v>85</v>
      </c>
      <c r="P1022" s="186"/>
      <c r="Q1022" s="184" t="s">
        <v>598</v>
      </c>
      <c r="R1022" s="184" t="s">
        <v>598</v>
      </c>
      <c r="S1022" s="127" t="s">
        <v>598</v>
      </c>
      <c r="T1022" s="184" t="s">
        <v>598</v>
      </c>
      <c r="U1022" s="184" t="s">
        <v>598</v>
      </c>
      <c r="V1022" s="185">
        <v>0</v>
      </c>
      <c r="W1022" s="184" t="s">
        <v>485</v>
      </c>
      <c r="X1022" s="184" t="s">
        <v>598</v>
      </c>
      <c r="Y1022" s="185">
        <v>0</v>
      </c>
      <c r="Z1022" s="184" t="s">
        <v>598</v>
      </c>
      <c r="AA1022" s="21" t="s">
        <v>610</v>
      </c>
      <c r="AB1022" s="176" t="s">
        <v>489</v>
      </c>
      <c r="AC1022" s="172">
        <v>42996.328472222223</v>
      </c>
      <c r="AD1022" s="32" t="s">
        <v>552</v>
      </c>
    </row>
    <row r="1023" spans="1:30">
      <c r="A1023" s="184">
        <v>1022</v>
      </c>
      <c r="B1023" s="184" t="s">
        <v>2648</v>
      </c>
      <c r="C1023" s="184" t="s">
        <v>598</v>
      </c>
      <c r="D1023" s="127">
        <v>42858</v>
      </c>
      <c r="E1023" s="127" t="s">
        <v>598</v>
      </c>
      <c r="F1023" s="184" t="s">
        <v>2649</v>
      </c>
      <c r="G1023" s="185">
        <v>1618000</v>
      </c>
      <c r="H1023" s="184" t="s">
        <v>598</v>
      </c>
      <c r="I1023" s="184" t="s">
        <v>132</v>
      </c>
      <c r="J1023" s="184" t="s">
        <v>77</v>
      </c>
      <c r="K1023" s="184" t="s">
        <v>183</v>
      </c>
      <c r="L1023" s="184" t="s">
        <v>598</v>
      </c>
      <c r="M1023" s="184" t="s">
        <v>598</v>
      </c>
      <c r="N1023" s="184" t="s">
        <v>85</v>
      </c>
      <c r="O1023" s="184" t="s">
        <v>98</v>
      </c>
      <c r="P1023" s="186"/>
      <c r="Q1023" s="184" t="s">
        <v>598</v>
      </c>
      <c r="R1023" s="184" t="s">
        <v>598</v>
      </c>
      <c r="S1023" s="127">
        <v>42909</v>
      </c>
      <c r="T1023" s="184" t="s">
        <v>10</v>
      </c>
      <c r="U1023" s="184" t="s">
        <v>598</v>
      </c>
      <c r="V1023" s="185">
        <v>3000</v>
      </c>
      <c r="W1023" s="184" t="s">
        <v>493</v>
      </c>
      <c r="X1023" s="184">
        <v>3000</v>
      </c>
      <c r="Y1023" s="185">
        <v>0</v>
      </c>
      <c r="Z1023" s="184" t="s">
        <v>598</v>
      </c>
      <c r="AA1023" s="21" t="s">
        <v>610</v>
      </c>
      <c r="AB1023" s="176" t="s">
        <v>489</v>
      </c>
      <c r="AC1023" s="172">
        <v>42996.328472222223</v>
      </c>
      <c r="AD1023" s="32" t="s">
        <v>552</v>
      </c>
    </row>
    <row r="1024" spans="1:30">
      <c r="A1024" s="184">
        <v>1023</v>
      </c>
      <c r="B1024" s="184" t="s">
        <v>2650</v>
      </c>
      <c r="C1024" s="184" t="s">
        <v>598</v>
      </c>
      <c r="D1024" s="127">
        <v>42858</v>
      </c>
      <c r="E1024" s="127" t="s">
        <v>598</v>
      </c>
      <c r="F1024" s="184" t="s">
        <v>1192</v>
      </c>
      <c r="G1024" s="185">
        <v>4080000</v>
      </c>
      <c r="H1024" s="184" t="s">
        <v>598</v>
      </c>
      <c r="I1024" s="184" t="s">
        <v>132</v>
      </c>
      <c r="J1024" s="184" t="s">
        <v>77</v>
      </c>
      <c r="K1024" s="184" t="s">
        <v>183</v>
      </c>
      <c r="L1024" s="184" t="s">
        <v>598</v>
      </c>
      <c r="M1024" s="184" t="s">
        <v>598</v>
      </c>
      <c r="N1024" s="184" t="s">
        <v>85</v>
      </c>
      <c r="O1024" s="184" t="s">
        <v>98</v>
      </c>
      <c r="P1024" s="186" t="s">
        <v>73</v>
      </c>
      <c r="Q1024" s="184" t="s">
        <v>598</v>
      </c>
      <c r="R1024" s="184" t="s">
        <v>598</v>
      </c>
      <c r="S1024" s="127">
        <v>42909</v>
      </c>
      <c r="T1024" s="184" t="s">
        <v>10</v>
      </c>
      <c r="U1024" s="184" t="s">
        <v>598</v>
      </c>
      <c r="V1024" s="185">
        <v>3000</v>
      </c>
      <c r="W1024" s="184" t="s">
        <v>493</v>
      </c>
      <c r="X1024" s="184">
        <v>3000</v>
      </c>
      <c r="Y1024" s="185">
        <v>0</v>
      </c>
      <c r="Z1024" s="184" t="s">
        <v>598</v>
      </c>
      <c r="AA1024" s="21" t="s">
        <v>610</v>
      </c>
      <c r="AB1024" s="176" t="s">
        <v>489</v>
      </c>
      <c r="AC1024" s="172">
        <v>42996.328472222223</v>
      </c>
      <c r="AD1024" s="32" t="s">
        <v>552</v>
      </c>
    </row>
    <row r="1025" spans="1:30">
      <c r="A1025" s="184">
        <v>1024</v>
      </c>
      <c r="B1025" s="184" t="s">
        <v>2651</v>
      </c>
      <c r="C1025" s="184" t="s">
        <v>598</v>
      </c>
      <c r="D1025" s="127">
        <v>42863</v>
      </c>
      <c r="E1025" s="127" t="s">
        <v>598</v>
      </c>
      <c r="F1025" s="184" t="s">
        <v>2652</v>
      </c>
      <c r="G1025" s="185">
        <v>0</v>
      </c>
      <c r="H1025" s="184" t="s">
        <v>598</v>
      </c>
      <c r="I1025" s="184" t="s">
        <v>127</v>
      </c>
      <c r="J1025" s="184" t="s">
        <v>77</v>
      </c>
      <c r="K1025" s="184" t="s">
        <v>183</v>
      </c>
      <c r="L1025" s="184" t="s">
        <v>598</v>
      </c>
      <c r="M1025" s="184" t="s">
        <v>598</v>
      </c>
      <c r="N1025" s="184" t="s">
        <v>85</v>
      </c>
      <c r="O1025" s="184" t="s">
        <v>598</v>
      </c>
      <c r="P1025" s="186" t="s">
        <v>601</v>
      </c>
      <c r="Q1025" s="184" t="s">
        <v>598</v>
      </c>
      <c r="R1025" s="184" t="s">
        <v>598</v>
      </c>
      <c r="S1025" s="127" t="s">
        <v>598</v>
      </c>
      <c r="T1025" s="184" t="s">
        <v>598</v>
      </c>
      <c r="U1025" s="184" t="s">
        <v>598</v>
      </c>
      <c r="V1025" s="185">
        <v>0</v>
      </c>
      <c r="W1025" s="184" t="s">
        <v>485</v>
      </c>
      <c r="X1025" s="184">
        <v>1000</v>
      </c>
      <c r="Y1025" s="185">
        <v>0</v>
      </c>
      <c r="Z1025" s="184" t="s">
        <v>598</v>
      </c>
      <c r="AA1025" s="21" t="s">
        <v>610</v>
      </c>
      <c r="AB1025" s="176" t="s">
        <v>489</v>
      </c>
      <c r="AC1025" s="172">
        <v>42996.328472222223</v>
      </c>
      <c r="AD1025" s="32" t="s">
        <v>552</v>
      </c>
    </row>
    <row r="1026" spans="1:30">
      <c r="A1026" s="184">
        <v>1025</v>
      </c>
      <c r="B1026" s="184" t="s">
        <v>2653</v>
      </c>
      <c r="C1026" s="184" t="s">
        <v>598</v>
      </c>
      <c r="D1026" s="127">
        <v>42868</v>
      </c>
      <c r="E1026" s="127" t="s">
        <v>598</v>
      </c>
      <c r="F1026" s="184" t="s">
        <v>2654</v>
      </c>
      <c r="G1026" s="185">
        <v>17765000</v>
      </c>
      <c r="H1026" s="184" t="s">
        <v>598</v>
      </c>
      <c r="I1026" s="184" t="s">
        <v>83</v>
      </c>
      <c r="J1026" s="184" t="s">
        <v>77</v>
      </c>
      <c r="K1026" s="184" t="s">
        <v>183</v>
      </c>
      <c r="L1026" s="184" t="s">
        <v>598</v>
      </c>
      <c r="M1026" s="184" t="s">
        <v>598</v>
      </c>
      <c r="N1026" s="184" t="s">
        <v>85</v>
      </c>
      <c r="O1026" s="184" t="s">
        <v>85</v>
      </c>
      <c r="P1026" s="186" t="s">
        <v>32</v>
      </c>
      <c r="Q1026" s="184" t="s">
        <v>598</v>
      </c>
      <c r="R1026" s="184" t="s">
        <v>598</v>
      </c>
      <c r="S1026" s="127">
        <v>42909</v>
      </c>
      <c r="T1026" s="184" t="s">
        <v>10</v>
      </c>
      <c r="U1026" s="184" t="s">
        <v>598</v>
      </c>
      <c r="V1026" s="185">
        <v>1000</v>
      </c>
      <c r="W1026" s="184" t="s">
        <v>493</v>
      </c>
      <c r="X1026" s="184">
        <v>1000</v>
      </c>
      <c r="Y1026" s="185">
        <v>0</v>
      </c>
      <c r="Z1026" s="184" t="s">
        <v>598</v>
      </c>
      <c r="AA1026" s="21" t="s">
        <v>610</v>
      </c>
      <c r="AB1026" s="176" t="s">
        <v>489</v>
      </c>
      <c r="AC1026" s="172">
        <v>42996.328472222223</v>
      </c>
      <c r="AD1026" s="32" t="s">
        <v>552</v>
      </c>
    </row>
    <row r="1027" spans="1:30">
      <c r="A1027" s="184">
        <v>1026</v>
      </c>
      <c r="B1027" s="184" t="s">
        <v>2655</v>
      </c>
      <c r="C1027" s="184" t="s">
        <v>598</v>
      </c>
      <c r="D1027" s="127">
        <v>42871</v>
      </c>
      <c r="E1027" s="127" t="s">
        <v>598</v>
      </c>
      <c r="F1027" s="184" t="s">
        <v>2656</v>
      </c>
      <c r="G1027" s="185">
        <v>3400000</v>
      </c>
      <c r="H1027" s="184" t="s">
        <v>598</v>
      </c>
      <c r="I1027" s="184" t="s">
        <v>598</v>
      </c>
      <c r="J1027" s="184" t="s">
        <v>77</v>
      </c>
      <c r="K1027" s="184" t="s">
        <v>183</v>
      </c>
      <c r="L1027" s="184" t="s">
        <v>598</v>
      </c>
      <c r="M1027" s="184" t="s">
        <v>598</v>
      </c>
      <c r="N1027" s="184" t="s">
        <v>85</v>
      </c>
      <c r="O1027" s="184" t="s">
        <v>85</v>
      </c>
      <c r="P1027" s="186" t="s">
        <v>53</v>
      </c>
      <c r="Q1027" s="184" t="s">
        <v>598</v>
      </c>
      <c r="R1027" s="184" t="s">
        <v>598</v>
      </c>
      <c r="S1027" s="127">
        <v>42887</v>
      </c>
      <c r="T1027" s="184" t="s">
        <v>10</v>
      </c>
      <c r="U1027" s="184" t="s">
        <v>598</v>
      </c>
      <c r="V1027" s="185">
        <v>2625</v>
      </c>
      <c r="W1027" s="184" t="s">
        <v>493</v>
      </c>
      <c r="X1027" s="184" t="s">
        <v>598</v>
      </c>
      <c r="Y1027" s="185">
        <v>0</v>
      </c>
      <c r="Z1027" s="184" t="s">
        <v>598</v>
      </c>
      <c r="AA1027" s="21" t="s">
        <v>610</v>
      </c>
      <c r="AB1027" s="176" t="s">
        <v>489</v>
      </c>
      <c r="AC1027" s="172">
        <v>42996.328472222223</v>
      </c>
      <c r="AD1027" s="32" t="s">
        <v>552</v>
      </c>
    </row>
    <row r="1028" spans="1:30">
      <c r="A1028" s="184">
        <v>1027</v>
      </c>
      <c r="B1028" s="184" t="s">
        <v>2657</v>
      </c>
      <c r="C1028" s="184" t="s">
        <v>598</v>
      </c>
      <c r="D1028" s="127">
        <v>42871</v>
      </c>
      <c r="E1028" s="127" t="s">
        <v>598</v>
      </c>
      <c r="F1028" s="184" t="s">
        <v>2658</v>
      </c>
      <c r="G1028" s="185">
        <v>4721000</v>
      </c>
      <c r="H1028" s="184" t="s">
        <v>598</v>
      </c>
      <c r="I1028" s="184" t="s">
        <v>118</v>
      </c>
      <c r="J1028" s="184" t="s">
        <v>77</v>
      </c>
      <c r="K1028" s="184" t="s">
        <v>183</v>
      </c>
      <c r="L1028" s="184" t="s">
        <v>598</v>
      </c>
      <c r="M1028" s="184" t="s">
        <v>598</v>
      </c>
      <c r="N1028" s="184" t="s">
        <v>85</v>
      </c>
      <c r="O1028" s="184" t="s">
        <v>98</v>
      </c>
      <c r="P1028" s="186" t="s">
        <v>44</v>
      </c>
      <c r="Q1028" s="184" t="s">
        <v>598</v>
      </c>
      <c r="R1028" s="184" t="s">
        <v>598</v>
      </c>
      <c r="S1028" s="127" t="s">
        <v>598</v>
      </c>
      <c r="T1028" s="184" t="s">
        <v>598</v>
      </c>
      <c r="U1028" s="184" t="s">
        <v>598</v>
      </c>
      <c r="V1028" s="185">
        <v>0</v>
      </c>
      <c r="W1028" s="184" t="s">
        <v>485</v>
      </c>
      <c r="X1028" s="184">
        <v>3125</v>
      </c>
      <c r="Y1028" s="185">
        <v>0</v>
      </c>
      <c r="Z1028" s="184" t="s">
        <v>598</v>
      </c>
      <c r="AA1028" s="21" t="s">
        <v>610</v>
      </c>
      <c r="AB1028" s="176" t="s">
        <v>489</v>
      </c>
      <c r="AC1028" s="172">
        <v>42996.328472222223</v>
      </c>
      <c r="AD1028" s="32" t="s">
        <v>552</v>
      </c>
    </row>
    <row r="1029" spans="1:30">
      <c r="A1029" s="184">
        <v>1028</v>
      </c>
      <c r="B1029" s="184" t="s">
        <v>2659</v>
      </c>
      <c r="C1029" s="184" t="s">
        <v>598</v>
      </c>
      <c r="D1029" s="127">
        <v>42872</v>
      </c>
      <c r="E1029" s="127" t="s">
        <v>598</v>
      </c>
      <c r="F1029" s="184" t="s">
        <v>2660</v>
      </c>
      <c r="G1029" s="185">
        <v>69620000</v>
      </c>
      <c r="H1029" s="184" t="s">
        <v>598</v>
      </c>
      <c r="I1029" s="184" t="s">
        <v>115</v>
      </c>
      <c r="J1029" s="184" t="s">
        <v>77</v>
      </c>
      <c r="K1029" s="184" t="s">
        <v>183</v>
      </c>
      <c r="L1029" s="184" t="s">
        <v>598</v>
      </c>
      <c r="M1029" s="184" t="s">
        <v>598</v>
      </c>
      <c r="N1029" s="184" t="s">
        <v>85</v>
      </c>
      <c r="O1029" s="184" t="s">
        <v>98</v>
      </c>
      <c r="P1029" s="186" t="s">
        <v>67</v>
      </c>
      <c r="Q1029" s="184" t="s">
        <v>598</v>
      </c>
      <c r="R1029" s="184" t="s">
        <v>598</v>
      </c>
      <c r="S1029" s="127" t="s">
        <v>598</v>
      </c>
      <c r="T1029" s="184" t="s">
        <v>598</v>
      </c>
      <c r="U1029" s="184" t="s">
        <v>598</v>
      </c>
      <c r="V1029" s="185">
        <v>0</v>
      </c>
      <c r="W1029" s="184" t="s">
        <v>485</v>
      </c>
      <c r="X1029" s="184">
        <v>10000</v>
      </c>
      <c r="Y1029" s="185">
        <v>0</v>
      </c>
      <c r="Z1029" s="184" t="s">
        <v>598</v>
      </c>
      <c r="AA1029" s="21" t="s">
        <v>610</v>
      </c>
      <c r="AB1029" s="176" t="s">
        <v>489</v>
      </c>
      <c r="AC1029" s="172">
        <v>42996.328472222223</v>
      </c>
      <c r="AD1029" s="32" t="s">
        <v>552</v>
      </c>
    </row>
    <row r="1030" spans="1:30">
      <c r="A1030" s="184">
        <v>1029</v>
      </c>
      <c r="B1030" s="184" t="s">
        <v>2661</v>
      </c>
      <c r="C1030" s="184" t="s">
        <v>598</v>
      </c>
      <c r="D1030" s="127">
        <v>42872</v>
      </c>
      <c r="E1030" s="127" t="s">
        <v>598</v>
      </c>
      <c r="F1030" s="184" t="s">
        <v>2662</v>
      </c>
      <c r="G1030" s="185">
        <v>27055000</v>
      </c>
      <c r="H1030" s="184" t="s">
        <v>598</v>
      </c>
      <c r="I1030" s="184" t="s">
        <v>134</v>
      </c>
      <c r="J1030" s="184" t="s">
        <v>77</v>
      </c>
      <c r="K1030" s="184" t="s">
        <v>162</v>
      </c>
      <c r="L1030" s="184" t="s">
        <v>598</v>
      </c>
      <c r="M1030" s="184" t="s">
        <v>598</v>
      </c>
      <c r="N1030" s="184" t="s">
        <v>85</v>
      </c>
      <c r="O1030" s="184" t="s">
        <v>98</v>
      </c>
      <c r="P1030" s="186" t="s">
        <v>602</v>
      </c>
      <c r="Q1030" s="184" t="s">
        <v>598</v>
      </c>
      <c r="R1030" s="184" t="s">
        <v>598</v>
      </c>
      <c r="S1030" s="127" t="s">
        <v>598</v>
      </c>
      <c r="T1030" s="184" t="s">
        <v>598</v>
      </c>
      <c r="U1030" s="184" t="s">
        <v>598</v>
      </c>
      <c r="V1030" s="185">
        <v>0</v>
      </c>
      <c r="W1030" s="184" t="s">
        <v>485</v>
      </c>
      <c r="X1030" s="184" t="s">
        <v>598</v>
      </c>
      <c r="Y1030" s="185">
        <v>0</v>
      </c>
      <c r="Z1030" s="184" t="s">
        <v>598</v>
      </c>
      <c r="AA1030" s="21" t="s">
        <v>610</v>
      </c>
      <c r="AB1030" s="176" t="s">
        <v>489</v>
      </c>
      <c r="AC1030" s="172">
        <v>42996.328472222223</v>
      </c>
      <c r="AD1030" s="32" t="s">
        <v>552</v>
      </c>
    </row>
    <row r="1031" spans="1:30">
      <c r="A1031" s="184">
        <v>1030</v>
      </c>
      <c r="B1031" s="184" t="s">
        <v>2663</v>
      </c>
      <c r="C1031" s="184" t="s">
        <v>598</v>
      </c>
      <c r="D1031" s="127">
        <v>42874</v>
      </c>
      <c r="E1031" s="127" t="s">
        <v>598</v>
      </c>
      <c r="F1031" s="184" t="s">
        <v>2664</v>
      </c>
      <c r="G1031" s="185">
        <v>4152000</v>
      </c>
      <c r="H1031" s="184" t="s">
        <v>598</v>
      </c>
      <c r="I1031" s="184" t="s">
        <v>134</v>
      </c>
      <c r="J1031" s="184" t="s">
        <v>77</v>
      </c>
      <c r="K1031" s="184" t="s">
        <v>183</v>
      </c>
      <c r="L1031" s="184" t="s">
        <v>598</v>
      </c>
      <c r="M1031" s="184" t="s">
        <v>598</v>
      </c>
      <c r="N1031" s="184" t="s">
        <v>85</v>
      </c>
      <c r="O1031" s="184" t="s">
        <v>85</v>
      </c>
      <c r="P1031" s="186" t="s">
        <v>603</v>
      </c>
      <c r="Q1031" s="184" t="s">
        <v>598</v>
      </c>
      <c r="R1031" s="184" t="s">
        <v>598</v>
      </c>
      <c r="S1031" s="127">
        <v>42909</v>
      </c>
      <c r="T1031" s="184" t="s">
        <v>10</v>
      </c>
      <c r="U1031" s="184" t="s">
        <v>598</v>
      </c>
      <c r="V1031" s="185">
        <v>2875</v>
      </c>
      <c r="W1031" s="184" t="s">
        <v>493</v>
      </c>
      <c r="X1031" s="184">
        <v>2875</v>
      </c>
      <c r="Y1031" s="185">
        <v>0</v>
      </c>
      <c r="Z1031" s="184" t="s">
        <v>598</v>
      </c>
      <c r="AA1031" s="21" t="s">
        <v>610</v>
      </c>
      <c r="AB1031" s="176" t="s">
        <v>489</v>
      </c>
      <c r="AC1031" s="172">
        <v>42996.328472222223</v>
      </c>
      <c r="AD1031" s="32" t="s">
        <v>552</v>
      </c>
    </row>
    <row r="1032" spans="1:30">
      <c r="A1032" s="184">
        <v>1031</v>
      </c>
      <c r="B1032" s="184" t="s">
        <v>2665</v>
      </c>
      <c r="C1032" s="184" t="s">
        <v>598</v>
      </c>
      <c r="D1032" s="127">
        <v>42879</v>
      </c>
      <c r="E1032" s="127" t="s">
        <v>598</v>
      </c>
      <c r="F1032" s="184" t="s">
        <v>2666</v>
      </c>
      <c r="G1032" s="185">
        <v>1417000</v>
      </c>
      <c r="H1032" s="184" t="s">
        <v>598</v>
      </c>
      <c r="I1032" s="184" t="s">
        <v>598</v>
      </c>
      <c r="J1032" s="184" t="s">
        <v>77</v>
      </c>
      <c r="K1032" s="184" t="s">
        <v>407</v>
      </c>
      <c r="L1032" s="184" t="s">
        <v>598</v>
      </c>
      <c r="M1032" s="184" t="s">
        <v>598</v>
      </c>
      <c r="N1032" s="184" t="s">
        <v>85</v>
      </c>
      <c r="O1032" s="184" t="s">
        <v>85</v>
      </c>
      <c r="P1032" s="186" t="s">
        <v>604</v>
      </c>
      <c r="Q1032" s="184" t="s">
        <v>598</v>
      </c>
      <c r="R1032" s="184" t="s">
        <v>598</v>
      </c>
      <c r="S1032" s="127" t="s">
        <v>598</v>
      </c>
      <c r="T1032" s="184" t="s">
        <v>598</v>
      </c>
      <c r="U1032" s="184" t="s">
        <v>598</v>
      </c>
      <c r="V1032" s="185">
        <v>0</v>
      </c>
      <c r="W1032" s="184" t="s">
        <v>485</v>
      </c>
      <c r="X1032" s="184" t="s">
        <v>598</v>
      </c>
      <c r="Y1032" s="185">
        <v>0</v>
      </c>
      <c r="Z1032" s="184" t="s">
        <v>598</v>
      </c>
      <c r="AA1032" s="21" t="s">
        <v>610</v>
      </c>
      <c r="AB1032" s="176" t="s">
        <v>489</v>
      </c>
      <c r="AC1032" s="172">
        <v>42996.328472222223</v>
      </c>
      <c r="AD1032" s="32" t="s">
        <v>552</v>
      </c>
    </row>
    <row r="1033" spans="1:30">
      <c r="A1033" s="184">
        <v>1032</v>
      </c>
      <c r="B1033" s="184" t="s">
        <v>2667</v>
      </c>
      <c r="C1033" s="184" t="s">
        <v>598</v>
      </c>
      <c r="D1033" s="127">
        <v>42262</v>
      </c>
      <c r="E1033" s="127" t="s">
        <v>598</v>
      </c>
      <c r="F1033" s="184" t="s">
        <v>2668</v>
      </c>
      <c r="G1033" s="185">
        <v>0</v>
      </c>
      <c r="H1033" s="184" t="s">
        <v>598</v>
      </c>
      <c r="I1033" s="184" t="s">
        <v>598</v>
      </c>
      <c r="J1033" s="184" t="s">
        <v>121</v>
      </c>
      <c r="K1033" s="184" t="s">
        <v>408</v>
      </c>
      <c r="L1033" s="184" t="s">
        <v>598</v>
      </c>
      <c r="M1033" s="184" t="s">
        <v>598</v>
      </c>
      <c r="N1033" s="184" t="s">
        <v>63</v>
      </c>
      <c r="O1033" s="184" t="s">
        <v>30</v>
      </c>
      <c r="P1033" s="186" t="s">
        <v>605</v>
      </c>
      <c r="Q1033" s="184" t="s">
        <v>598</v>
      </c>
      <c r="R1033" s="184" t="s">
        <v>598</v>
      </c>
      <c r="S1033" s="127" t="s">
        <v>598</v>
      </c>
      <c r="T1033" s="184" t="s">
        <v>598</v>
      </c>
      <c r="U1033" s="184" t="s">
        <v>598</v>
      </c>
      <c r="V1033" s="185">
        <v>0</v>
      </c>
      <c r="W1033" s="184" t="s">
        <v>485</v>
      </c>
      <c r="X1033" s="184">
        <v>3029</v>
      </c>
      <c r="Y1033" s="185">
        <v>3400</v>
      </c>
      <c r="Z1033" s="184" t="s">
        <v>598</v>
      </c>
      <c r="AA1033" s="21" t="s">
        <v>610</v>
      </c>
      <c r="AB1033" s="176" t="s">
        <v>489</v>
      </c>
      <c r="AC1033" s="172">
        <v>42996.328472222223</v>
      </c>
      <c r="AD1033" s="32" t="s">
        <v>552</v>
      </c>
    </row>
    <row r="1034" spans="1:30">
      <c r="A1034" s="184">
        <v>1033</v>
      </c>
      <c r="B1034" s="184" t="s">
        <v>2669</v>
      </c>
      <c r="C1034" s="184" t="s">
        <v>598</v>
      </c>
      <c r="D1034" s="127">
        <v>42266</v>
      </c>
      <c r="E1034" s="127" t="s">
        <v>598</v>
      </c>
      <c r="F1034" s="184" t="s">
        <v>2670</v>
      </c>
      <c r="G1034" s="185">
        <v>0</v>
      </c>
      <c r="H1034" s="184" t="s">
        <v>598</v>
      </c>
      <c r="I1034" s="184" t="s">
        <v>598</v>
      </c>
      <c r="J1034" s="184" t="s">
        <v>121</v>
      </c>
      <c r="K1034" s="184" t="s">
        <v>280</v>
      </c>
      <c r="L1034" s="184" t="s">
        <v>598</v>
      </c>
      <c r="M1034" s="184" t="s">
        <v>598</v>
      </c>
      <c r="N1034" s="184" t="s">
        <v>63</v>
      </c>
      <c r="O1034" s="184" t="s">
        <v>1680</v>
      </c>
      <c r="P1034" s="186"/>
      <c r="Q1034" s="184" t="s">
        <v>598</v>
      </c>
      <c r="R1034" s="184" t="s">
        <v>598</v>
      </c>
      <c r="S1034" s="127" t="s">
        <v>598</v>
      </c>
      <c r="T1034" s="184" t="s">
        <v>598</v>
      </c>
      <c r="U1034" s="184" t="s">
        <v>598</v>
      </c>
      <c r="V1034" s="185">
        <v>0</v>
      </c>
      <c r="W1034" s="184" t="s">
        <v>485</v>
      </c>
      <c r="X1034" s="184">
        <v>3053</v>
      </c>
      <c r="Y1034" s="185">
        <v>3400</v>
      </c>
      <c r="Z1034" s="184" t="s">
        <v>598</v>
      </c>
      <c r="AA1034" s="21" t="s">
        <v>610</v>
      </c>
      <c r="AB1034" s="176" t="s">
        <v>489</v>
      </c>
      <c r="AC1034" s="172">
        <v>42996.328472222223</v>
      </c>
      <c r="AD1034" s="32" t="s">
        <v>552</v>
      </c>
    </row>
    <row r="1035" spans="1:30">
      <c r="A1035" s="184">
        <v>1034</v>
      </c>
      <c r="B1035" s="184" t="s">
        <v>2671</v>
      </c>
      <c r="C1035" s="184" t="s">
        <v>598</v>
      </c>
      <c r="D1035" s="127">
        <v>42272</v>
      </c>
      <c r="E1035" s="127" t="s">
        <v>598</v>
      </c>
      <c r="F1035" s="184" t="s">
        <v>2672</v>
      </c>
      <c r="G1035" s="185">
        <v>0</v>
      </c>
      <c r="H1035" s="184" t="s">
        <v>598</v>
      </c>
      <c r="I1035" s="184" t="s">
        <v>598</v>
      </c>
      <c r="J1035" s="184" t="s">
        <v>121</v>
      </c>
      <c r="K1035" s="184" t="s">
        <v>408</v>
      </c>
      <c r="L1035" s="184" t="s">
        <v>598</v>
      </c>
      <c r="M1035" s="184" t="s">
        <v>598</v>
      </c>
      <c r="N1035" s="184" t="s">
        <v>63</v>
      </c>
      <c r="O1035" s="184" t="s">
        <v>1680</v>
      </c>
      <c r="P1035" s="186"/>
      <c r="Q1035" s="184" t="s">
        <v>598</v>
      </c>
      <c r="R1035" s="184" t="s">
        <v>598</v>
      </c>
      <c r="S1035" s="127" t="s">
        <v>598</v>
      </c>
      <c r="T1035" s="184" t="s">
        <v>598</v>
      </c>
      <c r="U1035" s="184" t="s">
        <v>598</v>
      </c>
      <c r="V1035" s="185">
        <v>0</v>
      </c>
      <c r="W1035" s="184" t="s">
        <v>485</v>
      </c>
      <c r="X1035" s="184">
        <v>3050</v>
      </c>
      <c r="Y1035" s="185">
        <v>1700</v>
      </c>
      <c r="Z1035" s="184" t="s">
        <v>598</v>
      </c>
      <c r="AA1035" s="21" t="s">
        <v>610</v>
      </c>
      <c r="AB1035" s="176" t="s">
        <v>489</v>
      </c>
      <c r="AC1035" s="172">
        <v>42996.328472222223</v>
      </c>
      <c r="AD1035" s="32" t="s">
        <v>552</v>
      </c>
    </row>
    <row r="1036" spans="1:30">
      <c r="A1036" s="184">
        <v>1035</v>
      </c>
      <c r="B1036" s="184" t="s">
        <v>2673</v>
      </c>
      <c r="C1036" s="184" t="s">
        <v>598</v>
      </c>
      <c r="D1036" s="127">
        <v>42292</v>
      </c>
      <c r="E1036" s="127" t="s">
        <v>598</v>
      </c>
      <c r="F1036" s="184" t="s">
        <v>2674</v>
      </c>
      <c r="G1036" s="185">
        <v>0</v>
      </c>
      <c r="H1036" s="184" t="s">
        <v>598</v>
      </c>
      <c r="I1036" s="184" t="s">
        <v>598</v>
      </c>
      <c r="J1036" s="184" t="s">
        <v>121</v>
      </c>
      <c r="K1036" s="184" t="s">
        <v>409</v>
      </c>
      <c r="L1036" s="184" t="s">
        <v>598</v>
      </c>
      <c r="M1036" s="184" t="s">
        <v>598</v>
      </c>
      <c r="N1036" s="184" t="s">
        <v>63</v>
      </c>
      <c r="O1036" s="184" t="s">
        <v>63</v>
      </c>
      <c r="P1036" s="186" t="s">
        <v>73</v>
      </c>
      <c r="Q1036" s="184" t="s">
        <v>598</v>
      </c>
      <c r="R1036" s="184" t="s">
        <v>598</v>
      </c>
      <c r="S1036" s="127" t="s">
        <v>598</v>
      </c>
      <c r="T1036" s="184" t="s">
        <v>598</v>
      </c>
      <c r="U1036" s="184" t="s">
        <v>598</v>
      </c>
      <c r="V1036" s="185">
        <v>0</v>
      </c>
      <c r="W1036" s="184" t="s">
        <v>485</v>
      </c>
      <c r="X1036" s="184">
        <v>3096</v>
      </c>
      <c r="Y1036" s="185">
        <v>3000</v>
      </c>
      <c r="Z1036" s="184" t="s">
        <v>598</v>
      </c>
      <c r="AA1036" s="21" t="s">
        <v>610</v>
      </c>
      <c r="AB1036" s="176" t="s">
        <v>489</v>
      </c>
      <c r="AC1036" s="172">
        <v>42996.328472222223</v>
      </c>
      <c r="AD1036" s="32" t="s">
        <v>552</v>
      </c>
    </row>
    <row r="1037" spans="1:30">
      <c r="A1037" s="184">
        <v>1036</v>
      </c>
      <c r="B1037" s="184" t="s">
        <v>2675</v>
      </c>
      <c r="C1037" s="184" t="s">
        <v>598</v>
      </c>
      <c r="D1037" s="127">
        <v>42292</v>
      </c>
      <c r="E1037" s="127" t="s">
        <v>598</v>
      </c>
      <c r="F1037" s="184" t="s">
        <v>2676</v>
      </c>
      <c r="G1037" s="185">
        <v>0</v>
      </c>
      <c r="H1037" s="184" t="s">
        <v>598</v>
      </c>
      <c r="I1037" s="184" t="s">
        <v>598</v>
      </c>
      <c r="J1037" s="184" t="s">
        <v>121</v>
      </c>
      <c r="K1037" s="184" t="s">
        <v>267</v>
      </c>
      <c r="L1037" s="184" t="s">
        <v>598</v>
      </c>
      <c r="M1037" s="184" t="s">
        <v>598</v>
      </c>
      <c r="N1037" s="184" t="s">
        <v>63</v>
      </c>
      <c r="O1037" s="184" t="s">
        <v>30</v>
      </c>
      <c r="P1037" s="186" t="s">
        <v>601</v>
      </c>
      <c r="Q1037" s="184" t="s">
        <v>598</v>
      </c>
      <c r="R1037" s="184" t="s">
        <v>598</v>
      </c>
      <c r="S1037" s="127" t="s">
        <v>598</v>
      </c>
      <c r="T1037" s="184" t="s">
        <v>598</v>
      </c>
      <c r="U1037" s="184" t="s">
        <v>598</v>
      </c>
      <c r="V1037" s="185">
        <v>0</v>
      </c>
      <c r="W1037" s="184" t="s">
        <v>485</v>
      </c>
      <c r="X1037" s="184">
        <v>2604</v>
      </c>
      <c r="Y1037" s="185">
        <v>2500</v>
      </c>
      <c r="Z1037" s="184" t="s">
        <v>598</v>
      </c>
      <c r="AA1037" s="21" t="s">
        <v>610</v>
      </c>
      <c r="AB1037" s="176" t="s">
        <v>489</v>
      </c>
      <c r="AC1037" s="172">
        <v>42996.328472222223</v>
      </c>
      <c r="AD1037" s="32" t="s">
        <v>552</v>
      </c>
    </row>
    <row r="1038" spans="1:30">
      <c r="A1038" s="184">
        <v>1037</v>
      </c>
      <c r="B1038" s="184" t="s">
        <v>2677</v>
      </c>
      <c r="C1038" s="184" t="s">
        <v>598</v>
      </c>
      <c r="D1038" s="127">
        <v>42293</v>
      </c>
      <c r="E1038" s="127" t="s">
        <v>598</v>
      </c>
      <c r="F1038" s="184" t="s">
        <v>2678</v>
      </c>
      <c r="G1038" s="185">
        <v>0</v>
      </c>
      <c r="H1038" s="184" t="s">
        <v>598</v>
      </c>
      <c r="I1038" s="184" t="s">
        <v>598</v>
      </c>
      <c r="J1038" s="184" t="s">
        <v>121</v>
      </c>
      <c r="K1038" s="184" t="s">
        <v>2679</v>
      </c>
      <c r="L1038" s="184" t="s">
        <v>598</v>
      </c>
      <c r="M1038" s="184" t="s">
        <v>598</v>
      </c>
      <c r="N1038" s="184" t="s">
        <v>63</v>
      </c>
      <c r="O1038" s="184" t="s">
        <v>63</v>
      </c>
      <c r="P1038" s="186" t="s">
        <v>601</v>
      </c>
      <c r="Q1038" s="184" t="s">
        <v>598</v>
      </c>
      <c r="R1038" s="184" t="s">
        <v>598</v>
      </c>
      <c r="S1038" s="127" t="s">
        <v>598</v>
      </c>
      <c r="T1038" s="184" t="s">
        <v>598</v>
      </c>
      <c r="U1038" s="184" t="s">
        <v>598</v>
      </c>
      <c r="V1038" s="185">
        <v>0</v>
      </c>
      <c r="W1038" s="184" t="s">
        <v>485</v>
      </c>
      <c r="X1038" s="184">
        <v>2607</v>
      </c>
      <c r="Y1038" s="185">
        <v>2500</v>
      </c>
      <c r="Z1038" s="184" t="s">
        <v>598</v>
      </c>
      <c r="AA1038" s="21" t="s">
        <v>610</v>
      </c>
      <c r="AB1038" s="176" t="s">
        <v>489</v>
      </c>
      <c r="AC1038" s="172">
        <v>42996.328472222223</v>
      </c>
      <c r="AD1038" s="32" t="s">
        <v>552</v>
      </c>
    </row>
    <row r="1039" spans="1:30">
      <c r="A1039" s="184">
        <v>1038</v>
      </c>
      <c r="B1039" s="184" t="s">
        <v>2680</v>
      </c>
      <c r="C1039" s="184" t="s">
        <v>598</v>
      </c>
      <c r="D1039" s="127">
        <v>42296</v>
      </c>
      <c r="E1039" s="127" t="s">
        <v>598</v>
      </c>
      <c r="F1039" s="184" t="s">
        <v>2681</v>
      </c>
      <c r="G1039" s="185">
        <v>0</v>
      </c>
      <c r="H1039" s="184" t="s">
        <v>598</v>
      </c>
      <c r="I1039" s="184" t="s">
        <v>598</v>
      </c>
      <c r="J1039" s="184" t="s">
        <v>121</v>
      </c>
      <c r="K1039" s="184" t="s">
        <v>410</v>
      </c>
      <c r="L1039" s="184" t="s">
        <v>598</v>
      </c>
      <c r="M1039" s="184" t="s">
        <v>598</v>
      </c>
      <c r="N1039" s="184" t="s">
        <v>63</v>
      </c>
      <c r="O1039" s="184" t="s">
        <v>1680</v>
      </c>
      <c r="P1039" s="186" t="s">
        <v>32</v>
      </c>
      <c r="Q1039" s="184" t="s">
        <v>598</v>
      </c>
      <c r="R1039" s="184" t="s">
        <v>598</v>
      </c>
      <c r="S1039" s="127" t="s">
        <v>598</v>
      </c>
      <c r="T1039" s="184" t="s">
        <v>598</v>
      </c>
      <c r="U1039" s="184" t="s">
        <v>598</v>
      </c>
      <c r="V1039" s="185">
        <v>0</v>
      </c>
      <c r="W1039" s="184" t="s">
        <v>485</v>
      </c>
      <c r="X1039" s="184">
        <v>2619</v>
      </c>
      <c r="Y1039" s="185">
        <v>4500</v>
      </c>
      <c r="Z1039" s="184" t="s">
        <v>598</v>
      </c>
      <c r="AA1039" s="21" t="s">
        <v>610</v>
      </c>
      <c r="AB1039" s="176" t="s">
        <v>489</v>
      </c>
      <c r="AC1039" s="172">
        <v>42996.328472222223</v>
      </c>
      <c r="AD1039" s="32" t="s">
        <v>552</v>
      </c>
    </row>
    <row r="1040" spans="1:30">
      <c r="A1040" s="184">
        <v>1039</v>
      </c>
      <c r="B1040" s="184" t="s">
        <v>2682</v>
      </c>
      <c r="C1040" s="184" t="s">
        <v>598</v>
      </c>
      <c r="D1040" s="127">
        <v>42301</v>
      </c>
      <c r="E1040" s="127" t="s">
        <v>598</v>
      </c>
      <c r="F1040" s="184" t="s">
        <v>2683</v>
      </c>
      <c r="G1040" s="185">
        <v>0</v>
      </c>
      <c r="H1040" s="184" t="s">
        <v>598</v>
      </c>
      <c r="I1040" s="184" t="s">
        <v>598</v>
      </c>
      <c r="J1040" s="184" t="s">
        <v>102</v>
      </c>
      <c r="K1040" s="184" t="s">
        <v>245</v>
      </c>
      <c r="L1040" s="184" t="s">
        <v>598</v>
      </c>
      <c r="M1040" s="184" t="s">
        <v>598</v>
      </c>
      <c r="N1040" s="184" t="s">
        <v>63</v>
      </c>
      <c r="O1040" s="184" t="s">
        <v>30</v>
      </c>
      <c r="P1040" s="186" t="s">
        <v>53</v>
      </c>
      <c r="Q1040" s="184" t="s">
        <v>598</v>
      </c>
      <c r="R1040" s="184" t="s">
        <v>598</v>
      </c>
      <c r="S1040" s="127" t="s">
        <v>598</v>
      </c>
      <c r="T1040" s="184" t="s">
        <v>598</v>
      </c>
      <c r="U1040" s="184" t="s">
        <v>598</v>
      </c>
      <c r="V1040" s="185">
        <v>0</v>
      </c>
      <c r="W1040" s="184" t="s">
        <v>485</v>
      </c>
      <c r="X1040" s="184" t="s">
        <v>598</v>
      </c>
      <c r="Y1040" s="185">
        <v>7500</v>
      </c>
      <c r="Z1040" s="184" t="s">
        <v>598</v>
      </c>
      <c r="AA1040" s="21" t="s">
        <v>610</v>
      </c>
      <c r="AB1040" s="176" t="s">
        <v>489</v>
      </c>
      <c r="AC1040" s="172">
        <v>42996.328472222223</v>
      </c>
      <c r="AD1040" s="32" t="s">
        <v>552</v>
      </c>
    </row>
    <row r="1041" spans="1:30">
      <c r="A1041" s="184">
        <v>1040</v>
      </c>
      <c r="B1041" s="184" t="s">
        <v>2684</v>
      </c>
      <c r="C1041" s="184" t="s">
        <v>598</v>
      </c>
      <c r="D1041" s="127">
        <v>42311</v>
      </c>
      <c r="E1041" s="127" t="s">
        <v>598</v>
      </c>
      <c r="F1041" s="184" t="s">
        <v>2685</v>
      </c>
      <c r="G1041" s="185">
        <v>0</v>
      </c>
      <c r="H1041" s="184" t="s">
        <v>598</v>
      </c>
      <c r="I1041" s="184" t="s">
        <v>598</v>
      </c>
      <c r="J1041" s="184" t="s">
        <v>121</v>
      </c>
      <c r="K1041" s="184" t="s">
        <v>411</v>
      </c>
      <c r="L1041" s="184" t="s">
        <v>598</v>
      </c>
      <c r="M1041" s="184" t="s">
        <v>598</v>
      </c>
      <c r="N1041" s="184" t="s">
        <v>63</v>
      </c>
      <c r="O1041" s="184" t="s">
        <v>30</v>
      </c>
      <c r="P1041" s="186" t="s">
        <v>44</v>
      </c>
      <c r="Q1041" s="184" t="s">
        <v>598</v>
      </c>
      <c r="R1041" s="184" t="s">
        <v>598</v>
      </c>
      <c r="S1041" s="127" t="s">
        <v>598</v>
      </c>
      <c r="T1041" s="184" t="s">
        <v>598</v>
      </c>
      <c r="U1041" s="184" t="s">
        <v>598</v>
      </c>
      <c r="V1041" s="185">
        <v>0</v>
      </c>
      <c r="W1041" s="184" t="s">
        <v>485</v>
      </c>
      <c r="X1041" s="184" t="s">
        <v>598</v>
      </c>
      <c r="Y1041" s="185">
        <v>2000</v>
      </c>
      <c r="Z1041" s="184" t="s">
        <v>598</v>
      </c>
      <c r="AA1041" s="21" t="s">
        <v>610</v>
      </c>
      <c r="AB1041" s="176" t="s">
        <v>489</v>
      </c>
      <c r="AC1041" s="172">
        <v>42996.328472222223</v>
      </c>
      <c r="AD1041" s="32" t="s">
        <v>552</v>
      </c>
    </row>
    <row r="1042" spans="1:30">
      <c r="A1042" s="184">
        <v>1041</v>
      </c>
      <c r="B1042" s="184" t="s">
        <v>2686</v>
      </c>
      <c r="C1042" s="184" t="s">
        <v>598</v>
      </c>
      <c r="D1042" s="127">
        <v>42314</v>
      </c>
      <c r="E1042" s="127" t="s">
        <v>598</v>
      </c>
      <c r="F1042" s="184" t="s">
        <v>2687</v>
      </c>
      <c r="G1042" s="185">
        <v>0</v>
      </c>
      <c r="H1042" s="184" t="s">
        <v>598</v>
      </c>
      <c r="I1042" s="184" t="s">
        <v>598</v>
      </c>
      <c r="J1042" s="184" t="s">
        <v>121</v>
      </c>
      <c r="K1042" s="184" t="s">
        <v>222</v>
      </c>
      <c r="L1042" s="184" t="s">
        <v>598</v>
      </c>
      <c r="M1042" s="184" t="s">
        <v>598</v>
      </c>
      <c r="N1042" s="184" t="s">
        <v>63</v>
      </c>
      <c r="O1042" s="184" t="s">
        <v>63</v>
      </c>
      <c r="P1042" s="186" t="s">
        <v>67</v>
      </c>
      <c r="Q1042" s="184" t="s">
        <v>598</v>
      </c>
      <c r="R1042" s="184" t="s">
        <v>598</v>
      </c>
      <c r="S1042" s="127" t="s">
        <v>598</v>
      </c>
      <c r="T1042" s="184" t="s">
        <v>598</v>
      </c>
      <c r="U1042" s="184" t="s">
        <v>598</v>
      </c>
      <c r="V1042" s="185">
        <v>0</v>
      </c>
      <c r="W1042" s="184" t="s">
        <v>485</v>
      </c>
      <c r="X1042" s="184">
        <v>2662</v>
      </c>
      <c r="Y1042" s="185">
        <v>4000</v>
      </c>
      <c r="Z1042" s="184" t="s">
        <v>598</v>
      </c>
      <c r="AA1042" s="21" t="s">
        <v>610</v>
      </c>
      <c r="AB1042" s="176" t="s">
        <v>489</v>
      </c>
      <c r="AC1042" s="172">
        <v>42996.328472222223</v>
      </c>
      <c r="AD1042" s="32" t="s">
        <v>552</v>
      </c>
    </row>
    <row r="1043" spans="1:30">
      <c r="A1043" s="184">
        <v>1042</v>
      </c>
      <c r="B1043" s="184" t="s">
        <v>2688</v>
      </c>
      <c r="C1043" s="184" t="s">
        <v>598</v>
      </c>
      <c r="D1043" s="127">
        <v>42317</v>
      </c>
      <c r="E1043" s="127" t="s">
        <v>598</v>
      </c>
      <c r="F1043" s="184" t="s">
        <v>2689</v>
      </c>
      <c r="G1043" s="185">
        <v>0</v>
      </c>
      <c r="H1043" s="184" t="s">
        <v>598</v>
      </c>
      <c r="I1043" s="184" t="s">
        <v>598</v>
      </c>
      <c r="J1043" s="184" t="s">
        <v>121</v>
      </c>
      <c r="K1043" s="184" t="s">
        <v>267</v>
      </c>
      <c r="L1043" s="184" t="s">
        <v>598</v>
      </c>
      <c r="M1043" s="184" t="s">
        <v>598</v>
      </c>
      <c r="N1043" s="184" t="s">
        <v>63</v>
      </c>
      <c r="O1043" s="184" t="s">
        <v>1680</v>
      </c>
      <c r="P1043" s="186" t="s">
        <v>602</v>
      </c>
      <c r="Q1043" s="184" t="s">
        <v>598</v>
      </c>
      <c r="R1043" s="184" t="s">
        <v>598</v>
      </c>
      <c r="S1043" s="127" t="s">
        <v>598</v>
      </c>
      <c r="T1043" s="184" t="s">
        <v>598</v>
      </c>
      <c r="U1043" s="184" t="s">
        <v>598</v>
      </c>
      <c r="V1043" s="185">
        <v>0</v>
      </c>
      <c r="W1043" s="184" t="s">
        <v>485</v>
      </c>
      <c r="X1043" s="184">
        <v>2671</v>
      </c>
      <c r="Y1043" s="185">
        <v>2000</v>
      </c>
      <c r="Z1043" s="184" t="s">
        <v>598</v>
      </c>
      <c r="AA1043" s="21" t="s">
        <v>610</v>
      </c>
      <c r="AB1043" s="176" t="s">
        <v>489</v>
      </c>
      <c r="AC1043" s="172">
        <v>42996.328472222223</v>
      </c>
      <c r="AD1043" s="32" t="s">
        <v>552</v>
      </c>
    </row>
    <row r="1044" spans="1:30">
      <c r="A1044" s="184">
        <v>1043</v>
      </c>
      <c r="B1044" s="184" t="s">
        <v>2690</v>
      </c>
      <c r="C1044" s="184" t="s">
        <v>598</v>
      </c>
      <c r="D1044" s="127">
        <v>42320</v>
      </c>
      <c r="E1044" s="127" t="s">
        <v>598</v>
      </c>
      <c r="F1044" s="184" t="s">
        <v>2691</v>
      </c>
      <c r="G1044" s="185">
        <v>0</v>
      </c>
      <c r="H1044" s="184" t="s">
        <v>598</v>
      </c>
      <c r="I1044" s="184" t="s">
        <v>598</v>
      </c>
      <c r="J1044" s="184" t="s">
        <v>121</v>
      </c>
      <c r="K1044" s="184" t="s">
        <v>266</v>
      </c>
      <c r="L1044" s="184" t="s">
        <v>598</v>
      </c>
      <c r="M1044" s="184" t="s">
        <v>598</v>
      </c>
      <c r="N1044" s="184" t="s">
        <v>63</v>
      </c>
      <c r="O1044" s="184" t="s">
        <v>2692</v>
      </c>
      <c r="P1044" s="186" t="s">
        <v>603</v>
      </c>
      <c r="Q1044" s="184" t="s">
        <v>598</v>
      </c>
      <c r="R1044" s="184" t="s">
        <v>598</v>
      </c>
      <c r="S1044" s="127" t="s">
        <v>598</v>
      </c>
      <c r="T1044" s="184" t="s">
        <v>598</v>
      </c>
      <c r="U1044" s="184" t="s">
        <v>598</v>
      </c>
      <c r="V1044" s="185">
        <v>0</v>
      </c>
      <c r="W1044" s="184" t="s">
        <v>485</v>
      </c>
      <c r="X1044" s="184">
        <v>2693</v>
      </c>
      <c r="Y1044" s="185">
        <v>3000</v>
      </c>
      <c r="Z1044" s="184" t="s">
        <v>598</v>
      </c>
      <c r="AA1044" s="21" t="s">
        <v>610</v>
      </c>
      <c r="AB1044" s="176" t="s">
        <v>489</v>
      </c>
      <c r="AC1044" s="172">
        <v>42996.328472222223</v>
      </c>
      <c r="AD1044" s="32" t="s">
        <v>552</v>
      </c>
    </row>
    <row r="1045" spans="1:30">
      <c r="A1045" s="184">
        <v>1044</v>
      </c>
      <c r="B1045" s="184" t="s">
        <v>2693</v>
      </c>
      <c r="C1045" s="184" t="s">
        <v>598</v>
      </c>
      <c r="D1045" s="127">
        <v>42324</v>
      </c>
      <c r="E1045" s="127" t="s">
        <v>598</v>
      </c>
      <c r="F1045" s="184" t="s">
        <v>2694</v>
      </c>
      <c r="G1045" s="185">
        <v>0</v>
      </c>
      <c r="H1045" s="184" t="s">
        <v>598</v>
      </c>
      <c r="I1045" s="184" t="s">
        <v>598</v>
      </c>
      <c r="J1045" s="184" t="s">
        <v>121</v>
      </c>
      <c r="K1045" s="184" t="s">
        <v>267</v>
      </c>
      <c r="L1045" s="184" t="s">
        <v>598</v>
      </c>
      <c r="M1045" s="184" t="s">
        <v>598</v>
      </c>
      <c r="N1045" s="184" t="s">
        <v>63</v>
      </c>
      <c r="O1045" s="184" t="s">
        <v>1680</v>
      </c>
      <c r="P1045" s="186" t="s">
        <v>604</v>
      </c>
      <c r="Q1045" s="184" t="s">
        <v>598</v>
      </c>
      <c r="R1045" s="184" t="s">
        <v>598</v>
      </c>
      <c r="S1045" s="127" t="s">
        <v>598</v>
      </c>
      <c r="T1045" s="184" t="s">
        <v>598</v>
      </c>
      <c r="U1045" s="184" t="s">
        <v>598</v>
      </c>
      <c r="V1045" s="185">
        <v>0</v>
      </c>
      <c r="W1045" s="184" t="s">
        <v>485</v>
      </c>
      <c r="X1045" s="184">
        <v>2692</v>
      </c>
      <c r="Y1045" s="185">
        <v>3000</v>
      </c>
      <c r="Z1045" s="184" t="s">
        <v>598</v>
      </c>
      <c r="AA1045" s="21" t="s">
        <v>610</v>
      </c>
      <c r="AB1045" s="176" t="s">
        <v>489</v>
      </c>
      <c r="AC1045" s="172">
        <v>42996.328472222223</v>
      </c>
      <c r="AD1045" s="32" t="s">
        <v>552</v>
      </c>
    </row>
    <row r="1046" spans="1:30">
      <c r="A1046" s="184">
        <v>1045</v>
      </c>
      <c r="B1046" s="184" t="s">
        <v>2695</v>
      </c>
      <c r="C1046" s="184" t="s">
        <v>598</v>
      </c>
      <c r="D1046" s="127">
        <v>42324</v>
      </c>
      <c r="E1046" s="127" t="s">
        <v>598</v>
      </c>
      <c r="F1046" s="184" t="s">
        <v>2696</v>
      </c>
      <c r="G1046" s="185">
        <v>0</v>
      </c>
      <c r="H1046" s="184" t="s">
        <v>598</v>
      </c>
      <c r="I1046" s="184" t="s">
        <v>598</v>
      </c>
      <c r="J1046" s="184" t="s">
        <v>121</v>
      </c>
      <c r="K1046" s="184" t="s">
        <v>267</v>
      </c>
      <c r="L1046" s="184" t="s">
        <v>598</v>
      </c>
      <c r="M1046" s="184" t="s">
        <v>598</v>
      </c>
      <c r="N1046" s="184" t="s">
        <v>63</v>
      </c>
      <c r="O1046" s="184" t="s">
        <v>1680</v>
      </c>
      <c r="P1046" s="186" t="s">
        <v>605</v>
      </c>
      <c r="Q1046" s="184" t="s">
        <v>598</v>
      </c>
      <c r="R1046" s="184" t="s">
        <v>598</v>
      </c>
      <c r="S1046" s="127" t="s">
        <v>598</v>
      </c>
      <c r="T1046" s="184" t="s">
        <v>598</v>
      </c>
      <c r="U1046" s="184" t="s">
        <v>598</v>
      </c>
      <c r="V1046" s="185">
        <v>0</v>
      </c>
      <c r="W1046" s="184" t="s">
        <v>485</v>
      </c>
      <c r="X1046" s="184">
        <v>2688</v>
      </c>
      <c r="Y1046" s="185">
        <v>2000</v>
      </c>
      <c r="Z1046" s="184" t="s">
        <v>598</v>
      </c>
      <c r="AA1046" s="21" t="s">
        <v>610</v>
      </c>
      <c r="AB1046" s="176" t="s">
        <v>489</v>
      </c>
      <c r="AC1046" s="172">
        <v>42996.328472222223</v>
      </c>
      <c r="AD1046" s="32" t="s">
        <v>552</v>
      </c>
    </row>
    <row r="1047" spans="1:30">
      <c r="A1047" s="184">
        <v>1046</v>
      </c>
      <c r="B1047" s="184" t="s">
        <v>2697</v>
      </c>
      <c r="C1047" s="184" t="s">
        <v>598</v>
      </c>
      <c r="D1047" s="127">
        <v>42324</v>
      </c>
      <c r="E1047" s="127" t="s">
        <v>598</v>
      </c>
      <c r="F1047" s="184" t="s">
        <v>2698</v>
      </c>
      <c r="G1047" s="185">
        <v>0</v>
      </c>
      <c r="H1047" s="184" t="s">
        <v>598</v>
      </c>
      <c r="I1047" s="184" t="s">
        <v>598</v>
      </c>
      <c r="J1047" s="184" t="s">
        <v>121</v>
      </c>
      <c r="K1047" s="184" t="s">
        <v>2699</v>
      </c>
      <c r="L1047" s="184" t="s">
        <v>598</v>
      </c>
      <c r="M1047" s="184" t="s">
        <v>598</v>
      </c>
      <c r="N1047" s="184" t="s">
        <v>63</v>
      </c>
      <c r="O1047" s="184" t="s">
        <v>2692</v>
      </c>
      <c r="P1047" s="186"/>
      <c r="Q1047" s="184" t="s">
        <v>598</v>
      </c>
      <c r="R1047" s="184" t="s">
        <v>598</v>
      </c>
      <c r="S1047" s="127" t="s">
        <v>598</v>
      </c>
      <c r="T1047" s="184" t="s">
        <v>598</v>
      </c>
      <c r="U1047" s="184" t="s">
        <v>598</v>
      </c>
      <c r="V1047" s="185">
        <v>0</v>
      </c>
      <c r="W1047" s="184" t="s">
        <v>485</v>
      </c>
      <c r="X1047" s="184">
        <v>1311</v>
      </c>
      <c r="Y1047" s="185">
        <v>2500</v>
      </c>
      <c r="Z1047" s="184" t="s">
        <v>598</v>
      </c>
      <c r="AA1047" s="21" t="s">
        <v>610</v>
      </c>
      <c r="AB1047" s="176" t="s">
        <v>489</v>
      </c>
      <c r="AC1047" s="172">
        <v>42996.328472222223</v>
      </c>
      <c r="AD1047" s="32" t="s">
        <v>552</v>
      </c>
    </row>
    <row r="1048" spans="1:30">
      <c r="A1048" s="184">
        <v>1047</v>
      </c>
      <c r="B1048" s="184" t="s">
        <v>2700</v>
      </c>
      <c r="C1048" s="184" t="s">
        <v>598</v>
      </c>
      <c r="D1048" s="127">
        <v>42326</v>
      </c>
      <c r="E1048" s="127" t="s">
        <v>598</v>
      </c>
      <c r="F1048" s="184" t="s">
        <v>2701</v>
      </c>
      <c r="G1048" s="185">
        <v>67</v>
      </c>
      <c r="H1048" s="184" t="s">
        <v>598</v>
      </c>
      <c r="I1048" s="184" t="s">
        <v>598</v>
      </c>
      <c r="J1048" s="184" t="s">
        <v>121</v>
      </c>
      <c r="K1048" s="184" t="s">
        <v>2699</v>
      </c>
      <c r="L1048" s="184" t="s">
        <v>598</v>
      </c>
      <c r="M1048" s="184" t="s">
        <v>598</v>
      </c>
      <c r="N1048" s="184" t="s">
        <v>63</v>
      </c>
      <c r="O1048" s="184" t="s">
        <v>2692</v>
      </c>
      <c r="P1048" s="186"/>
      <c r="Q1048" s="184" t="s">
        <v>598</v>
      </c>
      <c r="R1048" s="184" t="s">
        <v>598</v>
      </c>
      <c r="S1048" s="127" t="s">
        <v>598</v>
      </c>
      <c r="T1048" s="184" t="s">
        <v>598</v>
      </c>
      <c r="U1048" s="184" t="s">
        <v>598</v>
      </c>
      <c r="V1048" s="185">
        <v>0</v>
      </c>
      <c r="W1048" s="184" t="s">
        <v>485</v>
      </c>
      <c r="X1048" s="184">
        <v>1302</v>
      </c>
      <c r="Y1048" s="185">
        <v>2500</v>
      </c>
      <c r="Z1048" s="184" t="s">
        <v>598</v>
      </c>
      <c r="AA1048" s="21" t="s">
        <v>610</v>
      </c>
      <c r="AB1048" s="176" t="s">
        <v>489</v>
      </c>
      <c r="AC1048" s="172">
        <v>42996.328472222223</v>
      </c>
      <c r="AD1048" s="32" t="s">
        <v>552</v>
      </c>
    </row>
    <row r="1049" spans="1:30">
      <c r="A1049" s="184">
        <v>1048</v>
      </c>
      <c r="B1049" s="184" t="s">
        <v>2702</v>
      </c>
      <c r="C1049" s="184" t="s">
        <v>598</v>
      </c>
      <c r="D1049" s="127">
        <v>42335</v>
      </c>
      <c r="E1049" s="127" t="s">
        <v>598</v>
      </c>
      <c r="F1049" s="184" t="s">
        <v>2703</v>
      </c>
      <c r="G1049" s="185">
        <v>0</v>
      </c>
      <c r="H1049" s="184" t="s">
        <v>598</v>
      </c>
      <c r="I1049" s="184" t="s">
        <v>598</v>
      </c>
      <c r="J1049" s="184" t="s">
        <v>121</v>
      </c>
      <c r="K1049" s="184" t="s">
        <v>218</v>
      </c>
      <c r="L1049" s="184" t="s">
        <v>598</v>
      </c>
      <c r="M1049" s="184" t="s">
        <v>598</v>
      </c>
      <c r="N1049" s="184" t="s">
        <v>63</v>
      </c>
      <c r="O1049" s="184" t="s">
        <v>1680</v>
      </c>
      <c r="P1049" s="186" t="s">
        <v>73</v>
      </c>
      <c r="Q1049" s="184" t="s">
        <v>598</v>
      </c>
      <c r="R1049" s="184" t="s">
        <v>598</v>
      </c>
      <c r="S1049" s="127" t="s">
        <v>598</v>
      </c>
      <c r="T1049" s="184" t="s">
        <v>598</v>
      </c>
      <c r="U1049" s="184" t="s">
        <v>598</v>
      </c>
      <c r="V1049" s="185">
        <v>0</v>
      </c>
      <c r="W1049" s="184" t="s">
        <v>485</v>
      </c>
      <c r="X1049" s="184">
        <v>1349</v>
      </c>
      <c r="Y1049" s="185">
        <v>2500</v>
      </c>
      <c r="Z1049" s="184" t="s">
        <v>598</v>
      </c>
      <c r="AA1049" s="21" t="s">
        <v>610</v>
      </c>
      <c r="AB1049" s="176" t="s">
        <v>489</v>
      </c>
      <c r="AC1049" s="172">
        <v>42996.328472222223</v>
      </c>
      <c r="AD1049" s="32" t="s">
        <v>552</v>
      </c>
    </row>
    <row r="1050" spans="1:30">
      <c r="A1050" s="184">
        <v>1049</v>
      </c>
      <c r="B1050" s="184" t="s">
        <v>2704</v>
      </c>
      <c r="C1050" s="184" t="s">
        <v>598</v>
      </c>
      <c r="D1050" s="127">
        <v>42341</v>
      </c>
      <c r="E1050" s="127" t="s">
        <v>598</v>
      </c>
      <c r="F1050" s="184" t="s">
        <v>2705</v>
      </c>
      <c r="G1050" s="185">
        <v>0</v>
      </c>
      <c r="H1050" s="184" t="s">
        <v>598</v>
      </c>
      <c r="I1050" s="184" t="s">
        <v>598</v>
      </c>
      <c r="J1050" s="184" t="s">
        <v>121</v>
      </c>
      <c r="K1050" s="184" t="s">
        <v>412</v>
      </c>
      <c r="L1050" s="184" t="s">
        <v>598</v>
      </c>
      <c r="M1050" s="184" t="s">
        <v>598</v>
      </c>
      <c r="N1050" s="184" t="s">
        <v>63</v>
      </c>
      <c r="O1050" s="184" t="s">
        <v>2692</v>
      </c>
      <c r="P1050" s="186" t="s">
        <v>601</v>
      </c>
      <c r="Q1050" s="184" t="s">
        <v>598</v>
      </c>
      <c r="R1050" s="184" t="s">
        <v>598</v>
      </c>
      <c r="S1050" s="127" t="s">
        <v>598</v>
      </c>
      <c r="T1050" s="184" t="s">
        <v>598</v>
      </c>
      <c r="U1050" s="184" t="s">
        <v>598</v>
      </c>
      <c r="V1050" s="185">
        <v>0</v>
      </c>
      <c r="W1050" s="184" t="s">
        <v>485</v>
      </c>
      <c r="X1050" s="184" t="s">
        <v>598</v>
      </c>
      <c r="Y1050" s="185">
        <v>2500</v>
      </c>
      <c r="Z1050" s="184" t="s">
        <v>598</v>
      </c>
      <c r="AA1050" s="21" t="s">
        <v>610</v>
      </c>
      <c r="AB1050" s="176" t="s">
        <v>489</v>
      </c>
      <c r="AC1050" s="172">
        <v>42996.328472222223</v>
      </c>
      <c r="AD1050" s="32" t="s">
        <v>552</v>
      </c>
    </row>
    <row r="1051" spans="1:30">
      <c r="A1051" s="184">
        <v>1050</v>
      </c>
      <c r="B1051" s="184" t="s">
        <v>2706</v>
      </c>
      <c r="C1051" s="184" t="s">
        <v>598</v>
      </c>
      <c r="D1051" s="127">
        <v>42342</v>
      </c>
      <c r="E1051" s="127" t="s">
        <v>598</v>
      </c>
      <c r="F1051" s="184" t="s">
        <v>2707</v>
      </c>
      <c r="G1051" s="185">
        <v>0</v>
      </c>
      <c r="H1051" s="184" t="s">
        <v>598</v>
      </c>
      <c r="I1051" s="184" t="s">
        <v>598</v>
      </c>
      <c r="J1051" s="184" t="s">
        <v>121</v>
      </c>
      <c r="K1051" s="184" t="s">
        <v>267</v>
      </c>
      <c r="L1051" s="184" t="s">
        <v>598</v>
      </c>
      <c r="M1051" s="184" t="s">
        <v>598</v>
      </c>
      <c r="N1051" s="184" t="s">
        <v>63</v>
      </c>
      <c r="O1051" s="184" t="s">
        <v>1680</v>
      </c>
      <c r="P1051" s="186" t="s">
        <v>32</v>
      </c>
      <c r="Q1051" s="184" t="s">
        <v>598</v>
      </c>
      <c r="R1051" s="184" t="s">
        <v>598</v>
      </c>
      <c r="S1051" s="127" t="s">
        <v>598</v>
      </c>
      <c r="T1051" s="184" t="s">
        <v>598</v>
      </c>
      <c r="U1051" s="184" t="s">
        <v>598</v>
      </c>
      <c r="V1051" s="185">
        <v>0</v>
      </c>
      <c r="W1051" s="184" t="s">
        <v>485</v>
      </c>
      <c r="X1051" s="184">
        <v>1342</v>
      </c>
      <c r="Y1051" s="185">
        <v>2000</v>
      </c>
      <c r="Z1051" s="184" t="s">
        <v>598</v>
      </c>
      <c r="AA1051" s="21" t="s">
        <v>610</v>
      </c>
      <c r="AB1051" s="176" t="s">
        <v>489</v>
      </c>
      <c r="AC1051" s="172">
        <v>42996.328472222223</v>
      </c>
      <c r="AD1051" s="32" t="s">
        <v>552</v>
      </c>
    </row>
    <row r="1052" spans="1:30">
      <c r="A1052" s="184">
        <v>1051</v>
      </c>
      <c r="B1052" s="184" t="s">
        <v>2708</v>
      </c>
      <c r="C1052" s="184" t="s">
        <v>598</v>
      </c>
      <c r="D1052" s="127">
        <v>42345</v>
      </c>
      <c r="E1052" s="127" t="s">
        <v>598</v>
      </c>
      <c r="F1052" s="184" t="s">
        <v>2709</v>
      </c>
      <c r="G1052" s="185">
        <v>0</v>
      </c>
      <c r="H1052" s="184" t="s">
        <v>598</v>
      </c>
      <c r="I1052" s="184" t="s">
        <v>598</v>
      </c>
      <c r="J1052" s="184" t="s">
        <v>121</v>
      </c>
      <c r="K1052" s="184" t="s">
        <v>408</v>
      </c>
      <c r="L1052" s="184" t="s">
        <v>598</v>
      </c>
      <c r="M1052" s="184" t="s">
        <v>598</v>
      </c>
      <c r="N1052" s="184" t="s">
        <v>63</v>
      </c>
      <c r="O1052" s="184" t="s">
        <v>1680</v>
      </c>
      <c r="P1052" s="186" t="s">
        <v>53</v>
      </c>
      <c r="Q1052" s="184" t="s">
        <v>598</v>
      </c>
      <c r="R1052" s="184" t="s">
        <v>598</v>
      </c>
      <c r="S1052" s="127" t="s">
        <v>598</v>
      </c>
      <c r="T1052" s="184" t="s">
        <v>598</v>
      </c>
      <c r="U1052" s="184" t="s">
        <v>598</v>
      </c>
      <c r="V1052" s="185">
        <v>0</v>
      </c>
      <c r="W1052" s="184" t="s">
        <v>485</v>
      </c>
      <c r="X1052" s="184" t="s">
        <v>598</v>
      </c>
      <c r="Y1052" s="185">
        <v>1700</v>
      </c>
      <c r="Z1052" s="184" t="s">
        <v>598</v>
      </c>
      <c r="AA1052" s="21" t="s">
        <v>610</v>
      </c>
      <c r="AB1052" s="176" t="s">
        <v>489</v>
      </c>
      <c r="AC1052" s="172">
        <v>42996.328472222223</v>
      </c>
      <c r="AD1052" s="32" t="s">
        <v>552</v>
      </c>
    </row>
    <row r="1053" spans="1:30">
      <c r="A1053" s="184">
        <v>1052</v>
      </c>
      <c r="B1053" s="184" t="s">
        <v>2710</v>
      </c>
      <c r="C1053" s="184" t="s">
        <v>598</v>
      </c>
      <c r="D1053" s="127">
        <v>42349</v>
      </c>
      <c r="E1053" s="127" t="s">
        <v>598</v>
      </c>
      <c r="F1053" s="184" t="s">
        <v>2711</v>
      </c>
      <c r="G1053" s="185">
        <v>0</v>
      </c>
      <c r="H1053" s="184" t="s">
        <v>598</v>
      </c>
      <c r="I1053" s="184" t="s">
        <v>598</v>
      </c>
      <c r="J1053" s="184" t="s">
        <v>121</v>
      </c>
      <c r="K1053" s="184" t="s">
        <v>413</v>
      </c>
      <c r="L1053" s="184" t="s">
        <v>598</v>
      </c>
      <c r="M1053" s="184" t="s">
        <v>598</v>
      </c>
      <c r="N1053" s="184" t="s">
        <v>63</v>
      </c>
      <c r="O1053" s="184" t="s">
        <v>598</v>
      </c>
      <c r="P1053" s="186" t="s">
        <v>44</v>
      </c>
      <c r="Q1053" s="184" t="s">
        <v>598</v>
      </c>
      <c r="R1053" s="184" t="s">
        <v>598</v>
      </c>
      <c r="S1053" s="127" t="s">
        <v>598</v>
      </c>
      <c r="T1053" s="184" t="s">
        <v>598</v>
      </c>
      <c r="U1053" s="184" t="s">
        <v>598</v>
      </c>
      <c r="V1053" s="185">
        <v>0</v>
      </c>
      <c r="W1053" s="184" t="s">
        <v>485</v>
      </c>
      <c r="X1053" s="184" t="s">
        <v>598</v>
      </c>
      <c r="Y1053" s="185">
        <v>2500</v>
      </c>
      <c r="Z1053" s="184" t="s">
        <v>598</v>
      </c>
      <c r="AA1053" s="21" t="s">
        <v>610</v>
      </c>
      <c r="AB1053" s="176" t="s">
        <v>489</v>
      </c>
      <c r="AC1053" s="172">
        <v>42996.328472222223</v>
      </c>
      <c r="AD1053" s="32" t="s">
        <v>552</v>
      </c>
    </row>
    <row r="1054" spans="1:30">
      <c r="A1054" s="184">
        <v>1053</v>
      </c>
      <c r="B1054" s="184" t="s">
        <v>2712</v>
      </c>
      <c r="C1054" s="184" t="s">
        <v>598</v>
      </c>
      <c r="D1054" s="127">
        <v>42361</v>
      </c>
      <c r="E1054" s="127" t="s">
        <v>598</v>
      </c>
      <c r="F1054" s="184" t="s">
        <v>2713</v>
      </c>
      <c r="G1054" s="185">
        <v>0</v>
      </c>
      <c r="H1054" s="184" t="s">
        <v>598</v>
      </c>
      <c r="I1054" s="184" t="s">
        <v>598</v>
      </c>
      <c r="J1054" s="184" t="s">
        <v>121</v>
      </c>
      <c r="K1054" s="184" t="s">
        <v>414</v>
      </c>
      <c r="L1054" s="184" t="s">
        <v>598</v>
      </c>
      <c r="M1054" s="184" t="s">
        <v>598</v>
      </c>
      <c r="N1054" s="184" t="s">
        <v>63</v>
      </c>
      <c r="O1054" s="184" t="s">
        <v>598</v>
      </c>
      <c r="P1054" s="186" t="s">
        <v>67</v>
      </c>
      <c r="Q1054" s="184" t="s">
        <v>598</v>
      </c>
      <c r="R1054" s="184" t="s">
        <v>598</v>
      </c>
      <c r="S1054" s="127" t="s">
        <v>598</v>
      </c>
      <c r="T1054" s="184" t="s">
        <v>598</v>
      </c>
      <c r="U1054" s="184" t="s">
        <v>598</v>
      </c>
      <c r="V1054" s="185">
        <v>0</v>
      </c>
      <c r="W1054" s="184" t="s">
        <v>485</v>
      </c>
      <c r="X1054" s="184" t="s">
        <v>598</v>
      </c>
      <c r="Y1054" s="185">
        <v>2500</v>
      </c>
      <c r="Z1054" s="184" t="s">
        <v>598</v>
      </c>
      <c r="AA1054" s="21" t="s">
        <v>610</v>
      </c>
      <c r="AB1054" s="176" t="s">
        <v>489</v>
      </c>
      <c r="AC1054" s="172">
        <v>42996.328472222223</v>
      </c>
      <c r="AD1054" s="32" t="s">
        <v>552</v>
      </c>
    </row>
    <row r="1055" spans="1:30">
      <c r="A1055" s="184">
        <v>1054</v>
      </c>
      <c r="B1055" s="184" t="s">
        <v>2714</v>
      </c>
      <c r="C1055" s="184" t="s">
        <v>598</v>
      </c>
      <c r="D1055" s="127">
        <v>42369</v>
      </c>
      <c r="E1055" s="127" t="s">
        <v>598</v>
      </c>
      <c r="F1055" s="184" t="s">
        <v>2715</v>
      </c>
      <c r="G1055" s="185">
        <v>0</v>
      </c>
      <c r="H1055" s="184" t="s">
        <v>598</v>
      </c>
      <c r="I1055" s="184" t="s">
        <v>598</v>
      </c>
      <c r="J1055" s="184" t="s">
        <v>121</v>
      </c>
      <c r="K1055" s="184" t="s">
        <v>415</v>
      </c>
      <c r="L1055" s="184" t="s">
        <v>598</v>
      </c>
      <c r="M1055" s="184" t="s">
        <v>598</v>
      </c>
      <c r="N1055" s="184" t="s">
        <v>63</v>
      </c>
      <c r="O1055" s="184" t="s">
        <v>598</v>
      </c>
      <c r="P1055" s="186" t="s">
        <v>602</v>
      </c>
      <c r="Q1055" s="184" t="s">
        <v>598</v>
      </c>
      <c r="R1055" s="184" t="s">
        <v>598</v>
      </c>
      <c r="S1055" s="127" t="s">
        <v>598</v>
      </c>
      <c r="T1055" s="184" t="s">
        <v>598</v>
      </c>
      <c r="U1055" s="184" t="s">
        <v>598</v>
      </c>
      <c r="V1055" s="185">
        <v>0</v>
      </c>
      <c r="W1055" s="184" t="s">
        <v>485</v>
      </c>
      <c r="X1055" s="184" t="s">
        <v>598</v>
      </c>
      <c r="Y1055" s="185">
        <v>1000</v>
      </c>
      <c r="Z1055" s="184" t="s">
        <v>598</v>
      </c>
      <c r="AA1055" s="21" t="s">
        <v>610</v>
      </c>
      <c r="AB1055" s="176" t="s">
        <v>489</v>
      </c>
      <c r="AC1055" s="172">
        <v>42996.328472222223</v>
      </c>
      <c r="AD1055" s="32" t="s">
        <v>552</v>
      </c>
    </row>
    <row r="1056" spans="1:30">
      <c r="A1056" s="184">
        <v>1055</v>
      </c>
      <c r="B1056" s="184" t="s">
        <v>2716</v>
      </c>
      <c r="C1056" s="184" t="s">
        <v>598</v>
      </c>
      <c r="D1056" s="127">
        <v>42371</v>
      </c>
      <c r="E1056" s="127" t="s">
        <v>598</v>
      </c>
      <c r="F1056" s="184" t="s">
        <v>2717</v>
      </c>
      <c r="G1056" s="185">
        <v>0</v>
      </c>
      <c r="H1056" s="184" t="s">
        <v>598</v>
      </c>
      <c r="I1056" s="184" t="s">
        <v>598</v>
      </c>
      <c r="J1056" s="184" t="s">
        <v>121</v>
      </c>
      <c r="K1056" s="184" t="s">
        <v>416</v>
      </c>
      <c r="L1056" s="184" t="s">
        <v>598</v>
      </c>
      <c r="M1056" s="184" t="s">
        <v>598</v>
      </c>
      <c r="N1056" s="184" t="s">
        <v>63</v>
      </c>
      <c r="O1056" s="184" t="s">
        <v>1680</v>
      </c>
      <c r="P1056" s="186" t="s">
        <v>603</v>
      </c>
      <c r="Q1056" s="184" t="s">
        <v>598</v>
      </c>
      <c r="R1056" s="184" t="s">
        <v>598</v>
      </c>
      <c r="S1056" s="127" t="s">
        <v>598</v>
      </c>
      <c r="T1056" s="184" t="s">
        <v>598</v>
      </c>
      <c r="U1056" s="184" t="s">
        <v>598</v>
      </c>
      <c r="V1056" s="185">
        <v>0</v>
      </c>
      <c r="W1056" s="184" t="s">
        <v>485</v>
      </c>
      <c r="X1056" s="184" t="s">
        <v>598</v>
      </c>
      <c r="Y1056" s="185">
        <v>2000</v>
      </c>
      <c r="Z1056" s="184" t="s">
        <v>598</v>
      </c>
      <c r="AA1056" s="21" t="s">
        <v>610</v>
      </c>
      <c r="AB1056" s="176" t="s">
        <v>489</v>
      </c>
      <c r="AC1056" s="172">
        <v>42996.328472222223</v>
      </c>
      <c r="AD1056" s="32" t="s">
        <v>552</v>
      </c>
    </row>
    <row r="1057" spans="1:30">
      <c r="A1057" s="184">
        <v>1056</v>
      </c>
      <c r="B1057" s="184" t="s">
        <v>2718</v>
      </c>
      <c r="C1057" s="184" t="s">
        <v>598</v>
      </c>
      <c r="D1057" s="127">
        <v>42389</v>
      </c>
      <c r="E1057" s="127" t="s">
        <v>598</v>
      </c>
      <c r="F1057" s="184" t="s">
        <v>2719</v>
      </c>
      <c r="G1057" s="185">
        <v>0</v>
      </c>
      <c r="H1057" s="184" t="s">
        <v>598</v>
      </c>
      <c r="I1057" s="184" t="s">
        <v>598</v>
      </c>
      <c r="J1057" s="184" t="s">
        <v>121</v>
      </c>
      <c r="K1057" s="184" t="s">
        <v>417</v>
      </c>
      <c r="L1057" s="184" t="s">
        <v>598</v>
      </c>
      <c r="M1057" s="184" t="s">
        <v>598</v>
      </c>
      <c r="N1057" s="184" t="s">
        <v>63</v>
      </c>
      <c r="O1057" s="184" t="s">
        <v>598</v>
      </c>
      <c r="P1057" s="186" t="s">
        <v>604</v>
      </c>
      <c r="Q1057" s="184" t="s">
        <v>598</v>
      </c>
      <c r="R1057" s="184" t="s">
        <v>598</v>
      </c>
      <c r="S1057" s="127" t="s">
        <v>598</v>
      </c>
      <c r="T1057" s="184" t="s">
        <v>598</v>
      </c>
      <c r="U1057" s="184" t="s">
        <v>598</v>
      </c>
      <c r="V1057" s="185">
        <v>0</v>
      </c>
      <c r="W1057" s="184" t="s">
        <v>485</v>
      </c>
      <c r="X1057" s="184" t="s">
        <v>598</v>
      </c>
      <c r="Y1057" s="185">
        <v>2500</v>
      </c>
      <c r="Z1057" s="184" t="s">
        <v>598</v>
      </c>
      <c r="AA1057" s="21" t="s">
        <v>610</v>
      </c>
      <c r="AB1057" s="176" t="s">
        <v>489</v>
      </c>
      <c r="AC1057" s="172">
        <v>42996.328472222223</v>
      </c>
      <c r="AD1057" s="32" t="s">
        <v>552</v>
      </c>
    </row>
    <row r="1058" spans="1:30">
      <c r="A1058" s="184">
        <v>1057</v>
      </c>
      <c r="B1058" s="184" t="s">
        <v>2720</v>
      </c>
      <c r="C1058" s="184" t="s">
        <v>598</v>
      </c>
      <c r="D1058" s="127">
        <v>42390</v>
      </c>
      <c r="E1058" s="127" t="s">
        <v>598</v>
      </c>
      <c r="F1058" s="184" t="s">
        <v>2721</v>
      </c>
      <c r="G1058" s="185">
        <v>351</v>
      </c>
      <c r="H1058" s="184" t="s">
        <v>598</v>
      </c>
      <c r="I1058" s="184" t="s">
        <v>598</v>
      </c>
      <c r="J1058" s="184" t="s">
        <v>121</v>
      </c>
      <c r="K1058" s="184" t="s">
        <v>2722</v>
      </c>
      <c r="L1058" s="184" t="s">
        <v>598</v>
      </c>
      <c r="M1058" s="184" t="s">
        <v>598</v>
      </c>
      <c r="N1058" s="184" t="s">
        <v>63</v>
      </c>
      <c r="O1058" s="184" t="s">
        <v>1680</v>
      </c>
      <c r="P1058" s="186" t="s">
        <v>605</v>
      </c>
      <c r="Q1058" s="184" t="s">
        <v>598</v>
      </c>
      <c r="R1058" s="184" t="s">
        <v>598</v>
      </c>
      <c r="S1058" s="127" t="s">
        <v>598</v>
      </c>
      <c r="T1058" s="184" t="s">
        <v>598</v>
      </c>
      <c r="U1058" s="184" t="s">
        <v>598</v>
      </c>
      <c r="V1058" s="185">
        <v>0</v>
      </c>
      <c r="W1058" s="184" t="s">
        <v>485</v>
      </c>
      <c r="X1058" s="184" t="s">
        <v>598</v>
      </c>
      <c r="Y1058" s="185">
        <v>2000</v>
      </c>
      <c r="Z1058" s="184" t="s">
        <v>598</v>
      </c>
      <c r="AA1058" s="21" t="s">
        <v>610</v>
      </c>
      <c r="AB1058" s="176" t="s">
        <v>489</v>
      </c>
      <c r="AC1058" s="172">
        <v>42996.328472222223</v>
      </c>
      <c r="AD1058" s="32" t="s">
        <v>552</v>
      </c>
    </row>
    <row r="1059" spans="1:30">
      <c r="A1059" s="184">
        <v>1058</v>
      </c>
      <c r="B1059" s="184" t="s">
        <v>2723</v>
      </c>
      <c r="C1059" s="184" t="s">
        <v>598</v>
      </c>
      <c r="D1059" s="127">
        <v>42381</v>
      </c>
      <c r="E1059" s="127" t="s">
        <v>598</v>
      </c>
      <c r="F1059" s="184" t="s">
        <v>2724</v>
      </c>
      <c r="G1059" s="185">
        <v>0</v>
      </c>
      <c r="H1059" s="184" t="s">
        <v>598</v>
      </c>
      <c r="I1059" s="184" t="s">
        <v>598</v>
      </c>
      <c r="J1059" s="184" t="s">
        <v>102</v>
      </c>
      <c r="K1059" s="184" t="s">
        <v>233</v>
      </c>
      <c r="L1059" s="184" t="s">
        <v>598</v>
      </c>
      <c r="M1059" s="184" t="s">
        <v>598</v>
      </c>
      <c r="N1059" s="184" t="s">
        <v>63</v>
      </c>
      <c r="O1059" s="184" t="s">
        <v>598</v>
      </c>
      <c r="P1059" s="186"/>
      <c r="Q1059" s="184" t="s">
        <v>598</v>
      </c>
      <c r="R1059" s="184" t="s">
        <v>598</v>
      </c>
      <c r="S1059" s="127" t="s">
        <v>598</v>
      </c>
      <c r="T1059" s="184" t="s">
        <v>598</v>
      </c>
      <c r="U1059" s="184" t="s">
        <v>598</v>
      </c>
      <c r="V1059" s="185">
        <v>0</v>
      </c>
      <c r="W1059" s="184" t="s">
        <v>485</v>
      </c>
      <c r="X1059" s="184" t="s">
        <v>598</v>
      </c>
      <c r="Y1059" s="185">
        <v>10000</v>
      </c>
      <c r="Z1059" s="184" t="s">
        <v>598</v>
      </c>
      <c r="AA1059" s="21" t="s">
        <v>610</v>
      </c>
      <c r="AB1059" s="176" t="s">
        <v>489</v>
      </c>
      <c r="AC1059" s="172">
        <v>42996.328472222223</v>
      </c>
      <c r="AD1059" s="32" t="s">
        <v>552</v>
      </c>
    </row>
    <row r="1060" spans="1:30">
      <c r="A1060" s="184">
        <v>1059</v>
      </c>
      <c r="B1060" s="184" t="s">
        <v>2725</v>
      </c>
      <c r="C1060" s="184" t="s">
        <v>598</v>
      </c>
      <c r="D1060" s="127">
        <v>42381</v>
      </c>
      <c r="E1060" s="127" t="s">
        <v>598</v>
      </c>
      <c r="F1060" s="184" t="s">
        <v>2726</v>
      </c>
      <c r="G1060" s="185">
        <v>0</v>
      </c>
      <c r="H1060" s="184" t="s">
        <v>598</v>
      </c>
      <c r="I1060" s="184" t="s">
        <v>598</v>
      </c>
      <c r="J1060" s="184" t="s">
        <v>102</v>
      </c>
      <c r="K1060" s="184" t="s">
        <v>233</v>
      </c>
      <c r="L1060" s="184" t="s">
        <v>598</v>
      </c>
      <c r="M1060" s="184" t="s">
        <v>598</v>
      </c>
      <c r="N1060" s="184" t="s">
        <v>63</v>
      </c>
      <c r="O1060" s="184" t="s">
        <v>598</v>
      </c>
      <c r="P1060" s="186"/>
      <c r="Q1060" s="184" t="s">
        <v>598</v>
      </c>
      <c r="R1060" s="184" t="s">
        <v>598</v>
      </c>
      <c r="S1060" s="127" t="s">
        <v>598</v>
      </c>
      <c r="T1060" s="184" t="s">
        <v>598</v>
      </c>
      <c r="U1060" s="184" t="s">
        <v>598</v>
      </c>
      <c r="V1060" s="185">
        <v>0</v>
      </c>
      <c r="W1060" s="184" t="s">
        <v>485</v>
      </c>
      <c r="X1060" s="184" t="s">
        <v>598</v>
      </c>
      <c r="Y1060" s="185">
        <v>5000</v>
      </c>
      <c r="Z1060" s="184" t="s">
        <v>598</v>
      </c>
      <c r="AA1060" s="21" t="s">
        <v>610</v>
      </c>
      <c r="AB1060" s="176" t="s">
        <v>489</v>
      </c>
      <c r="AC1060" s="172">
        <v>42996.328472222223</v>
      </c>
      <c r="AD1060" s="32" t="s">
        <v>552</v>
      </c>
    </row>
    <row r="1061" spans="1:30">
      <c r="A1061" s="184">
        <v>1060</v>
      </c>
      <c r="B1061" s="184" t="s">
        <v>2727</v>
      </c>
      <c r="C1061" s="184" t="s">
        <v>598</v>
      </c>
      <c r="D1061" s="127">
        <v>42381</v>
      </c>
      <c r="E1061" s="127" t="s">
        <v>598</v>
      </c>
      <c r="F1061" s="184" t="s">
        <v>2728</v>
      </c>
      <c r="G1061" s="185">
        <v>0</v>
      </c>
      <c r="H1061" s="184" t="s">
        <v>598</v>
      </c>
      <c r="I1061" s="184" t="s">
        <v>598</v>
      </c>
      <c r="J1061" s="184" t="s">
        <v>102</v>
      </c>
      <c r="K1061" s="184" t="s">
        <v>233</v>
      </c>
      <c r="L1061" s="184" t="s">
        <v>598</v>
      </c>
      <c r="M1061" s="184" t="s">
        <v>598</v>
      </c>
      <c r="N1061" s="184" t="s">
        <v>63</v>
      </c>
      <c r="O1061" s="184" t="s">
        <v>598</v>
      </c>
      <c r="P1061" s="186" t="s">
        <v>73</v>
      </c>
      <c r="Q1061" s="184" t="s">
        <v>598</v>
      </c>
      <c r="R1061" s="184" t="s">
        <v>598</v>
      </c>
      <c r="S1061" s="127" t="s">
        <v>598</v>
      </c>
      <c r="T1061" s="184" t="s">
        <v>598</v>
      </c>
      <c r="U1061" s="184" t="s">
        <v>598</v>
      </c>
      <c r="V1061" s="185">
        <v>0</v>
      </c>
      <c r="W1061" s="184" t="s">
        <v>485</v>
      </c>
      <c r="X1061" s="184" t="s">
        <v>598</v>
      </c>
      <c r="Y1061" s="185">
        <v>5000</v>
      </c>
      <c r="Z1061" s="184" t="s">
        <v>598</v>
      </c>
      <c r="AA1061" s="21" t="s">
        <v>610</v>
      </c>
      <c r="AB1061" s="176" t="s">
        <v>489</v>
      </c>
      <c r="AC1061" s="172">
        <v>42996.328472222223</v>
      </c>
      <c r="AD1061" s="32" t="s">
        <v>552</v>
      </c>
    </row>
    <row r="1062" spans="1:30">
      <c r="A1062" s="184">
        <v>1061</v>
      </c>
      <c r="B1062" s="184" t="s">
        <v>2729</v>
      </c>
      <c r="C1062" s="184" t="s">
        <v>598</v>
      </c>
      <c r="D1062" s="127">
        <v>42389</v>
      </c>
      <c r="E1062" s="127" t="s">
        <v>598</v>
      </c>
      <c r="F1062" s="184" t="s">
        <v>2730</v>
      </c>
      <c r="G1062" s="185">
        <v>0</v>
      </c>
      <c r="H1062" s="184" t="s">
        <v>598</v>
      </c>
      <c r="I1062" s="184" t="s">
        <v>598</v>
      </c>
      <c r="J1062" s="184" t="s">
        <v>102</v>
      </c>
      <c r="K1062" s="184" t="s">
        <v>233</v>
      </c>
      <c r="L1062" s="184" t="s">
        <v>598</v>
      </c>
      <c r="M1062" s="184" t="s">
        <v>598</v>
      </c>
      <c r="N1062" s="184" t="s">
        <v>63</v>
      </c>
      <c r="O1062" s="184" t="s">
        <v>598</v>
      </c>
      <c r="P1062" s="186" t="s">
        <v>601</v>
      </c>
      <c r="Q1062" s="184" t="s">
        <v>598</v>
      </c>
      <c r="R1062" s="184" t="s">
        <v>598</v>
      </c>
      <c r="S1062" s="127" t="s">
        <v>598</v>
      </c>
      <c r="T1062" s="184" t="s">
        <v>598</v>
      </c>
      <c r="U1062" s="184" t="s">
        <v>598</v>
      </c>
      <c r="V1062" s="185">
        <v>0</v>
      </c>
      <c r="W1062" s="184" t="s">
        <v>485</v>
      </c>
      <c r="X1062" s="184" t="s">
        <v>598</v>
      </c>
      <c r="Y1062" s="185">
        <v>6000</v>
      </c>
      <c r="Z1062" s="184" t="s">
        <v>598</v>
      </c>
      <c r="AA1062" s="21" t="s">
        <v>610</v>
      </c>
      <c r="AB1062" s="176" t="s">
        <v>489</v>
      </c>
      <c r="AC1062" s="172">
        <v>42996.328472222223</v>
      </c>
      <c r="AD1062" s="32" t="s">
        <v>552</v>
      </c>
    </row>
    <row r="1063" spans="1:30">
      <c r="A1063" s="184">
        <v>1062</v>
      </c>
      <c r="B1063" s="184" t="s">
        <v>2731</v>
      </c>
      <c r="C1063" s="184" t="s">
        <v>598</v>
      </c>
      <c r="D1063" s="127">
        <v>42391</v>
      </c>
      <c r="E1063" s="127" t="s">
        <v>598</v>
      </c>
      <c r="F1063" s="184" t="s">
        <v>2732</v>
      </c>
      <c r="G1063" s="185">
        <v>0</v>
      </c>
      <c r="H1063" s="184" t="s">
        <v>598</v>
      </c>
      <c r="I1063" s="184" t="s">
        <v>598</v>
      </c>
      <c r="J1063" s="184" t="s">
        <v>102</v>
      </c>
      <c r="K1063" s="184" t="s">
        <v>233</v>
      </c>
      <c r="L1063" s="184" t="s">
        <v>598</v>
      </c>
      <c r="M1063" s="184" t="s">
        <v>598</v>
      </c>
      <c r="N1063" s="184" t="s">
        <v>63</v>
      </c>
      <c r="O1063" s="184" t="s">
        <v>598</v>
      </c>
      <c r="P1063" s="186" t="s">
        <v>32</v>
      </c>
      <c r="Q1063" s="184" t="s">
        <v>598</v>
      </c>
      <c r="R1063" s="184" t="s">
        <v>598</v>
      </c>
      <c r="S1063" s="127" t="s">
        <v>598</v>
      </c>
      <c r="T1063" s="184" t="s">
        <v>598</v>
      </c>
      <c r="U1063" s="184" t="s">
        <v>598</v>
      </c>
      <c r="V1063" s="185">
        <v>0</v>
      </c>
      <c r="W1063" s="184" t="s">
        <v>485</v>
      </c>
      <c r="X1063" s="184" t="s">
        <v>598</v>
      </c>
      <c r="Y1063" s="185">
        <v>2000</v>
      </c>
      <c r="Z1063" s="184" t="s">
        <v>598</v>
      </c>
      <c r="AA1063" s="21" t="s">
        <v>610</v>
      </c>
      <c r="AB1063" s="176" t="s">
        <v>489</v>
      </c>
      <c r="AC1063" s="172">
        <v>42996.328472222223</v>
      </c>
      <c r="AD1063" s="32" t="s">
        <v>552</v>
      </c>
    </row>
    <row r="1064" spans="1:30">
      <c r="A1064" s="184">
        <v>1063</v>
      </c>
      <c r="B1064" s="184" t="s">
        <v>2733</v>
      </c>
      <c r="C1064" s="184" t="s">
        <v>598</v>
      </c>
      <c r="D1064" s="127">
        <v>42401</v>
      </c>
      <c r="E1064" s="127" t="s">
        <v>598</v>
      </c>
      <c r="F1064" s="184" t="s">
        <v>2734</v>
      </c>
      <c r="G1064" s="185">
        <v>0</v>
      </c>
      <c r="H1064" s="184" t="s">
        <v>598</v>
      </c>
      <c r="I1064" s="184" t="s">
        <v>598</v>
      </c>
      <c r="J1064" s="184" t="s">
        <v>121</v>
      </c>
      <c r="K1064" s="184" t="s">
        <v>418</v>
      </c>
      <c r="L1064" s="184" t="s">
        <v>598</v>
      </c>
      <c r="M1064" s="184" t="s">
        <v>598</v>
      </c>
      <c r="N1064" s="184" t="s">
        <v>63</v>
      </c>
      <c r="O1064" s="184" t="s">
        <v>30</v>
      </c>
      <c r="P1064" s="186" t="s">
        <v>53</v>
      </c>
      <c r="Q1064" s="184" t="s">
        <v>598</v>
      </c>
      <c r="R1064" s="184" t="s">
        <v>598</v>
      </c>
      <c r="S1064" s="127" t="s">
        <v>598</v>
      </c>
      <c r="T1064" s="184" t="s">
        <v>598</v>
      </c>
      <c r="U1064" s="184" t="s">
        <v>598</v>
      </c>
      <c r="V1064" s="185">
        <v>0</v>
      </c>
      <c r="W1064" s="184" t="s">
        <v>485</v>
      </c>
      <c r="X1064" s="184" t="s">
        <v>598</v>
      </c>
      <c r="Y1064" s="185">
        <v>3500</v>
      </c>
      <c r="Z1064" s="184" t="s">
        <v>598</v>
      </c>
      <c r="AA1064" s="21" t="s">
        <v>610</v>
      </c>
      <c r="AB1064" s="176" t="s">
        <v>489</v>
      </c>
      <c r="AC1064" s="172">
        <v>42996.328472222223</v>
      </c>
      <c r="AD1064" s="32" t="s">
        <v>552</v>
      </c>
    </row>
    <row r="1065" spans="1:30">
      <c r="A1065" s="184">
        <v>1064</v>
      </c>
      <c r="B1065" s="184" t="s">
        <v>2735</v>
      </c>
      <c r="C1065" s="184" t="s">
        <v>598</v>
      </c>
      <c r="D1065" s="127">
        <v>42406</v>
      </c>
      <c r="E1065" s="127" t="s">
        <v>598</v>
      </c>
      <c r="F1065" s="184" t="s">
        <v>2736</v>
      </c>
      <c r="G1065" s="185">
        <v>0</v>
      </c>
      <c r="H1065" s="184" t="s">
        <v>598</v>
      </c>
      <c r="I1065" s="184" t="s">
        <v>598</v>
      </c>
      <c r="J1065" s="184" t="s">
        <v>121</v>
      </c>
      <c r="K1065" s="184" t="s">
        <v>377</v>
      </c>
      <c r="L1065" s="184" t="s">
        <v>598</v>
      </c>
      <c r="M1065" s="184" t="s">
        <v>598</v>
      </c>
      <c r="N1065" s="184" t="s">
        <v>63</v>
      </c>
      <c r="O1065" s="184" t="s">
        <v>63</v>
      </c>
      <c r="P1065" s="186" t="s">
        <v>44</v>
      </c>
      <c r="Q1065" s="184" t="s">
        <v>598</v>
      </c>
      <c r="R1065" s="184" t="s">
        <v>598</v>
      </c>
      <c r="S1065" s="127" t="s">
        <v>598</v>
      </c>
      <c r="T1065" s="184" t="s">
        <v>598</v>
      </c>
      <c r="U1065" s="184" t="s">
        <v>598</v>
      </c>
      <c r="V1065" s="185">
        <v>0</v>
      </c>
      <c r="W1065" s="184" t="s">
        <v>485</v>
      </c>
      <c r="X1065" s="184" t="s">
        <v>598</v>
      </c>
      <c r="Y1065" s="185">
        <v>4000</v>
      </c>
      <c r="Z1065" s="184" t="s">
        <v>598</v>
      </c>
      <c r="AA1065" s="21" t="s">
        <v>610</v>
      </c>
      <c r="AB1065" s="176" t="s">
        <v>489</v>
      </c>
      <c r="AC1065" s="172">
        <v>42996.328472222223</v>
      </c>
      <c r="AD1065" s="32" t="s">
        <v>552</v>
      </c>
    </row>
    <row r="1066" spans="1:30">
      <c r="A1066" s="184">
        <v>1065</v>
      </c>
      <c r="B1066" s="184" t="s">
        <v>2737</v>
      </c>
      <c r="C1066" s="184" t="s">
        <v>598</v>
      </c>
      <c r="D1066" s="127">
        <v>42408</v>
      </c>
      <c r="E1066" s="127" t="s">
        <v>598</v>
      </c>
      <c r="F1066" s="184" t="s">
        <v>2738</v>
      </c>
      <c r="G1066" s="185">
        <v>0</v>
      </c>
      <c r="H1066" s="184" t="s">
        <v>598</v>
      </c>
      <c r="I1066" s="184" t="s">
        <v>598</v>
      </c>
      <c r="J1066" s="184" t="s">
        <v>121</v>
      </c>
      <c r="K1066" s="184" t="s">
        <v>419</v>
      </c>
      <c r="L1066" s="184" t="s">
        <v>598</v>
      </c>
      <c r="M1066" s="184" t="s">
        <v>598</v>
      </c>
      <c r="N1066" s="184" t="s">
        <v>63</v>
      </c>
      <c r="O1066" s="184" t="s">
        <v>30</v>
      </c>
      <c r="P1066" s="186" t="s">
        <v>67</v>
      </c>
      <c r="Q1066" s="184" t="s">
        <v>598</v>
      </c>
      <c r="R1066" s="184" t="s">
        <v>598</v>
      </c>
      <c r="S1066" s="127" t="s">
        <v>598</v>
      </c>
      <c r="T1066" s="184" t="s">
        <v>598</v>
      </c>
      <c r="U1066" s="184" t="s">
        <v>598</v>
      </c>
      <c r="V1066" s="185">
        <v>0</v>
      </c>
      <c r="W1066" s="184" t="s">
        <v>485</v>
      </c>
      <c r="X1066" s="184" t="s">
        <v>598</v>
      </c>
      <c r="Y1066" s="185">
        <v>0</v>
      </c>
      <c r="Z1066" s="184" t="s">
        <v>598</v>
      </c>
      <c r="AA1066" s="21" t="s">
        <v>610</v>
      </c>
      <c r="AB1066" s="176" t="s">
        <v>489</v>
      </c>
      <c r="AC1066" s="172">
        <v>42996.328472222223</v>
      </c>
      <c r="AD1066" s="32" t="s">
        <v>552</v>
      </c>
    </row>
    <row r="1067" spans="1:30">
      <c r="A1067" s="184">
        <v>1066</v>
      </c>
      <c r="B1067" s="184" t="s">
        <v>2739</v>
      </c>
      <c r="C1067" s="184" t="s">
        <v>598</v>
      </c>
      <c r="D1067" s="127">
        <v>42408</v>
      </c>
      <c r="E1067" s="127" t="s">
        <v>598</v>
      </c>
      <c r="F1067" s="184" t="s">
        <v>2740</v>
      </c>
      <c r="G1067" s="185">
        <v>0</v>
      </c>
      <c r="H1067" s="184" t="s">
        <v>598</v>
      </c>
      <c r="I1067" s="184" t="s">
        <v>598</v>
      </c>
      <c r="J1067" s="184" t="s">
        <v>121</v>
      </c>
      <c r="K1067" s="184" t="s">
        <v>183</v>
      </c>
      <c r="L1067" s="184" t="s">
        <v>598</v>
      </c>
      <c r="M1067" s="184" t="s">
        <v>598</v>
      </c>
      <c r="N1067" s="184" t="s">
        <v>63</v>
      </c>
      <c r="O1067" s="184" t="s">
        <v>1680</v>
      </c>
      <c r="P1067" s="186" t="s">
        <v>602</v>
      </c>
      <c r="Q1067" s="184" t="s">
        <v>598</v>
      </c>
      <c r="R1067" s="184" t="s">
        <v>598</v>
      </c>
      <c r="S1067" s="127" t="s">
        <v>598</v>
      </c>
      <c r="T1067" s="184" t="s">
        <v>598</v>
      </c>
      <c r="U1067" s="184" t="s">
        <v>598</v>
      </c>
      <c r="V1067" s="185">
        <v>0</v>
      </c>
      <c r="W1067" s="184" t="s">
        <v>485</v>
      </c>
      <c r="X1067" s="184" t="s">
        <v>598</v>
      </c>
      <c r="Y1067" s="185">
        <v>2500</v>
      </c>
      <c r="Z1067" s="184" t="s">
        <v>598</v>
      </c>
      <c r="AA1067" s="21" t="s">
        <v>610</v>
      </c>
      <c r="AB1067" s="176" t="s">
        <v>489</v>
      </c>
      <c r="AC1067" s="172">
        <v>42996.328472222223</v>
      </c>
      <c r="AD1067" s="32" t="s">
        <v>552</v>
      </c>
    </row>
    <row r="1068" spans="1:30">
      <c r="A1068" s="184">
        <v>1067</v>
      </c>
      <c r="B1068" s="184" t="s">
        <v>2741</v>
      </c>
      <c r="C1068" s="184" t="s">
        <v>598</v>
      </c>
      <c r="D1068" s="127">
        <v>42408</v>
      </c>
      <c r="E1068" s="127" t="s">
        <v>598</v>
      </c>
      <c r="F1068" s="184" t="s">
        <v>2742</v>
      </c>
      <c r="G1068" s="185">
        <v>0</v>
      </c>
      <c r="H1068" s="184" t="s">
        <v>598</v>
      </c>
      <c r="I1068" s="184" t="s">
        <v>598</v>
      </c>
      <c r="J1068" s="184" t="s">
        <v>121</v>
      </c>
      <c r="K1068" s="184" t="s">
        <v>183</v>
      </c>
      <c r="L1068" s="184" t="s">
        <v>598</v>
      </c>
      <c r="M1068" s="184" t="s">
        <v>598</v>
      </c>
      <c r="N1068" s="184" t="s">
        <v>63</v>
      </c>
      <c r="O1068" s="184" t="s">
        <v>30</v>
      </c>
      <c r="P1068" s="186" t="s">
        <v>603</v>
      </c>
      <c r="Q1068" s="184" t="s">
        <v>598</v>
      </c>
      <c r="R1068" s="184" t="s">
        <v>598</v>
      </c>
      <c r="S1068" s="127" t="s">
        <v>598</v>
      </c>
      <c r="T1068" s="184" t="s">
        <v>598</v>
      </c>
      <c r="U1068" s="184" t="s">
        <v>598</v>
      </c>
      <c r="V1068" s="185">
        <v>0</v>
      </c>
      <c r="W1068" s="184" t="s">
        <v>485</v>
      </c>
      <c r="X1068" s="184" t="s">
        <v>598</v>
      </c>
      <c r="Y1068" s="185">
        <v>2500</v>
      </c>
      <c r="Z1068" s="184" t="s">
        <v>598</v>
      </c>
      <c r="AA1068" s="21" t="s">
        <v>610</v>
      </c>
      <c r="AB1068" s="176" t="s">
        <v>489</v>
      </c>
      <c r="AC1068" s="172">
        <v>42996.328472222223</v>
      </c>
      <c r="AD1068" s="32" t="s">
        <v>552</v>
      </c>
    </row>
    <row r="1069" spans="1:30">
      <c r="A1069" s="184">
        <v>1068</v>
      </c>
      <c r="B1069" s="184" t="s">
        <v>2743</v>
      </c>
      <c r="C1069" s="184" t="s">
        <v>598</v>
      </c>
      <c r="D1069" s="127">
        <v>42408</v>
      </c>
      <c r="E1069" s="127" t="s">
        <v>598</v>
      </c>
      <c r="F1069" s="184" t="s">
        <v>2744</v>
      </c>
      <c r="G1069" s="185">
        <v>0</v>
      </c>
      <c r="H1069" s="184" t="s">
        <v>598</v>
      </c>
      <c r="I1069" s="184" t="s">
        <v>598</v>
      </c>
      <c r="J1069" s="184" t="s">
        <v>121</v>
      </c>
      <c r="K1069" s="184" t="s">
        <v>183</v>
      </c>
      <c r="L1069" s="184" t="s">
        <v>598</v>
      </c>
      <c r="M1069" s="184" t="s">
        <v>598</v>
      </c>
      <c r="N1069" s="184" t="s">
        <v>63</v>
      </c>
      <c r="O1069" s="184" t="s">
        <v>1680</v>
      </c>
      <c r="P1069" s="186" t="s">
        <v>604</v>
      </c>
      <c r="Q1069" s="184" t="s">
        <v>598</v>
      </c>
      <c r="R1069" s="184" t="s">
        <v>598</v>
      </c>
      <c r="S1069" s="127" t="s">
        <v>598</v>
      </c>
      <c r="T1069" s="184" t="s">
        <v>598</v>
      </c>
      <c r="U1069" s="184" t="s">
        <v>598</v>
      </c>
      <c r="V1069" s="185">
        <v>0</v>
      </c>
      <c r="W1069" s="184" t="s">
        <v>485</v>
      </c>
      <c r="X1069" s="184" t="s">
        <v>598</v>
      </c>
      <c r="Y1069" s="185">
        <v>6000</v>
      </c>
      <c r="Z1069" s="184" t="s">
        <v>598</v>
      </c>
      <c r="AA1069" s="21" t="s">
        <v>610</v>
      </c>
      <c r="AB1069" s="176" t="s">
        <v>489</v>
      </c>
      <c r="AC1069" s="172">
        <v>42996.328472222223</v>
      </c>
      <c r="AD1069" s="32" t="s">
        <v>552</v>
      </c>
    </row>
    <row r="1070" spans="1:30">
      <c r="A1070" s="184">
        <v>1069</v>
      </c>
      <c r="B1070" s="184" t="s">
        <v>2745</v>
      </c>
      <c r="C1070" s="184" t="s">
        <v>598</v>
      </c>
      <c r="D1070" s="127">
        <v>42424</v>
      </c>
      <c r="E1070" s="127" t="s">
        <v>598</v>
      </c>
      <c r="F1070" s="184" t="s">
        <v>2746</v>
      </c>
      <c r="G1070" s="185">
        <v>0</v>
      </c>
      <c r="H1070" s="184" t="s">
        <v>598</v>
      </c>
      <c r="I1070" s="184" t="s">
        <v>598</v>
      </c>
      <c r="J1070" s="184" t="s">
        <v>121</v>
      </c>
      <c r="K1070" s="184" t="s">
        <v>420</v>
      </c>
      <c r="L1070" s="184" t="s">
        <v>598</v>
      </c>
      <c r="M1070" s="184" t="s">
        <v>598</v>
      </c>
      <c r="N1070" s="184" t="s">
        <v>63</v>
      </c>
      <c r="O1070" s="184" t="s">
        <v>1680</v>
      </c>
      <c r="P1070" s="186" t="s">
        <v>605</v>
      </c>
      <c r="Q1070" s="184" t="s">
        <v>598</v>
      </c>
      <c r="R1070" s="184" t="s">
        <v>598</v>
      </c>
      <c r="S1070" s="127" t="s">
        <v>598</v>
      </c>
      <c r="T1070" s="184" t="s">
        <v>598</v>
      </c>
      <c r="U1070" s="184" t="s">
        <v>598</v>
      </c>
      <c r="V1070" s="185">
        <v>0</v>
      </c>
      <c r="W1070" s="184" t="s">
        <v>485</v>
      </c>
      <c r="X1070" s="184" t="s">
        <v>598</v>
      </c>
      <c r="Y1070" s="185">
        <v>3000</v>
      </c>
      <c r="Z1070" s="184" t="s">
        <v>598</v>
      </c>
      <c r="AA1070" s="21" t="s">
        <v>610</v>
      </c>
      <c r="AB1070" s="176" t="s">
        <v>489</v>
      </c>
      <c r="AC1070" s="172">
        <v>42996.328472222223</v>
      </c>
      <c r="AD1070" s="32" t="s">
        <v>552</v>
      </c>
    </row>
    <row r="1071" spans="1:30">
      <c r="A1071" s="184">
        <v>1070</v>
      </c>
      <c r="B1071" s="184" t="s">
        <v>2747</v>
      </c>
      <c r="C1071" s="184" t="s">
        <v>598</v>
      </c>
      <c r="D1071" s="127">
        <v>42425</v>
      </c>
      <c r="E1071" s="127" t="s">
        <v>598</v>
      </c>
      <c r="F1071" s="184" t="s">
        <v>2748</v>
      </c>
      <c r="G1071" s="185">
        <v>0</v>
      </c>
      <c r="H1071" s="184" t="s">
        <v>598</v>
      </c>
      <c r="I1071" s="184" t="s">
        <v>598</v>
      </c>
      <c r="J1071" s="184" t="s">
        <v>121</v>
      </c>
      <c r="K1071" s="184" t="s">
        <v>2749</v>
      </c>
      <c r="L1071" s="184" t="s">
        <v>598</v>
      </c>
      <c r="M1071" s="184" t="s">
        <v>598</v>
      </c>
      <c r="N1071" s="184" t="s">
        <v>63</v>
      </c>
      <c r="O1071" s="184" t="s">
        <v>1680</v>
      </c>
      <c r="P1071" s="186"/>
      <c r="Q1071" s="184" t="s">
        <v>598</v>
      </c>
      <c r="R1071" s="184" t="s">
        <v>598</v>
      </c>
      <c r="S1071" s="127" t="s">
        <v>598</v>
      </c>
      <c r="T1071" s="184" t="s">
        <v>598</v>
      </c>
      <c r="U1071" s="184" t="s">
        <v>598</v>
      </c>
      <c r="V1071" s="185">
        <v>0</v>
      </c>
      <c r="W1071" s="184" t="s">
        <v>485</v>
      </c>
      <c r="X1071" s="184" t="s">
        <v>598</v>
      </c>
      <c r="Y1071" s="185">
        <v>3500</v>
      </c>
      <c r="Z1071" s="184" t="s">
        <v>598</v>
      </c>
      <c r="AA1071" s="21" t="s">
        <v>610</v>
      </c>
      <c r="AB1071" s="176" t="s">
        <v>489</v>
      </c>
      <c r="AC1071" s="172">
        <v>42996.328472222223</v>
      </c>
      <c r="AD1071" s="32" t="s">
        <v>552</v>
      </c>
    </row>
    <row r="1072" spans="1:30">
      <c r="A1072" s="184">
        <v>1071</v>
      </c>
      <c r="B1072" s="184" t="s">
        <v>2750</v>
      </c>
      <c r="C1072" s="184" t="s">
        <v>598</v>
      </c>
      <c r="D1072" s="127">
        <v>42426</v>
      </c>
      <c r="E1072" s="127" t="s">
        <v>598</v>
      </c>
      <c r="F1072" s="184" t="s">
        <v>2751</v>
      </c>
      <c r="G1072" s="185">
        <v>0</v>
      </c>
      <c r="H1072" s="184" t="s">
        <v>598</v>
      </c>
      <c r="I1072" s="184" t="s">
        <v>598</v>
      </c>
      <c r="J1072" s="184" t="s">
        <v>121</v>
      </c>
      <c r="K1072" s="184" t="s">
        <v>267</v>
      </c>
      <c r="L1072" s="184" t="s">
        <v>598</v>
      </c>
      <c r="M1072" s="184" t="s">
        <v>598</v>
      </c>
      <c r="N1072" s="184" t="s">
        <v>63</v>
      </c>
      <c r="O1072" s="184" t="s">
        <v>1680</v>
      </c>
      <c r="P1072" s="186"/>
      <c r="Q1072" s="184" t="s">
        <v>598</v>
      </c>
      <c r="R1072" s="184" t="s">
        <v>598</v>
      </c>
      <c r="S1072" s="127" t="s">
        <v>598</v>
      </c>
      <c r="T1072" s="184" t="s">
        <v>598</v>
      </c>
      <c r="U1072" s="184" t="s">
        <v>598</v>
      </c>
      <c r="V1072" s="185">
        <v>0</v>
      </c>
      <c r="W1072" s="184" t="s">
        <v>485</v>
      </c>
      <c r="X1072" s="184">
        <v>2422</v>
      </c>
      <c r="Y1072" s="185">
        <v>6000</v>
      </c>
      <c r="Z1072" s="184" t="s">
        <v>598</v>
      </c>
      <c r="AA1072" s="21" t="s">
        <v>610</v>
      </c>
      <c r="AB1072" s="176" t="s">
        <v>489</v>
      </c>
      <c r="AC1072" s="172">
        <v>42996.328472222223</v>
      </c>
      <c r="AD1072" s="32" t="s">
        <v>552</v>
      </c>
    </row>
    <row r="1073" spans="1:30">
      <c r="A1073" s="184">
        <v>1072</v>
      </c>
      <c r="B1073" s="184" t="s">
        <v>2752</v>
      </c>
      <c r="C1073" s="184" t="s">
        <v>598</v>
      </c>
      <c r="D1073" s="127">
        <v>42426</v>
      </c>
      <c r="E1073" s="127" t="s">
        <v>598</v>
      </c>
      <c r="F1073" s="184" t="s">
        <v>2753</v>
      </c>
      <c r="G1073" s="185">
        <v>0</v>
      </c>
      <c r="H1073" s="184" t="s">
        <v>598</v>
      </c>
      <c r="I1073" s="184" t="s">
        <v>598</v>
      </c>
      <c r="J1073" s="184" t="s">
        <v>121</v>
      </c>
      <c r="K1073" s="184" t="s">
        <v>204</v>
      </c>
      <c r="L1073" s="184" t="s">
        <v>598</v>
      </c>
      <c r="M1073" s="184" t="s">
        <v>598</v>
      </c>
      <c r="N1073" s="184" t="s">
        <v>63</v>
      </c>
      <c r="O1073" s="184" t="s">
        <v>30</v>
      </c>
      <c r="P1073" s="186" t="s">
        <v>73</v>
      </c>
      <c r="Q1073" s="184" t="s">
        <v>598</v>
      </c>
      <c r="R1073" s="184" t="s">
        <v>598</v>
      </c>
      <c r="S1073" s="127" t="s">
        <v>598</v>
      </c>
      <c r="T1073" s="184" t="s">
        <v>598</v>
      </c>
      <c r="U1073" s="184" t="s">
        <v>598</v>
      </c>
      <c r="V1073" s="185">
        <v>0</v>
      </c>
      <c r="W1073" s="184" t="s">
        <v>485</v>
      </c>
      <c r="X1073" s="184">
        <v>2425</v>
      </c>
      <c r="Y1073" s="185">
        <v>4000</v>
      </c>
      <c r="Z1073" s="184" t="s">
        <v>598</v>
      </c>
      <c r="AA1073" s="21" t="s">
        <v>610</v>
      </c>
      <c r="AB1073" s="176" t="s">
        <v>489</v>
      </c>
      <c r="AC1073" s="172">
        <v>42996.328472222223</v>
      </c>
      <c r="AD1073" s="32" t="s">
        <v>552</v>
      </c>
    </row>
    <row r="1074" spans="1:30">
      <c r="A1074" s="184">
        <v>1073</v>
      </c>
      <c r="B1074" s="184" t="s">
        <v>2754</v>
      </c>
      <c r="C1074" s="184" t="s">
        <v>598</v>
      </c>
      <c r="D1074" s="127">
        <v>42427</v>
      </c>
      <c r="E1074" s="127" t="s">
        <v>598</v>
      </c>
      <c r="F1074" s="184" t="s">
        <v>2755</v>
      </c>
      <c r="G1074" s="185">
        <v>0</v>
      </c>
      <c r="H1074" s="184" t="s">
        <v>598</v>
      </c>
      <c r="I1074" s="184" t="s">
        <v>598</v>
      </c>
      <c r="J1074" s="184" t="s">
        <v>121</v>
      </c>
      <c r="K1074" s="184" t="s">
        <v>421</v>
      </c>
      <c r="L1074" s="184" t="s">
        <v>598</v>
      </c>
      <c r="M1074" s="184" t="s">
        <v>598</v>
      </c>
      <c r="N1074" s="184" t="s">
        <v>63</v>
      </c>
      <c r="O1074" s="184" t="s">
        <v>1680</v>
      </c>
      <c r="P1074" s="186" t="s">
        <v>601</v>
      </c>
      <c r="Q1074" s="184" t="s">
        <v>598</v>
      </c>
      <c r="R1074" s="184" t="s">
        <v>598</v>
      </c>
      <c r="S1074" s="127" t="s">
        <v>598</v>
      </c>
      <c r="T1074" s="184" t="s">
        <v>598</v>
      </c>
      <c r="U1074" s="184" t="s">
        <v>598</v>
      </c>
      <c r="V1074" s="185">
        <v>0</v>
      </c>
      <c r="W1074" s="184" t="s">
        <v>485</v>
      </c>
      <c r="X1074" s="184" t="s">
        <v>598</v>
      </c>
      <c r="Y1074" s="185">
        <v>2500</v>
      </c>
      <c r="Z1074" s="184" t="s">
        <v>598</v>
      </c>
      <c r="AA1074" s="21" t="s">
        <v>610</v>
      </c>
      <c r="AB1074" s="176" t="s">
        <v>489</v>
      </c>
      <c r="AC1074" s="172">
        <v>42996.328472222223</v>
      </c>
      <c r="AD1074" s="32" t="s">
        <v>552</v>
      </c>
    </row>
    <row r="1075" spans="1:30">
      <c r="A1075" s="184">
        <v>1074</v>
      </c>
      <c r="B1075" s="184" t="s">
        <v>2756</v>
      </c>
      <c r="C1075" s="184" t="s">
        <v>598</v>
      </c>
      <c r="D1075" s="127">
        <v>42427</v>
      </c>
      <c r="E1075" s="127" t="s">
        <v>598</v>
      </c>
      <c r="F1075" s="184" t="s">
        <v>2757</v>
      </c>
      <c r="G1075" s="185">
        <v>0</v>
      </c>
      <c r="H1075" s="184" t="s">
        <v>598</v>
      </c>
      <c r="I1075" s="184" t="s">
        <v>598</v>
      </c>
      <c r="J1075" s="184" t="s">
        <v>121</v>
      </c>
      <c r="K1075" s="184" t="s">
        <v>2749</v>
      </c>
      <c r="L1075" s="184" t="s">
        <v>598</v>
      </c>
      <c r="M1075" s="184" t="s">
        <v>598</v>
      </c>
      <c r="N1075" s="184" t="s">
        <v>63</v>
      </c>
      <c r="O1075" s="184" t="s">
        <v>1680</v>
      </c>
      <c r="P1075" s="186" t="s">
        <v>32</v>
      </c>
      <c r="Q1075" s="184" t="s">
        <v>598</v>
      </c>
      <c r="R1075" s="184" t="s">
        <v>598</v>
      </c>
      <c r="S1075" s="127" t="s">
        <v>598</v>
      </c>
      <c r="T1075" s="184" t="s">
        <v>598</v>
      </c>
      <c r="U1075" s="184" t="s">
        <v>598</v>
      </c>
      <c r="V1075" s="185">
        <v>0</v>
      </c>
      <c r="W1075" s="184" t="s">
        <v>485</v>
      </c>
      <c r="X1075" s="184" t="s">
        <v>598</v>
      </c>
      <c r="Y1075" s="185">
        <v>10000</v>
      </c>
      <c r="Z1075" s="184" t="s">
        <v>598</v>
      </c>
      <c r="AA1075" s="21" t="s">
        <v>610</v>
      </c>
      <c r="AB1075" s="176" t="s">
        <v>489</v>
      </c>
      <c r="AC1075" s="172">
        <v>42996.328472222223</v>
      </c>
      <c r="AD1075" s="32" t="s">
        <v>552</v>
      </c>
    </row>
    <row r="1076" spans="1:30">
      <c r="A1076" s="184">
        <v>1075</v>
      </c>
      <c r="B1076" s="184" t="s">
        <v>2758</v>
      </c>
      <c r="C1076" s="184" t="s">
        <v>598</v>
      </c>
      <c r="D1076" s="127">
        <v>42420</v>
      </c>
      <c r="E1076" s="127" t="s">
        <v>598</v>
      </c>
      <c r="F1076" s="184" t="s">
        <v>2759</v>
      </c>
      <c r="G1076" s="185">
        <v>0</v>
      </c>
      <c r="H1076" s="184" t="s">
        <v>598</v>
      </c>
      <c r="I1076" s="184" t="s">
        <v>598</v>
      </c>
      <c r="J1076" s="184" t="s">
        <v>102</v>
      </c>
      <c r="K1076" s="184" t="s">
        <v>233</v>
      </c>
      <c r="L1076" s="184" t="s">
        <v>598</v>
      </c>
      <c r="M1076" s="184" t="s">
        <v>598</v>
      </c>
      <c r="N1076" s="184" t="s">
        <v>63</v>
      </c>
      <c r="O1076" s="184" t="s">
        <v>598</v>
      </c>
      <c r="P1076" s="186" t="s">
        <v>53</v>
      </c>
      <c r="Q1076" s="184" t="s">
        <v>598</v>
      </c>
      <c r="R1076" s="184" t="s">
        <v>598</v>
      </c>
      <c r="S1076" s="127" t="s">
        <v>598</v>
      </c>
      <c r="T1076" s="184" t="s">
        <v>598</v>
      </c>
      <c r="U1076" s="184" t="s">
        <v>598</v>
      </c>
      <c r="V1076" s="185">
        <v>0</v>
      </c>
      <c r="W1076" s="184" t="s">
        <v>485</v>
      </c>
      <c r="X1076" s="184" t="s">
        <v>598</v>
      </c>
      <c r="Y1076" s="185">
        <v>10000</v>
      </c>
      <c r="Z1076" s="184" t="s">
        <v>598</v>
      </c>
      <c r="AA1076" s="21" t="s">
        <v>610</v>
      </c>
      <c r="AB1076" s="176" t="s">
        <v>489</v>
      </c>
      <c r="AC1076" s="172">
        <v>42996.328472222223</v>
      </c>
      <c r="AD1076" s="32" t="s">
        <v>552</v>
      </c>
    </row>
    <row r="1077" spans="1:30">
      <c r="A1077" s="184">
        <v>1076</v>
      </c>
      <c r="B1077" s="184" t="s">
        <v>2760</v>
      </c>
      <c r="C1077" s="184" t="s">
        <v>598</v>
      </c>
      <c r="D1077" s="127">
        <v>42406</v>
      </c>
      <c r="E1077" s="127" t="s">
        <v>598</v>
      </c>
      <c r="F1077" s="184" t="s">
        <v>2761</v>
      </c>
      <c r="G1077" s="185">
        <v>0</v>
      </c>
      <c r="H1077" s="184" t="s">
        <v>598</v>
      </c>
      <c r="I1077" s="184" t="s">
        <v>598</v>
      </c>
      <c r="J1077" s="184" t="s">
        <v>119</v>
      </c>
      <c r="K1077" s="184" t="s">
        <v>280</v>
      </c>
      <c r="L1077" s="184" t="s">
        <v>598</v>
      </c>
      <c r="M1077" s="184" t="s">
        <v>598</v>
      </c>
      <c r="N1077" s="184" t="s">
        <v>63</v>
      </c>
      <c r="O1077" s="184" t="s">
        <v>598</v>
      </c>
      <c r="P1077" s="186" t="s">
        <v>44</v>
      </c>
      <c r="Q1077" s="184" t="s">
        <v>598</v>
      </c>
      <c r="R1077" s="184" t="s">
        <v>598</v>
      </c>
      <c r="S1077" s="127" t="s">
        <v>598</v>
      </c>
      <c r="T1077" s="184" t="s">
        <v>598</v>
      </c>
      <c r="U1077" s="184" t="s">
        <v>598</v>
      </c>
      <c r="V1077" s="185">
        <v>0</v>
      </c>
      <c r="W1077" s="184" t="s">
        <v>485</v>
      </c>
      <c r="X1077" s="184" t="s">
        <v>598</v>
      </c>
      <c r="Y1077" s="185">
        <v>2500</v>
      </c>
      <c r="Z1077" s="184" t="s">
        <v>598</v>
      </c>
      <c r="AA1077" s="21" t="s">
        <v>610</v>
      </c>
      <c r="AB1077" s="176" t="s">
        <v>489</v>
      </c>
      <c r="AC1077" s="172">
        <v>42996.328472222223</v>
      </c>
      <c r="AD1077" s="32" t="s">
        <v>552</v>
      </c>
    </row>
    <row r="1078" spans="1:30">
      <c r="A1078" s="184">
        <v>1077</v>
      </c>
      <c r="B1078" s="184" t="s">
        <v>2762</v>
      </c>
      <c r="C1078" s="184" t="s">
        <v>598</v>
      </c>
      <c r="D1078" s="127">
        <v>42414</v>
      </c>
      <c r="E1078" s="127" t="s">
        <v>598</v>
      </c>
      <c r="F1078" s="184" t="s">
        <v>1132</v>
      </c>
      <c r="G1078" s="185">
        <v>0</v>
      </c>
      <c r="H1078" s="184" t="s">
        <v>598</v>
      </c>
      <c r="I1078" s="184" t="s">
        <v>598</v>
      </c>
      <c r="J1078" s="184" t="s">
        <v>119</v>
      </c>
      <c r="K1078" s="184" t="s">
        <v>184</v>
      </c>
      <c r="L1078" s="184" t="s">
        <v>598</v>
      </c>
      <c r="M1078" s="184" t="s">
        <v>598</v>
      </c>
      <c r="N1078" s="184" t="s">
        <v>63</v>
      </c>
      <c r="O1078" s="184" t="s">
        <v>598</v>
      </c>
      <c r="P1078" s="186" t="s">
        <v>67</v>
      </c>
      <c r="Q1078" s="184" t="s">
        <v>598</v>
      </c>
      <c r="R1078" s="184" t="s">
        <v>598</v>
      </c>
      <c r="S1078" s="127" t="s">
        <v>598</v>
      </c>
      <c r="T1078" s="184" t="s">
        <v>598</v>
      </c>
      <c r="U1078" s="184" t="s">
        <v>598</v>
      </c>
      <c r="V1078" s="185">
        <v>0</v>
      </c>
      <c r="W1078" s="184" t="s">
        <v>485</v>
      </c>
      <c r="X1078" s="184" t="s">
        <v>598</v>
      </c>
      <c r="Y1078" s="185">
        <v>2000</v>
      </c>
      <c r="Z1078" s="184" t="s">
        <v>598</v>
      </c>
      <c r="AA1078" s="21" t="s">
        <v>610</v>
      </c>
      <c r="AB1078" s="176" t="s">
        <v>489</v>
      </c>
      <c r="AC1078" s="172">
        <v>42996.328472222223</v>
      </c>
      <c r="AD1078" s="32" t="s">
        <v>552</v>
      </c>
    </row>
    <row r="1079" spans="1:30">
      <c r="A1079" s="184">
        <v>1078</v>
      </c>
      <c r="B1079" s="184" t="s">
        <v>2763</v>
      </c>
      <c r="C1079" s="184" t="s">
        <v>598</v>
      </c>
      <c r="D1079" s="127">
        <v>42416</v>
      </c>
      <c r="E1079" s="127" t="s">
        <v>598</v>
      </c>
      <c r="F1079" s="184" t="s">
        <v>2764</v>
      </c>
      <c r="G1079" s="185">
        <v>0</v>
      </c>
      <c r="H1079" s="184" t="s">
        <v>598</v>
      </c>
      <c r="I1079" s="184" t="s">
        <v>598</v>
      </c>
      <c r="J1079" s="184" t="s">
        <v>119</v>
      </c>
      <c r="K1079" s="184" t="s">
        <v>184</v>
      </c>
      <c r="L1079" s="184" t="s">
        <v>598</v>
      </c>
      <c r="M1079" s="184" t="s">
        <v>598</v>
      </c>
      <c r="N1079" s="184" t="s">
        <v>63</v>
      </c>
      <c r="O1079" s="184" t="s">
        <v>598</v>
      </c>
      <c r="P1079" s="186" t="s">
        <v>602</v>
      </c>
      <c r="Q1079" s="184" t="s">
        <v>598</v>
      </c>
      <c r="R1079" s="184" t="s">
        <v>598</v>
      </c>
      <c r="S1079" s="127" t="s">
        <v>598</v>
      </c>
      <c r="T1079" s="184" t="s">
        <v>598</v>
      </c>
      <c r="U1079" s="184" t="s">
        <v>598</v>
      </c>
      <c r="V1079" s="185">
        <v>0</v>
      </c>
      <c r="W1079" s="184" t="s">
        <v>485</v>
      </c>
      <c r="X1079" s="184" t="s">
        <v>598</v>
      </c>
      <c r="Y1079" s="185">
        <v>3000</v>
      </c>
      <c r="Z1079" s="184" t="s">
        <v>598</v>
      </c>
      <c r="AA1079" s="21" t="s">
        <v>610</v>
      </c>
      <c r="AB1079" s="176" t="s">
        <v>489</v>
      </c>
      <c r="AC1079" s="172">
        <v>42996.328472222223</v>
      </c>
      <c r="AD1079" s="32" t="s">
        <v>552</v>
      </c>
    </row>
    <row r="1080" spans="1:30">
      <c r="A1080" s="184">
        <v>1079</v>
      </c>
      <c r="B1080" s="184" t="s">
        <v>2765</v>
      </c>
      <c r="C1080" s="184" t="s">
        <v>598</v>
      </c>
      <c r="D1080" s="127">
        <v>42420</v>
      </c>
      <c r="E1080" s="127" t="s">
        <v>598</v>
      </c>
      <c r="F1080" s="184" t="s">
        <v>2766</v>
      </c>
      <c r="G1080" s="185">
        <v>0</v>
      </c>
      <c r="H1080" s="184" t="s">
        <v>598</v>
      </c>
      <c r="I1080" s="184" t="s">
        <v>598</v>
      </c>
      <c r="J1080" s="184" t="s">
        <v>119</v>
      </c>
      <c r="K1080" s="184" t="s">
        <v>2767</v>
      </c>
      <c r="L1080" s="184" t="s">
        <v>598</v>
      </c>
      <c r="M1080" s="184" t="s">
        <v>598</v>
      </c>
      <c r="N1080" s="184" t="s">
        <v>63</v>
      </c>
      <c r="O1080" s="184" t="s">
        <v>598</v>
      </c>
      <c r="P1080" s="186" t="s">
        <v>603</v>
      </c>
      <c r="Q1080" s="184" t="s">
        <v>598</v>
      </c>
      <c r="R1080" s="184" t="s">
        <v>598</v>
      </c>
      <c r="S1080" s="127" t="s">
        <v>598</v>
      </c>
      <c r="T1080" s="184" t="s">
        <v>598</v>
      </c>
      <c r="U1080" s="184" t="s">
        <v>598</v>
      </c>
      <c r="V1080" s="185">
        <v>0</v>
      </c>
      <c r="W1080" s="184" t="s">
        <v>485</v>
      </c>
      <c r="X1080" s="184" t="s">
        <v>598</v>
      </c>
      <c r="Y1080" s="185">
        <v>3500</v>
      </c>
      <c r="Z1080" s="184" t="s">
        <v>598</v>
      </c>
      <c r="AA1080" s="21" t="s">
        <v>610</v>
      </c>
      <c r="AB1080" s="176" t="s">
        <v>489</v>
      </c>
      <c r="AC1080" s="172">
        <v>42996.328472222223</v>
      </c>
      <c r="AD1080" s="32" t="s">
        <v>552</v>
      </c>
    </row>
    <row r="1081" spans="1:30">
      <c r="A1081" s="184">
        <v>1080</v>
      </c>
      <c r="B1081" s="184" t="s">
        <v>2768</v>
      </c>
      <c r="C1081" s="184" t="s">
        <v>598</v>
      </c>
      <c r="D1081" s="127">
        <v>42423</v>
      </c>
      <c r="E1081" s="127" t="s">
        <v>598</v>
      </c>
      <c r="F1081" s="184" t="s">
        <v>2769</v>
      </c>
      <c r="G1081" s="185">
        <v>0</v>
      </c>
      <c r="H1081" s="184" t="s">
        <v>598</v>
      </c>
      <c r="I1081" s="184" t="s">
        <v>598</v>
      </c>
      <c r="J1081" s="184" t="s">
        <v>119</v>
      </c>
      <c r="K1081" s="184" t="s">
        <v>183</v>
      </c>
      <c r="L1081" s="184" t="s">
        <v>598</v>
      </c>
      <c r="M1081" s="184" t="s">
        <v>598</v>
      </c>
      <c r="N1081" s="184" t="s">
        <v>63</v>
      </c>
      <c r="O1081" s="184" t="s">
        <v>598</v>
      </c>
      <c r="P1081" s="186" t="s">
        <v>604</v>
      </c>
      <c r="Q1081" s="184" t="s">
        <v>598</v>
      </c>
      <c r="R1081" s="184" t="s">
        <v>598</v>
      </c>
      <c r="S1081" s="127" t="s">
        <v>598</v>
      </c>
      <c r="T1081" s="184" t="s">
        <v>598</v>
      </c>
      <c r="U1081" s="184" t="s">
        <v>598</v>
      </c>
      <c r="V1081" s="185">
        <v>0</v>
      </c>
      <c r="W1081" s="184" t="s">
        <v>485</v>
      </c>
      <c r="X1081" s="184" t="s">
        <v>598</v>
      </c>
      <c r="Y1081" s="185">
        <v>3800</v>
      </c>
      <c r="Z1081" s="184" t="s">
        <v>598</v>
      </c>
      <c r="AA1081" s="21" t="s">
        <v>610</v>
      </c>
      <c r="AB1081" s="176" t="s">
        <v>489</v>
      </c>
      <c r="AC1081" s="172">
        <v>42996.328472222223</v>
      </c>
      <c r="AD1081" s="32" t="s">
        <v>552</v>
      </c>
    </row>
    <row r="1082" spans="1:30">
      <c r="A1082" s="184">
        <v>1081</v>
      </c>
      <c r="B1082" s="184" t="s">
        <v>2770</v>
      </c>
      <c r="C1082" s="184" t="s">
        <v>598</v>
      </c>
      <c r="D1082" s="127">
        <v>42430</v>
      </c>
      <c r="E1082" s="127" t="s">
        <v>598</v>
      </c>
      <c r="F1082" s="184" t="s">
        <v>2771</v>
      </c>
      <c r="G1082" s="185">
        <v>0</v>
      </c>
      <c r="H1082" s="184" t="s">
        <v>598</v>
      </c>
      <c r="I1082" s="184" t="s">
        <v>134</v>
      </c>
      <c r="J1082" s="184" t="s">
        <v>121</v>
      </c>
      <c r="K1082" s="184" t="s">
        <v>267</v>
      </c>
      <c r="L1082" s="184" t="s">
        <v>598</v>
      </c>
      <c r="M1082" s="184" t="s">
        <v>598</v>
      </c>
      <c r="N1082" s="184" t="s">
        <v>63</v>
      </c>
      <c r="O1082" s="184" t="s">
        <v>1680</v>
      </c>
      <c r="P1082" s="186" t="s">
        <v>605</v>
      </c>
      <c r="Q1082" s="184" t="s">
        <v>598</v>
      </c>
      <c r="R1082" s="184" t="s">
        <v>598</v>
      </c>
      <c r="S1082" s="127" t="s">
        <v>598</v>
      </c>
      <c r="T1082" s="184" t="s">
        <v>598</v>
      </c>
      <c r="U1082" s="184" t="s">
        <v>598</v>
      </c>
      <c r="V1082" s="185">
        <v>0</v>
      </c>
      <c r="W1082" s="184" t="s">
        <v>485</v>
      </c>
      <c r="X1082" s="184">
        <v>2434</v>
      </c>
      <c r="Y1082" s="185">
        <v>2000</v>
      </c>
      <c r="Z1082" s="184" t="s">
        <v>598</v>
      </c>
      <c r="AA1082" s="21" t="s">
        <v>610</v>
      </c>
      <c r="AB1082" s="176" t="s">
        <v>489</v>
      </c>
      <c r="AC1082" s="172">
        <v>42996.328472222223</v>
      </c>
      <c r="AD1082" s="32" t="s">
        <v>552</v>
      </c>
    </row>
    <row r="1083" spans="1:30">
      <c r="A1083" s="184">
        <v>1082</v>
      </c>
      <c r="B1083" s="184" t="s">
        <v>2772</v>
      </c>
      <c r="C1083" s="184" t="s">
        <v>598</v>
      </c>
      <c r="D1083" s="127">
        <v>42430</v>
      </c>
      <c r="E1083" s="127" t="s">
        <v>598</v>
      </c>
      <c r="F1083" s="184" t="s">
        <v>2773</v>
      </c>
      <c r="G1083" s="185">
        <v>0</v>
      </c>
      <c r="H1083" s="184" t="s">
        <v>598</v>
      </c>
      <c r="I1083" s="184" t="s">
        <v>134</v>
      </c>
      <c r="J1083" s="184" t="s">
        <v>121</v>
      </c>
      <c r="K1083" s="184" t="s">
        <v>421</v>
      </c>
      <c r="L1083" s="184" t="s">
        <v>598</v>
      </c>
      <c r="M1083" s="184" t="s">
        <v>598</v>
      </c>
      <c r="N1083" s="184" t="s">
        <v>63</v>
      </c>
      <c r="O1083" s="184" t="s">
        <v>1680</v>
      </c>
      <c r="P1083" s="186"/>
      <c r="Q1083" s="184" t="s">
        <v>598</v>
      </c>
      <c r="R1083" s="184" t="s">
        <v>598</v>
      </c>
      <c r="S1083" s="127" t="s">
        <v>598</v>
      </c>
      <c r="T1083" s="184" t="s">
        <v>598</v>
      </c>
      <c r="U1083" s="184" t="s">
        <v>598</v>
      </c>
      <c r="V1083" s="185">
        <v>0</v>
      </c>
      <c r="W1083" s="184" t="s">
        <v>485</v>
      </c>
      <c r="X1083" s="184" t="s">
        <v>598</v>
      </c>
      <c r="Y1083" s="185">
        <v>2500</v>
      </c>
      <c r="Z1083" s="184" t="s">
        <v>598</v>
      </c>
      <c r="AA1083" s="21" t="s">
        <v>610</v>
      </c>
      <c r="AB1083" s="176" t="s">
        <v>489</v>
      </c>
      <c r="AC1083" s="172">
        <v>42996.328472222223</v>
      </c>
      <c r="AD1083" s="32" t="s">
        <v>552</v>
      </c>
    </row>
    <row r="1084" spans="1:30">
      <c r="A1084" s="184">
        <v>1083</v>
      </c>
      <c r="B1084" s="184" t="s">
        <v>2774</v>
      </c>
      <c r="C1084" s="184" t="s">
        <v>598</v>
      </c>
      <c r="D1084" s="127">
        <v>42441</v>
      </c>
      <c r="E1084" s="127" t="s">
        <v>598</v>
      </c>
      <c r="F1084" s="184" t="s">
        <v>2775</v>
      </c>
      <c r="G1084" s="185">
        <v>0</v>
      </c>
      <c r="H1084" s="184" t="s">
        <v>598</v>
      </c>
      <c r="I1084" s="184" t="s">
        <v>134</v>
      </c>
      <c r="J1084" s="184" t="s">
        <v>121</v>
      </c>
      <c r="K1084" s="184" t="s">
        <v>222</v>
      </c>
      <c r="L1084" s="184" t="s">
        <v>598</v>
      </c>
      <c r="M1084" s="184" t="s">
        <v>598</v>
      </c>
      <c r="N1084" s="184" t="s">
        <v>63</v>
      </c>
      <c r="O1084" s="184" t="s">
        <v>63</v>
      </c>
      <c r="P1084" s="186"/>
      <c r="Q1084" s="184" t="s">
        <v>598</v>
      </c>
      <c r="R1084" s="184" t="s">
        <v>598</v>
      </c>
      <c r="S1084" s="127" t="s">
        <v>598</v>
      </c>
      <c r="T1084" s="184" t="s">
        <v>598</v>
      </c>
      <c r="U1084" s="184" t="s">
        <v>598</v>
      </c>
      <c r="V1084" s="185">
        <v>0</v>
      </c>
      <c r="W1084" s="184" t="s">
        <v>485</v>
      </c>
      <c r="X1084" s="184" t="s">
        <v>598</v>
      </c>
      <c r="Y1084" s="185">
        <v>3500</v>
      </c>
      <c r="Z1084" s="184" t="s">
        <v>598</v>
      </c>
      <c r="AA1084" s="21" t="s">
        <v>610</v>
      </c>
      <c r="AB1084" s="176" t="s">
        <v>489</v>
      </c>
      <c r="AC1084" s="172">
        <v>42996.328472222223</v>
      </c>
      <c r="AD1084" s="32" t="s">
        <v>552</v>
      </c>
    </row>
    <row r="1085" spans="1:30">
      <c r="A1085" s="184">
        <v>1084</v>
      </c>
      <c r="B1085" s="184" t="s">
        <v>2776</v>
      </c>
      <c r="C1085" s="184" t="s">
        <v>598</v>
      </c>
      <c r="D1085" s="127">
        <v>42458</v>
      </c>
      <c r="E1085" s="127" t="s">
        <v>598</v>
      </c>
      <c r="F1085" s="184" t="s">
        <v>2777</v>
      </c>
      <c r="G1085" s="185">
        <v>0</v>
      </c>
      <c r="H1085" s="184" t="s">
        <v>598</v>
      </c>
      <c r="I1085" s="184" t="s">
        <v>598</v>
      </c>
      <c r="J1085" s="184" t="s">
        <v>121</v>
      </c>
      <c r="K1085" s="184" t="s">
        <v>191</v>
      </c>
      <c r="L1085" s="184" t="s">
        <v>598</v>
      </c>
      <c r="M1085" s="184" t="s">
        <v>598</v>
      </c>
      <c r="N1085" s="184" t="s">
        <v>63</v>
      </c>
      <c r="O1085" s="184" t="s">
        <v>63</v>
      </c>
      <c r="P1085" s="186" t="s">
        <v>73</v>
      </c>
      <c r="Q1085" s="184" t="s">
        <v>598</v>
      </c>
      <c r="R1085" s="184" t="s">
        <v>598</v>
      </c>
      <c r="S1085" s="127" t="s">
        <v>598</v>
      </c>
      <c r="T1085" s="184" t="s">
        <v>598</v>
      </c>
      <c r="U1085" s="184" t="s">
        <v>598</v>
      </c>
      <c r="V1085" s="185">
        <v>0</v>
      </c>
      <c r="W1085" s="184" t="s">
        <v>485</v>
      </c>
      <c r="X1085" s="184" t="s">
        <v>598</v>
      </c>
      <c r="Y1085" s="185">
        <v>2000</v>
      </c>
      <c r="Z1085" s="184" t="s">
        <v>598</v>
      </c>
      <c r="AA1085" s="21" t="s">
        <v>610</v>
      </c>
      <c r="AB1085" s="176" t="s">
        <v>489</v>
      </c>
      <c r="AC1085" s="172">
        <v>42996.328472222223</v>
      </c>
      <c r="AD1085" s="32" t="s">
        <v>552</v>
      </c>
    </row>
    <row r="1086" spans="1:30">
      <c r="A1086" s="184">
        <v>1085</v>
      </c>
      <c r="B1086" s="184" t="s">
        <v>2778</v>
      </c>
      <c r="C1086" s="184" t="s">
        <v>598</v>
      </c>
      <c r="D1086" s="127">
        <v>42436</v>
      </c>
      <c r="E1086" s="127" t="s">
        <v>598</v>
      </c>
      <c r="F1086" s="184" t="s">
        <v>2779</v>
      </c>
      <c r="G1086" s="185">
        <v>0</v>
      </c>
      <c r="H1086" s="184" t="s">
        <v>598</v>
      </c>
      <c r="I1086" s="184" t="s">
        <v>598</v>
      </c>
      <c r="J1086" s="184" t="s">
        <v>102</v>
      </c>
      <c r="K1086" s="184" t="s">
        <v>233</v>
      </c>
      <c r="L1086" s="184" t="s">
        <v>598</v>
      </c>
      <c r="M1086" s="184" t="s">
        <v>598</v>
      </c>
      <c r="N1086" s="184" t="s">
        <v>63</v>
      </c>
      <c r="O1086" s="184" t="s">
        <v>30</v>
      </c>
      <c r="P1086" s="186" t="s">
        <v>601</v>
      </c>
      <c r="Q1086" s="184" t="s">
        <v>598</v>
      </c>
      <c r="R1086" s="184" t="s">
        <v>598</v>
      </c>
      <c r="S1086" s="127" t="s">
        <v>598</v>
      </c>
      <c r="T1086" s="184" t="s">
        <v>598</v>
      </c>
      <c r="U1086" s="184" t="s">
        <v>598</v>
      </c>
      <c r="V1086" s="185">
        <v>0</v>
      </c>
      <c r="W1086" s="184" t="s">
        <v>485</v>
      </c>
      <c r="X1086" s="184" t="s">
        <v>598</v>
      </c>
      <c r="Y1086" s="185">
        <v>4000</v>
      </c>
      <c r="Z1086" s="184" t="s">
        <v>598</v>
      </c>
      <c r="AA1086" s="21" t="s">
        <v>610</v>
      </c>
      <c r="AB1086" s="176" t="s">
        <v>489</v>
      </c>
      <c r="AC1086" s="172">
        <v>42996.328472222223</v>
      </c>
      <c r="AD1086" s="32" t="s">
        <v>552</v>
      </c>
    </row>
    <row r="1087" spans="1:30">
      <c r="A1087" s="184">
        <v>1086</v>
      </c>
      <c r="B1087" s="184" t="s">
        <v>2780</v>
      </c>
      <c r="C1087" s="184" t="s">
        <v>598</v>
      </c>
      <c r="D1087" s="127">
        <v>42433</v>
      </c>
      <c r="E1087" s="127" t="s">
        <v>598</v>
      </c>
      <c r="F1087" s="184" t="s">
        <v>2781</v>
      </c>
      <c r="G1087" s="185">
        <v>0</v>
      </c>
      <c r="H1087" s="184" t="s">
        <v>598</v>
      </c>
      <c r="I1087" s="184" t="s">
        <v>598</v>
      </c>
      <c r="J1087" s="184" t="s">
        <v>119</v>
      </c>
      <c r="K1087" s="184" t="s">
        <v>162</v>
      </c>
      <c r="L1087" s="184" t="s">
        <v>598</v>
      </c>
      <c r="M1087" s="184" t="s">
        <v>598</v>
      </c>
      <c r="N1087" s="184" t="s">
        <v>63</v>
      </c>
      <c r="O1087" s="184" t="s">
        <v>1680</v>
      </c>
      <c r="P1087" s="186" t="s">
        <v>32</v>
      </c>
      <c r="Q1087" s="184" t="s">
        <v>598</v>
      </c>
      <c r="R1087" s="184" t="s">
        <v>598</v>
      </c>
      <c r="S1087" s="127" t="s">
        <v>598</v>
      </c>
      <c r="T1087" s="184" t="s">
        <v>598</v>
      </c>
      <c r="U1087" s="184" t="s">
        <v>598</v>
      </c>
      <c r="V1087" s="185">
        <v>0</v>
      </c>
      <c r="W1087" s="184" t="s">
        <v>485</v>
      </c>
      <c r="X1087" s="184" t="s">
        <v>598</v>
      </c>
      <c r="Y1087" s="185">
        <v>0</v>
      </c>
      <c r="Z1087" s="184" t="s">
        <v>598</v>
      </c>
      <c r="AA1087" s="21" t="s">
        <v>610</v>
      </c>
      <c r="AB1087" s="176" t="s">
        <v>489</v>
      </c>
      <c r="AC1087" s="172">
        <v>42996.328472222223</v>
      </c>
      <c r="AD1087" s="32" t="s">
        <v>552</v>
      </c>
    </row>
    <row r="1088" spans="1:30">
      <c r="A1088" s="184">
        <v>1087</v>
      </c>
      <c r="B1088" s="184" t="s">
        <v>2782</v>
      </c>
      <c r="C1088" s="184" t="s">
        <v>598</v>
      </c>
      <c r="D1088" s="127">
        <v>42445</v>
      </c>
      <c r="E1088" s="127" t="s">
        <v>598</v>
      </c>
      <c r="F1088" s="184" t="s">
        <v>2783</v>
      </c>
      <c r="G1088" s="185">
        <v>0</v>
      </c>
      <c r="H1088" s="184" t="s">
        <v>598</v>
      </c>
      <c r="I1088" s="184" t="s">
        <v>598</v>
      </c>
      <c r="J1088" s="184" t="s">
        <v>119</v>
      </c>
      <c r="K1088" s="184" t="s">
        <v>183</v>
      </c>
      <c r="L1088" s="184" t="s">
        <v>598</v>
      </c>
      <c r="M1088" s="184" t="s">
        <v>598</v>
      </c>
      <c r="N1088" s="184" t="s">
        <v>63</v>
      </c>
      <c r="O1088" s="184" t="s">
        <v>1680</v>
      </c>
      <c r="P1088" s="186" t="s">
        <v>53</v>
      </c>
      <c r="Q1088" s="184" t="s">
        <v>598</v>
      </c>
      <c r="R1088" s="184" t="s">
        <v>598</v>
      </c>
      <c r="S1088" s="127" t="s">
        <v>598</v>
      </c>
      <c r="T1088" s="184" t="s">
        <v>598</v>
      </c>
      <c r="U1088" s="184" t="s">
        <v>598</v>
      </c>
      <c r="V1088" s="185">
        <v>0</v>
      </c>
      <c r="W1088" s="184" t="s">
        <v>485</v>
      </c>
      <c r="X1088" s="184" t="s">
        <v>598</v>
      </c>
      <c r="Y1088" s="185">
        <v>5000</v>
      </c>
      <c r="Z1088" s="184" t="s">
        <v>598</v>
      </c>
      <c r="AA1088" s="21" t="s">
        <v>610</v>
      </c>
      <c r="AB1088" s="176" t="s">
        <v>489</v>
      </c>
      <c r="AC1088" s="172">
        <v>42996.328472222223</v>
      </c>
      <c r="AD1088" s="32" t="s">
        <v>552</v>
      </c>
    </row>
    <row r="1089" spans="1:30">
      <c r="A1089" s="184">
        <v>1088</v>
      </c>
      <c r="B1089" s="184" t="s">
        <v>2784</v>
      </c>
      <c r="C1089" s="184" t="s">
        <v>598</v>
      </c>
      <c r="D1089" s="127">
        <v>42450</v>
      </c>
      <c r="E1089" s="127" t="s">
        <v>598</v>
      </c>
      <c r="F1089" s="184" t="s">
        <v>2785</v>
      </c>
      <c r="G1089" s="185">
        <v>0</v>
      </c>
      <c r="H1089" s="184" t="s">
        <v>598</v>
      </c>
      <c r="I1089" s="184" t="s">
        <v>598</v>
      </c>
      <c r="J1089" s="184" t="s">
        <v>119</v>
      </c>
      <c r="K1089" s="184" t="s">
        <v>184</v>
      </c>
      <c r="L1089" s="184" t="s">
        <v>598</v>
      </c>
      <c r="M1089" s="184" t="s">
        <v>598</v>
      </c>
      <c r="N1089" s="184" t="s">
        <v>63</v>
      </c>
      <c r="O1089" s="184" t="s">
        <v>1680</v>
      </c>
      <c r="P1089" s="186" t="s">
        <v>44</v>
      </c>
      <c r="Q1089" s="184" t="s">
        <v>598</v>
      </c>
      <c r="R1089" s="184" t="s">
        <v>598</v>
      </c>
      <c r="S1089" s="127" t="s">
        <v>598</v>
      </c>
      <c r="T1089" s="184" t="s">
        <v>598</v>
      </c>
      <c r="U1089" s="184" t="s">
        <v>598</v>
      </c>
      <c r="V1089" s="185">
        <v>0</v>
      </c>
      <c r="W1089" s="184" t="s">
        <v>485</v>
      </c>
      <c r="X1089" s="184" t="s">
        <v>598</v>
      </c>
      <c r="Y1089" s="185">
        <v>2000</v>
      </c>
      <c r="Z1089" s="184" t="s">
        <v>598</v>
      </c>
      <c r="AA1089" s="21" t="s">
        <v>610</v>
      </c>
      <c r="AB1089" s="176" t="s">
        <v>489</v>
      </c>
      <c r="AC1089" s="172">
        <v>42996.328472222223</v>
      </c>
      <c r="AD1089" s="32" t="s">
        <v>552</v>
      </c>
    </row>
    <row r="1090" spans="1:30">
      <c r="A1090" s="184">
        <v>1089</v>
      </c>
      <c r="B1090" s="184" t="s">
        <v>2786</v>
      </c>
      <c r="C1090" s="184" t="s">
        <v>598</v>
      </c>
      <c r="D1090" s="127">
        <v>42478</v>
      </c>
      <c r="E1090" s="127" t="s">
        <v>598</v>
      </c>
      <c r="F1090" s="184" t="s">
        <v>2787</v>
      </c>
      <c r="G1090" s="185">
        <v>0</v>
      </c>
      <c r="H1090" s="184" t="s">
        <v>598</v>
      </c>
      <c r="I1090" s="184" t="s">
        <v>598</v>
      </c>
      <c r="J1090" s="184" t="s">
        <v>119</v>
      </c>
      <c r="K1090" s="184" t="s">
        <v>184</v>
      </c>
      <c r="L1090" s="184" t="s">
        <v>598</v>
      </c>
      <c r="M1090" s="184" t="s">
        <v>598</v>
      </c>
      <c r="N1090" s="184" t="s">
        <v>63</v>
      </c>
      <c r="O1090" s="184" t="s">
        <v>63</v>
      </c>
      <c r="P1090" s="186" t="s">
        <v>67</v>
      </c>
      <c r="Q1090" s="184" t="s">
        <v>598</v>
      </c>
      <c r="R1090" s="184" t="s">
        <v>598</v>
      </c>
      <c r="S1090" s="127" t="s">
        <v>598</v>
      </c>
      <c r="T1090" s="184" t="s">
        <v>598</v>
      </c>
      <c r="U1090" s="184" t="s">
        <v>598</v>
      </c>
      <c r="V1090" s="185">
        <v>0</v>
      </c>
      <c r="W1090" s="184" t="s">
        <v>485</v>
      </c>
      <c r="X1090" s="184" t="s">
        <v>598</v>
      </c>
      <c r="Y1090" s="185">
        <v>4500</v>
      </c>
      <c r="Z1090" s="184" t="s">
        <v>598</v>
      </c>
      <c r="AA1090" s="21" t="s">
        <v>610</v>
      </c>
      <c r="AB1090" s="176" t="s">
        <v>489</v>
      </c>
      <c r="AC1090" s="172">
        <v>42996.328472222223</v>
      </c>
      <c r="AD1090" s="32" t="s">
        <v>552</v>
      </c>
    </row>
    <row r="1091" spans="1:30">
      <c r="A1091" s="184">
        <v>1090</v>
      </c>
      <c r="B1091" s="184" t="s">
        <v>2788</v>
      </c>
      <c r="C1091" s="184" t="s">
        <v>598</v>
      </c>
      <c r="D1091" s="127">
        <v>42483</v>
      </c>
      <c r="E1091" s="127" t="s">
        <v>598</v>
      </c>
      <c r="F1091" s="184" t="s">
        <v>2789</v>
      </c>
      <c r="G1091" s="185">
        <v>0</v>
      </c>
      <c r="H1091" s="184" t="s">
        <v>598</v>
      </c>
      <c r="I1091" s="184" t="s">
        <v>135</v>
      </c>
      <c r="J1091" s="184" t="s">
        <v>119</v>
      </c>
      <c r="K1091" s="184" t="s">
        <v>28</v>
      </c>
      <c r="L1091" s="184" t="s">
        <v>598</v>
      </c>
      <c r="M1091" s="184" t="s">
        <v>598</v>
      </c>
      <c r="N1091" s="184" t="s">
        <v>63</v>
      </c>
      <c r="O1091" s="184" t="s">
        <v>30</v>
      </c>
      <c r="P1091" s="186" t="s">
        <v>602</v>
      </c>
      <c r="Q1091" s="184" t="s">
        <v>598</v>
      </c>
      <c r="R1091" s="184" t="s">
        <v>598</v>
      </c>
      <c r="S1091" s="127" t="s">
        <v>598</v>
      </c>
      <c r="T1091" s="184" t="s">
        <v>598</v>
      </c>
      <c r="U1091" s="184" t="s">
        <v>598</v>
      </c>
      <c r="V1091" s="185">
        <v>0</v>
      </c>
      <c r="W1091" s="184" t="s">
        <v>485</v>
      </c>
      <c r="X1091" s="184" t="s">
        <v>598</v>
      </c>
      <c r="Y1091" s="185">
        <v>6000</v>
      </c>
      <c r="Z1091" s="184" t="s">
        <v>598</v>
      </c>
      <c r="AA1091" s="21" t="s">
        <v>610</v>
      </c>
      <c r="AB1091" s="176" t="s">
        <v>489</v>
      </c>
      <c r="AC1091" s="172">
        <v>42996.328472222223</v>
      </c>
      <c r="AD1091" s="32" t="s">
        <v>552</v>
      </c>
    </row>
    <row r="1092" spans="1:30">
      <c r="A1092" s="184">
        <v>1091</v>
      </c>
      <c r="B1092" s="184" t="s">
        <v>2790</v>
      </c>
      <c r="C1092" s="184" t="s">
        <v>598</v>
      </c>
      <c r="D1092" s="127">
        <v>42487</v>
      </c>
      <c r="E1092" s="127" t="s">
        <v>598</v>
      </c>
      <c r="F1092" s="184" t="s">
        <v>2791</v>
      </c>
      <c r="G1092" s="185">
        <v>0</v>
      </c>
      <c r="H1092" s="184" t="s">
        <v>598</v>
      </c>
      <c r="I1092" s="184" t="s">
        <v>125</v>
      </c>
      <c r="J1092" s="184" t="s">
        <v>119</v>
      </c>
      <c r="K1092" s="184" t="s">
        <v>2767</v>
      </c>
      <c r="L1092" s="184" t="s">
        <v>598</v>
      </c>
      <c r="M1092" s="184" t="s">
        <v>598</v>
      </c>
      <c r="N1092" s="184" t="s">
        <v>63</v>
      </c>
      <c r="O1092" s="184" t="s">
        <v>30</v>
      </c>
      <c r="P1092" s="186" t="s">
        <v>603</v>
      </c>
      <c r="Q1092" s="184" t="s">
        <v>598</v>
      </c>
      <c r="R1092" s="184" t="s">
        <v>598</v>
      </c>
      <c r="S1092" s="127" t="s">
        <v>598</v>
      </c>
      <c r="T1092" s="184" t="s">
        <v>598</v>
      </c>
      <c r="U1092" s="184" t="s">
        <v>598</v>
      </c>
      <c r="V1092" s="185">
        <v>0</v>
      </c>
      <c r="W1092" s="184" t="s">
        <v>485</v>
      </c>
      <c r="X1092" s="184" t="s">
        <v>598</v>
      </c>
      <c r="Y1092" s="185">
        <v>2000</v>
      </c>
      <c r="Z1092" s="184" t="s">
        <v>598</v>
      </c>
      <c r="AA1092" s="21" t="s">
        <v>610</v>
      </c>
      <c r="AB1092" s="176" t="s">
        <v>489</v>
      </c>
      <c r="AC1092" s="172">
        <v>42996.328472222223</v>
      </c>
      <c r="AD1092" s="32" t="s">
        <v>552</v>
      </c>
    </row>
    <row r="1093" spans="1:30">
      <c r="A1093" s="184">
        <v>1092</v>
      </c>
      <c r="B1093" s="184" t="s">
        <v>2792</v>
      </c>
      <c r="C1093" s="184" t="s">
        <v>598</v>
      </c>
      <c r="D1093" s="127">
        <v>42472</v>
      </c>
      <c r="E1093" s="127" t="s">
        <v>598</v>
      </c>
      <c r="F1093" s="184" t="s">
        <v>2793</v>
      </c>
      <c r="G1093" s="185">
        <v>0</v>
      </c>
      <c r="H1093" s="184" t="s">
        <v>598</v>
      </c>
      <c r="I1093" s="184" t="s">
        <v>598</v>
      </c>
      <c r="J1093" s="184" t="s">
        <v>102</v>
      </c>
      <c r="K1093" s="184" t="s">
        <v>126</v>
      </c>
      <c r="L1093" s="184" t="s">
        <v>598</v>
      </c>
      <c r="M1093" s="184" t="s">
        <v>598</v>
      </c>
      <c r="N1093" s="184" t="s">
        <v>63</v>
      </c>
      <c r="O1093" s="184" t="s">
        <v>30</v>
      </c>
      <c r="P1093" s="186" t="s">
        <v>604</v>
      </c>
      <c r="Q1093" s="184" t="s">
        <v>598</v>
      </c>
      <c r="R1093" s="184" t="s">
        <v>598</v>
      </c>
      <c r="S1093" s="127" t="s">
        <v>598</v>
      </c>
      <c r="T1093" s="184" t="s">
        <v>598</v>
      </c>
      <c r="U1093" s="184" t="s">
        <v>598</v>
      </c>
      <c r="V1093" s="185">
        <v>0</v>
      </c>
      <c r="W1093" s="184" t="s">
        <v>485</v>
      </c>
      <c r="X1093" s="184" t="s">
        <v>598</v>
      </c>
      <c r="Y1093" s="185">
        <v>1000</v>
      </c>
      <c r="Z1093" s="184" t="s">
        <v>598</v>
      </c>
      <c r="AA1093" s="21" t="s">
        <v>610</v>
      </c>
      <c r="AB1093" s="176" t="s">
        <v>489</v>
      </c>
      <c r="AC1093" s="172">
        <v>42996.328472222223</v>
      </c>
      <c r="AD1093" s="32" t="s">
        <v>552</v>
      </c>
    </row>
    <row r="1094" spans="1:30">
      <c r="A1094" s="184">
        <v>1093</v>
      </c>
      <c r="B1094" s="184" t="s">
        <v>2794</v>
      </c>
      <c r="C1094" s="184" t="s">
        <v>598</v>
      </c>
      <c r="D1094" s="127">
        <v>42500</v>
      </c>
      <c r="E1094" s="127" t="s">
        <v>598</v>
      </c>
      <c r="F1094" s="184" t="s">
        <v>2795</v>
      </c>
      <c r="G1094" s="185">
        <v>0</v>
      </c>
      <c r="H1094" s="184" t="s">
        <v>598</v>
      </c>
      <c r="I1094" s="184" t="s">
        <v>598</v>
      </c>
      <c r="J1094" s="184" t="s">
        <v>121</v>
      </c>
      <c r="K1094" s="184" t="s">
        <v>415</v>
      </c>
      <c r="L1094" s="184" t="s">
        <v>598</v>
      </c>
      <c r="M1094" s="184" t="s">
        <v>598</v>
      </c>
      <c r="N1094" s="184" t="s">
        <v>63</v>
      </c>
      <c r="O1094" s="184" t="s">
        <v>63</v>
      </c>
      <c r="P1094" s="186" t="s">
        <v>605</v>
      </c>
      <c r="Q1094" s="184" t="s">
        <v>598</v>
      </c>
      <c r="R1094" s="184" t="s">
        <v>598</v>
      </c>
      <c r="S1094" s="127" t="s">
        <v>598</v>
      </c>
      <c r="T1094" s="184" t="s">
        <v>598</v>
      </c>
      <c r="U1094" s="184" t="s">
        <v>598</v>
      </c>
      <c r="V1094" s="185">
        <v>0</v>
      </c>
      <c r="W1094" s="184" t="s">
        <v>485</v>
      </c>
      <c r="X1094" s="184" t="s">
        <v>598</v>
      </c>
      <c r="Y1094" s="185">
        <v>2000</v>
      </c>
      <c r="Z1094" s="184" t="s">
        <v>598</v>
      </c>
      <c r="AA1094" s="21" t="s">
        <v>610</v>
      </c>
      <c r="AB1094" s="176" t="s">
        <v>489</v>
      </c>
      <c r="AC1094" s="172">
        <v>42996.328472222223</v>
      </c>
      <c r="AD1094" s="32" t="s">
        <v>552</v>
      </c>
    </row>
    <row r="1095" spans="1:30">
      <c r="A1095" s="184">
        <v>1094</v>
      </c>
      <c r="B1095" s="184" t="s">
        <v>2796</v>
      </c>
      <c r="C1095" s="184" t="s">
        <v>598</v>
      </c>
      <c r="D1095" s="127">
        <v>42501</v>
      </c>
      <c r="E1095" s="127" t="s">
        <v>598</v>
      </c>
      <c r="F1095" s="184" t="s">
        <v>2797</v>
      </c>
      <c r="G1095" s="185">
        <v>0</v>
      </c>
      <c r="H1095" s="184" t="s">
        <v>598</v>
      </c>
      <c r="I1095" s="184" t="s">
        <v>598</v>
      </c>
      <c r="J1095" s="184" t="s">
        <v>121</v>
      </c>
      <c r="K1095" s="184" t="s">
        <v>2798</v>
      </c>
      <c r="L1095" s="184" t="s">
        <v>598</v>
      </c>
      <c r="M1095" s="184" t="s">
        <v>598</v>
      </c>
      <c r="N1095" s="184" t="s">
        <v>63</v>
      </c>
      <c r="O1095" s="184" t="s">
        <v>598</v>
      </c>
      <c r="P1095" s="186"/>
      <c r="Q1095" s="184" t="s">
        <v>598</v>
      </c>
      <c r="R1095" s="184" t="s">
        <v>598</v>
      </c>
      <c r="S1095" s="127" t="s">
        <v>598</v>
      </c>
      <c r="T1095" s="184" t="s">
        <v>598</v>
      </c>
      <c r="U1095" s="184" t="s">
        <v>598</v>
      </c>
      <c r="V1095" s="185">
        <v>0</v>
      </c>
      <c r="W1095" s="184" t="s">
        <v>485</v>
      </c>
      <c r="X1095" s="184" t="s">
        <v>598</v>
      </c>
      <c r="Y1095" s="185">
        <v>1700</v>
      </c>
      <c r="Z1095" s="184" t="s">
        <v>598</v>
      </c>
      <c r="AA1095" s="21" t="s">
        <v>610</v>
      </c>
      <c r="AB1095" s="176" t="s">
        <v>489</v>
      </c>
      <c r="AC1095" s="172">
        <v>42996.328472222223</v>
      </c>
      <c r="AD1095" s="32" t="s">
        <v>552</v>
      </c>
    </row>
    <row r="1096" spans="1:30">
      <c r="A1096" s="184">
        <v>1095</v>
      </c>
      <c r="B1096" s="184" t="s">
        <v>2799</v>
      </c>
      <c r="C1096" s="184" t="s">
        <v>598</v>
      </c>
      <c r="D1096" s="127">
        <v>42502</v>
      </c>
      <c r="E1096" s="127" t="s">
        <v>598</v>
      </c>
      <c r="F1096" s="184" t="s">
        <v>2800</v>
      </c>
      <c r="G1096" s="185">
        <v>0</v>
      </c>
      <c r="H1096" s="184" t="s">
        <v>598</v>
      </c>
      <c r="I1096" s="184" t="s">
        <v>598</v>
      </c>
      <c r="J1096" s="184" t="s">
        <v>121</v>
      </c>
      <c r="K1096" s="184" t="s">
        <v>341</v>
      </c>
      <c r="L1096" s="184" t="s">
        <v>598</v>
      </c>
      <c r="M1096" s="184" t="s">
        <v>598</v>
      </c>
      <c r="N1096" s="184" t="s">
        <v>63</v>
      </c>
      <c r="O1096" s="184" t="s">
        <v>63</v>
      </c>
      <c r="P1096" s="186"/>
      <c r="Q1096" s="184" t="s">
        <v>598</v>
      </c>
      <c r="R1096" s="184" t="s">
        <v>598</v>
      </c>
      <c r="S1096" s="127" t="s">
        <v>598</v>
      </c>
      <c r="T1096" s="184" t="s">
        <v>598</v>
      </c>
      <c r="U1096" s="184" t="s">
        <v>598</v>
      </c>
      <c r="V1096" s="185">
        <v>0</v>
      </c>
      <c r="W1096" s="184" t="s">
        <v>485</v>
      </c>
      <c r="X1096" s="184">
        <v>1644</v>
      </c>
      <c r="Y1096" s="185">
        <v>5000</v>
      </c>
      <c r="Z1096" s="184" t="s">
        <v>598</v>
      </c>
      <c r="AA1096" s="21" t="s">
        <v>610</v>
      </c>
      <c r="AB1096" s="176" t="s">
        <v>489</v>
      </c>
      <c r="AC1096" s="172">
        <v>42996.328472222223</v>
      </c>
      <c r="AD1096" s="32" t="s">
        <v>552</v>
      </c>
    </row>
    <row r="1097" spans="1:30">
      <c r="A1097" s="184">
        <v>1096</v>
      </c>
      <c r="B1097" s="184" t="s">
        <v>2801</v>
      </c>
      <c r="C1097" s="184" t="s">
        <v>598</v>
      </c>
      <c r="D1097" s="127">
        <v>42508</v>
      </c>
      <c r="E1097" s="127" t="s">
        <v>598</v>
      </c>
      <c r="F1097" s="184" t="s">
        <v>2802</v>
      </c>
      <c r="G1097" s="185">
        <v>0</v>
      </c>
      <c r="H1097" s="184" t="s">
        <v>598</v>
      </c>
      <c r="I1097" s="184" t="s">
        <v>598</v>
      </c>
      <c r="J1097" s="184" t="s">
        <v>121</v>
      </c>
      <c r="K1097" s="184" t="s">
        <v>2803</v>
      </c>
      <c r="L1097" s="184" t="s">
        <v>598</v>
      </c>
      <c r="M1097" s="184" t="s">
        <v>598</v>
      </c>
      <c r="N1097" s="184" t="s">
        <v>63</v>
      </c>
      <c r="O1097" s="184" t="s">
        <v>63</v>
      </c>
      <c r="P1097" s="186" t="s">
        <v>73</v>
      </c>
      <c r="Q1097" s="184" t="s">
        <v>598</v>
      </c>
      <c r="R1097" s="184" t="s">
        <v>598</v>
      </c>
      <c r="S1097" s="127" t="s">
        <v>598</v>
      </c>
      <c r="T1097" s="184" t="s">
        <v>598</v>
      </c>
      <c r="U1097" s="184" t="s">
        <v>598</v>
      </c>
      <c r="V1097" s="185">
        <v>0</v>
      </c>
      <c r="W1097" s="184" t="s">
        <v>485</v>
      </c>
      <c r="X1097" s="184" t="s">
        <v>598</v>
      </c>
      <c r="Y1097" s="185">
        <v>3500</v>
      </c>
      <c r="Z1097" s="184" t="s">
        <v>598</v>
      </c>
      <c r="AA1097" s="21" t="s">
        <v>610</v>
      </c>
      <c r="AB1097" s="176" t="s">
        <v>489</v>
      </c>
      <c r="AC1097" s="172">
        <v>42996.328472222223</v>
      </c>
      <c r="AD1097" s="32" t="s">
        <v>552</v>
      </c>
    </row>
    <row r="1098" spans="1:30">
      <c r="A1098" s="184">
        <v>1097</v>
      </c>
      <c r="B1098" s="184" t="s">
        <v>2804</v>
      </c>
      <c r="C1098" s="184" t="s">
        <v>598</v>
      </c>
      <c r="D1098" s="127">
        <v>42507</v>
      </c>
      <c r="E1098" s="127" t="s">
        <v>598</v>
      </c>
      <c r="F1098" s="184" t="s">
        <v>2805</v>
      </c>
      <c r="G1098" s="185">
        <v>0</v>
      </c>
      <c r="H1098" s="184" t="s">
        <v>598</v>
      </c>
      <c r="I1098" s="184" t="s">
        <v>598</v>
      </c>
      <c r="J1098" s="184" t="s">
        <v>121</v>
      </c>
      <c r="K1098" s="184" t="s">
        <v>422</v>
      </c>
      <c r="L1098" s="184" t="s">
        <v>598</v>
      </c>
      <c r="M1098" s="184" t="s">
        <v>598</v>
      </c>
      <c r="N1098" s="184" t="s">
        <v>63</v>
      </c>
      <c r="O1098" s="184" t="s">
        <v>598</v>
      </c>
      <c r="P1098" s="186" t="s">
        <v>601</v>
      </c>
      <c r="Q1098" s="184" t="s">
        <v>598</v>
      </c>
      <c r="R1098" s="184" t="s">
        <v>598</v>
      </c>
      <c r="S1098" s="127" t="s">
        <v>598</v>
      </c>
      <c r="T1098" s="184" t="s">
        <v>598</v>
      </c>
      <c r="U1098" s="184" t="s">
        <v>598</v>
      </c>
      <c r="V1098" s="185">
        <v>0</v>
      </c>
      <c r="W1098" s="184" t="s">
        <v>485</v>
      </c>
      <c r="X1098" s="184" t="s">
        <v>598</v>
      </c>
      <c r="Y1098" s="185">
        <v>5000</v>
      </c>
      <c r="Z1098" s="184" t="s">
        <v>598</v>
      </c>
      <c r="AA1098" s="21" t="s">
        <v>610</v>
      </c>
      <c r="AB1098" s="176" t="s">
        <v>489</v>
      </c>
      <c r="AC1098" s="172">
        <v>42996.328472222223</v>
      </c>
      <c r="AD1098" s="32" t="s">
        <v>552</v>
      </c>
    </row>
    <row r="1099" spans="1:30">
      <c r="A1099" s="184">
        <v>1098</v>
      </c>
      <c r="B1099" s="184" t="s">
        <v>2806</v>
      </c>
      <c r="C1099" s="184" t="s">
        <v>598</v>
      </c>
      <c r="D1099" s="127">
        <v>42509</v>
      </c>
      <c r="E1099" s="127" t="s">
        <v>598</v>
      </c>
      <c r="F1099" s="184" t="s">
        <v>2807</v>
      </c>
      <c r="G1099" s="185">
        <v>0</v>
      </c>
      <c r="H1099" s="184" t="s">
        <v>598</v>
      </c>
      <c r="I1099" s="184" t="s">
        <v>598</v>
      </c>
      <c r="J1099" s="184" t="s">
        <v>121</v>
      </c>
      <c r="K1099" s="184" t="s">
        <v>423</v>
      </c>
      <c r="L1099" s="184" t="s">
        <v>598</v>
      </c>
      <c r="M1099" s="184" t="s">
        <v>598</v>
      </c>
      <c r="N1099" s="184" t="s">
        <v>63</v>
      </c>
      <c r="O1099" s="184" t="s">
        <v>30</v>
      </c>
      <c r="P1099" s="186" t="s">
        <v>601</v>
      </c>
      <c r="Q1099" s="184" t="s">
        <v>598</v>
      </c>
      <c r="R1099" s="184" t="s">
        <v>598</v>
      </c>
      <c r="S1099" s="127" t="s">
        <v>598</v>
      </c>
      <c r="T1099" s="184" t="s">
        <v>598</v>
      </c>
      <c r="U1099" s="184" t="s">
        <v>598</v>
      </c>
      <c r="V1099" s="185">
        <v>0</v>
      </c>
      <c r="W1099" s="184" t="s">
        <v>485</v>
      </c>
      <c r="X1099" s="184">
        <v>1655</v>
      </c>
      <c r="Y1099" s="185">
        <v>3000</v>
      </c>
      <c r="Z1099" s="184" t="s">
        <v>598</v>
      </c>
      <c r="AA1099" s="21" t="s">
        <v>610</v>
      </c>
      <c r="AB1099" s="176" t="s">
        <v>489</v>
      </c>
      <c r="AC1099" s="172">
        <v>42996.328472222223</v>
      </c>
      <c r="AD1099" s="32" t="s">
        <v>552</v>
      </c>
    </row>
    <row r="1100" spans="1:30">
      <c r="A1100" s="184">
        <v>1099</v>
      </c>
      <c r="B1100" s="184" t="s">
        <v>2808</v>
      </c>
      <c r="C1100" s="184" t="s">
        <v>598</v>
      </c>
      <c r="D1100" s="127">
        <v>42517</v>
      </c>
      <c r="E1100" s="127" t="s">
        <v>598</v>
      </c>
      <c r="F1100" s="184" t="s">
        <v>2809</v>
      </c>
      <c r="G1100" s="185">
        <v>0</v>
      </c>
      <c r="H1100" s="184" t="s">
        <v>598</v>
      </c>
      <c r="I1100" s="184" t="s">
        <v>134</v>
      </c>
      <c r="J1100" s="184" t="s">
        <v>121</v>
      </c>
      <c r="K1100" s="184" t="s">
        <v>225</v>
      </c>
      <c r="L1100" s="184" t="s">
        <v>598</v>
      </c>
      <c r="M1100" s="184" t="s">
        <v>598</v>
      </c>
      <c r="N1100" s="184" t="s">
        <v>63</v>
      </c>
      <c r="O1100" s="184" t="s">
        <v>30</v>
      </c>
      <c r="P1100" s="186" t="s">
        <v>32</v>
      </c>
      <c r="Q1100" s="184" t="s">
        <v>598</v>
      </c>
      <c r="R1100" s="184" t="s">
        <v>598</v>
      </c>
      <c r="S1100" s="127" t="s">
        <v>598</v>
      </c>
      <c r="T1100" s="184" t="s">
        <v>598</v>
      </c>
      <c r="U1100" s="184" t="s">
        <v>598</v>
      </c>
      <c r="V1100" s="185">
        <v>0</v>
      </c>
      <c r="W1100" s="184" t="s">
        <v>485</v>
      </c>
      <c r="X1100" s="184">
        <v>1663</v>
      </c>
      <c r="Y1100" s="185">
        <v>3500</v>
      </c>
      <c r="Z1100" s="184" t="s">
        <v>598</v>
      </c>
      <c r="AA1100" s="21" t="s">
        <v>610</v>
      </c>
      <c r="AB1100" s="176" t="s">
        <v>489</v>
      </c>
      <c r="AC1100" s="172">
        <v>42996.328472222223</v>
      </c>
      <c r="AD1100" s="32" t="s">
        <v>552</v>
      </c>
    </row>
    <row r="1101" spans="1:30">
      <c r="A1101" s="184">
        <v>1100</v>
      </c>
      <c r="B1101" s="184" t="s">
        <v>2810</v>
      </c>
      <c r="C1101" s="184" t="s">
        <v>598</v>
      </c>
      <c r="D1101" s="127">
        <v>42514</v>
      </c>
      <c r="E1101" s="127" t="s">
        <v>598</v>
      </c>
      <c r="F1101" s="184" t="s">
        <v>2811</v>
      </c>
      <c r="G1101" s="185">
        <v>0</v>
      </c>
      <c r="H1101" s="184" t="s">
        <v>598</v>
      </c>
      <c r="I1101" s="184" t="s">
        <v>598</v>
      </c>
      <c r="J1101" s="184" t="s">
        <v>102</v>
      </c>
      <c r="K1101" s="184" t="s">
        <v>183</v>
      </c>
      <c r="L1101" s="184" t="s">
        <v>598</v>
      </c>
      <c r="M1101" s="184" t="s">
        <v>598</v>
      </c>
      <c r="N1101" s="184" t="s">
        <v>63</v>
      </c>
      <c r="O1101" s="184" t="s">
        <v>63</v>
      </c>
      <c r="P1101" s="186" t="s">
        <v>53</v>
      </c>
      <c r="Q1101" s="184" t="s">
        <v>598</v>
      </c>
      <c r="R1101" s="184" t="s">
        <v>598</v>
      </c>
      <c r="S1101" s="127" t="s">
        <v>598</v>
      </c>
      <c r="T1101" s="184" t="s">
        <v>598</v>
      </c>
      <c r="U1101" s="184" t="s">
        <v>598</v>
      </c>
      <c r="V1101" s="185">
        <v>0</v>
      </c>
      <c r="W1101" s="184" t="s">
        <v>485</v>
      </c>
      <c r="X1101" s="184">
        <v>1646</v>
      </c>
      <c r="Y1101" s="185">
        <v>1000</v>
      </c>
      <c r="Z1101" s="184" t="s">
        <v>598</v>
      </c>
      <c r="AA1101" s="21" t="s">
        <v>610</v>
      </c>
      <c r="AB1101" s="176" t="s">
        <v>489</v>
      </c>
      <c r="AC1101" s="172">
        <v>42996.328472222223</v>
      </c>
      <c r="AD1101" s="32" t="s">
        <v>552</v>
      </c>
    </row>
    <row r="1102" spans="1:30">
      <c r="A1102" s="184">
        <v>1101</v>
      </c>
      <c r="B1102" s="184" t="s">
        <v>2812</v>
      </c>
      <c r="C1102" s="184" t="s">
        <v>598</v>
      </c>
      <c r="D1102" s="127">
        <v>42516</v>
      </c>
      <c r="E1102" s="127" t="s">
        <v>598</v>
      </c>
      <c r="F1102" s="184" t="s">
        <v>2813</v>
      </c>
      <c r="G1102" s="185">
        <v>0</v>
      </c>
      <c r="H1102" s="184" t="s">
        <v>598</v>
      </c>
      <c r="I1102" s="184" t="s">
        <v>598</v>
      </c>
      <c r="J1102" s="184" t="s">
        <v>102</v>
      </c>
      <c r="K1102" s="184" t="s">
        <v>424</v>
      </c>
      <c r="L1102" s="184" t="s">
        <v>598</v>
      </c>
      <c r="M1102" s="184" t="s">
        <v>598</v>
      </c>
      <c r="N1102" s="184" t="s">
        <v>63</v>
      </c>
      <c r="O1102" s="184" t="s">
        <v>63</v>
      </c>
      <c r="P1102" s="186" t="s">
        <v>44</v>
      </c>
      <c r="Q1102" s="184" t="s">
        <v>598</v>
      </c>
      <c r="R1102" s="184" t="s">
        <v>598</v>
      </c>
      <c r="S1102" s="127" t="s">
        <v>598</v>
      </c>
      <c r="T1102" s="184" t="s">
        <v>598</v>
      </c>
      <c r="U1102" s="184" t="s">
        <v>598</v>
      </c>
      <c r="V1102" s="185">
        <v>0</v>
      </c>
      <c r="W1102" s="184" t="s">
        <v>485</v>
      </c>
      <c r="X1102" s="184">
        <v>1664</v>
      </c>
      <c r="Y1102" s="185">
        <v>1500</v>
      </c>
      <c r="Z1102" s="184" t="s">
        <v>492</v>
      </c>
      <c r="AA1102" s="21" t="s">
        <v>610</v>
      </c>
      <c r="AB1102" s="176" t="s">
        <v>489</v>
      </c>
      <c r="AC1102" s="172">
        <v>42996.328472222223</v>
      </c>
      <c r="AD1102" s="32" t="s">
        <v>552</v>
      </c>
    </row>
    <row r="1103" spans="1:30">
      <c r="A1103" s="184">
        <v>1102</v>
      </c>
      <c r="B1103" s="184" t="s">
        <v>2814</v>
      </c>
      <c r="C1103" s="184" t="s">
        <v>598</v>
      </c>
      <c r="D1103" s="127">
        <v>42494</v>
      </c>
      <c r="E1103" s="127" t="s">
        <v>598</v>
      </c>
      <c r="F1103" s="184" t="s">
        <v>2815</v>
      </c>
      <c r="G1103" s="185">
        <v>0</v>
      </c>
      <c r="H1103" s="184" t="s">
        <v>598</v>
      </c>
      <c r="I1103" s="184" t="s">
        <v>598</v>
      </c>
      <c r="J1103" s="184" t="s">
        <v>119</v>
      </c>
      <c r="K1103" s="184" t="s">
        <v>28</v>
      </c>
      <c r="L1103" s="184" t="s">
        <v>598</v>
      </c>
      <c r="M1103" s="184" t="s">
        <v>598</v>
      </c>
      <c r="N1103" s="184" t="s">
        <v>63</v>
      </c>
      <c r="O1103" s="184" t="s">
        <v>30</v>
      </c>
      <c r="P1103" s="186" t="s">
        <v>67</v>
      </c>
      <c r="Q1103" s="184" t="s">
        <v>598</v>
      </c>
      <c r="R1103" s="184" t="s">
        <v>598</v>
      </c>
      <c r="S1103" s="127" t="s">
        <v>598</v>
      </c>
      <c r="T1103" s="184" t="s">
        <v>598</v>
      </c>
      <c r="U1103" s="184" t="s">
        <v>598</v>
      </c>
      <c r="V1103" s="185">
        <v>0</v>
      </c>
      <c r="W1103" s="184" t="s">
        <v>485</v>
      </c>
      <c r="X1103" s="184" t="s">
        <v>598</v>
      </c>
      <c r="Y1103" s="185">
        <v>7000</v>
      </c>
      <c r="Z1103" s="184" t="s">
        <v>598</v>
      </c>
      <c r="AA1103" s="21" t="s">
        <v>610</v>
      </c>
      <c r="AB1103" s="176" t="s">
        <v>489</v>
      </c>
      <c r="AC1103" s="172">
        <v>42996.328472222223</v>
      </c>
      <c r="AD1103" s="32" t="s">
        <v>552</v>
      </c>
    </row>
    <row r="1104" spans="1:30">
      <c r="A1104" s="184">
        <v>1103</v>
      </c>
      <c r="B1104" s="184" t="s">
        <v>2816</v>
      </c>
      <c r="C1104" s="184" t="s">
        <v>598</v>
      </c>
      <c r="D1104" s="127">
        <v>42524</v>
      </c>
      <c r="E1104" s="127" t="s">
        <v>598</v>
      </c>
      <c r="F1104" s="184" t="s">
        <v>2817</v>
      </c>
      <c r="G1104" s="185">
        <v>0</v>
      </c>
      <c r="H1104" s="184" t="s">
        <v>598</v>
      </c>
      <c r="I1104" s="184" t="s">
        <v>134</v>
      </c>
      <c r="J1104" s="184" t="s">
        <v>121</v>
      </c>
      <c r="K1104" s="184" t="s">
        <v>425</v>
      </c>
      <c r="L1104" s="184" t="s">
        <v>598</v>
      </c>
      <c r="M1104" s="184" t="s">
        <v>598</v>
      </c>
      <c r="N1104" s="184" t="s">
        <v>63</v>
      </c>
      <c r="O1104" s="184" t="s">
        <v>30</v>
      </c>
      <c r="P1104" s="186" t="s">
        <v>602</v>
      </c>
      <c r="Q1104" s="184" t="s">
        <v>598</v>
      </c>
      <c r="R1104" s="184" t="s">
        <v>598</v>
      </c>
      <c r="S1104" s="127" t="s">
        <v>598</v>
      </c>
      <c r="T1104" s="184" t="s">
        <v>598</v>
      </c>
      <c r="U1104" s="184" t="s">
        <v>598</v>
      </c>
      <c r="V1104" s="185">
        <v>0</v>
      </c>
      <c r="W1104" s="184" t="s">
        <v>485</v>
      </c>
      <c r="X1104" s="184">
        <v>1686</v>
      </c>
      <c r="Y1104" s="185">
        <v>3500</v>
      </c>
      <c r="Z1104" s="184" t="s">
        <v>598</v>
      </c>
      <c r="AA1104" s="21" t="s">
        <v>610</v>
      </c>
      <c r="AB1104" s="176" t="s">
        <v>489</v>
      </c>
      <c r="AC1104" s="172">
        <v>42996.328472222223</v>
      </c>
      <c r="AD1104" s="32" t="s">
        <v>552</v>
      </c>
    </row>
    <row r="1105" spans="1:30">
      <c r="A1105" s="184">
        <v>1104</v>
      </c>
      <c r="B1105" s="184" t="s">
        <v>2818</v>
      </c>
      <c r="C1105" s="184" t="s">
        <v>598</v>
      </c>
      <c r="D1105" s="127">
        <v>42524</v>
      </c>
      <c r="E1105" s="127" t="s">
        <v>598</v>
      </c>
      <c r="F1105" s="184" t="s">
        <v>2819</v>
      </c>
      <c r="G1105" s="185">
        <v>0</v>
      </c>
      <c r="H1105" s="184" t="s">
        <v>598</v>
      </c>
      <c r="I1105" s="184" t="s">
        <v>598</v>
      </c>
      <c r="J1105" s="184" t="s">
        <v>121</v>
      </c>
      <c r="K1105" s="184" t="s">
        <v>425</v>
      </c>
      <c r="L1105" s="184" t="s">
        <v>598</v>
      </c>
      <c r="M1105" s="184" t="s">
        <v>598</v>
      </c>
      <c r="N1105" s="184" t="s">
        <v>63</v>
      </c>
      <c r="O1105" s="184" t="s">
        <v>30</v>
      </c>
      <c r="P1105" s="186" t="s">
        <v>603</v>
      </c>
      <c r="Q1105" s="184" t="s">
        <v>598</v>
      </c>
      <c r="R1105" s="184" t="s">
        <v>598</v>
      </c>
      <c r="S1105" s="127" t="s">
        <v>598</v>
      </c>
      <c r="T1105" s="184" t="s">
        <v>598</v>
      </c>
      <c r="U1105" s="184" t="s">
        <v>598</v>
      </c>
      <c r="V1105" s="185">
        <v>0</v>
      </c>
      <c r="W1105" s="184" t="s">
        <v>485</v>
      </c>
      <c r="X1105" s="184">
        <v>1687</v>
      </c>
      <c r="Y1105" s="185">
        <v>3500</v>
      </c>
      <c r="Z1105" s="184" t="s">
        <v>598</v>
      </c>
      <c r="AA1105" s="21" t="s">
        <v>610</v>
      </c>
      <c r="AB1105" s="176" t="s">
        <v>489</v>
      </c>
      <c r="AC1105" s="172">
        <v>42996.328472222223</v>
      </c>
      <c r="AD1105" s="32" t="s">
        <v>552</v>
      </c>
    </row>
    <row r="1106" spans="1:30">
      <c r="A1106" s="184">
        <v>1105</v>
      </c>
      <c r="B1106" s="184" t="s">
        <v>2820</v>
      </c>
      <c r="C1106" s="184" t="s">
        <v>598</v>
      </c>
      <c r="D1106" s="127">
        <v>42524</v>
      </c>
      <c r="E1106" s="127" t="s">
        <v>598</v>
      </c>
      <c r="F1106" s="184" t="s">
        <v>2821</v>
      </c>
      <c r="G1106" s="185">
        <v>0</v>
      </c>
      <c r="H1106" s="184" t="s">
        <v>598</v>
      </c>
      <c r="I1106" s="184" t="s">
        <v>134</v>
      </c>
      <c r="J1106" s="184" t="s">
        <v>121</v>
      </c>
      <c r="K1106" s="184" t="s">
        <v>426</v>
      </c>
      <c r="L1106" s="184" t="s">
        <v>598</v>
      </c>
      <c r="M1106" s="184" t="s">
        <v>598</v>
      </c>
      <c r="N1106" s="184" t="s">
        <v>63</v>
      </c>
      <c r="O1106" s="184" t="s">
        <v>63</v>
      </c>
      <c r="P1106" s="186" t="s">
        <v>604</v>
      </c>
      <c r="Q1106" s="184" t="s">
        <v>598</v>
      </c>
      <c r="R1106" s="184" t="s">
        <v>598</v>
      </c>
      <c r="S1106" s="127" t="s">
        <v>598</v>
      </c>
      <c r="T1106" s="184" t="s">
        <v>598</v>
      </c>
      <c r="U1106" s="184" t="s">
        <v>598</v>
      </c>
      <c r="V1106" s="185">
        <v>0</v>
      </c>
      <c r="W1106" s="184" t="s">
        <v>485</v>
      </c>
      <c r="X1106" s="184" t="s">
        <v>598</v>
      </c>
      <c r="Y1106" s="185">
        <v>3000</v>
      </c>
      <c r="Z1106" s="184" t="s">
        <v>598</v>
      </c>
      <c r="AA1106" s="21" t="s">
        <v>610</v>
      </c>
      <c r="AB1106" s="176" t="s">
        <v>489</v>
      </c>
      <c r="AC1106" s="172">
        <v>42996.328472222223</v>
      </c>
      <c r="AD1106" s="32" t="s">
        <v>552</v>
      </c>
    </row>
    <row r="1107" spans="1:30">
      <c r="A1107" s="184">
        <v>1106</v>
      </c>
      <c r="B1107" s="184" t="s">
        <v>2822</v>
      </c>
      <c r="C1107" s="184" t="s">
        <v>598</v>
      </c>
      <c r="D1107" s="127">
        <v>42535</v>
      </c>
      <c r="E1107" s="127" t="s">
        <v>598</v>
      </c>
      <c r="F1107" s="184" t="s">
        <v>2823</v>
      </c>
      <c r="G1107" s="185">
        <v>0</v>
      </c>
      <c r="H1107" s="184" t="s">
        <v>598</v>
      </c>
      <c r="I1107" s="184" t="s">
        <v>132</v>
      </c>
      <c r="J1107" s="184" t="s">
        <v>121</v>
      </c>
      <c r="K1107" s="184" t="s">
        <v>427</v>
      </c>
      <c r="L1107" s="184" t="s">
        <v>598</v>
      </c>
      <c r="M1107" s="184" t="s">
        <v>598</v>
      </c>
      <c r="N1107" s="184" t="s">
        <v>63</v>
      </c>
      <c r="O1107" s="184" t="s">
        <v>63</v>
      </c>
      <c r="P1107" s="186"/>
      <c r="Q1107" s="184" t="s">
        <v>598</v>
      </c>
      <c r="R1107" s="184" t="s">
        <v>598</v>
      </c>
      <c r="S1107" s="127" t="s">
        <v>598</v>
      </c>
      <c r="T1107" s="184" t="s">
        <v>598</v>
      </c>
      <c r="U1107" s="184" t="s">
        <v>598</v>
      </c>
      <c r="V1107" s="185">
        <v>0</v>
      </c>
      <c r="W1107" s="184" t="s">
        <v>485</v>
      </c>
      <c r="X1107" s="184">
        <v>1912</v>
      </c>
      <c r="Y1107" s="185">
        <v>3400</v>
      </c>
      <c r="Z1107" s="184" t="s">
        <v>598</v>
      </c>
      <c r="AA1107" s="21" t="s">
        <v>610</v>
      </c>
      <c r="AB1107" s="176" t="s">
        <v>489</v>
      </c>
      <c r="AC1107" s="172">
        <v>42996.328472222223</v>
      </c>
      <c r="AD1107" s="32" t="s">
        <v>552</v>
      </c>
    </row>
    <row r="1108" spans="1:30">
      <c r="A1108" s="184">
        <v>1107</v>
      </c>
      <c r="B1108" s="184" t="s">
        <v>2824</v>
      </c>
      <c r="C1108" s="184" t="s">
        <v>598</v>
      </c>
      <c r="D1108" s="127">
        <v>42537</v>
      </c>
      <c r="E1108" s="127" t="s">
        <v>598</v>
      </c>
      <c r="F1108" s="184" t="s">
        <v>2825</v>
      </c>
      <c r="G1108" s="185">
        <v>0</v>
      </c>
      <c r="H1108" s="184" t="s">
        <v>598</v>
      </c>
      <c r="I1108" s="184" t="s">
        <v>120</v>
      </c>
      <c r="J1108" s="184" t="s">
        <v>121</v>
      </c>
      <c r="K1108" s="184" t="s">
        <v>2826</v>
      </c>
      <c r="L1108" s="184" t="s">
        <v>598</v>
      </c>
      <c r="M1108" s="184" t="s">
        <v>598</v>
      </c>
      <c r="N1108" s="184" t="s">
        <v>63</v>
      </c>
      <c r="O1108" s="184" t="s">
        <v>2692</v>
      </c>
      <c r="P1108" s="186"/>
      <c r="Q1108" s="184" t="s">
        <v>598</v>
      </c>
      <c r="R1108" s="184" t="s">
        <v>598</v>
      </c>
      <c r="S1108" s="127" t="s">
        <v>598</v>
      </c>
      <c r="T1108" s="184" t="s">
        <v>598</v>
      </c>
      <c r="U1108" s="184" t="s">
        <v>598</v>
      </c>
      <c r="V1108" s="185">
        <v>0</v>
      </c>
      <c r="W1108" s="184" t="s">
        <v>485</v>
      </c>
      <c r="X1108" s="184">
        <v>1924</v>
      </c>
      <c r="Y1108" s="185">
        <v>10000</v>
      </c>
      <c r="Z1108" s="184" t="s">
        <v>598</v>
      </c>
      <c r="AA1108" s="21" t="s">
        <v>610</v>
      </c>
      <c r="AB1108" s="176" t="s">
        <v>489</v>
      </c>
      <c r="AC1108" s="172">
        <v>42996.328472222223</v>
      </c>
      <c r="AD1108" s="32" t="s">
        <v>552</v>
      </c>
    </row>
    <row r="1109" spans="1:30">
      <c r="A1109" s="184">
        <v>1108</v>
      </c>
      <c r="B1109" s="184" t="s">
        <v>2827</v>
      </c>
      <c r="C1109" s="184" t="s">
        <v>598</v>
      </c>
      <c r="D1109" s="127">
        <v>42539</v>
      </c>
      <c r="E1109" s="127" t="s">
        <v>598</v>
      </c>
      <c r="F1109" s="184" t="s">
        <v>2828</v>
      </c>
      <c r="G1109" s="185">
        <v>0</v>
      </c>
      <c r="H1109" s="184" t="s">
        <v>598</v>
      </c>
      <c r="I1109" s="184" t="s">
        <v>125</v>
      </c>
      <c r="J1109" s="184" t="s">
        <v>121</v>
      </c>
      <c r="K1109" s="184" t="s">
        <v>428</v>
      </c>
      <c r="L1109" s="184" t="s">
        <v>598</v>
      </c>
      <c r="M1109" s="184" t="s">
        <v>598</v>
      </c>
      <c r="N1109" s="184" t="s">
        <v>63</v>
      </c>
      <c r="O1109" s="184" t="s">
        <v>63</v>
      </c>
      <c r="P1109" s="186"/>
      <c r="Q1109" s="184" t="s">
        <v>598</v>
      </c>
      <c r="R1109" s="184" t="s">
        <v>598</v>
      </c>
      <c r="S1109" s="127" t="s">
        <v>598</v>
      </c>
      <c r="T1109" s="184" t="s">
        <v>598</v>
      </c>
      <c r="U1109" s="184" t="s">
        <v>598</v>
      </c>
      <c r="V1109" s="185">
        <v>0</v>
      </c>
      <c r="W1109" s="184" t="s">
        <v>485</v>
      </c>
      <c r="X1109" s="184">
        <v>1928</v>
      </c>
      <c r="Y1109" s="185">
        <v>5000</v>
      </c>
      <c r="Z1109" s="184" t="s">
        <v>598</v>
      </c>
      <c r="AA1109" s="21" t="s">
        <v>610</v>
      </c>
      <c r="AB1109" s="176" t="s">
        <v>489</v>
      </c>
      <c r="AC1109" s="172">
        <v>42996.328472222223</v>
      </c>
      <c r="AD1109" s="32" t="s">
        <v>552</v>
      </c>
    </row>
    <row r="1110" spans="1:30">
      <c r="A1110" s="184">
        <v>1109</v>
      </c>
      <c r="B1110" s="184" t="s">
        <v>2829</v>
      </c>
      <c r="C1110" s="184" t="s">
        <v>598</v>
      </c>
      <c r="D1110" s="127">
        <v>42551</v>
      </c>
      <c r="E1110" s="127" t="s">
        <v>598</v>
      </c>
      <c r="F1110" s="184" t="s">
        <v>682</v>
      </c>
      <c r="G1110" s="185">
        <v>0</v>
      </c>
      <c r="H1110" s="184" t="s">
        <v>598</v>
      </c>
      <c r="I1110" s="184" t="s">
        <v>598</v>
      </c>
      <c r="J1110" s="184" t="s">
        <v>121</v>
      </c>
      <c r="K1110" s="184" t="s">
        <v>425</v>
      </c>
      <c r="L1110" s="184" t="s">
        <v>598</v>
      </c>
      <c r="M1110" s="184" t="s">
        <v>598</v>
      </c>
      <c r="N1110" s="184" t="s">
        <v>63</v>
      </c>
      <c r="O1110" s="184" t="s">
        <v>63</v>
      </c>
      <c r="P1110" s="186" t="s">
        <v>73</v>
      </c>
      <c r="Q1110" s="184" t="s">
        <v>598</v>
      </c>
      <c r="R1110" s="184" t="s">
        <v>598</v>
      </c>
      <c r="S1110" s="127" t="s">
        <v>598</v>
      </c>
      <c r="T1110" s="184" t="s">
        <v>598</v>
      </c>
      <c r="U1110" s="184" t="s">
        <v>598</v>
      </c>
      <c r="V1110" s="185">
        <v>0</v>
      </c>
      <c r="W1110" s="184" t="s">
        <v>485</v>
      </c>
      <c r="X1110" s="184">
        <v>2107</v>
      </c>
      <c r="Y1110" s="185">
        <v>3000</v>
      </c>
      <c r="Z1110" s="184" t="s">
        <v>598</v>
      </c>
      <c r="AA1110" s="21" t="s">
        <v>610</v>
      </c>
      <c r="AB1110" s="176" t="s">
        <v>489</v>
      </c>
      <c r="AC1110" s="172">
        <v>42996.328472222223</v>
      </c>
      <c r="AD1110" s="32" t="s">
        <v>552</v>
      </c>
    </row>
    <row r="1111" spans="1:30">
      <c r="A1111" s="184">
        <v>1110</v>
      </c>
      <c r="B1111" s="184" t="s">
        <v>2830</v>
      </c>
      <c r="C1111" s="184" t="s">
        <v>598</v>
      </c>
      <c r="D1111" s="127">
        <v>42551</v>
      </c>
      <c r="E1111" s="127" t="s">
        <v>598</v>
      </c>
      <c r="F1111" s="184" t="s">
        <v>2831</v>
      </c>
      <c r="G1111" s="185">
        <v>0</v>
      </c>
      <c r="H1111" s="184" t="s">
        <v>598</v>
      </c>
      <c r="I1111" s="184" t="s">
        <v>598</v>
      </c>
      <c r="J1111" s="184" t="s">
        <v>121</v>
      </c>
      <c r="K1111" s="184" t="s">
        <v>425</v>
      </c>
      <c r="L1111" s="184" t="s">
        <v>598</v>
      </c>
      <c r="M1111" s="184" t="s">
        <v>598</v>
      </c>
      <c r="N1111" s="184" t="s">
        <v>63</v>
      </c>
      <c r="O1111" s="184" t="s">
        <v>63</v>
      </c>
      <c r="P1111" s="186" t="s">
        <v>601</v>
      </c>
      <c r="Q1111" s="184" t="s">
        <v>598</v>
      </c>
      <c r="R1111" s="184" t="s">
        <v>598</v>
      </c>
      <c r="S1111" s="127" t="s">
        <v>598</v>
      </c>
      <c r="T1111" s="184" t="s">
        <v>598</v>
      </c>
      <c r="U1111" s="184" t="s">
        <v>598</v>
      </c>
      <c r="V1111" s="185">
        <v>0</v>
      </c>
      <c r="W1111" s="184" t="s">
        <v>485</v>
      </c>
      <c r="X1111" s="184">
        <v>1954</v>
      </c>
      <c r="Y1111" s="185">
        <v>3500</v>
      </c>
      <c r="Z1111" s="184" t="s">
        <v>598</v>
      </c>
      <c r="AA1111" s="21" t="s">
        <v>610</v>
      </c>
      <c r="AB1111" s="176" t="s">
        <v>489</v>
      </c>
      <c r="AC1111" s="172">
        <v>42996.328472222223</v>
      </c>
      <c r="AD1111" s="32" t="s">
        <v>552</v>
      </c>
    </row>
    <row r="1112" spans="1:30">
      <c r="A1112" s="184">
        <v>1111</v>
      </c>
      <c r="B1112" s="184" t="s">
        <v>2832</v>
      </c>
      <c r="C1112" s="184" t="s">
        <v>598</v>
      </c>
      <c r="D1112" s="127">
        <v>42523</v>
      </c>
      <c r="E1112" s="127" t="s">
        <v>598</v>
      </c>
      <c r="F1112" s="184" t="s">
        <v>2833</v>
      </c>
      <c r="G1112" s="185">
        <v>0</v>
      </c>
      <c r="H1112" s="184" t="s">
        <v>598</v>
      </c>
      <c r="I1112" s="184" t="s">
        <v>598</v>
      </c>
      <c r="J1112" s="184" t="s">
        <v>119</v>
      </c>
      <c r="K1112" s="184" t="s">
        <v>162</v>
      </c>
      <c r="L1112" s="184" t="s">
        <v>598</v>
      </c>
      <c r="M1112" s="184" t="s">
        <v>598</v>
      </c>
      <c r="N1112" s="184" t="s">
        <v>63</v>
      </c>
      <c r="O1112" s="184" t="s">
        <v>63</v>
      </c>
      <c r="P1112" s="186" t="s">
        <v>32</v>
      </c>
      <c r="Q1112" s="184" t="s">
        <v>598</v>
      </c>
      <c r="R1112" s="184" t="s">
        <v>598</v>
      </c>
      <c r="S1112" s="127" t="s">
        <v>598</v>
      </c>
      <c r="T1112" s="184" t="s">
        <v>598</v>
      </c>
      <c r="U1112" s="184" t="s">
        <v>598</v>
      </c>
      <c r="V1112" s="185">
        <v>0</v>
      </c>
      <c r="W1112" s="184" t="s">
        <v>485</v>
      </c>
      <c r="X1112" s="184" t="s">
        <v>598</v>
      </c>
      <c r="Y1112" s="185">
        <v>10000</v>
      </c>
      <c r="Z1112" s="184" t="s">
        <v>598</v>
      </c>
      <c r="AA1112" s="21" t="s">
        <v>610</v>
      </c>
      <c r="AB1112" s="176" t="s">
        <v>489</v>
      </c>
      <c r="AC1112" s="172">
        <v>42996.328472222223</v>
      </c>
      <c r="AD1112" s="32" t="s">
        <v>552</v>
      </c>
    </row>
    <row r="1113" spans="1:30">
      <c r="A1113" s="184">
        <v>1112</v>
      </c>
      <c r="B1113" s="184" t="s">
        <v>2834</v>
      </c>
      <c r="C1113" s="184" t="s">
        <v>598</v>
      </c>
      <c r="D1113" s="127">
        <v>42554</v>
      </c>
      <c r="E1113" s="127" t="s">
        <v>598</v>
      </c>
      <c r="F1113" s="184" t="s">
        <v>2835</v>
      </c>
      <c r="G1113" s="185">
        <v>0</v>
      </c>
      <c r="H1113" s="184" t="s">
        <v>598</v>
      </c>
      <c r="I1113" s="184" t="s">
        <v>134</v>
      </c>
      <c r="J1113" s="184" t="s">
        <v>121</v>
      </c>
      <c r="K1113" s="184" t="s">
        <v>207</v>
      </c>
      <c r="L1113" s="184" t="s">
        <v>598</v>
      </c>
      <c r="M1113" s="184" t="s">
        <v>598</v>
      </c>
      <c r="N1113" s="184" t="s">
        <v>63</v>
      </c>
      <c r="O1113" s="184" t="s">
        <v>598</v>
      </c>
      <c r="P1113" s="186" t="s">
        <v>53</v>
      </c>
      <c r="Q1113" s="184" t="s">
        <v>598</v>
      </c>
      <c r="R1113" s="184" t="s">
        <v>598</v>
      </c>
      <c r="S1113" s="127" t="s">
        <v>598</v>
      </c>
      <c r="T1113" s="184" t="s">
        <v>598</v>
      </c>
      <c r="U1113" s="184" t="s">
        <v>598</v>
      </c>
      <c r="V1113" s="185">
        <v>0</v>
      </c>
      <c r="W1113" s="184" t="s">
        <v>485</v>
      </c>
      <c r="X1113" s="184" t="s">
        <v>598</v>
      </c>
      <c r="Y1113" s="185">
        <v>0</v>
      </c>
      <c r="Z1113" s="184" t="s">
        <v>598</v>
      </c>
      <c r="AA1113" s="21" t="s">
        <v>610</v>
      </c>
      <c r="AB1113" s="176" t="s">
        <v>489</v>
      </c>
      <c r="AC1113" s="172">
        <v>42996.328472222223</v>
      </c>
      <c r="AD1113" s="32" t="s">
        <v>552</v>
      </c>
    </row>
    <row r="1114" spans="1:30">
      <c r="A1114" s="184">
        <v>1113</v>
      </c>
      <c r="B1114" s="184" t="s">
        <v>2836</v>
      </c>
      <c r="C1114" s="184" t="s">
        <v>598</v>
      </c>
      <c r="D1114" s="127">
        <v>42562</v>
      </c>
      <c r="E1114" s="127" t="s">
        <v>598</v>
      </c>
      <c r="F1114" s="184" t="s">
        <v>2837</v>
      </c>
      <c r="G1114" s="185">
        <v>0</v>
      </c>
      <c r="H1114" s="184" t="s">
        <v>598</v>
      </c>
      <c r="I1114" s="184" t="s">
        <v>598</v>
      </c>
      <c r="J1114" s="184" t="s">
        <v>121</v>
      </c>
      <c r="K1114" s="184" t="s">
        <v>219</v>
      </c>
      <c r="L1114" s="184" t="s">
        <v>598</v>
      </c>
      <c r="M1114" s="184" t="s">
        <v>598</v>
      </c>
      <c r="N1114" s="184" t="s">
        <v>63</v>
      </c>
      <c r="O1114" s="184" t="s">
        <v>63</v>
      </c>
      <c r="P1114" s="186" t="s">
        <v>44</v>
      </c>
      <c r="Q1114" s="184" t="s">
        <v>598</v>
      </c>
      <c r="R1114" s="184" t="s">
        <v>598</v>
      </c>
      <c r="S1114" s="127" t="s">
        <v>598</v>
      </c>
      <c r="T1114" s="184" t="s">
        <v>598</v>
      </c>
      <c r="U1114" s="184" t="s">
        <v>598</v>
      </c>
      <c r="V1114" s="185">
        <v>0</v>
      </c>
      <c r="W1114" s="184" t="s">
        <v>485</v>
      </c>
      <c r="X1114" s="184">
        <v>1981</v>
      </c>
      <c r="Y1114" s="185">
        <v>2000</v>
      </c>
      <c r="Z1114" s="184" t="s">
        <v>598</v>
      </c>
      <c r="AA1114" s="21" t="s">
        <v>610</v>
      </c>
      <c r="AB1114" s="176" t="s">
        <v>489</v>
      </c>
      <c r="AC1114" s="172">
        <v>42996.328472222223</v>
      </c>
      <c r="AD1114" s="32" t="s">
        <v>552</v>
      </c>
    </row>
    <row r="1115" spans="1:30">
      <c r="A1115" s="184">
        <v>1114</v>
      </c>
      <c r="B1115" s="184" t="s">
        <v>2838</v>
      </c>
      <c r="C1115" s="184" t="s">
        <v>598</v>
      </c>
      <c r="D1115" s="127">
        <v>42565</v>
      </c>
      <c r="E1115" s="127" t="s">
        <v>598</v>
      </c>
      <c r="F1115" s="184" t="s">
        <v>2839</v>
      </c>
      <c r="G1115" s="185">
        <v>0</v>
      </c>
      <c r="H1115" s="184" t="s">
        <v>598</v>
      </c>
      <c r="I1115" s="184" t="s">
        <v>134</v>
      </c>
      <c r="J1115" s="184" t="s">
        <v>121</v>
      </c>
      <c r="K1115" s="184" t="s">
        <v>417</v>
      </c>
      <c r="L1115" s="184" t="s">
        <v>598</v>
      </c>
      <c r="M1115" s="184" t="s">
        <v>598</v>
      </c>
      <c r="N1115" s="184" t="s">
        <v>63</v>
      </c>
      <c r="O1115" s="184" t="s">
        <v>63</v>
      </c>
      <c r="P1115" s="186" t="s">
        <v>67</v>
      </c>
      <c r="Q1115" s="184" t="s">
        <v>598</v>
      </c>
      <c r="R1115" s="184" t="s">
        <v>598</v>
      </c>
      <c r="S1115" s="127" t="s">
        <v>598</v>
      </c>
      <c r="T1115" s="184" t="s">
        <v>598</v>
      </c>
      <c r="U1115" s="184" t="s">
        <v>598</v>
      </c>
      <c r="V1115" s="185">
        <v>0</v>
      </c>
      <c r="W1115" s="184" t="s">
        <v>485</v>
      </c>
      <c r="X1115" s="184" t="s">
        <v>598</v>
      </c>
      <c r="Y1115" s="185">
        <v>0</v>
      </c>
      <c r="Z1115" s="184" t="s">
        <v>598</v>
      </c>
      <c r="AA1115" s="21" t="s">
        <v>610</v>
      </c>
      <c r="AB1115" s="176" t="s">
        <v>489</v>
      </c>
      <c r="AC1115" s="172">
        <v>42996.328472222223</v>
      </c>
      <c r="AD1115" s="32" t="s">
        <v>552</v>
      </c>
    </row>
    <row r="1116" spans="1:30">
      <c r="A1116" s="184">
        <v>1115</v>
      </c>
      <c r="B1116" s="184" t="s">
        <v>2840</v>
      </c>
      <c r="C1116" s="184" t="s">
        <v>598</v>
      </c>
      <c r="D1116" s="127">
        <v>42572</v>
      </c>
      <c r="E1116" s="127" t="s">
        <v>598</v>
      </c>
      <c r="F1116" s="184" t="s">
        <v>2841</v>
      </c>
      <c r="G1116" s="185">
        <v>0</v>
      </c>
      <c r="H1116" s="184" t="s">
        <v>598</v>
      </c>
      <c r="I1116" s="184" t="s">
        <v>598</v>
      </c>
      <c r="J1116" s="184" t="s">
        <v>121</v>
      </c>
      <c r="K1116" s="184" t="s">
        <v>429</v>
      </c>
      <c r="L1116" s="184" t="s">
        <v>598</v>
      </c>
      <c r="M1116" s="184" t="s">
        <v>598</v>
      </c>
      <c r="N1116" s="184" t="s">
        <v>63</v>
      </c>
      <c r="O1116" s="184" t="s">
        <v>63</v>
      </c>
      <c r="P1116" s="186" t="s">
        <v>602</v>
      </c>
      <c r="Q1116" s="184" t="s">
        <v>598</v>
      </c>
      <c r="R1116" s="184" t="s">
        <v>598</v>
      </c>
      <c r="S1116" s="127" t="s">
        <v>598</v>
      </c>
      <c r="T1116" s="184" t="s">
        <v>598</v>
      </c>
      <c r="U1116" s="184" t="s">
        <v>598</v>
      </c>
      <c r="V1116" s="185">
        <v>0</v>
      </c>
      <c r="W1116" s="184" t="s">
        <v>485</v>
      </c>
      <c r="X1116" s="184">
        <v>1996</v>
      </c>
      <c r="Y1116" s="185">
        <v>2000</v>
      </c>
      <c r="Z1116" s="184" t="s">
        <v>598</v>
      </c>
      <c r="AA1116" s="21" t="s">
        <v>610</v>
      </c>
      <c r="AB1116" s="176" t="s">
        <v>489</v>
      </c>
      <c r="AC1116" s="172">
        <v>42996.328472222223</v>
      </c>
      <c r="AD1116" s="32" t="s">
        <v>552</v>
      </c>
    </row>
    <row r="1117" spans="1:30">
      <c r="A1117" s="184">
        <v>1116</v>
      </c>
      <c r="B1117" s="184" t="s">
        <v>2842</v>
      </c>
      <c r="C1117" s="184" t="s">
        <v>598</v>
      </c>
      <c r="D1117" s="127">
        <v>42573</v>
      </c>
      <c r="E1117" s="127" t="s">
        <v>598</v>
      </c>
      <c r="F1117" s="184" t="s">
        <v>2843</v>
      </c>
      <c r="G1117" s="185">
        <v>0</v>
      </c>
      <c r="H1117" s="184" t="s">
        <v>598</v>
      </c>
      <c r="I1117" s="184" t="s">
        <v>598</v>
      </c>
      <c r="J1117" s="184" t="s">
        <v>121</v>
      </c>
      <c r="K1117" s="184" t="s">
        <v>278</v>
      </c>
      <c r="L1117" s="184" t="s">
        <v>598</v>
      </c>
      <c r="M1117" s="184" t="s">
        <v>598</v>
      </c>
      <c r="N1117" s="184" t="s">
        <v>63</v>
      </c>
      <c r="O1117" s="184" t="s">
        <v>63</v>
      </c>
      <c r="P1117" s="186" t="s">
        <v>603</v>
      </c>
      <c r="Q1117" s="184" t="s">
        <v>598</v>
      </c>
      <c r="R1117" s="184" t="s">
        <v>598</v>
      </c>
      <c r="S1117" s="127" t="s">
        <v>598</v>
      </c>
      <c r="T1117" s="184" t="s">
        <v>598</v>
      </c>
      <c r="U1117" s="184" t="s">
        <v>598</v>
      </c>
      <c r="V1117" s="185">
        <v>0</v>
      </c>
      <c r="W1117" s="184" t="s">
        <v>485</v>
      </c>
      <c r="X1117" s="184" t="s">
        <v>598</v>
      </c>
      <c r="Y1117" s="185">
        <v>3000</v>
      </c>
      <c r="Z1117" s="184" t="s">
        <v>598</v>
      </c>
      <c r="AA1117" s="21" t="s">
        <v>610</v>
      </c>
      <c r="AB1117" s="176" t="s">
        <v>489</v>
      </c>
      <c r="AC1117" s="172">
        <v>42996.328472222223</v>
      </c>
      <c r="AD1117" s="32" t="s">
        <v>552</v>
      </c>
    </row>
    <row r="1118" spans="1:30">
      <c r="A1118" s="184">
        <v>1117</v>
      </c>
      <c r="B1118" s="184" t="s">
        <v>2844</v>
      </c>
      <c r="C1118" s="184" t="s">
        <v>598</v>
      </c>
      <c r="D1118" s="127">
        <v>42579</v>
      </c>
      <c r="E1118" s="127" t="s">
        <v>598</v>
      </c>
      <c r="F1118" s="184" t="s">
        <v>2845</v>
      </c>
      <c r="G1118" s="185">
        <v>0</v>
      </c>
      <c r="H1118" s="184" t="s">
        <v>598</v>
      </c>
      <c r="I1118" s="184" t="s">
        <v>598</v>
      </c>
      <c r="J1118" s="184" t="s">
        <v>121</v>
      </c>
      <c r="K1118" s="184" t="s">
        <v>2699</v>
      </c>
      <c r="L1118" s="184" t="s">
        <v>598</v>
      </c>
      <c r="M1118" s="184" t="s">
        <v>598</v>
      </c>
      <c r="N1118" s="184" t="s">
        <v>63</v>
      </c>
      <c r="O1118" s="184" t="s">
        <v>63</v>
      </c>
      <c r="P1118" s="186" t="s">
        <v>604</v>
      </c>
      <c r="Q1118" s="184" t="s">
        <v>598</v>
      </c>
      <c r="R1118" s="184" t="s">
        <v>598</v>
      </c>
      <c r="S1118" s="127" t="s">
        <v>598</v>
      </c>
      <c r="T1118" s="184" t="s">
        <v>598</v>
      </c>
      <c r="U1118" s="184" t="s">
        <v>598</v>
      </c>
      <c r="V1118" s="185">
        <v>0</v>
      </c>
      <c r="W1118" s="184" t="s">
        <v>485</v>
      </c>
      <c r="X1118" s="184">
        <v>2112</v>
      </c>
      <c r="Y1118" s="185">
        <v>2000</v>
      </c>
      <c r="Z1118" s="184" t="s">
        <v>598</v>
      </c>
      <c r="AA1118" s="21" t="s">
        <v>610</v>
      </c>
      <c r="AB1118" s="176" t="s">
        <v>489</v>
      </c>
      <c r="AC1118" s="172">
        <v>42996.328472222223</v>
      </c>
      <c r="AD1118" s="32" t="s">
        <v>552</v>
      </c>
    </row>
    <row r="1119" spans="1:30">
      <c r="A1119" s="184">
        <v>1118</v>
      </c>
      <c r="B1119" s="184" t="s">
        <v>2846</v>
      </c>
      <c r="C1119" s="184" t="s">
        <v>598</v>
      </c>
      <c r="D1119" s="127">
        <v>42583</v>
      </c>
      <c r="E1119" s="127" t="s">
        <v>598</v>
      </c>
      <c r="F1119" s="184" t="s">
        <v>2847</v>
      </c>
      <c r="G1119" s="185">
        <v>0</v>
      </c>
      <c r="H1119" s="184" t="s">
        <v>598</v>
      </c>
      <c r="I1119" s="184" t="s">
        <v>134</v>
      </c>
      <c r="J1119" s="184" t="s">
        <v>121</v>
      </c>
      <c r="K1119" s="184" t="s">
        <v>425</v>
      </c>
      <c r="L1119" s="184" t="s">
        <v>598</v>
      </c>
      <c r="M1119" s="184" t="s">
        <v>598</v>
      </c>
      <c r="N1119" s="184" t="s">
        <v>63</v>
      </c>
      <c r="O1119" s="184" t="s">
        <v>63</v>
      </c>
      <c r="P1119" s="186"/>
      <c r="Q1119" s="184" t="s">
        <v>598</v>
      </c>
      <c r="R1119" s="184" t="s">
        <v>598</v>
      </c>
      <c r="S1119" s="127" t="s">
        <v>598</v>
      </c>
      <c r="T1119" s="184" t="s">
        <v>598</v>
      </c>
      <c r="U1119" s="184" t="s">
        <v>598</v>
      </c>
      <c r="V1119" s="185">
        <v>0</v>
      </c>
      <c r="W1119" s="184" t="s">
        <v>485</v>
      </c>
      <c r="X1119" s="184">
        <v>2113</v>
      </c>
      <c r="Y1119" s="185">
        <v>2500</v>
      </c>
      <c r="Z1119" s="184" t="s">
        <v>598</v>
      </c>
      <c r="AA1119" s="21" t="s">
        <v>610</v>
      </c>
      <c r="AB1119" s="176" t="s">
        <v>489</v>
      </c>
      <c r="AC1119" s="172">
        <v>42996.328472222223</v>
      </c>
      <c r="AD1119" s="32" t="s">
        <v>552</v>
      </c>
    </row>
    <row r="1120" spans="1:30">
      <c r="A1120" s="184">
        <v>1119</v>
      </c>
      <c r="B1120" s="184" t="s">
        <v>2848</v>
      </c>
      <c r="C1120" s="184" t="s">
        <v>598</v>
      </c>
      <c r="D1120" s="127">
        <v>42583</v>
      </c>
      <c r="E1120" s="127" t="s">
        <v>598</v>
      </c>
      <c r="F1120" s="184" t="s">
        <v>2849</v>
      </c>
      <c r="G1120" s="185">
        <v>0</v>
      </c>
      <c r="H1120" s="184" t="s">
        <v>598</v>
      </c>
      <c r="I1120" s="184" t="s">
        <v>134</v>
      </c>
      <c r="J1120" s="184" t="s">
        <v>121</v>
      </c>
      <c r="K1120" s="184" t="s">
        <v>425</v>
      </c>
      <c r="L1120" s="184" t="s">
        <v>598</v>
      </c>
      <c r="M1120" s="184" t="s">
        <v>598</v>
      </c>
      <c r="N1120" s="184" t="s">
        <v>63</v>
      </c>
      <c r="O1120" s="184" t="s">
        <v>30</v>
      </c>
      <c r="P1120" s="186"/>
      <c r="Q1120" s="184" t="s">
        <v>598</v>
      </c>
      <c r="R1120" s="184" t="s">
        <v>598</v>
      </c>
      <c r="S1120" s="127" t="s">
        <v>598</v>
      </c>
      <c r="T1120" s="184" t="s">
        <v>598</v>
      </c>
      <c r="U1120" s="184" t="s">
        <v>598</v>
      </c>
      <c r="V1120" s="185">
        <v>0</v>
      </c>
      <c r="W1120" s="184" t="s">
        <v>485</v>
      </c>
      <c r="X1120" s="184">
        <v>2114</v>
      </c>
      <c r="Y1120" s="185">
        <v>2500</v>
      </c>
      <c r="Z1120" s="184" t="s">
        <v>598</v>
      </c>
      <c r="AA1120" s="21" t="s">
        <v>610</v>
      </c>
      <c r="AB1120" s="176" t="s">
        <v>489</v>
      </c>
      <c r="AC1120" s="172">
        <v>42996.328472222223</v>
      </c>
      <c r="AD1120" s="32" t="s">
        <v>552</v>
      </c>
    </row>
    <row r="1121" spans="1:30">
      <c r="A1121" s="184">
        <v>1120</v>
      </c>
      <c r="B1121" s="184" t="s">
        <v>2850</v>
      </c>
      <c r="C1121" s="184" t="s">
        <v>598</v>
      </c>
      <c r="D1121" s="127">
        <v>42596</v>
      </c>
      <c r="E1121" s="127" t="s">
        <v>598</v>
      </c>
      <c r="F1121" s="184" t="s">
        <v>2851</v>
      </c>
      <c r="G1121" s="185">
        <v>0</v>
      </c>
      <c r="H1121" s="184" t="s">
        <v>598</v>
      </c>
      <c r="I1121" s="184" t="s">
        <v>598</v>
      </c>
      <c r="J1121" s="184" t="s">
        <v>121</v>
      </c>
      <c r="K1121" s="184" t="s">
        <v>418</v>
      </c>
      <c r="L1121" s="184" t="s">
        <v>598</v>
      </c>
      <c r="M1121" s="184" t="s">
        <v>598</v>
      </c>
      <c r="N1121" s="184" t="s">
        <v>63</v>
      </c>
      <c r="O1121" s="184" t="s">
        <v>63</v>
      </c>
      <c r="P1121" s="186"/>
      <c r="Q1121" s="184" t="s">
        <v>598</v>
      </c>
      <c r="R1121" s="184" t="s">
        <v>598</v>
      </c>
      <c r="S1121" s="127" t="s">
        <v>598</v>
      </c>
      <c r="T1121" s="184" t="s">
        <v>598</v>
      </c>
      <c r="U1121" s="184" t="s">
        <v>598</v>
      </c>
      <c r="V1121" s="185">
        <v>0</v>
      </c>
      <c r="W1121" s="184" t="s">
        <v>485</v>
      </c>
      <c r="X1121" s="184">
        <v>2144</v>
      </c>
      <c r="Y1121" s="185">
        <v>1700</v>
      </c>
      <c r="Z1121" s="184" t="s">
        <v>598</v>
      </c>
      <c r="AA1121" s="21" t="s">
        <v>610</v>
      </c>
      <c r="AB1121" s="176" t="s">
        <v>489</v>
      </c>
      <c r="AC1121" s="172">
        <v>42996.328472222223</v>
      </c>
      <c r="AD1121" s="32" t="s">
        <v>552</v>
      </c>
    </row>
    <row r="1122" spans="1:30">
      <c r="A1122" s="184">
        <v>1121</v>
      </c>
      <c r="B1122" s="184" t="s">
        <v>2852</v>
      </c>
      <c r="C1122" s="184" t="s">
        <v>598</v>
      </c>
      <c r="D1122" s="127">
        <v>42606</v>
      </c>
      <c r="E1122" s="127" t="s">
        <v>598</v>
      </c>
      <c r="F1122" s="184" t="s">
        <v>2853</v>
      </c>
      <c r="G1122" s="185">
        <v>0</v>
      </c>
      <c r="H1122" s="184" t="s">
        <v>598</v>
      </c>
      <c r="I1122" s="184" t="s">
        <v>134</v>
      </c>
      <c r="J1122" s="184" t="s">
        <v>121</v>
      </c>
      <c r="K1122" s="184" t="s">
        <v>430</v>
      </c>
      <c r="L1122" s="184" t="s">
        <v>598</v>
      </c>
      <c r="M1122" s="184" t="s">
        <v>598</v>
      </c>
      <c r="N1122" s="184" t="s">
        <v>63</v>
      </c>
      <c r="O1122" s="184" t="s">
        <v>598</v>
      </c>
      <c r="P1122" s="186" t="s">
        <v>73</v>
      </c>
      <c r="Q1122" s="184" t="s">
        <v>598</v>
      </c>
      <c r="R1122" s="184" t="s">
        <v>598</v>
      </c>
      <c r="S1122" s="127" t="s">
        <v>598</v>
      </c>
      <c r="T1122" s="184" t="s">
        <v>598</v>
      </c>
      <c r="U1122" s="184" t="s">
        <v>598</v>
      </c>
      <c r="V1122" s="185">
        <v>0</v>
      </c>
      <c r="W1122" s="184" t="s">
        <v>485</v>
      </c>
      <c r="X1122" s="184">
        <v>2165</v>
      </c>
      <c r="Y1122" s="185">
        <v>4400</v>
      </c>
      <c r="Z1122" s="184" t="s">
        <v>598</v>
      </c>
      <c r="AA1122" s="21" t="s">
        <v>610</v>
      </c>
      <c r="AB1122" s="176" t="s">
        <v>489</v>
      </c>
      <c r="AC1122" s="172">
        <v>42996.328472222223</v>
      </c>
      <c r="AD1122" s="32" t="s">
        <v>552</v>
      </c>
    </row>
    <row r="1123" spans="1:30">
      <c r="A1123" s="184">
        <v>1122</v>
      </c>
      <c r="B1123" s="184" t="s">
        <v>2854</v>
      </c>
      <c r="C1123" s="184" t="s">
        <v>598</v>
      </c>
      <c r="D1123" s="127">
        <v>42606</v>
      </c>
      <c r="E1123" s="127" t="s">
        <v>598</v>
      </c>
      <c r="F1123" s="184" t="s">
        <v>2855</v>
      </c>
      <c r="G1123" s="185">
        <v>0</v>
      </c>
      <c r="H1123" s="184" t="s">
        <v>598</v>
      </c>
      <c r="I1123" s="184" t="s">
        <v>598</v>
      </c>
      <c r="J1123" s="184" t="s">
        <v>121</v>
      </c>
      <c r="K1123" s="184" t="s">
        <v>420</v>
      </c>
      <c r="L1123" s="184" t="s">
        <v>598</v>
      </c>
      <c r="M1123" s="184" t="s">
        <v>598</v>
      </c>
      <c r="N1123" s="184" t="s">
        <v>63</v>
      </c>
      <c r="O1123" s="184" t="s">
        <v>63</v>
      </c>
      <c r="P1123" s="186" t="s">
        <v>601</v>
      </c>
      <c r="Q1123" s="184" t="s">
        <v>598</v>
      </c>
      <c r="R1123" s="184" t="s">
        <v>598</v>
      </c>
      <c r="S1123" s="127" t="s">
        <v>598</v>
      </c>
      <c r="T1123" s="184" t="s">
        <v>598</v>
      </c>
      <c r="U1123" s="184" t="s">
        <v>598</v>
      </c>
      <c r="V1123" s="185">
        <v>0</v>
      </c>
      <c r="W1123" s="184" t="s">
        <v>485</v>
      </c>
      <c r="X1123" s="184">
        <v>2157</v>
      </c>
      <c r="Y1123" s="185">
        <v>2000</v>
      </c>
      <c r="Z1123" s="184" t="s">
        <v>598</v>
      </c>
      <c r="AA1123" s="21" t="s">
        <v>610</v>
      </c>
      <c r="AB1123" s="176" t="s">
        <v>489</v>
      </c>
      <c r="AC1123" s="172">
        <v>42996.328472222223</v>
      </c>
      <c r="AD1123" s="32" t="s">
        <v>552</v>
      </c>
    </row>
    <row r="1124" spans="1:30">
      <c r="A1124" s="184">
        <v>1123</v>
      </c>
      <c r="B1124" s="184" t="s">
        <v>2856</v>
      </c>
      <c r="C1124" s="184" t="s">
        <v>598</v>
      </c>
      <c r="D1124" s="127">
        <v>42586</v>
      </c>
      <c r="E1124" s="127" t="s">
        <v>598</v>
      </c>
      <c r="F1124" s="184" t="s">
        <v>2857</v>
      </c>
      <c r="G1124" s="185">
        <v>0</v>
      </c>
      <c r="H1124" s="184" t="s">
        <v>598</v>
      </c>
      <c r="I1124" s="184" t="s">
        <v>598</v>
      </c>
      <c r="J1124" s="184" t="s">
        <v>102</v>
      </c>
      <c r="K1124" s="184" t="s">
        <v>233</v>
      </c>
      <c r="L1124" s="184" t="s">
        <v>598</v>
      </c>
      <c r="M1124" s="184" t="s">
        <v>598</v>
      </c>
      <c r="N1124" s="184" t="s">
        <v>63</v>
      </c>
      <c r="O1124" s="184" t="s">
        <v>63</v>
      </c>
      <c r="P1124" s="186" t="s">
        <v>32</v>
      </c>
      <c r="Q1124" s="184" t="s">
        <v>598</v>
      </c>
      <c r="R1124" s="184" t="s">
        <v>598</v>
      </c>
      <c r="S1124" s="127" t="s">
        <v>598</v>
      </c>
      <c r="T1124" s="184" t="s">
        <v>598</v>
      </c>
      <c r="U1124" s="184" t="s">
        <v>598</v>
      </c>
      <c r="V1124" s="185">
        <v>0</v>
      </c>
      <c r="W1124" s="184" t="s">
        <v>485</v>
      </c>
      <c r="X1124" s="184">
        <v>2129</v>
      </c>
      <c r="Y1124" s="185">
        <v>1000</v>
      </c>
      <c r="Z1124" s="184" t="s">
        <v>598</v>
      </c>
      <c r="AA1124" s="21" t="s">
        <v>610</v>
      </c>
      <c r="AB1124" s="176" t="s">
        <v>489</v>
      </c>
      <c r="AC1124" s="172">
        <v>42996.328472222223</v>
      </c>
      <c r="AD1124" s="32" t="s">
        <v>552</v>
      </c>
    </row>
    <row r="1125" spans="1:30">
      <c r="A1125" s="184">
        <v>1124</v>
      </c>
      <c r="B1125" s="184" t="s">
        <v>2858</v>
      </c>
      <c r="C1125" s="184" t="s">
        <v>598</v>
      </c>
      <c r="D1125" s="127">
        <v>42590</v>
      </c>
      <c r="E1125" s="127" t="s">
        <v>598</v>
      </c>
      <c r="F1125" s="184" t="s">
        <v>2859</v>
      </c>
      <c r="G1125" s="185">
        <v>0</v>
      </c>
      <c r="H1125" s="184" t="s">
        <v>598</v>
      </c>
      <c r="I1125" s="184" t="s">
        <v>134</v>
      </c>
      <c r="J1125" s="184" t="s">
        <v>102</v>
      </c>
      <c r="K1125" s="184" t="s">
        <v>233</v>
      </c>
      <c r="L1125" s="184" t="s">
        <v>598</v>
      </c>
      <c r="M1125" s="184" t="s">
        <v>598</v>
      </c>
      <c r="N1125" s="184" t="s">
        <v>63</v>
      </c>
      <c r="O1125" s="184" t="s">
        <v>63</v>
      </c>
      <c r="P1125" s="186" t="s">
        <v>53</v>
      </c>
      <c r="Q1125" s="184" t="s">
        <v>598</v>
      </c>
      <c r="R1125" s="184" t="s">
        <v>598</v>
      </c>
      <c r="S1125" s="127" t="s">
        <v>598</v>
      </c>
      <c r="T1125" s="184" t="s">
        <v>598</v>
      </c>
      <c r="U1125" s="184" t="s">
        <v>598</v>
      </c>
      <c r="V1125" s="185">
        <v>0</v>
      </c>
      <c r="W1125" s="184" t="s">
        <v>485</v>
      </c>
      <c r="X1125" s="184" t="s">
        <v>598</v>
      </c>
      <c r="Y1125" s="185">
        <v>10000</v>
      </c>
      <c r="Z1125" s="184" t="s">
        <v>598</v>
      </c>
      <c r="AA1125" s="21" t="s">
        <v>610</v>
      </c>
      <c r="AB1125" s="176" t="s">
        <v>489</v>
      </c>
      <c r="AC1125" s="172">
        <v>42996.328472222223</v>
      </c>
      <c r="AD1125" s="32" t="s">
        <v>552</v>
      </c>
    </row>
    <row r="1126" spans="1:30">
      <c r="A1126" s="184">
        <v>1125</v>
      </c>
      <c r="B1126" s="184" t="s">
        <v>2860</v>
      </c>
      <c r="C1126" s="184" t="s">
        <v>598</v>
      </c>
      <c r="D1126" s="127">
        <v>42591</v>
      </c>
      <c r="E1126" s="127" t="s">
        <v>598</v>
      </c>
      <c r="F1126" s="184" t="s">
        <v>2861</v>
      </c>
      <c r="G1126" s="185">
        <v>0</v>
      </c>
      <c r="H1126" s="184" t="s">
        <v>598</v>
      </c>
      <c r="I1126" s="184" t="s">
        <v>598</v>
      </c>
      <c r="J1126" s="184" t="s">
        <v>116</v>
      </c>
      <c r="K1126" s="184" t="s">
        <v>299</v>
      </c>
      <c r="L1126" s="184" t="s">
        <v>598</v>
      </c>
      <c r="M1126" s="184" t="s">
        <v>598</v>
      </c>
      <c r="N1126" s="184" t="s">
        <v>63</v>
      </c>
      <c r="O1126" s="184" t="s">
        <v>598</v>
      </c>
      <c r="P1126" s="186" t="s">
        <v>44</v>
      </c>
      <c r="Q1126" s="184" t="s">
        <v>598</v>
      </c>
      <c r="R1126" s="184" t="s">
        <v>598</v>
      </c>
      <c r="S1126" s="127" t="s">
        <v>598</v>
      </c>
      <c r="T1126" s="184" t="s">
        <v>598</v>
      </c>
      <c r="U1126" s="184" t="s">
        <v>598</v>
      </c>
      <c r="V1126" s="185">
        <v>0</v>
      </c>
      <c r="W1126" s="184" t="s">
        <v>485</v>
      </c>
      <c r="X1126" s="184">
        <v>2123</v>
      </c>
      <c r="Y1126" s="185">
        <v>2500</v>
      </c>
      <c r="Z1126" s="184" t="s">
        <v>598</v>
      </c>
      <c r="AA1126" s="21" t="s">
        <v>610</v>
      </c>
      <c r="AB1126" s="176" t="s">
        <v>489</v>
      </c>
      <c r="AC1126" s="172">
        <v>42996.328472222223</v>
      </c>
      <c r="AD1126" s="32" t="s">
        <v>552</v>
      </c>
    </row>
    <row r="1127" spans="1:30">
      <c r="A1127" s="184">
        <v>1126</v>
      </c>
      <c r="B1127" s="184" t="s">
        <v>2862</v>
      </c>
      <c r="C1127" s="184" t="s">
        <v>598</v>
      </c>
      <c r="D1127" s="127">
        <v>42591</v>
      </c>
      <c r="E1127" s="127" t="s">
        <v>598</v>
      </c>
      <c r="F1127" s="184" t="s">
        <v>2863</v>
      </c>
      <c r="G1127" s="185">
        <v>0</v>
      </c>
      <c r="H1127" s="184" t="s">
        <v>598</v>
      </c>
      <c r="I1127" s="184" t="s">
        <v>598</v>
      </c>
      <c r="J1127" s="184" t="s">
        <v>116</v>
      </c>
      <c r="K1127" s="184" t="s">
        <v>299</v>
      </c>
      <c r="L1127" s="184" t="s">
        <v>598</v>
      </c>
      <c r="M1127" s="184" t="s">
        <v>598</v>
      </c>
      <c r="N1127" s="184" t="s">
        <v>63</v>
      </c>
      <c r="O1127" s="184" t="s">
        <v>598</v>
      </c>
      <c r="P1127" s="186" t="s">
        <v>67</v>
      </c>
      <c r="Q1127" s="184" t="s">
        <v>598</v>
      </c>
      <c r="R1127" s="184" t="s">
        <v>598</v>
      </c>
      <c r="S1127" s="127" t="s">
        <v>598</v>
      </c>
      <c r="T1127" s="184" t="s">
        <v>598</v>
      </c>
      <c r="U1127" s="184" t="s">
        <v>598</v>
      </c>
      <c r="V1127" s="185">
        <v>0</v>
      </c>
      <c r="W1127" s="184" t="s">
        <v>485</v>
      </c>
      <c r="X1127" s="184">
        <v>2124</v>
      </c>
      <c r="Y1127" s="185">
        <v>2500</v>
      </c>
      <c r="Z1127" s="184" t="s">
        <v>598</v>
      </c>
      <c r="AA1127" s="21" t="s">
        <v>610</v>
      </c>
      <c r="AB1127" s="176" t="s">
        <v>489</v>
      </c>
      <c r="AC1127" s="172">
        <v>42996.328472222223</v>
      </c>
      <c r="AD1127" s="32" t="s">
        <v>552</v>
      </c>
    </row>
    <row r="1128" spans="1:30">
      <c r="A1128" s="184">
        <v>1127</v>
      </c>
      <c r="B1128" s="184" t="s">
        <v>2864</v>
      </c>
      <c r="C1128" s="184" t="s">
        <v>598</v>
      </c>
      <c r="D1128" s="127">
        <v>42617</v>
      </c>
      <c r="E1128" s="127" t="s">
        <v>598</v>
      </c>
      <c r="F1128" s="184" t="s">
        <v>2865</v>
      </c>
      <c r="G1128" s="185">
        <v>0</v>
      </c>
      <c r="H1128" s="184" t="s">
        <v>598</v>
      </c>
      <c r="I1128" s="184" t="s">
        <v>598</v>
      </c>
      <c r="J1128" s="184" t="s">
        <v>121</v>
      </c>
      <c r="K1128" s="184" t="s">
        <v>431</v>
      </c>
      <c r="L1128" s="184" t="s">
        <v>598</v>
      </c>
      <c r="M1128" s="184" t="s">
        <v>598</v>
      </c>
      <c r="N1128" s="184" t="s">
        <v>63</v>
      </c>
      <c r="O1128" s="184" t="s">
        <v>63</v>
      </c>
      <c r="P1128" s="186" t="s">
        <v>602</v>
      </c>
      <c r="Q1128" s="184" t="s">
        <v>598</v>
      </c>
      <c r="R1128" s="184" t="s">
        <v>598</v>
      </c>
      <c r="S1128" s="127" t="s">
        <v>598</v>
      </c>
      <c r="T1128" s="184" t="s">
        <v>598</v>
      </c>
      <c r="U1128" s="184" t="s">
        <v>598</v>
      </c>
      <c r="V1128" s="185">
        <v>0</v>
      </c>
      <c r="W1128" s="184" t="s">
        <v>485</v>
      </c>
      <c r="X1128" s="184">
        <v>2174</v>
      </c>
      <c r="Y1128" s="185">
        <v>1500</v>
      </c>
      <c r="Z1128" s="184" t="s">
        <v>598</v>
      </c>
      <c r="AA1128" s="21" t="s">
        <v>610</v>
      </c>
      <c r="AB1128" s="176" t="s">
        <v>489</v>
      </c>
      <c r="AC1128" s="172">
        <v>42996.328472222223</v>
      </c>
      <c r="AD1128" s="32" t="s">
        <v>552</v>
      </c>
    </row>
    <row r="1129" spans="1:30">
      <c r="A1129" s="184">
        <v>1128</v>
      </c>
      <c r="B1129" s="184" t="s">
        <v>2866</v>
      </c>
      <c r="C1129" s="184" t="s">
        <v>598</v>
      </c>
      <c r="D1129" s="127">
        <v>42634</v>
      </c>
      <c r="E1129" s="127" t="s">
        <v>598</v>
      </c>
      <c r="F1129" s="184" t="s">
        <v>2867</v>
      </c>
      <c r="G1129" s="185">
        <v>0</v>
      </c>
      <c r="H1129" s="184" t="s">
        <v>598</v>
      </c>
      <c r="I1129" s="184" t="s">
        <v>598</v>
      </c>
      <c r="J1129" s="184" t="s">
        <v>121</v>
      </c>
      <c r="K1129" s="184" t="s">
        <v>2699</v>
      </c>
      <c r="L1129" s="184" t="s">
        <v>598</v>
      </c>
      <c r="M1129" s="184" t="s">
        <v>598</v>
      </c>
      <c r="N1129" s="184" t="s">
        <v>63</v>
      </c>
      <c r="O1129" s="184" t="s">
        <v>63</v>
      </c>
      <c r="P1129" s="186" t="s">
        <v>603</v>
      </c>
      <c r="Q1129" s="184" t="s">
        <v>598</v>
      </c>
      <c r="R1129" s="184" t="s">
        <v>598</v>
      </c>
      <c r="S1129" s="127" t="s">
        <v>598</v>
      </c>
      <c r="T1129" s="184" t="s">
        <v>598</v>
      </c>
      <c r="U1129" s="184" t="s">
        <v>598</v>
      </c>
      <c r="V1129" s="185">
        <v>0</v>
      </c>
      <c r="W1129" s="184" t="s">
        <v>485</v>
      </c>
      <c r="X1129" s="184">
        <v>2305</v>
      </c>
      <c r="Y1129" s="185">
        <v>2500</v>
      </c>
      <c r="Z1129" s="184" t="s">
        <v>598</v>
      </c>
      <c r="AA1129" s="21" t="s">
        <v>610</v>
      </c>
      <c r="AB1129" s="176" t="s">
        <v>489</v>
      </c>
      <c r="AC1129" s="172">
        <v>42996.328472222223</v>
      </c>
      <c r="AD1129" s="32" t="s">
        <v>552</v>
      </c>
    </row>
    <row r="1130" spans="1:30">
      <c r="A1130" s="184">
        <v>1129</v>
      </c>
      <c r="B1130" s="184" t="s">
        <v>2868</v>
      </c>
      <c r="C1130" s="184" t="s">
        <v>598</v>
      </c>
      <c r="D1130" s="127">
        <v>42625</v>
      </c>
      <c r="E1130" s="127" t="s">
        <v>598</v>
      </c>
      <c r="F1130" s="184" t="s">
        <v>2869</v>
      </c>
      <c r="G1130" s="185">
        <v>0</v>
      </c>
      <c r="H1130" s="184" t="s">
        <v>598</v>
      </c>
      <c r="I1130" s="184" t="s">
        <v>48</v>
      </c>
      <c r="J1130" s="184" t="s">
        <v>119</v>
      </c>
      <c r="K1130" s="184" t="s">
        <v>432</v>
      </c>
      <c r="L1130" s="184" t="s">
        <v>598</v>
      </c>
      <c r="M1130" s="184" t="s">
        <v>598</v>
      </c>
      <c r="N1130" s="184" t="s">
        <v>63</v>
      </c>
      <c r="O1130" s="184" t="s">
        <v>63</v>
      </c>
      <c r="P1130" s="186" t="s">
        <v>604</v>
      </c>
      <c r="Q1130" s="184" t="s">
        <v>598</v>
      </c>
      <c r="R1130" s="184" t="s">
        <v>598</v>
      </c>
      <c r="S1130" s="127" t="s">
        <v>598</v>
      </c>
      <c r="T1130" s="184" t="s">
        <v>598</v>
      </c>
      <c r="U1130" s="184" t="s">
        <v>598</v>
      </c>
      <c r="V1130" s="185">
        <v>0</v>
      </c>
      <c r="W1130" s="184" t="s">
        <v>485</v>
      </c>
      <c r="X1130" s="184">
        <v>2188</v>
      </c>
      <c r="Y1130" s="185">
        <v>7500</v>
      </c>
      <c r="Z1130" s="184" t="s">
        <v>598</v>
      </c>
      <c r="AA1130" s="21" t="s">
        <v>610</v>
      </c>
      <c r="AB1130" s="176" t="s">
        <v>489</v>
      </c>
      <c r="AC1130" s="172">
        <v>42996.328472222223</v>
      </c>
      <c r="AD1130" s="32" t="s">
        <v>552</v>
      </c>
    </row>
    <row r="1131" spans="1:30">
      <c r="A1131" s="184">
        <v>1130</v>
      </c>
      <c r="B1131" s="184" t="s">
        <v>2870</v>
      </c>
      <c r="C1131" s="184" t="s">
        <v>598</v>
      </c>
      <c r="D1131" s="127">
        <v>42656</v>
      </c>
      <c r="E1131" s="127" t="s">
        <v>598</v>
      </c>
      <c r="F1131" s="184" t="s">
        <v>2871</v>
      </c>
      <c r="G1131" s="185">
        <v>0</v>
      </c>
      <c r="H1131" s="184" t="s">
        <v>598</v>
      </c>
      <c r="I1131" s="184" t="s">
        <v>134</v>
      </c>
      <c r="J1131" s="184" t="s">
        <v>121</v>
      </c>
      <c r="K1131" s="184" t="s">
        <v>208</v>
      </c>
      <c r="L1131" s="184" t="s">
        <v>598</v>
      </c>
      <c r="M1131" s="184" t="s">
        <v>598</v>
      </c>
      <c r="N1131" s="184" t="s">
        <v>63</v>
      </c>
      <c r="O1131" s="184" t="s">
        <v>2872</v>
      </c>
      <c r="P1131" s="186"/>
      <c r="Q1131" s="184" t="s">
        <v>598</v>
      </c>
      <c r="R1131" s="184" t="s">
        <v>598</v>
      </c>
      <c r="S1131" s="127" t="s">
        <v>598</v>
      </c>
      <c r="T1131" s="184" t="s">
        <v>598</v>
      </c>
      <c r="U1131" s="184" t="s">
        <v>598</v>
      </c>
      <c r="V1131" s="185">
        <v>0</v>
      </c>
      <c r="W1131" s="184" t="s">
        <v>485</v>
      </c>
      <c r="X1131" s="184">
        <v>2331</v>
      </c>
      <c r="Y1131" s="185">
        <v>2000</v>
      </c>
      <c r="Z1131" s="184" t="s">
        <v>598</v>
      </c>
      <c r="AA1131" s="21" t="s">
        <v>610</v>
      </c>
      <c r="AB1131" s="176" t="s">
        <v>489</v>
      </c>
      <c r="AC1131" s="172">
        <v>42996.328472222223</v>
      </c>
      <c r="AD1131" s="32" t="s">
        <v>552</v>
      </c>
    </row>
    <row r="1132" spans="1:30">
      <c r="A1132" s="184">
        <v>1131</v>
      </c>
      <c r="B1132" s="184" t="s">
        <v>2873</v>
      </c>
      <c r="C1132" s="184" t="s">
        <v>598</v>
      </c>
      <c r="D1132" s="127">
        <v>42657</v>
      </c>
      <c r="E1132" s="127" t="s">
        <v>598</v>
      </c>
      <c r="F1132" s="184" t="s">
        <v>2874</v>
      </c>
      <c r="G1132" s="185">
        <v>0</v>
      </c>
      <c r="H1132" s="184" t="s">
        <v>598</v>
      </c>
      <c r="I1132" s="184" t="s">
        <v>134</v>
      </c>
      <c r="J1132" s="184" t="s">
        <v>121</v>
      </c>
      <c r="K1132" s="184" t="s">
        <v>425</v>
      </c>
      <c r="L1132" s="184" t="s">
        <v>598</v>
      </c>
      <c r="M1132" s="184" t="s">
        <v>598</v>
      </c>
      <c r="N1132" s="184" t="s">
        <v>63</v>
      </c>
      <c r="O1132" s="184" t="s">
        <v>598</v>
      </c>
      <c r="P1132" s="186"/>
      <c r="Q1132" s="184" t="s">
        <v>598</v>
      </c>
      <c r="R1132" s="184" t="s">
        <v>598</v>
      </c>
      <c r="S1132" s="127" t="s">
        <v>598</v>
      </c>
      <c r="T1132" s="184" t="s">
        <v>598</v>
      </c>
      <c r="U1132" s="184" t="s">
        <v>598</v>
      </c>
      <c r="V1132" s="185">
        <v>0</v>
      </c>
      <c r="W1132" s="184" t="s">
        <v>485</v>
      </c>
      <c r="X1132" s="184">
        <v>2335</v>
      </c>
      <c r="Y1132" s="185">
        <v>3000</v>
      </c>
      <c r="Z1132" s="184" t="s">
        <v>598</v>
      </c>
      <c r="AA1132" s="21" t="s">
        <v>610</v>
      </c>
      <c r="AB1132" s="176" t="s">
        <v>489</v>
      </c>
      <c r="AC1132" s="172">
        <v>42996.328472222223</v>
      </c>
      <c r="AD1132" s="32" t="s">
        <v>552</v>
      </c>
    </row>
    <row r="1133" spans="1:30">
      <c r="A1133" s="184">
        <v>1132</v>
      </c>
      <c r="B1133" s="184" t="s">
        <v>2875</v>
      </c>
      <c r="C1133" s="184" t="s">
        <v>598</v>
      </c>
      <c r="D1133" s="127">
        <v>42657</v>
      </c>
      <c r="E1133" s="127" t="s">
        <v>598</v>
      </c>
      <c r="F1133" s="184" t="s">
        <v>2876</v>
      </c>
      <c r="G1133" s="185">
        <v>0</v>
      </c>
      <c r="H1133" s="184" t="s">
        <v>598</v>
      </c>
      <c r="I1133" s="184" t="s">
        <v>134</v>
      </c>
      <c r="J1133" s="184" t="s">
        <v>121</v>
      </c>
      <c r="K1133" s="184" t="s">
        <v>425</v>
      </c>
      <c r="L1133" s="184" t="s">
        <v>598</v>
      </c>
      <c r="M1133" s="184" t="s">
        <v>598</v>
      </c>
      <c r="N1133" s="184" t="s">
        <v>63</v>
      </c>
      <c r="O1133" s="184" t="s">
        <v>598</v>
      </c>
      <c r="P1133" s="186"/>
      <c r="Q1133" s="184" t="s">
        <v>598</v>
      </c>
      <c r="R1133" s="184" t="s">
        <v>598</v>
      </c>
      <c r="S1133" s="127" t="s">
        <v>598</v>
      </c>
      <c r="T1133" s="184" t="s">
        <v>598</v>
      </c>
      <c r="U1133" s="184" t="s">
        <v>598</v>
      </c>
      <c r="V1133" s="185">
        <v>0</v>
      </c>
      <c r="W1133" s="184" t="s">
        <v>485</v>
      </c>
      <c r="X1133" s="184">
        <v>2340</v>
      </c>
      <c r="Y1133" s="185">
        <v>1500</v>
      </c>
      <c r="Z1133" s="184" t="s">
        <v>598</v>
      </c>
      <c r="AA1133" s="21" t="s">
        <v>610</v>
      </c>
      <c r="AB1133" s="176" t="s">
        <v>489</v>
      </c>
      <c r="AC1133" s="172">
        <v>42996.328472222223</v>
      </c>
      <c r="AD1133" s="32" t="s">
        <v>552</v>
      </c>
    </row>
    <row r="1134" spans="1:30">
      <c r="A1134" s="184">
        <v>1133</v>
      </c>
      <c r="B1134" s="184" t="s">
        <v>2877</v>
      </c>
      <c r="C1134" s="184" t="s">
        <v>598</v>
      </c>
      <c r="D1134" s="127">
        <v>42665</v>
      </c>
      <c r="E1134" s="127" t="s">
        <v>598</v>
      </c>
      <c r="F1134" s="184" t="s">
        <v>2878</v>
      </c>
      <c r="G1134" s="185">
        <v>0</v>
      </c>
      <c r="H1134" s="184" t="s">
        <v>598</v>
      </c>
      <c r="I1134" s="184" t="s">
        <v>135</v>
      </c>
      <c r="J1134" s="184" t="s">
        <v>121</v>
      </c>
      <c r="K1134" s="184" t="s">
        <v>162</v>
      </c>
      <c r="L1134" s="184" t="s">
        <v>598</v>
      </c>
      <c r="M1134" s="184" t="s">
        <v>598</v>
      </c>
      <c r="N1134" s="184" t="s">
        <v>63</v>
      </c>
      <c r="O1134" s="184" t="s">
        <v>63</v>
      </c>
      <c r="P1134" s="186" t="s">
        <v>73</v>
      </c>
      <c r="Q1134" s="184" t="s">
        <v>598</v>
      </c>
      <c r="R1134" s="184" t="s">
        <v>598</v>
      </c>
      <c r="S1134" s="127" t="s">
        <v>598</v>
      </c>
      <c r="T1134" s="184" t="s">
        <v>598</v>
      </c>
      <c r="U1134" s="184" t="s">
        <v>598</v>
      </c>
      <c r="V1134" s="185">
        <v>0</v>
      </c>
      <c r="W1134" s="184" t="s">
        <v>485</v>
      </c>
      <c r="X1134" s="184">
        <v>2359</v>
      </c>
      <c r="Y1134" s="185">
        <v>2500</v>
      </c>
      <c r="Z1134" s="184" t="s">
        <v>598</v>
      </c>
      <c r="AA1134" s="21" t="s">
        <v>610</v>
      </c>
      <c r="AB1134" s="176" t="s">
        <v>489</v>
      </c>
      <c r="AC1134" s="172">
        <v>42996.328472222223</v>
      </c>
      <c r="AD1134" s="32" t="s">
        <v>552</v>
      </c>
    </row>
    <row r="1135" spans="1:30">
      <c r="A1135" s="184">
        <v>1134</v>
      </c>
      <c r="B1135" s="184" t="s">
        <v>2879</v>
      </c>
      <c r="C1135" s="184" t="s">
        <v>598</v>
      </c>
      <c r="D1135" s="127">
        <v>42665</v>
      </c>
      <c r="E1135" s="127" t="s">
        <v>598</v>
      </c>
      <c r="F1135" s="184" t="s">
        <v>2880</v>
      </c>
      <c r="G1135" s="185">
        <v>0</v>
      </c>
      <c r="H1135" s="184" t="s">
        <v>598</v>
      </c>
      <c r="I1135" s="184" t="s">
        <v>598</v>
      </c>
      <c r="J1135" s="184" t="s">
        <v>121</v>
      </c>
      <c r="K1135" s="184" t="s">
        <v>347</v>
      </c>
      <c r="L1135" s="184" t="s">
        <v>598</v>
      </c>
      <c r="M1135" s="184" t="s">
        <v>598</v>
      </c>
      <c r="N1135" s="184" t="s">
        <v>63</v>
      </c>
      <c r="O1135" s="184" t="s">
        <v>63</v>
      </c>
      <c r="P1135" s="186" t="s">
        <v>601</v>
      </c>
      <c r="Q1135" s="184" t="s">
        <v>598</v>
      </c>
      <c r="R1135" s="184" t="s">
        <v>598</v>
      </c>
      <c r="S1135" s="127" t="s">
        <v>598</v>
      </c>
      <c r="T1135" s="184" t="s">
        <v>598</v>
      </c>
      <c r="U1135" s="184" t="s">
        <v>598</v>
      </c>
      <c r="V1135" s="185">
        <v>0</v>
      </c>
      <c r="W1135" s="184" t="s">
        <v>485</v>
      </c>
      <c r="X1135" s="184" t="s">
        <v>598</v>
      </c>
      <c r="Y1135" s="185">
        <v>0</v>
      </c>
      <c r="Z1135" s="184" t="s">
        <v>598</v>
      </c>
      <c r="AA1135" s="21" t="s">
        <v>610</v>
      </c>
      <c r="AB1135" s="176" t="s">
        <v>489</v>
      </c>
      <c r="AC1135" s="172">
        <v>42996.328472222223</v>
      </c>
      <c r="AD1135" s="32" t="s">
        <v>552</v>
      </c>
    </row>
    <row r="1136" spans="1:30">
      <c r="A1136" s="184">
        <v>1135</v>
      </c>
      <c r="B1136" s="184" t="s">
        <v>2881</v>
      </c>
      <c r="C1136" s="184" t="s">
        <v>598</v>
      </c>
      <c r="D1136" s="127">
        <v>42668</v>
      </c>
      <c r="E1136" s="127" t="s">
        <v>598</v>
      </c>
      <c r="F1136" s="184" t="s">
        <v>2882</v>
      </c>
      <c r="G1136" s="185">
        <v>0</v>
      </c>
      <c r="H1136" s="184" t="s">
        <v>598</v>
      </c>
      <c r="I1136" s="184" t="s">
        <v>598</v>
      </c>
      <c r="J1136" s="184" t="s">
        <v>121</v>
      </c>
      <c r="K1136" s="184" t="s">
        <v>433</v>
      </c>
      <c r="L1136" s="184" t="s">
        <v>598</v>
      </c>
      <c r="M1136" s="184" t="s">
        <v>598</v>
      </c>
      <c r="N1136" s="184" t="s">
        <v>63</v>
      </c>
      <c r="O1136" s="184" t="s">
        <v>63</v>
      </c>
      <c r="P1136" s="186" t="s">
        <v>32</v>
      </c>
      <c r="Q1136" s="184" t="s">
        <v>598</v>
      </c>
      <c r="R1136" s="184" t="s">
        <v>598</v>
      </c>
      <c r="S1136" s="127" t="s">
        <v>598</v>
      </c>
      <c r="T1136" s="184" t="s">
        <v>598</v>
      </c>
      <c r="U1136" s="184" t="s">
        <v>598</v>
      </c>
      <c r="V1136" s="185">
        <v>0</v>
      </c>
      <c r="W1136" s="184" t="s">
        <v>485</v>
      </c>
      <c r="X1136" s="184">
        <v>2358</v>
      </c>
      <c r="Y1136" s="185">
        <v>4000</v>
      </c>
      <c r="Z1136" s="184" t="s">
        <v>598</v>
      </c>
      <c r="AA1136" s="21" t="s">
        <v>610</v>
      </c>
      <c r="AB1136" s="176" t="s">
        <v>489</v>
      </c>
      <c r="AC1136" s="172">
        <v>42996.328472222223</v>
      </c>
      <c r="AD1136" s="32" t="s">
        <v>552</v>
      </c>
    </row>
    <row r="1137" spans="1:30">
      <c r="A1137" s="184">
        <v>1136</v>
      </c>
      <c r="B1137" s="184" t="s">
        <v>2883</v>
      </c>
      <c r="C1137" s="184" t="s">
        <v>598</v>
      </c>
      <c r="D1137" s="127">
        <v>42659</v>
      </c>
      <c r="E1137" s="127" t="s">
        <v>598</v>
      </c>
      <c r="F1137" s="184" t="s">
        <v>2884</v>
      </c>
      <c r="G1137" s="185">
        <v>0</v>
      </c>
      <c r="H1137" s="184" t="s">
        <v>598</v>
      </c>
      <c r="I1137" s="184" t="s">
        <v>134</v>
      </c>
      <c r="J1137" s="184" t="s">
        <v>102</v>
      </c>
      <c r="K1137" s="184" t="s">
        <v>434</v>
      </c>
      <c r="L1137" s="184" t="s">
        <v>598</v>
      </c>
      <c r="M1137" s="184" t="s">
        <v>598</v>
      </c>
      <c r="N1137" s="184" t="s">
        <v>63</v>
      </c>
      <c r="O1137" s="184" t="s">
        <v>63</v>
      </c>
      <c r="P1137" s="186" t="s">
        <v>53</v>
      </c>
      <c r="Q1137" s="184" t="s">
        <v>598</v>
      </c>
      <c r="R1137" s="184" t="s">
        <v>598</v>
      </c>
      <c r="S1137" s="127" t="s">
        <v>598</v>
      </c>
      <c r="T1137" s="184" t="s">
        <v>598</v>
      </c>
      <c r="U1137" s="184" t="s">
        <v>598</v>
      </c>
      <c r="V1137" s="185">
        <v>0</v>
      </c>
      <c r="W1137" s="184" t="s">
        <v>485</v>
      </c>
      <c r="X1137" s="184">
        <v>2347</v>
      </c>
      <c r="Y1137" s="185">
        <v>4000</v>
      </c>
      <c r="Z1137" s="184" t="s">
        <v>598</v>
      </c>
      <c r="AA1137" s="21" t="s">
        <v>610</v>
      </c>
      <c r="AB1137" s="176" t="s">
        <v>489</v>
      </c>
      <c r="AC1137" s="172">
        <v>42996.328472222223</v>
      </c>
      <c r="AD1137" s="32" t="s">
        <v>552</v>
      </c>
    </row>
    <row r="1138" spans="1:30">
      <c r="A1138" s="184">
        <v>1137</v>
      </c>
      <c r="B1138" s="184" t="s">
        <v>2885</v>
      </c>
      <c r="C1138" s="184" t="s">
        <v>598</v>
      </c>
      <c r="D1138" s="127">
        <v>42647</v>
      </c>
      <c r="E1138" s="127" t="s">
        <v>598</v>
      </c>
      <c r="F1138" s="184" t="s">
        <v>2886</v>
      </c>
      <c r="G1138" s="185">
        <v>0</v>
      </c>
      <c r="H1138" s="184" t="s">
        <v>598</v>
      </c>
      <c r="I1138" s="184" t="s">
        <v>598</v>
      </c>
      <c r="J1138" s="184" t="s">
        <v>119</v>
      </c>
      <c r="K1138" s="184" t="s">
        <v>435</v>
      </c>
      <c r="L1138" s="184" t="s">
        <v>598</v>
      </c>
      <c r="M1138" s="184" t="s">
        <v>598</v>
      </c>
      <c r="N1138" s="184" t="s">
        <v>63</v>
      </c>
      <c r="O1138" s="184" t="s">
        <v>63</v>
      </c>
      <c r="P1138" s="186" t="s">
        <v>44</v>
      </c>
      <c r="Q1138" s="184" t="s">
        <v>598</v>
      </c>
      <c r="R1138" s="184" t="s">
        <v>598</v>
      </c>
      <c r="S1138" s="127" t="s">
        <v>598</v>
      </c>
      <c r="T1138" s="184" t="s">
        <v>598</v>
      </c>
      <c r="U1138" s="184" t="s">
        <v>598</v>
      </c>
      <c r="V1138" s="185">
        <v>0</v>
      </c>
      <c r="W1138" s="184" t="s">
        <v>485</v>
      </c>
      <c r="X1138" s="184">
        <v>2336</v>
      </c>
      <c r="Y1138" s="185">
        <v>3000</v>
      </c>
      <c r="Z1138" s="184" t="s">
        <v>598</v>
      </c>
      <c r="AA1138" s="21" t="s">
        <v>610</v>
      </c>
      <c r="AB1138" s="176" t="s">
        <v>489</v>
      </c>
      <c r="AC1138" s="172">
        <v>42996.328472222223</v>
      </c>
      <c r="AD1138" s="32" t="s">
        <v>552</v>
      </c>
    </row>
    <row r="1139" spans="1:30">
      <c r="A1139" s="184">
        <v>1138</v>
      </c>
      <c r="B1139" s="184" t="s">
        <v>2887</v>
      </c>
      <c r="C1139" s="184" t="s">
        <v>598</v>
      </c>
      <c r="D1139" s="127">
        <v>42672</v>
      </c>
      <c r="E1139" s="127" t="s">
        <v>598</v>
      </c>
      <c r="F1139" s="184" t="s">
        <v>2888</v>
      </c>
      <c r="G1139" s="185">
        <v>0</v>
      </c>
      <c r="H1139" s="184" t="s">
        <v>598</v>
      </c>
      <c r="I1139" s="184" t="s">
        <v>598</v>
      </c>
      <c r="J1139" s="184" t="s">
        <v>119</v>
      </c>
      <c r="K1139" s="184" t="s">
        <v>436</v>
      </c>
      <c r="L1139" s="184" t="s">
        <v>598</v>
      </c>
      <c r="M1139" s="184" t="s">
        <v>598</v>
      </c>
      <c r="N1139" s="184" t="s">
        <v>63</v>
      </c>
      <c r="O1139" s="184" t="s">
        <v>63</v>
      </c>
      <c r="P1139" s="186" t="s">
        <v>67</v>
      </c>
      <c r="Q1139" s="184" t="s">
        <v>598</v>
      </c>
      <c r="R1139" s="184" t="s">
        <v>598</v>
      </c>
      <c r="S1139" s="127" t="s">
        <v>598</v>
      </c>
      <c r="T1139" s="184" t="s">
        <v>598</v>
      </c>
      <c r="U1139" s="184" t="s">
        <v>598</v>
      </c>
      <c r="V1139" s="185">
        <v>0</v>
      </c>
      <c r="W1139" s="184" t="s">
        <v>485</v>
      </c>
      <c r="X1139" s="184">
        <v>2370</v>
      </c>
      <c r="Y1139" s="185">
        <v>2500</v>
      </c>
      <c r="Z1139" s="184" t="s">
        <v>598</v>
      </c>
      <c r="AA1139" s="21" t="s">
        <v>610</v>
      </c>
      <c r="AB1139" s="176" t="s">
        <v>489</v>
      </c>
      <c r="AC1139" s="172">
        <v>42996.328472222223</v>
      </c>
      <c r="AD1139" s="32" t="s">
        <v>552</v>
      </c>
    </row>
    <row r="1140" spans="1:30">
      <c r="A1140" s="184">
        <v>1139</v>
      </c>
      <c r="B1140" s="184" t="s">
        <v>2889</v>
      </c>
      <c r="C1140" s="184" t="s">
        <v>598</v>
      </c>
      <c r="D1140" s="127">
        <v>42686</v>
      </c>
      <c r="E1140" s="127" t="s">
        <v>598</v>
      </c>
      <c r="F1140" s="184" t="s">
        <v>2890</v>
      </c>
      <c r="G1140" s="185">
        <v>0</v>
      </c>
      <c r="H1140" s="184" t="s">
        <v>598</v>
      </c>
      <c r="I1140" s="184" t="s">
        <v>598</v>
      </c>
      <c r="J1140" s="184" t="s">
        <v>121</v>
      </c>
      <c r="K1140" s="184" t="s">
        <v>202</v>
      </c>
      <c r="L1140" s="184" t="s">
        <v>598</v>
      </c>
      <c r="M1140" s="184" t="s">
        <v>598</v>
      </c>
      <c r="N1140" s="184" t="s">
        <v>63</v>
      </c>
      <c r="O1140" s="184" t="s">
        <v>63</v>
      </c>
      <c r="P1140" s="186" t="s">
        <v>602</v>
      </c>
      <c r="Q1140" s="184" t="s">
        <v>598</v>
      </c>
      <c r="R1140" s="184" t="s">
        <v>598</v>
      </c>
      <c r="S1140" s="127" t="s">
        <v>598</v>
      </c>
      <c r="T1140" s="184" t="s">
        <v>598</v>
      </c>
      <c r="U1140" s="184" t="s">
        <v>598</v>
      </c>
      <c r="V1140" s="185">
        <v>0</v>
      </c>
      <c r="W1140" s="184" t="s">
        <v>485</v>
      </c>
      <c r="X1140" s="184">
        <v>2396</v>
      </c>
      <c r="Y1140" s="185">
        <v>3400</v>
      </c>
      <c r="Z1140" s="184" t="s">
        <v>598</v>
      </c>
      <c r="AA1140" s="21" t="s">
        <v>610</v>
      </c>
      <c r="AB1140" s="176" t="s">
        <v>489</v>
      </c>
      <c r="AC1140" s="172">
        <v>42996.328472222223</v>
      </c>
      <c r="AD1140" s="32" t="s">
        <v>552</v>
      </c>
    </row>
    <row r="1141" spans="1:30">
      <c r="A1141" s="184">
        <v>1140</v>
      </c>
      <c r="B1141" s="184" t="s">
        <v>2891</v>
      </c>
      <c r="C1141" s="184" t="s">
        <v>598</v>
      </c>
      <c r="D1141" s="127">
        <v>42686</v>
      </c>
      <c r="E1141" s="127" t="s">
        <v>598</v>
      </c>
      <c r="F1141" s="184" t="s">
        <v>2892</v>
      </c>
      <c r="G1141" s="185">
        <v>0</v>
      </c>
      <c r="H1141" s="184" t="s">
        <v>598</v>
      </c>
      <c r="I1141" s="184" t="s">
        <v>37</v>
      </c>
      <c r="J1141" s="184" t="s">
        <v>121</v>
      </c>
      <c r="K1141" s="184" t="s">
        <v>230</v>
      </c>
      <c r="L1141" s="184" t="s">
        <v>598</v>
      </c>
      <c r="M1141" s="184" t="s">
        <v>598</v>
      </c>
      <c r="N1141" s="184" t="s">
        <v>63</v>
      </c>
      <c r="O1141" s="184" t="s">
        <v>63</v>
      </c>
      <c r="P1141" s="186" t="s">
        <v>603</v>
      </c>
      <c r="Q1141" s="184" t="s">
        <v>598</v>
      </c>
      <c r="R1141" s="184" t="s">
        <v>598</v>
      </c>
      <c r="S1141" s="127" t="s">
        <v>598</v>
      </c>
      <c r="T1141" s="184" t="s">
        <v>598</v>
      </c>
      <c r="U1141" s="184" t="s">
        <v>598</v>
      </c>
      <c r="V1141" s="185">
        <v>0</v>
      </c>
      <c r="W1141" s="184" t="s">
        <v>485</v>
      </c>
      <c r="X1141" s="184">
        <v>2398</v>
      </c>
      <c r="Y1141" s="185">
        <v>4000</v>
      </c>
      <c r="Z1141" s="184" t="s">
        <v>598</v>
      </c>
      <c r="AA1141" s="21" t="s">
        <v>610</v>
      </c>
      <c r="AB1141" s="176" t="s">
        <v>489</v>
      </c>
      <c r="AC1141" s="172">
        <v>42996.328472222223</v>
      </c>
      <c r="AD1141" s="32" t="s">
        <v>552</v>
      </c>
    </row>
    <row r="1142" spans="1:30">
      <c r="A1142" s="184">
        <v>1141</v>
      </c>
      <c r="B1142" s="184" t="s">
        <v>2893</v>
      </c>
      <c r="C1142" s="184" t="s">
        <v>598</v>
      </c>
      <c r="D1142" s="127">
        <v>42686</v>
      </c>
      <c r="E1142" s="127" t="s">
        <v>598</v>
      </c>
      <c r="F1142" s="184" t="s">
        <v>2894</v>
      </c>
      <c r="G1142" s="185">
        <v>0</v>
      </c>
      <c r="H1142" s="184" t="s">
        <v>598</v>
      </c>
      <c r="I1142" s="184" t="s">
        <v>134</v>
      </c>
      <c r="J1142" s="184" t="s">
        <v>121</v>
      </c>
      <c r="K1142" s="184" t="s">
        <v>230</v>
      </c>
      <c r="L1142" s="184" t="s">
        <v>598</v>
      </c>
      <c r="M1142" s="184" t="s">
        <v>598</v>
      </c>
      <c r="N1142" s="184" t="s">
        <v>63</v>
      </c>
      <c r="O1142" s="184" t="s">
        <v>63</v>
      </c>
      <c r="P1142" s="186" t="s">
        <v>604</v>
      </c>
      <c r="Q1142" s="184" t="s">
        <v>598</v>
      </c>
      <c r="R1142" s="184" t="s">
        <v>598</v>
      </c>
      <c r="S1142" s="127" t="s">
        <v>598</v>
      </c>
      <c r="T1142" s="184" t="s">
        <v>598</v>
      </c>
      <c r="U1142" s="184" t="s">
        <v>598</v>
      </c>
      <c r="V1142" s="185">
        <v>0</v>
      </c>
      <c r="W1142" s="184" t="s">
        <v>485</v>
      </c>
      <c r="X1142" s="184">
        <v>2397</v>
      </c>
      <c r="Y1142" s="185">
        <v>4000</v>
      </c>
      <c r="Z1142" s="184" t="s">
        <v>598</v>
      </c>
      <c r="AA1142" s="21" t="s">
        <v>610</v>
      </c>
      <c r="AB1142" s="176" t="s">
        <v>489</v>
      </c>
      <c r="AC1142" s="172">
        <v>42996.328472222223</v>
      </c>
      <c r="AD1142" s="32" t="s">
        <v>552</v>
      </c>
    </row>
    <row r="1143" spans="1:30">
      <c r="A1143" s="184">
        <v>1142</v>
      </c>
      <c r="B1143" s="184" t="s">
        <v>2895</v>
      </c>
      <c r="C1143" s="184" t="s">
        <v>598</v>
      </c>
      <c r="D1143" s="127">
        <v>42686</v>
      </c>
      <c r="E1143" s="127" t="s">
        <v>598</v>
      </c>
      <c r="F1143" s="184" t="s">
        <v>2896</v>
      </c>
      <c r="G1143" s="185">
        <v>0</v>
      </c>
      <c r="H1143" s="184" t="s">
        <v>598</v>
      </c>
      <c r="I1143" s="184" t="s">
        <v>134</v>
      </c>
      <c r="J1143" s="184" t="s">
        <v>121</v>
      </c>
      <c r="K1143" s="184" t="s">
        <v>230</v>
      </c>
      <c r="L1143" s="184" t="s">
        <v>598</v>
      </c>
      <c r="M1143" s="184" t="s">
        <v>598</v>
      </c>
      <c r="N1143" s="184" t="s">
        <v>63</v>
      </c>
      <c r="O1143" s="184" t="s">
        <v>63</v>
      </c>
      <c r="P1143" s="186"/>
      <c r="Q1143" s="184" t="s">
        <v>598</v>
      </c>
      <c r="R1143" s="184" t="s">
        <v>598</v>
      </c>
      <c r="S1143" s="127" t="s">
        <v>598</v>
      </c>
      <c r="T1143" s="184" t="s">
        <v>598</v>
      </c>
      <c r="U1143" s="184" t="s">
        <v>598</v>
      </c>
      <c r="V1143" s="185">
        <v>0</v>
      </c>
      <c r="W1143" s="184" t="s">
        <v>485</v>
      </c>
      <c r="X1143" s="184">
        <v>2399</v>
      </c>
      <c r="Y1143" s="185">
        <v>4000</v>
      </c>
      <c r="Z1143" s="184" t="s">
        <v>598</v>
      </c>
      <c r="AA1143" s="21" t="s">
        <v>610</v>
      </c>
      <c r="AB1143" s="176" t="s">
        <v>489</v>
      </c>
      <c r="AC1143" s="172">
        <v>42996.328472222223</v>
      </c>
      <c r="AD1143" s="32" t="s">
        <v>552</v>
      </c>
    </row>
    <row r="1144" spans="1:30">
      <c r="A1144" s="184">
        <v>1143</v>
      </c>
      <c r="B1144" s="184" t="s">
        <v>2897</v>
      </c>
      <c r="C1144" s="184" t="s">
        <v>598</v>
      </c>
      <c r="D1144" s="127">
        <v>42676</v>
      </c>
      <c r="E1144" s="127" t="s">
        <v>598</v>
      </c>
      <c r="F1144" s="184" t="s">
        <v>2898</v>
      </c>
      <c r="G1144" s="185">
        <v>0</v>
      </c>
      <c r="H1144" s="184" t="s">
        <v>598</v>
      </c>
      <c r="I1144" s="184" t="s">
        <v>134</v>
      </c>
      <c r="J1144" s="184" t="s">
        <v>102</v>
      </c>
      <c r="K1144" s="184" t="s">
        <v>437</v>
      </c>
      <c r="L1144" s="184" t="s">
        <v>598</v>
      </c>
      <c r="M1144" s="184" t="s">
        <v>598</v>
      </c>
      <c r="N1144" s="184" t="s">
        <v>63</v>
      </c>
      <c r="O1144" s="184" t="s">
        <v>79</v>
      </c>
      <c r="P1144" s="186"/>
      <c r="Q1144" s="184" t="s">
        <v>598</v>
      </c>
      <c r="R1144" s="184" t="s">
        <v>598</v>
      </c>
      <c r="S1144" s="127" t="s">
        <v>598</v>
      </c>
      <c r="T1144" s="184" t="s">
        <v>598</v>
      </c>
      <c r="U1144" s="184" t="s">
        <v>598</v>
      </c>
      <c r="V1144" s="185">
        <v>0</v>
      </c>
      <c r="W1144" s="184" t="s">
        <v>485</v>
      </c>
      <c r="X1144" s="184">
        <v>2379</v>
      </c>
      <c r="Y1144" s="185">
        <v>3500</v>
      </c>
      <c r="Z1144" s="184" t="s">
        <v>598</v>
      </c>
      <c r="AA1144" s="21" t="s">
        <v>610</v>
      </c>
      <c r="AB1144" s="176" t="s">
        <v>489</v>
      </c>
      <c r="AC1144" s="172">
        <v>42996.328472222223</v>
      </c>
      <c r="AD1144" s="32" t="s">
        <v>552</v>
      </c>
    </row>
    <row r="1145" spans="1:30">
      <c r="A1145" s="184">
        <v>1144</v>
      </c>
      <c r="B1145" s="184" t="s">
        <v>2899</v>
      </c>
      <c r="C1145" s="184" t="s">
        <v>598</v>
      </c>
      <c r="D1145" s="127">
        <v>42678</v>
      </c>
      <c r="E1145" s="127" t="s">
        <v>598</v>
      </c>
      <c r="F1145" s="184" t="s">
        <v>2900</v>
      </c>
      <c r="G1145" s="185">
        <v>0</v>
      </c>
      <c r="H1145" s="184" t="s">
        <v>598</v>
      </c>
      <c r="I1145" s="184" t="s">
        <v>598</v>
      </c>
      <c r="J1145" s="184" t="s">
        <v>102</v>
      </c>
      <c r="K1145" s="184" t="s">
        <v>2901</v>
      </c>
      <c r="L1145" s="184" t="s">
        <v>598</v>
      </c>
      <c r="M1145" s="184" t="s">
        <v>598</v>
      </c>
      <c r="N1145" s="184" t="s">
        <v>63</v>
      </c>
      <c r="O1145" s="184" t="s">
        <v>598</v>
      </c>
      <c r="P1145" s="186"/>
      <c r="Q1145" s="184" t="s">
        <v>598</v>
      </c>
      <c r="R1145" s="184" t="s">
        <v>598</v>
      </c>
      <c r="S1145" s="127" t="s">
        <v>598</v>
      </c>
      <c r="T1145" s="184" t="s">
        <v>598</v>
      </c>
      <c r="U1145" s="184" t="s">
        <v>598</v>
      </c>
      <c r="V1145" s="185">
        <v>0</v>
      </c>
      <c r="W1145" s="184" t="s">
        <v>485</v>
      </c>
      <c r="X1145" s="184">
        <v>2387</v>
      </c>
      <c r="Y1145" s="185">
        <v>5000</v>
      </c>
      <c r="Z1145" s="184" t="s">
        <v>598</v>
      </c>
      <c r="AA1145" s="21" t="s">
        <v>610</v>
      </c>
      <c r="AB1145" s="176" t="s">
        <v>489</v>
      </c>
      <c r="AC1145" s="172">
        <v>42996.328472222223</v>
      </c>
      <c r="AD1145" s="32" t="s">
        <v>552</v>
      </c>
    </row>
    <row r="1146" spans="1:30">
      <c r="A1146" s="184">
        <v>1145</v>
      </c>
      <c r="B1146" s="184" t="s">
        <v>2902</v>
      </c>
      <c r="C1146" s="184" t="s">
        <v>598</v>
      </c>
      <c r="D1146" s="127">
        <v>42683</v>
      </c>
      <c r="E1146" s="127" t="s">
        <v>598</v>
      </c>
      <c r="F1146" s="184" t="s">
        <v>1298</v>
      </c>
      <c r="G1146" s="185">
        <v>0</v>
      </c>
      <c r="H1146" s="184" t="s">
        <v>598</v>
      </c>
      <c r="I1146" s="184" t="s">
        <v>134</v>
      </c>
      <c r="J1146" s="184" t="s">
        <v>102</v>
      </c>
      <c r="K1146" s="184" t="s">
        <v>232</v>
      </c>
      <c r="L1146" s="184" t="s">
        <v>598</v>
      </c>
      <c r="M1146" s="184" t="s">
        <v>598</v>
      </c>
      <c r="N1146" s="184" t="s">
        <v>63</v>
      </c>
      <c r="O1146" s="184" t="s">
        <v>63</v>
      </c>
      <c r="P1146" s="186" t="s">
        <v>73</v>
      </c>
      <c r="Q1146" s="184" t="s">
        <v>598</v>
      </c>
      <c r="R1146" s="184" t="s">
        <v>598</v>
      </c>
      <c r="S1146" s="127" t="s">
        <v>598</v>
      </c>
      <c r="T1146" s="184" t="s">
        <v>598</v>
      </c>
      <c r="U1146" s="184" t="s">
        <v>598</v>
      </c>
      <c r="V1146" s="185">
        <v>0</v>
      </c>
      <c r="W1146" s="184" t="s">
        <v>485</v>
      </c>
      <c r="X1146" s="184">
        <v>2216</v>
      </c>
      <c r="Y1146" s="185">
        <v>2000</v>
      </c>
      <c r="Z1146" s="184" t="s">
        <v>2903</v>
      </c>
      <c r="AA1146" s="21" t="s">
        <v>610</v>
      </c>
      <c r="AB1146" s="176" t="s">
        <v>489</v>
      </c>
      <c r="AC1146" s="172">
        <v>42996.328472222223</v>
      </c>
      <c r="AD1146" s="32" t="s">
        <v>552</v>
      </c>
    </row>
    <row r="1147" spans="1:30">
      <c r="A1147" s="184">
        <v>1146</v>
      </c>
      <c r="B1147" s="184" t="s">
        <v>2904</v>
      </c>
      <c r="C1147" s="184" t="s">
        <v>598</v>
      </c>
      <c r="D1147" s="127">
        <v>42679</v>
      </c>
      <c r="E1147" s="127" t="s">
        <v>598</v>
      </c>
      <c r="F1147" s="184" t="s">
        <v>2905</v>
      </c>
      <c r="G1147" s="185">
        <v>0</v>
      </c>
      <c r="H1147" s="184" t="s">
        <v>598</v>
      </c>
      <c r="I1147" s="184" t="s">
        <v>598</v>
      </c>
      <c r="J1147" s="184" t="s">
        <v>119</v>
      </c>
      <c r="K1147" s="184" t="s">
        <v>2250</v>
      </c>
      <c r="L1147" s="184" t="s">
        <v>598</v>
      </c>
      <c r="M1147" s="184" t="s">
        <v>598</v>
      </c>
      <c r="N1147" s="184" t="s">
        <v>63</v>
      </c>
      <c r="O1147" s="184" t="s">
        <v>598</v>
      </c>
      <c r="P1147" s="186" t="s">
        <v>601</v>
      </c>
      <c r="Q1147" s="184" t="s">
        <v>598</v>
      </c>
      <c r="R1147" s="184" t="s">
        <v>598</v>
      </c>
      <c r="S1147" s="127" t="s">
        <v>598</v>
      </c>
      <c r="T1147" s="184" t="s">
        <v>598</v>
      </c>
      <c r="U1147" s="184" t="s">
        <v>598</v>
      </c>
      <c r="V1147" s="185">
        <v>0</v>
      </c>
      <c r="W1147" s="184" t="s">
        <v>485</v>
      </c>
      <c r="X1147" s="184">
        <v>2384</v>
      </c>
      <c r="Y1147" s="185">
        <v>1000</v>
      </c>
      <c r="Z1147" s="184" t="s">
        <v>598</v>
      </c>
      <c r="AA1147" s="21" t="s">
        <v>610</v>
      </c>
      <c r="AB1147" s="176" t="s">
        <v>489</v>
      </c>
      <c r="AC1147" s="172">
        <v>42996.328472222223</v>
      </c>
      <c r="AD1147" s="32" t="s">
        <v>552</v>
      </c>
    </row>
    <row r="1148" spans="1:30">
      <c r="A1148" s="184">
        <v>1147</v>
      </c>
      <c r="B1148" s="184" t="s">
        <v>2906</v>
      </c>
      <c r="C1148" s="184" t="s">
        <v>598</v>
      </c>
      <c r="D1148" s="127">
        <v>42681</v>
      </c>
      <c r="E1148" s="127" t="s">
        <v>598</v>
      </c>
      <c r="F1148" s="184" t="s">
        <v>2907</v>
      </c>
      <c r="G1148" s="185">
        <v>0</v>
      </c>
      <c r="H1148" s="184" t="s">
        <v>598</v>
      </c>
      <c r="I1148" s="184" t="s">
        <v>598</v>
      </c>
      <c r="J1148" s="184" t="s">
        <v>119</v>
      </c>
      <c r="K1148" s="184" t="s">
        <v>438</v>
      </c>
      <c r="L1148" s="184" t="s">
        <v>598</v>
      </c>
      <c r="M1148" s="184" t="s">
        <v>598</v>
      </c>
      <c r="N1148" s="184" t="s">
        <v>63</v>
      </c>
      <c r="O1148" s="184" t="s">
        <v>63</v>
      </c>
      <c r="P1148" s="186" t="s">
        <v>32</v>
      </c>
      <c r="Q1148" s="184" t="s">
        <v>598</v>
      </c>
      <c r="R1148" s="184" t="s">
        <v>598</v>
      </c>
      <c r="S1148" s="127" t="s">
        <v>598</v>
      </c>
      <c r="T1148" s="184" t="s">
        <v>598</v>
      </c>
      <c r="U1148" s="184" t="s">
        <v>598</v>
      </c>
      <c r="V1148" s="185">
        <v>0</v>
      </c>
      <c r="W1148" s="184" t="s">
        <v>485</v>
      </c>
      <c r="X1148" s="184">
        <v>2388</v>
      </c>
      <c r="Y1148" s="185">
        <v>4500</v>
      </c>
      <c r="Z1148" s="184" t="s">
        <v>598</v>
      </c>
      <c r="AA1148" s="21" t="s">
        <v>610</v>
      </c>
      <c r="AB1148" s="176" t="s">
        <v>489</v>
      </c>
      <c r="AC1148" s="172">
        <v>42996.328472222223</v>
      </c>
      <c r="AD1148" s="32" t="s">
        <v>552</v>
      </c>
    </row>
    <row r="1149" spans="1:30">
      <c r="A1149" s="184">
        <v>1148</v>
      </c>
      <c r="B1149" s="184" t="s">
        <v>2908</v>
      </c>
      <c r="C1149" s="184" t="s">
        <v>598</v>
      </c>
      <c r="D1149" s="127">
        <v>42683</v>
      </c>
      <c r="E1149" s="127" t="s">
        <v>598</v>
      </c>
      <c r="F1149" s="184" t="s">
        <v>2909</v>
      </c>
      <c r="G1149" s="185">
        <v>0</v>
      </c>
      <c r="H1149" s="184" t="s">
        <v>598</v>
      </c>
      <c r="I1149" s="184" t="s">
        <v>132</v>
      </c>
      <c r="J1149" s="184" t="s">
        <v>119</v>
      </c>
      <c r="K1149" s="184" t="s">
        <v>2250</v>
      </c>
      <c r="L1149" s="184" t="s">
        <v>598</v>
      </c>
      <c r="M1149" s="184" t="s">
        <v>598</v>
      </c>
      <c r="N1149" s="184" t="s">
        <v>63</v>
      </c>
      <c r="O1149" s="184" t="s">
        <v>63</v>
      </c>
      <c r="P1149" s="186" t="s">
        <v>53</v>
      </c>
      <c r="Q1149" s="184" t="s">
        <v>598</v>
      </c>
      <c r="R1149" s="184" t="s">
        <v>598</v>
      </c>
      <c r="S1149" s="127" t="s">
        <v>598</v>
      </c>
      <c r="T1149" s="184" t="s">
        <v>598</v>
      </c>
      <c r="U1149" s="184" t="s">
        <v>598</v>
      </c>
      <c r="V1149" s="185">
        <v>0</v>
      </c>
      <c r="W1149" s="184" t="s">
        <v>485</v>
      </c>
      <c r="X1149" s="184">
        <v>2394</v>
      </c>
      <c r="Y1149" s="185">
        <v>3000</v>
      </c>
      <c r="Z1149" s="184" t="s">
        <v>598</v>
      </c>
      <c r="AA1149" s="21" t="s">
        <v>610</v>
      </c>
      <c r="AB1149" s="176" t="s">
        <v>489</v>
      </c>
      <c r="AC1149" s="172">
        <v>42996.328472222223</v>
      </c>
      <c r="AD1149" s="32" t="s">
        <v>552</v>
      </c>
    </row>
    <row r="1150" spans="1:30">
      <c r="A1150" s="184">
        <v>1149</v>
      </c>
      <c r="B1150" s="184" t="s">
        <v>2910</v>
      </c>
      <c r="C1150" s="184" t="s">
        <v>598</v>
      </c>
      <c r="D1150" s="127">
        <v>42706</v>
      </c>
      <c r="E1150" s="127" t="s">
        <v>598</v>
      </c>
      <c r="F1150" s="184" t="s">
        <v>2911</v>
      </c>
      <c r="G1150" s="185">
        <v>0</v>
      </c>
      <c r="H1150" s="184" t="s">
        <v>598</v>
      </c>
      <c r="I1150" s="184" t="s">
        <v>134</v>
      </c>
      <c r="J1150" s="184" t="s">
        <v>121</v>
      </c>
      <c r="K1150" s="184" t="s">
        <v>208</v>
      </c>
      <c r="L1150" s="184" t="s">
        <v>598</v>
      </c>
      <c r="M1150" s="184" t="s">
        <v>598</v>
      </c>
      <c r="N1150" s="184" t="s">
        <v>63</v>
      </c>
      <c r="O1150" s="184" t="s">
        <v>63</v>
      </c>
      <c r="P1150" s="186" t="s">
        <v>44</v>
      </c>
      <c r="Q1150" s="184" t="s">
        <v>598</v>
      </c>
      <c r="R1150" s="184" t="s">
        <v>598</v>
      </c>
      <c r="S1150" s="127" t="s">
        <v>598</v>
      </c>
      <c r="T1150" s="184" t="s">
        <v>598</v>
      </c>
      <c r="U1150" s="184" t="s">
        <v>598</v>
      </c>
      <c r="V1150" s="185">
        <v>0</v>
      </c>
      <c r="W1150" s="184" t="s">
        <v>485</v>
      </c>
      <c r="X1150" s="184">
        <v>2221</v>
      </c>
      <c r="Y1150" s="185">
        <v>2000</v>
      </c>
      <c r="Z1150" s="184" t="s">
        <v>598</v>
      </c>
      <c r="AA1150" s="21" t="s">
        <v>610</v>
      </c>
      <c r="AB1150" s="176" t="s">
        <v>489</v>
      </c>
      <c r="AC1150" s="172">
        <v>42996.328472222223</v>
      </c>
      <c r="AD1150" s="32" t="s">
        <v>552</v>
      </c>
    </row>
    <row r="1151" spans="1:30">
      <c r="A1151" s="184">
        <v>1150</v>
      </c>
      <c r="B1151" s="184" t="s">
        <v>2912</v>
      </c>
      <c r="C1151" s="184" t="s">
        <v>598</v>
      </c>
      <c r="D1151" s="127">
        <v>42706</v>
      </c>
      <c r="E1151" s="127" t="s">
        <v>598</v>
      </c>
      <c r="F1151" s="184" t="s">
        <v>2913</v>
      </c>
      <c r="G1151" s="185">
        <v>0</v>
      </c>
      <c r="H1151" s="184" t="s">
        <v>598</v>
      </c>
      <c r="I1151" s="184" t="s">
        <v>598</v>
      </c>
      <c r="J1151" s="184" t="s">
        <v>121</v>
      </c>
      <c r="K1151" s="184" t="s">
        <v>208</v>
      </c>
      <c r="L1151" s="184" t="s">
        <v>598</v>
      </c>
      <c r="M1151" s="184" t="s">
        <v>598</v>
      </c>
      <c r="N1151" s="184" t="s">
        <v>63</v>
      </c>
      <c r="O1151" s="184" t="s">
        <v>63</v>
      </c>
      <c r="P1151" s="186" t="s">
        <v>67</v>
      </c>
      <c r="Q1151" s="184" t="s">
        <v>598</v>
      </c>
      <c r="R1151" s="184" t="s">
        <v>598</v>
      </c>
      <c r="S1151" s="127" t="s">
        <v>598</v>
      </c>
      <c r="T1151" s="184" t="s">
        <v>598</v>
      </c>
      <c r="U1151" s="184" t="s">
        <v>598</v>
      </c>
      <c r="V1151" s="185">
        <v>0</v>
      </c>
      <c r="W1151" s="184" t="s">
        <v>485</v>
      </c>
      <c r="X1151" s="184">
        <v>2222</v>
      </c>
      <c r="Y1151" s="185">
        <v>3000</v>
      </c>
      <c r="Z1151" s="184" t="s">
        <v>598</v>
      </c>
      <c r="AA1151" s="21" t="s">
        <v>610</v>
      </c>
      <c r="AB1151" s="176" t="s">
        <v>489</v>
      </c>
      <c r="AC1151" s="172">
        <v>42996.328472222223</v>
      </c>
      <c r="AD1151" s="32" t="s">
        <v>552</v>
      </c>
    </row>
    <row r="1152" spans="1:30">
      <c r="A1152" s="184">
        <v>1151</v>
      </c>
      <c r="B1152" s="184" t="s">
        <v>2914</v>
      </c>
      <c r="C1152" s="184" t="s">
        <v>598</v>
      </c>
      <c r="D1152" s="127">
        <v>42725</v>
      </c>
      <c r="E1152" s="127" t="s">
        <v>598</v>
      </c>
      <c r="F1152" s="184" t="s">
        <v>2915</v>
      </c>
      <c r="G1152" s="185">
        <v>0</v>
      </c>
      <c r="H1152" s="184" t="s">
        <v>598</v>
      </c>
      <c r="I1152" s="184" t="s">
        <v>598</v>
      </c>
      <c r="J1152" s="184" t="s">
        <v>121</v>
      </c>
      <c r="K1152" s="184" t="s">
        <v>222</v>
      </c>
      <c r="L1152" s="184" t="s">
        <v>598</v>
      </c>
      <c r="M1152" s="184" t="s">
        <v>598</v>
      </c>
      <c r="N1152" s="184" t="s">
        <v>63</v>
      </c>
      <c r="O1152" s="184" t="s">
        <v>63</v>
      </c>
      <c r="P1152" s="186" t="s">
        <v>602</v>
      </c>
      <c r="Q1152" s="184" t="s">
        <v>598</v>
      </c>
      <c r="R1152" s="184" t="s">
        <v>598</v>
      </c>
      <c r="S1152" s="127" t="s">
        <v>598</v>
      </c>
      <c r="T1152" s="184" t="s">
        <v>598</v>
      </c>
      <c r="U1152" s="184" t="s">
        <v>598</v>
      </c>
      <c r="V1152" s="185">
        <v>0</v>
      </c>
      <c r="W1152" s="184" t="s">
        <v>485</v>
      </c>
      <c r="X1152" s="184">
        <v>2267</v>
      </c>
      <c r="Y1152" s="185">
        <v>5000</v>
      </c>
      <c r="Z1152" s="184" t="s">
        <v>598</v>
      </c>
      <c r="AA1152" s="21" t="s">
        <v>610</v>
      </c>
      <c r="AB1152" s="176" t="s">
        <v>489</v>
      </c>
      <c r="AC1152" s="172">
        <v>42996.328472222223</v>
      </c>
      <c r="AD1152" s="32" t="s">
        <v>552</v>
      </c>
    </row>
    <row r="1153" spans="1:30">
      <c r="A1153" s="184">
        <v>1152</v>
      </c>
      <c r="B1153" s="184" t="s">
        <v>2916</v>
      </c>
      <c r="C1153" s="184" t="s">
        <v>598</v>
      </c>
      <c r="D1153" s="127">
        <v>42730</v>
      </c>
      <c r="E1153" s="127" t="s">
        <v>598</v>
      </c>
      <c r="F1153" s="184" t="s">
        <v>2917</v>
      </c>
      <c r="G1153" s="185">
        <v>0</v>
      </c>
      <c r="H1153" s="184" t="s">
        <v>598</v>
      </c>
      <c r="I1153" s="184" t="s">
        <v>598</v>
      </c>
      <c r="J1153" s="184" t="s">
        <v>121</v>
      </c>
      <c r="K1153" s="184" t="s">
        <v>367</v>
      </c>
      <c r="L1153" s="184" t="s">
        <v>598</v>
      </c>
      <c r="M1153" s="184" t="s">
        <v>598</v>
      </c>
      <c r="N1153" s="184" t="s">
        <v>63</v>
      </c>
      <c r="O1153" s="184" t="s">
        <v>63</v>
      </c>
      <c r="P1153" s="186" t="s">
        <v>603</v>
      </c>
      <c r="Q1153" s="184" t="s">
        <v>598</v>
      </c>
      <c r="R1153" s="184" t="s">
        <v>598</v>
      </c>
      <c r="S1153" s="127" t="s">
        <v>598</v>
      </c>
      <c r="T1153" s="184" t="s">
        <v>598</v>
      </c>
      <c r="U1153" s="184" t="s">
        <v>598</v>
      </c>
      <c r="V1153" s="185">
        <v>0</v>
      </c>
      <c r="W1153" s="184" t="s">
        <v>485</v>
      </c>
      <c r="X1153" s="184">
        <v>2258</v>
      </c>
      <c r="Y1153" s="185">
        <v>2000</v>
      </c>
      <c r="Z1153" s="184" t="s">
        <v>598</v>
      </c>
      <c r="AA1153" s="21" t="s">
        <v>610</v>
      </c>
      <c r="AB1153" s="176" t="s">
        <v>489</v>
      </c>
      <c r="AC1153" s="172">
        <v>42996.328472222223</v>
      </c>
      <c r="AD1153" s="32" t="s">
        <v>552</v>
      </c>
    </row>
    <row r="1154" spans="1:30">
      <c r="A1154" s="184">
        <v>1153</v>
      </c>
      <c r="B1154" s="184" t="s">
        <v>2918</v>
      </c>
      <c r="C1154" s="184" t="s">
        <v>598</v>
      </c>
      <c r="D1154" s="127">
        <v>42731</v>
      </c>
      <c r="E1154" s="127" t="s">
        <v>598</v>
      </c>
      <c r="F1154" s="184" t="s">
        <v>1479</v>
      </c>
      <c r="G1154" s="185">
        <v>0</v>
      </c>
      <c r="H1154" s="184" t="s">
        <v>598</v>
      </c>
      <c r="I1154" s="184" t="s">
        <v>598</v>
      </c>
      <c r="J1154" s="184" t="s">
        <v>121</v>
      </c>
      <c r="K1154" s="184" t="s">
        <v>341</v>
      </c>
      <c r="L1154" s="184" t="s">
        <v>598</v>
      </c>
      <c r="M1154" s="184" t="s">
        <v>598</v>
      </c>
      <c r="N1154" s="184" t="s">
        <v>63</v>
      </c>
      <c r="O1154" s="184" t="s">
        <v>63</v>
      </c>
      <c r="P1154" s="186" t="s">
        <v>604</v>
      </c>
      <c r="Q1154" s="184" t="s">
        <v>598</v>
      </c>
      <c r="R1154" s="184" t="s">
        <v>598</v>
      </c>
      <c r="S1154" s="127" t="s">
        <v>598</v>
      </c>
      <c r="T1154" s="184" t="s">
        <v>598</v>
      </c>
      <c r="U1154" s="184" t="s">
        <v>598</v>
      </c>
      <c r="V1154" s="185">
        <v>0</v>
      </c>
      <c r="W1154" s="184" t="s">
        <v>485</v>
      </c>
      <c r="X1154" s="184">
        <v>2262</v>
      </c>
      <c r="Y1154" s="185">
        <v>3500</v>
      </c>
      <c r="Z1154" s="184" t="s">
        <v>598</v>
      </c>
      <c r="AA1154" s="21" t="s">
        <v>610</v>
      </c>
      <c r="AB1154" s="176" t="s">
        <v>489</v>
      </c>
      <c r="AC1154" s="172">
        <v>42996.328472222223</v>
      </c>
      <c r="AD1154" s="32" t="s">
        <v>552</v>
      </c>
    </row>
    <row r="1155" spans="1:30">
      <c r="A1155" s="184">
        <v>1154</v>
      </c>
      <c r="B1155" s="184" t="s">
        <v>2919</v>
      </c>
      <c r="C1155" s="184" t="s">
        <v>598</v>
      </c>
      <c r="D1155" s="127">
        <v>42725</v>
      </c>
      <c r="E1155" s="127" t="s">
        <v>598</v>
      </c>
      <c r="F1155" s="184" t="s">
        <v>2920</v>
      </c>
      <c r="G1155" s="185">
        <v>0</v>
      </c>
      <c r="H1155" s="184" t="s">
        <v>598</v>
      </c>
      <c r="I1155" s="184" t="s">
        <v>135</v>
      </c>
      <c r="J1155" s="184" t="s">
        <v>102</v>
      </c>
      <c r="K1155" s="184" t="s">
        <v>233</v>
      </c>
      <c r="L1155" s="184" t="s">
        <v>598</v>
      </c>
      <c r="M1155" s="184" t="s">
        <v>598</v>
      </c>
      <c r="N1155" s="184" t="s">
        <v>63</v>
      </c>
      <c r="O1155" s="184" t="s">
        <v>63</v>
      </c>
      <c r="P1155" s="186"/>
      <c r="Q1155" s="184" t="s">
        <v>598</v>
      </c>
      <c r="R1155" s="184" t="s">
        <v>598</v>
      </c>
      <c r="S1155" s="127" t="s">
        <v>598</v>
      </c>
      <c r="T1155" s="184" t="s">
        <v>598</v>
      </c>
      <c r="U1155" s="184" t="s">
        <v>598</v>
      </c>
      <c r="V1155" s="185">
        <v>0</v>
      </c>
      <c r="W1155" s="184" t="s">
        <v>485</v>
      </c>
      <c r="X1155" s="184">
        <v>2240</v>
      </c>
      <c r="Y1155" s="185">
        <v>5000</v>
      </c>
      <c r="Z1155" s="184" t="s">
        <v>598</v>
      </c>
      <c r="AA1155" s="21" t="s">
        <v>610</v>
      </c>
      <c r="AB1155" s="176" t="s">
        <v>489</v>
      </c>
      <c r="AC1155" s="172">
        <v>42996.328472222223</v>
      </c>
      <c r="AD1155" s="32" t="s">
        <v>552</v>
      </c>
    </row>
    <row r="1156" spans="1:30">
      <c r="A1156" s="184">
        <v>1155</v>
      </c>
      <c r="B1156" s="184" t="s">
        <v>2921</v>
      </c>
      <c r="C1156" s="184" t="s">
        <v>598</v>
      </c>
      <c r="D1156" s="127">
        <v>42732</v>
      </c>
      <c r="E1156" s="127" t="s">
        <v>598</v>
      </c>
      <c r="F1156" s="184" t="s">
        <v>2922</v>
      </c>
      <c r="G1156" s="185">
        <v>0</v>
      </c>
      <c r="H1156" s="184" t="s">
        <v>598</v>
      </c>
      <c r="I1156" s="184" t="s">
        <v>598</v>
      </c>
      <c r="J1156" s="184" t="s">
        <v>102</v>
      </c>
      <c r="K1156" s="184" t="s">
        <v>233</v>
      </c>
      <c r="L1156" s="184" t="s">
        <v>598</v>
      </c>
      <c r="M1156" s="184" t="s">
        <v>598</v>
      </c>
      <c r="N1156" s="184" t="s">
        <v>63</v>
      </c>
      <c r="O1156" s="184" t="s">
        <v>63</v>
      </c>
      <c r="P1156" s="186" t="s">
        <v>606</v>
      </c>
      <c r="Q1156" s="184" t="s">
        <v>598</v>
      </c>
      <c r="R1156" s="184" t="s">
        <v>598</v>
      </c>
      <c r="S1156" s="127" t="s">
        <v>598</v>
      </c>
      <c r="T1156" s="184" t="s">
        <v>598</v>
      </c>
      <c r="U1156" s="184" t="s">
        <v>598</v>
      </c>
      <c r="V1156" s="185">
        <v>0</v>
      </c>
      <c r="W1156" s="184" t="s">
        <v>485</v>
      </c>
      <c r="X1156" s="184">
        <v>2255</v>
      </c>
      <c r="Y1156" s="185">
        <v>5000</v>
      </c>
      <c r="Z1156" s="184" t="s">
        <v>598</v>
      </c>
      <c r="AA1156" s="21" t="s">
        <v>610</v>
      </c>
      <c r="AB1156" s="176" t="s">
        <v>489</v>
      </c>
      <c r="AC1156" s="172">
        <v>42996.328472222223</v>
      </c>
      <c r="AD1156" s="32" t="s">
        <v>552</v>
      </c>
    </row>
    <row r="1157" spans="1:30">
      <c r="A1157" s="184">
        <v>1156</v>
      </c>
      <c r="B1157" s="184" t="s">
        <v>2923</v>
      </c>
      <c r="C1157" s="184" t="s">
        <v>598</v>
      </c>
      <c r="D1157" s="127">
        <v>42716</v>
      </c>
      <c r="E1157" s="127" t="s">
        <v>598</v>
      </c>
      <c r="F1157" s="184" t="s">
        <v>2924</v>
      </c>
      <c r="G1157" s="185">
        <v>0</v>
      </c>
      <c r="H1157" s="184" t="s">
        <v>598</v>
      </c>
      <c r="I1157" s="184" t="s">
        <v>598</v>
      </c>
      <c r="J1157" s="184" t="s">
        <v>119</v>
      </c>
      <c r="K1157" s="184" t="s">
        <v>435</v>
      </c>
      <c r="L1157" s="184" t="s">
        <v>598</v>
      </c>
      <c r="M1157" s="184" t="s">
        <v>598</v>
      </c>
      <c r="N1157" s="184" t="s">
        <v>63</v>
      </c>
      <c r="O1157" s="184" t="s">
        <v>63</v>
      </c>
      <c r="P1157" s="186"/>
      <c r="Q1157" s="184" t="s">
        <v>598</v>
      </c>
      <c r="R1157" s="184" t="s">
        <v>598</v>
      </c>
      <c r="S1157" s="127" t="s">
        <v>598</v>
      </c>
      <c r="T1157" s="184" t="s">
        <v>598</v>
      </c>
      <c r="U1157" s="184" t="s">
        <v>598</v>
      </c>
      <c r="V1157" s="185">
        <v>0</v>
      </c>
      <c r="W1157" s="184" t="s">
        <v>485</v>
      </c>
      <c r="X1157" s="184">
        <v>2229</v>
      </c>
      <c r="Y1157" s="185">
        <v>5000</v>
      </c>
      <c r="Z1157" s="184" t="s">
        <v>598</v>
      </c>
      <c r="AA1157" s="21" t="s">
        <v>610</v>
      </c>
      <c r="AB1157" s="176" t="s">
        <v>489</v>
      </c>
      <c r="AC1157" s="172">
        <v>42996.328472222223</v>
      </c>
      <c r="AD1157" s="32" t="s">
        <v>552</v>
      </c>
    </row>
    <row r="1158" spans="1:30">
      <c r="A1158" s="184">
        <v>1157</v>
      </c>
      <c r="B1158" s="184" t="s">
        <v>2925</v>
      </c>
      <c r="C1158" s="184" t="s">
        <v>598</v>
      </c>
      <c r="D1158" s="127">
        <v>42726</v>
      </c>
      <c r="E1158" s="127" t="s">
        <v>598</v>
      </c>
      <c r="F1158" s="184" t="s">
        <v>2926</v>
      </c>
      <c r="G1158" s="185">
        <v>0</v>
      </c>
      <c r="H1158" s="184" t="s">
        <v>598</v>
      </c>
      <c r="I1158" s="184" t="s">
        <v>134</v>
      </c>
      <c r="J1158" s="184" t="s">
        <v>119</v>
      </c>
      <c r="K1158" s="184" t="s">
        <v>435</v>
      </c>
      <c r="L1158" s="184" t="s">
        <v>598</v>
      </c>
      <c r="M1158" s="184" t="s">
        <v>598</v>
      </c>
      <c r="N1158" s="184" t="s">
        <v>63</v>
      </c>
      <c r="O1158" s="184" t="s">
        <v>63</v>
      </c>
      <c r="P1158" s="186" t="s">
        <v>73</v>
      </c>
      <c r="Q1158" s="184" t="s">
        <v>598</v>
      </c>
      <c r="R1158" s="184" t="s">
        <v>598</v>
      </c>
      <c r="S1158" s="127" t="s">
        <v>598</v>
      </c>
      <c r="T1158" s="184" t="s">
        <v>598</v>
      </c>
      <c r="U1158" s="184" t="s">
        <v>598</v>
      </c>
      <c r="V1158" s="185">
        <v>0</v>
      </c>
      <c r="W1158" s="184" t="s">
        <v>485</v>
      </c>
      <c r="X1158" s="184">
        <v>2250</v>
      </c>
      <c r="Y1158" s="185">
        <v>1500</v>
      </c>
      <c r="Z1158" s="184" t="s">
        <v>598</v>
      </c>
      <c r="AA1158" s="21" t="s">
        <v>610</v>
      </c>
      <c r="AB1158" s="176" t="s">
        <v>489</v>
      </c>
      <c r="AC1158" s="172">
        <v>42996.328472222223</v>
      </c>
      <c r="AD1158" s="32" t="s">
        <v>552</v>
      </c>
    </row>
    <row r="1159" spans="1:30">
      <c r="A1159" s="184">
        <v>1158</v>
      </c>
      <c r="B1159" s="184" t="s">
        <v>2927</v>
      </c>
      <c r="C1159" s="184" t="s">
        <v>598</v>
      </c>
      <c r="D1159" s="127">
        <v>42733</v>
      </c>
      <c r="E1159" s="127" t="s">
        <v>598</v>
      </c>
      <c r="F1159" s="184" t="s">
        <v>2928</v>
      </c>
      <c r="G1159" s="185">
        <v>0</v>
      </c>
      <c r="H1159" s="184" t="s">
        <v>598</v>
      </c>
      <c r="I1159" s="184" t="s">
        <v>598</v>
      </c>
      <c r="J1159" s="184" t="s">
        <v>116</v>
      </c>
      <c r="K1159" s="184" t="s">
        <v>299</v>
      </c>
      <c r="L1159" s="184" t="s">
        <v>598</v>
      </c>
      <c r="M1159" s="184" t="s">
        <v>598</v>
      </c>
      <c r="N1159" s="184" t="s">
        <v>63</v>
      </c>
      <c r="O1159" s="184" t="s">
        <v>598</v>
      </c>
      <c r="P1159" s="186" t="s">
        <v>601</v>
      </c>
      <c r="Q1159" s="184" t="s">
        <v>598</v>
      </c>
      <c r="R1159" s="184" t="s">
        <v>598</v>
      </c>
      <c r="S1159" s="127" t="s">
        <v>598</v>
      </c>
      <c r="T1159" s="184" t="s">
        <v>598</v>
      </c>
      <c r="U1159" s="184" t="s">
        <v>598</v>
      </c>
      <c r="V1159" s="185">
        <v>0</v>
      </c>
      <c r="W1159" s="184" t="s">
        <v>485</v>
      </c>
      <c r="X1159" s="184">
        <v>2264</v>
      </c>
      <c r="Y1159" s="185">
        <v>5000</v>
      </c>
      <c r="Z1159" s="184" t="s">
        <v>598</v>
      </c>
      <c r="AA1159" s="21" t="s">
        <v>610</v>
      </c>
      <c r="AB1159" s="176" t="s">
        <v>489</v>
      </c>
      <c r="AC1159" s="172">
        <v>42996.328472222223</v>
      </c>
      <c r="AD1159" s="32" t="s">
        <v>552</v>
      </c>
    </row>
    <row r="1160" spans="1:30">
      <c r="A1160" s="184">
        <v>1159</v>
      </c>
      <c r="B1160" s="184" t="s">
        <v>2929</v>
      </c>
      <c r="C1160" s="184" t="s">
        <v>598</v>
      </c>
      <c r="D1160" s="127">
        <v>42739</v>
      </c>
      <c r="E1160" s="127" t="s">
        <v>598</v>
      </c>
      <c r="F1160" s="184" t="s">
        <v>902</v>
      </c>
      <c r="G1160" s="185">
        <v>0</v>
      </c>
      <c r="H1160" s="184" t="s">
        <v>598</v>
      </c>
      <c r="I1160" s="184" t="s">
        <v>598</v>
      </c>
      <c r="J1160" s="184" t="s">
        <v>121</v>
      </c>
      <c r="K1160" s="184" t="s">
        <v>344</v>
      </c>
      <c r="L1160" s="184" t="s">
        <v>598</v>
      </c>
      <c r="M1160" s="184" t="s">
        <v>598</v>
      </c>
      <c r="N1160" s="184" t="s">
        <v>63</v>
      </c>
      <c r="O1160" s="184" t="s">
        <v>63</v>
      </c>
      <c r="P1160" s="186" t="s">
        <v>601</v>
      </c>
      <c r="Q1160" s="184" t="s">
        <v>598</v>
      </c>
      <c r="R1160" s="184" t="s">
        <v>598</v>
      </c>
      <c r="S1160" s="127" t="s">
        <v>598</v>
      </c>
      <c r="T1160" s="184" t="s">
        <v>598</v>
      </c>
      <c r="U1160" s="184" t="s">
        <v>598</v>
      </c>
      <c r="V1160" s="185">
        <v>0</v>
      </c>
      <c r="W1160" s="184" t="s">
        <v>485</v>
      </c>
      <c r="X1160" s="184">
        <v>2271</v>
      </c>
      <c r="Y1160" s="185">
        <v>2500</v>
      </c>
      <c r="Z1160" s="184" t="s">
        <v>598</v>
      </c>
      <c r="AA1160" s="21" t="s">
        <v>610</v>
      </c>
      <c r="AB1160" s="176" t="s">
        <v>489</v>
      </c>
      <c r="AC1160" s="172">
        <v>42996.328472222223</v>
      </c>
      <c r="AD1160" s="32" t="s">
        <v>552</v>
      </c>
    </row>
    <row r="1161" spans="1:30">
      <c r="A1161" s="184">
        <v>1160</v>
      </c>
      <c r="B1161" s="184" t="s">
        <v>2930</v>
      </c>
      <c r="C1161" s="184" t="s">
        <v>598</v>
      </c>
      <c r="D1161" s="127">
        <v>42765</v>
      </c>
      <c r="E1161" s="127" t="s">
        <v>598</v>
      </c>
      <c r="F1161" s="184" t="s">
        <v>2931</v>
      </c>
      <c r="G1161" s="185">
        <v>0</v>
      </c>
      <c r="H1161" s="184" t="s">
        <v>598</v>
      </c>
      <c r="I1161" s="184" t="s">
        <v>598</v>
      </c>
      <c r="J1161" s="184" t="s">
        <v>121</v>
      </c>
      <c r="K1161" s="184" t="s">
        <v>408</v>
      </c>
      <c r="L1161" s="184" t="s">
        <v>598</v>
      </c>
      <c r="M1161" s="184" t="s">
        <v>598</v>
      </c>
      <c r="N1161" s="184" t="s">
        <v>63</v>
      </c>
      <c r="O1161" s="184" t="s">
        <v>63</v>
      </c>
      <c r="P1161" s="186" t="s">
        <v>32</v>
      </c>
      <c r="Q1161" s="184" t="s">
        <v>598</v>
      </c>
      <c r="R1161" s="184" t="s">
        <v>598</v>
      </c>
      <c r="S1161" s="127" t="s">
        <v>598</v>
      </c>
      <c r="T1161" s="184" t="s">
        <v>598</v>
      </c>
      <c r="U1161" s="184" t="s">
        <v>598</v>
      </c>
      <c r="V1161" s="185">
        <v>0</v>
      </c>
      <c r="W1161" s="184" t="s">
        <v>485</v>
      </c>
      <c r="X1161" s="184">
        <v>2813</v>
      </c>
      <c r="Y1161" s="185">
        <v>3500</v>
      </c>
      <c r="Z1161" s="184" t="s">
        <v>598</v>
      </c>
      <c r="AA1161" s="21" t="s">
        <v>610</v>
      </c>
      <c r="AB1161" s="176" t="s">
        <v>489</v>
      </c>
      <c r="AC1161" s="172">
        <v>42996.328472222223</v>
      </c>
      <c r="AD1161" s="32" t="s">
        <v>552</v>
      </c>
    </row>
    <row r="1162" spans="1:30">
      <c r="A1162" s="184">
        <v>1161</v>
      </c>
      <c r="B1162" s="184" t="s">
        <v>2932</v>
      </c>
      <c r="C1162" s="184" t="s">
        <v>598</v>
      </c>
      <c r="D1162" s="127">
        <v>42752</v>
      </c>
      <c r="E1162" s="127" t="s">
        <v>598</v>
      </c>
      <c r="F1162" s="184" t="s">
        <v>1313</v>
      </c>
      <c r="G1162" s="185">
        <v>0</v>
      </c>
      <c r="H1162" s="184" t="s">
        <v>598</v>
      </c>
      <c r="I1162" s="184" t="s">
        <v>598</v>
      </c>
      <c r="J1162" s="184" t="s">
        <v>102</v>
      </c>
      <c r="K1162" s="184" t="s">
        <v>183</v>
      </c>
      <c r="L1162" s="184" t="s">
        <v>598</v>
      </c>
      <c r="M1162" s="184" t="s">
        <v>598</v>
      </c>
      <c r="N1162" s="184" t="s">
        <v>63</v>
      </c>
      <c r="O1162" s="184" t="s">
        <v>86</v>
      </c>
      <c r="P1162" s="186" t="s">
        <v>53</v>
      </c>
      <c r="Q1162" s="184" t="s">
        <v>598</v>
      </c>
      <c r="R1162" s="184" t="s">
        <v>598</v>
      </c>
      <c r="S1162" s="127" t="s">
        <v>598</v>
      </c>
      <c r="T1162" s="184" t="s">
        <v>598</v>
      </c>
      <c r="U1162" s="184" t="s">
        <v>598</v>
      </c>
      <c r="V1162" s="185">
        <v>0</v>
      </c>
      <c r="W1162" s="184" t="s">
        <v>485</v>
      </c>
      <c r="X1162" s="184">
        <v>2298</v>
      </c>
      <c r="Y1162" s="185">
        <v>7000</v>
      </c>
      <c r="Z1162" s="184" t="s">
        <v>598</v>
      </c>
      <c r="AA1162" s="21" t="s">
        <v>610</v>
      </c>
      <c r="AB1162" s="176" t="s">
        <v>489</v>
      </c>
      <c r="AC1162" s="172">
        <v>42996.328472222223</v>
      </c>
      <c r="AD1162" s="32" t="s">
        <v>552</v>
      </c>
    </row>
    <row r="1163" spans="1:30">
      <c r="A1163" s="184">
        <v>1162</v>
      </c>
      <c r="B1163" s="184" t="s">
        <v>2933</v>
      </c>
      <c r="C1163" s="184" t="s">
        <v>598</v>
      </c>
      <c r="D1163" s="127">
        <v>42760</v>
      </c>
      <c r="E1163" s="127" t="s">
        <v>598</v>
      </c>
      <c r="F1163" s="184" t="s">
        <v>2934</v>
      </c>
      <c r="G1163" s="185">
        <v>0</v>
      </c>
      <c r="H1163" s="184" t="s">
        <v>598</v>
      </c>
      <c r="I1163" s="184" t="s">
        <v>598</v>
      </c>
      <c r="J1163" s="184" t="s">
        <v>102</v>
      </c>
      <c r="K1163" s="184" t="s">
        <v>233</v>
      </c>
      <c r="L1163" s="184" t="s">
        <v>598</v>
      </c>
      <c r="M1163" s="184" t="s">
        <v>598</v>
      </c>
      <c r="N1163" s="184" t="s">
        <v>63</v>
      </c>
      <c r="O1163" s="184" t="s">
        <v>86</v>
      </c>
      <c r="P1163" s="186" t="s">
        <v>44</v>
      </c>
      <c r="Q1163" s="184" t="s">
        <v>598</v>
      </c>
      <c r="R1163" s="184" t="s">
        <v>598</v>
      </c>
      <c r="S1163" s="127" t="s">
        <v>598</v>
      </c>
      <c r="T1163" s="184" t="s">
        <v>598</v>
      </c>
      <c r="U1163" s="184" t="s">
        <v>598</v>
      </c>
      <c r="V1163" s="185">
        <v>0</v>
      </c>
      <c r="W1163" s="184" t="s">
        <v>485</v>
      </c>
      <c r="X1163" s="184">
        <v>2810</v>
      </c>
      <c r="Y1163" s="185">
        <v>2000</v>
      </c>
      <c r="Z1163" s="184" t="s">
        <v>598</v>
      </c>
      <c r="AA1163" s="21" t="s">
        <v>610</v>
      </c>
      <c r="AB1163" s="176" t="s">
        <v>489</v>
      </c>
      <c r="AC1163" s="172">
        <v>42996.328472222223</v>
      </c>
      <c r="AD1163" s="32" t="s">
        <v>552</v>
      </c>
    </row>
    <row r="1164" spans="1:30">
      <c r="A1164" s="184">
        <v>1163</v>
      </c>
      <c r="B1164" s="184" t="s">
        <v>2935</v>
      </c>
      <c r="C1164" s="184" t="s">
        <v>598</v>
      </c>
      <c r="D1164" s="127">
        <v>42768</v>
      </c>
      <c r="E1164" s="127" t="s">
        <v>598</v>
      </c>
      <c r="F1164" s="184" t="s">
        <v>2936</v>
      </c>
      <c r="G1164" s="185">
        <v>0</v>
      </c>
      <c r="H1164" s="184" t="s">
        <v>598</v>
      </c>
      <c r="I1164" s="184" t="s">
        <v>48</v>
      </c>
      <c r="J1164" s="184" t="s">
        <v>121</v>
      </c>
      <c r="K1164" s="184" t="s">
        <v>219</v>
      </c>
      <c r="L1164" s="184" t="s">
        <v>598</v>
      </c>
      <c r="M1164" s="184" t="s">
        <v>598</v>
      </c>
      <c r="N1164" s="184" t="s">
        <v>63</v>
      </c>
      <c r="O1164" s="184" t="s">
        <v>63</v>
      </c>
      <c r="P1164" s="186" t="s">
        <v>67</v>
      </c>
      <c r="Q1164" s="184" t="s">
        <v>598</v>
      </c>
      <c r="R1164" s="184" t="s">
        <v>598</v>
      </c>
      <c r="S1164" s="127" t="s">
        <v>598</v>
      </c>
      <c r="T1164" s="184" t="s">
        <v>598</v>
      </c>
      <c r="U1164" s="184" t="s">
        <v>598</v>
      </c>
      <c r="V1164" s="185">
        <v>0</v>
      </c>
      <c r="W1164" s="184" t="s">
        <v>485</v>
      </c>
      <c r="X1164" s="184">
        <v>2821</v>
      </c>
      <c r="Y1164" s="185">
        <v>4000</v>
      </c>
      <c r="Z1164" s="184" t="s">
        <v>598</v>
      </c>
      <c r="AA1164" s="21" t="s">
        <v>610</v>
      </c>
      <c r="AB1164" s="176" t="s">
        <v>489</v>
      </c>
      <c r="AC1164" s="172">
        <v>42996.328472222223</v>
      </c>
      <c r="AD1164" s="32" t="s">
        <v>552</v>
      </c>
    </row>
    <row r="1165" spans="1:30">
      <c r="A1165" s="184">
        <v>1164</v>
      </c>
      <c r="B1165" s="184" t="s">
        <v>2937</v>
      </c>
      <c r="C1165" s="184" t="s">
        <v>598</v>
      </c>
      <c r="D1165" s="127">
        <v>42770</v>
      </c>
      <c r="E1165" s="127" t="s">
        <v>598</v>
      </c>
      <c r="F1165" s="184" t="s">
        <v>2938</v>
      </c>
      <c r="G1165" s="185">
        <v>0</v>
      </c>
      <c r="H1165" s="184" t="s">
        <v>598</v>
      </c>
      <c r="I1165" s="184" t="s">
        <v>598</v>
      </c>
      <c r="J1165" s="184" t="s">
        <v>121</v>
      </c>
      <c r="K1165" s="184" t="s">
        <v>417</v>
      </c>
      <c r="L1165" s="184" t="s">
        <v>598</v>
      </c>
      <c r="M1165" s="184" t="s">
        <v>598</v>
      </c>
      <c r="N1165" s="184" t="s">
        <v>63</v>
      </c>
      <c r="O1165" s="184" t="s">
        <v>86</v>
      </c>
      <c r="P1165" s="186" t="s">
        <v>602</v>
      </c>
      <c r="Q1165" s="184" t="s">
        <v>598</v>
      </c>
      <c r="R1165" s="184" t="s">
        <v>598</v>
      </c>
      <c r="S1165" s="127" t="s">
        <v>598</v>
      </c>
      <c r="T1165" s="184" t="s">
        <v>598</v>
      </c>
      <c r="U1165" s="184" t="s">
        <v>598</v>
      </c>
      <c r="V1165" s="185">
        <v>0</v>
      </c>
      <c r="W1165" s="184" t="s">
        <v>485</v>
      </c>
      <c r="X1165" s="184">
        <v>2825</v>
      </c>
      <c r="Y1165" s="185">
        <v>3000</v>
      </c>
      <c r="Z1165" s="184" t="s">
        <v>598</v>
      </c>
      <c r="AA1165" s="21" t="s">
        <v>610</v>
      </c>
      <c r="AB1165" s="176" t="s">
        <v>489</v>
      </c>
      <c r="AC1165" s="172">
        <v>42996.328472222223</v>
      </c>
      <c r="AD1165" s="32" t="s">
        <v>552</v>
      </c>
    </row>
    <row r="1166" spans="1:30">
      <c r="A1166" s="184">
        <v>1165</v>
      </c>
      <c r="B1166" s="184" t="s">
        <v>2939</v>
      </c>
      <c r="C1166" s="184" t="s">
        <v>598</v>
      </c>
      <c r="D1166" s="127">
        <v>42770</v>
      </c>
      <c r="E1166" s="127" t="s">
        <v>598</v>
      </c>
      <c r="F1166" s="184" t="s">
        <v>2940</v>
      </c>
      <c r="G1166" s="185">
        <v>0</v>
      </c>
      <c r="H1166" s="184" t="s">
        <v>598</v>
      </c>
      <c r="I1166" s="184" t="s">
        <v>598</v>
      </c>
      <c r="J1166" s="184" t="s">
        <v>121</v>
      </c>
      <c r="K1166" s="184" t="s">
        <v>423</v>
      </c>
      <c r="L1166" s="184" t="s">
        <v>598</v>
      </c>
      <c r="M1166" s="184" t="s">
        <v>598</v>
      </c>
      <c r="N1166" s="184" t="s">
        <v>63</v>
      </c>
      <c r="O1166" s="184" t="s">
        <v>63</v>
      </c>
      <c r="P1166" s="186" t="s">
        <v>603</v>
      </c>
      <c r="Q1166" s="184" t="s">
        <v>598</v>
      </c>
      <c r="R1166" s="184" t="s">
        <v>598</v>
      </c>
      <c r="S1166" s="127" t="s">
        <v>598</v>
      </c>
      <c r="T1166" s="184" t="s">
        <v>598</v>
      </c>
      <c r="U1166" s="184" t="s">
        <v>598</v>
      </c>
      <c r="V1166" s="185">
        <v>0</v>
      </c>
      <c r="W1166" s="184" t="s">
        <v>485</v>
      </c>
      <c r="X1166" s="184">
        <v>2824</v>
      </c>
      <c r="Y1166" s="185">
        <v>2500</v>
      </c>
      <c r="Z1166" s="184" t="s">
        <v>598</v>
      </c>
      <c r="AA1166" s="21" t="s">
        <v>610</v>
      </c>
      <c r="AB1166" s="176" t="s">
        <v>489</v>
      </c>
      <c r="AC1166" s="172">
        <v>42996.328472222223</v>
      </c>
      <c r="AD1166" s="32" t="s">
        <v>552</v>
      </c>
    </row>
    <row r="1167" spans="1:30">
      <c r="A1167" s="184">
        <v>1166</v>
      </c>
      <c r="B1167" s="184" t="s">
        <v>2941</v>
      </c>
      <c r="C1167" s="184" t="s">
        <v>598</v>
      </c>
      <c r="D1167" s="127">
        <v>42776</v>
      </c>
      <c r="E1167" s="127" t="s">
        <v>598</v>
      </c>
      <c r="F1167" s="184" t="s">
        <v>2942</v>
      </c>
      <c r="G1167" s="185">
        <v>0</v>
      </c>
      <c r="H1167" s="184" t="s">
        <v>598</v>
      </c>
      <c r="I1167" s="184" t="s">
        <v>598</v>
      </c>
      <c r="J1167" s="184" t="s">
        <v>121</v>
      </c>
      <c r="K1167" s="184" t="s">
        <v>408</v>
      </c>
      <c r="L1167" s="184" t="s">
        <v>598</v>
      </c>
      <c r="M1167" s="184" t="s">
        <v>598</v>
      </c>
      <c r="N1167" s="184" t="s">
        <v>63</v>
      </c>
      <c r="O1167" s="184" t="s">
        <v>598</v>
      </c>
      <c r="P1167" s="186" t="s">
        <v>604</v>
      </c>
      <c r="Q1167" s="184" t="s">
        <v>598</v>
      </c>
      <c r="R1167" s="184" t="s">
        <v>598</v>
      </c>
      <c r="S1167" s="127" t="s">
        <v>598</v>
      </c>
      <c r="T1167" s="184" t="s">
        <v>598</v>
      </c>
      <c r="U1167" s="184" t="s">
        <v>598</v>
      </c>
      <c r="V1167" s="185">
        <v>0</v>
      </c>
      <c r="W1167" s="184" t="s">
        <v>485</v>
      </c>
      <c r="X1167" s="184">
        <v>2838</v>
      </c>
      <c r="Y1167" s="185">
        <v>1700</v>
      </c>
      <c r="Z1167" s="184" t="s">
        <v>598</v>
      </c>
      <c r="AA1167" s="21" t="s">
        <v>610</v>
      </c>
      <c r="AB1167" s="176" t="s">
        <v>489</v>
      </c>
      <c r="AC1167" s="172">
        <v>42996.328472222223</v>
      </c>
      <c r="AD1167" s="32" t="s">
        <v>552</v>
      </c>
    </row>
    <row r="1168" spans="1:30">
      <c r="A1168" s="184">
        <v>1167</v>
      </c>
      <c r="B1168" s="184" t="s">
        <v>2943</v>
      </c>
      <c r="C1168" s="184" t="s">
        <v>598</v>
      </c>
      <c r="D1168" s="127">
        <v>42773</v>
      </c>
      <c r="E1168" s="127" t="s">
        <v>598</v>
      </c>
      <c r="F1168" s="184" t="s">
        <v>2944</v>
      </c>
      <c r="G1168" s="185">
        <v>0</v>
      </c>
      <c r="H1168" s="184" t="s">
        <v>598</v>
      </c>
      <c r="I1168" s="184" t="s">
        <v>598</v>
      </c>
      <c r="J1168" s="184" t="s">
        <v>102</v>
      </c>
      <c r="K1168" s="184" t="s">
        <v>232</v>
      </c>
      <c r="L1168" s="184" t="s">
        <v>598</v>
      </c>
      <c r="M1168" s="184" t="s">
        <v>598</v>
      </c>
      <c r="N1168" s="184" t="s">
        <v>63</v>
      </c>
      <c r="O1168" s="184" t="s">
        <v>86</v>
      </c>
      <c r="P1168" s="186"/>
      <c r="Q1168" s="184" t="s">
        <v>598</v>
      </c>
      <c r="R1168" s="184" t="s">
        <v>598</v>
      </c>
      <c r="S1168" s="127" t="s">
        <v>598</v>
      </c>
      <c r="T1168" s="184" t="s">
        <v>598</v>
      </c>
      <c r="U1168" s="184" t="s">
        <v>598</v>
      </c>
      <c r="V1168" s="185">
        <v>0</v>
      </c>
      <c r="W1168" s="184" t="s">
        <v>485</v>
      </c>
      <c r="X1168" s="184">
        <v>2836</v>
      </c>
      <c r="Y1168" s="185">
        <v>3000</v>
      </c>
      <c r="Z1168" s="184" t="s">
        <v>598</v>
      </c>
      <c r="AA1168" s="21" t="s">
        <v>610</v>
      </c>
      <c r="AB1168" s="176" t="s">
        <v>489</v>
      </c>
      <c r="AC1168" s="172">
        <v>42996.328472222223</v>
      </c>
      <c r="AD1168" s="32" t="s">
        <v>552</v>
      </c>
    </row>
    <row r="1169" spans="1:30">
      <c r="A1169" s="184">
        <v>1168</v>
      </c>
      <c r="B1169" s="184" t="s">
        <v>2945</v>
      </c>
      <c r="C1169" s="184" t="s">
        <v>598</v>
      </c>
      <c r="D1169" s="127">
        <v>42782</v>
      </c>
      <c r="E1169" s="127" t="s">
        <v>598</v>
      </c>
      <c r="F1169" s="184" t="s">
        <v>2946</v>
      </c>
      <c r="G1169" s="185">
        <v>0</v>
      </c>
      <c r="H1169" s="184" t="s">
        <v>598</v>
      </c>
      <c r="I1169" s="184" t="s">
        <v>135</v>
      </c>
      <c r="J1169" s="184" t="s">
        <v>102</v>
      </c>
      <c r="K1169" s="184" t="s">
        <v>233</v>
      </c>
      <c r="L1169" s="184" t="s">
        <v>598</v>
      </c>
      <c r="M1169" s="184" t="s">
        <v>598</v>
      </c>
      <c r="N1169" s="184" t="s">
        <v>63</v>
      </c>
      <c r="O1169" s="184" t="s">
        <v>598</v>
      </c>
      <c r="P1169" s="186" t="s">
        <v>606</v>
      </c>
      <c r="Q1169" s="184" t="s">
        <v>598</v>
      </c>
      <c r="R1169" s="184" t="s">
        <v>598</v>
      </c>
      <c r="S1169" s="127" t="s">
        <v>598</v>
      </c>
      <c r="T1169" s="184" t="s">
        <v>598</v>
      </c>
      <c r="U1169" s="184" t="s">
        <v>598</v>
      </c>
      <c r="V1169" s="185">
        <v>0</v>
      </c>
      <c r="W1169" s="184" t="s">
        <v>485</v>
      </c>
      <c r="X1169" s="184">
        <v>2875</v>
      </c>
      <c r="Y1169" s="185">
        <v>2500</v>
      </c>
      <c r="Z1169" s="184" t="s">
        <v>598</v>
      </c>
      <c r="AA1169" s="21" t="s">
        <v>610</v>
      </c>
      <c r="AB1169" s="176" t="s">
        <v>489</v>
      </c>
      <c r="AC1169" s="172">
        <v>42996.328472222223</v>
      </c>
      <c r="AD1169" s="32" t="s">
        <v>552</v>
      </c>
    </row>
    <row r="1170" spans="1:30">
      <c r="A1170" s="184">
        <v>1169</v>
      </c>
      <c r="B1170" s="184" t="s">
        <v>2947</v>
      </c>
      <c r="C1170" s="184" t="s">
        <v>598</v>
      </c>
      <c r="D1170" s="127">
        <v>42782</v>
      </c>
      <c r="E1170" s="127" t="s">
        <v>598</v>
      </c>
      <c r="F1170" s="184" t="s">
        <v>2948</v>
      </c>
      <c r="G1170" s="185">
        <v>0</v>
      </c>
      <c r="H1170" s="184" t="s">
        <v>598</v>
      </c>
      <c r="I1170" s="184" t="s">
        <v>598</v>
      </c>
      <c r="J1170" s="184" t="s">
        <v>119</v>
      </c>
      <c r="K1170" s="184" t="s">
        <v>435</v>
      </c>
      <c r="L1170" s="184" t="s">
        <v>598</v>
      </c>
      <c r="M1170" s="184" t="s">
        <v>598</v>
      </c>
      <c r="N1170" s="184" t="s">
        <v>63</v>
      </c>
      <c r="O1170" s="184" t="s">
        <v>63</v>
      </c>
      <c r="P1170" s="186"/>
      <c r="Q1170" s="184" t="s">
        <v>598</v>
      </c>
      <c r="R1170" s="184" t="s">
        <v>598</v>
      </c>
      <c r="S1170" s="127" t="s">
        <v>598</v>
      </c>
      <c r="T1170" s="184" t="s">
        <v>598</v>
      </c>
      <c r="U1170" s="184" t="s">
        <v>598</v>
      </c>
      <c r="V1170" s="185">
        <v>0</v>
      </c>
      <c r="W1170" s="184" t="s">
        <v>485</v>
      </c>
      <c r="X1170" s="184">
        <v>2852</v>
      </c>
      <c r="Y1170" s="185">
        <v>5000</v>
      </c>
      <c r="Z1170" s="184" t="s">
        <v>598</v>
      </c>
      <c r="AA1170" s="21" t="s">
        <v>610</v>
      </c>
      <c r="AB1170" s="176" t="s">
        <v>489</v>
      </c>
      <c r="AC1170" s="172">
        <v>42996.328472222223</v>
      </c>
      <c r="AD1170" s="32" t="s">
        <v>552</v>
      </c>
    </row>
    <row r="1171" spans="1:30">
      <c r="A1171" s="184">
        <v>1170</v>
      </c>
      <c r="B1171" s="184" t="s">
        <v>2949</v>
      </c>
      <c r="C1171" s="184" t="s">
        <v>598</v>
      </c>
      <c r="D1171" s="127">
        <v>42770</v>
      </c>
      <c r="E1171" s="127" t="s">
        <v>598</v>
      </c>
      <c r="F1171" s="184" t="s">
        <v>2950</v>
      </c>
      <c r="G1171" s="185">
        <v>0</v>
      </c>
      <c r="H1171" s="184" t="s">
        <v>598</v>
      </c>
      <c r="I1171" s="184" t="s">
        <v>598</v>
      </c>
      <c r="J1171" s="184" t="s">
        <v>116</v>
      </c>
      <c r="K1171" s="184" t="s">
        <v>299</v>
      </c>
      <c r="L1171" s="184" t="s">
        <v>598</v>
      </c>
      <c r="M1171" s="184" t="s">
        <v>598</v>
      </c>
      <c r="N1171" s="184" t="s">
        <v>63</v>
      </c>
      <c r="O1171" s="184" t="s">
        <v>63</v>
      </c>
      <c r="P1171" s="186" t="s">
        <v>73</v>
      </c>
      <c r="Q1171" s="184" t="s">
        <v>598</v>
      </c>
      <c r="R1171" s="184" t="s">
        <v>598</v>
      </c>
      <c r="S1171" s="127" t="s">
        <v>598</v>
      </c>
      <c r="T1171" s="184" t="s">
        <v>598</v>
      </c>
      <c r="U1171" s="184" t="s">
        <v>598</v>
      </c>
      <c r="V1171" s="185">
        <v>0</v>
      </c>
      <c r="W1171" s="184" t="s">
        <v>485</v>
      </c>
      <c r="X1171" s="184">
        <v>2832</v>
      </c>
      <c r="Y1171" s="185">
        <v>4000</v>
      </c>
      <c r="Z1171" s="184" t="s">
        <v>598</v>
      </c>
      <c r="AA1171" s="21" t="s">
        <v>610</v>
      </c>
      <c r="AB1171" s="176" t="s">
        <v>489</v>
      </c>
      <c r="AC1171" s="172">
        <v>42996.328472222223</v>
      </c>
      <c r="AD1171" s="32" t="s">
        <v>552</v>
      </c>
    </row>
    <row r="1172" spans="1:30">
      <c r="A1172" s="184">
        <v>1171</v>
      </c>
      <c r="B1172" s="184" t="s">
        <v>2951</v>
      </c>
      <c r="C1172" s="184" t="s">
        <v>598</v>
      </c>
      <c r="D1172" s="127">
        <v>42790</v>
      </c>
      <c r="E1172" s="127" t="s">
        <v>598</v>
      </c>
      <c r="F1172" s="184" t="s">
        <v>2952</v>
      </c>
      <c r="G1172" s="185">
        <v>0</v>
      </c>
      <c r="H1172" s="184" t="s">
        <v>598</v>
      </c>
      <c r="I1172" s="184" t="s">
        <v>598</v>
      </c>
      <c r="J1172" s="184" t="s">
        <v>116</v>
      </c>
      <c r="K1172" s="184" t="s">
        <v>299</v>
      </c>
      <c r="L1172" s="184" t="s">
        <v>598</v>
      </c>
      <c r="M1172" s="184" t="s">
        <v>598</v>
      </c>
      <c r="N1172" s="184" t="s">
        <v>63</v>
      </c>
      <c r="O1172" s="184" t="s">
        <v>63</v>
      </c>
      <c r="P1172" s="186" t="s">
        <v>601</v>
      </c>
      <c r="Q1172" s="184" t="s">
        <v>598</v>
      </c>
      <c r="R1172" s="184" t="s">
        <v>598</v>
      </c>
      <c r="S1172" s="127" t="s">
        <v>598</v>
      </c>
      <c r="T1172" s="184" t="s">
        <v>598</v>
      </c>
      <c r="U1172" s="184" t="s">
        <v>598</v>
      </c>
      <c r="V1172" s="185">
        <v>0</v>
      </c>
      <c r="W1172" s="184" t="s">
        <v>485</v>
      </c>
      <c r="X1172" s="184">
        <v>2878</v>
      </c>
      <c r="Y1172" s="185">
        <v>4000</v>
      </c>
      <c r="Z1172" s="184" t="s">
        <v>598</v>
      </c>
      <c r="AA1172" s="21" t="s">
        <v>610</v>
      </c>
      <c r="AB1172" s="176" t="s">
        <v>489</v>
      </c>
      <c r="AC1172" s="172">
        <v>42996.328472222223</v>
      </c>
      <c r="AD1172" s="32" t="s">
        <v>552</v>
      </c>
    </row>
    <row r="1173" spans="1:30">
      <c r="A1173" s="184">
        <v>1172</v>
      </c>
      <c r="B1173" s="184" t="s">
        <v>2953</v>
      </c>
      <c r="C1173" s="184" t="s">
        <v>598</v>
      </c>
      <c r="D1173" s="127">
        <v>42767</v>
      </c>
      <c r="E1173" s="127" t="s">
        <v>598</v>
      </c>
      <c r="F1173" s="184" t="s">
        <v>2954</v>
      </c>
      <c r="G1173" s="185">
        <v>0</v>
      </c>
      <c r="H1173" s="184" t="s">
        <v>598</v>
      </c>
      <c r="I1173" s="184" t="s">
        <v>598</v>
      </c>
      <c r="J1173" s="184" t="s">
        <v>38</v>
      </c>
      <c r="K1173" s="184" t="s">
        <v>354</v>
      </c>
      <c r="L1173" s="184" t="s">
        <v>598</v>
      </c>
      <c r="M1173" s="184" t="s">
        <v>598</v>
      </c>
      <c r="N1173" s="184" t="s">
        <v>63</v>
      </c>
      <c r="O1173" s="184" t="s">
        <v>598</v>
      </c>
      <c r="P1173" s="186" t="s">
        <v>32</v>
      </c>
      <c r="Q1173" s="184" t="s">
        <v>598</v>
      </c>
      <c r="R1173" s="184" t="s">
        <v>598</v>
      </c>
      <c r="S1173" s="127" t="s">
        <v>598</v>
      </c>
      <c r="T1173" s="184" t="s">
        <v>598</v>
      </c>
      <c r="U1173" s="184" t="s">
        <v>598</v>
      </c>
      <c r="V1173" s="185">
        <v>0</v>
      </c>
      <c r="W1173" s="184" t="s">
        <v>89</v>
      </c>
      <c r="X1173" s="184" t="s">
        <v>598</v>
      </c>
      <c r="Y1173" s="185">
        <v>0</v>
      </c>
      <c r="Z1173" s="184" t="s">
        <v>598</v>
      </c>
      <c r="AA1173" s="21" t="s">
        <v>822</v>
      </c>
      <c r="AB1173" s="176" t="s">
        <v>489</v>
      </c>
      <c r="AC1173" s="172">
        <v>42996.328472222223</v>
      </c>
      <c r="AD1173" s="32" t="s">
        <v>552</v>
      </c>
    </row>
    <row r="1174" spans="1:30">
      <c r="A1174" s="184">
        <v>1173</v>
      </c>
      <c r="B1174" s="184" t="s">
        <v>2955</v>
      </c>
      <c r="C1174" s="184" t="s">
        <v>598</v>
      </c>
      <c r="D1174" s="127">
        <v>42767</v>
      </c>
      <c r="E1174" s="127" t="s">
        <v>598</v>
      </c>
      <c r="F1174" s="184" t="s">
        <v>2956</v>
      </c>
      <c r="G1174" s="185">
        <v>0</v>
      </c>
      <c r="H1174" s="184" t="s">
        <v>598</v>
      </c>
      <c r="I1174" s="184" t="s">
        <v>598</v>
      </c>
      <c r="J1174" s="184" t="s">
        <v>38</v>
      </c>
      <c r="K1174" s="184" t="s">
        <v>239</v>
      </c>
      <c r="L1174" s="184" t="s">
        <v>598</v>
      </c>
      <c r="M1174" s="184" t="s">
        <v>598</v>
      </c>
      <c r="N1174" s="184" t="s">
        <v>63</v>
      </c>
      <c r="O1174" s="184" t="s">
        <v>598</v>
      </c>
      <c r="P1174" s="186" t="s">
        <v>53</v>
      </c>
      <c r="Q1174" s="184" t="s">
        <v>598</v>
      </c>
      <c r="R1174" s="184" t="s">
        <v>598</v>
      </c>
      <c r="S1174" s="127" t="s">
        <v>598</v>
      </c>
      <c r="T1174" s="184" t="s">
        <v>598</v>
      </c>
      <c r="U1174" s="184" t="s">
        <v>598</v>
      </c>
      <c r="V1174" s="185">
        <v>0</v>
      </c>
      <c r="W1174" s="184" t="s">
        <v>89</v>
      </c>
      <c r="X1174" s="184" t="s">
        <v>598</v>
      </c>
      <c r="Y1174" s="185">
        <v>0</v>
      </c>
      <c r="Z1174" s="184" t="s">
        <v>598</v>
      </c>
      <c r="AA1174" s="21" t="s">
        <v>822</v>
      </c>
      <c r="AB1174" s="176" t="s">
        <v>489</v>
      </c>
      <c r="AC1174" s="172">
        <v>42996.328472222223</v>
      </c>
      <c r="AD1174" s="32" t="s">
        <v>552</v>
      </c>
    </row>
    <row r="1175" spans="1:30">
      <c r="A1175" s="184">
        <v>1174</v>
      </c>
      <c r="B1175" s="184" t="s">
        <v>2957</v>
      </c>
      <c r="C1175" s="184" t="s">
        <v>598</v>
      </c>
      <c r="D1175" s="127">
        <v>42772</v>
      </c>
      <c r="E1175" s="127" t="s">
        <v>598</v>
      </c>
      <c r="F1175" s="184" t="s">
        <v>2958</v>
      </c>
      <c r="G1175" s="185">
        <v>0</v>
      </c>
      <c r="H1175" s="184" t="s">
        <v>598</v>
      </c>
      <c r="I1175" s="184" t="s">
        <v>598</v>
      </c>
      <c r="J1175" s="184" t="s">
        <v>38</v>
      </c>
      <c r="K1175" s="184" t="s">
        <v>239</v>
      </c>
      <c r="L1175" s="184" t="s">
        <v>598</v>
      </c>
      <c r="M1175" s="184" t="s">
        <v>598</v>
      </c>
      <c r="N1175" s="184" t="s">
        <v>63</v>
      </c>
      <c r="O1175" s="184" t="s">
        <v>598</v>
      </c>
      <c r="P1175" s="186" t="s">
        <v>44</v>
      </c>
      <c r="Q1175" s="184" t="s">
        <v>598</v>
      </c>
      <c r="R1175" s="184" t="s">
        <v>598</v>
      </c>
      <c r="S1175" s="127" t="s">
        <v>598</v>
      </c>
      <c r="T1175" s="184" t="s">
        <v>598</v>
      </c>
      <c r="U1175" s="184" t="s">
        <v>598</v>
      </c>
      <c r="V1175" s="185">
        <v>0</v>
      </c>
      <c r="W1175" s="184" t="s">
        <v>485</v>
      </c>
      <c r="X1175" s="184" t="s">
        <v>2959</v>
      </c>
      <c r="Y1175" s="185">
        <v>7500</v>
      </c>
      <c r="Z1175" s="184" t="s">
        <v>598</v>
      </c>
      <c r="AA1175" s="21" t="s">
        <v>610</v>
      </c>
      <c r="AB1175" s="176" t="s">
        <v>489</v>
      </c>
      <c r="AC1175" s="172">
        <v>42996.328472222223</v>
      </c>
      <c r="AD1175" s="32" t="s">
        <v>552</v>
      </c>
    </row>
    <row r="1176" spans="1:30">
      <c r="A1176" s="184">
        <v>1175</v>
      </c>
      <c r="B1176" s="184" t="s">
        <v>2960</v>
      </c>
      <c r="C1176" s="184" t="s">
        <v>598</v>
      </c>
      <c r="D1176" s="127">
        <v>42772</v>
      </c>
      <c r="E1176" s="127" t="s">
        <v>598</v>
      </c>
      <c r="F1176" s="184" t="s">
        <v>2961</v>
      </c>
      <c r="G1176" s="185">
        <v>0</v>
      </c>
      <c r="H1176" s="184" t="s">
        <v>598</v>
      </c>
      <c r="I1176" s="184" t="s">
        <v>598</v>
      </c>
      <c r="J1176" s="184" t="s">
        <v>38</v>
      </c>
      <c r="K1176" s="184" t="s">
        <v>239</v>
      </c>
      <c r="L1176" s="184" t="s">
        <v>598</v>
      </c>
      <c r="M1176" s="184" t="s">
        <v>598</v>
      </c>
      <c r="N1176" s="184" t="s">
        <v>63</v>
      </c>
      <c r="O1176" s="184" t="s">
        <v>598</v>
      </c>
      <c r="P1176" s="186" t="s">
        <v>67</v>
      </c>
      <c r="Q1176" s="184" t="s">
        <v>598</v>
      </c>
      <c r="R1176" s="184" t="s">
        <v>598</v>
      </c>
      <c r="S1176" s="127" t="s">
        <v>598</v>
      </c>
      <c r="T1176" s="184" t="s">
        <v>598</v>
      </c>
      <c r="U1176" s="184" t="s">
        <v>598</v>
      </c>
      <c r="V1176" s="185">
        <v>0</v>
      </c>
      <c r="W1176" s="184" t="s">
        <v>485</v>
      </c>
      <c r="X1176" s="184" t="s">
        <v>2962</v>
      </c>
      <c r="Y1176" s="185">
        <v>2500</v>
      </c>
      <c r="Z1176" s="184" t="s">
        <v>598</v>
      </c>
      <c r="AA1176" s="21" t="s">
        <v>610</v>
      </c>
      <c r="AB1176" s="176" t="s">
        <v>489</v>
      </c>
      <c r="AC1176" s="172">
        <v>42996.328472222223</v>
      </c>
      <c r="AD1176" s="32" t="s">
        <v>552</v>
      </c>
    </row>
    <row r="1177" spans="1:30">
      <c r="A1177" s="184">
        <v>1176</v>
      </c>
      <c r="B1177" s="184" t="s">
        <v>2963</v>
      </c>
      <c r="C1177" s="184" t="s">
        <v>598</v>
      </c>
      <c r="D1177" s="127">
        <v>42768</v>
      </c>
      <c r="E1177" s="127" t="s">
        <v>598</v>
      </c>
      <c r="F1177" s="184" t="s">
        <v>2964</v>
      </c>
      <c r="G1177" s="185">
        <v>0</v>
      </c>
      <c r="H1177" s="184" t="s">
        <v>598</v>
      </c>
      <c r="I1177" s="184" t="s">
        <v>598</v>
      </c>
      <c r="J1177" s="184" t="s">
        <v>38</v>
      </c>
      <c r="K1177" s="184" t="s">
        <v>239</v>
      </c>
      <c r="L1177" s="184" t="s">
        <v>598</v>
      </c>
      <c r="M1177" s="184" t="s">
        <v>598</v>
      </c>
      <c r="N1177" s="184" t="s">
        <v>63</v>
      </c>
      <c r="O1177" s="184" t="s">
        <v>598</v>
      </c>
      <c r="P1177" s="186" t="s">
        <v>602</v>
      </c>
      <c r="Q1177" s="184" t="s">
        <v>598</v>
      </c>
      <c r="R1177" s="184" t="s">
        <v>598</v>
      </c>
      <c r="S1177" s="127" t="s">
        <v>598</v>
      </c>
      <c r="T1177" s="184" t="s">
        <v>598</v>
      </c>
      <c r="U1177" s="184" t="s">
        <v>598</v>
      </c>
      <c r="V1177" s="185">
        <v>0</v>
      </c>
      <c r="W1177" s="184" t="s">
        <v>485</v>
      </c>
      <c r="X1177" s="184" t="s">
        <v>2965</v>
      </c>
      <c r="Y1177" s="185">
        <v>5000</v>
      </c>
      <c r="Z1177" s="184" t="s">
        <v>598</v>
      </c>
      <c r="AA1177" s="21" t="s">
        <v>610</v>
      </c>
      <c r="AB1177" s="176" t="s">
        <v>489</v>
      </c>
      <c r="AC1177" s="172">
        <v>42996.328472222223</v>
      </c>
      <c r="AD1177" s="32" t="s">
        <v>552</v>
      </c>
    </row>
    <row r="1178" spans="1:30">
      <c r="A1178" s="184">
        <v>1177</v>
      </c>
      <c r="B1178" s="184" t="s">
        <v>2966</v>
      </c>
      <c r="C1178" s="184" t="s">
        <v>598</v>
      </c>
      <c r="D1178" s="127">
        <v>42784</v>
      </c>
      <c r="E1178" s="127" t="s">
        <v>598</v>
      </c>
      <c r="F1178" s="184" t="s">
        <v>2967</v>
      </c>
      <c r="G1178" s="185">
        <v>0</v>
      </c>
      <c r="H1178" s="184" t="s">
        <v>598</v>
      </c>
      <c r="I1178" s="184" t="s">
        <v>598</v>
      </c>
      <c r="J1178" s="184" t="s">
        <v>38</v>
      </c>
      <c r="K1178" s="184" t="s">
        <v>598</v>
      </c>
      <c r="L1178" s="184" t="s">
        <v>598</v>
      </c>
      <c r="M1178" s="184" t="s">
        <v>598</v>
      </c>
      <c r="N1178" s="184" t="s">
        <v>63</v>
      </c>
      <c r="O1178" s="184" t="s">
        <v>86</v>
      </c>
      <c r="P1178" s="186" t="s">
        <v>603</v>
      </c>
      <c r="Q1178" s="184" t="s">
        <v>598</v>
      </c>
      <c r="R1178" s="184" t="s">
        <v>598</v>
      </c>
      <c r="S1178" s="127" t="s">
        <v>598</v>
      </c>
      <c r="T1178" s="184" t="s">
        <v>598</v>
      </c>
      <c r="U1178" s="184" t="s">
        <v>598</v>
      </c>
      <c r="V1178" s="185">
        <v>0</v>
      </c>
      <c r="W1178" s="184" t="s">
        <v>485</v>
      </c>
      <c r="X1178" s="184" t="s">
        <v>598</v>
      </c>
      <c r="Y1178" s="185">
        <v>0</v>
      </c>
      <c r="Z1178" s="184" t="s">
        <v>598</v>
      </c>
      <c r="AA1178" s="21" t="s">
        <v>610</v>
      </c>
      <c r="AB1178" s="176" t="s">
        <v>489</v>
      </c>
      <c r="AC1178" s="172">
        <v>42996.328472222223</v>
      </c>
      <c r="AD1178" s="32" t="s">
        <v>552</v>
      </c>
    </row>
    <row r="1179" spans="1:30">
      <c r="A1179" s="184">
        <v>1178</v>
      </c>
      <c r="B1179" s="184" t="s">
        <v>2968</v>
      </c>
      <c r="C1179" s="184" t="s">
        <v>598</v>
      </c>
      <c r="D1179" s="127">
        <v>42784</v>
      </c>
      <c r="E1179" s="127" t="s">
        <v>598</v>
      </c>
      <c r="F1179" s="184" t="s">
        <v>2969</v>
      </c>
      <c r="G1179" s="185">
        <v>0</v>
      </c>
      <c r="H1179" s="184" t="s">
        <v>598</v>
      </c>
      <c r="I1179" s="184" t="s">
        <v>598</v>
      </c>
      <c r="J1179" s="184" t="s">
        <v>38</v>
      </c>
      <c r="K1179" s="184" t="s">
        <v>314</v>
      </c>
      <c r="L1179" s="184" t="s">
        <v>598</v>
      </c>
      <c r="M1179" s="184" t="s">
        <v>598</v>
      </c>
      <c r="N1179" s="184" t="s">
        <v>63</v>
      </c>
      <c r="O1179" s="184" t="s">
        <v>86</v>
      </c>
      <c r="P1179" s="186" t="s">
        <v>604</v>
      </c>
      <c r="Q1179" s="184" t="s">
        <v>598</v>
      </c>
      <c r="R1179" s="184" t="s">
        <v>598</v>
      </c>
      <c r="S1179" s="127" t="s">
        <v>598</v>
      </c>
      <c r="T1179" s="184" t="s">
        <v>598</v>
      </c>
      <c r="U1179" s="184" t="s">
        <v>598</v>
      </c>
      <c r="V1179" s="185">
        <v>0</v>
      </c>
      <c r="W1179" s="184" t="s">
        <v>485</v>
      </c>
      <c r="X1179" s="184" t="s">
        <v>598</v>
      </c>
      <c r="Y1179" s="185">
        <v>0</v>
      </c>
      <c r="Z1179" s="184" t="s">
        <v>598</v>
      </c>
      <c r="AA1179" s="21" t="s">
        <v>610</v>
      </c>
      <c r="AB1179" s="176" t="s">
        <v>489</v>
      </c>
      <c r="AC1179" s="172">
        <v>42996.328472222223</v>
      </c>
      <c r="AD1179" s="32" t="s">
        <v>552</v>
      </c>
    </row>
    <row r="1180" spans="1:30">
      <c r="A1180" s="184">
        <v>1179</v>
      </c>
      <c r="B1180" s="184" t="s">
        <v>2970</v>
      </c>
      <c r="C1180" s="184" t="s">
        <v>598</v>
      </c>
      <c r="D1180" s="127">
        <v>42784</v>
      </c>
      <c r="E1180" s="127" t="s">
        <v>598</v>
      </c>
      <c r="F1180" s="184" t="s">
        <v>2971</v>
      </c>
      <c r="G1180" s="185">
        <v>0</v>
      </c>
      <c r="H1180" s="184" t="s">
        <v>598</v>
      </c>
      <c r="I1180" s="184" t="s">
        <v>598</v>
      </c>
      <c r="J1180" s="184" t="s">
        <v>38</v>
      </c>
      <c r="K1180" s="184" t="s">
        <v>314</v>
      </c>
      <c r="L1180" s="184" t="s">
        <v>598</v>
      </c>
      <c r="M1180" s="184" t="s">
        <v>598</v>
      </c>
      <c r="N1180" s="184" t="s">
        <v>63</v>
      </c>
      <c r="O1180" s="184" t="s">
        <v>86</v>
      </c>
      <c r="P1180" s="186"/>
      <c r="Q1180" s="184" t="s">
        <v>598</v>
      </c>
      <c r="R1180" s="184" t="s">
        <v>598</v>
      </c>
      <c r="S1180" s="127" t="s">
        <v>598</v>
      </c>
      <c r="T1180" s="184" t="s">
        <v>598</v>
      </c>
      <c r="U1180" s="184" t="s">
        <v>598</v>
      </c>
      <c r="V1180" s="185">
        <v>0</v>
      </c>
      <c r="W1180" s="184" t="s">
        <v>89</v>
      </c>
      <c r="X1180" s="184" t="s">
        <v>598</v>
      </c>
      <c r="Y1180" s="185">
        <v>0</v>
      </c>
      <c r="Z1180" s="184" t="s">
        <v>598</v>
      </c>
      <c r="AA1180" s="21" t="s">
        <v>822</v>
      </c>
      <c r="AB1180" s="176" t="s">
        <v>489</v>
      </c>
      <c r="AC1180" s="172">
        <v>42996.328472222223</v>
      </c>
      <c r="AD1180" s="32" t="s">
        <v>552</v>
      </c>
    </row>
    <row r="1181" spans="1:30">
      <c r="A1181" s="184">
        <v>1180</v>
      </c>
      <c r="B1181" s="184" t="s">
        <v>2972</v>
      </c>
      <c r="C1181" s="184" t="s">
        <v>598</v>
      </c>
      <c r="D1181" s="127">
        <v>42787</v>
      </c>
      <c r="E1181" s="127" t="s">
        <v>598</v>
      </c>
      <c r="F1181" s="184" t="s">
        <v>2973</v>
      </c>
      <c r="G1181" s="185">
        <v>0</v>
      </c>
      <c r="H1181" s="184" t="s">
        <v>598</v>
      </c>
      <c r="I1181" s="184" t="s">
        <v>598</v>
      </c>
      <c r="J1181" s="184" t="s">
        <v>38</v>
      </c>
      <c r="K1181" s="184" t="s">
        <v>352</v>
      </c>
      <c r="L1181" s="184" t="s">
        <v>598</v>
      </c>
      <c r="M1181" s="184" t="s">
        <v>598</v>
      </c>
      <c r="N1181" s="184" t="s">
        <v>63</v>
      </c>
      <c r="O1181" s="184" t="s">
        <v>86</v>
      </c>
      <c r="P1181" s="186" t="s">
        <v>606</v>
      </c>
      <c r="Q1181" s="184" t="s">
        <v>598</v>
      </c>
      <c r="R1181" s="184" t="s">
        <v>598</v>
      </c>
      <c r="S1181" s="127" t="s">
        <v>598</v>
      </c>
      <c r="T1181" s="184" t="s">
        <v>598</v>
      </c>
      <c r="U1181" s="184" t="s">
        <v>598</v>
      </c>
      <c r="V1181" s="185">
        <v>0</v>
      </c>
      <c r="W1181" s="184" t="s">
        <v>33</v>
      </c>
      <c r="X1181" s="184" t="s">
        <v>598</v>
      </c>
      <c r="Y1181" s="185">
        <v>0</v>
      </c>
      <c r="Z1181" s="184" t="s">
        <v>598</v>
      </c>
      <c r="AA1181" s="21" t="s">
        <v>822</v>
      </c>
      <c r="AB1181" s="176" t="s">
        <v>489</v>
      </c>
      <c r="AC1181" s="172">
        <v>42996.328472222223</v>
      </c>
      <c r="AD1181" s="32" t="s">
        <v>552</v>
      </c>
    </row>
    <row r="1182" spans="1:30">
      <c r="A1182" s="184">
        <v>1181</v>
      </c>
      <c r="B1182" s="184" t="s">
        <v>2974</v>
      </c>
      <c r="C1182" s="184" t="s">
        <v>598</v>
      </c>
      <c r="D1182" s="127">
        <v>42787</v>
      </c>
      <c r="E1182" s="127" t="s">
        <v>598</v>
      </c>
      <c r="F1182" s="184" t="s">
        <v>2975</v>
      </c>
      <c r="G1182" s="185">
        <v>0</v>
      </c>
      <c r="H1182" s="184" t="s">
        <v>598</v>
      </c>
      <c r="I1182" s="184" t="s">
        <v>598</v>
      </c>
      <c r="J1182" s="184" t="s">
        <v>38</v>
      </c>
      <c r="K1182" s="184" t="s">
        <v>352</v>
      </c>
      <c r="L1182" s="184" t="s">
        <v>598</v>
      </c>
      <c r="M1182" s="184" t="s">
        <v>598</v>
      </c>
      <c r="N1182" s="184" t="s">
        <v>63</v>
      </c>
      <c r="O1182" s="184" t="s">
        <v>86</v>
      </c>
      <c r="P1182" s="186"/>
      <c r="Q1182" s="184" t="s">
        <v>598</v>
      </c>
      <c r="R1182" s="184" t="s">
        <v>598</v>
      </c>
      <c r="S1182" s="127" t="s">
        <v>598</v>
      </c>
      <c r="T1182" s="184" t="s">
        <v>598</v>
      </c>
      <c r="U1182" s="184" t="s">
        <v>598</v>
      </c>
      <c r="V1182" s="185">
        <v>0</v>
      </c>
      <c r="W1182" s="184" t="s">
        <v>89</v>
      </c>
      <c r="X1182" s="184" t="s">
        <v>598</v>
      </c>
      <c r="Y1182" s="185">
        <v>0</v>
      </c>
      <c r="Z1182" s="184" t="s">
        <v>598</v>
      </c>
      <c r="AA1182" s="21" t="s">
        <v>822</v>
      </c>
      <c r="AB1182" s="176" t="s">
        <v>489</v>
      </c>
      <c r="AC1182" s="172">
        <v>42996.328472222223</v>
      </c>
      <c r="AD1182" s="32" t="s">
        <v>552</v>
      </c>
    </row>
    <row r="1183" spans="1:30">
      <c r="A1183" s="184">
        <v>1182</v>
      </c>
      <c r="B1183" s="184" t="s">
        <v>2976</v>
      </c>
      <c r="C1183" s="184" t="s">
        <v>598</v>
      </c>
      <c r="D1183" s="127">
        <v>42788</v>
      </c>
      <c r="E1183" s="127" t="s">
        <v>598</v>
      </c>
      <c r="F1183" s="184" t="s">
        <v>2977</v>
      </c>
      <c r="G1183" s="185">
        <v>0</v>
      </c>
      <c r="H1183" s="184" t="s">
        <v>598</v>
      </c>
      <c r="I1183" s="184" t="s">
        <v>598</v>
      </c>
      <c r="J1183" s="184" t="s">
        <v>38</v>
      </c>
      <c r="K1183" s="184" t="s">
        <v>352</v>
      </c>
      <c r="L1183" s="184" t="s">
        <v>598</v>
      </c>
      <c r="M1183" s="184" t="s">
        <v>598</v>
      </c>
      <c r="N1183" s="184" t="s">
        <v>63</v>
      </c>
      <c r="O1183" s="184" t="s">
        <v>86</v>
      </c>
      <c r="P1183" s="186" t="s">
        <v>73</v>
      </c>
      <c r="Q1183" s="184" t="s">
        <v>598</v>
      </c>
      <c r="R1183" s="184" t="s">
        <v>598</v>
      </c>
      <c r="S1183" s="127" t="s">
        <v>598</v>
      </c>
      <c r="T1183" s="184" t="s">
        <v>598</v>
      </c>
      <c r="U1183" s="184" t="s">
        <v>598</v>
      </c>
      <c r="V1183" s="185">
        <v>0</v>
      </c>
      <c r="W1183" s="184" t="s">
        <v>89</v>
      </c>
      <c r="X1183" s="184" t="s">
        <v>598</v>
      </c>
      <c r="Y1183" s="185">
        <v>0</v>
      </c>
      <c r="Z1183" s="184" t="s">
        <v>598</v>
      </c>
      <c r="AA1183" s="21" t="s">
        <v>822</v>
      </c>
      <c r="AB1183" s="176" t="s">
        <v>489</v>
      </c>
      <c r="AC1183" s="172">
        <v>42996.328472222223</v>
      </c>
      <c r="AD1183" s="32" t="s">
        <v>552</v>
      </c>
    </row>
    <row r="1184" spans="1:30">
      <c r="A1184" s="184">
        <v>1183</v>
      </c>
      <c r="B1184" s="184" t="s">
        <v>2978</v>
      </c>
      <c r="C1184" s="184" t="s">
        <v>598</v>
      </c>
      <c r="D1184" s="127">
        <v>42788</v>
      </c>
      <c r="E1184" s="127" t="s">
        <v>598</v>
      </c>
      <c r="F1184" s="184" t="s">
        <v>2979</v>
      </c>
      <c r="G1184" s="185">
        <v>0</v>
      </c>
      <c r="H1184" s="184" t="s">
        <v>598</v>
      </c>
      <c r="I1184" s="184" t="s">
        <v>598</v>
      </c>
      <c r="J1184" s="184" t="s">
        <v>38</v>
      </c>
      <c r="K1184" s="184" t="s">
        <v>352</v>
      </c>
      <c r="L1184" s="184" t="s">
        <v>598</v>
      </c>
      <c r="M1184" s="184" t="s">
        <v>598</v>
      </c>
      <c r="N1184" s="184" t="s">
        <v>63</v>
      </c>
      <c r="O1184" s="184" t="s">
        <v>86</v>
      </c>
      <c r="P1184" s="186" t="s">
        <v>601</v>
      </c>
      <c r="Q1184" s="184" t="s">
        <v>598</v>
      </c>
      <c r="R1184" s="184" t="s">
        <v>598</v>
      </c>
      <c r="S1184" s="127" t="s">
        <v>598</v>
      </c>
      <c r="T1184" s="184" t="s">
        <v>598</v>
      </c>
      <c r="U1184" s="184" t="s">
        <v>598</v>
      </c>
      <c r="V1184" s="185">
        <v>0</v>
      </c>
      <c r="W1184" s="184" t="s">
        <v>89</v>
      </c>
      <c r="X1184" s="184" t="s">
        <v>598</v>
      </c>
      <c r="Y1184" s="185">
        <v>0</v>
      </c>
      <c r="Z1184" s="184" t="s">
        <v>598</v>
      </c>
      <c r="AA1184" s="21" t="s">
        <v>822</v>
      </c>
      <c r="AB1184" s="176" t="s">
        <v>489</v>
      </c>
      <c r="AC1184" s="172">
        <v>42996.328472222223</v>
      </c>
      <c r="AD1184" s="32" t="s">
        <v>552</v>
      </c>
    </row>
    <row r="1185" spans="1:30">
      <c r="A1185" s="184">
        <v>1184</v>
      </c>
      <c r="B1185" s="184" t="s">
        <v>2980</v>
      </c>
      <c r="C1185" s="184" t="s">
        <v>598</v>
      </c>
      <c r="D1185" s="127">
        <v>42788</v>
      </c>
      <c r="E1185" s="127" t="s">
        <v>598</v>
      </c>
      <c r="F1185" s="184" t="s">
        <v>2977</v>
      </c>
      <c r="G1185" s="185">
        <v>0</v>
      </c>
      <c r="H1185" s="184" t="s">
        <v>598</v>
      </c>
      <c r="I1185" s="184" t="s">
        <v>598</v>
      </c>
      <c r="J1185" s="184" t="s">
        <v>38</v>
      </c>
      <c r="K1185" s="184" t="s">
        <v>352</v>
      </c>
      <c r="L1185" s="184" t="s">
        <v>598</v>
      </c>
      <c r="M1185" s="184" t="s">
        <v>598</v>
      </c>
      <c r="N1185" s="184" t="s">
        <v>63</v>
      </c>
      <c r="O1185" s="184" t="s">
        <v>86</v>
      </c>
      <c r="P1185" s="186" t="s">
        <v>32</v>
      </c>
      <c r="Q1185" s="184" t="s">
        <v>598</v>
      </c>
      <c r="R1185" s="184" t="s">
        <v>598</v>
      </c>
      <c r="S1185" s="127" t="s">
        <v>598</v>
      </c>
      <c r="T1185" s="184" t="s">
        <v>598</v>
      </c>
      <c r="U1185" s="184" t="s">
        <v>598</v>
      </c>
      <c r="V1185" s="185">
        <v>0</v>
      </c>
      <c r="W1185" s="184" t="s">
        <v>89</v>
      </c>
      <c r="X1185" s="184" t="s">
        <v>598</v>
      </c>
      <c r="Y1185" s="185">
        <v>0</v>
      </c>
      <c r="Z1185" s="184" t="s">
        <v>598</v>
      </c>
      <c r="AA1185" s="21" t="s">
        <v>822</v>
      </c>
      <c r="AB1185" s="176" t="s">
        <v>489</v>
      </c>
      <c r="AC1185" s="172">
        <v>42996.328472222223</v>
      </c>
      <c r="AD1185" s="32" t="s">
        <v>552</v>
      </c>
    </row>
    <row r="1186" spans="1:30">
      <c r="A1186" s="184">
        <v>1185</v>
      </c>
      <c r="B1186" s="184" t="s">
        <v>2981</v>
      </c>
      <c r="C1186" s="184" t="s">
        <v>598</v>
      </c>
      <c r="D1186" s="127">
        <v>42788</v>
      </c>
      <c r="E1186" s="127" t="s">
        <v>598</v>
      </c>
      <c r="F1186" s="184" t="s">
        <v>2975</v>
      </c>
      <c r="G1186" s="185">
        <v>0</v>
      </c>
      <c r="H1186" s="184" t="s">
        <v>598</v>
      </c>
      <c r="I1186" s="184" t="s">
        <v>598</v>
      </c>
      <c r="J1186" s="184" t="s">
        <v>38</v>
      </c>
      <c r="K1186" s="184" t="s">
        <v>352</v>
      </c>
      <c r="L1186" s="184" t="s">
        <v>598</v>
      </c>
      <c r="M1186" s="184" t="s">
        <v>598</v>
      </c>
      <c r="N1186" s="184" t="s">
        <v>63</v>
      </c>
      <c r="O1186" s="184" t="s">
        <v>490</v>
      </c>
      <c r="P1186" s="186" t="s">
        <v>53</v>
      </c>
      <c r="Q1186" s="184" t="s">
        <v>598</v>
      </c>
      <c r="R1186" s="184" t="s">
        <v>598</v>
      </c>
      <c r="S1186" s="127" t="s">
        <v>598</v>
      </c>
      <c r="T1186" s="184" t="s">
        <v>598</v>
      </c>
      <c r="U1186" s="184" t="s">
        <v>598</v>
      </c>
      <c r="V1186" s="185">
        <v>0</v>
      </c>
      <c r="W1186" s="184" t="s">
        <v>89</v>
      </c>
      <c r="X1186" s="184" t="s">
        <v>598</v>
      </c>
      <c r="Y1186" s="185">
        <v>0</v>
      </c>
      <c r="Z1186" s="184" t="s">
        <v>598</v>
      </c>
      <c r="AA1186" s="21" t="s">
        <v>822</v>
      </c>
      <c r="AB1186" s="176" t="s">
        <v>489</v>
      </c>
      <c r="AC1186" s="172">
        <v>42996.328472222223</v>
      </c>
      <c r="AD1186" s="32" t="s">
        <v>552</v>
      </c>
    </row>
    <row r="1187" spans="1:30">
      <c r="A1187" s="184">
        <v>1186</v>
      </c>
      <c r="B1187" s="184" t="s">
        <v>2982</v>
      </c>
      <c r="C1187" s="184" t="s">
        <v>598</v>
      </c>
      <c r="D1187" s="127">
        <v>42806</v>
      </c>
      <c r="E1187" s="127" t="s">
        <v>598</v>
      </c>
      <c r="F1187" s="184" t="s">
        <v>2983</v>
      </c>
      <c r="G1187" s="185">
        <v>0</v>
      </c>
      <c r="H1187" s="184" t="s">
        <v>598</v>
      </c>
      <c r="I1187" s="184" t="s">
        <v>598</v>
      </c>
      <c r="J1187" s="184" t="s">
        <v>121</v>
      </c>
      <c r="K1187" s="184" t="s">
        <v>439</v>
      </c>
      <c r="L1187" s="184" t="s">
        <v>598</v>
      </c>
      <c r="M1187" s="184" t="s">
        <v>598</v>
      </c>
      <c r="N1187" s="184" t="s">
        <v>63</v>
      </c>
      <c r="O1187" s="184" t="s">
        <v>2984</v>
      </c>
      <c r="P1187" s="186" t="s">
        <v>44</v>
      </c>
      <c r="Q1187" s="184" t="s">
        <v>598</v>
      </c>
      <c r="R1187" s="184" t="s">
        <v>598</v>
      </c>
      <c r="S1187" s="127" t="s">
        <v>598</v>
      </c>
      <c r="T1187" s="184" t="s">
        <v>598</v>
      </c>
      <c r="U1187" s="184" t="s">
        <v>598</v>
      </c>
      <c r="V1187" s="185">
        <v>0</v>
      </c>
      <c r="W1187" s="184" t="s">
        <v>485</v>
      </c>
      <c r="X1187" s="184">
        <v>3823</v>
      </c>
      <c r="Y1187" s="185">
        <v>2500</v>
      </c>
      <c r="Z1187" s="184" t="s">
        <v>598</v>
      </c>
      <c r="AA1187" s="21" t="s">
        <v>610</v>
      </c>
      <c r="AB1187" s="176" t="s">
        <v>489</v>
      </c>
      <c r="AC1187" s="172">
        <v>42996.328472222223</v>
      </c>
      <c r="AD1187" s="32" t="s">
        <v>552</v>
      </c>
    </row>
    <row r="1188" spans="1:30">
      <c r="A1188" s="184">
        <v>1187</v>
      </c>
      <c r="B1188" s="184" t="s">
        <v>2985</v>
      </c>
      <c r="C1188" s="184" t="s">
        <v>598</v>
      </c>
      <c r="D1188" s="127">
        <v>42808</v>
      </c>
      <c r="E1188" s="127" t="s">
        <v>598</v>
      </c>
      <c r="F1188" s="184" t="s">
        <v>2986</v>
      </c>
      <c r="G1188" s="185">
        <v>0</v>
      </c>
      <c r="H1188" s="184" t="s">
        <v>598</v>
      </c>
      <c r="I1188" s="184" t="s">
        <v>134</v>
      </c>
      <c r="J1188" s="184" t="s">
        <v>121</v>
      </c>
      <c r="K1188" s="184" t="s">
        <v>2987</v>
      </c>
      <c r="L1188" s="184" t="s">
        <v>598</v>
      </c>
      <c r="M1188" s="184" t="s">
        <v>598</v>
      </c>
      <c r="N1188" s="184" t="s">
        <v>63</v>
      </c>
      <c r="O1188" s="184" t="s">
        <v>2984</v>
      </c>
      <c r="P1188" s="186" t="s">
        <v>67</v>
      </c>
      <c r="Q1188" s="184" t="s">
        <v>598</v>
      </c>
      <c r="R1188" s="184" t="s">
        <v>598</v>
      </c>
      <c r="S1188" s="127" t="s">
        <v>598</v>
      </c>
      <c r="T1188" s="184" t="s">
        <v>598</v>
      </c>
      <c r="U1188" s="184" t="s">
        <v>598</v>
      </c>
      <c r="V1188" s="185">
        <v>0</v>
      </c>
      <c r="W1188" s="184" t="s">
        <v>485</v>
      </c>
      <c r="X1188" s="184">
        <v>3825</v>
      </c>
      <c r="Y1188" s="185">
        <v>1700</v>
      </c>
      <c r="Z1188" s="184" t="s">
        <v>598</v>
      </c>
      <c r="AA1188" s="21" t="s">
        <v>610</v>
      </c>
      <c r="AB1188" s="176" t="s">
        <v>489</v>
      </c>
      <c r="AC1188" s="172">
        <v>42996.328472222223</v>
      </c>
      <c r="AD1188" s="32" t="s">
        <v>552</v>
      </c>
    </row>
    <row r="1189" spans="1:30">
      <c r="A1189" s="184">
        <v>1188</v>
      </c>
      <c r="B1189" s="184" t="s">
        <v>2988</v>
      </c>
      <c r="C1189" s="184" t="s">
        <v>598</v>
      </c>
      <c r="D1189" s="127">
        <v>42819</v>
      </c>
      <c r="E1189" s="127" t="s">
        <v>598</v>
      </c>
      <c r="F1189" s="184" t="s">
        <v>2989</v>
      </c>
      <c r="G1189" s="185">
        <v>0</v>
      </c>
      <c r="H1189" s="184" t="s">
        <v>598</v>
      </c>
      <c r="I1189" s="184" t="s">
        <v>598</v>
      </c>
      <c r="J1189" s="184" t="s">
        <v>121</v>
      </c>
      <c r="K1189" s="184" t="s">
        <v>440</v>
      </c>
      <c r="L1189" s="184" t="s">
        <v>598</v>
      </c>
      <c r="M1189" s="184" t="s">
        <v>598</v>
      </c>
      <c r="N1189" s="184" t="s">
        <v>63</v>
      </c>
      <c r="O1189" s="184" t="s">
        <v>86</v>
      </c>
      <c r="P1189" s="186" t="s">
        <v>602</v>
      </c>
      <c r="Q1189" s="184" t="s">
        <v>598</v>
      </c>
      <c r="R1189" s="184" t="s">
        <v>598</v>
      </c>
      <c r="S1189" s="127" t="s">
        <v>598</v>
      </c>
      <c r="T1189" s="184" t="s">
        <v>598</v>
      </c>
      <c r="U1189" s="184" t="s">
        <v>598</v>
      </c>
      <c r="V1189" s="185">
        <v>0</v>
      </c>
      <c r="W1189" s="184" t="s">
        <v>485</v>
      </c>
      <c r="X1189" s="184">
        <v>3854</v>
      </c>
      <c r="Y1189" s="185">
        <v>1500</v>
      </c>
      <c r="Z1189" s="184" t="s">
        <v>492</v>
      </c>
      <c r="AA1189" s="21" t="s">
        <v>610</v>
      </c>
      <c r="AB1189" s="176" t="s">
        <v>489</v>
      </c>
      <c r="AC1189" s="172">
        <v>42996.328472222223</v>
      </c>
      <c r="AD1189" s="32" t="s">
        <v>552</v>
      </c>
    </row>
    <row r="1190" spans="1:30">
      <c r="A1190" s="184">
        <v>1189</v>
      </c>
      <c r="B1190" s="184" t="s">
        <v>2990</v>
      </c>
      <c r="C1190" s="184" t="s">
        <v>598</v>
      </c>
      <c r="D1190" s="127">
        <v>42802</v>
      </c>
      <c r="E1190" s="127" t="s">
        <v>598</v>
      </c>
      <c r="F1190" s="184" t="s">
        <v>2991</v>
      </c>
      <c r="G1190" s="185">
        <v>0</v>
      </c>
      <c r="H1190" s="184" t="s">
        <v>598</v>
      </c>
      <c r="I1190" s="184" t="s">
        <v>598</v>
      </c>
      <c r="J1190" s="184" t="s">
        <v>102</v>
      </c>
      <c r="K1190" s="184" t="s">
        <v>169</v>
      </c>
      <c r="L1190" s="184" t="s">
        <v>598</v>
      </c>
      <c r="M1190" s="184" t="s">
        <v>598</v>
      </c>
      <c r="N1190" s="184" t="s">
        <v>63</v>
      </c>
      <c r="O1190" s="184" t="s">
        <v>598</v>
      </c>
      <c r="P1190" s="186" t="s">
        <v>603</v>
      </c>
      <c r="Q1190" s="184" t="s">
        <v>598</v>
      </c>
      <c r="R1190" s="184" t="s">
        <v>598</v>
      </c>
      <c r="S1190" s="127">
        <v>42895</v>
      </c>
      <c r="T1190" s="184" t="s">
        <v>10</v>
      </c>
      <c r="U1190" s="184" t="s">
        <v>598</v>
      </c>
      <c r="V1190" s="185">
        <v>10000</v>
      </c>
      <c r="W1190" s="184" t="s">
        <v>493</v>
      </c>
      <c r="X1190" s="184">
        <v>3813</v>
      </c>
      <c r="Y1190" s="185">
        <v>17000</v>
      </c>
      <c r="Z1190" s="184" t="s">
        <v>598</v>
      </c>
      <c r="AA1190" s="21" t="s">
        <v>610</v>
      </c>
      <c r="AB1190" s="176" t="s">
        <v>489</v>
      </c>
      <c r="AC1190" s="172">
        <v>42996.328472222223</v>
      </c>
      <c r="AD1190" s="32" t="s">
        <v>552</v>
      </c>
    </row>
    <row r="1191" spans="1:30">
      <c r="A1191" s="184">
        <v>1190</v>
      </c>
      <c r="B1191" s="184" t="s">
        <v>2992</v>
      </c>
      <c r="C1191" s="184" t="s">
        <v>598</v>
      </c>
      <c r="D1191" s="127">
        <v>42802</v>
      </c>
      <c r="E1191" s="127" t="s">
        <v>598</v>
      </c>
      <c r="F1191" s="184" t="s">
        <v>2991</v>
      </c>
      <c r="G1191" s="185">
        <v>0</v>
      </c>
      <c r="H1191" s="184" t="s">
        <v>598</v>
      </c>
      <c r="I1191" s="184" t="s">
        <v>598</v>
      </c>
      <c r="J1191" s="184" t="s">
        <v>102</v>
      </c>
      <c r="K1191" s="184" t="s">
        <v>169</v>
      </c>
      <c r="L1191" s="184" t="s">
        <v>598</v>
      </c>
      <c r="M1191" s="184" t="s">
        <v>598</v>
      </c>
      <c r="N1191" s="184" t="s">
        <v>63</v>
      </c>
      <c r="O1191" s="184" t="s">
        <v>598</v>
      </c>
      <c r="P1191" s="186" t="s">
        <v>604</v>
      </c>
      <c r="Q1191" s="184" t="s">
        <v>598</v>
      </c>
      <c r="R1191" s="184" t="s">
        <v>598</v>
      </c>
      <c r="S1191" s="127">
        <v>42895</v>
      </c>
      <c r="T1191" s="184" t="s">
        <v>10</v>
      </c>
      <c r="U1191" s="184" t="s">
        <v>598</v>
      </c>
      <c r="V1191" s="185">
        <v>10000</v>
      </c>
      <c r="W1191" s="184" t="s">
        <v>493</v>
      </c>
      <c r="X1191" s="184">
        <v>3813</v>
      </c>
      <c r="Y1191" s="185">
        <v>17000</v>
      </c>
      <c r="Z1191" s="184" t="s">
        <v>598</v>
      </c>
      <c r="AA1191" s="21" t="s">
        <v>610</v>
      </c>
      <c r="AB1191" s="176" t="s">
        <v>489</v>
      </c>
      <c r="AC1191" s="172">
        <v>42996.328472222223</v>
      </c>
      <c r="AD1191" s="32" t="s">
        <v>552</v>
      </c>
    </row>
    <row r="1192" spans="1:30">
      <c r="A1192" s="184">
        <v>1191</v>
      </c>
      <c r="B1192" s="184" t="s">
        <v>2993</v>
      </c>
      <c r="C1192" s="184" t="s">
        <v>598</v>
      </c>
      <c r="D1192" s="127">
        <v>42802</v>
      </c>
      <c r="E1192" s="127" t="s">
        <v>598</v>
      </c>
      <c r="F1192" s="184" t="s">
        <v>2991</v>
      </c>
      <c r="G1192" s="185">
        <v>0</v>
      </c>
      <c r="H1192" s="184" t="s">
        <v>598</v>
      </c>
      <c r="I1192" s="184" t="s">
        <v>598</v>
      </c>
      <c r="J1192" s="184" t="s">
        <v>102</v>
      </c>
      <c r="K1192" s="184" t="s">
        <v>169</v>
      </c>
      <c r="L1192" s="184" t="s">
        <v>598</v>
      </c>
      <c r="M1192" s="184" t="s">
        <v>598</v>
      </c>
      <c r="N1192" s="184" t="s">
        <v>63</v>
      </c>
      <c r="O1192" s="184" t="s">
        <v>598</v>
      </c>
      <c r="P1192" s="186"/>
      <c r="Q1192" s="184" t="s">
        <v>598</v>
      </c>
      <c r="R1192" s="184" t="s">
        <v>598</v>
      </c>
      <c r="S1192" s="127">
        <v>42895</v>
      </c>
      <c r="T1192" s="184" t="s">
        <v>10</v>
      </c>
      <c r="U1192" s="184" t="s">
        <v>598</v>
      </c>
      <c r="V1192" s="185">
        <v>10000</v>
      </c>
      <c r="W1192" s="184" t="s">
        <v>493</v>
      </c>
      <c r="X1192" s="184">
        <v>3813</v>
      </c>
      <c r="Y1192" s="185">
        <v>16000</v>
      </c>
      <c r="Z1192" s="184" t="s">
        <v>598</v>
      </c>
      <c r="AA1192" s="21" t="s">
        <v>610</v>
      </c>
      <c r="AB1192" s="176" t="s">
        <v>489</v>
      </c>
      <c r="AC1192" s="172">
        <v>42996.328472222223</v>
      </c>
      <c r="AD1192" s="32" t="s">
        <v>552</v>
      </c>
    </row>
    <row r="1193" spans="1:30">
      <c r="A1193" s="184">
        <v>1192</v>
      </c>
      <c r="B1193" s="184" t="s">
        <v>2994</v>
      </c>
      <c r="C1193" s="184" t="s">
        <v>598</v>
      </c>
      <c r="D1193" s="127">
        <v>42805</v>
      </c>
      <c r="E1193" s="127" t="s">
        <v>598</v>
      </c>
      <c r="F1193" s="184" t="s">
        <v>2995</v>
      </c>
      <c r="G1193" s="185">
        <v>0</v>
      </c>
      <c r="H1193" s="184" t="s">
        <v>598</v>
      </c>
      <c r="I1193" s="184" t="s">
        <v>598</v>
      </c>
      <c r="J1193" s="184" t="s">
        <v>102</v>
      </c>
      <c r="K1193" s="184" t="s">
        <v>233</v>
      </c>
      <c r="L1193" s="184" t="s">
        <v>598</v>
      </c>
      <c r="M1193" s="184" t="s">
        <v>598</v>
      </c>
      <c r="N1193" s="184" t="s">
        <v>63</v>
      </c>
      <c r="O1193" s="184" t="s">
        <v>63</v>
      </c>
      <c r="P1193" s="186" t="s">
        <v>606</v>
      </c>
      <c r="Q1193" s="184" t="s">
        <v>598</v>
      </c>
      <c r="R1193" s="184" t="s">
        <v>598</v>
      </c>
      <c r="S1193" s="127">
        <v>42895</v>
      </c>
      <c r="T1193" s="184" t="s">
        <v>10</v>
      </c>
      <c r="U1193" s="184" t="s">
        <v>598</v>
      </c>
      <c r="V1193" s="185">
        <v>10000</v>
      </c>
      <c r="W1193" s="184" t="s">
        <v>493</v>
      </c>
      <c r="X1193" s="184">
        <v>3811</v>
      </c>
      <c r="Y1193" s="185">
        <v>15000</v>
      </c>
      <c r="Z1193" s="184" t="s">
        <v>598</v>
      </c>
      <c r="AA1193" s="21" t="s">
        <v>610</v>
      </c>
      <c r="AB1193" s="176" t="s">
        <v>489</v>
      </c>
      <c r="AC1193" s="172">
        <v>42996.328472222223</v>
      </c>
      <c r="AD1193" s="32" t="s">
        <v>552</v>
      </c>
    </row>
    <row r="1194" spans="1:30">
      <c r="A1194" s="184">
        <v>1193</v>
      </c>
      <c r="B1194" s="184" t="s">
        <v>2996</v>
      </c>
      <c r="C1194" s="184" t="s">
        <v>598</v>
      </c>
      <c r="D1194" s="127">
        <v>42810</v>
      </c>
      <c r="E1194" s="127" t="s">
        <v>598</v>
      </c>
      <c r="F1194" s="184" t="s">
        <v>2997</v>
      </c>
      <c r="G1194" s="185">
        <v>0</v>
      </c>
      <c r="H1194" s="184" t="s">
        <v>598</v>
      </c>
      <c r="I1194" s="184" t="s">
        <v>598</v>
      </c>
      <c r="J1194" s="184" t="s">
        <v>102</v>
      </c>
      <c r="K1194" s="184" t="s">
        <v>233</v>
      </c>
      <c r="L1194" s="184" t="s">
        <v>598</v>
      </c>
      <c r="M1194" s="184" t="s">
        <v>598</v>
      </c>
      <c r="N1194" s="184" t="s">
        <v>63</v>
      </c>
      <c r="O1194" s="184" t="s">
        <v>598</v>
      </c>
      <c r="P1194" s="186"/>
      <c r="Q1194" s="184" t="s">
        <v>598</v>
      </c>
      <c r="R1194" s="184" t="s">
        <v>598</v>
      </c>
      <c r="S1194" s="127" t="s">
        <v>598</v>
      </c>
      <c r="T1194" s="184" t="s">
        <v>598</v>
      </c>
      <c r="U1194" s="184" t="s">
        <v>598</v>
      </c>
      <c r="V1194" s="185">
        <v>0</v>
      </c>
      <c r="W1194" s="184" t="s">
        <v>485</v>
      </c>
      <c r="X1194" s="184">
        <v>3844</v>
      </c>
      <c r="Y1194" s="185">
        <v>6000</v>
      </c>
      <c r="Z1194" s="184" t="s">
        <v>598</v>
      </c>
      <c r="AA1194" s="21" t="s">
        <v>610</v>
      </c>
      <c r="AB1194" s="176" t="s">
        <v>489</v>
      </c>
      <c r="AC1194" s="172">
        <v>42996.328472222223</v>
      </c>
      <c r="AD1194" s="32" t="s">
        <v>552</v>
      </c>
    </row>
    <row r="1195" spans="1:30">
      <c r="A1195" s="184">
        <v>1194</v>
      </c>
      <c r="B1195" s="184" t="s">
        <v>2998</v>
      </c>
      <c r="C1195" s="184" t="s">
        <v>598</v>
      </c>
      <c r="D1195" s="127">
        <v>42815</v>
      </c>
      <c r="E1195" s="127" t="s">
        <v>598</v>
      </c>
      <c r="F1195" s="184" t="s">
        <v>2999</v>
      </c>
      <c r="G1195" s="185">
        <v>0</v>
      </c>
      <c r="H1195" s="184" t="s">
        <v>598</v>
      </c>
      <c r="I1195" s="184" t="s">
        <v>598</v>
      </c>
      <c r="J1195" s="184" t="s">
        <v>102</v>
      </c>
      <c r="K1195" s="184" t="s">
        <v>233</v>
      </c>
      <c r="L1195" s="184" t="s">
        <v>598</v>
      </c>
      <c r="M1195" s="184" t="s">
        <v>598</v>
      </c>
      <c r="N1195" s="184" t="s">
        <v>63</v>
      </c>
      <c r="O1195" s="184" t="s">
        <v>86</v>
      </c>
      <c r="P1195" s="186" t="s">
        <v>73</v>
      </c>
      <c r="Q1195" s="184" t="s">
        <v>598</v>
      </c>
      <c r="R1195" s="184" t="s">
        <v>598</v>
      </c>
      <c r="S1195" s="127" t="s">
        <v>598</v>
      </c>
      <c r="T1195" s="184" t="s">
        <v>598</v>
      </c>
      <c r="U1195" s="184" t="s">
        <v>598</v>
      </c>
      <c r="V1195" s="185">
        <v>0</v>
      </c>
      <c r="W1195" s="184" t="s">
        <v>485</v>
      </c>
      <c r="X1195" s="184">
        <v>3852</v>
      </c>
      <c r="Y1195" s="185">
        <v>5000</v>
      </c>
      <c r="Z1195" s="184" t="s">
        <v>598</v>
      </c>
      <c r="AA1195" s="21" t="s">
        <v>610</v>
      </c>
      <c r="AB1195" s="176" t="s">
        <v>489</v>
      </c>
      <c r="AC1195" s="172">
        <v>42996.328472222223</v>
      </c>
      <c r="AD1195" s="32" t="s">
        <v>552</v>
      </c>
    </row>
    <row r="1196" spans="1:30">
      <c r="A1196" s="184">
        <v>1195</v>
      </c>
      <c r="B1196" s="184" t="s">
        <v>3000</v>
      </c>
      <c r="C1196" s="184" t="s">
        <v>598</v>
      </c>
      <c r="D1196" s="127">
        <v>42816</v>
      </c>
      <c r="E1196" s="127" t="s">
        <v>598</v>
      </c>
      <c r="F1196" s="184" t="s">
        <v>3001</v>
      </c>
      <c r="G1196" s="185">
        <v>0</v>
      </c>
      <c r="H1196" s="184" t="s">
        <v>598</v>
      </c>
      <c r="I1196" s="184" t="s">
        <v>120</v>
      </c>
      <c r="J1196" s="184" t="s">
        <v>102</v>
      </c>
      <c r="K1196" s="184" t="s">
        <v>216</v>
      </c>
      <c r="L1196" s="184" t="s">
        <v>598</v>
      </c>
      <c r="M1196" s="184" t="s">
        <v>598</v>
      </c>
      <c r="N1196" s="184" t="s">
        <v>63</v>
      </c>
      <c r="O1196" s="184" t="s">
        <v>86</v>
      </c>
      <c r="P1196" s="186" t="s">
        <v>601</v>
      </c>
      <c r="Q1196" s="184" t="s">
        <v>598</v>
      </c>
      <c r="R1196" s="184" t="s">
        <v>598</v>
      </c>
      <c r="S1196" s="127" t="s">
        <v>598</v>
      </c>
      <c r="T1196" s="184" t="s">
        <v>598</v>
      </c>
      <c r="U1196" s="184" t="s">
        <v>598</v>
      </c>
      <c r="V1196" s="185">
        <v>0</v>
      </c>
      <c r="W1196" s="184" t="s">
        <v>485</v>
      </c>
      <c r="X1196" s="184">
        <v>3874</v>
      </c>
      <c r="Y1196" s="185">
        <v>4000</v>
      </c>
      <c r="Z1196" s="184" t="s">
        <v>598</v>
      </c>
      <c r="AA1196" s="21" t="s">
        <v>610</v>
      </c>
      <c r="AB1196" s="176" t="s">
        <v>489</v>
      </c>
      <c r="AC1196" s="172">
        <v>42996.328472222223</v>
      </c>
      <c r="AD1196" s="32" t="s">
        <v>552</v>
      </c>
    </row>
    <row r="1197" spans="1:30">
      <c r="A1197" s="184">
        <v>1196</v>
      </c>
      <c r="B1197" s="184" t="s">
        <v>3002</v>
      </c>
      <c r="C1197" s="184" t="s">
        <v>598</v>
      </c>
      <c r="D1197" s="127">
        <v>42817</v>
      </c>
      <c r="E1197" s="127" t="s">
        <v>598</v>
      </c>
      <c r="F1197" s="184" t="s">
        <v>3003</v>
      </c>
      <c r="G1197" s="185">
        <v>0</v>
      </c>
      <c r="H1197" s="184" t="s">
        <v>598</v>
      </c>
      <c r="I1197" s="184" t="s">
        <v>598</v>
      </c>
      <c r="J1197" s="184" t="s">
        <v>102</v>
      </c>
      <c r="K1197" s="184" t="s">
        <v>441</v>
      </c>
      <c r="L1197" s="184" t="s">
        <v>598</v>
      </c>
      <c r="M1197" s="184" t="s">
        <v>598</v>
      </c>
      <c r="N1197" s="184" t="s">
        <v>63</v>
      </c>
      <c r="O1197" s="184" t="s">
        <v>1303</v>
      </c>
      <c r="P1197" s="186" t="s">
        <v>32</v>
      </c>
      <c r="Q1197" s="184" t="s">
        <v>598</v>
      </c>
      <c r="R1197" s="184" t="s">
        <v>598</v>
      </c>
      <c r="S1197" s="127" t="s">
        <v>598</v>
      </c>
      <c r="T1197" s="184" t="s">
        <v>598</v>
      </c>
      <c r="U1197" s="184" t="s">
        <v>598</v>
      </c>
      <c r="V1197" s="185">
        <v>0</v>
      </c>
      <c r="W1197" s="184" t="s">
        <v>485</v>
      </c>
      <c r="X1197" s="184">
        <v>3851</v>
      </c>
      <c r="Y1197" s="185">
        <v>5000</v>
      </c>
      <c r="Z1197" s="184" t="s">
        <v>598</v>
      </c>
      <c r="AA1197" s="21" t="s">
        <v>610</v>
      </c>
      <c r="AB1197" s="176" t="s">
        <v>489</v>
      </c>
      <c r="AC1197" s="172">
        <v>42996.328472222223</v>
      </c>
      <c r="AD1197" s="32" t="s">
        <v>552</v>
      </c>
    </row>
    <row r="1198" spans="1:30">
      <c r="A1198" s="184">
        <v>1197</v>
      </c>
      <c r="B1198" s="184" t="s">
        <v>3004</v>
      </c>
      <c r="C1198" s="184" t="s">
        <v>598</v>
      </c>
      <c r="D1198" s="127">
        <v>42795</v>
      </c>
      <c r="E1198" s="127" t="s">
        <v>598</v>
      </c>
      <c r="F1198" s="184" t="s">
        <v>3005</v>
      </c>
      <c r="G1198" s="185">
        <v>0</v>
      </c>
      <c r="H1198" s="184" t="s">
        <v>598</v>
      </c>
      <c r="I1198" s="184" t="s">
        <v>598</v>
      </c>
      <c r="J1198" s="184" t="s">
        <v>38</v>
      </c>
      <c r="K1198" s="184" t="s">
        <v>354</v>
      </c>
      <c r="L1198" s="184" t="s">
        <v>598</v>
      </c>
      <c r="M1198" s="184" t="s">
        <v>598</v>
      </c>
      <c r="N1198" s="184" t="s">
        <v>63</v>
      </c>
      <c r="O1198" s="184" t="s">
        <v>86</v>
      </c>
      <c r="P1198" s="186" t="s">
        <v>53</v>
      </c>
      <c r="Q1198" s="184" t="s">
        <v>598</v>
      </c>
      <c r="R1198" s="184" t="s">
        <v>598</v>
      </c>
      <c r="S1198" s="127" t="s">
        <v>598</v>
      </c>
      <c r="T1198" s="184" t="s">
        <v>598</v>
      </c>
      <c r="U1198" s="184" t="s">
        <v>598</v>
      </c>
      <c r="V1198" s="185">
        <v>0</v>
      </c>
      <c r="W1198" s="184" t="s">
        <v>485</v>
      </c>
      <c r="X1198" s="184" t="s">
        <v>598</v>
      </c>
      <c r="Y1198" s="185">
        <v>0</v>
      </c>
      <c r="Z1198" s="184" t="s">
        <v>598</v>
      </c>
      <c r="AA1198" s="21" t="s">
        <v>610</v>
      </c>
      <c r="AB1198" s="176" t="s">
        <v>489</v>
      </c>
      <c r="AC1198" s="172">
        <v>42996.328472222223</v>
      </c>
      <c r="AD1198" s="32" t="s">
        <v>552</v>
      </c>
    </row>
    <row r="1199" spans="1:30">
      <c r="A1199" s="184">
        <v>1198</v>
      </c>
      <c r="B1199" s="184" t="s">
        <v>3006</v>
      </c>
      <c r="C1199" s="184" t="s">
        <v>598</v>
      </c>
      <c r="D1199" s="127">
        <v>42802</v>
      </c>
      <c r="E1199" s="127" t="s">
        <v>598</v>
      </c>
      <c r="F1199" s="184" t="s">
        <v>3007</v>
      </c>
      <c r="G1199" s="185">
        <v>0</v>
      </c>
      <c r="H1199" s="184" t="s">
        <v>598</v>
      </c>
      <c r="I1199" s="184" t="s">
        <v>598</v>
      </c>
      <c r="J1199" s="184" t="s">
        <v>38</v>
      </c>
      <c r="K1199" s="184" t="s">
        <v>239</v>
      </c>
      <c r="L1199" s="184" t="s">
        <v>598</v>
      </c>
      <c r="M1199" s="184" t="s">
        <v>598</v>
      </c>
      <c r="N1199" s="184" t="s">
        <v>63</v>
      </c>
      <c r="O1199" s="184" t="s">
        <v>86</v>
      </c>
      <c r="P1199" s="186" t="s">
        <v>44</v>
      </c>
      <c r="Q1199" s="184" t="s">
        <v>598</v>
      </c>
      <c r="R1199" s="184" t="s">
        <v>598</v>
      </c>
      <c r="S1199" s="127" t="s">
        <v>598</v>
      </c>
      <c r="T1199" s="184" t="s">
        <v>598</v>
      </c>
      <c r="U1199" s="184" t="s">
        <v>598</v>
      </c>
      <c r="V1199" s="185">
        <v>0</v>
      </c>
      <c r="W1199" s="184" t="s">
        <v>89</v>
      </c>
      <c r="X1199" s="184" t="s">
        <v>598</v>
      </c>
      <c r="Y1199" s="185">
        <v>0</v>
      </c>
      <c r="Z1199" s="184" t="s">
        <v>598</v>
      </c>
      <c r="AA1199" s="21" t="s">
        <v>822</v>
      </c>
      <c r="AB1199" s="176" t="s">
        <v>489</v>
      </c>
      <c r="AC1199" s="172">
        <v>42996.328472222223</v>
      </c>
      <c r="AD1199" s="32" t="s">
        <v>552</v>
      </c>
    </row>
    <row r="1200" spans="1:30">
      <c r="A1200" s="184">
        <v>1199</v>
      </c>
      <c r="B1200" s="184" t="s">
        <v>3008</v>
      </c>
      <c r="C1200" s="184" t="s">
        <v>598</v>
      </c>
      <c r="D1200" s="127">
        <v>42811</v>
      </c>
      <c r="E1200" s="127" t="s">
        <v>598</v>
      </c>
      <c r="F1200" s="184" t="s">
        <v>3009</v>
      </c>
      <c r="G1200" s="185">
        <v>0</v>
      </c>
      <c r="H1200" s="184" t="s">
        <v>598</v>
      </c>
      <c r="I1200" s="184" t="s">
        <v>598</v>
      </c>
      <c r="J1200" s="184" t="s">
        <v>38</v>
      </c>
      <c r="K1200" s="184" t="s">
        <v>354</v>
      </c>
      <c r="L1200" s="184" t="s">
        <v>598</v>
      </c>
      <c r="M1200" s="184" t="s">
        <v>598</v>
      </c>
      <c r="N1200" s="184" t="s">
        <v>63</v>
      </c>
      <c r="O1200" s="184" t="s">
        <v>86</v>
      </c>
      <c r="P1200" s="186" t="s">
        <v>67</v>
      </c>
      <c r="Q1200" s="184" t="s">
        <v>598</v>
      </c>
      <c r="R1200" s="184" t="s">
        <v>598</v>
      </c>
      <c r="S1200" s="127" t="s">
        <v>598</v>
      </c>
      <c r="T1200" s="184" t="s">
        <v>598</v>
      </c>
      <c r="U1200" s="184" t="s">
        <v>598</v>
      </c>
      <c r="V1200" s="185">
        <v>0</v>
      </c>
      <c r="W1200" s="184" t="s">
        <v>485</v>
      </c>
      <c r="X1200" s="184" t="s">
        <v>3010</v>
      </c>
      <c r="Y1200" s="185">
        <v>5000</v>
      </c>
      <c r="Z1200" s="184" t="s">
        <v>598</v>
      </c>
      <c r="AA1200" s="21" t="s">
        <v>610</v>
      </c>
      <c r="AB1200" s="176" t="s">
        <v>489</v>
      </c>
      <c r="AC1200" s="172">
        <v>42996.328472222223</v>
      </c>
      <c r="AD1200" s="32" t="s">
        <v>552</v>
      </c>
    </row>
    <row r="1201" spans="1:30">
      <c r="A1201" s="184">
        <v>1200</v>
      </c>
      <c r="B1201" s="184" t="s">
        <v>3011</v>
      </c>
      <c r="C1201" s="184" t="s">
        <v>598</v>
      </c>
      <c r="D1201" s="127">
        <v>42811</v>
      </c>
      <c r="E1201" s="127" t="s">
        <v>598</v>
      </c>
      <c r="F1201" s="184" t="s">
        <v>3009</v>
      </c>
      <c r="G1201" s="185">
        <v>0</v>
      </c>
      <c r="H1201" s="184" t="s">
        <v>598</v>
      </c>
      <c r="I1201" s="184" t="s">
        <v>598</v>
      </c>
      <c r="J1201" s="184" t="s">
        <v>38</v>
      </c>
      <c r="K1201" s="184" t="s">
        <v>354</v>
      </c>
      <c r="L1201" s="184" t="s">
        <v>598</v>
      </c>
      <c r="M1201" s="184" t="s">
        <v>598</v>
      </c>
      <c r="N1201" s="184" t="s">
        <v>63</v>
      </c>
      <c r="O1201" s="184" t="s">
        <v>86</v>
      </c>
      <c r="P1201" s="186" t="s">
        <v>602</v>
      </c>
      <c r="Q1201" s="184" t="s">
        <v>598</v>
      </c>
      <c r="R1201" s="184" t="s">
        <v>598</v>
      </c>
      <c r="S1201" s="127" t="s">
        <v>598</v>
      </c>
      <c r="T1201" s="184" t="s">
        <v>598</v>
      </c>
      <c r="U1201" s="184" t="s">
        <v>598</v>
      </c>
      <c r="V1201" s="185">
        <v>0</v>
      </c>
      <c r="W1201" s="184" t="s">
        <v>485</v>
      </c>
      <c r="X1201" s="184" t="s">
        <v>3010</v>
      </c>
      <c r="Y1201" s="185">
        <v>8000</v>
      </c>
      <c r="Z1201" s="184" t="s">
        <v>598</v>
      </c>
      <c r="AA1201" s="21" t="s">
        <v>610</v>
      </c>
      <c r="AB1201" s="176" t="s">
        <v>489</v>
      </c>
      <c r="AC1201" s="172">
        <v>42996.328472222223</v>
      </c>
      <c r="AD1201" s="32" t="s">
        <v>552</v>
      </c>
    </row>
    <row r="1202" spans="1:30">
      <c r="A1202" s="184">
        <v>1201</v>
      </c>
      <c r="B1202" s="184" t="s">
        <v>3012</v>
      </c>
      <c r="C1202" s="184" t="s">
        <v>598</v>
      </c>
      <c r="D1202" s="127">
        <v>42811</v>
      </c>
      <c r="E1202" s="127" t="s">
        <v>598</v>
      </c>
      <c r="F1202" s="184" t="s">
        <v>3009</v>
      </c>
      <c r="G1202" s="185">
        <v>0</v>
      </c>
      <c r="H1202" s="184" t="s">
        <v>598</v>
      </c>
      <c r="I1202" s="184" t="s">
        <v>598</v>
      </c>
      <c r="J1202" s="184" t="s">
        <v>38</v>
      </c>
      <c r="K1202" s="184" t="s">
        <v>354</v>
      </c>
      <c r="L1202" s="184" t="s">
        <v>598</v>
      </c>
      <c r="M1202" s="184" t="s">
        <v>598</v>
      </c>
      <c r="N1202" s="184" t="s">
        <v>63</v>
      </c>
      <c r="O1202" s="184" t="s">
        <v>86</v>
      </c>
      <c r="P1202" s="186" t="s">
        <v>603</v>
      </c>
      <c r="Q1202" s="184" t="s">
        <v>598</v>
      </c>
      <c r="R1202" s="184" t="s">
        <v>598</v>
      </c>
      <c r="S1202" s="127" t="s">
        <v>598</v>
      </c>
      <c r="T1202" s="184" t="s">
        <v>598</v>
      </c>
      <c r="U1202" s="184" t="s">
        <v>598</v>
      </c>
      <c r="V1202" s="185">
        <v>0</v>
      </c>
      <c r="W1202" s="184" t="s">
        <v>485</v>
      </c>
      <c r="X1202" s="184" t="s">
        <v>3010</v>
      </c>
      <c r="Y1202" s="185">
        <v>5000</v>
      </c>
      <c r="Z1202" s="184" t="s">
        <v>598</v>
      </c>
      <c r="AA1202" s="21" t="s">
        <v>610</v>
      </c>
      <c r="AB1202" s="176" t="s">
        <v>489</v>
      </c>
      <c r="AC1202" s="172">
        <v>42996.328472222223</v>
      </c>
      <c r="AD1202" s="32" t="s">
        <v>552</v>
      </c>
    </row>
    <row r="1203" spans="1:30">
      <c r="A1203" s="184">
        <v>1202</v>
      </c>
      <c r="B1203" s="184" t="s">
        <v>3013</v>
      </c>
      <c r="C1203" s="184" t="s">
        <v>598</v>
      </c>
      <c r="D1203" s="127">
        <v>42822</v>
      </c>
      <c r="E1203" s="127" t="s">
        <v>598</v>
      </c>
      <c r="F1203" s="184" t="s">
        <v>3014</v>
      </c>
      <c r="G1203" s="185">
        <v>0</v>
      </c>
      <c r="H1203" s="184" t="s">
        <v>598</v>
      </c>
      <c r="I1203" s="184" t="s">
        <v>598</v>
      </c>
      <c r="J1203" s="184" t="s">
        <v>38</v>
      </c>
      <c r="K1203" s="184" t="s">
        <v>598</v>
      </c>
      <c r="L1203" s="184" t="s">
        <v>598</v>
      </c>
      <c r="M1203" s="184" t="s">
        <v>598</v>
      </c>
      <c r="N1203" s="184" t="s">
        <v>63</v>
      </c>
      <c r="O1203" s="184" t="s">
        <v>598</v>
      </c>
      <c r="P1203" s="186" t="s">
        <v>604</v>
      </c>
      <c r="Q1203" s="184" t="s">
        <v>598</v>
      </c>
      <c r="R1203" s="184" t="s">
        <v>598</v>
      </c>
      <c r="S1203" s="127" t="s">
        <v>598</v>
      </c>
      <c r="T1203" s="184" t="s">
        <v>598</v>
      </c>
      <c r="U1203" s="184" t="s">
        <v>598</v>
      </c>
      <c r="V1203" s="185">
        <v>0</v>
      </c>
      <c r="W1203" s="184" t="s">
        <v>89</v>
      </c>
      <c r="X1203" s="184" t="s">
        <v>598</v>
      </c>
      <c r="Y1203" s="185">
        <v>0</v>
      </c>
      <c r="Z1203" s="184" t="s">
        <v>598</v>
      </c>
      <c r="AA1203" s="21" t="s">
        <v>822</v>
      </c>
      <c r="AB1203" s="176" t="s">
        <v>489</v>
      </c>
      <c r="AC1203" s="172">
        <v>42996.328472222223</v>
      </c>
      <c r="AD1203" s="32" t="s">
        <v>552</v>
      </c>
    </row>
    <row r="1204" spans="1:30">
      <c r="A1204" s="184">
        <v>1203</v>
      </c>
      <c r="B1204" s="184" t="s">
        <v>3015</v>
      </c>
      <c r="C1204" s="184" t="s">
        <v>598</v>
      </c>
      <c r="D1204" s="127">
        <v>42825</v>
      </c>
      <c r="E1204" s="127" t="s">
        <v>598</v>
      </c>
      <c r="F1204" s="184" t="s">
        <v>3016</v>
      </c>
      <c r="G1204" s="185">
        <v>0</v>
      </c>
      <c r="H1204" s="184" t="s">
        <v>598</v>
      </c>
      <c r="I1204" s="184" t="s">
        <v>598</v>
      </c>
      <c r="J1204" s="184" t="s">
        <v>38</v>
      </c>
      <c r="K1204" s="184" t="s">
        <v>598</v>
      </c>
      <c r="L1204" s="184" t="s">
        <v>598</v>
      </c>
      <c r="M1204" s="184" t="s">
        <v>598</v>
      </c>
      <c r="N1204" s="184" t="s">
        <v>63</v>
      </c>
      <c r="O1204" s="184" t="s">
        <v>598</v>
      </c>
      <c r="P1204" s="186" t="s">
        <v>605</v>
      </c>
      <c r="Q1204" s="184" t="s">
        <v>598</v>
      </c>
      <c r="R1204" s="184" t="s">
        <v>598</v>
      </c>
      <c r="S1204" s="127" t="s">
        <v>598</v>
      </c>
      <c r="T1204" s="184" t="s">
        <v>598</v>
      </c>
      <c r="U1204" s="184" t="s">
        <v>598</v>
      </c>
      <c r="V1204" s="185">
        <v>0</v>
      </c>
      <c r="W1204" s="184" t="s">
        <v>485</v>
      </c>
      <c r="X1204" s="184" t="s">
        <v>598</v>
      </c>
      <c r="Y1204" s="185">
        <v>0</v>
      </c>
      <c r="Z1204" s="184" t="s">
        <v>598</v>
      </c>
      <c r="AA1204" s="21" t="s">
        <v>610</v>
      </c>
      <c r="AB1204" s="176" t="s">
        <v>489</v>
      </c>
      <c r="AC1204" s="172">
        <v>42996.328472222223</v>
      </c>
      <c r="AD1204" s="32" t="s">
        <v>552</v>
      </c>
    </row>
    <row r="1205" spans="1:30">
      <c r="A1205" s="184">
        <v>1204</v>
      </c>
      <c r="B1205" s="184" t="s">
        <v>3017</v>
      </c>
      <c r="C1205" s="184" t="s">
        <v>598</v>
      </c>
      <c r="D1205" s="127">
        <v>42872</v>
      </c>
      <c r="E1205" s="127" t="s">
        <v>598</v>
      </c>
      <c r="F1205" s="184" t="s">
        <v>3018</v>
      </c>
      <c r="G1205" s="185">
        <v>0</v>
      </c>
      <c r="H1205" s="184" t="s">
        <v>598</v>
      </c>
      <c r="I1205" s="184" t="s">
        <v>598</v>
      </c>
      <c r="J1205" s="184" t="s">
        <v>38</v>
      </c>
      <c r="K1205" s="184" t="s">
        <v>352</v>
      </c>
      <c r="L1205" s="184" t="s">
        <v>598</v>
      </c>
      <c r="M1205" s="184" t="s">
        <v>598</v>
      </c>
      <c r="N1205" s="184" t="s">
        <v>63</v>
      </c>
      <c r="O1205" s="184" t="s">
        <v>1479</v>
      </c>
      <c r="P1205" s="186" t="s">
        <v>606</v>
      </c>
      <c r="Q1205" s="184" t="s">
        <v>598</v>
      </c>
      <c r="R1205" s="184" t="s">
        <v>598</v>
      </c>
      <c r="S1205" s="127">
        <v>42877</v>
      </c>
      <c r="T1205" s="184" t="s">
        <v>34</v>
      </c>
      <c r="U1205" s="184" t="s">
        <v>598</v>
      </c>
      <c r="V1205" s="185">
        <v>17500</v>
      </c>
      <c r="W1205" s="184" t="s">
        <v>493</v>
      </c>
      <c r="X1205" s="184" t="s">
        <v>598</v>
      </c>
      <c r="Y1205" s="185">
        <v>0</v>
      </c>
      <c r="Z1205" s="184" t="s">
        <v>598</v>
      </c>
      <c r="AA1205" s="21" t="s">
        <v>610</v>
      </c>
      <c r="AB1205" s="176" t="s">
        <v>489</v>
      </c>
      <c r="AC1205" s="172">
        <v>42996.328472222223</v>
      </c>
      <c r="AD1205" s="32" t="s">
        <v>552</v>
      </c>
    </row>
    <row r="1206" spans="1:30">
      <c r="A1206" s="184">
        <v>1205</v>
      </c>
      <c r="B1206" s="184" t="s">
        <v>3019</v>
      </c>
      <c r="C1206" s="184" t="s">
        <v>598</v>
      </c>
      <c r="D1206" s="127">
        <v>42872</v>
      </c>
      <c r="E1206" s="127" t="s">
        <v>598</v>
      </c>
      <c r="F1206" s="184" t="s">
        <v>3020</v>
      </c>
      <c r="G1206" s="185">
        <v>0</v>
      </c>
      <c r="H1206" s="184" t="s">
        <v>598</v>
      </c>
      <c r="I1206" s="184" t="s">
        <v>598</v>
      </c>
      <c r="J1206" s="184" t="s">
        <v>38</v>
      </c>
      <c r="K1206" s="184" t="s">
        <v>352</v>
      </c>
      <c r="L1206" s="184" t="s">
        <v>598</v>
      </c>
      <c r="M1206" s="184" t="s">
        <v>598</v>
      </c>
      <c r="N1206" s="184" t="s">
        <v>63</v>
      </c>
      <c r="O1206" s="184" t="s">
        <v>3021</v>
      </c>
      <c r="P1206" s="186"/>
      <c r="Q1206" s="184" t="s">
        <v>598</v>
      </c>
      <c r="R1206" s="184" t="s">
        <v>598</v>
      </c>
      <c r="S1206" s="127">
        <v>42877</v>
      </c>
      <c r="T1206" s="184" t="s">
        <v>34</v>
      </c>
      <c r="U1206" s="184" t="s">
        <v>598</v>
      </c>
      <c r="V1206" s="185">
        <v>17500</v>
      </c>
      <c r="W1206" s="184" t="s">
        <v>493</v>
      </c>
      <c r="X1206" s="184" t="s">
        <v>598</v>
      </c>
      <c r="Y1206" s="185">
        <v>0</v>
      </c>
      <c r="Z1206" s="184" t="s">
        <v>598</v>
      </c>
      <c r="AA1206" s="21" t="s">
        <v>610</v>
      </c>
      <c r="AB1206" s="176" t="s">
        <v>489</v>
      </c>
      <c r="AC1206" s="172">
        <v>42996.328472222223</v>
      </c>
      <c r="AD1206" s="32" t="s">
        <v>552</v>
      </c>
    </row>
    <row r="1207" spans="1:30">
      <c r="A1207" s="184">
        <v>1206</v>
      </c>
      <c r="B1207" s="184" t="s">
        <v>3022</v>
      </c>
      <c r="C1207" s="184" t="s">
        <v>598</v>
      </c>
      <c r="D1207" s="127">
        <v>42839</v>
      </c>
      <c r="E1207" s="127" t="s">
        <v>598</v>
      </c>
      <c r="F1207" s="184" t="s">
        <v>3023</v>
      </c>
      <c r="G1207" s="185">
        <v>0</v>
      </c>
      <c r="H1207" s="184" t="s">
        <v>598</v>
      </c>
      <c r="I1207" s="184" t="s">
        <v>598</v>
      </c>
      <c r="J1207" s="184" t="s">
        <v>38</v>
      </c>
      <c r="K1207" s="184" t="s">
        <v>354</v>
      </c>
      <c r="L1207" s="184" t="s">
        <v>598</v>
      </c>
      <c r="M1207" s="184" t="s">
        <v>598</v>
      </c>
      <c r="N1207" s="184" t="s">
        <v>63</v>
      </c>
      <c r="O1207" s="184" t="s">
        <v>86</v>
      </c>
      <c r="P1207" s="186" t="s">
        <v>73</v>
      </c>
      <c r="Q1207" s="184" t="s">
        <v>598</v>
      </c>
      <c r="R1207" s="184" t="s">
        <v>598</v>
      </c>
      <c r="S1207" s="127">
        <v>42858</v>
      </c>
      <c r="T1207" s="184" t="s">
        <v>10</v>
      </c>
      <c r="U1207" s="184" t="s">
        <v>598</v>
      </c>
      <c r="V1207" s="185">
        <v>5000</v>
      </c>
      <c r="W1207" s="184" t="s">
        <v>493</v>
      </c>
      <c r="X1207" s="184" t="s">
        <v>598</v>
      </c>
      <c r="Y1207" s="185">
        <v>0</v>
      </c>
      <c r="Z1207" s="184" t="s">
        <v>598</v>
      </c>
      <c r="AA1207" s="21" t="s">
        <v>610</v>
      </c>
      <c r="AB1207" s="176" t="s">
        <v>489</v>
      </c>
      <c r="AC1207" s="172">
        <v>42996.328472222223</v>
      </c>
      <c r="AD1207" s="32" t="s">
        <v>552</v>
      </c>
    </row>
    <row r="1208" spans="1:30">
      <c r="A1208" s="184">
        <v>1207</v>
      </c>
      <c r="B1208" s="184" t="s">
        <v>3024</v>
      </c>
      <c r="C1208" s="184" t="s">
        <v>598</v>
      </c>
      <c r="D1208" s="127">
        <v>42839</v>
      </c>
      <c r="E1208" s="127" t="s">
        <v>598</v>
      </c>
      <c r="F1208" s="184" t="s">
        <v>3025</v>
      </c>
      <c r="G1208" s="185">
        <v>0</v>
      </c>
      <c r="H1208" s="184" t="s">
        <v>598</v>
      </c>
      <c r="I1208" s="184" t="s">
        <v>598</v>
      </c>
      <c r="J1208" s="184" t="s">
        <v>38</v>
      </c>
      <c r="K1208" s="184" t="s">
        <v>354</v>
      </c>
      <c r="L1208" s="184" t="s">
        <v>598</v>
      </c>
      <c r="M1208" s="184" t="s">
        <v>598</v>
      </c>
      <c r="N1208" s="184" t="s">
        <v>63</v>
      </c>
      <c r="O1208" s="184" t="s">
        <v>86</v>
      </c>
      <c r="P1208" s="186" t="s">
        <v>601</v>
      </c>
      <c r="Q1208" s="184" t="s">
        <v>598</v>
      </c>
      <c r="R1208" s="184" t="s">
        <v>598</v>
      </c>
      <c r="S1208" s="127">
        <v>42858</v>
      </c>
      <c r="T1208" s="184" t="s">
        <v>10</v>
      </c>
      <c r="U1208" s="184" t="s">
        <v>598</v>
      </c>
      <c r="V1208" s="185">
        <v>5000</v>
      </c>
      <c r="W1208" s="184" t="s">
        <v>493</v>
      </c>
      <c r="X1208" s="184" t="s">
        <v>598</v>
      </c>
      <c r="Y1208" s="185">
        <v>0</v>
      </c>
      <c r="Z1208" s="184" t="s">
        <v>598</v>
      </c>
      <c r="AA1208" s="21" t="s">
        <v>610</v>
      </c>
      <c r="AB1208" s="176" t="s">
        <v>489</v>
      </c>
      <c r="AC1208" s="172">
        <v>42996.328472222223</v>
      </c>
      <c r="AD1208" s="32" t="s">
        <v>552</v>
      </c>
    </row>
    <row r="1209" spans="1:30">
      <c r="A1209" s="184">
        <v>1208</v>
      </c>
      <c r="B1209" s="184" t="s">
        <v>3026</v>
      </c>
      <c r="C1209" s="184" t="s">
        <v>598</v>
      </c>
      <c r="D1209" s="127">
        <v>42839</v>
      </c>
      <c r="E1209" s="127" t="s">
        <v>598</v>
      </c>
      <c r="F1209" s="184" t="s">
        <v>3027</v>
      </c>
      <c r="G1209" s="185">
        <v>0</v>
      </c>
      <c r="H1209" s="184" t="s">
        <v>598</v>
      </c>
      <c r="I1209" s="184" t="s">
        <v>598</v>
      </c>
      <c r="J1209" s="184" t="s">
        <v>38</v>
      </c>
      <c r="K1209" s="184" t="s">
        <v>354</v>
      </c>
      <c r="L1209" s="184" t="s">
        <v>598</v>
      </c>
      <c r="M1209" s="184" t="s">
        <v>598</v>
      </c>
      <c r="N1209" s="184" t="s">
        <v>63</v>
      </c>
      <c r="O1209" s="184" t="s">
        <v>86</v>
      </c>
      <c r="P1209" s="186" t="s">
        <v>32</v>
      </c>
      <c r="Q1209" s="184" t="s">
        <v>598</v>
      </c>
      <c r="R1209" s="184" t="s">
        <v>598</v>
      </c>
      <c r="S1209" s="127">
        <v>42858</v>
      </c>
      <c r="T1209" s="184" t="s">
        <v>10</v>
      </c>
      <c r="U1209" s="184" t="s">
        <v>598</v>
      </c>
      <c r="V1209" s="185">
        <v>5000</v>
      </c>
      <c r="W1209" s="184" t="s">
        <v>493</v>
      </c>
      <c r="X1209" s="184" t="s">
        <v>598</v>
      </c>
      <c r="Y1209" s="185">
        <v>0</v>
      </c>
      <c r="Z1209" s="184" t="s">
        <v>598</v>
      </c>
      <c r="AA1209" s="21" t="s">
        <v>610</v>
      </c>
      <c r="AB1209" s="176" t="s">
        <v>489</v>
      </c>
      <c r="AC1209" s="172">
        <v>42996.328472222223</v>
      </c>
      <c r="AD1209" s="32" t="s">
        <v>552</v>
      </c>
    </row>
    <row r="1210" spans="1:30">
      <c r="A1210" s="184">
        <v>1209</v>
      </c>
      <c r="B1210" s="184" t="s">
        <v>3028</v>
      </c>
      <c r="C1210" s="184" t="s">
        <v>598</v>
      </c>
      <c r="D1210" s="127">
        <v>42856</v>
      </c>
      <c r="E1210" s="127" t="s">
        <v>598</v>
      </c>
      <c r="F1210" s="184" t="s">
        <v>3029</v>
      </c>
      <c r="G1210" s="185">
        <v>0</v>
      </c>
      <c r="H1210" s="184" t="s">
        <v>598</v>
      </c>
      <c r="I1210" s="184" t="s">
        <v>598</v>
      </c>
      <c r="J1210" s="184" t="s">
        <v>38</v>
      </c>
      <c r="K1210" s="184" t="s">
        <v>354</v>
      </c>
      <c r="L1210" s="184" t="s">
        <v>598</v>
      </c>
      <c r="M1210" s="184" t="s">
        <v>598</v>
      </c>
      <c r="N1210" s="184" t="s">
        <v>63</v>
      </c>
      <c r="O1210" s="184" t="s">
        <v>598</v>
      </c>
      <c r="P1210" s="186" t="s">
        <v>53</v>
      </c>
      <c r="Q1210" s="184" t="s">
        <v>598</v>
      </c>
      <c r="R1210" s="184" t="s">
        <v>598</v>
      </c>
      <c r="S1210" s="127">
        <v>42877</v>
      </c>
      <c r="T1210" s="184" t="s">
        <v>10</v>
      </c>
      <c r="U1210" s="184" t="s">
        <v>598</v>
      </c>
      <c r="V1210" s="185">
        <v>2700</v>
      </c>
      <c r="W1210" s="184" t="s">
        <v>493</v>
      </c>
      <c r="X1210" s="184" t="s">
        <v>598</v>
      </c>
      <c r="Y1210" s="185">
        <v>0</v>
      </c>
      <c r="Z1210" s="184" t="s">
        <v>598</v>
      </c>
      <c r="AA1210" s="21" t="s">
        <v>610</v>
      </c>
      <c r="AB1210" s="176" t="s">
        <v>489</v>
      </c>
      <c r="AC1210" s="172">
        <v>42996.328472222223</v>
      </c>
      <c r="AD1210" s="32" t="s">
        <v>552</v>
      </c>
    </row>
    <row r="1211" spans="1:30">
      <c r="A1211" s="184">
        <v>1210</v>
      </c>
      <c r="B1211" s="184" t="s">
        <v>3030</v>
      </c>
      <c r="C1211" s="184" t="s">
        <v>598</v>
      </c>
      <c r="D1211" s="127">
        <v>42739</v>
      </c>
      <c r="E1211" s="127" t="s">
        <v>598</v>
      </c>
      <c r="F1211" s="184" t="s">
        <v>3031</v>
      </c>
      <c r="G1211" s="185">
        <v>0</v>
      </c>
      <c r="H1211" s="184" t="s">
        <v>598</v>
      </c>
      <c r="I1211" s="184" t="s">
        <v>598</v>
      </c>
      <c r="J1211" s="184" t="s">
        <v>38</v>
      </c>
      <c r="K1211" s="184" t="s">
        <v>442</v>
      </c>
      <c r="L1211" s="184" t="s">
        <v>598</v>
      </c>
      <c r="M1211" s="184" t="s">
        <v>598</v>
      </c>
      <c r="N1211" s="184" t="s">
        <v>63</v>
      </c>
      <c r="O1211" s="184" t="s">
        <v>86</v>
      </c>
      <c r="P1211" s="186" t="s">
        <v>44</v>
      </c>
      <c r="Q1211" s="184" t="s">
        <v>598</v>
      </c>
      <c r="R1211" s="184" t="s">
        <v>598</v>
      </c>
      <c r="S1211" s="127">
        <v>42863</v>
      </c>
      <c r="T1211" s="184" t="s">
        <v>10</v>
      </c>
      <c r="U1211" s="184" t="s">
        <v>598</v>
      </c>
      <c r="V1211" s="185">
        <v>4500</v>
      </c>
      <c r="W1211" s="184" t="s">
        <v>493</v>
      </c>
      <c r="X1211" s="184" t="s">
        <v>3032</v>
      </c>
      <c r="Y1211" s="185">
        <v>4000</v>
      </c>
      <c r="Z1211" s="184" t="s">
        <v>598</v>
      </c>
      <c r="AA1211" s="21" t="s">
        <v>610</v>
      </c>
      <c r="AB1211" s="176" t="s">
        <v>489</v>
      </c>
      <c r="AC1211" s="172">
        <v>42996.328472222223</v>
      </c>
      <c r="AD1211" s="32" t="s">
        <v>552</v>
      </c>
    </row>
    <row r="1212" spans="1:30">
      <c r="A1212" s="184">
        <v>1211</v>
      </c>
      <c r="B1212" s="184" t="s">
        <v>3033</v>
      </c>
      <c r="C1212" s="184" t="s">
        <v>598</v>
      </c>
      <c r="D1212" s="127">
        <v>42738</v>
      </c>
      <c r="E1212" s="127" t="s">
        <v>598</v>
      </c>
      <c r="F1212" s="184" t="s">
        <v>3034</v>
      </c>
      <c r="G1212" s="185">
        <v>0</v>
      </c>
      <c r="H1212" s="184" t="s">
        <v>598</v>
      </c>
      <c r="I1212" s="184" t="s">
        <v>598</v>
      </c>
      <c r="J1212" s="184" t="s">
        <v>38</v>
      </c>
      <c r="K1212" s="184" t="s">
        <v>239</v>
      </c>
      <c r="L1212" s="184" t="s">
        <v>598</v>
      </c>
      <c r="M1212" s="184" t="s">
        <v>598</v>
      </c>
      <c r="N1212" s="184" t="s">
        <v>63</v>
      </c>
      <c r="O1212" s="184" t="s">
        <v>86</v>
      </c>
      <c r="P1212" s="186" t="s">
        <v>67</v>
      </c>
      <c r="Q1212" s="184" t="s">
        <v>598</v>
      </c>
      <c r="R1212" s="184" t="s">
        <v>598</v>
      </c>
      <c r="S1212" s="127">
        <v>42860</v>
      </c>
      <c r="T1212" s="184" t="s">
        <v>10</v>
      </c>
      <c r="U1212" s="184" t="s">
        <v>598</v>
      </c>
      <c r="V1212" s="185">
        <v>9000</v>
      </c>
      <c r="W1212" s="184" t="s">
        <v>493</v>
      </c>
      <c r="X1212" s="184" t="s">
        <v>598</v>
      </c>
      <c r="Y1212" s="185">
        <v>0</v>
      </c>
      <c r="Z1212" s="184" t="s">
        <v>598</v>
      </c>
      <c r="AA1212" s="21" t="s">
        <v>610</v>
      </c>
      <c r="AB1212" s="176" t="s">
        <v>489</v>
      </c>
      <c r="AC1212" s="172">
        <v>42996.328472222223</v>
      </c>
      <c r="AD1212" s="32" t="s">
        <v>552</v>
      </c>
    </row>
    <row r="1213" spans="1:30">
      <c r="A1213" s="184">
        <v>1212</v>
      </c>
      <c r="B1213" s="184" t="s">
        <v>3035</v>
      </c>
      <c r="C1213" s="184" t="s">
        <v>598</v>
      </c>
      <c r="D1213" s="127">
        <v>42738</v>
      </c>
      <c r="E1213" s="127" t="s">
        <v>598</v>
      </c>
      <c r="F1213" s="184" t="s">
        <v>3036</v>
      </c>
      <c r="G1213" s="185">
        <v>0</v>
      </c>
      <c r="H1213" s="184" t="s">
        <v>598</v>
      </c>
      <c r="I1213" s="184" t="s">
        <v>598</v>
      </c>
      <c r="J1213" s="184" t="s">
        <v>38</v>
      </c>
      <c r="K1213" s="184" t="s">
        <v>239</v>
      </c>
      <c r="L1213" s="184" t="s">
        <v>598</v>
      </c>
      <c r="M1213" s="184" t="s">
        <v>598</v>
      </c>
      <c r="N1213" s="184" t="s">
        <v>63</v>
      </c>
      <c r="O1213" s="184" t="s">
        <v>86</v>
      </c>
      <c r="P1213" s="186" t="s">
        <v>602</v>
      </c>
      <c r="Q1213" s="184" t="s">
        <v>598</v>
      </c>
      <c r="R1213" s="184" t="s">
        <v>598</v>
      </c>
      <c r="S1213" s="127">
        <v>42860</v>
      </c>
      <c r="T1213" s="184" t="s">
        <v>10</v>
      </c>
      <c r="U1213" s="184" t="s">
        <v>598</v>
      </c>
      <c r="V1213" s="185">
        <v>4500</v>
      </c>
      <c r="W1213" s="184" t="s">
        <v>493</v>
      </c>
      <c r="X1213" s="184" t="s">
        <v>598</v>
      </c>
      <c r="Y1213" s="185">
        <v>0</v>
      </c>
      <c r="Z1213" s="184" t="s">
        <v>598</v>
      </c>
      <c r="AA1213" s="21" t="s">
        <v>610</v>
      </c>
      <c r="AB1213" s="176" t="s">
        <v>489</v>
      </c>
      <c r="AC1213" s="172">
        <v>42996.328472222223</v>
      </c>
      <c r="AD1213" s="32" t="s">
        <v>552</v>
      </c>
    </row>
    <row r="1214" spans="1:30">
      <c r="A1214" s="184">
        <v>1213</v>
      </c>
      <c r="B1214" s="184" t="s">
        <v>3037</v>
      </c>
      <c r="C1214" s="184" t="s">
        <v>598</v>
      </c>
      <c r="D1214" s="127">
        <v>42738</v>
      </c>
      <c r="E1214" s="127" t="s">
        <v>598</v>
      </c>
      <c r="F1214" s="184" t="s">
        <v>3038</v>
      </c>
      <c r="G1214" s="185">
        <v>0</v>
      </c>
      <c r="H1214" s="184" t="s">
        <v>598</v>
      </c>
      <c r="I1214" s="184" t="s">
        <v>598</v>
      </c>
      <c r="J1214" s="184" t="s">
        <v>38</v>
      </c>
      <c r="K1214" s="184" t="s">
        <v>239</v>
      </c>
      <c r="L1214" s="184" t="s">
        <v>598</v>
      </c>
      <c r="M1214" s="184" t="s">
        <v>598</v>
      </c>
      <c r="N1214" s="184" t="s">
        <v>63</v>
      </c>
      <c r="O1214" s="184" t="s">
        <v>86</v>
      </c>
      <c r="P1214" s="186" t="s">
        <v>603</v>
      </c>
      <c r="Q1214" s="184" t="s">
        <v>598</v>
      </c>
      <c r="R1214" s="184" t="s">
        <v>598</v>
      </c>
      <c r="S1214" s="127">
        <v>42860</v>
      </c>
      <c r="T1214" s="184" t="s">
        <v>10</v>
      </c>
      <c r="U1214" s="184" t="s">
        <v>598</v>
      </c>
      <c r="V1214" s="185">
        <v>6750</v>
      </c>
      <c r="W1214" s="184" t="s">
        <v>493</v>
      </c>
      <c r="X1214" s="184" t="s">
        <v>598</v>
      </c>
      <c r="Y1214" s="185">
        <v>0</v>
      </c>
      <c r="Z1214" s="184" t="s">
        <v>598</v>
      </c>
      <c r="AA1214" s="21" t="s">
        <v>610</v>
      </c>
      <c r="AB1214" s="176" t="s">
        <v>489</v>
      </c>
      <c r="AC1214" s="172">
        <v>42996.328472222223</v>
      </c>
      <c r="AD1214" s="32" t="s">
        <v>552</v>
      </c>
    </row>
    <row r="1215" spans="1:30">
      <c r="A1215" s="184">
        <v>1214</v>
      </c>
      <c r="B1215" s="184" t="s">
        <v>3039</v>
      </c>
      <c r="C1215" s="184" t="s">
        <v>598</v>
      </c>
      <c r="D1215" s="127">
        <v>42738</v>
      </c>
      <c r="E1215" s="127" t="s">
        <v>598</v>
      </c>
      <c r="F1215" s="184" t="s">
        <v>3040</v>
      </c>
      <c r="G1215" s="185">
        <v>0</v>
      </c>
      <c r="H1215" s="184" t="s">
        <v>598</v>
      </c>
      <c r="I1215" s="184" t="s">
        <v>598</v>
      </c>
      <c r="J1215" s="184" t="s">
        <v>38</v>
      </c>
      <c r="K1215" s="184" t="s">
        <v>239</v>
      </c>
      <c r="L1215" s="184" t="s">
        <v>598</v>
      </c>
      <c r="M1215" s="184" t="s">
        <v>598</v>
      </c>
      <c r="N1215" s="184" t="s">
        <v>63</v>
      </c>
      <c r="O1215" s="184" t="s">
        <v>86</v>
      </c>
      <c r="P1215" s="186" t="s">
        <v>604</v>
      </c>
      <c r="Q1215" s="184" t="s">
        <v>598</v>
      </c>
      <c r="R1215" s="184" t="s">
        <v>598</v>
      </c>
      <c r="S1215" s="127">
        <v>42860</v>
      </c>
      <c r="T1215" s="184" t="s">
        <v>10</v>
      </c>
      <c r="U1215" s="184" t="s">
        <v>598</v>
      </c>
      <c r="V1215" s="185">
        <v>9000</v>
      </c>
      <c r="W1215" s="184" t="s">
        <v>493</v>
      </c>
      <c r="X1215" s="184" t="s">
        <v>598</v>
      </c>
      <c r="Y1215" s="185">
        <v>0</v>
      </c>
      <c r="Z1215" s="184" t="s">
        <v>598</v>
      </c>
      <c r="AA1215" s="21" t="s">
        <v>610</v>
      </c>
      <c r="AB1215" s="176" t="s">
        <v>489</v>
      </c>
      <c r="AC1215" s="172">
        <v>42996.328472222223</v>
      </c>
      <c r="AD1215" s="32" t="s">
        <v>552</v>
      </c>
    </row>
    <row r="1216" spans="1:30">
      <c r="A1216" s="184">
        <v>1215</v>
      </c>
      <c r="B1216" s="184" t="s">
        <v>3041</v>
      </c>
      <c r="C1216" s="184" t="s">
        <v>598</v>
      </c>
      <c r="D1216" s="127">
        <v>42762</v>
      </c>
      <c r="E1216" s="127" t="s">
        <v>598</v>
      </c>
      <c r="F1216" s="184" t="s">
        <v>3042</v>
      </c>
      <c r="G1216" s="185">
        <v>0</v>
      </c>
      <c r="H1216" s="184" t="s">
        <v>598</v>
      </c>
      <c r="I1216" s="184" t="s">
        <v>598</v>
      </c>
      <c r="J1216" s="184" t="s">
        <v>38</v>
      </c>
      <c r="K1216" s="184" t="s">
        <v>598</v>
      </c>
      <c r="L1216" s="184" t="s">
        <v>598</v>
      </c>
      <c r="M1216" s="184" t="s">
        <v>598</v>
      </c>
      <c r="N1216" s="184" t="s">
        <v>63</v>
      </c>
      <c r="O1216" s="184" t="s">
        <v>63</v>
      </c>
      <c r="P1216" s="186" t="s">
        <v>605</v>
      </c>
      <c r="Q1216" s="184" t="s">
        <v>598</v>
      </c>
      <c r="R1216" s="184" t="s">
        <v>598</v>
      </c>
      <c r="S1216" s="127">
        <v>42873</v>
      </c>
      <c r="T1216" s="184" t="s">
        <v>10</v>
      </c>
      <c r="U1216" s="184" t="s">
        <v>598</v>
      </c>
      <c r="V1216" s="185">
        <v>9000</v>
      </c>
      <c r="W1216" s="184" t="s">
        <v>493</v>
      </c>
      <c r="X1216" s="184" t="s">
        <v>598</v>
      </c>
      <c r="Y1216" s="185">
        <v>0</v>
      </c>
      <c r="Z1216" s="184" t="s">
        <v>598</v>
      </c>
      <c r="AA1216" s="21" t="s">
        <v>610</v>
      </c>
      <c r="AB1216" s="176" t="s">
        <v>489</v>
      </c>
      <c r="AC1216" s="172">
        <v>42996.328472222223</v>
      </c>
      <c r="AD1216" s="32" t="s">
        <v>552</v>
      </c>
    </row>
    <row r="1217" spans="1:30">
      <c r="A1217" s="184">
        <v>1216</v>
      </c>
      <c r="B1217" s="184" t="s">
        <v>3043</v>
      </c>
      <c r="C1217" s="184" t="s">
        <v>598</v>
      </c>
      <c r="D1217" s="127">
        <v>42802</v>
      </c>
      <c r="E1217" s="127" t="s">
        <v>598</v>
      </c>
      <c r="F1217" s="184" t="s">
        <v>3044</v>
      </c>
      <c r="G1217" s="185">
        <v>0</v>
      </c>
      <c r="H1217" s="184" t="s">
        <v>598</v>
      </c>
      <c r="I1217" s="184" t="s">
        <v>118</v>
      </c>
      <c r="J1217" s="184" t="s">
        <v>38</v>
      </c>
      <c r="K1217" s="184" t="s">
        <v>354</v>
      </c>
      <c r="L1217" s="184" t="s">
        <v>598</v>
      </c>
      <c r="M1217" s="184" t="s">
        <v>598</v>
      </c>
      <c r="N1217" s="184" t="s">
        <v>63</v>
      </c>
      <c r="O1217" s="184" t="s">
        <v>86</v>
      </c>
      <c r="P1217" s="186" t="s">
        <v>606</v>
      </c>
      <c r="Q1217" s="184" t="s">
        <v>598</v>
      </c>
      <c r="R1217" s="184" t="s">
        <v>598</v>
      </c>
      <c r="S1217" s="127">
        <v>42860</v>
      </c>
      <c r="T1217" s="184" t="s">
        <v>10</v>
      </c>
      <c r="U1217" s="184" t="s">
        <v>598</v>
      </c>
      <c r="V1217" s="185">
        <v>4500</v>
      </c>
      <c r="W1217" s="184" t="s">
        <v>493</v>
      </c>
      <c r="X1217" s="184" t="s">
        <v>598</v>
      </c>
      <c r="Y1217" s="185">
        <v>0</v>
      </c>
      <c r="Z1217" s="184" t="s">
        <v>598</v>
      </c>
      <c r="AA1217" s="21" t="s">
        <v>610</v>
      </c>
      <c r="AB1217" s="176" t="s">
        <v>489</v>
      </c>
      <c r="AC1217" s="172">
        <v>42996.328472222223</v>
      </c>
      <c r="AD1217" s="32" t="s">
        <v>552</v>
      </c>
    </row>
    <row r="1218" spans="1:30">
      <c r="A1218" s="184">
        <v>1217</v>
      </c>
      <c r="B1218" s="184" t="s">
        <v>3045</v>
      </c>
      <c r="C1218" s="184" t="s">
        <v>598</v>
      </c>
      <c r="D1218" s="127">
        <v>42802</v>
      </c>
      <c r="E1218" s="127" t="s">
        <v>598</v>
      </c>
      <c r="F1218" s="184" t="s">
        <v>3046</v>
      </c>
      <c r="G1218" s="185">
        <v>0</v>
      </c>
      <c r="H1218" s="184" t="s">
        <v>598</v>
      </c>
      <c r="I1218" s="184" t="s">
        <v>598</v>
      </c>
      <c r="J1218" s="184" t="s">
        <v>38</v>
      </c>
      <c r="K1218" s="184" t="s">
        <v>354</v>
      </c>
      <c r="L1218" s="184" t="s">
        <v>598</v>
      </c>
      <c r="M1218" s="184" t="s">
        <v>598</v>
      </c>
      <c r="N1218" s="184" t="s">
        <v>63</v>
      </c>
      <c r="O1218" s="184" t="s">
        <v>86</v>
      </c>
      <c r="P1218" s="186"/>
      <c r="Q1218" s="184" t="s">
        <v>598</v>
      </c>
      <c r="R1218" s="184" t="s">
        <v>598</v>
      </c>
      <c r="S1218" s="127">
        <v>42860</v>
      </c>
      <c r="T1218" s="184" t="s">
        <v>10</v>
      </c>
      <c r="U1218" s="184" t="s">
        <v>598</v>
      </c>
      <c r="V1218" s="185">
        <v>9000</v>
      </c>
      <c r="W1218" s="184" t="s">
        <v>493</v>
      </c>
      <c r="X1218" s="184" t="s">
        <v>598</v>
      </c>
      <c r="Y1218" s="185">
        <v>0</v>
      </c>
      <c r="Z1218" s="184" t="s">
        <v>598</v>
      </c>
      <c r="AA1218" s="21" t="s">
        <v>610</v>
      </c>
      <c r="AB1218" s="176" t="s">
        <v>489</v>
      </c>
      <c r="AC1218" s="172">
        <v>42996.328472222223</v>
      </c>
      <c r="AD1218" s="32" t="s">
        <v>552</v>
      </c>
    </row>
    <row r="1219" spans="1:30">
      <c r="A1219" s="184">
        <v>1218</v>
      </c>
      <c r="B1219" s="184" t="s">
        <v>3047</v>
      </c>
      <c r="C1219" s="184" t="s">
        <v>598</v>
      </c>
      <c r="D1219" s="127">
        <v>42802</v>
      </c>
      <c r="E1219" s="127" t="s">
        <v>598</v>
      </c>
      <c r="F1219" s="184" t="s">
        <v>3048</v>
      </c>
      <c r="G1219" s="185">
        <v>0</v>
      </c>
      <c r="H1219" s="184" t="s">
        <v>598</v>
      </c>
      <c r="I1219" s="184" t="s">
        <v>598</v>
      </c>
      <c r="J1219" s="184" t="s">
        <v>38</v>
      </c>
      <c r="K1219" s="184" t="s">
        <v>354</v>
      </c>
      <c r="L1219" s="184" t="s">
        <v>598</v>
      </c>
      <c r="M1219" s="184" t="s">
        <v>598</v>
      </c>
      <c r="N1219" s="184" t="s">
        <v>63</v>
      </c>
      <c r="O1219" s="184" t="s">
        <v>86</v>
      </c>
      <c r="P1219" s="186" t="s">
        <v>73</v>
      </c>
      <c r="Q1219" s="184" t="s">
        <v>598</v>
      </c>
      <c r="R1219" s="184" t="s">
        <v>598</v>
      </c>
      <c r="S1219" s="127">
        <v>42860</v>
      </c>
      <c r="T1219" s="184" t="s">
        <v>10</v>
      </c>
      <c r="U1219" s="184" t="s">
        <v>598</v>
      </c>
      <c r="V1219" s="185">
        <v>4500</v>
      </c>
      <c r="W1219" s="184" t="s">
        <v>493</v>
      </c>
      <c r="X1219" s="184" t="s">
        <v>598</v>
      </c>
      <c r="Y1219" s="185">
        <v>0</v>
      </c>
      <c r="Z1219" s="184" t="s">
        <v>598</v>
      </c>
      <c r="AA1219" s="21" t="s">
        <v>610</v>
      </c>
      <c r="AB1219" s="176" t="s">
        <v>489</v>
      </c>
      <c r="AC1219" s="172">
        <v>42996.328472222223</v>
      </c>
      <c r="AD1219" s="32" t="s">
        <v>552</v>
      </c>
    </row>
    <row r="1220" spans="1:30">
      <c r="A1220" s="184">
        <v>1219</v>
      </c>
      <c r="B1220" s="184" t="s">
        <v>3049</v>
      </c>
      <c r="C1220" s="184" t="s">
        <v>598</v>
      </c>
      <c r="D1220" s="127">
        <v>42802</v>
      </c>
      <c r="E1220" s="127" t="s">
        <v>598</v>
      </c>
      <c r="F1220" s="184" t="s">
        <v>3046</v>
      </c>
      <c r="G1220" s="185">
        <v>0</v>
      </c>
      <c r="H1220" s="184" t="s">
        <v>598</v>
      </c>
      <c r="I1220" s="184" t="s">
        <v>598</v>
      </c>
      <c r="J1220" s="184" t="s">
        <v>38</v>
      </c>
      <c r="K1220" s="184" t="s">
        <v>354</v>
      </c>
      <c r="L1220" s="184" t="s">
        <v>598</v>
      </c>
      <c r="M1220" s="184" t="s">
        <v>598</v>
      </c>
      <c r="N1220" s="184" t="s">
        <v>63</v>
      </c>
      <c r="O1220" s="184" t="s">
        <v>86</v>
      </c>
      <c r="P1220" s="186" t="s">
        <v>601</v>
      </c>
      <c r="Q1220" s="184" t="s">
        <v>598</v>
      </c>
      <c r="R1220" s="184" t="s">
        <v>598</v>
      </c>
      <c r="S1220" s="127">
        <v>42860</v>
      </c>
      <c r="T1220" s="184" t="s">
        <v>10</v>
      </c>
      <c r="U1220" s="184" t="s">
        <v>598</v>
      </c>
      <c r="V1220" s="185">
        <v>7200</v>
      </c>
      <c r="W1220" s="184" t="s">
        <v>493</v>
      </c>
      <c r="X1220" s="184" t="s">
        <v>598</v>
      </c>
      <c r="Y1220" s="185">
        <v>0</v>
      </c>
      <c r="Z1220" s="184" t="s">
        <v>598</v>
      </c>
      <c r="AA1220" s="21" t="s">
        <v>610</v>
      </c>
      <c r="AB1220" s="176" t="s">
        <v>489</v>
      </c>
      <c r="AC1220" s="172">
        <v>42996.328472222223</v>
      </c>
      <c r="AD1220" s="32" t="s">
        <v>552</v>
      </c>
    </row>
    <row r="1221" spans="1:30">
      <c r="A1221" s="184">
        <v>1220</v>
      </c>
      <c r="B1221" s="184" t="s">
        <v>3050</v>
      </c>
      <c r="C1221" s="184" t="s">
        <v>598</v>
      </c>
      <c r="D1221" s="127">
        <v>42802</v>
      </c>
      <c r="E1221" s="127" t="s">
        <v>598</v>
      </c>
      <c r="F1221" s="184" t="s">
        <v>3051</v>
      </c>
      <c r="G1221" s="185">
        <v>0</v>
      </c>
      <c r="H1221" s="184" t="s">
        <v>598</v>
      </c>
      <c r="I1221" s="184" t="s">
        <v>598</v>
      </c>
      <c r="J1221" s="184" t="s">
        <v>38</v>
      </c>
      <c r="K1221" s="184" t="s">
        <v>354</v>
      </c>
      <c r="L1221" s="184" t="s">
        <v>598</v>
      </c>
      <c r="M1221" s="184" t="s">
        <v>598</v>
      </c>
      <c r="N1221" s="184" t="s">
        <v>63</v>
      </c>
      <c r="O1221" s="184" t="s">
        <v>86</v>
      </c>
      <c r="P1221" s="186" t="s">
        <v>601</v>
      </c>
      <c r="Q1221" s="184" t="s">
        <v>598</v>
      </c>
      <c r="R1221" s="184" t="s">
        <v>598</v>
      </c>
      <c r="S1221" s="127">
        <v>42860</v>
      </c>
      <c r="T1221" s="184" t="s">
        <v>10</v>
      </c>
      <c r="U1221" s="184" t="s">
        <v>598</v>
      </c>
      <c r="V1221" s="185">
        <v>4500</v>
      </c>
      <c r="W1221" s="184" t="s">
        <v>493</v>
      </c>
      <c r="X1221" s="184" t="s">
        <v>598</v>
      </c>
      <c r="Y1221" s="185">
        <v>0</v>
      </c>
      <c r="Z1221" s="184" t="s">
        <v>598</v>
      </c>
      <c r="AA1221" s="21" t="s">
        <v>610</v>
      </c>
      <c r="AB1221" s="176" t="s">
        <v>489</v>
      </c>
      <c r="AC1221" s="172">
        <v>42996.328472222223</v>
      </c>
      <c r="AD1221" s="32" t="s">
        <v>552</v>
      </c>
    </row>
    <row r="1222" spans="1:30">
      <c r="A1222" s="184">
        <v>1221</v>
      </c>
      <c r="B1222" s="184" t="s">
        <v>3052</v>
      </c>
      <c r="C1222" s="184" t="s">
        <v>598</v>
      </c>
      <c r="D1222" s="127">
        <v>42804</v>
      </c>
      <c r="E1222" s="127" t="s">
        <v>598</v>
      </c>
      <c r="F1222" s="184" t="s">
        <v>3053</v>
      </c>
      <c r="G1222" s="185">
        <v>0</v>
      </c>
      <c r="H1222" s="184" t="s">
        <v>598</v>
      </c>
      <c r="I1222" s="184" t="s">
        <v>598</v>
      </c>
      <c r="J1222" s="184" t="s">
        <v>38</v>
      </c>
      <c r="K1222" s="184" t="s">
        <v>598</v>
      </c>
      <c r="L1222" s="184" t="s">
        <v>598</v>
      </c>
      <c r="M1222" s="184" t="s">
        <v>598</v>
      </c>
      <c r="N1222" s="184" t="s">
        <v>63</v>
      </c>
      <c r="O1222" s="184" t="s">
        <v>63</v>
      </c>
      <c r="P1222" s="186" t="s">
        <v>32</v>
      </c>
      <c r="Q1222" s="184" t="s">
        <v>598</v>
      </c>
      <c r="R1222" s="184" t="s">
        <v>598</v>
      </c>
      <c r="S1222" s="127">
        <v>42859</v>
      </c>
      <c r="T1222" s="184" t="s">
        <v>10</v>
      </c>
      <c r="U1222" s="184" t="s">
        <v>598</v>
      </c>
      <c r="V1222" s="185">
        <v>6000</v>
      </c>
      <c r="W1222" s="184" t="s">
        <v>493</v>
      </c>
      <c r="X1222" s="184" t="s">
        <v>3054</v>
      </c>
      <c r="Y1222" s="185">
        <v>10000</v>
      </c>
      <c r="Z1222" s="184" t="s">
        <v>598</v>
      </c>
      <c r="AA1222" s="21" t="s">
        <v>610</v>
      </c>
      <c r="AB1222" s="176" t="s">
        <v>489</v>
      </c>
      <c r="AC1222" s="172">
        <v>42996.328472222223</v>
      </c>
      <c r="AD1222" s="32" t="s">
        <v>552</v>
      </c>
    </row>
    <row r="1223" spans="1:30">
      <c r="A1223" s="184">
        <v>1222</v>
      </c>
      <c r="B1223" s="184" t="s">
        <v>3055</v>
      </c>
      <c r="C1223" s="184" t="s">
        <v>598</v>
      </c>
      <c r="D1223" s="127">
        <v>42807</v>
      </c>
      <c r="E1223" s="127" t="s">
        <v>598</v>
      </c>
      <c r="F1223" s="184" t="s">
        <v>3056</v>
      </c>
      <c r="G1223" s="185">
        <v>0</v>
      </c>
      <c r="H1223" s="184" t="s">
        <v>598</v>
      </c>
      <c r="I1223" s="184" t="s">
        <v>598</v>
      </c>
      <c r="J1223" s="184" t="s">
        <v>38</v>
      </c>
      <c r="K1223" s="184" t="s">
        <v>354</v>
      </c>
      <c r="L1223" s="184" t="s">
        <v>598</v>
      </c>
      <c r="M1223" s="184" t="s">
        <v>598</v>
      </c>
      <c r="N1223" s="184" t="s">
        <v>63</v>
      </c>
      <c r="O1223" s="184" t="s">
        <v>598</v>
      </c>
      <c r="P1223" s="186" t="s">
        <v>53</v>
      </c>
      <c r="Q1223" s="184" t="s">
        <v>598</v>
      </c>
      <c r="R1223" s="184" t="s">
        <v>598</v>
      </c>
      <c r="S1223" s="127">
        <v>42859</v>
      </c>
      <c r="T1223" s="184" t="s">
        <v>10</v>
      </c>
      <c r="U1223" s="184" t="s">
        <v>598</v>
      </c>
      <c r="V1223" s="185">
        <v>4500</v>
      </c>
      <c r="W1223" s="184" t="s">
        <v>493</v>
      </c>
      <c r="X1223" s="184" t="s">
        <v>598</v>
      </c>
      <c r="Y1223" s="185">
        <v>0</v>
      </c>
      <c r="Z1223" s="184" t="s">
        <v>598</v>
      </c>
      <c r="AA1223" s="21" t="s">
        <v>610</v>
      </c>
      <c r="AB1223" s="176" t="s">
        <v>489</v>
      </c>
      <c r="AC1223" s="172">
        <v>42996.328472222223</v>
      </c>
      <c r="AD1223" s="32" t="s">
        <v>552</v>
      </c>
    </row>
    <row r="1224" spans="1:30">
      <c r="A1224" s="184">
        <v>1223</v>
      </c>
      <c r="B1224" s="184" t="s">
        <v>3057</v>
      </c>
      <c r="C1224" s="184" t="s">
        <v>598</v>
      </c>
      <c r="D1224" s="127">
        <v>42807</v>
      </c>
      <c r="E1224" s="127" t="s">
        <v>598</v>
      </c>
      <c r="F1224" s="184" t="s">
        <v>3058</v>
      </c>
      <c r="G1224" s="185">
        <v>0</v>
      </c>
      <c r="H1224" s="184" t="s">
        <v>598</v>
      </c>
      <c r="I1224" s="184" t="s">
        <v>598</v>
      </c>
      <c r="J1224" s="184" t="s">
        <v>38</v>
      </c>
      <c r="K1224" s="184" t="s">
        <v>354</v>
      </c>
      <c r="L1224" s="184" t="s">
        <v>598</v>
      </c>
      <c r="M1224" s="184" t="s">
        <v>598</v>
      </c>
      <c r="N1224" s="184" t="s">
        <v>63</v>
      </c>
      <c r="O1224" s="184" t="s">
        <v>598</v>
      </c>
      <c r="P1224" s="186" t="s">
        <v>44</v>
      </c>
      <c r="Q1224" s="184" t="s">
        <v>598</v>
      </c>
      <c r="R1224" s="184" t="s">
        <v>598</v>
      </c>
      <c r="S1224" s="127">
        <v>42859</v>
      </c>
      <c r="T1224" s="184" t="s">
        <v>10</v>
      </c>
      <c r="U1224" s="184" t="s">
        <v>598</v>
      </c>
      <c r="V1224" s="185">
        <v>1500</v>
      </c>
      <c r="W1224" s="184" t="s">
        <v>485</v>
      </c>
      <c r="X1224" s="184" t="s">
        <v>598</v>
      </c>
      <c r="Y1224" s="185">
        <v>0</v>
      </c>
      <c r="Z1224" s="184" t="s">
        <v>598</v>
      </c>
      <c r="AA1224" s="21" t="s">
        <v>610</v>
      </c>
      <c r="AB1224" s="176" t="s">
        <v>489</v>
      </c>
      <c r="AC1224" s="172">
        <v>42996.328472222223</v>
      </c>
      <c r="AD1224" s="32" t="s">
        <v>552</v>
      </c>
    </row>
    <row r="1225" spans="1:30">
      <c r="A1225" s="184">
        <v>1224</v>
      </c>
      <c r="B1225" s="184" t="s">
        <v>3059</v>
      </c>
      <c r="C1225" s="184" t="s">
        <v>598</v>
      </c>
      <c r="D1225" s="127">
        <v>42808</v>
      </c>
      <c r="E1225" s="127" t="s">
        <v>598</v>
      </c>
      <c r="F1225" s="184" t="s">
        <v>3060</v>
      </c>
      <c r="G1225" s="185">
        <v>0</v>
      </c>
      <c r="H1225" s="184" t="s">
        <v>598</v>
      </c>
      <c r="I1225" s="184" t="s">
        <v>598</v>
      </c>
      <c r="J1225" s="184" t="s">
        <v>38</v>
      </c>
      <c r="K1225" s="184" t="s">
        <v>354</v>
      </c>
      <c r="L1225" s="184" t="s">
        <v>598</v>
      </c>
      <c r="M1225" s="184" t="s">
        <v>598</v>
      </c>
      <c r="N1225" s="184" t="s">
        <v>63</v>
      </c>
      <c r="O1225" s="184" t="s">
        <v>598</v>
      </c>
      <c r="P1225" s="186" t="s">
        <v>67</v>
      </c>
      <c r="Q1225" s="184" t="s">
        <v>598</v>
      </c>
      <c r="R1225" s="184" t="s">
        <v>598</v>
      </c>
      <c r="S1225" s="127">
        <v>42860</v>
      </c>
      <c r="T1225" s="184" t="s">
        <v>10</v>
      </c>
      <c r="U1225" s="184" t="s">
        <v>598</v>
      </c>
      <c r="V1225" s="185">
        <v>4500</v>
      </c>
      <c r="W1225" s="184" t="s">
        <v>493</v>
      </c>
      <c r="X1225" s="184" t="s">
        <v>3061</v>
      </c>
      <c r="Y1225" s="185">
        <v>5000</v>
      </c>
      <c r="Z1225" s="184" t="s">
        <v>598</v>
      </c>
      <c r="AA1225" s="21" t="s">
        <v>610</v>
      </c>
      <c r="AB1225" s="176" t="s">
        <v>489</v>
      </c>
      <c r="AC1225" s="172">
        <v>42996.328472222223</v>
      </c>
      <c r="AD1225" s="32" t="s">
        <v>552</v>
      </c>
    </row>
    <row r="1226" spans="1:30">
      <c r="A1226" s="184">
        <v>1225</v>
      </c>
      <c r="B1226" s="184" t="s">
        <v>3062</v>
      </c>
      <c r="C1226" s="184" t="s">
        <v>598</v>
      </c>
      <c r="D1226" s="127">
        <v>42813</v>
      </c>
      <c r="E1226" s="127" t="s">
        <v>598</v>
      </c>
      <c r="F1226" s="184" t="s">
        <v>3063</v>
      </c>
      <c r="G1226" s="185">
        <v>0</v>
      </c>
      <c r="H1226" s="184" t="s">
        <v>598</v>
      </c>
      <c r="I1226" s="184" t="s">
        <v>598</v>
      </c>
      <c r="J1226" s="184" t="s">
        <v>38</v>
      </c>
      <c r="K1226" s="184" t="s">
        <v>354</v>
      </c>
      <c r="L1226" s="184" t="s">
        <v>598</v>
      </c>
      <c r="M1226" s="184" t="s">
        <v>598</v>
      </c>
      <c r="N1226" s="184" t="s">
        <v>63</v>
      </c>
      <c r="O1226" s="184" t="s">
        <v>598</v>
      </c>
      <c r="P1226" s="186" t="s">
        <v>602</v>
      </c>
      <c r="Q1226" s="184" t="s">
        <v>598</v>
      </c>
      <c r="R1226" s="184" t="s">
        <v>598</v>
      </c>
      <c r="S1226" s="127">
        <v>42864</v>
      </c>
      <c r="T1226" s="184" t="s">
        <v>10</v>
      </c>
      <c r="U1226" s="184" t="s">
        <v>598</v>
      </c>
      <c r="V1226" s="185">
        <v>4500</v>
      </c>
      <c r="W1226" s="184" t="s">
        <v>493</v>
      </c>
      <c r="X1226" s="184" t="s">
        <v>598</v>
      </c>
      <c r="Y1226" s="185">
        <v>0</v>
      </c>
      <c r="Z1226" s="184" t="s">
        <v>598</v>
      </c>
      <c r="AA1226" s="21" t="s">
        <v>610</v>
      </c>
      <c r="AB1226" s="176" t="s">
        <v>489</v>
      </c>
      <c r="AC1226" s="172">
        <v>42996.328472222223</v>
      </c>
      <c r="AD1226" s="32" t="s">
        <v>552</v>
      </c>
    </row>
    <row r="1227" spans="1:30">
      <c r="A1227" s="184">
        <v>1226</v>
      </c>
      <c r="B1227" s="184" t="s">
        <v>3064</v>
      </c>
      <c r="C1227" s="184" t="s">
        <v>598</v>
      </c>
      <c r="D1227" s="127">
        <v>42813</v>
      </c>
      <c r="E1227" s="127" t="s">
        <v>598</v>
      </c>
      <c r="F1227" s="184" t="s">
        <v>3065</v>
      </c>
      <c r="G1227" s="185">
        <v>0</v>
      </c>
      <c r="H1227" s="184" t="s">
        <v>598</v>
      </c>
      <c r="I1227" s="184" t="s">
        <v>598</v>
      </c>
      <c r="J1227" s="184" t="s">
        <v>38</v>
      </c>
      <c r="K1227" s="184" t="s">
        <v>354</v>
      </c>
      <c r="L1227" s="184" t="s">
        <v>598</v>
      </c>
      <c r="M1227" s="184" t="s">
        <v>598</v>
      </c>
      <c r="N1227" s="184" t="s">
        <v>63</v>
      </c>
      <c r="O1227" s="184" t="s">
        <v>86</v>
      </c>
      <c r="P1227" s="186" t="s">
        <v>603</v>
      </c>
      <c r="Q1227" s="184" t="s">
        <v>598</v>
      </c>
      <c r="R1227" s="184" t="s">
        <v>598</v>
      </c>
      <c r="S1227" s="127">
        <v>42864</v>
      </c>
      <c r="T1227" s="184" t="s">
        <v>10</v>
      </c>
      <c r="U1227" s="184" t="s">
        <v>598</v>
      </c>
      <c r="V1227" s="185">
        <v>4500</v>
      </c>
      <c r="W1227" s="184" t="s">
        <v>493</v>
      </c>
      <c r="X1227" s="184" t="s">
        <v>598</v>
      </c>
      <c r="Y1227" s="185">
        <v>0</v>
      </c>
      <c r="Z1227" s="184" t="s">
        <v>598</v>
      </c>
      <c r="AA1227" s="21" t="s">
        <v>610</v>
      </c>
      <c r="AB1227" s="176" t="s">
        <v>489</v>
      </c>
      <c r="AC1227" s="172">
        <v>42996.328472222223</v>
      </c>
      <c r="AD1227" s="32" t="s">
        <v>552</v>
      </c>
    </row>
    <row r="1228" spans="1:30">
      <c r="A1228" s="184">
        <v>1227</v>
      </c>
      <c r="B1228" s="184" t="s">
        <v>3066</v>
      </c>
      <c r="C1228" s="184" t="s">
        <v>598</v>
      </c>
      <c r="D1228" s="127">
        <v>42813</v>
      </c>
      <c r="E1228" s="127" t="s">
        <v>598</v>
      </c>
      <c r="F1228" s="184" t="s">
        <v>3067</v>
      </c>
      <c r="G1228" s="185">
        <v>0</v>
      </c>
      <c r="H1228" s="184" t="s">
        <v>598</v>
      </c>
      <c r="I1228" s="184" t="s">
        <v>598</v>
      </c>
      <c r="J1228" s="184" t="s">
        <v>38</v>
      </c>
      <c r="K1228" s="184" t="s">
        <v>354</v>
      </c>
      <c r="L1228" s="184" t="s">
        <v>598</v>
      </c>
      <c r="M1228" s="184" t="s">
        <v>598</v>
      </c>
      <c r="N1228" s="184" t="s">
        <v>63</v>
      </c>
      <c r="O1228" s="184" t="s">
        <v>86</v>
      </c>
      <c r="P1228" s="186" t="s">
        <v>604</v>
      </c>
      <c r="Q1228" s="184" t="s">
        <v>598</v>
      </c>
      <c r="R1228" s="184" t="s">
        <v>598</v>
      </c>
      <c r="S1228" s="127">
        <v>42860</v>
      </c>
      <c r="T1228" s="184" t="s">
        <v>10</v>
      </c>
      <c r="U1228" s="184" t="s">
        <v>598</v>
      </c>
      <c r="V1228" s="185">
        <v>2250</v>
      </c>
      <c r="W1228" s="184" t="s">
        <v>493</v>
      </c>
      <c r="X1228" s="184" t="s">
        <v>598</v>
      </c>
      <c r="Y1228" s="185">
        <v>0</v>
      </c>
      <c r="Z1228" s="184" t="s">
        <v>598</v>
      </c>
      <c r="AA1228" s="21" t="s">
        <v>610</v>
      </c>
      <c r="AB1228" s="176" t="s">
        <v>489</v>
      </c>
      <c r="AC1228" s="172">
        <v>42996.328472222223</v>
      </c>
      <c r="AD1228" s="32" t="s">
        <v>552</v>
      </c>
    </row>
    <row r="1229" spans="1:30">
      <c r="A1229" s="184">
        <v>1228</v>
      </c>
      <c r="B1229" s="184" t="s">
        <v>3068</v>
      </c>
      <c r="C1229" s="184" t="s">
        <v>598</v>
      </c>
      <c r="D1229" s="127">
        <v>42813</v>
      </c>
      <c r="E1229" s="127" t="s">
        <v>598</v>
      </c>
      <c r="F1229" s="184" t="s">
        <v>3069</v>
      </c>
      <c r="G1229" s="185">
        <v>0</v>
      </c>
      <c r="H1229" s="184" t="s">
        <v>598</v>
      </c>
      <c r="I1229" s="184" t="s">
        <v>598</v>
      </c>
      <c r="J1229" s="184" t="s">
        <v>38</v>
      </c>
      <c r="K1229" s="184" t="s">
        <v>354</v>
      </c>
      <c r="L1229" s="184" t="s">
        <v>598</v>
      </c>
      <c r="M1229" s="184" t="s">
        <v>598</v>
      </c>
      <c r="N1229" s="184" t="s">
        <v>63</v>
      </c>
      <c r="O1229" s="184" t="s">
        <v>86</v>
      </c>
      <c r="P1229" s="186" t="s">
        <v>605</v>
      </c>
      <c r="Q1229" s="184" t="s">
        <v>598</v>
      </c>
      <c r="R1229" s="184" t="s">
        <v>598</v>
      </c>
      <c r="S1229" s="127">
        <v>42860</v>
      </c>
      <c r="T1229" s="184" t="s">
        <v>10</v>
      </c>
      <c r="U1229" s="184" t="s">
        <v>598</v>
      </c>
      <c r="V1229" s="185">
        <v>2250</v>
      </c>
      <c r="W1229" s="184" t="s">
        <v>493</v>
      </c>
      <c r="X1229" s="184" t="s">
        <v>598</v>
      </c>
      <c r="Y1229" s="185">
        <v>0</v>
      </c>
      <c r="Z1229" s="184" t="s">
        <v>598</v>
      </c>
      <c r="AA1229" s="21" t="s">
        <v>610</v>
      </c>
      <c r="AB1229" s="176" t="s">
        <v>489</v>
      </c>
      <c r="AC1229" s="172">
        <v>42996.328472222223</v>
      </c>
      <c r="AD1229" s="32" t="s">
        <v>552</v>
      </c>
    </row>
    <row r="1230" spans="1:30">
      <c r="A1230" s="184">
        <v>1229</v>
      </c>
      <c r="B1230" s="184" t="s">
        <v>3070</v>
      </c>
      <c r="C1230" s="184" t="s">
        <v>598</v>
      </c>
      <c r="D1230" s="127">
        <v>42813</v>
      </c>
      <c r="E1230" s="127" t="s">
        <v>598</v>
      </c>
      <c r="F1230" s="184" t="s">
        <v>3069</v>
      </c>
      <c r="G1230" s="185">
        <v>0</v>
      </c>
      <c r="H1230" s="184" t="s">
        <v>598</v>
      </c>
      <c r="I1230" s="184" t="s">
        <v>598</v>
      </c>
      <c r="J1230" s="184" t="s">
        <v>38</v>
      </c>
      <c r="K1230" s="184" t="s">
        <v>354</v>
      </c>
      <c r="L1230" s="184" t="s">
        <v>598</v>
      </c>
      <c r="M1230" s="184" t="s">
        <v>598</v>
      </c>
      <c r="N1230" s="184" t="s">
        <v>63</v>
      </c>
      <c r="O1230" s="184" t="s">
        <v>86</v>
      </c>
      <c r="P1230" s="186" t="s">
        <v>606</v>
      </c>
      <c r="Q1230" s="184" t="s">
        <v>598</v>
      </c>
      <c r="R1230" s="184" t="s">
        <v>598</v>
      </c>
      <c r="S1230" s="127">
        <v>42860</v>
      </c>
      <c r="T1230" s="184" t="s">
        <v>10</v>
      </c>
      <c r="U1230" s="184" t="s">
        <v>598</v>
      </c>
      <c r="V1230" s="185">
        <v>2250</v>
      </c>
      <c r="W1230" s="184" t="s">
        <v>493</v>
      </c>
      <c r="X1230" s="184" t="s">
        <v>598</v>
      </c>
      <c r="Y1230" s="185">
        <v>0</v>
      </c>
      <c r="Z1230" s="184" t="s">
        <v>598</v>
      </c>
      <c r="AA1230" s="21" t="s">
        <v>610</v>
      </c>
      <c r="AB1230" s="176" t="s">
        <v>489</v>
      </c>
      <c r="AC1230" s="172">
        <v>42996.328472222223</v>
      </c>
      <c r="AD1230" s="32" t="s">
        <v>552</v>
      </c>
    </row>
    <row r="1231" spans="1:30">
      <c r="A1231" s="184">
        <v>1230</v>
      </c>
      <c r="B1231" s="184" t="s">
        <v>3071</v>
      </c>
      <c r="C1231" s="184" t="s">
        <v>598</v>
      </c>
      <c r="D1231" s="127">
        <v>42818</v>
      </c>
      <c r="E1231" s="127" t="s">
        <v>598</v>
      </c>
      <c r="F1231" s="184" t="s">
        <v>3065</v>
      </c>
      <c r="G1231" s="185">
        <v>0</v>
      </c>
      <c r="H1231" s="184" t="s">
        <v>598</v>
      </c>
      <c r="I1231" s="184" t="s">
        <v>598</v>
      </c>
      <c r="J1231" s="184" t="s">
        <v>38</v>
      </c>
      <c r="K1231" s="184" t="s">
        <v>354</v>
      </c>
      <c r="L1231" s="184" t="s">
        <v>598</v>
      </c>
      <c r="M1231" s="184" t="s">
        <v>598</v>
      </c>
      <c r="N1231" s="184" t="s">
        <v>63</v>
      </c>
      <c r="O1231" s="184" t="s">
        <v>2984</v>
      </c>
      <c r="P1231" s="186"/>
      <c r="Q1231" s="184" t="s">
        <v>598</v>
      </c>
      <c r="R1231" s="184" t="s">
        <v>598</v>
      </c>
      <c r="S1231" s="127">
        <v>42864</v>
      </c>
      <c r="T1231" s="184" t="s">
        <v>10</v>
      </c>
      <c r="U1231" s="184" t="s">
        <v>598</v>
      </c>
      <c r="V1231" s="185">
        <v>4500</v>
      </c>
      <c r="W1231" s="184" t="s">
        <v>493</v>
      </c>
      <c r="X1231" s="184" t="s">
        <v>598</v>
      </c>
      <c r="Y1231" s="185">
        <v>0</v>
      </c>
      <c r="Z1231" s="184" t="s">
        <v>598</v>
      </c>
      <c r="AA1231" s="21" t="s">
        <v>610</v>
      </c>
      <c r="AB1231" s="176" t="s">
        <v>489</v>
      </c>
      <c r="AC1231" s="172">
        <v>42996.328472222223</v>
      </c>
      <c r="AD1231" s="32" t="s">
        <v>552</v>
      </c>
    </row>
    <row r="1232" spans="1:30">
      <c r="A1232" s="184">
        <v>1231</v>
      </c>
      <c r="B1232" s="184" t="s">
        <v>3072</v>
      </c>
      <c r="C1232" s="184" t="s">
        <v>598</v>
      </c>
      <c r="D1232" s="127">
        <v>42822</v>
      </c>
      <c r="E1232" s="127" t="s">
        <v>598</v>
      </c>
      <c r="F1232" s="184" t="s">
        <v>3073</v>
      </c>
      <c r="G1232" s="185">
        <v>0</v>
      </c>
      <c r="H1232" s="184" t="s">
        <v>598</v>
      </c>
      <c r="I1232" s="184" t="s">
        <v>598</v>
      </c>
      <c r="J1232" s="184" t="s">
        <v>38</v>
      </c>
      <c r="K1232" s="184" t="s">
        <v>354</v>
      </c>
      <c r="L1232" s="184" t="s">
        <v>598</v>
      </c>
      <c r="M1232" s="184" t="s">
        <v>598</v>
      </c>
      <c r="N1232" s="184" t="s">
        <v>63</v>
      </c>
      <c r="O1232" s="184" t="s">
        <v>598</v>
      </c>
      <c r="P1232" s="186" t="s">
        <v>73</v>
      </c>
      <c r="Q1232" s="184" t="s">
        <v>598</v>
      </c>
      <c r="R1232" s="184" t="s">
        <v>598</v>
      </c>
      <c r="S1232" s="127">
        <v>42864</v>
      </c>
      <c r="T1232" s="184" t="s">
        <v>10</v>
      </c>
      <c r="U1232" s="184" t="s">
        <v>598</v>
      </c>
      <c r="V1232" s="185">
        <v>9000</v>
      </c>
      <c r="W1232" s="184" t="s">
        <v>493</v>
      </c>
      <c r="X1232" s="184" t="s">
        <v>598</v>
      </c>
      <c r="Y1232" s="185">
        <v>0</v>
      </c>
      <c r="Z1232" s="184" t="s">
        <v>598</v>
      </c>
      <c r="AA1232" s="21" t="s">
        <v>610</v>
      </c>
      <c r="AB1232" s="176" t="s">
        <v>489</v>
      </c>
      <c r="AC1232" s="172">
        <v>42996.328472222223</v>
      </c>
      <c r="AD1232" s="32" t="s">
        <v>552</v>
      </c>
    </row>
    <row r="1233" spans="1:30">
      <c r="A1233" s="184">
        <v>1232</v>
      </c>
      <c r="B1233" s="184" t="s">
        <v>3074</v>
      </c>
      <c r="C1233" s="184" t="s">
        <v>598</v>
      </c>
      <c r="D1233" s="127">
        <v>42868</v>
      </c>
      <c r="E1233" s="127" t="s">
        <v>598</v>
      </c>
      <c r="F1233" s="184" t="s">
        <v>3075</v>
      </c>
      <c r="G1233" s="185">
        <v>49521000</v>
      </c>
      <c r="H1233" s="184" t="s">
        <v>598</v>
      </c>
      <c r="I1233" s="184" t="s">
        <v>598</v>
      </c>
      <c r="J1233" s="184" t="s">
        <v>49</v>
      </c>
      <c r="K1233" s="184" t="s">
        <v>3076</v>
      </c>
      <c r="L1233" s="184" t="s">
        <v>598</v>
      </c>
      <c r="M1233" s="184" t="s">
        <v>598</v>
      </c>
      <c r="N1233" s="184" t="s">
        <v>79</v>
      </c>
      <c r="O1233" s="184" t="s">
        <v>112</v>
      </c>
      <c r="P1233" s="186" t="s">
        <v>601</v>
      </c>
      <c r="Q1233" s="184" t="s">
        <v>598</v>
      </c>
      <c r="R1233" s="184" t="s">
        <v>598</v>
      </c>
      <c r="S1233" s="127">
        <v>42873</v>
      </c>
      <c r="T1233" s="184" t="s">
        <v>3077</v>
      </c>
      <c r="U1233" s="184" t="s">
        <v>598</v>
      </c>
      <c r="V1233" s="185">
        <v>15000</v>
      </c>
      <c r="W1233" s="184" t="s">
        <v>493</v>
      </c>
      <c r="X1233" s="184" t="s">
        <v>598</v>
      </c>
      <c r="Y1233" s="185">
        <v>0</v>
      </c>
      <c r="Z1233" s="184" t="s">
        <v>598</v>
      </c>
      <c r="AA1233" s="21" t="s">
        <v>610</v>
      </c>
      <c r="AB1233" s="176" t="s">
        <v>489</v>
      </c>
      <c r="AC1233" s="172">
        <v>42996.328472222223</v>
      </c>
      <c r="AD1233" s="32" t="s">
        <v>552</v>
      </c>
    </row>
    <row r="1234" spans="1:30">
      <c r="A1234" s="184">
        <v>1233</v>
      </c>
      <c r="B1234" s="184" t="s">
        <v>3078</v>
      </c>
      <c r="C1234" s="184" t="s">
        <v>598</v>
      </c>
      <c r="D1234" s="127">
        <v>42872</v>
      </c>
      <c r="E1234" s="127" t="s">
        <v>598</v>
      </c>
      <c r="F1234" s="184" t="s">
        <v>3079</v>
      </c>
      <c r="G1234" s="185">
        <v>2158000</v>
      </c>
      <c r="H1234" s="184" t="s">
        <v>598</v>
      </c>
      <c r="I1234" s="184" t="s">
        <v>134</v>
      </c>
      <c r="J1234" s="184" t="s">
        <v>49</v>
      </c>
      <c r="K1234" s="184" t="s">
        <v>1449</v>
      </c>
      <c r="L1234" s="184" t="s">
        <v>598</v>
      </c>
      <c r="M1234" s="184" t="s">
        <v>29</v>
      </c>
      <c r="N1234" s="184" t="s">
        <v>79</v>
      </c>
      <c r="O1234" s="184" t="s">
        <v>112</v>
      </c>
      <c r="P1234" s="186" t="s">
        <v>32</v>
      </c>
      <c r="Q1234" s="184" t="s">
        <v>598</v>
      </c>
      <c r="R1234" s="184" t="s">
        <v>598</v>
      </c>
      <c r="S1234" s="127">
        <v>42879</v>
      </c>
      <c r="T1234" s="184" t="s">
        <v>10</v>
      </c>
      <c r="U1234" s="184" t="s">
        <v>598</v>
      </c>
      <c r="V1234" s="185">
        <v>2000</v>
      </c>
      <c r="W1234" s="184" t="s">
        <v>493</v>
      </c>
      <c r="X1234" s="184" t="s">
        <v>598</v>
      </c>
      <c r="Y1234" s="185">
        <v>0</v>
      </c>
      <c r="Z1234" s="184" t="s">
        <v>598</v>
      </c>
      <c r="AA1234" s="21" t="s">
        <v>610</v>
      </c>
      <c r="AB1234" s="176" t="s">
        <v>489</v>
      </c>
      <c r="AC1234" s="172">
        <v>42996.328472222223</v>
      </c>
      <c r="AD1234" s="32" t="s">
        <v>552</v>
      </c>
    </row>
    <row r="1235" spans="1:30">
      <c r="A1235" s="184">
        <v>1234</v>
      </c>
      <c r="B1235" s="184" t="s">
        <v>3080</v>
      </c>
      <c r="C1235" s="184" t="s">
        <v>598</v>
      </c>
      <c r="D1235" s="127">
        <v>42878</v>
      </c>
      <c r="E1235" s="127" t="s">
        <v>598</v>
      </c>
      <c r="F1235" s="184" t="s">
        <v>3081</v>
      </c>
      <c r="G1235" s="185">
        <v>2773000</v>
      </c>
      <c r="H1235" s="184" t="s">
        <v>598</v>
      </c>
      <c r="I1235" s="184" t="s">
        <v>134</v>
      </c>
      <c r="J1235" s="184" t="s">
        <v>49</v>
      </c>
      <c r="K1235" s="184" t="s">
        <v>1449</v>
      </c>
      <c r="L1235" s="184" t="s">
        <v>598</v>
      </c>
      <c r="M1235" s="184" t="s">
        <v>29</v>
      </c>
      <c r="N1235" s="184" t="s">
        <v>79</v>
      </c>
      <c r="O1235" s="184" t="s">
        <v>112</v>
      </c>
      <c r="P1235" s="186" t="s">
        <v>53</v>
      </c>
      <c r="Q1235" s="184" t="s">
        <v>598</v>
      </c>
      <c r="R1235" s="184" t="s">
        <v>598</v>
      </c>
      <c r="S1235" s="127">
        <v>42885</v>
      </c>
      <c r="T1235" s="184" t="s">
        <v>10</v>
      </c>
      <c r="U1235" s="184" t="s">
        <v>598</v>
      </c>
      <c r="V1235" s="185">
        <v>2500</v>
      </c>
      <c r="W1235" s="184" t="s">
        <v>493</v>
      </c>
      <c r="X1235" s="184" t="s">
        <v>598</v>
      </c>
      <c r="Y1235" s="185">
        <v>0</v>
      </c>
      <c r="Z1235" s="184" t="s">
        <v>598</v>
      </c>
      <c r="AA1235" s="21" t="s">
        <v>610</v>
      </c>
      <c r="AB1235" s="176" t="s">
        <v>489</v>
      </c>
      <c r="AC1235" s="172">
        <v>42996.328472222223</v>
      </c>
      <c r="AD1235" s="32" t="s">
        <v>552</v>
      </c>
    </row>
    <row r="1236" spans="1:30">
      <c r="A1236" s="184">
        <v>1235</v>
      </c>
      <c r="B1236" s="184" t="s">
        <v>3082</v>
      </c>
      <c r="C1236" s="184" t="s">
        <v>598</v>
      </c>
      <c r="D1236" s="127">
        <v>42878</v>
      </c>
      <c r="E1236" s="127" t="s">
        <v>598</v>
      </c>
      <c r="F1236" s="184" t="s">
        <v>3083</v>
      </c>
      <c r="G1236" s="185">
        <v>1868000</v>
      </c>
      <c r="H1236" s="184" t="s">
        <v>598</v>
      </c>
      <c r="I1236" s="184" t="s">
        <v>134</v>
      </c>
      <c r="J1236" s="184" t="s">
        <v>49</v>
      </c>
      <c r="K1236" s="184" t="s">
        <v>1449</v>
      </c>
      <c r="L1236" s="184" t="s">
        <v>598</v>
      </c>
      <c r="M1236" s="184" t="s">
        <v>29</v>
      </c>
      <c r="N1236" s="184" t="s">
        <v>79</v>
      </c>
      <c r="O1236" s="184" t="s">
        <v>112</v>
      </c>
      <c r="P1236" s="186" t="s">
        <v>44</v>
      </c>
      <c r="Q1236" s="184" t="s">
        <v>598</v>
      </c>
      <c r="R1236" s="184" t="s">
        <v>598</v>
      </c>
      <c r="S1236" s="127">
        <v>42885</v>
      </c>
      <c r="T1236" s="184" t="s">
        <v>10</v>
      </c>
      <c r="U1236" s="184" t="s">
        <v>598</v>
      </c>
      <c r="V1236" s="185">
        <v>2500</v>
      </c>
      <c r="W1236" s="184" t="s">
        <v>493</v>
      </c>
      <c r="X1236" s="184" t="s">
        <v>598</v>
      </c>
      <c r="Y1236" s="185">
        <v>0</v>
      </c>
      <c r="Z1236" s="184" t="s">
        <v>598</v>
      </c>
      <c r="AA1236" s="21" t="s">
        <v>610</v>
      </c>
      <c r="AB1236" s="176" t="s">
        <v>489</v>
      </c>
      <c r="AC1236" s="172">
        <v>42996.328472222223</v>
      </c>
      <c r="AD1236" s="32" t="s">
        <v>552</v>
      </c>
    </row>
    <row r="1237" spans="1:30">
      <c r="A1237" s="184">
        <v>1236</v>
      </c>
      <c r="B1237" s="184" t="s">
        <v>3084</v>
      </c>
      <c r="C1237" s="184" t="s">
        <v>598</v>
      </c>
      <c r="D1237" s="127">
        <v>42880</v>
      </c>
      <c r="E1237" s="127" t="s">
        <v>598</v>
      </c>
      <c r="F1237" s="184" t="s">
        <v>1951</v>
      </c>
      <c r="G1237" s="185">
        <v>8265000</v>
      </c>
      <c r="H1237" s="184" t="s">
        <v>598</v>
      </c>
      <c r="I1237" s="184" t="s">
        <v>134</v>
      </c>
      <c r="J1237" s="184" t="s">
        <v>49</v>
      </c>
      <c r="K1237" s="184" t="s">
        <v>1449</v>
      </c>
      <c r="L1237" s="184" t="s">
        <v>598</v>
      </c>
      <c r="M1237" s="184" t="s">
        <v>29</v>
      </c>
      <c r="N1237" s="184" t="s">
        <v>79</v>
      </c>
      <c r="O1237" s="184" t="s">
        <v>65</v>
      </c>
      <c r="P1237" s="186" t="s">
        <v>67</v>
      </c>
      <c r="Q1237" s="184" t="s">
        <v>598</v>
      </c>
      <c r="R1237" s="184" t="s">
        <v>598</v>
      </c>
      <c r="S1237" s="127">
        <v>42885</v>
      </c>
      <c r="T1237" s="184" t="s">
        <v>10</v>
      </c>
      <c r="U1237" s="184" t="s">
        <v>598</v>
      </c>
      <c r="V1237" s="185">
        <v>2500</v>
      </c>
      <c r="W1237" s="184" t="s">
        <v>493</v>
      </c>
      <c r="X1237" s="184" t="s">
        <v>598</v>
      </c>
      <c r="Y1237" s="185">
        <v>0</v>
      </c>
      <c r="Z1237" s="184" t="s">
        <v>598</v>
      </c>
      <c r="AA1237" s="21" t="s">
        <v>610</v>
      </c>
      <c r="AB1237" s="176" t="s">
        <v>489</v>
      </c>
      <c r="AC1237" s="172">
        <v>42996.328472222223</v>
      </c>
      <c r="AD1237" s="32" t="s">
        <v>552</v>
      </c>
    </row>
    <row r="1238" spans="1:30">
      <c r="A1238" s="184">
        <v>1237</v>
      </c>
      <c r="B1238" s="184" t="s">
        <v>3085</v>
      </c>
      <c r="C1238" s="184" t="s">
        <v>598</v>
      </c>
      <c r="D1238" s="127">
        <v>42882</v>
      </c>
      <c r="E1238" s="127" t="s">
        <v>598</v>
      </c>
      <c r="F1238" s="184" t="s">
        <v>3086</v>
      </c>
      <c r="G1238" s="185">
        <v>0</v>
      </c>
      <c r="H1238" s="184" t="s">
        <v>598</v>
      </c>
      <c r="I1238" s="184" t="s">
        <v>134</v>
      </c>
      <c r="J1238" s="184" t="s">
        <v>49</v>
      </c>
      <c r="K1238" s="184" t="s">
        <v>1449</v>
      </c>
      <c r="L1238" s="184" t="s">
        <v>598</v>
      </c>
      <c r="M1238" s="184" t="s">
        <v>29</v>
      </c>
      <c r="N1238" s="184" t="s">
        <v>79</v>
      </c>
      <c r="O1238" s="184" t="s">
        <v>79</v>
      </c>
      <c r="P1238" s="186" t="s">
        <v>602</v>
      </c>
      <c r="Q1238" s="184" t="s">
        <v>598</v>
      </c>
      <c r="R1238" s="184" t="s">
        <v>598</v>
      </c>
      <c r="S1238" s="127">
        <v>42885</v>
      </c>
      <c r="T1238" s="184" t="s">
        <v>10</v>
      </c>
      <c r="U1238" s="184" t="s">
        <v>598</v>
      </c>
      <c r="V1238" s="185">
        <v>2500</v>
      </c>
      <c r="W1238" s="184" t="s">
        <v>493</v>
      </c>
      <c r="X1238" s="184" t="s">
        <v>598</v>
      </c>
      <c r="Y1238" s="185">
        <v>0</v>
      </c>
      <c r="Z1238" s="184" t="s">
        <v>598</v>
      </c>
      <c r="AA1238" s="21" t="s">
        <v>610</v>
      </c>
      <c r="AB1238" s="176" t="s">
        <v>489</v>
      </c>
      <c r="AC1238" s="172">
        <v>42996.328472222223</v>
      </c>
      <c r="AD1238" s="32" t="s">
        <v>552</v>
      </c>
    </row>
    <row r="1239" spans="1:30">
      <c r="A1239" s="184">
        <v>1238</v>
      </c>
      <c r="B1239" s="184" t="s">
        <v>3087</v>
      </c>
      <c r="C1239" s="184" t="s">
        <v>598</v>
      </c>
      <c r="D1239" s="127">
        <v>42847</v>
      </c>
      <c r="E1239" s="127" t="s">
        <v>598</v>
      </c>
      <c r="F1239" s="184" t="s">
        <v>1317</v>
      </c>
      <c r="G1239" s="185">
        <v>0</v>
      </c>
      <c r="H1239" s="184" t="s">
        <v>598</v>
      </c>
      <c r="I1239" s="184" t="s">
        <v>598</v>
      </c>
      <c r="J1239" s="184" t="s">
        <v>49</v>
      </c>
      <c r="K1239" s="184" t="s">
        <v>184</v>
      </c>
      <c r="L1239" s="184" t="s">
        <v>598</v>
      </c>
      <c r="M1239" s="184" t="s">
        <v>598</v>
      </c>
      <c r="N1239" s="184" t="s">
        <v>79</v>
      </c>
      <c r="O1239" s="184" t="s">
        <v>79</v>
      </c>
      <c r="P1239" s="186" t="s">
        <v>603</v>
      </c>
      <c r="Q1239" s="184" t="s">
        <v>598</v>
      </c>
      <c r="R1239" s="184" t="s">
        <v>598</v>
      </c>
      <c r="S1239" s="127">
        <v>42864</v>
      </c>
      <c r="T1239" s="184" t="s">
        <v>34</v>
      </c>
      <c r="U1239" s="184" t="s">
        <v>598</v>
      </c>
      <c r="V1239" s="185">
        <v>10000</v>
      </c>
      <c r="W1239" s="184" t="s">
        <v>493</v>
      </c>
      <c r="X1239" s="184" t="s">
        <v>598</v>
      </c>
      <c r="Y1239" s="185">
        <v>0</v>
      </c>
      <c r="Z1239" s="184" t="s">
        <v>598</v>
      </c>
      <c r="AA1239" s="21" t="s">
        <v>610</v>
      </c>
      <c r="AB1239" s="176" t="s">
        <v>489</v>
      </c>
      <c r="AC1239" s="172">
        <v>42996.328472222223</v>
      </c>
      <c r="AD1239" s="32" t="s">
        <v>552</v>
      </c>
    </row>
    <row r="1240" spans="1:30">
      <c r="A1240" s="184">
        <v>1239</v>
      </c>
      <c r="B1240" s="184" t="s">
        <v>3088</v>
      </c>
      <c r="C1240" s="184" t="s">
        <v>598</v>
      </c>
      <c r="D1240" s="127">
        <v>42851</v>
      </c>
      <c r="E1240" s="127" t="s">
        <v>598</v>
      </c>
      <c r="F1240" s="184" t="s">
        <v>3089</v>
      </c>
      <c r="G1240" s="185">
        <v>0</v>
      </c>
      <c r="H1240" s="184" t="s">
        <v>598</v>
      </c>
      <c r="I1240" s="184" t="s">
        <v>134</v>
      </c>
      <c r="J1240" s="184" t="s">
        <v>49</v>
      </c>
      <c r="K1240" s="184" t="s">
        <v>1392</v>
      </c>
      <c r="L1240" s="184" t="s">
        <v>598</v>
      </c>
      <c r="M1240" s="184" t="s">
        <v>598</v>
      </c>
      <c r="N1240" s="184" t="s">
        <v>79</v>
      </c>
      <c r="O1240" s="184" t="s">
        <v>112</v>
      </c>
      <c r="P1240" s="186" t="s">
        <v>604</v>
      </c>
      <c r="Q1240" s="184" t="s">
        <v>598</v>
      </c>
      <c r="R1240" s="184" t="s">
        <v>598</v>
      </c>
      <c r="S1240" s="127">
        <v>42861</v>
      </c>
      <c r="T1240" s="184" t="s">
        <v>34</v>
      </c>
      <c r="U1240" s="184" t="s">
        <v>598</v>
      </c>
      <c r="V1240" s="185">
        <v>2500</v>
      </c>
      <c r="W1240" s="184" t="s">
        <v>493</v>
      </c>
      <c r="X1240" s="184" t="s">
        <v>598</v>
      </c>
      <c r="Y1240" s="185">
        <v>0</v>
      </c>
      <c r="Z1240" s="184" t="s">
        <v>598</v>
      </c>
      <c r="AA1240" s="21" t="s">
        <v>610</v>
      </c>
      <c r="AB1240" s="176" t="s">
        <v>489</v>
      </c>
      <c r="AC1240" s="172">
        <v>42996.328472222223</v>
      </c>
      <c r="AD1240" s="32" t="s">
        <v>552</v>
      </c>
    </row>
    <row r="1241" spans="1:30">
      <c r="A1241" s="184">
        <v>1240</v>
      </c>
      <c r="B1241" s="184" t="s">
        <v>3090</v>
      </c>
      <c r="C1241" s="184" t="s">
        <v>598</v>
      </c>
      <c r="D1241" s="127">
        <v>42859</v>
      </c>
      <c r="E1241" s="127" t="s">
        <v>598</v>
      </c>
      <c r="F1241" s="184" t="s">
        <v>3091</v>
      </c>
      <c r="G1241" s="185">
        <v>7293000</v>
      </c>
      <c r="H1241" s="184" t="s">
        <v>598</v>
      </c>
      <c r="I1241" s="184" t="s">
        <v>58</v>
      </c>
      <c r="J1241" s="184" t="s">
        <v>70</v>
      </c>
      <c r="K1241" s="184" t="s">
        <v>272</v>
      </c>
      <c r="L1241" s="184" t="s">
        <v>598</v>
      </c>
      <c r="M1241" s="184" t="s">
        <v>598</v>
      </c>
      <c r="N1241" s="184" t="s">
        <v>42</v>
      </c>
      <c r="O1241" s="184" t="s">
        <v>85</v>
      </c>
      <c r="P1241" s="186" t="s">
        <v>605</v>
      </c>
      <c r="Q1241" s="184" t="s">
        <v>598</v>
      </c>
      <c r="R1241" s="184" t="s">
        <v>598</v>
      </c>
      <c r="S1241" s="127">
        <v>42872</v>
      </c>
      <c r="T1241" s="184" t="s">
        <v>34</v>
      </c>
      <c r="U1241" s="184" t="s">
        <v>598</v>
      </c>
      <c r="V1241" s="185">
        <v>8000</v>
      </c>
      <c r="W1241" s="184" t="s">
        <v>493</v>
      </c>
      <c r="X1241" s="184" t="s">
        <v>598</v>
      </c>
      <c r="Y1241" s="185">
        <v>0</v>
      </c>
      <c r="Z1241" s="184" t="s">
        <v>598</v>
      </c>
      <c r="AA1241" s="21" t="s">
        <v>610</v>
      </c>
      <c r="AB1241" s="176" t="s">
        <v>489</v>
      </c>
      <c r="AC1241" s="172">
        <v>42996.328472222223</v>
      </c>
      <c r="AD1241" s="32" t="s">
        <v>552</v>
      </c>
    </row>
    <row r="1242" spans="1:30">
      <c r="A1242" s="184">
        <v>1241</v>
      </c>
      <c r="B1242" s="184" t="s">
        <v>3092</v>
      </c>
      <c r="C1242" s="184" t="s">
        <v>598</v>
      </c>
      <c r="D1242" s="127">
        <v>42861</v>
      </c>
      <c r="E1242" s="127" t="s">
        <v>598</v>
      </c>
      <c r="F1242" s="184" t="s">
        <v>3093</v>
      </c>
      <c r="G1242" s="185">
        <v>16060000</v>
      </c>
      <c r="H1242" s="184" t="s">
        <v>598</v>
      </c>
      <c r="I1242" s="184" t="s">
        <v>598</v>
      </c>
      <c r="J1242" s="184" t="s">
        <v>70</v>
      </c>
      <c r="K1242" s="184" t="s">
        <v>272</v>
      </c>
      <c r="L1242" s="184" t="s">
        <v>598</v>
      </c>
      <c r="M1242" s="184" t="s">
        <v>598</v>
      </c>
      <c r="N1242" s="184" t="s">
        <v>42</v>
      </c>
      <c r="O1242" s="184" t="s">
        <v>98</v>
      </c>
      <c r="P1242" s="186" t="s">
        <v>606</v>
      </c>
      <c r="Q1242" s="184" t="s">
        <v>598</v>
      </c>
      <c r="R1242" s="184" t="s">
        <v>598</v>
      </c>
      <c r="S1242" s="127">
        <v>42877</v>
      </c>
      <c r="T1242" s="184" t="s">
        <v>10</v>
      </c>
      <c r="U1242" s="184" t="s">
        <v>598</v>
      </c>
      <c r="V1242" s="185">
        <v>11020</v>
      </c>
      <c r="W1242" s="184" t="s">
        <v>493</v>
      </c>
      <c r="X1242" s="184" t="s">
        <v>598</v>
      </c>
      <c r="Y1242" s="185">
        <v>0</v>
      </c>
      <c r="Z1242" s="184" t="s">
        <v>598</v>
      </c>
      <c r="AA1242" s="21" t="s">
        <v>610</v>
      </c>
      <c r="AB1242" s="176" t="s">
        <v>489</v>
      </c>
      <c r="AC1242" s="172">
        <v>42996.328472222223</v>
      </c>
      <c r="AD1242" s="32" t="s">
        <v>552</v>
      </c>
    </row>
    <row r="1243" spans="1:30">
      <c r="A1243" s="184">
        <v>1242</v>
      </c>
      <c r="B1243" s="184" t="s">
        <v>3094</v>
      </c>
      <c r="C1243" s="184" t="s">
        <v>598</v>
      </c>
      <c r="D1243" s="127">
        <v>42829</v>
      </c>
      <c r="E1243" s="127" t="s">
        <v>598</v>
      </c>
      <c r="F1243" s="184" t="s">
        <v>3095</v>
      </c>
      <c r="G1243" s="185">
        <v>0</v>
      </c>
      <c r="H1243" s="184" t="s">
        <v>598</v>
      </c>
      <c r="I1243" s="184" t="s">
        <v>598</v>
      </c>
      <c r="J1243" s="184" t="s">
        <v>70</v>
      </c>
      <c r="K1243" s="184" t="s">
        <v>272</v>
      </c>
      <c r="L1243" s="184" t="s">
        <v>598</v>
      </c>
      <c r="M1243" s="184" t="s">
        <v>598</v>
      </c>
      <c r="N1243" s="184" t="s">
        <v>42</v>
      </c>
      <c r="O1243" s="184" t="s">
        <v>85</v>
      </c>
      <c r="P1243" s="186"/>
      <c r="Q1243" s="184" t="s">
        <v>598</v>
      </c>
      <c r="R1243" s="184" t="s">
        <v>598</v>
      </c>
      <c r="S1243" s="127">
        <v>42877</v>
      </c>
      <c r="T1243" s="184" t="s">
        <v>10</v>
      </c>
      <c r="U1243" s="184" t="s">
        <v>598</v>
      </c>
      <c r="V1243" s="185">
        <v>13500</v>
      </c>
      <c r="W1243" s="184" t="s">
        <v>493</v>
      </c>
      <c r="X1243" s="184" t="s">
        <v>598</v>
      </c>
      <c r="Y1243" s="185">
        <v>0</v>
      </c>
      <c r="Z1243" s="184" t="s">
        <v>598</v>
      </c>
      <c r="AA1243" s="21" t="s">
        <v>610</v>
      </c>
      <c r="AB1243" s="176" t="s">
        <v>489</v>
      </c>
      <c r="AC1243" s="172">
        <v>42996.328472222223</v>
      </c>
      <c r="AD1243" s="32" t="s">
        <v>552</v>
      </c>
    </row>
    <row r="1244" spans="1:30">
      <c r="A1244" s="184">
        <v>1243</v>
      </c>
      <c r="B1244" s="184" t="s">
        <v>3096</v>
      </c>
      <c r="C1244" s="184" t="s">
        <v>598</v>
      </c>
      <c r="D1244" s="127">
        <v>42831</v>
      </c>
      <c r="E1244" s="127" t="s">
        <v>598</v>
      </c>
      <c r="F1244" s="184" t="s">
        <v>3097</v>
      </c>
      <c r="G1244" s="185">
        <v>0</v>
      </c>
      <c r="H1244" s="184" t="s">
        <v>598</v>
      </c>
      <c r="I1244" s="184" t="s">
        <v>134</v>
      </c>
      <c r="J1244" s="184" t="s">
        <v>70</v>
      </c>
      <c r="K1244" s="184" t="s">
        <v>313</v>
      </c>
      <c r="L1244" s="184" t="s">
        <v>598</v>
      </c>
      <c r="M1244" s="184" t="s">
        <v>598</v>
      </c>
      <c r="N1244" s="184" t="s">
        <v>42</v>
      </c>
      <c r="O1244" s="184" t="s">
        <v>73</v>
      </c>
      <c r="P1244" s="186" t="s">
        <v>73</v>
      </c>
      <c r="Q1244" s="184" t="s">
        <v>598</v>
      </c>
      <c r="R1244" s="184" t="s">
        <v>598</v>
      </c>
      <c r="S1244" s="127">
        <v>42886</v>
      </c>
      <c r="T1244" s="184" t="s">
        <v>10</v>
      </c>
      <c r="U1244" s="184" t="s">
        <v>598</v>
      </c>
      <c r="V1244" s="185">
        <v>4500</v>
      </c>
      <c r="W1244" s="184" t="s">
        <v>493</v>
      </c>
      <c r="X1244" s="184" t="s">
        <v>598</v>
      </c>
      <c r="Y1244" s="185">
        <v>0</v>
      </c>
      <c r="Z1244" s="184" t="s">
        <v>598</v>
      </c>
      <c r="AA1244" s="21" t="s">
        <v>610</v>
      </c>
      <c r="AB1244" s="176" t="s">
        <v>489</v>
      </c>
      <c r="AC1244" s="172">
        <v>42996.328472222223</v>
      </c>
      <c r="AD1244" s="32" t="s">
        <v>552</v>
      </c>
    </row>
    <row r="1245" spans="1:30">
      <c r="A1245" s="184">
        <v>1244</v>
      </c>
      <c r="B1245" s="184" t="s">
        <v>3098</v>
      </c>
      <c r="C1245" s="184" t="s">
        <v>598</v>
      </c>
      <c r="D1245" s="127">
        <v>42831</v>
      </c>
      <c r="E1245" s="127" t="s">
        <v>598</v>
      </c>
      <c r="F1245" s="184" t="s">
        <v>3099</v>
      </c>
      <c r="G1245" s="185">
        <v>0</v>
      </c>
      <c r="H1245" s="184" t="s">
        <v>598</v>
      </c>
      <c r="I1245" s="184" t="s">
        <v>134</v>
      </c>
      <c r="J1245" s="184" t="s">
        <v>70</v>
      </c>
      <c r="K1245" s="184" t="s">
        <v>313</v>
      </c>
      <c r="L1245" s="184" t="s">
        <v>598</v>
      </c>
      <c r="M1245" s="184" t="s">
        <v>598</v>
      </c>
      <c r="N1245" s="184" t="s">
        <v>42</v>
      </c>
      <c r="O1245" s="184" t="s">
        <v>73</v>
      </c>
      <c r="P1245" s="186" t="s">
        <v>601</v>
      </c>
      <c r="Q1245" s="184" t="s">
        <v>598</v>
      </c>
      <c r="R1245" s="184" t="s">
        <v>598</v>
      </c>
      <c r="S1245" s="127">
        <v>42870</v>
      </c>
      <c r="T1245" s="184" t="s">
        <v>10</v>
      </c>
      <c r="U1245" s="184" t="s">
        <v>598</v>
      </c>
      <c r="V1245" s="185">
        <v>4500</v>
      </c>
      <c r="W1245" s="184" t="s">
        <v>493</v>
      </c>
      <c r="X1245" s="184" t="s">
        <v>598</v>
      </c>
      <c r="Y1245" s="185">
        <v>0</v>
      </c>
      <c r="Z1245" s="184" t="s">
        <v>598</v>
      </c>
      <c r="AA1245" s="21" t="s">
        <v>610</v>
      </c>
      <c r="AB1245" s="176" t="s">
        <v>489</v>
      </c>
      <c r="AC1245" s="172">
        <v>42996.328472222223</v>
      </c>
      <c r="AD1245" s="32" t="s">
        <v>552</v>
      </c>
    </row>
    <row r="1246" spans="1:30">
      <c r="A1246" s="184">
        <v>1245</v>
      </c>
      <c r="B1246" s="184" t="s">
        <v>3100</v>
      </c>
      <c r="C1246" s="184" t="s">
        <v>598</v>
      </c>
      <c r="D1246" s="127">
        <v>42832</v>
      </c>
      <c r="E1246" s="127" t="s">
        <v>598</v>
      </c>
      <c r="F1246" s="184" t="s">
        <v>3101</v>
      </c>
      <c r="G1246" s="185">
        <v>0</v>
      </c>
      <c r="H1246" s="184" t="s">
        <v>598</v>
      </c>
      <c r="I1246" s="184" t="s">
        <v>134</v>
      </c>
      <c r="J1246" s="184" t="s">
        <v>70</v>
      </c>
      <c r="K1246" s="184" t="s">
        <v>313</v>
      </c>
      <c r="L1246" s="184" t="s">
        <v>598</v>
      </c>
      <c r="M1246" s="184" t="s">
        <v>598</v>
      </c>
      <c r="N1246" s="184" t="s">
        <v>42</v>
      </c>
      <c r="O1246" s="184" t="s">
        <v>73</v>
      </c>
      <c r="P1246" s="186" t="s">
        <v>32</v>
      </c>
      <c r="Q1246" s="184" t="s">
        <v>598</v>
      </c>
      <c r="R1246" s="184" t="s">
        <v>598</v>
      </c>
      <c r="S1246" s="127">
        <v>42870</v>
      </c>
      <c r="T1246" s="184" t="s">
        <v>10</v>
      </c>
      <c r="U1246" s="184" t="s">
        <v>598</v>
      </c>
      <c r="V1246" s="185">
        <v>4500</v>
      </c>
      <c r="W1246" s="184" t="s">
        <v>493</v>
      </c>
      <c r="X1246" s="184" t="s">
        <v>598</v>
      </c>
      <c r="Y1246" s="185">
        <v>0</v>
      </c>
      <c r="Z1246" s="184" t="s">
        <v>598</v>
      </c>
      <c r="AA1246" s="21" t="s">
        <v>610</v>
      </c>
      <c r="AB1246" s="176" t="s">
        <v>489</v>
      </c>
      <c r="AC1246" s="172">
        <v>42996.328472222223</v>
      </c>
      <c r="AD1246" s="32" t="s">
        <v>552</v>
      </c>
    </row>
    <row r="1247" spans="1:30">
      <c r="A1247" s="184">
        <v>1246</v>
      </c>
      <c r="B1247" s="184" t="s">
        <v>3102</v>
      </c>
      <c r="C1247" s="184" t="s">
        <v>598</v>
      </c>
      <c r="D1247" s="127">
        <v>42840</v>
      </c>
      <c r="E1247" s="127" t="s">
        <v>598</v>
      </c>
      <c r="F1247" s="184" t="s">
        <v>3103</v>
      </c>
      <c r="G1247" s="185">
        <v>0</v>
      </c>
      <c r="H1247" s="184" t="s">
        <v>598</v>
      </c>
      <c r="I1247" s="184" t="s">
        <v>58</v>
      </c>
      <c r="J1247" s="184" t="s">
        <v>70</v>
      </c>
      <c r="K1247" s="184" t="s">
        <v>272</v>
      </c>
      <c r="L1247" s="184" t="s">
        <v>598</v>
      </c>
      <c r="M1247" s="184" t="s">
        <v>598</v>
      </c>
      <c r="N1247" s="184" t="s">
        <v>42</v>
      </c>
      <c r="O1247" s="184" t="s">
        <v>73</v>
      </c>
      <c r="P1247" s="186" t="s">
        <v>53</v>
      </c>
      <c r="Q1247" s="184" t="s">
        <v>598</v>
      </c>
      <c r="R1247" s="184" t="s">
        <v>598</v>
      </c>
      <c r="S1247" s="127">
        <v>42877</v>
      </c>
      <c r="T1247" s="184" t="s">
        <v>10</v>
      </c>
      <c r="U1247" s="184" t="s">
        <v>598</v>
      </c>
      <c r="V1247" s="185">
        <v>15300</v>
      </c>
      <c r="W1247" s="184" t="s">
        <v>493</v>
      </c>
      <c r="X1247" s="184" t="s">
        <v>598</v>
      </c>
      <c r="Y1247" s="185">
        <v>0</v>
      </c>
      <c r="Z1247" s="184" t="s">
        <v>598</v>
      </c>
      <c r="AA1247" s="21" t="s">
        <v>610</v>
      </c>
      <c r="AB1247" s="176" t="s">
        <v>489</v>
      </c>
      <c r="AC1247" s="172">
        <v>42996.328472222223</v>
      </c>
      <c r="AD1247" s="32" t="s">
        <v>552</v>
      </c>
    </row>
    <row r="1248" spans="1:30">
      <c r="A1248" s="184">
        <v>1247</v>
      </c>
      <c r="B1248" s="184" t="s">
        <v>3104</v>
      </c>
      <c r="C1248" s="184" t="s">
        <v>598</v>
      </c>
      <c r="D1248" s="127">
        <v>42852</v>
      </c>
      <c r="E1248" s="127" t="s">
        <v>598</v>
      </c>
      <c r="F1248" s="184" t="s">
        <v>3105</v>
      </c>
      <c r="G1248" s="185">
        <v>0</v>
      </c>
      <c r="H1248" s="184" t="s">
        <v>598</v>
      </c>
      <c r="I1248" s="184" t="s">
        <v>58</v>
      </c>
      <c r="J1248" s="184" t="s">
        <v>70</v>
      </c>
      <c r="K1248" s="184" t="s">
        <v>272</v>
      </c>
      <c r="L1248" s="184" t="s">
        <v>598</v>
      </c>
      <c r="M1248" s="184" t="s">
        <v>598</v>
      </c>
      <c r="N1248" s="184" t="s">
        <v>42</v>
      </c>
      <c r="O1248" s="184" t="s">
        <v>85</v>
      </c>
      <c r="P1248" s="186" t="s">
        <v>44</v>
      </c>
      <c r="Q1248" s="184" t="s">
        <v>598</v>
      </c>
      <c r="R1248" s="184" t="s">
        <v>598</v>
      </c>
      <c r="S1248" s="127">
        <v>42858</v>
      </c>
      <c r="T1248" s="184" t="s">
        <v>34</v>
      </c>
      <c r="U1248" s="184" t="s">
        <v>598</v>
      </c>
      <c r="V1248" s="185">
        <v>5000</v>
      </c>
      <c r="W1248" s="184" t="s">
        <v>493</v>
      </c>
      <c r="X1248" s="184" t="s">
        <v>598</v>
      </c>
      <c r="Y1248" s="185">
        <v>0</v>
      </c>
      <c r="Z1248" s="184" t="s">
        <v>598</v>
      </c>
      <c r="AA1248" s="21" t="s">
        <v>610</v>
      </c>
      <c r="AB1248" s="176" t="s">
        <v>489</v>
      </c>
      <c r="AC1248" s="172">
        <v>42996.328472222223</v>
      </c>
      <c r="AD1248" s="32" t="s">
        <v>552</v>
      </c>
    </row>
    <row r="1249" spans="1:30">
      <c r="A1249" s="184">
        <v>1248</v>
      </c>
      <c r="B1249" s="184" t="s">
        <v>3106</v>
      </c>
      <c r="C1249" s="184" t="s">
        <v>598</v>
      </c>
      <c r="D1249" s="127">
        <v>42864</v>
      </c>
      <c r="E1249" s="127" t="s">
        <v>598</v>
      </c>
      <c r="F1249" s="184" t="s">
        <v>3107</v>
      </c>
      <c r="G1249" s="185">
        <v>2908000</v>
      </c>
      <c r="H1249" s="184" t="s">
        <v>598</v>
      </c>
      <c r="I1249" s="184" t="s">
        <v>132</v>
      </c>
      <c r="J1249" s="184" t="s">
        <v>77</v>
      </c>
      <c r="K1249" s="184" t="s">
        <v>183</v>
      </c>
      <c r="L1249" s="184" t="s">
        <v>598</v>
      </c>
      <c r="M1249" s="184" t="s">
        <v>598</v>
      </c>
      <c r="N1249" s="184" t="s">
        <v>42</v>
      </c>
      <c r="O1249" s="184" t="s">
        <v>98</v>
      </c>
      <c r="P1249" s="186" t="s">
        <v>67</v>
      </c>
      <c r="Q1249" s="184" t="s">
        <v>598</v>
      </c>
      <c r="R1249" s="184" t="s">
        <v>598</v>
      </c>
      <c r="S1249" s="127">
        <v>42868</v>
      </c>
      <c r="T1249" s="184" t="s">
        <v>34</v>
      </c>
      <c r="U1249" s="184" t="s">
        <v>598</v>
      </c>
      <c r="V1249" s="185">
        <v>2500</v>
      </c>
      <c r="W1249" s="184" t="s">
        <v>493</v>
      </c>
      <c r="X1249" s="184" t="s">
        <v>598</v>
      </c>
      <c r="Y1249" s="185">
        <v>0</v>
      </c>
      <c r="Z1249" s="184" t="s">
        <v>598</v>
      </c>
      <c r="AA1249" s="21" t="s">
        <v>610</v>
      </c>
      <c r="AB1249" s="176" t="s">
        <v>489</v>
      </c>
      <c r="AC1249" s="172">
        <v>42996.328472222223</v>
      </c>
      <c r="AD1249" s="32" t="s">
        <v>552</v>
      </c>
    </row>
    <row r="1250" spans="1:30">
      <c r="A1250" s="184">
        <v>1249</v>
      </c>
      <c r="B1250" s="184" t="s">
        <v>3108</v>
      </c>
      <c r="C1250" s="184" t="s">
        <v>598</v>
      </c>
      <c r="D1250" s="127">
        <v>42868</v>
      </c>
      <c r="E1250" s="127" t="s">
        <v>598</v>
      </c>
      <c r="F1250" s="184" t="s">
        <v>3109</v>
      </c>
      <c r="G1250" s="185">
        <v>2346000</v>
      </c>
      <c r="H1250" s="184" t="s">
        <v>598</v>
      </c>
      <c r="I1250" s="184" t="s">
        <v>598</v>
      </c>
      <c r="J1250" s="184" t="s">
        <v>77</v>
      </c>
      <c r="K1250" s="184" t="s">
        <v>598</v>
      </c>
      <c r="L1250" s="184" t="s">
        <v>598</v>
      </c>
      <c r="M1250" s="184" t="s">
        <v>598</v>
      </c>
      <c r="N1250" s="184" t="s">
        <v>42</v>
      </c>
      <c r="O1250" s="184" t="s">
        <v>98</v>
      </c>
      <c r="P1250" s="186" t="s">
        <v>602</v>
      </c>
      <c r="Q1250" s="184" t="s">
        <v>598</v>
      </c>
      <c r="R1250" s="184" t="s">
        <v>598</v>
      </c>
      <c r="S1250" s="127">
        <v>42880</v>
      </c>
      <c r="T1250" s="184" t="s">
        <v>10</v>
      </c>
      <c r="U1250" s="184" t="s">
        <v>598</v>
      </c>
      <c r="V1250" s="185">
        <v>3125</v>
      </c>
      <c r="W1250" s="184" t="s">
        <v>493</v>
      </c>
      <c r="X1250" s="184" t="s">
        <v>598</v>
      </c>
      <c r="Y1250" s="185">
        <v>0</v>
      </c>
      <c r="Z1250" s="184" t="s">
        <v>598</v>
      </c>
      <c r="AA1250" s="21" t="s">
        <v>610</v>
      </c>
      <c r="AB1250" s="176" t="s">
        <v>489</v>
      </c>
      <c r="AC1250" s="172">
        <v>42996.328472222223</v>
      </c>
      <c r="AD1250" s="32" t="s">
        <v>552</v>
      </c>
    </row>
    <row r="1251" spans="1:30">
      <c r="A1251" s="184">
        <v>1250</v>
      </c>
      <c r="B1251" s="184" t="s">
        <v>3110</v>
      </c>
      <c r="C1251" s="184" t="s">
        <v>598</v>
      </c>
      <c r="D1251" s="127">
        <v>42871</v>
      </c>
      <c r="E1251" s="127" t="s">
        <v>598</v>
      </c>
      <c r="F1251" s="184" t="s">
        <v>3111</v>
      </c>
      <c r="G1251" s="185">
        <v>1625000</v>
      </c>
      <c r="H1251" s="184" t="s">
        <v>598</v>
      </c>
      <c r="I1251" s="184" t="s">
        <v>134</v>
      </c>
      <c r="J1251" s="184" t="s">
        <v>77</v>
      </c>
      <c r="K1251" s="184" t="s">
        <v>183</v>
      </c>
      <c r="L1251" s="184" t="s">
        <v>598</v>
      </c>
      <c r="M1251" s="184" t="s">
        <v>598</v>
      </c>
      <c r="N1251" s="184" t="s">
        <v>42</v>
      </c>
      <c r="O1251" s="184" t="s">
        <v>85</v>
      </c>
      <c r="P1251" s="186" t="s">
        <v>603</v>
      </c>
      <c r="Q1251" s="184" t="s">
        <v>598</v>
      </c>
      <c r="R1251" s="184" t="s">
        <v>598</v>
      </c>
      <c r="S1251" s="127">
        <v>42872</v>
      </c>
      <c r="T1251" s="184" t="s">
        <v>34</v>
      </c>
      <c r="U1251" s="184" t="s">
        <v>598</v>
      </c>
      <c r="V1251" s="185">
        <v>3000</v>
      </c>
      <c r="W1251" s="184" t="s">
        <v>493</v>
      </c>
      <c r="X1251" s="184" t="s">
        <v>598</v>
      </c>
      <c r="Y1251" s="185">
        <v>0</v>
      </c>
      <c r="Z1251" s="184" t="s">
        <v>598</v>
      </c>
      <c r="AA1251" s="21" t="s">
        <v>610</v>
      </c>
      <c r="AB1251" s="176" t="s">
        <v>489</v>
      </c>
      <c r="AC1251" s="172">
        <v>42996.328472222223</v>
      </c>
      <c r="AD1251" s="32" t="s">
        <v>552</v>
      </c>
    </row>
    <row r="1252" spans="1:30">
      <c r="A1252" s="184">
        <v>1251</v>
      </c>
      <c r="B1252" s="184" t="s">
        <v>3112</v>
      </c>
      <c r="C1252" s="184" t="s">
        <v>598</v>
      </c>
      <c r="D1252" s="127">
        <v>42874</v>
      </c>
      <c r="E1252" s="127" t="s">
        <v>598</v>
      </c>
      <c r="F1252" s="184" t="s">
        <v>3113</v>
      </c>
      <c r="G1252" s="185">
        <v>0</v>
      </c>
      <c r="H1252" s="184" t="s">
        <v>598</v>
      </c>
      <c r="I1252" s="184" t="s">
        <v>126</v>
      </c>
      <c r="J1252" s="184" t="s">
        <v>77</v>
      </c>
      <c r="K1252" s="184" t="s">
        <v>3114</v>
      </c>
      <c r="L1252" s="184" t="s">
        <v>598</v>
      </c>
      <c r="M1252" s="184" t="s">
        <v>598</v>
      </c>
      <c r="N1252" s="184" t="s">
        <v>42</v>
      </c>
      <c r="O1252" s="184" t="s">
        <v>598</v>
      </c>
      <c r="P1252" s="186" t="s">
        <v>604</v>
      </c>
      <c r="Q1252" s="184" t="s">
        <v>598</v>
      </c>
      <c r="R1252" s="184" t="s">
        <v>598</v>
      </c>
      <c r="S1252" s="127">
        <v>42874</v>
      </c>
      <c r="T1252" s="184" t="s">
        <v>10</v>
      </c>
      <c r="U1252" s="184" t="s">
        <v>598</v>
      </c>
      <c r="V1252" s="185">
        <v>1000</v>
      </c>
      <c r="W1252" s="184" t="s">
        <v>493</v>
      </c>
      <c r="X1252" s="184" t="s">
        <v>598</v>
      </c>
      <c r="Y1252" s="185">
        <v>0</v>
      </c>
      <c r="Z1252" s="184" t="s">
        <v>598</v>
      </c>
      <c r="AA1252" s="21" t="s">
        <v>610</v>
      </c>
      <c r="AB1252" s="176" t="s">
        <v>489</v>
      </c>
      <c r="AC1252" s="172">
        <v>42996.328472222223</v>
      </c>
      <c r="AD1252" s="32" t="s">
        <v>552</v>
      </c>
    </row>
    <row r="1253" spans="1:30">
      <c r="A1253" s="184">
        <v>1252</v>
      </c>
      <c r="B1253" s="184" t="s">
        <v>3115</v>
      </c>
      <c r="C1253" s="184" t="s">
        <v>598</v>
      </c>
      <c r="D1253" s="127">
        <v>42875</v>
      </c>
      <c r="E1253" s="127" t="s">
        <v>598</v>
      </c>
      <c r="F1253" s="184" t="s">
        <v>3116</v>
      </c>
      <c r="G1253" s="185">
        <v>4440000</v>
      </c>
      <c r="H1253" s="184" t="s">
        <v>598</v>
      </c>
      <c r="I1253" s="184" t="s">
        <v>118</v>
      </c>
      <c r="J1253" s="184" t="s">
        <v>77</v>
      </c>
      <c r="K1253" s="184" t="s">
        <v>337</v>
      </c>
      <c r="L1253" s="184" t="s">
        <v>598</v>
      </c>
      <c r="M1253" s="184" t="s">
        <v>598</v>
      </c>
      <c r="N1253" s="184" t="s">
        <v>42</v>
      </c>
      <c r="O1253" s="184" t="s">
        <v>85</v>
      </c>
      <c r="P1253" s="186" t="s">
        <v>605</v>
      </c>
      <c r="Q1253" s="184" t="s">
        <v>598</v>
      </c>
      <c r="R1253" s="184" t="s">
        <v>598</v>
      </c>
      <c r="S1253" s="127">
        <v>42877</v>
      </c>
      <c r="T1253" s="184" t="s">
        <v>10</v>
      </c>
      <c r="U1253" s="184" t="s">
        <v>598</v>
      </c>
      <c r="V1253" s="185">
        <v>3200</v>
      </c>
      <c r="W1253" s="184" t="s">
        <v>493</v>
      </c>
      <c r="X1253" s="184" t="s">
        <v>598</v>
      </c>
      <c r="Y1253" s="185">
        <v>0</v>
      </c>
      <c r="Z1253" s="184" t="s">
        <v>598</v>
      </c>
      <c r="AA1253" s="21" t="s">
        <v>610</v>
      </c>
      <c r="AB1253" s="176" t="s">
        <v>489</v>
      </c>
      <c r="AC1253" s="172">
        <v>42996.328472222223</v>
      </c>
      <c r="AD1253" s="32" t="s">
        <v>552</v>
      </c>
    </row>
    <row r="1254" spans="1:30">
      <c r="A1254" s="184">
        <v>1253</v>
      </c>
      <c r="B1254" s="184" t="s">
        <v>3117</v>
      </c>
      <c r="C1254" s="184" t="s">
        <v>598</v>
      </c>
      <c r="D1254" s="127">
        <v>42877</v>
      </c>
      <c r="E1254" s="127" t="s">
        <v>598</v>
      </c>
      <c r="F1254" s="184" t="s">
        <v>3118</v>
      </c>
      <c r="G1254" s="185">
        <v>7500000</v>
      </c>
      <c r="H1254" s="184" t="s">
        <v>598</v>
      </c>
      <c r="I1254" s="184" t="s">
        <v>118</v>
      </c>
      <c r="J1254" s="184" t="s">
        <v>77</v>
      </c>
      <c r="K1254" s="184" t="s">
        <v>201</v>
      </c>
      <c r="L1254" s="184" t="s">
        <v>598</v>
      </c>
      <c r="M1254" s="184" t="s">
        <v>598</v>
      </c>
      <c r="N1254" s="184" t="s">
        <v>42</v>
      </c>
      <c r="O1254" s="184" t="s">
        <v>98</v>
      </c>
      <c r="P1254" s="186" t="s">
        <v>606</v>
      </c>
      <c r="Q1254" s="184" t="s">
        <v>598</v>
      </c>
      <c r="R1254" s="184" t="s">
        <v>598</v>
      </c>
      <c r="S1254" s="127">
        <v>42877</v>
      </c>
      <c r="T1254" s="184" t="s">
        <v>10</v>
      </c>
      <c r="U1254" s="184" t="s">
        <v>598</v>
      </c>
      <c r="V1254" s="185">
        <v>4625</v>
      </c>
      <c r="W1254" s="184" t="s">
        <v>493</v>
      </c>
      <c r="X1254" s="184" t="s">
        <v>598</v>
      </c>
      <c r="Y1254" s="185">
        <v>0</v>
      </c>
      <c r="Z1254" s="184" t="s">
        <v>598</v>
      </c>
      <c r="AA1254" s="21" t="s">
        <v>610</v>
      </c>
      <c r="AB1254" s="176" t="s">
        <v>489</v>
      </c>
      <c r="AC1254" s="172">
        <v>42996.328472222223</v>
      </c>
      <c r="AD1254" s="32" t="s">
        <v>552</v>
      </c>
    </row>
    <row r="1255" spans="1:30">
      <c r="A1255" s="184">
        <v>1254</v>
      </c>
      <c r="B1255" s="184" t="s">
        <v>3119</v>
      </c>
      <c r="C1255" s="184" t="s">
        <v>598</v>
      </c>
      <c r="D1255" s="127">
        <v>42880</v>
      </c>
      <c r="E1255" s="127" t="s">
        <v>598</v>
      </c>
      <c r="F1255" s="184" t="s">
        <v>3120</v>
      </c>
      <c r="G1255" s="185">
        <v>7213000</v>
      </c>
      <c r="H1255" s="184" t="s">
        <v>598</v>
      </c>
      <c r="I1255" s="184" t="s">
        <v>134</v>
      </c>
      <c r="J1255" s="184" t="s">
        <v>77</v>
      </c>
      <c r="K1255" s="184" t="s">
        <v>183</v>
      </c>
      <c r="L1255" s="184" t="s">
        <v>598</v>
      </c>
      <c r="M1255" s="184" t="s">
        <v>598</v>
      </c>
      <c r="N1255" s="184" t="s">
        <v>42</v>
      </c>
      <c r="O1255" s="184" t="s">
        <v>98</v>
      </c>
      <c r="P1255" s="186"/>
      <c r="Q1255" s="184" t="s">
        <v>598</v>
      </c>
      <c r="R1255" s="184" t="s">
        <v>598</v>
      </c>
      <c r="S1255" s="127">
        <v>42885</v>
      </c>
      <c r="T1255" s="184" t="s">
        <v>494</v>
      </c>
      <c r="U1255" s="184" t="s">
        <v>598</v>
      </c>
      <c r="V1255" s="185">
        <v>4500</v>
      </c>
      <c r="W1255" s="184" t="s">
        <v>493</v>
      </c>
      <c r="X1255" s="184" t="s">
        <v>598</v>
      </c>
      <c r="Y1255" s="185">
        <v>0</v>
      </c>
      <c r="Z1255" s="184" t="s">
        <v>598</v>
      </c>
      <c r="AA1255" s="21" t="s">
        <v>610</v>
      </c>
      <c r="AB1255" s="176" t="s">
        <v>489</v>
      </c>
      <c r="AC1255" s="172">
        <v>42996.328472222223</v>
      </c>
      <c r="AD1255" s="32" t="s">
        <v>552</v>
      </c>
    </row>
    <row r="1256" spans="1:30">
      <c r="A1256" s="184">
        <v>1255</v>
      </c>
      <c r="B1256" s="184" t="s">
        <v>3121</v>
      </c>
      <c r="C1256" s="184" t="s">
        <v>598</v>
      </c>
      <c r="D1256" s="127">
        <v>42880</v>
      </c>
      <c r="E1256" s="127" t="s">
        <v>598</v>
      </c>
      <c r="F1256" s="184" t="s">
        <v>3122</v>
      </c>
      <c r="G1256" s="185">
        <v>9333000</v>
      </c>
      <c r="H1256" s="184" t="s">
        <v>598</v>
      </c>
      <c r="I1256" s="184" t="s">
        <v>598</v>
      </c>
      <c r="J1256" s="184" t="s">
        <v>77</v>
      </c>
      <c r="K1256" s="184" t="s">
        <v>183</v>
      </c>
      <c r="L1256" s="184" t="s">
        <v>598</v>
      </c>
      <c r="M1256" s="184" t="s">
        <v>598</v>
      </c>
      <c r="N1256" s="184" t="s">
        <v>42</v>
      </c>
      <c r="O1256" s="184" t="s">
        <v>85</v>
      </c>
      <c r="P1256" s="186" t="s">
        <v>73</v>
      </c>
      <c r="Q1256" s="184" t="s">
        <v>598</v>
      </c>
      <c r="R1256" s="184" t="s">
        <v>598</v>
      </c>
      <c r="S1256" s="127">
        <v>42882</v>
      </c>
      <c r="T1256" s="184" t="s">
        <v>10</v>
      </c>
      <c r="U1256" s="184" t="s">
        <v>598</v>
      </c>
      <c r="V1256" s="185">
        <v>3000</v>
      </c>
      <c r="W1256" s="184" t="s">
        <v>493</v>
      </c>
      <c r="X1256" s="184" t="s">
        <v>598</v>
      </c>
      <c r="Y1256" s="185">
        <v>0</v>
      </c>
      <c r="Z1256" s="184" t="s">
        <v>598</v>
      </c>
      <c r="AA1256" s="21" t="s">
        <v>610</v>
      </c>
      <c r="AB1256" s="176" t="s">
        <v>489</v>
      </c>
      <c r="AC1256" s="172">
        <v>42996.328472222223</v>
      </c>
      <c r="AD1256" s="32" t="s">
        <v>552</v>
      </c>
    </row>
    <row r="1257" spans="1:30">
      <c r="A1257" s="184">
        <v>1256</v>
      </c>
      <c r="B1257" s="184" t="s">
        <v>3123</v>
      </c>
      <c r="C1257" s="184" t="s">
        <v>598</v>
      </c>
      <c r="D1257" s="127">
        <v>42882</v>
      </c>
      <c r="E1257" s="127" t="s">
        <v>598</v>
      </c>
      <c r="F1257" s="184" t="s">
        <v>3124</v>
      </c>
      <c r="G1257" s="185">
        <v>0</v>
      </c>
      <c r="H1257" s="184" t="s">
        <v>598</v>
      </c>
      <c r="I1257" s="184" t="s">
        <v>118</v>
      </c>
      <c r="J1257" s="184" t="s">
        <v>77</v>
      </c>
      <c r="K1257" s="184" t="s">
        <v>443</v>
      </c>
      <c r="L1257" s="184" t="s">
        <v>598</v>
      </c>
      <c r="M1257" s="184" t="s">
        <v>598</v>
      </c>
      <c r="N1257" s="184" t="s">
        <v>42</v>
      </c>
      <c r="O1257" s="184" t="s">
        <v>598</v>
      </c>
      <c r="P1257" s="186" t="s">
        <v>601</v>
      </c>
      <c r="Q1257" s="184" t="s">
        <v>598</v>
      </c>
      <c r="R1257" s="184" t="s">
        <v>598</v>
      </c>
      <c r="S1257" s="127">
        <v>42882</v>
      </c>
      <c r="T1257" s="184" t="s">
        <v>10</v>
      </c>
      <c r="U1257" s="184" t="s">
        <v>598</v>
      </c>
      <c r="V1257" s="185">
        <v>6500</v>
      </c>
      <c r="W1257" s="184" t="s">
        <v>493</v>
      </c>
      <c r="X1257" s="184" t="s">
        <v>598</v>
      </c>
      <c r="Y1257" s="185">
        <v>0</v>
      </c>
      <c r="Z1257" s="184" t="s">
        <v>598</v>
      </c>
      <c r="AA1257" s="21" t="s">
        <v>610</v>
      </c>
      <c r="AB1257" s="176" t="s">
        <v>489</v>
      </c>
      <c r="AC1257" s="172">
        <v>42996.328472222223</v>
      </c>
      <c r="AD1257" s="32" t="s">
        <v>552</v>
      </c>
    </row>
    <row r="1258" spans="1:30">
      <c r="A1258" s="184">
        <v>1257</v>
      </c>
      <c r="B1258" s="184" t="s">
        <v>3125</v>
      </c>
      <c r="C1258" s="184" t="s">
        <v>598</v>
      </c>
      <c r="D1258" s="127">
        <v>42573</v>
      </c>
      <c r="E1258" s="127" t="s">
        <v>598</v>
      </c>
      <c r="F1258" s="184" t="s">
        <v>3126</v>
      </c>
      <c r="G1258" s="185">
        <v>0</v>
      </c>
      <c r="H1258" s="184" t="s">
        <v>598</v>
      </c>
      <c r="I1258" s="184" t="s">
        <v>598</v>
      </c>
      <c r="J1258" s="184" t="s">
        <v>77</v>
      </c>
      <c r="K1258" s="184" t="s">
        <v>407</v>
      </c>
      <c r="L1258" s="184" t="s">
        <v>598</v>
      </c>
      <c r="M1258" s="184" t="s">
        <v>598</v>
      </c>
      <c r="N1258" s="184" t="s">
        <v>42</v>
      </c>
      <c r="O1258" s="184" t="s">
        <v>85</v>
      </c>
      <c r="P1258" s="186" t="s">
        <v>32</v>
      </c>
      <c r="Q1258" s="184" t="s">
        <v>598</v>
      </c>
      <c r="R1258" s="184" t="s">
        <v>598</v>
      </c>
      <c r="S1258" s="127">
        <v>42884</v>
      </c>
      <c r="T1258" s="184" t="s">
        <v>10</v>
      </c>
      <c r="U1258" s="184" t="s">
        <v>598</v>
      </c>
      <c r="V1258" s="185">
        <v>3000</v>
      </c>
      <c r="W1258" s="184" t="s">
        <v>493</v>
      </c>
      <c r="X1258" s="184" t="s">
        <v>598</v>
      </c>
      <c r="Y1258" s="185">
        <v>0</v>
      </c>
      <c r="Z1258" s="184" t="s">
        <v>598</v>
      </c>
      <c r="AA1258" s="21" t="s">
        <v>610</v>
      </c>
      <c r="AB1258" s="176" t="s">
        <v>489</v>
      </c>
      <c r="AC1258" s="172">
        <v>42996.328472222223</v>
      </c>
      <c r="AD1258" s="32" t="s">
        <v>552</v>
      </c>
    </row>
    <row r="1259" spans="1:30">
      <c r="A1259" s="184">
        <v>1258</v>
      </c>
      <c r="B1259" s="184" t="s">
        <v>3127</v>
      </c>
      <c r="C1259" s="184" t="s">
        <v>598</v>
      </c>
      <c r="D1259" s="127">
        <v>42747</v>
      </c>
      <c r="E1259" s="127" t="s">
        <v>598</v>
      </c>
      <c r="F1259" s="184" t="s">
        <v>3128</v>
      </c>
      <c r="G1259" s="185">
        <v>0</v>
      </c>
      <c r="H1259" s="184" t="s">
        <v>598</v>
      </c>
      <c r="I1259" s="184" t="s">
        <v>135</v>
      </c>
      <c r="J1259" s="184" t="s">
        <v>77</v>
      </c>
      <c r="K1259" s="184" t="s">
        <v>250</v>
      </c>
      <c r="L1259" s="184" t="s">
        <v>598</v>
      </c>
      <c r="M1259" s="184" t="s">
        <v>598</v>
      </c>
      <c r="N1259" s="184" t="s">
        <v>42</v>
      </c>
      <c r="O1259" s="184" t="s">
        <v>85</v>
      </c>
      <c r="P1259" s="186" t="s">
        <v>53</v>
      </c>
      <c r="Q1259" s="184" t="s">
        <v>598</v>
      </c>
      <c r="R1259" s="184" t="s">
        <v>598</v>
      </c>
      <c r="S1259" s="127">
        <v>42885</v>
      </c>
      <c r="T1259" s="184" t="s">
        <v>10</v>
      </c>
      <c r="U1259" s="184" t="s">
        <v>598</v>
      </c>
      <c r="V1259" s="185">
        <v>6000</v>
      </c>
      <c r="W1259" s="184" t="s">
        <v>493</v>
      </c>
      <c r="X1259" s="184" t="s">
        <v>598</v>
      </c>
      <c r="Y1259" s="185">
        <v>0</v>
      </c>
      <c r="Z1259" s="184" t="s">
        <v>598</v>
      </c>
      <c r="AA1259" s="21" t="s">
        <v>610</v>
      </c>
      <c r="AB1259" s="176" t="s">
        <v>489</v>
      </c>
      <c r="AC1259" s="172">
        <v>42996.328472222223</v>
      </c>
      <c r="AD1259" s="32" t="s">
        <v>552</v>
      </c>
    </row>
    <row r="1260" spans="1:30">
      <c r="A1260" s="184">
        <v>1259</v>
      </c>
      <c r="B1260" s="184" t="s">
        <v>3129</v>
      </c>
      <c r="C1260" s="184" t="s">
        <v>598</v>
      </c>
      <c r="D1260" s="127">
        <v>42765</v>
      </c>
      <c r="E1260" s="127" t="s">
        <v>598</v>
      </c>
      <c r="F1260" s="184" t="s">
        <v>3130</v>
      </c>
      <c r="G1260" s="185">
        <v>0</v>
      </c>
      <c r="H1260" s="184" t="s">
        <v>598</v>
      </c>
      <c r="I1260" s="184" t="s">
        <v>598</v>
      </c>
      <c r="J1260" s="184" t="s">
        <v>77</v>
      </c>
      <c r="K1260" s="184" t="s">
        <v>3131</v>
      </c>
      <c r="L1260" s="184" t="s">
        <v>598</v>
      </c>
      <c r="M1260" s="184" t="s">
        <v>598</v>
      </c>
      <c r="N1260" s="184" t="s">
        <v>42</v>
      </c>
      <c r="O1260" s="184" t="s">
        <v>85</v>
      </c>
      <c r="P1260" s="186" t="s">
        <v>44</v>
      </c>
      <c r="Q1260" s="184" t="s">
        <v>598</v>
      </c>
      <c r="R1260" s="184" t="s">
        <v>598</v>
      </c>
      <c r="S1260" s="127">
        <v>42880</v>
      </c>
      <c r="T1260" s="184" t="s">
        <v>10</v>
      </c>
      <c r="U1260" s="184" t="s">
        <v>598</v>
      </c>
      <c r="V1260" s="185">
        <v>5000</v>
      </c>
      <c r="W1260" s="184" t="s">
        <v>493</v>
      </c>
      <c r="X1260" s="184" t="s">
        <v>598</v>
      </c>
      <c r="Y1260" s="185">
        <v>0</v>
      </c>
      <c r="Z1260" s="184" t="s">
        <v>598</v>
      </c>
      <c r="AA1260" s="21" t="s">
        <v>610</v>
      </c>
      <c r="AB1260" s="176" t="s">
        <v>489</v>
      </c>
      <c r="AC1260" s="172">
        <v>42996.328472222223</v>
      </c>
      <c r="AD1260" s="32" t="s">
        <v>552</v>
      </c>
    </row>
    <row r="1261" spans="1:30">
      <c r="A1261" s="184">
        <v>1260</v>
      </c>
      <c r="B1261" s="184" t="s">
        <v>3132</v>
      </c>
      <c r="C1261" s="184" t="s">
        <v>598</v>
      </c>
      <c r="D1261" s="127">
        <v>42777</v>
      </c>
      <c r="E1261" s="127" t="s">
        <v>598</v>
      </c>
      <c r="F1261" s="184" t="s">
        <v>3133</v>
      </c>
      <c r="G1261" s="185">
        <v>0</v>
      </c>
      <c r="H1261" s="184" t="s">
        <v>598</v>
      </c>
      <c r="I1261" s="184" t="s">
        <v>598</v>
      </c>
      <c r="J1261" s="184" t="s">
        <v>77</v>
      </c>
      <c r="K1261" s="184" t="s">
        <v>165</v>
      </c>
      <c r="L1261" s="184" t="s">
        <v>598</v>
      </c>
      <c r="M1261" s="184" t="s">
        <v>598</v>
      </c>
      <c r="N1261" s="184" t="s">
        <v>42</v>
      </c>
      <c r="O1261" s="184" t="s">
        <v>85</v>
      </c>
      <c r="P1261" s="186" t="s">
        <v>67</v>
      </c>
      <c r="Q1261" s="184" t="s">
        <v>598</v>
      </c>
      <c r="R1261" s="184" t="s">
        <v>598</v>
      </c>
      <c r="S1261" s="127">
        <v>42860</v>
      </c>
      <c r="T1261" s="184" t="s">
        <v>10</v>
      </c>
      <c r="U1261" s="184" t="s">
        <v>598</v>
      </c>
      <c r="V1261" s="185">
        <v>5700</v>
      </c>
      <c r="W1261" s="184" t="s">
        <v>493</v>
      </c>
      <c r="X1261" s="184" t="s">
        <v>598</v>
      </c>
      <c r="Y1261" s="185">
        <v>0</v>
      </c>
      <c r="Z1261" s="184" t="s">
        <v>598</v>
      </c>
      <c r="AA1261" s="21" t="s">
        <v>610</v>
      </c>
      <c r="AB1261" s="176" t="s">
        <v>489</v>
      </c>
      <c r="AC1261" s="172">
        <v>42996.328472222223</v>
      </c>
      <c r="AD1261" s="32" t="s">
        <v>552</v>
      </c>
    </row>
    <row r="1262" spans="1:30">
      <c r="A1262" s="184">
        <v>1261</v>
      </c>
      <c r="B1262" s="184" t="s">
        <v>3134</v>
      </c>
      <c r="C1262" s="184" t="s">
        <v>598</v>
      </c>
      <c r="D1262" s="127">
        <v>42807</v>
      </c>
      <c r="E1262" s="127" t="s">
        <v>598</v>
      </c>
      <c r="F1262" s="184" t="s">
        <v>3135</v>
      </c>
      <c r="G1262" s="185">
        <v>0</v>
      </c>
      <c r="H1262" s="184" t="s">
        <v>598</v>
      </c>
      <c r="I1262" s="184" t="s">
        <v>134</v>
      </c>
      <c r="J1262" s="184" t="s">
        <v>77</v>
      </c>
      <c r="K1262" s="184" t="s">
        <v>3131</v>
      </c>
      <c r="L1262" s="184" t="s">
        <v>598</v>
      </c>
      <c r="M1262" s="184" t="s">
        <v>598</v>
      </c>
      <c r="N1262" s="184" t="s">
        <v>42</v>
      </c>
      <c r="O1262" s="184" t="s">
        <v>85</v>
      </c>
      <c r="P1262" s="186" t="s">
        <v>602</v>
      </c>
      <c r="Q1262" s="184" t="s">
        <v>598</v>
      </c>
      <c r="R1262" s="184" t="s">
        <v>598</v>
      </c>
      <c r="S1262" s="127">
        <v>42877</v>
      </c>
      <c r="T1262" s="184" t="s">
        <v>10</v>
      </c>
      <c r="U1262" s="184" t="s">
        <v>598</v>
      </c>
      <c r="V1262" s="185">
        <v>3375</v>
      </c>
      <c r="W1262" s="184" t="s">
        <v>493</v>
      </c>
      <c r="X1262" s="184" t="s">
        <v>598</v>
      </c>
      <c r="Y1262" s="185">
        <v>0</v>
      </c>
      <c r="Z1262" s="184" t="s">
        <v>598</v>
      </c>
      <c r="AA1262" s="21" t="s">
        <v>610</v>
      </c>
      <c r="AB1262" s="176" t="s">
        <v>489</v>
      </c>
      <c r="AC1262" s="172">
        <v>42996.328472222223</v>
      </c>
      <c r="AD1262" s="32" t="s">
        <v>552</v>
      </c>
    </row>
    <row r="1263" spans="1:30">
      <c r="A1263" s="184">
        <v>1262</v>
      </c>
      <c r="B1263" s="184" t="s">
        <v>3136</v>
      </c>
      <c r="C1263" s="184" t="s">
        <v>598</v>
      </c>
      <c r="D1263" s="127">
        <v>42817</v>
      </c>
      <c r="E1263" s="127" t="s">
        <v>598</v>
      </c>
      <c r="F1263" s="184" t="s">
        <v>3137</v>
      </c>
      <c r="G1263" s="185">
        <v>0</v>
      </c>
      <c r="H1263" s="184" t="s">
        <v>598</v>
      </c>
      <c r="I1263" s="184" t="s">
        <v>134</v>
      </c>
      <c r="J1263" s="184" t="s">
        <v>77</v>
      </c>
      <c r="K1263" s="184" t="s">
        <v>183</v>
      </c>
      <c r="L1263" s="184" t="s">
        <v>598</v>
      </c>
      <c r="M1263" s="184" t="s">
        <v>598</v>
      </c>
      <c r="N1263" s="184" t="s">
        <v>42</v>
      </c>
      <c r="O1263" s="184" t="s">
        <v>85</v>
      </c>
      <c r="P1263" s="186" t="s">
        <v>603</v>
      </c>
      <c r="Q1263" s="184" t="s">
        <v>598</v>
      </c>
      <c r="R1263" s="184" t="s">
        <v>598</v>
      </c>
      <c r="S1263" s="127">
        <v>42858</v>
      </c>
      <c r="T1263" s="184" t="s">
        <v>10</v>
      </c>
      <c r="U1263" s="184" t="s">
        <v>598</v>
      </c>
      <c r="V1263" s="185">
        <v>3000</v>
      </c>
      <c r="W1263" s="184" t="s">
        <v>493</v>
      </c>
      <c r="X1263" s="184" t="s">
        <v>598</v>
      </c>
      <c r="Y1263" s="185">
        <v>0</v>
      </c>
      <c r="Z1263" s="184" t="s">
        <v>598</v>
      </c>
      <c r="AA1263" s="21" t="s">
        <v>610</v>
      </c>
      <c r="AB1263" s="176" t="s">
        <v>489</v>
      </c>
      <c r="AC1263" s="172">
        <v>42996.328472222223</v>
      </c>
      <c r="AD1263" s="32" t="s">
        <v>552</v>
      </c>
    </row>
    <row r="1264" spans="1:30">
      <c r="A1264" s="184">
        <v>1263</v>
      </c>
      <c r="B1264" s="184" t="s">
        <v>3138</v>
      </c>
      <c r="C1264" s="184" t="s">
        <v>598</v>
      </c>
      <c r="D1264" s="127">
        <v>42849</v>
      </c>
      <c r="E1264" s="127" t="s">
        <v>598</v>
      </c>
      <c r="F1264" s="184" t="s">
        <v>3139</v>
      </c>
      <c r="G1264" s="185">
        <v>0</v>
      </c>
      <c r="H1264" s="184" t="s">
        <v>598</v>
      </c>
      <c r="I1264" s="184" t="s">
        <v>134</v>
      </c>
      <c r="J1264" s="184" t="s">
        <v>77</v>
      </c>
      <c r="K1264" s="184" t="s">
        <v>403</v>
      </c>
      <c r="L1264" s="184" t="s">
        <v>598</v>
      </c>
      <c r="M1264" s="184" t="s">
        <v>598</v>
      </c>
      <c r="N1264" s="184" t="s">
        <v>42</v>
      </c>
      <c r="O1264" s="184" t="s">
        <v>51</v>
      </c>
      <c r="P1264" s="186" t="s">
        <v>604</v>
      </c>
      <c r="Q1264" s="184" t="s">
        <v>598</v>
      </c>
      <c r="R1264" s="184" t="s">
        <v>598</v>
      </c>
      <c r="S1264" s="127">
        <v>42860</v>
      </c>
      <c r="T1264" s="184" t="s">
        <v>10</v>
      </c>
      <c r="U1264" s="184" t="s">
        <v>598</v>
      </c>
      <c r="V1264" s="185">
        <v>3000</v>
      </c>
      <c r="W1264" s="184" t="s">
        <v>493</v>
      </c>
      <c r="X1264" s="184" t="s">
        <v>598</v>
      </c>
      <c r="Y1264" s="185">
        <v>0</v>
      </c>
      <c r="Z1264" s="184" t="s">
        <v>598</v>
      </c>
      <c r="AA1264" s="21" t="s">
        <v>610</v>
      </c>
      <c r="AB1264" s="176" t="s">
        <v>489</v>
      </c>
      <c r="AC1264" s="172">
        <v>42996.328472222223</v>
      </c>
      <c r="AD1264" s="32" t="s">
        <v>552</v>
      </c>
    </row>
    <row r="1265" spans="1:30">
      <c r="A1265" s="184">
        <v>1264</v>
      </c>
      <c r="B1265" s="184" t="s">
        <v>3140</v>
      </c>
      <c r="C1265" s="184" t="s">
        <v>598</v>
      </c>
      <c r="D1265" s="127">
        <v>42614</v>
      </c>
      <c r="E1265" s="127" t="s">
        <v>598</v>
      </c>
      <c r="F1265" s="184" t="s">
        <v>3141</v>
      </c>
      <c r="G1265" s="185">
        <v>0</v>
      </c>
      <c r="H1265" s="184" t="s">
        <v>598</v>
      </c>
      <c r="I1265" s="184" t="s">
        <v>134</v>
      </c>
      <c r="J1265" s="184" t="s">
        <v>121</v>
      </c>
      <c r="K1265" s="184" t="s">
        <v>3142</v>
      </c>
      <c r="L1265" s="184" t="s">
        <v>598</v>
      </c>
      <c r="M1265" s="184" t="s">
        <v>598</v>
      </c>
      <c r="N1265" s="184" t="s">
        <v>63</v>
      </c>
      <c r="O1265" s="184" t="s">
        <v>30</v>
      </c>
      <c r="P1265" s="186" t="s">
        <v>605</v>
      </c>
      <c r="Q1265" s="184" t="s">
        <v>598</v>
      </c>
      <c r="R1265" s="184" t="s">
        <v>598</v>
      </c>
      <c r="S1265" s="127">
        <v>42871</v>
      </c>
      <c r="T1265" s="184" t="s">
        <v>10</v>
      </c>
      <c r="U1265" s="184" t="s">
        <v>598</v>
      </c>
      <c r="V1265" s="185">
        <v>2500</v>
      </c>
      <c r="W1265" s="184" t="s">
        <v>493</v>
      </c>
      <c r="X1265" s="184">
        <v>2169</v>
      </c>
      <c r="Y1265" s="185">
        <v>3500</v>
      </c>
      <c r="Z1265" s="184" t="s">
        <v>598</v>
      </c>
      <c r="AA1265" s="21" t="s">
        <v>610</v>
      </c>
      <c r="AB1265" s="176" t="s">
        <v>489</v>
      </c>
      <c r="AC1265" s="172">
        <v>42996.328472222223</v>
      </c>
      <c r="AD1265" s="32" t="s">
        <v>552</v>
      </c>
    </row>
    <row r="1266" spans="1:30">
      <c r="A1266" s="184">
        <v>1265</v>
      </c>
      <c r="B1266" s="184" t="s">
        <v>3143</v>
      </c>
      <c r="C1266" s="184" t="s">
        <v>598</v>
      </c>
      <c r="D1266" s="127">
        <v>42720</v>
      </c>
      <c r="E1266" s="127" t="s">
        <v>598</v>
      </c>
      <c r="F1266" s="184" t="s">
        <v>3144</v>
      </c>
      <c r="G1266" s="185">
        <v>0</v>
      </c>
      <c r="H1266" s="184" t="s">
        <v>598</v>
      </c>
      <c r="I1266" s="184" t="s">
        <v>134</v>
      </c>
      <c r="J1266" s="184" t="s">
        <v>121</v>
      </c>
      <c r="K1266" s="184" t="s">
        <v>444</v>
      </c>
      <c r="L1266" s="184" t="s">
        <v>598</v>
      </c>
      <c r="M1266" s="184" t="s">
        <v>598</v>
      </c>
      <c r="N1266" s="184" t="s">
        <v>63</v>
      </c>
      <c r="O1266" s="184" t="s">
        <v>63</v>
      </c>
      <c r="P1266" s="186" t="s">
        <v>606</v>
      </c>
      <c r="Q1266" s="184" t="s">
        <v>598</v>
      </c>
      <c r="R1266" s="184" t="s">
        <v>598</v>
      </c>
      <c r="S1266" s="127">
        <v>42866</v>
      </c>
      <c r="T1266" s="184" t="s">
        <v>10</v>
      </c>
      <c r="U1266" s="184" t="s">
        <v>598</v>
      </c>
      <c r="V1266" s="185">
        <v>1500</v>
      </c>
      <c r="W1266" s="184" t="s">
        <v>493</v>
      </c>
      <c r="X1266" s="184">
        <v>2236</v>
      </c>
      <c r="Y1266" s="185">
        <v>2000</v>
      </c>
      <c r="Z1266" s="184" t="s">
        <v>598</v>
      </c>
      <c r="AA1266" s="21" t="s">
        <v>610</v>
      </c>
      <c r="AB1266" s="176" t="s">
        <v>489</v>
      </c>
      <c r="AC1266" s="172">
        <v>42996.328472222223</v>
      </c>
      <c r="AD1266" s="32" t="s">
        <v>552</v>
      </c>
    </row>
    <row r="1267" spans="1:30">
      <c r="A1267" s="184">
        <v>1266</v>
      </c>
      <c r="B1267" s="184" t="s">
        <v>3145</v>
      </c>
      <c r="C1267" s="184" t="s">
        <v>598</v>
      </c>
      <c r="D1267" s="127">
        <v>42797</v>
      </c>
      <c r="E1267" s="127" t="s">
        <v>598</v>
      </c>
      <c r="F1267" s="184" t="s">
        <v>3146</v>
      </c>
      <c r="G1267" s="185">
        <v>0</v>
      </c>
      <c r="H1267" s="184" t="s">
        <v>598</v>
      </c>
      <c r="I1267" s="184" t="s">
        <v>134</v>
      </c>
      <c r="J1267" s="184" t="s">
        <v>121</v>
      </c>
      <c r="K1267" s="184" t="s">
        <v>219</v>
      </c>
      <c r="L1267" s="184" t="s">
        <v>598</v>
      </c>
      <c r="M1267" s="184" t="s">
        <v>598</v>
      </c>
      <c r="N1267" s="184" t="s">
        <v>63</v>
      </c>
      <c r="O1267" s="184" t="s">
        <v>63</v>
      </c>
      <c r="P1267" s="186"/>
      <c r="Q1267" s="184" t="s">
        <v>598</v>
      </c>
      <c r="R1267" s="184" t="s">
        <v>598</v>
      </c>
      <c r="S1267" s="127">
        <v>42871</v>
      </c>
      <c r="T1267" s="184" t="s">
        <v>10</v>
      </c>
      <c r="U1267" s="184" t="s">
        <v>598</v>
      </c>
      <c r="V1267" s="185">
        <v>2500</v>
      </c>
      <c r="W1267" s="184" t="s">
        <v>493</v>
      </c>
      <c r="X1267" s="184">
        <v>3827</v>
      </c>
      <c r="Y1267" s="185">
        <v>3000</v>
      </c>
      <c r="Z1267" s="184" t="s">
        <v>598</v>
      </c>
      <c r="AA1267" s="21" t="s">
        <v>610</v>
      </c>
      <c r="AB1267" s="176" t="s">
        <v>489</v>
      </c>
      <c r="AC1267" s="172">
        <v>42996.328472222223</v>
      </c>
      <c r="AD1267" s="32" t="s">
        <v>552</v>
      </c>
    </row>
    <row r="1268" spans="1:30">
      <c r="A1268" s="184">
        <v>1267</v>
      </c>
      <c r="B1268" s="184" t="s">
        <v>3147</v>
      </c>
      <c r="C1268" s="184" t="s">
        <v>598</v>
      </c>
      <c r="D1268" s="127">
        <v>42824</v>
      </c>
      <c r="E1268" s="127" t="s">
        <v>598</v>
      </c>
      <c r="F1268" s="184" t="s">
        <v>3148</v>
      </c>
      <c r="G1268" s="185">
        <v>0</v>
      </c>
      <c r="H1268" s="184" t="s">
        <v>598</v>
      </c>
      <c r="I1268" s="184" t="s">
        <v>118</v>
      </c>
      <c r="J1268" s="184" t="s">
        <v>121</v>
      </c>
      <c r="K1268" s="184" t="s">
        <v>261</v>
      </c>
      <c r="L1268" s="184" t="s">
        <v>598</v>
      </c>
      <c r="M1268" s="184" t="s">
        <v>598</v>
      </c>
      <c r="N1268" s="184" t="s">
        <v>63</v>
      </c>
      <c r="O1268" s="184" t="s">
        <v>63</v>
      </c>
      <c r="P1268" s="186" t="s">
        <v>73</v>
      </c>
      <c r="Q1268" s="184" t="s">
        <v>598</v>
      </c>
      <c r="R1268" s="184" t="s">
        <v>598</v>
      </c>
      <c r="S1268" s="127">
        <v>42879</v>
      </c>
      <c r="T1268" s="184" t="s">
        <v>10</v>
      </c>
      <c r="U1268" s="184" t="s">
        <v>598</v>
      </c>
      <c r="V1268" s="185">
        <v>2000</v>
      </c>
      <c r="W1268" s="184" t="s">
        <v>493</v>
      </c>
      <c r="X1268" s="184">
        <v>3859</v>
      </c>
      <c r="Y1268" s="185">
        <v>5000</v>
      </c>
      <c r="Z1268" s="184" t="s">
        <v>598</v>
      </c>
      <c r="AA1268" s="21" t="s">
        <v>610</v>
      </c>
      <c r="AB1268" s="176" t="s">
        <v>489</v>
      </c>
      <c r="AC1268" s="172">
        <v>42996.328472222223</v>
      </c>
      <c r="AD1268" s="32" t="s">
        <v>552</v>
      </c>
    </row>
    <row r="1269" spans="1:30">
      <c r="A1269" s="184">
        <v>1268</v>
      </c>
      <c r="B1269" s="184" t="s">
        <v>3149</v>
      </c>
      <c r="C1269" s="184" t="s">
        <v>598</v>
      </c>
      <c r="D1269" s="127">
        <v>42857</v>
      </c>
      <c r="E1269" s="127" t="s">
        <v>598</v>
      </c>
      <c r="F1269" s="184" t="s">
        <v>3150</v>
      </c>
      <c r="G1269" s="185">
        <v>4289000</v>
      </c>
      <c r="H1269" s="184" t="s">
        <v>598</v>
      </c>
      <c r="I1269" s="184" t="s">
        <v>120</v>
      </c>
      <c r="J1269" s="184" t="s">
        <v>84</v>
      </c>
      <c r="K1269" s="184" t="s">
        <v>445</v>
      </c>
      <c r="L1269" s="184" t="s">
        <v>598</v>
      </c>
      <c r="M1269" s="184" t="s">
        <v>598</v>
      </c>
      <c r="N1269" s="184" t="s">
        <v>42</v>
      </c>
      <c r="O1269" s="184" t="s">
        <v>73</v>
      </c>
      <c r="P1269" s="186" t="s">
        <v>601</v>
      </c>
      <c r="Q1269" s="184" t="s">
        <v>598</v>
      </c>
      <c r="R1269" s="184" t="s">
        <v>804</v>
      </c>
      <c r="S1269" s="127">
        <v>42868</v>
      </c>
      <c r="T1269" s="184" t="s">
        <v>10</v>
      </c>
      <c r="U1269" s="184" t="s">
        <v>598</v>
      </c>
      <c r="V1269" s="185">
        <v>3000</v>
      </c>
      <c r="W1269" s="184" t="s">
        <v>493</v>
      </c>
      <c r="X1269" s="184" t="s">
        <v>598</v>
      </c>
      <c r="Y1269" s="185">
        <v>0</v>
      </c>
      <c r="Z1269" s="184" t="s">
        <v>598</v>
      </c>
      <c r="AA1269" s="21" t="s">
        <v>610</v>
      </c>
      <c r="AB1269" s="176" t="s">
        <v>489</v>
      </c>
      <c r="AC1269" s="172">
        <v>42996.328472222223</v>
      </c>
      <c r="AD1269" s="32" t="s">
        <v>552</v>
      </c>
    </row>
    <row r="1270" spans="1:30">
      <c r="A1270" s="184">
        <v>1269</v>
      </c>
      <c r="B1270" s="184" t="s">
        <v>3151</v>
      </c>
      <c r="C1270" s="184" t="s">
        <v>598</v>
      </c>
      <c r="D1270" s="127">
        <v>42857</v>
      </c>
      <c r="E1270" s="127" t="s">
        <v>598</v>
      </c>
      <c r="F1270" s="184" t="s">
        <v>3152</v>
      </c>
      <c r="G1270" s="185">
        <v>5515000</v>
      </c>
      <c r="H1270" s="184" t="s">
        <v>598</v>
      </c>
      <c r="I1270" s="184" t="s">
        <v>134</v>
      </c>
      <c r="J1270" s="184" t="s">
        <v>84</v>
      </c>
      <c r="K1270" s="184" t="s">
        <v>261</v>
      </c>
      <c r="L1270" s="184" t="s">
        <v>598</v>
      </c>
      <c r="M1270" s="184" t="s">
        <v>598</v>
      </c>
      <c r="N1270" s="184" t="s">
        <v>42</v>
      </c>
      <c r="O1270" s="184" t="s">
        <v>73</v>
      </c>
      <c r="P1270" s="186" t="s">
        <v>32</v>
      </c>
      <c r="Q1270" s="184" t="s">
        <v>598</v>
      </c>
      <c r="R1270" s="184" t="s">
        <v>804</v>
      </c>
      <c r="S1270" s="127">
        <v>42860</v>
      </c>
      <c r="T1270" s="184" t="s">
        <v>34</v>
      </c>
      <c r="U1270" s="184" t="s">
        <v>598</v>
      </c>
      <c r="V1270" s="185">
        <v>1500</v>
      </c>
      <c r="W1270" s="184" t="s">
        <v>493</v>
      </c>
      <c r="X1270" s="184" t="s">
        <v>598</v>
      </c>
      <c r="Y1270" s="185">
        <v>0</v>
      </c>
      <c r="Z1270" s="184" t="s">
        <v>598</v>
      </c>
      <c r="AA1270" s="21" t="s">
        <v>610</v>
      </c>
      <c r="AB1270" s="176" t="s">
        <v>489</v>
      </c>
      <c r="AC1270" s="172">
        <v>42996.328472222223</v>
      </c>
      <c r="AD1270" s="32" t="s">
        <v>552</v>
      </c>
    </row>
    <row r="1271" spans="1:30">
      <c r="A1271" s="184">
        <v>1270</v>
      </c>
      <c r="B1271" s="184" t="s">
        <v>3153</v>
      </c>
      <c r="C1271" s="184" t="s">
        <v>598</v>
      </c>
      <c r="D1271" s="127">
        <v>42864</v>
      </c>
      <c r="E1271" s="127" t="s">
        <v>598</v>
      </c>
      <c r="F1271" s="184" t="s">
        <v>3154</v>
      </c>
      <c r="G1271" s="185">
        <v>0</v>
      </c>
      <c r="H1271" s="184" t="s">
        <v>598</v>
      </c>
      <c r="I1271" s="184" t="s">
        <v>132</v>
      </c>
      <c r="J1271" s="184" t="s">
        <v>84</v>
      </c>
      <c r="K1271" s="184" t="s">
        <v>384</v>
      </c>
      <c r="L1271" s="184" t="s">
        <v>598</v>
      </c>
      <c r="M1271" s="184" t="s">
        <v>598</v>
      </c>
      <c r="N1271" s="184" t="s">
        <v>42</v>
      </c>
      <c r="O1271" s="184" t="s">
        <v>598</v>
      </c>
      <c r="P1271" s="186" t="s">
        <v>53</v>
      </c>
      <c r="Q1271" s="184" t="s">
        <v>598</v>
      </c>
      <c r="R1271" s="184" t="s">
        <v>598</v>
      </c>
      <c r="S1271" s="127">
        <v>42870</v>
      </c>
      <c r="T1271" s="184" t="s">
        <v>10</v>
      </c>
      <c r="U1271" s="184" t="s">
        <v>598</v>
      </c>
      <c r="V1271" s="185">
        <v>3000</v>
      </c>
      <c r="W1271" s="184" t="s">
        <v>493</v>
      </c>
      <c r="X1271" s="184" t="s">
        <v>598</v>
      </c>
      <c r="Y1271" s="185">
        <v>0</v>
      </c>
      <c r="Z1271" s="184" t="s">
        <v>598</v>
      </c>
      <c r="AA1271" s="21" t="s">
        <v>610</v>
      </c>
      <c r="AB1271" s="176" t="s">
        <v>489</v>
      </c>
      <c r="AC1271" s="172">
        <v>42996.328472222223</v>
      </c>
      <c r="AD1271" s="32" t="s">
        <v>552</v>
      </c>
    </row>
    <row r="1272" spans="1:30">
      <c r="A1272" s="184">
        <v>1271</v>
      </c>
      <c r="B1272" s="184" t="s">
        <v>3155</v>
      </c>
      <c r="C1272" s="184" t="s">
        <v>598</v>
      </c>
      <c r="D1272" s="127">
        <v>42865</v>
      </c>
      <c r="E1272" s="127" t="s">
        <v>598</v>
      </c>
      <c r="F1272" s="184" t="s">
        <v>3156</v>
      </c>
      <c r="G1272" s="185">
        <v>4844000</v>
      </c>
      <c r="H1272" s="184" t="s">
        <v>598</v>
      </c>
      <c r="I1272" s="184" t="s">
        <v>120</v>
      </c>
      <c r="J1272" s="184" t="s">
        <v>84</v>
      </c>
      <c r="K1272" s="184" t="s">
        <v>192</v>
      </c>
      <c r="L1272" s="184" t="s">
        <v>598</v>
      </c>
      <c r="M1272" s="184" t="s">
        <v>598</v>
      </c>
      <c r="N1272" s="184" t="s">
        <v>42</v>
      </c>
      <c r="O1272" s="184" t="s">
        <v>42</v>
      </c>
      <c r="P1272" s="186" t="s">
        <v>44</v>
      </c>
      <c r="Q1272" s="184" t="s">
        <v>598</v>
      </c>
      <c r="R1272" s="184" t="s">
        <v>598</v>
      </c>
      <c r="S1272" s="127">
        <v>42870</v>
      </c>
      <c r="T1272" s="184" t="s">
        <v>10</v>
      </c>
      <c r="U1272" s="184" t="s">
        <v>598</v>
      </c>
      <c r="V1272" s="185">
        <v>3000</v>
      </c>
      <c r="W1272" s="184" t="s">
        <v>493</v>
      </c>
      <c r="X1272" s="184" t="s">
        <v>598</v>
      </c>
      <c r="Y1272" s="185">
        <v>0</v>
      </c>
      <c r="Z1272" s="184" t="s">
        <v>598</v>
      </c>
      <c r="AA1272" s="21" t="s">
        <v>610</v>
      </c>
      <c r="AB1272" s="176" t="s">
        <v>489</v>
      </c>
      <c r="AC1272" s="172">
        <v>42996.328472222223</v>
      </c>
      <c r="AD1272" s="32" t="s">
        <v>552</v>
      </c>
    </row>
    <row r="1273" spans="1:30">
      <c r="A1273" s="184">
        <v>1272</v>
      </c>
      <c r="B1273" s="184" t="s">
        <v>3157</v>
      </c>
      <c r="C1273" s="184" t="s">
        <v>598</v>
      </c>
      <c r="D1273" s="127">
        <v>42866</v>
      </c>
      <c r="E1273" s="127" t="s">
        <v>598</v>
      </c>
      <c r="F1273" s="184" t="s">
        <v>3158</v>
      </c>
      <c r="G1273" s="185">
        <v>3760000</v>
      </c>
      <c r="H1273" s="184" t="s">
        <v>598</v>
      </c>
      <c r="I1273" s="184" t="s">
        <v>122</v>
      </c>
      <c r="J1273" s="184" t="s">
        <v>84</v>
      </c>
      <c r="K1273" s="184" t="s">
        <v>293</v>
      </c>
      <c r="L1273" s="184" t="s">
        <v>598</v>
      </c>
      <c r="M1273" s="184" t="s">
        <v>3159</v>
      </c>
      <c r="N1273" s="184" t="s">
        <v>42</v>
      </c>
      <c r="O1273" s="184" t="s">
        <v>42</v>
      </c>
      <c r="P1273" s="186" t="s">
        <v>67</v>
      </c>
      <c r="Q1273" s="184" t="s">
        <v>598</v>
      </c>
      <c r="R1273" s="184" t="s">
        <v>598</v>
      </c>
      <c r="S1273" s="127">
        <v>42873</v>
      </c>
      <c r="T1273" s="184" t="s">
        <v>10</v>
      </c>
      <c r="U1273" s="184" t="s">
        <v>598</v>
      </c>
      <c r="V1273" s="185">
        <v>3000</v>
      </c>
      <c r="W1273" s="184" t="s">
        <v>493</v>
      </c>
      <c r="X1273" s="184" t="s">
        <v>598</v>
      </c>
      <c r="Y1273" s="185">
        <v>0</v>
      </c>
      <c r="Z1273" s="184" t="s">
        <v>598</v>
      </c>
      <c r="AA1273" s="21" t="s">
        <v>610</v>
      </c>
      <c r="AB1273" s="176" t="s">
        <v>489</v>
      </c>
      <c r="AC1273" s="172">
        <v>42996.328472222223</v>
      </c>
      <c r="AD1273" s="32" t="s">
        <v>552</v>
      </c>
    </row>
    <row r="1274" spans="1:30">
      <c r="A1274" s="184">
        <v>1273</v>
      </c>
      <c r="B1274" s="184" t="s">
        <v>3160</v>
      </c>
      <c r="C1274" s="184" t="s">
        <v>598</v>
      </c>
      <c r="D1274" s="127">
        <v>42866</v>
      </c>
      <c r="E1274" s="127" t="s">
        <v>598</v>
      </c>
      <c r="F1274" s="184" t="s">
        <v>3161</v>
      </c>
      <c r="G1274" s="185">
        <v>7240000</v>
      </c>
      <c r="H1274" s="184" t="s">
        <v>598</v>
      </c>
      <c r="I1274" s="184" t="s">
        <v>48</v>
      </c>
      <c r="J1274" s="184" t="s">
        <v>84</v>
      </c>
      <c r="K1274" s="184" t="s">
        <v>192</v>
      </c>
      <c r="L1274" s="184" t="s">
        <v>598</v>
      </c>
      <c r="M1274" s="184" t="s">
        <v>1029</v>
      </c>
      <c r="N1274" s="184" t="s">
        <v>42</v>
      </c>
      <c r="O1274" s="184" t="s">
        <v>598</v>
      </c>
      <c r="P1274" s="186" t="s">
        <v>602</v>
      </c>
      <c r="Q1274" s="184" t="s">
        <v>598</v>
      </c>
      <c r="R1274" s="184" t="s">
        <v>598</v>
      </c>
      <c r="S1274" s="127">
        <v>42870</v>
      </c>
      <c r="T1274" s="184" t="s">
        <v>10</v>
      </c>
      <c r="U1274" s="184" t="s">
        <v>598</v>
      </c>
      <c r="V1274" s="185">
        <v>4000</v>
      </c>
      <c r="W1274" s="184" t="s">
        <v>493</v>
      </c>
      <c r="X1274" s="184" t="s">
        <v>598</v>
      </c>
      <c r="Y1274" s="185">
        <v>0</v>
      </c>
      <c r="Z1274" s="184" t="s">
        <v>598</v>
      </c>
      <c r="AA1274" s="21" t="s">
        <v>610</v>
      </c>
      <c r="AB1274" s="176" t="s">
        <v>489</v>
      </c>
      <c r="AC1274" s="172">
        <v>42996.328472222223</v>
      </c>
      <c r="AD1274" s="32" t="s">
        <v>552</v>
      </c>
    </row>
    <row r="1275" spans="1:30">
      <c r="A1275" s="184">
        <v>1274</v>
      </c>
      <c r="B1275" s="184" t="s">
        <v>3162</v>
      </c>
      <c r="C1275" s="184" t="s">
        <v>598</v>
      </c>
      <c r="D1275" s="127">
        <v>42872</v>
      </c>
      <c r="E1275" s="127" t="s">
        <v>598</v>
      </c>
      <c r="F1275" s="184" t="s">
        <v>3163</v>
      </c>
      <c r="G1275" s="185">
        <v>9400000</v>
      </c>
      <c r="H1275" s="184" t="s">
        <v>598</v>
      </c>
      <c r="I1275" s="184" t="s">
        <v>122</v>
      </c>
      <c r="J1275" s="184" t="s">
        <v>84</v>
      </c>
      <c r="K1275" s="184" t="s">
        <v>192</v>
      </c>
      <c r="L1275" s="184" t="s">
        <v>598</v>
      </c>
      <c r="M1275" s="184" t="s">
        <v>3164</v>
      </c>
      <c r="N1275" s="184" t="s">
        <v>42</v>
      </c>
      <c r="O1275" s="184" t="s">
        <v>42</v>
      </c>
      <c r="P1275" s="186" t="s">
        <v>603</v>
      </c>
      <c r="Q1275" s="184" t="s">
        <v>598</v>
      </c>
      <c r="R1275" s="184" t="s">
        <v>598</v>
      </c>
      <c r="S1275" s="127">
        <v>42878</v>
      </c>
      <c r="T1275" s="184" t="s">
        <v>10</v>
      </c>
      <c r="U1275" s="184" t="s">
        <v>598</v>
      </c>
      <c r="V1275" s="185">
        <v>5000</v>
      </c>
      <c r="W1275" s="184" t="s">
        <v>493</v>
      </c>
      <c r="X1275" s="184" t="s">
        <v>598</v>
      </c>
      <c r="Y1275" s="185">
        <v>0</v>
      </c>
      <c r="Z1275" s="184" t="s">
        <v>598</v>
      </c>
      <c r="AA1275" s="21" t="s">
        <v>610</v>
      </c>
      <c r="AB1275" s="176" t="s">
        <v>489</v>
      </c>
      <c r="AC1275" s="172">
        <v>42996.328472222223</v>
      </c>
      <c r="AD1275" s="32" t="s">
        <v>552</v>
      </c>
    </row>
    <row r="1276" spans="1:30">
      <c r="A1276" s="184">
        <v>1275</v>
      </c>
      <c r="B1276" s="184" t="s">
        <v>3165</v>
      </c>
      <c r="C1276" s="184" t="s">
        <v>598</v>
      </c>
      <c r="D1276" s="127">
        <v>42875</v>
      </c>
      <c r="E1276" s="127" t="s">
        <v>598</v>
      </c>
      <c r="F1276" s="184" t="s">
        <v>3166</v>
      </c>
      <c r="G1276" s="185">
        <v>0</v>
      </c>
      <c r="H1276" s="184" t="s">
        <v>598</v>
      </c>
      <c r="I1276" s="184" t="s">
        <v>132</v>
      </c>
      <c r="J1276" s="184" t="s">
        <v>84</v>
      </c>
      <c r="K1276" s="184" t="s">
        <v>301</v>
      </c>
      <c r="L1276" s="184" t="s">
        <v>598</v>
      </c>
      <c r="M1276" s="184" t="s">
        <v>598</v>
      </c>
      <c r="N1276" s="184" t="s">
        <v>42</v>
      </c>
      <c r="O1276" s="184" t="s">
        <v>73</v>
      </c>
      <c r="P1276" s="186" t="s">
        <v>604</v>
      </c>
      <c r="Q1276" s="184" t="s">
        <v>598</v>
      </c>
      <c r="R1276" s="184" t="s">
        <v>598</v>
      </c>
      <c r="S1276" s="127">
        <v>42879</v>
      </c>
      <c r="T1276" s="184" t="s">
        <v>34</v>
      </c>
      <c r="U1276" s="184" t="s">
        <v>598</v>
      </c>
      <c r="V1276" s="185">
        <v>3000</v>
      </c>
      <c r="W1276" s="184" t="s">
        <v>493</v>
      </c>
      <c r="X1276" s="184" t="s">
        <v>598</v>
      </c>
      <c r="Y1276" s="185">
        <v>0</v>
      </c>
      <c r="Z1276" s="184" t="s">
        <v>598</v>
      </c>
      <c r="AA1276" s="21" t="s">
        <v>610</v>
      </c>
      <c r="AB1276" s="176" t="s">
        <v>489</v>
      </c>
      <c r="AC1276" s="172">
        <v>42996.328472222223</v>
      </c>
      <c r="AD1276" s="32" t="s">
        <v>552</v>
      </c>
    </row>
    <row r="1277" spans="1:30">
      <c r="A1277" s="184">
        <v>1276</v>
      </c>
      <c r="B1277" s="184" t="s">
        <v>3167</v>
      </c>
      <c r="C1277" s="184" t="s">
        <v>598</v>
      </c>
      <c r="D1277" s="127">
        <v>42875</v>
      </c>
      <c r="E1277" s="127" t="s">
        <v>598</v>
      </c>
      <c r="F1277" s="184" t="s">
        <v>2051</v>
      </c>
      <c r="G1277" s="185">
        <v>2860000</v>
      </c>
      <c r="H1277" s="184" t="s">
        <v>598</v>
      </c>
      <c r="I1277" s="184" t="s">
        <v>120</v>
      </c>
      <c r="J1277" s="184" t="s">
        <v>84</v>
      </c>
      <c r="K1277" s="184" t="s">
        <v>400</v>
      </c>
      <c r="L1277" s="184" t="s">
        <v>598</v>
      </c>
      <c r="M1277" s="184" t="s">
        <v>598</v>
      </c>
      <c r="N1277" s="184" t="s">
        <v>42</v>
      </c>
      <c r="O1277" s="184" t="s">
        <v>598</v>
      </c>
      <c r="P1277" s="186" t="s">
        <v>605</v>
      </c>
      <c r="Q1277" s="184" t="s">
        <v>598</v>
      </c>
      <c r="R1277" s="184" t="s">
        <v>598</v>
      </c>
      <c r="S1277" s="127">
        <v>42868</v>
      </c>
      <c r="T1277" s="184" t="s">
        <v>10</v>
      </c>
      <c r="U1277" s="184" t="s">
        <v>598</v>
      </c>
      <c r="V1277" s="185">
        <v>3000</v>
      </c>
      <c r="W1277" s="184" t="s">
        <v>493</v>
      </c>
      <c r="X1277" s="184" t="s">
        <v>598</v>
      </c>
      <c r="Y1277" s="185">
        <v>0</v>
      </c>
      <c r="Z1277" s="184" t="s">
        <v>598</v>
      </c>
      <c r="AA1277" s="21" t="s">
        <v>610</v>
      </c>
      <c r="AB1277" s="176" t="s">
        <v>489</v>
      </c>
      <c r="AC1277" s="172">
        <v>42996.328472222223</v>
      </c>
      <c r="AD1277" s="32" t="s">
        <v>552</v>
      </c>
    </row>
    <row r="1278" spans="1:30">
      <c r="A1278" s="184">
        <v>1277</v>
      </c>
      <c r="B1278" s="184" t="s">
        <v>3168</v>
      </c>
      <c r="C1278" s="184" t="s">
        <v>598</v>
      </c>
      <c r="D1278" s="127">
        <v>42877</v>
      </c>
      <c r="E1278" s="127" t="s">
        <v>598</v>
      </c>
      <c r="F1278" s="184" t="s">
        <v>3169</v>
      </c>
      <c r="G1278" s="185">
        <v>2989000</v>
      </c>
      <c r="H1278" s="184" t="s">
        <v>598</v>
      </c>
      <c r="I1278" s="184" t="s">
        <v>134</v>
      </c>
      <c r="J1278" s="184" t="s">
        <v>84</v>
      </c>
      <c r="K1278" s="184" t="s">
        <v>297</v>
      </c>
      <c r="L1278" s="184" t="s">
        <v>598</v>
      </c>
      <c r="M1278" s="184" t="s">
        <v>598</v>
      </c>
      <c r="N1278" s="184" t="s">
        <v>42</v>
      </c>
      <c r="O1278" s="184" t="s">
        <v>73</v>
      </c>
      <c r="P1278" s="186" t="s">
        <v>606</v>
      </c>
      <c r="Q1278" s="184" t="s">
        <v>598</v>
      </c>
      <c r="R1278" s="184" t="s">
        <v>598</v>
      </c>
      <c r="S1278" s="127">
        <v>42879</v>
      </c>
      <c r="T1278" s="184" t="s">
        <v>34</v>
      </c>
      <c r="U1278" s="184" t="s">
        <v>598</v>
      </c>
      <c r="V1278" s="185">
        <v>3000</v>
      </c>
      <c r="W1278" s="184" t="s">
        <v>493</v>
      </c>
      <c r="X1278" s="184" t="s">
        <v>598</v>
      </c>
      <c r="Y1278" s="185">
        <v>0</v>
      </c>
      <c r="Z1278" s="184" t="s">
        <v>598</v>
      </c>
      <c r="AA1278" s="21" t="s">
        <v>610</v>
      </c>
      <c r="AB1278" s="176" t="s">
        <v>489</v>
      </c>
      <c r="AC1278" s="172">
        <v>42996.328472222223</v>
      </c>
      <c r="AD1278" s="32" t="s">
        <v>552</v>
      </c>
    </row>
    <row r="1279" spans="1:30">
      <c r="A1279" s="184">
        <v>1278</v>
      </c>
      <c r="B1279" s="184" t="s">
        <v>3170</v>
      </c>
      <c r="C1279" s="184" t="s">
        <v>598</v>
      </c>
      <c r="D1279" s="127">
        <v>42877</v>
      </c>
      <c r="E1279" s="127" t="s">
        <v>598</v>
      </c>
      <c r="F1279" s="184" t="s">
        <v>3171</v>
      </c>
      <c r="G1279" s="185">
        <v>3280000</v>
      </c>
      <c r="H1279" s="184" t="s">
        <v>598</v>
      </c>
      <c r="I1279" s="184" t="s">
        <v>598</v>
      </c>
      <c r="J1279" s="184" t="s">
        <v>84</v>
      </c>
      <c r="K1279" s="184" t="s">
        <v>598</v>
      </c>
      <c r="L1279" s="184" t="s">
        <v>598</v>
      </c>
      <c r="M1279" s="184" t="s">
        <v>598</v>
      </c>
      <c r="N1279" s="184" t="s">
        <v>42</v>
      </c>
      <c r="O1279" s="184" t="s">
        <v>598</v>
      </c>
      <c r="P1279" s="186"/>
      <c r="Q1279" s="184" t="s">
        <v>598</v>
      </c>
      <c r="R1279" s="184" t="s">
        <v>598</v>
      </c>
      <c r="S1279" s="127">
        <v>42880</v>
      </c>
      <c r="T1279" s="184" t="s">
        <v>10</v>
      </c>
      <c r="U1279" s="184" t="s">
        <v>598</v>
      </c>
      <c r="V1279" s="185">
        <v>3000</v>
      </c>
      <c r="W1279" s="184" t="s">
        <v>493</v>
      </c>
      <c r="X1279" s="184" t="s">
        <v>598</v>
      </c>
      <c r="Y1279" s="185">
        <v>0</v>
      </c>
      <c r="Z1279" s="184" t="s">
        <v>598</v>
      </c>
      <c r="AA1279" s="21" t="s">
        <v>610</v>
      </c>
      <c r="AB1279" s="176" t="s">
        <v>489</v>
      </c>
      <c r="AC1279" s="172">
        <v>42996.328472222223</v>
      </c>
      <c r="AD1279" s="32" t="s">
        <v>552</v>
      </c>
    </row>
    <row r="1280" spans="1:30">
      <c r="A1280" s="184">
        <v>1279</v>
      </c>
      <c r="B1280" s="184" t="s">
        <v>3172</v>
      </c>
      <c r="C1280" s="184" t="s">
        <v>598</v>
      </c>
      <c r="D1280" s="127">
        <v>42877</v>
      </c>
      <c r="E1280" s="127" t="s">
        <v>598</v>
      </c>
      <c r="F1280" s="184" t="s">
        <v>3173</v>
      </c>
      <c r="G1280" s="185">
        <v>3949000</v>
      </c>
      <c r="H1280" s="184" t="s">
        <v>598</v>
      </c>
      <c r="I1280" s="184" t="s">
        <v>134</v>
      </c>
      <c r="J1280" s="184" t="s">
        <v>84</v>
      </c>
      <c r="K1280" s="184" t="s">
        <v>301</v>
      </c>
      <c r="L1280" s="184" t="s">
        <v>598</v>
      </c>
      <c r="M1280" s="184" t="s">
        <v>598</v>
      </c>
      <c r="N1280" s="184" t="s">
        <v>42</v>
      </c>
      <c r="O1280" s="184" t="s">
        <v>73</v>
      </c>
      <c r="P1280" s="186" t="s">
        <v>73</v>
      </c>
      <c r="Q1280" s="184" t="s">
        <v>598</v>
      </c>
      <c r="R1280" s="184" t="s">
        <v>598</v>
      </c>
      <c r="S1280" s="127">
        <v>42881</v>
      </c>
      <c r="T1280" s="184" t="s">
        <v>10</v>
      </c>
      <c r="U1280" s="184" t="s">
        <v>598</v>
      </c>
      <c r="V1280" s="185">
        <v>3000</v>
      </c>
      <c r="W1280" s="184" t="s">
        <v>493</v>
      </c>
      <c r="X1280" s="184" t="s">
        <v>598</v>
      </c>
      <c r="Y1280" s="185">
        <v>0</v>
      </c>
      <c r="Z1280" s="184" t="s">
        <v>598</v>
      </c>
      <c r="AA1280" s="21" t="s">
        <v>610</v>
      </c>
      <c r="AB1280" s="176" t="s">
        <v>489</v>
      </c>
      <c r="AC1280" s="172">
        <v>42996.328472222223</v>
      </c>
      <c r="AD1280" s="32" t="s">
        <v>552</v>
      </c>
    </row>
    <row r="1281" spans="1:30">
      <c r="A1281" s="184">
        <v>1280</v>
      </c>
      <c r="B1281" s="184" t="s">
        <v>3174</v>
      </c>
      <c r="C1281" s="184" t="s">
        <v>598</v>
      </c>
      <c r="D1281" s="127">
        <v>42880</v>
      </c>
      <c r="E1281" s="127" t="s">
        <v>598</v>
      </c>
      <c r="F1281" s="184" t="s">
        <v>3175</v>
      </c>
      <c r="G1281" s="185">
        <v>3425000</v>
      </c>
      <c r="H1281" s="184" t="s">
        <v>598</v>
      </c>
      <c r="I1281" s="184" t="s">
        <v>598</v>
      </c>
      <c r="J1281" s="184" t="s">
        <v>84</v>
      </c>
      <c r="K1281" s="184" t="s">
        <v>598</v>
      </c>
      <c r="L1281" s="184" t="s">
        <v>598</v>
      </c>
      <c r="M1281" s="184" t="s">
        <v>1488</v>
      </c>
      <c r="N1281" s="184" t="s">
        <v>42</v>
      </c>
      <c r="O1281" s="184" t="s">
        <v>598</v>
      </c>
      <c r="P1281" s="186" t="s">
        <v>601</v>
      </c>
      <c r="Q1281" s="184" t="s">
        <v>598</v>
      </c>
      <c r="R1281" s="184" t="s">
        <v>598</v>
      </c>
      <c r="S1281" s="127">
        <v>42880</v>
      </c>
      <c r="T1281" s="184" t="s">
        <v>34</v>
      </c>
      <c r="U1281" s="184" t="s">
        <v>598</v>
      </c>
      <c r="V1281" s="185">
        <v>3000</v>
      </c>
      <c r="W1281" s="184" t="s">
        <v>493</v>
      </c>
      <c r="X1281" s="184" t="s">
        <v>598</v>
      </c>
      <c r="Y1281" s="185">
        <v>0</v>
      </c>
      <c r="Z1281" s="184" t="s">
        <v>598</v>
      </c>
      <c r="AA1281" s="21" t="s">
        <v>610</v>
      </c>
      <c r="AB1281" s="176" t="s">
        <v>489</v>
      </c>
      <c r="AC1281" s="172">
        <v>42996.328472222223</v>
      </c>
      <c r="AD1281" s="32" t="s">
        <v>552</v>
      </c>
    </row>
    <row r="1282" spans="1:30">
      <c r="A1282" s="184">
        <v>1281</v>
      </c>
      <c r="B1282" s="184" t="s">
        <v>3176</v>
      </c>
      <c r="C1282" s="184" t="s">
        <v>598</v>
      </c>
      <c r="D1282" s="127">
        <v>42882</v>
      </c>
      <c r="E1282" s="127" t="s">
        <v>598</v>
      </c>
      <c r="F1282" s="184" t="s">
        <v>3177</v>
      </c>
      <c r="G1282" s="185">
        <v>0</v>
      </c>
      <c r="H1282" s="184" t="s">
        <v>598</v>
      </c>
      <c r="I1282" s="184" t="s">
        <v>120</v>
      </c>
      <c r="J1282" s="184" t="s">
        <v>84</v>
      </c>
      <c r="K1282" s="184" t="s">
        <v>293</v>
      </c>
      <c r="L1282" s="184" t="s">
        <v>598</v>
      </c>
      <c r="M1282" s="184" t="s">
        <v>598</v>
      </c>
      <c r="N1282" s="184" t="s">
        <v>42</v>
      </c>
      <c r="O1282" s="184" t="s">
        <v>598</v>
      </c>
      <c r="P1282" s="186" t="s">
        <v>601</v>
      </c>
      <c r="Q1282" s="184" t="s">
        <v>598</v>
      </c>
      <c r="R1282" s="184" t="s">
        <v>598</v>
      </c>
      <c r="S1282" s="127">
        <v>42884</v>
      </c>
      <c r="T1282" s="184" t="s">
        <v>34</v>
      </c>
      <c r="U1282" s="184" t="s">
        <v>598</v>
      </c>
      <c r="V1282" s="185">
        <v>2000</v>
      </c>
      <c r="W1282" s="184" t="s">
        <v>493</v>
      </c>
      <c r="X1282" s="184" t="s">
        <v>598</v>
      </c>
      <c r="Y1282" s="185">
        <v>0</v>
      </c>
      <c r="Z1282" s="184" t="s">
        <v>598</v>
      </c>
      <c r="AA1282" s="21" t="s">
        <v>610</v>
      </c>
      <c r="AB1282" s="176" t="s">
        <v>489</v>
      </c>
      <c r="AC1282" s="172">
        <v>42996.328472222223</v>
      </c>
      <c r="AD1282" s="32" t="s">
        <v>552</v>
      </c>
    </row>
    <row r="1283" spans="1:30">
      <c r="A1283" s="184">
        <v>1282</v>
      </c>
      <c r="B1283" s="184" t="s">
        <v>3178</v>
      </c>
      <c r="C1283" s="184" t="s">
        <v>598</v>
      </c>
      <c r="D1283" s="127">
        <v>42884</v>
      </c>
      <c r="E1283" s="127" t="s">
        <v>598</v>
      </c>
      <c r="F1283" s="184" t="s">
        <v>3179</v>
      </c>
      <c r="G1283" s="185">
        <v>3337000</v>
      </c>
      <c r="H1283" s="184" t="s">
        <v>598</v>
      </c>
      <c r="I1283" s="184" t="s">
        <v>134</v>
      </c>
      <c r="J1283" s="184" t="s">
        <v>84</v>
      </c>
      <c r="K1283" s="184" t="s">
        <v>192</v>
      </c>
      <c r="L1283" s="184" t="s">
        <v>598</v>
      </c>
      <c r="M1283" s="184" t="s">
        <v>598</v>
      </c>
      <c r="N1283" s="184" t="s">
        <v>42</v>
      </c>
      <c r="O1283" s="184" t="s">
        <v>42</v>
      </c>
      <c r="P1283" s="186" t="s">
        <v>32</v>
      </c>
      <c r="Q1283" s="184" t="s">
        <v>598</v>
      </c>
      <c r="R1283" s="184" t="s">
        <v>598</v>
      </c>
      <c r="S1283" s="127">
        <v>42884</v>
      </c>
      <c r="T1283" s="184" t="s">
        <v>34</v>
      </c>
      <c r="U1283" s="184" t="s">
        <v>598</v>
      </c>
      <c r="V1283" s="185">
        <v>3000</v>
      </c>
      <c r="W1283" s="184" t="s">
        <v>493</v>
      </c>
      <c r="X1283" s="184" t="s">
        <v>598</v>
      </c>
      <c r="Y1283" s="185">
        <v>0</v>
      </c>
      <c r="Z1283" s="184" t="s">
        <v>598</v>
      </c>
      <c r="AA1283" s="21" t="s">
        <v>610</v>
      </c>
      <c r="AB1283" s="176" t="s">
        <v>489</v>
      </c>
      <c r="AC1283" s="172">
        <v>42996.328472222223</v>
      </c>
      <c r="AD1283" s="32" t="s">
        <v>552</v>
      </c>
    </row>
    <row r="1284" spans="1:30">
      <c r="A1284" s="184">
        <v>1283</v>
      </c>
      <c r="B1284" s="184" t="s">
        <v>3180</v>
      </c>
      <c r="C1284" s="184" t="s">
        <v>598</v>
      </c>
      <c r="D1284" s="127">
        <v>42884</v>
      </c>
      <c r="E1284" s="127" t="s">
        <v>598</v>
      </c>
      <c r="F1284" s="184" t="s">
        <v>3181</v>
      </c>
      <c r="G1284" s="185">
        <v>3578000</v>
      </c>
      <c r="H1284" s="184" t="s">
        <v>598</v>
      </c>
      <c r="I1284" s="184" t="s">
        <v>134</v>
      </c>
      <c r="J1284" s="184" t="s">
        <v>84</v>
      </c>
      <c r="K1284" s="184" t="s">
        <v>291</v>
      </c>
      <c r="L1284" s="184" t="s">
        <v>598</v>
      </c>
      <c r="M1284" s="184" t="s">
        <v>1911</v>
      </c>
      <c r="N1284" s="184" t="s">
        <v>42</v>
      </c>
      <c r="O1284" s="184" t="s">
        <v>42</v>
      </c>
      <c r="P1284" s="186" t="s">
        <v>53</v>
      </c>
      <c r="Q1284" s="184" t="s">
        <v>598</v>
      </c>
      <c r="R1284" s="184" t="s">
        <v>598</v>
      </c>
      <c r="S1284" s="127">
        <v>42884</v>
      </c>
      <c r="T1284" s="184" t="s">
        <v>34</v>
      </c>
      <c r="U1284" s="184" t="s">
        <v>598</v>
      </c>
      <c r="V1284" s="185">
        <v>2000</v>
      </c>
      <c r="W1284" s="184" t="s">
        <v>493</v>
      </c>
      <c r="X1284" s="184" t="s">
        <v>598</v>
      </c>
      <c r="Y1284" s="185">
        <v>0</v>
      </c>
      <c r="Z1284" s="184" t="s">
        <v>598</v>
      </c>
      <c r="AA1284" s="21" t="s">
        <v>610</v>
      </c>
      <c r="AB1284" s="176" t="s">
        <v>489</v>
      </c>
      <c r="AC1284" s="172">
        <v>42996.328472222223</v>
      </c>
      <c r="AD1284" s="32" t="s">
        <v>552</v>
      </c>
    </row>
    <row r="1285" spans="1:30">
      <c r="A1285" s="184">
        <v>1284</v>
      </c>
      <c r="B1285" s="184" t="s">
        <v>3182</v>
      </c>
      <c r="C1285" s="184" t="s">
        <v>598</v>
      </c>
      <c r="D1285" s="127">
        <v>42665</v>
      </c>
      <c r="E1285" s="127" t="s">
        <v>598</v>
      </c>
      <c r="F1285" s="184" t="s">
        <v>3183</v>
      </c>
      <c r="G1285" s="185">
        <v>0</v>
      </c>
      <c r="H1285" s="184" t="s">
        <v>598</v>
      </c>
      <c r="I1285" s="184" t="s">
        <v>120</v>
      </c>
      <c r="J1285" s="184" t="s">
        <v>84</v>
      </c>
      <c r="K1285" s="184" t="s">
        <v>291</v>
      </c>
      <c r="L1285" s="184" t="s">
        <v>598</v>
      </c>
      <c r="M1285" s="184" t="s">
        <v>3184</v>
      </c>
      <c r="N1285" s="184" t="s">
        <v>42</v>
      </c>
      <c r="O1285" s="184" t="s">
        <v>73</v>
      </c>
      <c r="P1285" s="186" t="s">
        <v>44</v>
      </c>
      <c r="Q1285" s="184" t="s">
        <v>598</v>
      </c>
      <c r="R1285" s="184" t="s">
        <v>598</v>
      </c>
      <c r="S1285" s="127">
        <v>42878</v>
      </c>
      <c r="T1285" s="184" t="s">
        <v>34</v>
      </c>
      <c r="U1285" s="184" t="s">
        <v>598</v>
      </c>
      <c r="V1285" s="185">
        <v>2000</v>
      </c>
      <c r="W1285" s="184" t="s">
        <v>493</v>
      </c>
      <c r="X1285" s="184" t="s">
        <v>598</v>
      </c>
      <c r="Y1285" s="185">
        <v>0</v>
      </c>
      <c r="Z1285" s="184" t="s">
        <v>598</v>
      </c>
      <c r="AA1285" s="21" t="s">
        <v>610</v>
      </c>
      <c r="AB1285" s="176" t="s">
        <v>489</v>
      </c>
      <c r="AC1285" s="172">
        <v>42996.328472222223</v>
      </c>
      <c r="AD1285" s="32" t="s">
        <v>552</v>
      </c>
    </row>
    <row r="1286" spans="1:30">
      <c r="A1286" s="184">
        <v>1285</v>
      </c>
      <c r="B1286" s="184" t="s">
        <v>3185</v>
      </c>
      <c r="C1286" s="184" t="s">
        <v>598</v>
      </c>
      <c r="D1286" s="127">
        <v>42665</v>
      </c>
      <c r="E1286" s="127" t="s">
        <v>598</v>
      </c>
      <c r="F1286" s="184" t="s">
        <v>3186</v>
      </c>
      <c r="G1286" s="185">
        <v>0</v>
      </c>
      <c r="H1286" s="184" t="s">
        <v>598</v>
      </c>
      <c r="I1286" s="184" t="s">
        <v>120</v>
      </c>
      <c r="J1286" s="184" t="s">
        <v>84</v>
      </c>
      <c r="K1286" s="184" t="s">
        <v>291</v>
      </c>
      <c r="L1286" s="184" t="s">
        <v>598</v>
      </c>
      <c r="M1286" s="184" t="s">
        <v>3184</v>
      </c>
      <c r="N1286" s="184" t="s">
        <v>42</v>
      </c>
      <c r="O1286" s="184" t="s">
        <v>73</v>
      </c>
      <c r="P1286" s="186" t="s">
        <v>67</v>
      </c>
      <c r="Q1286" s="184" t="s">
        <v>598</v>
      </c>
      <c r="R1286" s="184" t="s">
        <v>598</v>
      </c>
      <c r="S1286" s="127">
        <v>42878</v>
      </c>
      <c r="T1286" s="184" t="s">
        <v>3077</v>
      </c>
      <c r="U1286" s="184" t="s">
        <v>598</v>
      </c>
      <c r="V1286" s="185">
        <v>2000</v>
      </c>
      <c r="W1286" s="184" t="s">
        <v>493</v>
      </c>
      <c r="X1286" s="184" t="s">
        <v>598</v>
      </c>
      <c r="Y1286" s="185">
        <v>0</v>
      </c>
      <c r="Z1286" s="184" t="s">
        <v>598</v>
      </c>
      <c r="AA1286" s="21" t="s">
        <v>610</v>
      </c>
      <c r="AB1286" s="176" t="s">
        <v>489</v>
      </c>
      <c r="AC1286" s="172">
        <v>42996.328472222223</v>
      </c>
      <c r="AD1286" s="32" t="s">
        <v>552</v>
      </c>
    </row>
    <row r="1287" spans="1:30">
      <c r="A1287" s="184">
        <v>1286</v>
      </c>
      <c r="B1287" s="184" t="s">
        <v>3187</v>
      </c>
      <c r="C1287" s="184" t="s">
        <v>598</v>
      </c>
      <c r="D1287" s="127">
        <v>42665</v>
      </c>
      <c r="E1287" s="127" t="s">
        <v>598</v>
      </c>
      <c r="F1287" s="184" t="s">
        <v>3188</v>
      </c>
      <c r="G1287" s="185">
        <v>0</v>
      </c>
      <c r="H1287" s="184" t="s">
        <v>598</v>
      </c>
      <c r="I1287" s="184" t="s">
        <v>120</v>
      </c>
      <c r="J1287" s="184" t="s">
        <v>84</v>
      </c>
      <c r="K1287" s="184" t="s">
        <v>291</v>
      </c>
      <c r="L1287" s="184" t="s">
        <v>598</v>
      </c>
      <c r="M1287" s="184" t="s">
        <v>3184</v>
      </c>
      <c r="N1287" s="184" t="s">
        <v>42</v>
      </c>
      <c r="O1287" s="184" t="s">
        <v>73</v>
      </c>
      <c r="P1287" s="186" t="s">
        <v>602</v>
      </c>
      <c r="Q1287" s="184" t="s">
        <v>598</v>
      </c>
      <c r="R1287" s="184" t="s">
        <v>598</v>
      </c>
      <c r="S1287" s="127">
        <v>42878</v>
      </c>
      <c r="T1287" s="184" t="s">
        <v>3077</v>
      </c>
      <c r="U1287" s="184" t="s">
        <v>598</v>
      </c>
      <c r="V1287" s="185">
        <v>2000</v>
      </c>
      <c r="W1287" s="184" t="s">
        <v>493</v>
      </c>
      <c r="X1287" s="184" t="s">
        <v>598</v>
      </c>
      <c r="Y1287" s="185">
        <v>0</v>
      </c>
      <c r="Z1287" s="184" t="s">
        <v>598</v>
      </c>
      <c r="AA1287" s="21" t="s">
        <v>610</v>
      </c>
      <c r="AB1287" s="176" t="s">
        <v>489</v>
      </c>
      <c r="AC1287" s="172">
        <v>42996.328472222223</v>
      </c>
      <c r="AD1287" s="32" t="s">
        <v>552</v>
      </c>
    </row>
    <row r="1288" spans="1:30">
      <c r="A1288" s="184">
        <v>1287</v>
      </c>
      <c r="B1288" s="184" t="s">
        <v>3189</v>
      </c>
      <c r="C1288" s="184" t="s">
        <v>598</v>
      </c>
      <c r="D1288" s="127">
        <v>42665</v>
      </c>
      <c r="E1288" s="127" t="s">
        <v>598</v>
      </c>
      <c r="F1288" s="184" t="s">
        <v>3190</v>
      </c>
      <c r="G1288" s="185">
        <v>0</v>
      </c>
      <c r="H1288" s="184" t="s">
        <v>598</v>
      </c>
      <c r="I1288" s="184" t="s">
        <v>120</v>
      </c>
      <c r="J1288" s="184" t="s">
        <v>84</v>
      </c>
      <c r="K1288" s="184" t="s">
        <v>291</v>
      </c>
      <c r="L1288" s="184" t="s">
        <v>598</v>
      </c>
      <c r="M1288" s="184" t="s">
        <v>3184</v>
      </c>
      <c r="N1288" s="184" t="s">
        <v>42</v>
      </c>
      <c r="O1288" s="184" t="s">
        <v>73</v>
      </c>
      <c r="P1288" s="186" t="s">
        <v>603</v>
      </c>
      <c r="Q1288" s="184" t="s">
        <v>598</v>
      </c>
      <c r="R1288" s="184" t="s">
        <v>598</v>
      </c>
      <c r="S1288" s="127">
        <v>42878</v>
      </c>
      <c r="T1288" s="184" t="s">
        <v>3077</v>
      </c>
      <c r="U1288" s="184" t="s">
        <v>598</v>
      </c>
      <c r="V1288" s="185">
        <v>2000</v>
      </c>
      <c r="W1288" s="184" t="s">
        <v>493</v>
      </c>
      <c r="X1288" s="184" t="s">
        <v>598</v>
      </c>
      <c r="Y1288" s="185">
        <v>0</v>
      </c>
      <c r="Z1288" s="184" t="s">
        <v>598</v>
      </c>
      <c r="AA1288" s="21" t="s">
        <v>610</v>
      </c>
      <c r="AB1288" s="176" t="s">
        <v>489</v>
      </c>
      <c r="AC1288" s="172">
        <v>42996.328472222223</v>
      </c>
      <c r="AD1288" s="32" t="s">
        <v>552</v>
      </c>
    </row>
    <row r="1289" spans="1:30">
      <c r="A1289" s="184">
        <v>1288</v>
      </c>
      <c r="B1289" s="184" t="s">
        <v>3191</v>
      </c>
      <c r="C1289" s="184" t="s">
        <v>598</v>
      </c>
      <c r="D1289" s="127">
        <v>42685</v>
      </c>
      <c r="E1289" s="127" t="s">
        <v>598</v>
      </c>
      <c r="F1289" s="184" t="s">
        <v>3192</v>
      </c>
      <c r="G1289" s="185">
        <v>0</v>
      </c>
      <c r="H1289" s="184" t="s">
        <v>598</v>
      </c>
      <c r="I1289" s="184" t="s">
        <v>598</v>
      </c>
      <c r="J1289" s="184" t="s">
        <v>84</v>
      </c>
      <c r="K1289" s="184" t="s">
        <v>244</v>
      </c>
      <c r="L1289" s="184" t="s">
        <v>598</v>
      </c>
      <c r="M1289" s="184" t="s">
        <v>1919</v>
      </c>
      <c r="N1289" s="184" t="s">
        <v>42</v>
      </c>
      <c r="O1289" s="184" t="s">
        <v>42</v>
      </c>
      <c r="P1289" s="186" t="s">
        <v>604</v>
      </c>
      <c r="Q1289" s="184" t="s">
        <v>598</v>
      </c>
      <c r="R1289" s="184" t="s">
        <v>598</v>
      </c>
      <c r="S1289" s="127">
        <v>42861</v>
      </c>
      <c r="T1289" s="184" t="s">
        <v>10</v>
      </c>
      <c r="U1289" s="184" t="s">
        <v>598</v>
      </c>
      <c r="V1289" s="185">
        <v>2000</v>
      </c>
      <c r="W1289" s="184" t="s">
        <v>493</v>
      </c>
      <c r="X1289" s="184" t="s">
        <v>598</v>
      </c>
      <c r="Y1289" s="185">
        <v>0</v>
      </c>
      <c r="Z1289" s="184" t="s">
        <v>598</v>
      </c>
      <c r="AA1289" s="21" t="s">
        <v>610</v>
      </c>
      <c r="AB1289" s="176" t="s">
        <v>489</v>
      </c>
      <c r="AC1289" s="172">
        <v>42996.328472222223</v>
      </c>
      <c r="AD1289" s="32" t="s">
        <v>552</v>
      </c>
    </row>
    <row r="1290" spans="1:30">
      <c r="A1290" s="184">
        <v>1289</v>
      </c>
      <c r="B1290" s="184" t="s">
        <v>3193</v>
      </c>
      <c r="C1290" s="184" t="s">
        <v>598</v>
      </c>
      <c r="D1290" s="127">
        <v>42685</v>
      </c>
      <c r="E1290" s="127" t="s">
        <v>598</v>
      </c>
      <c r="F1290" s="184" t="s">
        <v>3194</v>
      </c>
      <c r="G1290" s="185">
        <v>0</v>
      </c>
      <c r="H1290" s="184" t="s">
        <v>598</v>
      </c>
      <c r="I1290" s="184" t="s">
        <v>598</v>
      </c>
      <c r="J1290" s="184" t="s">
        <v>84</v>
      </c>
      <c r="K1290" s="184" t="s">
        <v>244</v>
      </c>
      <c r="L1290" s="184" t="s">
        <v>598</v>
      </c>
      <c r="M1290" s="184" t="s">
        <v>1919</v>
      </c>
      <c r="N1290" s="184" t="s">
        <v>42</v>
      </c>
      <c r="O1290" s="184" t="s">
        <v>42</v>
      </c>
      <c r="P1290" s="186" t="s">
        <v>605</v>
      </c>
      <c r="Q1290" s="184" t="s">
        <v>598</v>
      </c>
      <c r="R1290" s="184" t="s">
        <v>598</v>
      </c>
      <c r="S1290" s="127">
        <v>42861</v>
      </c>
      <c r="T1290" s="184" t="s">
        <v>10</v>
      </c>
      <c r="U1290" s="184" t="s">
        <v>598</v>
      </c>
      <c r="V1290" s="185">
        <v>2000</v>
      </c>
      <c r="W1290" s="184" t="s">
        <v>493</v>
      </c>
      <c r="X1290" s="184" t="s">
        <v>598</v>
      </c>
      <c r="Y1290" s="185">
        <v>0</v>
      </c>
      <c r="Z1290" s="184" t="s">
        <v>598</v>
      </c>
      <c r="AA1290" s="21" t="s">
        <v>610</v>
      </c>
      <c r="AB1290" s="176" t="s">
        <v>489</v>
      </c>
      <c r="AC1290" s="172">
        <v>42996.328472222223</v>
      </c>
      <c r="AD1290" s="32" t="s">
        <v>552</v>
      </c>
    </row>
    <row r="1291" spans="1:30">
      <c r="A1291" s="184">
        <v>1290</v>
      </c>
      <c r="B1291" s="184" t="s">
        <v>3195</v>
      </c>
      <c r="C1291" s="184" t="s">
        <v>598</v>
      </c>
      <c r="D1291" s="127">
        <v>42685</v>
      </c>
      <c r="E1291" s="127" t="s">
        <v>598</v>
      </c>
      <c r="F1291" s="184" t="s">
        <v>3196</v>
      </c>
      <c r="G1291" s="185">
        <v>0</v>
      </c>
      <c r="H1291" s="184" t="s">
        <v>598</v>
      </c>
      <c r="I1291" s="184" t="s">
        <v>598</v>
      </c>
      <c r="J1291" s="184" t="s">
        <v>84</v>
      </c>
      <c r="K1291" s="184" t="s">
        <v>244</v>
      </c>
      <c r="L1291" s="184" t="s">
        <v>598</v>
      </c>
      <c r="M1291" s="184" t="s">
        <v>1919</v>
      </c>
      <c r="N1291" s="184" t="s">
        <v>42</v>
      </c>
      <c r="O1291" s="184" t="s">
        <v>42</v>
      </c>
      <c r="P1291" s="186" t="s">
        <v>606</v>
      </c>
      <c r="Q1291" s="184" t="s">
        <v>598</v>
      </c>
      <c r="R1291" s="184" t="s">
        <v>598</v>
      </c>
      <c r="S1291" s="127">
        <v>42861</v>
      </c>
      <c r="T1291" s="184" t="s">
        <v>10</v>
      </c>
      <c r="U1291" s="184" t="s">
        <v>598</v>
      </c>
      <c r="V1291" s="185">
        <v>2000</v>
      </c>
      <c r="W1291" s="184" t="s">
        <v>493</v>
      </c>
      <c r="X1291" s="184" t="s">
        <v>598</v>
      </c>
      <c r="Y1291" s="185">
        <v>0</v>
      </c>
      <c r="Z1291" s="184" t="s">
        <v>598</v>
      </c>
      <c r="AA1291" s="21" t="s">
        <v>610</v>
      </c>
      <c r="AB1291" s="176" t="s">
        <v>489</v>
      </c>
      <c r="AC1291" s="172">
        <v>42996.328472222223</v>
      </c>
      <c r="AD1291" s="32" t="s">
        <v>552</v>
      </c>
    </row>
    <row r="1292" spans="1:30">
      <c r="A1292" s="184">
        <v>1291</v>
      </c>
      <c r="B1292" s="184" t="s">
        <v>3197</v>
      </c>
      <c r="C1292" s="184" t="s">
        <v>598</v>
      </c>
      <c r="D1292" s="127">
        <v>42685</v>
      </c>
      <c r="E1292" s="127" t="s">
        <v>598</v>
      </c>
      <c r="F1292" s="184" t="s">
        <v>3198</v>
      </c>
      <c r="G1292" s="185">
        <v>0</v>
      </c>
      <c r="H1292" s="184" t="s">
        <v>598</v>
      </c>
      <c r="I1292" s="184" t="s">
        <v>134</v>
      </c>
      <c r="J1292" s="184" t="s">
        <v>84</v>
      </c>
      <c r="K1292" s="184" t="s">
        <v>244</v>
      </c>
      <c r="L1292" s="184" t="s">
        <v>598</v>
      </c>
      <c r="M1292" s="184" t="s">
        <v>1919</v>
      </c>
      <c r="N1292" s="184" t="s">
        <v>42</v>
      </c>
      <c r="O1292" s="184" t="s">
        <v>42</v>
      </c>
      <c r="P1292" s="186"/>
      <c r="Q1292" s="184" t="s">
        <v>598</v>
      </c>
      <c r="R1292" s="184" t="s">
        <v>598</v>
      </c>
      <c r="S1292" s="127">
        <v>42861</v>
      </c>
      <c r="T1292" s="184" t="s">
        <v>10</v>
      </c>
      <c r="U1292" s="184" t="s">
        <v>598</v>
      </c>
      <c r="V1292" s="185">
        <v>2000</v>
      </c>
      <c r="W1292" s="184" t="s">
        <v>493</v>
      </c>
      <c r="X1292" s="184" t="s">
        <v>598</v>
      </c>
      <c r="Y1292" s="185">
        <v>0</v>
      </c>
      <c r="Z1292" s="184" t="s">
        <v>598</v>
      </c>
      <c r="AA1292" s="21" t="s">
        <v>610</v>
      </c>
      <c r="AB1292" s="176" t="s">
        <v>489</v>
      </c>
      <c r="AC1292" s="172">
        <v>42996.328472222223</v>
      </c>
      <c r="AD1292" s="32" t="s">
        <v>552</v>
      </c>
    </row>
    <row r="1293" spans="1:30">
      <c r="A1293" s="184">
        <v>1292</v>
      </c>
      <c r="B1293" s="184" t="s">
        <v>3199</v>
      </c>
      <c r="C1293" s="184" t="s">
        <v>598</v>
      </c>
      <c r="D1293" s="127">
        <v>42685</v>
      </c>
      <c r="E1293" s="127" t="s">
        <v>598</v>
      </c>
      <c r="F1293" s="184" t="s">
        <v>3200</v>
      </c>
      <c r="G1293" s="185">
        <v>0</v>
      </c>
      <c r="H1293" s="184" t="s">
        <v>598</v>
      </c>
      <c r="I1293" s="184" t="s">
        <v>134</v>
      </c>
      <c r="J1293" s="184" t="s">
        <v>84</v>
      </c>
      <c r="K1293" s="184" t="s">
        <v>244</v>
      </c>
      <c r="L1293" s="184" t="s">
        <v>598</v>
      </c>
      <c r="M1293" s="184" t="s">
        <v>1919</v>
      </c>
      <c r="N1293" s="184" t="s">
        <v>42</v>
      </c>
      <c r="O1293" s="184" t="s">
        <v>42</v>
      </c>
      <c r="P1293" s="186" t="s">
        <v>73</v>
      </c>
      <c r="Q1293" s="184" t="s">
        <v>598</v>
      </c>
      <c r="R1293" s="184" t="s">
        <v>598</v>
      </c>
      <c r="S1293" s="127">
        <v>42861</v>
      </c>
      <c r="T1293" s="184" t="s">
        <v>10</v>
      </c>
      <c r="U1293" s="184" t="s">
        <v>598</v>
      </c>
      <c r="V1293" s="185">
        <v>2000</v>
      </c>
      <c r="W1293" s="184" t="s">
        <v>493</v>
      </c>
      <c r="X1293" s="184" t="s">
        <v>598</v>
      </c>
      <c r="Y1293" s="185">
        <v>0</v>
      </c>
      <c r="Z1293" s="184" t="s">
        <v>598</v>
      </c>
      <c r="AA1293" s="21" t="s">
        <v>610</v>
      </c>
      <c r="AB1293" s="176" t="s">
        <v>489</v>
      </c>
      <c r="AC1293" s="172">
        <v>42996.328472222223</v>
      </c>
      <c r="AD1293" s="32" t="s">
        <v>552</v>
      </c>
    </row>
    <row r="1294" spans="1:30">
      <c r="A1294" s="184">
        <v>1293</v>
      </c>
      <c r="B1294" s="184" t="s">
        <v>3201</v>
      </c>
      <c r="C1294" s="184" t="s">
        <v>598</v>
      </c>
      <c r="D1294" s="127">
        <v>42686</v>
      </c>
      <c r="E1294" s="127" t="s">
        <v>598</v>
      </c>
      <c r="F1294" s="184" t="s">
        <v>3202</v>
      </c>
      <c r="G1294" s="185">
        <v>0</v>
      </c>
      <c r="H1294" s="184" t="s">
        <v>598</v>
      </c>
      <c r="I1294" s="184" t="s">
        <v>598</v>
      </c>
      <c r="J1294" s="184" t="s">
        <v>84</v>
      </c>
      <c r="K1294" s="184" t="s">
        <v>281</v>
      </c>
      <c r="L1294" s="184" t="s">
        <v>598</v>
      </c>
      <c r="M1294" s="184" t="s">
        <v>1919</v>
      </c>
      <c r="N1294" s="184" t="s">
        <v>42</v>
      </c>
      <c r="O1294" s="184" t="s">
        <v>42</v>
      </c>
      <c r="P1294" s="186" t="s">
        <v>601</v>
      </c>
      <c r="Q1294" s="184" t="s">
        <v>598</v>
      </c>
      <c r="R1294" s="184" t="s">
        <v>598</v>
      </c>
      <c r="S1294" s="127">
        <v>42861</v>
      </c>
      <c r="T1294" s="184" t="s">
        <v>10</v>
      </c>
      <c r="U1294" s="184" t="s">
        <v>598</v>
      </c>
      <c r="V1294" s="185">
        <v>2000</v>
      </c>
      <c r="W1294" s="184" t="s">
        <v>493</v>
      </c>
      <c r="X1294" s="184" t="s">
        <v>598</v>
      </c>
      <c r="Y1294" s="185">
        <v>0</v>
      </c>
      <c r="Z1294" s="184" t="s">
        <v>598</v>
      </c>
      <c r="AA1294" s="21" t="s">
        <v>610</v>
      </c>
      <c r="AB1294" s="176" t="s">
        <v>489</v>
      </c>
      <c r="AC1294" s="172">
        <v>42996.328472222223</v>
      </c>
      <c r="AD1294" s="32" t="s">
        <v>552</v>
      </c>
    </row>
    <row r="1295" spans="1:30">
      <c r="A1295" s="184">
        <v>1294</v>
      </c>
      <c r="B1295" s="184" t="s">
        <v>3203</v>
      </c>
      <c r="C1295" s="184" t="s">
        <v>598</v>
      </c>
      <c r="D1295" s="127">
        <v>42693</v>
      </c>
      <c r="E1295" s="127" t="s">
        <v>598</v>
      </c>
      <c r="F1295" s="184" t="s">
        <v>3204</v>
      </c>
      <c r="G1295" s="185">
        <v>0</v>
      </c>
      <c r="H1295" s="184" t="s">
        <v>598</v>
      </c>
      <c r="I1295" s="184" t="s">
        <v>134</v>
      </c>
      <c r="J1295" s="184" t="s">
        <v>84</v>
      </c>
      <c r="K1295" s="184" t="s">
        <v>244</v>
      </c>
      <c r="L1295" s="184" t="s">
        <v>598</v>
      </c>
      <c r="M1295" s="184" t="s">
        <v>1919</v>
      </c>
      <c r="N1295" s="184" t="s">
        <v>42</v>
      </c>
      <c r="O1295" s="184" t="s">
        <v>598</v>
      </c>
      <c r="P1295" s="186" t="s">
        <v>32</v>
      </c>
      <c r="Q1295" s="184" t="s">
        <v>598</v>
      </c>
      <c r="R1295" s="184" t="s">
        <v>598</v>
      </c>
      <c r="S1295" s="127">
        <v>42861</v>
      </c>
      <c r="T1295" s="184" t="s">
        <v>10</v>
      </c>
      <c r="U1295" s="184" t="s">
        <v>598</v>
      </c>
      <c r="V1295" s="185">
        <v>2000</v>
      </c>
      <c r="W1295" s="184" t="s">
        <v>493</v>
      </c>
      <c r="X1295" s="184" t="s">
        <v>598</v>
      </c>
      <c r="Y1295" s="185">
        <v>0</v>
      </c>
      <c r="Z1295" s="184" t="s">
        <v>598</v>
      </c>
      <c r="AA1295" s="21" t="s">
        <v>610</v>
      </c>
      <c r="AB1295" s="176" t="s">
        <v>489</v>
      </c>
      <c r="AC1295" s="172">
        <v>42996.328472222223</v>
      </c>
      <c r="AD1295" s="32" t="s">
        <v>552</v>
      </c>
    </row>
    <row r="1296" spans="1:30">
      <c r="A1296" s="184">
        <v>1295</v>
      </c>
      <c r="B1296" s="184" t="s">
        <v>3205</v>
      </c>
      <c r="C1296" s="184" t="s">
        <v>598</v>
      </c>
      <c r="D1296" s="127">
        <v>42693</v>
      </c>
      <c r="E1296" s="127" t="s">
        <v>598</v>
      </c>
      <c r="F1296" s="184" t="s">
        <v>3206</v>
      </c>
      <c r="G1296" s="185">
        <v>0</v>
      </c>
      <c r="H1296" s="184" t="s">
        <v>598</v>
      </c>
      <c r="I1296" s="184" t="s">
        <v>134</v>
      </c>
      <c r="J1296" s="184" t="s">
        <v>84</v>
      </c>
      <c r="K1296" s="184" t="s">
        <v>244</v>
      </c>
      <c r="L1296" s="184" t="s">
        <v>598</v>
      </c>
      <c r="M1296" s="184" t="s">
        <v>1919</v>
      </c>
      <c r="N1296" s="184" t="s">
        <v>42</v>
      </c>
      <c r="O1296" s="184" t="s">
        <v>598</v>
      </c>
      <c r="P1296" s="186" t="s">
        <v>53</v>
      </c>
      <c r="Q1296" s="184" t="s">
        <v>598</v>
      </c>
      <c r="R1296" s="184" t="s">
        <v>598</v>
      </c>
      <c r="S1296" s="127">
        <v>42861</v>
      </c>
      <c r="T1296" s="184" t="s">
        <v>10</v>
      </c>
      <c r="U1296" s="184" t="s">
        <v>598</v>
      </c>
      <c r="V1296" s="185">
        <v>2000</v>
      </c>
      <c r="W1296" s="184" t="s">
        <v>493</v>
      </c>
      <c r="X1296" s="184" t="s">
        <v>598</v>
      </c>
      <c r="Y1296" s="185">
        <v>0</v>
      </c>
      <c r="Z1296" s="184" t="s">
        <v>598</v>
      </c>
      <c r="AA1296" s="21" t="s">
        <v>610</v>
      </c>
      <c r="AB1296" s="176" t="s">
        <v>489</v>
      </c>
      <c r="AC1296" s="172">
        <v>42996.328472222223</v>
      </c>
      <c r="AD1296" s="32" t="s">
        <v>552</v>
      </c>
    </row>
    <row r="1297" spans="1:30">
      <c r="A1297" s="184">
        <v>1296</v>
      </c>
      <c r="B1297" s="184" t="s">
        <v>3207</v>
      </c>
      <c r="C1297" s="184" t="s">
        <v>598</v>
      </c>
      <c r="D1297" s="127">
        <v>42693</v>
      </c>
      <c r="E1297" s="127" t="s">
        <v>598</v>
      </c>
      <c r="F1297" s="184" t="s">
        <v>3208</v>
      </c>
      <c r="G1297" s="185">
        <v>0</v>
      </c>
      <c r="H1297" s="184" t="s">
        <v>598</v>
      </c>
      <c r="I1297" s="184" t="s">
        <v>134</v>
      </c>
      <c r="J1297" s="184" t="s">
        <v>84</v>
      </c>
      <c r="K1297" s="184" t="s">
        <v>244</v>
      </c>
      <c r="L1297" s="184" t="s">
        <v>598</v>
      </c>
      <c r="M1297" s="184" t="s">
        <v>1919</v>
      </c>
      <c r="N1297" s="184" t="s">
        <v>42</v>
      </c>
      <c r="O1297" s="184" t="s">
        <v>598</v>
      </c>
      <c r="P1297" s="186" t="s">
        <v>44</v>
      </c>
      <c r="Q1297" s="184" t="s">
        <v>598</v>
      </c>
      <c r="R1297" s="184" t="s">
        <v>598</v>
      </c>
      <c r="S1297" s="127">
        <v>42861</v>
      </c>
      <c r="T1297" s="184" t="s">
        <v>10</v>
      </c>
      <c r="U1297" s="184" t="s">
        <v>598</v>
      </c>
      <c r="V1297" s="185">
        <v>2000</v>
      </c>
      <c r="W1297" s="184" t="s">
        <v>493</v>
      </c>
      <c r="X1297" s="184" t="s">
        <v>598</v>
      </c>
      <c r="Y1297" s="185">
        <v>0</v>
      </c>
      <c r="Z1297" s="184" t="s">
        <v>598</v>
      </c>
      <c r="AA1297" s="21" t="s">
        <v>610</v>
      </c>
      <c r="AB1297" s="176" t="s">
        <v>489</v>
      </c>
      <c r="AC1297" s="172">
        <v>42996.328472222223</v>
      </c>
      <c r="AD1297" s="32" t="s">
        <v>552</v>
      </c>
    </row>
    <row r="1298" spans="1:30">
      <c r="A1298" s="184">
        <v>1297</v>
      </c>
      <c r="B1298" s="184" t="s">
        <v>3209</v>
      </c>
      <c r="C1298" s="184" t="s">
        <v>598</v>
      </c>
      <c r="D1298" s="127">
        <v>42745</v>
      </c>
      <c r="E1298" s="127" t="s">
        <v>598</v>
      </c>
      <c r="F1298" s="184" t="s">
        <v>3210</v>
      </c>
      <c r="G1298" s="185">
        <v>0</v>
      </c>
      <c r="H1298" s="184" t="s">
        <v>598</v>
      </c>
      <c r="I1298" s="184" t="s">
        <v>48</v>
      </c>
      <c r="J1298" s="184" t="s">
        <v>84</v>
      </c>
      <c r="K1298" s="184" t="s">
        <v>291</v>
      </c>
      <c r="L1298" s="184" t="s">
        <v>598</v>
      </c>
      <c r="M1298" s="184" t="s">
        <v>1911</v>
      </c>
      <c r="N1298" s="184" t="s">
        <v>42</v>
      </c>
      <c r="O1298" s="184" t="s">
        <v>42</v>
      </c>
      <c r="P1298" s="186" t="s">
        <v>67</v>
      </c>
      <c r="Q1298" s="184" t="s">
        <v>598</v>
      </c>
      <c r="R1298" s="184" t="s">
        <v>598</v>
      </c>
      <c r="S1298" s="127">
        <v>42867</v>
      </c>
      <c r="T1298" s="184" t="s">
        <v>10</v>
      </c>
      <c r="U1298" s="184" t="s">
        <v>598</v>
      </c>
      <c r="V1298" s="185">
        <v>9000</v>
      </c>
      <c r="W1298" s="184" t="s">
        <v>493</v>
      </c>
      <c r="X1298" s="184" t="s">
        <v>598</v>
      </c>
      <c r="Y1298" s="185">
        <v>0</v>
      </c>
      <c r="Z1298" s="184" t="s">
        <v>598</v>
      </c>
      <c r="AA1298" s="21" t="s">
        <v>610</v>
      </c>
      <c r="AB1298" s="176" t="s">
        <v>489</v>
      </c>
      <c r="AC1298" s="172">
        <v>42996.328472222223</v>
      </c>
      <c r="AD1298" s="32" t="s">
        <v>552</v>
      </c>
    </row>
    <row r="1299" spans="1:30">
      <c r="A1299" s="184">
        <v>1298</v>
      </c>
      <c r="B1299" s="184" t="s">
        <v>3211</v>
      </c>
      <c r="C1299" s="184" t="s">
        <v>598</v>
      </c>
      <c r="D1299" s="127">
        <v>42755</v>
      </c>
      <c r="E1299" s="127" t="s">
        <v>598</v>
      </c>
      <c r="F1299" s="184" t="s">
        <v>3212</v>
      </c>
      <c r="G1299" s="185">
        <v>0</v>
      </c>
      <c r="H1299" s="184" t="s">
        <v>598</v>
      </c>
      <c r="I1299" s="184" t="s">
        <v>122</v>
      </c>
      <c r="J1299" s="184" t="s">
        <v>84</v>
      </c>
      <c r="K1299" s="184" t="s">
        <v>291</v>
      </c>
      <c r="L1299" s="184" t="s">
        <v>598</v>
      </c>
      <c r="M1299" s="184" t="s">
        <v>1911</v>
      </c>
      <c r="N1299" s="184" t="s">
        <v>42</v>
      </c>
      <c r="O1299" s="184" t="s">
        <v>598</v>
      </c>
      <c r="P1299" s="186" t="s">
        <v>602</v>
      </c>
      <c r="Q1299" s="184" t="s">
        <v>598</v>
      </c>
      <c r="R1299" s="184" t="s">
        <v>598</v>
      </c>
      <c r="S1299" s="127">
        <v>42867</v>
      </c>
      <c r="T1299" s="184" t="s">
        <v>10</v>
      </c>
      <c r="U1299" s="184" t="s">
        <v>598</v>
      </c>
      <c r="V1299" s="185">
        <v>9000</v>
      </c>
      <c r="W1299" s="184" t="s">
        <v>493</v>
      </c>
      <c r="X1299" s="184" t="s">
        <v>598</v>
      </c>
      <c r="Y1299" s="185">
        <v>0</v>
      </c>
      <c r="Z1299" s="184" t="s">
        <v>598</v>
      </c>
      <c r="AA1299" s="21" t="s">
        <v>610</v>
      </c>
      <c r="AB1299" s="176" t="s">
        <v>489</v>
      </c>
      <c r="AC1299" s="172">
        <v>42996.328472222223</v>
      </c>
      <c r="AD1299" s="32" t="s">
        <v>552</v>
      </c>
    </row>
    <row r="1300" spans="1:30">
      <c r="A1300" s="184">
        <v>1299</v>
      </c>
      <c r="B1300" s="184" t="s">
        <v>3213</v>
      </c>
      <c r="C1300" s="184" t="s">
        <v>598</v>
      </c>
      <c r="D1300" s="127">
        <v>42763</v>
      </c>
      <c r="E1300" s="127" t="s">
        <v>598</v>
      </c>
      <c r="F1300" s="184" t="s">
        <v>3214</v>
      </c>
      <c r="G1300" s="185">
        <v>0</v>
      </c>
      <c r="H1300" s="184" t="s">
        <v>598</v>
      </c>
      <c r="I1300" s="184" t="s">
        <v>134</v>
      </c>
      <c r="J1300" s="184" t="s">
        <v>84</v>
      </c>
      <c r="K1300" s="184" t="s">
        <v>3215</v>
      </c>
      <c r="L1300" s="184" t="s">
        <v>598</v>
      </c>
      <c r="M1300" s="184" t="s">
        <v>1919</v>
      </c>
      <c r="N1300" s="184" t="s">
        <v>42</v>
      </c>
      <c r="O1300" s="184" t="s">
        <v>598</v>
      </c>
      <c r="P1300" s="186" t="s">
        <v>603</v>
      </c>
      <c r="Q1300" s="184" t="s">
        <v>598</v>
      </c>
      <c r="R1300" s="184" t="s">
        <v>598</v>
      </c>
      <c r="S1300" s="127">
        <v>42861</v>
      </c>
      <c r="T1300" s="184" t="s">
        <v>10</v>
      </c>
      <c r="U1300" s="184" t="s">
        <v>598</v>
      </c>
      <c r="V1300" s="185">
        <v>2000</v>
      </c>
      <c r="W1300" s="184" t="s">
        <v>493</v>
      </c>
      <c r="X1300" s="184" t="s">
        <v>598</v>
      </c>
      <c r="Y1300" s="185">
        <v>0</v>
      </c>
      <c r="Z1300" s="184" t="s">
        <v>598</v>
      </c>
      <c r="AA1300" s="21" t="s">
        <v>610</v>
      </c>
      <c r="AB1300" s="176" t="s">
        <v>489</v>
      </c>
      <c r="AC1300" s="172">
        <v>42996.328472222223</v>
      </c>
      <c r="AD1300" s="32" t="s">
        <v>552</v>
      </c>
    </row>
    <row r="1301" spans="1:30">
      <c r="A1301" s="184">
        <v>1300</v>
      </c>
      <c r="B1301" s="184" t="s">
        <v>3216</v>
      </c>
      <c r="C1301" s="184" t="s">
        <v>598</v>
      </c>
      <c r="D1301" s="127">
        <v>42769</v>
      </c>
      <c r="E1301" s="127" t="s">
        <v>598</v>
      </c>
      <c r="F1301" s="184" t="s">
        <v>3217</v>
      </c>
      <c r="G1301" s="185">
        <v>0</v>
      </c>
      <c r="H1301" s="184" t="s">
        <v>598</v>
      </c>
      <c r="I1301" s="184" t="s">
        <v>120</v>
      </c>
      <c r="J1301" s="184" t="s">
        <v>84</v>
      </c>
      <c r="K1301" s="184" t="s">
        <v>281</v>
      </c>
      <c r="L1301" s="184" t="s">
        <v>598</v>
      </c>
      <c r="M1301" s="184" t="s">
        <v>2872</v>
      </c>
      <c r="N1301" s="184" t="s">
        <v>42</v>
      </c>
      <c r="O1301" s="184" t="s">
        <v>73</v>
      </c>
      <c r="P1301" s="186" t="s">
        <v>604</v>
      </c>
      <c r="Q1301" s="184" t="s">
        <v>598</v>
      </c>
      <c r="R1301" s="184" t="s">
        <v>598</v>
      </c>
      <c r="S1301" s="127">
        <v>42874</v>
      </c>
      <c r="T1301" s="184" t="s">
        <v>10</v>
      </c>
      <c r="U1301" s="184" t="s">
        <v>598</v>
      </c>
      <c r="V1301" s="185">
        <v>4000</v>
      </c>
      <c r="W1301" s="184" t="s">
        <v>493</v>
      </c>
      <c r="X1301" s="184" t="s">
        <v>598</v>
      </c>
      <c r="Y1301" s="185">
        <v>0</v>
      </c>
      <c r="Z1301" s="184" t="s">
        <v>598</v>
      </c>
      <c r="AA1301" s="21" t="s">
        <v>610</v>
      </c>
      <c r="AB1301" s="176" t="s">
        <v>489</v>
      </c>
      <c r="AC1301" s="172">
        <v>42996.328472222223</v>
      </c>
      <c r="AD1301" s="32" t="s">
        <v>552</v>
      </c>
    </row>
    <row r="1302" spans="1:30">
      <c r="A1302" s="184">
        <v>1301</v>
      </c>
      <c r="B1302" s="184" t="s">
        <v>3218</v>
      </c>
      <c r="C1302" s="184" t="s">
        <v>598</v>
      </c>
      <c r="D1302" s="127">
        <v>42779</v>
      </c>
      <c r="E1302" s="127" t="s">
        <v>598</v>
      </c>
      <c r="F1302" s="184" t="s">
        <v>3219</v>
      </c>
      <c r="G1302" s="185">
        <v>0</v>
      </c>
      <c r="H1302" s="184" t="s">
        <v>598</v>
      </c>
      <c r="I1302" s="184" t="s">
        <v>58</v>
      </c>
      <c r="J1302" s="184" t="s">
        <v>84</v>
      </c>
      <c r="K1302" s="184" t="s">
        <v>189</v>
      </c>
      <c r="L1302" s="184" t="s">
        <v>598</v>
      </c>
      <c r="M1302" s="184" t="s">
        <v>2060</v>
      </c>
      <c r="N1302" s="184" t="s">
        <v>42</v>
      </c>
      <c r="O1302" s="184" t="s">
        <v>73</v>
      </c>
      <c r="P1302" s="186" t="s">
        <v>605</v>
      </c>
      <c r="Q1302" s="184" t="s">
        <v>598</v>
      </c>
      <c r="R1302" s="184" t="s">
        <v>598</v>
      </c>
      <c r="S1302" s="127">
        <v>42863</v>
      </c>
      <c r="T1302" s="184" t="s">
        <v>10</v>
      </c>
      <c r="U1302" s="184" t="s">
        <v>598</v>
      </c>
      <c r="V1302" s="185">
        <v>7500</v>
      </c>
      <c r="W1302" s="184" t="s">
        <v>493</v>
      </c>
      <c r="X1302" s="184" t="s">
        <v>598</v>
      </c>
      <c r="Y1302" s="185">
        <v>0</v>
      </c>
      <c r="Z1302" s="184" t="s">
        <v>598</v>
      </c>
      <c r="AA1302" s="21" t="s">
        <v>610</v>
      </c>
      <c r="AB1302" s="176" t="s">
        <v>489</v>
      </c>
      <c r="AC1302" s="172">
        <v>42996.328472222223</v>
      </c>
      <c r="AD1302" s="32" t="s">
        <v>552</v>
      </c>
    </row>
    <row r="1303" spans="1:30">
      <c r="A1303" s="184">
        <v>1302</v>
      </c>
      <c r="B1303" s="184" t="s">
        <v>3220</v>
      </c>
      <c r="C1303" s="184" t="s">
        <v>598</v>
      </c>
      <c r="D1303" s="127">
        <v>42800</v>
      </c>
      <c r="E1303" s="127" t="s">
        <v>598</v>
      </c>
      <c r="F1303" s="184" t="s">
        <v>3221</v>
      </c>
      <c r="G1303" s="185">
        <v>0</v>
      </c>
      <c r="H1303" s="184" t="s">
        <v>598</v>
      </c>
      <c r="I1303" s="184" t="s">
        <v>115</v>
      </c>
      <c r="J1303" s="184" t="s">
        <v>84</v>
      </c>
      <c r="K1303" s="184" t="s">
        <v>276</v>
      </c>
      <c r="L1303" s="184" t="s">
        <v>598</v>
      </c>
      <c r="M1303" s="184" t="s">
        <v>1951</v>
      </c>
      <c r="N1303" s="184" t="s">
        <v>42</v>
      </c>
      <c r="O1303" s="184" t="s">
        <v>598</v>
      </c>
      <c r="P1303" s="186" t="s">
        <v>606</v>
      </c>
      <c r="Q1303" s="184" t="s">
        <v>598</v>
      </c>
      <c r="R1303" s="184" t="s">
        <v>598</v>
      </c>
      <c r="S1303" s="127">
        <v>42873</v>
      </c>
      <c r="T1303" s="184" t="s">
        <v>10</v>
      </c>
      <c r="U1303" s="184" t="s">
        <v>598</v>
      </c>
      <c r="V1303" s="185">
        <v>13500</v>
      </c>
      <c r="W1303" s="184" t="s">
        <v>493</v>
      </c>
      <c r="X1303" s="184" t="s">
        <v>598</v>
      </c>
      <c r="Y1303" s="185">
        <v>0</v>
      </c>
      <c r="Z1303" s="184" t="s">
        <v>598</v>
      </c>
      <c r="AA1303" s="21" t="s">
        <v>610</v>
      </c>
      <c r="AB1303" s="176" t="s">
        <v>489</v>
      </c>
      <c r="AC1303" s="172">
        <v>42996.328472222223</v>
      </c>
      <c r="AD1303" s="32" t="s">
        <v>552</v>
      </c>
    </row>
    <row r="1304" spans="1:30">
      <c r="A1304" s="184">
        <v>1303</v>
      </c>
      <c r="B1304" s="184" t="s">
        <v>3222</v>
      </c>
      <c r="C1304" s="184" t="s">
        <v>598</v>
      </c>
      <c r="D1304" s="127">
        <v>42802</v>
      </c>
      <c r="E1304" s="127" t="s">
        <v>598</v>
      </c>
      <c r="F1304" s="184" t="s">
        <v>3223</v>
      </c>
      <c r="G1304" s="185">
        <v>0</v>
      </c>
      <c r="H1304" s="184" t="s">
        <v>598</v>
      </c>
      <c r="I1304" s="184" t="s">
        <v>115</v>
      </c>
      <c r="J1304" s="184" t="s">
        <v>84</v>
      </c>
      <c r="K1304" s="184" t="s">
        <v>446</v>
      </c>
      <c r="L1304" s="184" t="s">
        <v>598</v>
      </c>
      <c r="M1304" s="184" t="s">
        <v>598</v>
      </c>
      <c r="N1304" s="184" t="s">
        <v>42</v>
      </c>
      <c r="O1304" s="184" t="s">
        <v>598</v>
      </c>
      <c r="P1304" s="186"/>
      <c r="Q1304" s="184" t="s">
        <v>598</v>
      </c>
      <c r="R1304" s="184" t="s">
        <v>598</v>
      </c>
      <c r="S1304" s="127">
        <v>42873</v>
      </c>
      <c r="T1304" s="184" t="s">
        <v>10</v>
      </c>
      <c r="U1304" s="184" t="s">
        <v>598</v>
      </c>
      <c r="V1304" s="185">
        <v>13500</v>
      </c>
      <c r="W1304" s="184" t="s">
        <v>493</v>
      </c>
      <c r="X1304" s="184" t="s">
        <v>598</v>
      </c>
      <c r="Y1304" s="185">
        <v>0</v>
      </c>
      <c r="Z1304" s="184" t="s">
        <v>598</v>
      </c>
      <c r="AA1304" s="21" t="s">
        <v>610</v>
      </c>
      <c r="AB1304" s="176" t="s">
        <v>489</v>
      </c>
      <c r="AC1304" s="172">
        <v>42996.328472222223</v>
      </c>
      <c r="AD1304" s="32" t="s">
        <v>552</v>
      </c>
    </row>
    <row r="1305" spans="1:30">
      <c r="A1305" s="184">
        <v>1304</v>
      </c>
      <c r="B1305" s="184" t="s">
        <v>3224</v>
      </c>
      <c r="C1305" s="184" t="s">
        <v>598</v>
      </c>
      <c r="D1305" s="127">
        <v>42803</v>
      </c>
      <c r="E1305" s="127" t="s">
        <v>598</v>
      </c>
      <c r="F1305" s="184" t="s">
        <v>3225</v>
      </c>
      <c r="G1305" s="185">
        <v>0</v>
      </c>
      <c r="H1305" s="184" t="s">
        <v>598</v>
      </c>
      <c r="I1305" s="184" t="s">
        <v>115</v>
      </c>
      <c r="J1305" s="184" t="s">
        <v>84</v>
      </c>
      <c r="K1305" s="184" t="s">
        <v>281</v>
      </c>
      <c r="L1305" s="184" t="s">
        <v>598</v>
      </c>
      <c r="M1305" s="184" t="s">
        <v>1962</v>
      </c>
      <c r="N1305" s="184" t="s">
        <v>42</v>
      </c>
      <c r="O1305" s="184" t="s">
        <v>598</v>
      </c>
      <c r="P1305" s="186" t="s">
        <v>73</v>
      </c>
      <c r="Q1305" s="184" t="s">
        <v>598</v>
      </c>
      <c r="R1305" s="184" t="s">
        <v>598</v>
      </c>
      <c r="S1305" s="127">
        <v>42867</v>
      </c>
      <c r="T1305" s="184" t="s">
        <v>10</v>
      </c>
      <c r="U1305" s="184" t="s">
        <v>598</v>
      </c>
      <c r="V1305" s="185">
        <v>13500</v>
      </c>
      <c r="W1305" s="184" t="s">
        <v>493</v>
      </c>
      <c r="X1305" s="184" t="s">
        <v>598</v>
      </c>
      <c r="Y1305" s="185">
        <v>0</v>
      </c>
      <c r="Z1305" s="184" t="s">
        <v>598</v>
      </c>
      <c r="AA1305" s="21" t="s">
        <v>610</v>
      </c>
      <c r="AB1305" s="176" t="s">
        <v>489</v>
      </c>
      <c r="AC1305" s="172">
        <v>42996.328472222223</v>
      </c>
      <c r="AD1305" s="32" t="s">
        <v>552</v>
      </c>
    </row>
    <row r="1306" spans="1:30">
      <c r="A1306" s="184">
        <v>1305</v>
      </c>
      <c r="B1306" s="184" t="s">
        <v>3226</v>
      </c>
      <c r="C1306" s="184" t="s">
        <v>598</v>
      </c>
      <c r="D1306" s="127">
        <v>42808</v>
      </c>
      <c r="E1306" s="127" t="s">
        <v>598</v>
      </c>
      <c r="F1306" s="184" t="s">
        <v>3227</v>
      </c>
      <c r="G1306" s="185">
        <v>0</v>
      </c>
      <c r="H1306" s="184" t="s">
        <v>598</v>
      </c>
      <c r="I1306" s="184" t="s">
        <v>134</v>
      </c>
      <c r="J1306" s="184" t="s">
        <v>84</v>
      </c>
      <c r="K1306" s="184" t="s">
        <v>386</v>
      </c>
      <c r="L1306" s="184" t="s">
        <v>598</v>
      </c>
      <c r="M1306" s="184" t="s">
        <v>1488</v>
      </c>
      <c r="N1306" s="184" t="s">
        <v>42</v>
      </c>
      <c r="O1306" s="184" t="s">
        <v>42</v>
      </c>
      <c r="P1306" s="186" t="s">
        <v>601</v>
      </c>
      <c r="Q1306" s="184" t="s">
        <v>598</v>
      </c>
      <c r="R1306" s="184" t="s">
        <v>804</v>
      </c>
      <c r="S1306" s="127">
        <v>42867</v>
      </c>
      <c r="T1306" s="184" t="s">
        <v>10</v>
      </c>
      <c r="U1306" s="184" t="s">
        <v>598</v>
      </c>
      <c r="V1306" s="185">
        <v>9000</v>
      </c>
      <c r="W1306" s="184" t="s">
        <v>493</v>
      </c>
      <c r="X1306" s="184" t="s">
        <v>598</v>
      </c>
      <c r="Y1306" s="185">
        <v>0</v>
      </c>
      <c r="Z1306" s="184" t="s">
        <v>598</v>
      </c>
      <c r="AA1306" s="21" t="s">
        <v>610</v>
      </c>
      <c r="AB1306" s="176" t="s">
        <v>489</v>
      </c>
      <c r="AC1306" s="172">
        <v>42996.328472222223</v>
      </c>
      <c r="AD1306" s="32" t="s">
        <v>552</v>
      </c>
    </row>
    <row r="1307" spans="1:30">
      <c r="A1307" s="184">
        <v>1306</v>
      </c>
      <c r="B1307" s="184" t="s">
        <v>3228</v>
      </c>
      <c r="C1307" s="184" t="s">
        <v>598</v>
      </c>
      <c r="D1307" s="127">
        <v>42811</v>
      </c>
      <c r="E1307" s="127" t="s">
        <v>598</v>
      </c>
      <c r="F1307" s="184" t="s">
        <v>3229</v>
      </c>
      <c r="G1307" s="185">
        <v>0</v>
      </c>
      <c r="H1307" s="184" t="s">
        <v>598</v>
      </c>
      <c r="I1307" s="184" t="s">
        <v>134</v>
      </c>
      <c r="J1307" s="184" t="s">
        <v>84</v>
      </c>
      <c r="K1307" s="184" t="s">
        <v>301</v>
      </c>
      <c r="L1307" s="184" t="s">
        <v>598</v>
      </c>
      <c r="M1307" s="184" t="s">
        <v>73</v>
      </c>
      <c r="N1307" s="184" t="s">
        <v>42</v>
      </c>
      <c r="O1307" s="184" t="s">
        <v>51</v>
      </c>
      <c r="P1307" s="186" t="s">
        <v>32</v>
      </c>
      <c r="Q1307" s="184" t="s">
        <v>598</v>
      </c>
      <c r="R1307" s="184" t="s">
        <v>598</v>
      </c>
      <c r="S1307" s="127">
        <v>42858</v>
      </c>
      <c r="T1307" s="184" t="s">
        <v>10</v>
      </c>
      <c r="U1307" s="184" t="s">
        <v>598</v>
      </c>
      <c r="V1307" s="185">
        <v>4000</v>
      </c>
      <c r="W1307" s="184" t="s">
        <v>493</v>
      </c>
      <c r="X1307" s="184" t="s">
        <v>598</v>
      </c>
      <c r="Y1307" s="185">
        <v>0</v>
      </c>
      <c r="Z1307" s="184" t="s">
        <v>598</v>
      </c>
      <c r="AA1307" s="21" t="s">
        <v>610</v>
      </c>
      <c r="AB1307" s="176" t="s">
        <v>489</v>
      </c>
      <c r="AC1307" s="172">
        <v>42996.328472222223</v>
      </c>
      <c r="AD1307" s="32" t="s">
        <v>552</v>
      </c>
    </row>
    <row r="1308" spans="1:30">
      <c r="A1308" s="184">
        <v>1307</v>
      </c>
      <c r="B1308" s="184" t="s">
        <v>3230</v>
      </c>
      <c r="C1308" s="184" t="s">
        <v>598</v>
      </c>
      <c r="D1308" s="127">
        <v>42817</v>
      </c>
      <c r="E1308" s="127" t="s">
        <v>598</v>
      </c>
      <c r="F1308" s="184" t="s">
        <v>3231</v>
      </c>
      <c r="G1308" s="185">
        <v>0</v>
      </c>
      <c r="H1308" s="184" t="s">
        <v>598</v>
      </c>
      <c r="I1308" s="184" t="s">
        <v>120</v>
      </c>
      <c r="J1308" s="184" t="s">
        <v>84</v>
      </c>
      <c r="K1308" s="184" t="s">
        <v>3232</v>
      </c>
      <c r="L1308" s="184" t="s">
        <v>598</v>
      </c>
      <c r="M1308" s="184" t="s">
        <v>3233</v>
      </c>
      <c r="N1308" s="184" t="s">
        <v>42</v>
      </c>
      <c r="O1308" s="184" t="s">
        <v>598</v>
      </c>
      <c r="P1308" s="186" t="s">
        <v>53</v>
      </c>
      <c r="Q1308" s="184" t="s">
        <v>598</v>
      </c>
      <c r="R1308" s="184" t="s">
        <v>598</v>
      </c>
      <c r="S1308" s="127">
        <v>42874</v>
      </c>
      <c r="T1308" s="184" t="s">
        <v>10</v>
      </c>
      <c r="U1308" s="184" t="s">
        <v>598</v>
      </c>
      <c r="V1308" s="185">
        <v>4000</v>
      </c>
      <c r="W1308" s="184" t="s">
        <v>493</v>
      </c>
      <c r="X1308" s="184" t="s">
        <v>598</v>
      </c>
      <c r="Y1308" s="185">
        <v>0</v>
      </c>
      <c r="Z1308" s="184" t="s">
        <v>598</v>
      </c>
      <c r="AA1308" s="21" t="s">
        <v>610</v>
      </c>
      <c r="AB1308" s="176" t="s">
        <v>489</v>
      </c>
      <c r="AC1308" s="172">
        <v>42996.328472222223</v>
      </c>
      <c r="AD1308" s="32" t="s">
        <v>552</v>
      </c>
    </row>
    <row r="1309" spans="1:30">
      <c r="A1309" s="184">
        <v>1308</v>
      </c>
      <c r="B1309" s="184" t="s">
        <v>3234</v>
      </c>
      <c r="C1309" s="184" t="s">
        <v>598</v>
      </c>
      <c r="D1309" s="127">
        <v>42817</v>
      </c>
      <c r="E1309" s="127" t="s">
        <v>598</v>
      </c>
      <c r="F1309" s="184" t="s">
        <v>3235</v>
      </c>
      <c r="G1309" s="185">
        <v>0</v>
      </c>
      <c r="H1309" s="184" t="s">
        <v>598</v>
      </c>
      <c r="I1309" s="184" t="s">
        <v>120</v>
      </c>
      <c r="J1309" s="184" t="s">
        <v>84</v>
      </c>
      <c r="K1309" s="184" t="s">
        <v>281</v>
      </c>
      <c r="L1309" s="184" t="s">
        <v>598</v>
      </c>
      <c r="M1309" s="184" t="s">
        <v>3233</v>
      </c>
      <c r="N1309" s="184" t="s">
        <v>42</v>
      </c>
      <c r="O1309" s="184" t="s">
        <v>598</v>
      </c>
      <c r="P1309" s="186" t="s">
        <v>44</v>
      </c>
      <c r="Q1309" s="184" t="s">
        <v>598</v>
      </c>
      <c r="R1309" s="184" t="s">
        <v>598</v>
      </c>
      <c r="S1309" s="127">
        <v>42874</v>
      </c>
      <c r="T1309" s="184" t="s">
        <v>10</v>
      </c>
      <c r="U1309" s="184" t="s">
        <v>598</v>
      </c>
      <c r="V1309" s="185">
        <v>4000</v>
      </c>
      <c r="W1309" s="184" t="s">
        <v>493</v>
      </c>
      <c r="X1309" s="184" t="s">
        <v>598</v>
      </c>
      <c r="Y1309" s="185">
        <v>0</v>
      </c>
      <c r="Z1309" s="184" t="s">
        <v>598</v>
      </c>
      <c r="AA1309" s="21" t="s">
        <v>610</v>
      </c>
      <c r="AB1309" s="176" t="s">
        <v>489</v>
      </c>
      <c r="AC1309" s="172">
        <v>42996.328472222223</v>
      </c>
      <c r="AD1309" s="32" t="s">
        <v>552</v>
      </c>
    </row>
    <row r="1310" spans="1:30">
      <c r="A1310" s="184">
        <v>1309</v>
      </c>
      <c r="B1310" s="184" t="s">
        <v>3236</v>
      </c>
      <c r="C1310" s="184" t="s">
        <v>598</v>
      </c>
      <c r="D1310" s="127">
        <v>42822</v>
      </c>
      <c r="E1310" s="127" t="s">
        <v>598</v>
      </c>
      <c r="F1310" s="184" t="s">
        <v>3237</v>
      </c>
      <c r="G1310" s="185">
        <v>0</v>
      </c>
      <c r="H1310" s="184" t="s">
        <v>598</v>
      </c>
      <c r="I1310" s="184" t="s">
        <v>115</v>
      </c>
      <c r="J1310" s="184" t="s">
        <v>84</v>
      </c>
      <c r="K1310" s="184" t="s">
        <v>281</v>
      </c>
      <c r="L1310" s="184" t="s">
        <v>598</v>
      </c>
      <c r="M1310" s="184" t="s">
        <v>85</v>
      </c>
      <c r="N1310" s="184" t="s">
        <v>42</v>
      </c>
      <c r="O1310" s="184" t="s">
        <v>598</v>
      </c>
      <c r="P1310" s="186" t="s">
        <v>67</v>
      </c>
      <c r="Q1310" s="184" t="s">
        <v>598</v>
      </c>
      <c r="R1310" s="184" t="s">
        <v>598</v>
      </c>
      <c r="S1310" s="127">
        <v>42867</v>
      </c>
      <c r="T1310" s="184" t="s">
        <v>10</v>
      </c>
      <c r="U1310" s="184" t="s">
        <v>598</v>
      </c>
      <c r="V1310" s="185">
        <v>13500</v>
      </c>
      <c r="W1310" s="184" t="s">
        <v>493</v>
      </c>
      <c r="X1310" s="184" t="s">
        <v>598</v>
      </c>
      <c r="Y1310" s="185">
        <v>0</v>
      </c>
      <c r="Z1310" s="184" t="s">
        <v>598</v>
      </c>
      <c r="AA1310" s="21" t="s">
        <v>610</v>
      </c>
      <c r="AB1310" s="176" t="s">
        <v>489</v>
      </c>
      <c r="AC1310" s="172">
        <v>42996.328472222223</v>
      </c>
      <c r="AD1310" s="32" t="s">
        <v>552</v>
      </c>
    </row>
    <row r="1311" spans="1:30">
      <c r="A1311" s="184">
        <v>1310</v>
      </c>
      <c r="B1311" s="184" t="s">
        <v>3238</v>
      </c>
      <c r="C1311" s="184" t="s">
        <v>598</v>
      </c>
      <c r="D1311" s="127">
        <v>42830</v>
      </c>
      <c r="E1311" s="127" t="s">
        <v>598</v>
      </c>
      <c r="F1311" s="184" t="s">
        <v>3239</v>
      </c>
      <c r="G1311" s="185">
        <v>0</v>
      </c>
      <c r="H1311" s="184" t="s">
        <v>598</v>
      </c>
      <c r="I1311" s="184" t="s">
        <v>134</v>
      </c>
      <c r="J1311" s="184" t="s">
        <v>84</v>
      </c>
      <c r="K1311" s="184" t="s">
        <v>380</v>
      </c>
      <c r="L1311" s="184" t="s">
        <v>598</v>
      </c>
      <c r="M1311" s="184" t="s">
        <v>598</v>
      </c>
      <c r="N1311" s="184" t="s">
        <v>42</v>
      </c>
      <c r="O1311" s="184" t="s">
        <v>42</v>
      </c>
      <c r="P1311" s="186" t="s">
        <v>602</v>
      </c>
      <c r="Q1311" s="184" t="s">
        <v>598</v>
      </c>
      <c r="R1311" s="184" t="s">
        <v>598</v>
      </c>
      <c r="S1311" s="127">
        <v>42874</v>
      </c>
      <c r="T1311" s="184" t="s">
        <v>10</v>
      </c>
      <c r="U1311" s="184" t="s">
        <v>598</v>
      </c>
      <c r="V1311" s="185">
        <v>4000</v>
      </c>
      <c r="W1311" s="184" t="s">
        <v>493</v>
      </c>
      <c r="X1311" s="184" t="s">
        <v>598</v>
      </c>
      <c r="Y1311" s="185">
        <v>0</v>
      </c>
      <c r="Z1311" s="184" t="s">
        <v>598</v>
      </c>
      <c r="AA1311" s="21" t="s">
        <v>610</v>
      </c>
      <c r="AB1311" s="176" t="s">
        <v>489</v>
      </c>
      <c r="AC1311" s="172">
        <v>42996.328472222223</v>
      </c>
      <c r="AD1311" s="32" t="s">
        <v>552</v>
      </c>
    </row>
    <row r="1312" spans="1:30">
      <c r="A1312" s="184">
        <v>1311</v>
      </c>
      <c r="B1312" s="184" t="s">
        <v>3240</v>
      </c>
      <c r="C1312" s="184" t="s">
        <v>598</v>
      </c>
      <c r="D1312" s="127">
        <v>42836</v>
      </c>
      <c r="E1312" s="127" t="s">
        <v>598</v>
      </c>
      <c r="F1312" s="184" t="s">
        <v>3241</v>
      </c>
      <c r="G1312" s="185">
        <v>0</v>
      </c>
      <c r="H1312" s="184" t="s">
        <v>598</v>
      </c>
      <c r="I1312" s="184" t="s">
        <v>115</v>
      </c>
      <c r="J1312" s="184" t="s">
        <v>84</v>
      </c>
      <c r="K1312" s="184" t="s">
        <v>276</v>
      </c>
      <c r="L1312" s="184" t="s">
        <v>598</v>
      </c>
      <c r="M1312" s="184" t="s">
        <v>1951</v>
      </c>
      <c r="N1312" s="184" t="s">
        <v>42</v>
      </c>
      <c r="O1312" s="184" t="s">
        <v>73</v>
      </c>
      <c r="P1312" s="186" t="s">
        <v>603</v>
      </c>
      <c r="Q1312" s="184" t="s">
        <v>598</v>
      </c>
      <c r="R1312" s="184" t="s">
        <v>598</v>
      </c>
      <c r="S1312" s="127">
        <v>42873</v>
      </c>
      <c r="T1312" s="184" t="s">
        <v>10</v>
      </c>
      <c r="U1312" s="184" t="s">
        <v>598</v>
      </c>
      <c r="V1312" s="185">
        <v>13500</v>
      </c>
      <c r="W1312" s="184" t="s">
        <v>493</v>
      </c>
      <c r="X1312" s="184" t="s">
        <v>598</v>
      </c>
      <c r="Y1312" s="185">
        <v>0</v>
      </c>
      <c r="Z1312" s="184" t="s">
        <v>598</v>
      </c>
      <c r="AA1312" s="21" t="s">
        <v>610</v>
      </c>
      <c r="AB1312" s="176" t="s">
        <v>489</v>
      </c>
      <c r="AC1312" s="172">
        <v>42996.328472222223</v>
      </c>
      <c r="AD1312" s="32" t="s">
        <v>552</v>
      </c>
    </row>
    <row r="1313" spans="1:30">
      <c r="A1313" s="184">
        <v>1312</v>
      </c>
      <c r="B1313" s="184" t="s">
        <v>3242</v>
      </c>
      <c r="C1313" s="184" t="s">
        <v>598</v>
      </c>
      <c r="D1313" s="127">
        <v>42850</v>
      </c>
      <c r="E1313" s="127" t="s">
        <v>598</v>
      </c>
      <c r="F1313" s="184" t="s">
        <v>3243</v>
      </c>
      <c r="G1313" s="185">
        <v>0</v>
      </c>
      <c r="H1313" s="184" t="s">
        <v>598</v>
      </c>
      <c r="I1313" s="184" t="s">
        <v>598</v>
      </c>
      <c r="J1313" s="184" t="s">
        <v>84</v>
      </c>
      <c r="K1313" s="184" t="s">
        <v>281</v>
      </c>
      <c r="L1313" s="184" t="s">
        <v>598</v>
      </c>
      <c r="M1313" s="184" t="s">
        <v>3244</v>
      </c>
      <c r="N1313" s="184" t="s">
        <v>42</v>
      </c>
      <c r="O1313" s="184" t="s">
        <v>42</v>
      </c>
      <c r="P1313" s="186" t="s">
        <v>604</v>
      </c>
      <c r="Q1313" s="184" t="s">
        <v>598</v>
      </c>
      <c r="R1313" s="184" t="s">
        <v>598</v>
      </c>
      <c r="S1313" s="127">
        <v>42858</v>
      </c>
      <c r="T1313" s="184" t="s">
        <v>10</v>
      </c>
      <c r="U1313" s="184" t="s">
        <v>598</v>
      </c>
      <c r="V1313" s="185">
        <v>2000</v>
      </c>
      <c r="W1313" s="184" t="s">
        <v>493</v>
      </c>
      <c r="X1313" s="184" t="s">
        <v>598</v>
      </c>
      <c r="Y1313" s="185">
        <v>0</v>
      </c>
      <c r="Z1313" s="184" t="s">
        <v>598</v>
      </c>
      <c r="AA1313" s="21" t="s">
        <v>610</v>
      </c>
      <c r="AB1313" s="176" t="s">
        <v>489</v>
      </c>
      <c r="AC1313" s="172">
        <v>42996.328472222223</v>
      </c>
      <c r="AD1313" s="32" t="s">
        <v>552</v>
      </c>
    </row>
    <row r="1314" spans="1:30">
      <c r="A1314" s="184">
        <v>1313</v>
      </c>
      <c r="B1314" s="184" t="s">
        <v>3245</v>
      </c>
      <c r="C1314" s="184" t="s">
        <v>598</v>
      </c>
      <c r="D1314" s="127">
        <v>42853</v>
      </c>
      <c r="E1314" s="127" t="s">
        <v>598</v>
      </c>
      <c r="F1314" s="184" t="s">
        <v>3246</v>
      </c>
      <c r="G1314" s="185">
        <v>0</v>
      </c>
      <c r="H1314" s="184" t="s">
        <v>598</v>
      </c>
      <c r="I1314" s="184" t="s">
        <v>134</v>
      </c>
      <c r="J1314" s="184" t="s">
        <v>84</v>
      </c>
      <c r="K1314" s="184" t="s">
        <v>293</v>
      </c>
      <c r="L1314" s="184" t="s">
        <v>598</v>
      </c>
      <c r="M1314" s="184" t="s">
        <v>1957</v>
      </c>
      <c r="N1314" s="184" t="s">
        <v>42</v>
      </c>
      <c r="O1314" s="184" t="s">
        <v>51</v>
      </c>
      <c r="P1314" s="186" t="s">
        <v>605</v>
      </c>
      <c r="Q1314" s="184" t="s">
        <v>598</v>
      </c>
      <c r="R1314" s="184" t="s">
        <v>598</v>
      </c>
      <c r="S1314" s="127">
        <v>42859</v>
      </c>
      <c r="T1314" s="184" t="s">
        <v>10</v>
      </c>
      <c r="U1314" s="184" t="s">
        <v>598</v>
      </c>
      <c r="V1314" s="185">
        <v>3000</v>
      </c>
      <c r="W1314" s="184" t="s">
        <v>493</v>
      </c>
      <c r="X1314" s="184" t="s">
        <v>598</v>
      </c>
      <c r="Y1314" s="185">
        <v>0</v>
      </c>
      <c r="Z1314" s="184" t="s">
        <v>598</v>
      </c>
      <c r="AA1314" s="21" t="s">
        <v>610</v>
      </c>
      <c r="AB1314" s="176" t="s">
        <v>489</v>
      </c>
      <c r="AC1314" s="172">
        <v>42996.328472222223</v>
      </c>
      <c r="AD1314" s="32" t="s">
        <v>552</v>
      </c>
    </row>
    <row r="1315" spans="1:30">
      <c r="A1315" s="184">
        <v>1314</v>
      </c>
      <c r="B1315" s="184" t="s">
        <v>3247</v>
      </c>
      <c r="C1315" s="184" t="s">
        <v>598</v>
      </c>
      <c r="D1315" s="127">
        <v>42854</v>
      </c>
      <c r="E1315" s="127" t="s">
        <v>598</v>
      </c>
      <c r="F1315" s="184" t="s">
        <v>3248</v>
      </c>
      <c r="G1315" s="185">
        <v>0</v>
      </c>
      <c r="H1315" s="184" t="s">
        <v>598</v>
      </c>
      <c r="I1315" s="184" t="s">
        <v>122</v>
      </c>
      <c r="J1315" s="184" t="s">
        <v>84</v>
      </c>
      <c r="K1315" s="184" t="s">
        <v>297</v>
      </c>
      <c r="L1315" s="184" t="s">
        <v>598</v>
      </c>
      <c r="M1315" s="184" t="s">
        <v>598</v>
      </c>
      <c r="N1315" s="184" t="s">
        <v>42</v>
      </c>
      <c r="O1315" s="184" t="s">
        <v>98</v>
      </c>
      <c r="P1315" s="186" t="s">
        <v>606</v>
      </c>
      <c r="Q1315" s="184" t="s">
        <v>598</v>
      </c>
      <c r="R1315" s="184" t="s">
        <v>598</v>
      </c>
      <c r="S1315" s="127">
        <v>42856</v>
      </c>
      <c r="T1315" s="184" t="s">
        <v>10</v>
      </c>
      <c r="U1315" s="184" t="s">
        <v>598</v>
      </c>
      <c r="V1315" s="185">
        <v>3000</v>
      </c>
      <c r="W1315" s="184" t="s">
        <v>493</v>
      </c>
      <c r="X1315" s="184" t="s">
        <v>598</v>
      </c>
      <c r="Y1315" s="185">
        <v>0</v>
      </c>
      <c r="Z1315" s="184" t="s">
        <v>598</v>
      </c>
      <c r="AA1315" s="21" t="s">
        <v>610</v>
      </c>
      <c r="AB1315" s="176" t="s">
        <v>489</v>
      </c>
      <c r="AC1315" s="172">
        <v>42996.328472222223</v>
      </c>
      <c r="AD1315" s="32" t="s">
        <v>552</v>
      </c>
    </row>
    <row r="1316" spans="1:30">
      <c r="A1316" s="184">
        <v>1315</v>
      </c>
      <c r="B1316" s="184" t="s">
        <v>3249</v>
      </c>
      <c r="C1316" s="184" t="s">
        <v>598</v>
      </c>
      <c r="D1316" s="127">
        <v>42854</v>
      </c>
      <c r="E1316" s="127" t="s">
        <v>598</v>
      </c>
      <c r="F1316" s="184" t="s">
        <v>3250</v>
      </c>
      <c r="G1316" s="185">
        <v>0</v>
      </c>
      <c r="H1316" s="184" t="s">
        <v>598</v>
      </c>
      <c r="I1316" s="184" t="s">
        <v>134</v>
      </c>
      <c r="J1316" s="184" t="s">
        <v>84</v>
      </c>
      <c r="K1316" s="184" t="s">
        <v>297</v>
      </c>
      <c r="L1316" s="184" t="s">
        <v>598</v>
      </c>
      <c r="M1316" s="184" t="s">
        <v>598</v>
      </c>
      <c r="N1316" s="184" t="s">
        <v>42</v>
      </c>
      <c r="O1316" s="184" t="s">
        <v>73</v>
      </c>
      <c r="P1316" s="186"/>
      <c r="Q1316" s="184" t="s">
        <v>598</v>
      </c>
      <c r="R1316" s="184" t="s">
        <v>598</v>
      </c>
      <c r="S1316" s="127">
        <v>42856</v>
      </c>
      <c r="T1316" s="184" t="s">
        <v>10</v>
      </c>
      <c r="U1316" s="184" t="s">
        <v>598</v>
      </c>
      <c r="V1316" s="185">
        <v>7000</v>
      </c>
      <c r="W1316" s="184" t="s">
        <v>493</v>
      </c>
      <c r="X1316" s="184" t="s">
        <v>598</v>
      </c>
      <c r="Y1316" s="185">
        <v>0</v>
      </c>
      <c r="Z1316" s="184" t="s">
        <v>598</v>
      </c>
      <c r="AA1316" s="21" t="s">
        <v>610</v>
      </c>
      <c r="AB1316" s="176" t="s">
        <v>489</v>
      </c>
      <c r="AC1316" s="172">
        <v>42996.328472222223</v>
      </c>
      <c r="AD1316" s="32" t="s">
        <v>552</v>
      </c>
    </row>
    <row r="1317" spans="1:30">
      <c r="A1317" s="184">
        <v>1316</v>
      </c>
      <c r="B1317" s="184" t="s">
        <v>3251</v>
      </c>
      <c r="C1317" s="184" t="s">
        <v>598</v>
      </c>
      <c r="D1317" s="127">
        <v>42858</v>
      </c>
      <c r="E1317" s="127" t="s">
        <v>598</v>
      </c>
      <c r="F1317" s="184" t="s">
        <v>3252</v>
      </c>
      <c r="G1317" s="185">
        <v>6322000</v>
      </c>
      <c r="H1317" s="184" t="s">
        <v>598</v>
      </c>
      <c r="I1317" s="184" t="s">
        <v>134</v>
      </c>
      <c r="J1317" s="184" t="s">
        <v>84</v>
      </c>
      <c r="K1317" s="184" t="s">
        <v>415</v>
      </c>
      <c r="L1317" s="184" t="s">
        <v>598</v>
      </c>
      <c r="M1317" s="184" t="s">
        <v>598</v>
      </c>
      <c r="N1317" s="184" t="s">
        <v>63</v>
      </c>
      <c r="O1317" s="184" t="s">
        <v>86</v>
      </c>
      <c r="P1317" s="186" t="s">
        <v>73</v>
      </c>
      <c r="Q1317" s="184" t="s">
        <v>598</v>
      </c>
      <c r="R1317" s="184" t="s">
        <v>598</v>
      </c>
      <c r="S1317" s="127">
        <v>42861</v>
      </c>
      <c r="T1317" s="184" t="s">
        <v>34</v>
      </c>
      <c r="U1317" s="184" t="s">
        <v>598</v>
      </c>
      <c r="V1317" s="185">
        <v>4000</v>
      </c>
      <c r="W1317" s="184" t="s">
        <v>493</v>
      </c>
      <c r="X1317" s="184" t="s">
        <v>598</v>
      </c>
      <c r="Y1317" s="185">
        <v>0</v>
      </c>
      <c r="Z1317" s="184" t="s">
        <v>598</v>
      </c>
      <c r="AA1317" s="21" t="s">
        <v>610</v>
      </c>
      <c r="AB1317" s="176" t="s">
        <v>489</v>
      </c>
      <c r="AC1317" s="172">
        <v>42996.328472222223</v>
      </c>
      <c r="AD1317" s="32" t="s">
        <v>552</v>
      </c>
    </row>
    <row r="1318" spans="1:30">
      <c r="A1318" s="184">
        <v>1317</v>
      </c>
      <c r="B1318" s="184" t="s">
        <v>3253</v>
      </c>
      <c r="C1318" s="184" t="s">
        <v>598</v>
      </c>
      <c r="D1318" s="127">
        <v>42859</v>
      </c>
      <c r="E1318" s="127" t="s">
        <v>598</v>
      </c>
      <c r="F1318" s="184" t="s">
        <v>3254</v>
      </c>
      <c r="G1318" s="185">
        <v>2295000</v>
      </c>
      <c r="H1318" s="184" t="s">
        <v>598</v>
      </c>
      <c r="I1318" s="184" t="s">
        <v>135</v>
      </c>
      <c r="J1318" s="184" t="s">
        <v>84</v>
      </c>
      <c r="K1318" s="184" t="s">
        <v>229</v>
      </c>
      <c r="L1318" s="184" t="s">
        <v>598</v>
      </c>
      <c r="M1318" s="184" t="s">
        <v>598</v>
      </c>
      <c r="N1318" s="184" t="s">
        <v>63</v>
      </c>
      <c r="O1318" s="184" t="s">
        <v>86</v>
      </c>
      <c r="P1318" s="186" t="s">
        <v>601</v>
      </c>
      <c r="Q1318" s="184" t="s">
        <v>598</v>
      </c>
      <c r="R1318" s="184" t="s">
        <v>598</v>
      </c>
      <c r="S1318" s="127">
        <v>42859</v>
      </c>
      <c r="T1318" s="184" t="s">
        <v>34</v>
      </c>
      <c r="U1318" s="184" t="s">
        <v>598</v>
      </c>
      <c r="V1318" s="185">
        <v>3000</v>
      </c>
      <c r="W1318" s="184" t="s">
        <v>493</v>
      </c>
      <c r="X1318" s="184" t="s">
        <v>598</v>
      </c>
      <c r="Y1318" s="185">
        <v>0</v>
      </c>
      <c r="Z1318" s="184" t="s">
        <v>598</v>
      </c>
      <c r="AA1318" s="21" t="s">
        <v>610</v>
      </c>
      <c r="AB1318" s="176" t="s">
        <v>489</v>
      </c>
      <c r="AC1318" s="172">
        <v>42996.328472222223</v>
      </c>
      <c r="AD1318" s="32" t="s">
        <v>552</v>
      </c>
    </row>
    <row r="1319" spans="1:30">
      <c r="A1319" s="184">
        <v>1318</v>
      </c>
      <c r="B1319" s="184" t="s">
        <v>3255</v>
      </c>
      <c r="C1319" s="184" t="s">
        <v>598</v>
      </c>
      <c r="D1319" s="127">
        <v>42860</v>
      </c>
      <c r="E1319" s="127" t="s">
        <v>598</v>
      </c>
      <c r="F1319" s="184" t="s">
        <v>1216</v>
      </c>
      <c r="G1319" s="185">
        <v>19316000</v>
      </c>
      <c r="H1319" s="184" t="s">
        <v>598</v>
      </c>
      <c r="I1319" s="184" t="s">
        <v>598</v>
      </c>
      <c r="J1319" s="184" t="s">
        <v>84</v>
      </c>
      <c r="K1319" s="184" t="s">
        <v>198</v>
      </c>
      <c r="L1319" s="184" t="s">
        <v>598</v>
      </c>
      <c r="M1319" s="184" t="s">
        <v>598</v>
      </c>
      <c r="N1319" s="184" t="s">
        <v>63</v>
      </c>
      <c r="O1319" s="184" t="s">
        <v>86</v>
      </c>
      <c r="P1319" s="186" t="s">
        <v>32</v>
      </c>
      <c r="Q1319" s="184" t="s">
        <v>598</v>
      </c>
      <c r="R1319" s="184" t="s">
        <v>804</v>
      </c>
      <c r="S1319" s="127">
        <v>42861</v>
      </c>
      <c r="T1319" s="184" t="s">
        <v>34</v>
      </c>
      <c r="U1319" s="184" t="s">
        <v>598</v>
      </c>
      <c r="V1319" s="185">
        <v>1000</v>
      </c>
      <c r="W1319" s="184" t="s">
        <v>549</v>
      </c>
      <c r="X1319" s="184">
        <v>4020</v>
      </c>
      <c r="Y1319" s="185">
        <v>10000</v>
      </c>
      <c r="Z1319" s="184" t="s">
        <v>493</v>
      </c>
      <c r="AA1319" s="21" t="s">
        <v>822</v>
      </c>
      <c r="AB1319" s="176" t="s">
        <v>489</v>
      </c>
      <c r="AC1319" s="172">
        <v>42996.328472222223</v>
      </c>
      <c r="AD1319" s="32" t="s">
        <v>552</v>
      </c>
    </row>
    <row r="1320" spans="1:30">
      <c r="A1320" s="184">
        <v>1319</v>
      </c>
      <c r="B1320" s="184" t="s">
        <v>3256</v>
      </c>
      <c r="C1320" s="184" t="s">
        <v>598</v>
      </c>
      <c r="D1320" s="127">
        <v>42861</v>
      </c>
      <c r="E1320" s="127" t="s">
        <v>598</v>
      </c>
      <c r="F1320" s="184" t="s">
        <v>3257</v>
      </c>
      <c r="G1320" s="185">
        <v>3674000</v>
      </c>
      <c r="H1320" s="184" t="s">
        <v>598</v>
      </c>
      <c r="I1320" s="184" t="s">
        <v>598</v>
      </c>
      <c r="J1320" s="184" t="s">
        <v>84</v>
      </c>
      <c r="K1320" s="184" t="s">
        <v>198</v>
      </c>
      <c r="L1320" s="184" t="s">
        <v>598</v>
      </c>
      <c r="M1320" s="184" t="s">
        <v>598</v>
      </c>
      <c r="N1320" s="184" t="s">
        <v>63</v>
      </c>
      <c r="O1320" s="184" t="s">
        <v>63</v>
      </c>
      <c r="P1320" s="186" t="s">
        <v>53</v>
      </c>
      <c r="Q1320" s="184" t="s">
        <v>598</v>
      </c>
      <c r="R1320" s="184" t="s">
        <v>598</v>
      </c>
      <c r="S1320" s="127">
        <v>42863</v>
      </c>
      <c r="T1320" s="184" t="s">
        <v>34</v>
      </c>
      <c r="U1320" s="184" t="s">
        <v>598</v>
      </c>
      <c r="V1320" s="185">
        <v>3000</v>
      </c>
      <c r="W1320" s="184" t="s">
        <v>493</v>
      </c>
      <c r="X1320" s="184" t="s">
        <v>598</v>
      </c>
      <c r="Y1320" s="185">
        <v>0</v>
      </c>
      <c r="Z1320" s="184" t="s">
        <v>598</v>
      </c>
      <c r="AA1320" s="21" t="s">
        <v>610</v>
      </c>
      <c r="AB1320" s="176" t="s">
        <v>489</v>
      </c>
      <c r="AC1320" s="172">
        <v>42996.328472222223</v>
      </c>
      <c r="AD1320" s="32" t="s">
        <v>552</v>
      </c>
    </row>
    <row r="1321" spans="1:30">
      <c r="A1321" s="184">
        <v>1320</v>
      </c>
      <c r="B1321" s="184" t="s">
        <v>3258</v>
      </c>
      <c r="C1321" s="184" t="s">
        <v>598</v>
      </c>
      <c r="D1321" s="127">
        <v>42861</v>
      </c>
      <c r="E1321" s="127" t="s">
        <v>598</v>
      </c>
      <c r="F1321" s="184" t="s">
        <v>1220</v>
      </c>
      <c r="G1321" s="185">
        <v>0</v>
      </c>
      <c r="H1321" s="184" t="s">
        <v>598</v>
      </c>
      <c r="I1321" s="184" t="s">
        <v>598</v>
      </c>
      <c r="J1321" s="184" t="s">
        <v>84</v>
      </c>
      <c r="K1321" s="184" t="s">
        <v>214</v>
      </c>
      <c r="L1321" s="184" t="s">
        <v>598</v>
      </c>
      <c r="M1321" s="184" t="s">
        <v>598</v>
      </c>
      <c r="N1321" s="184" t="s">
        <v>63</v>
      </c>
      <c r="O1321" s="184" t="s">
        <v>86</v>
      </c>
      <c r="P1321" s="186" t="s">
        <v>44</v>
      </c>
      <c r="Q1321" s="184" t="s">
        <v>598</v>
      </c>
      <c r="R1321" s="184" t="s">
        <v>804</v>
      </c>
      <c r="S1321" s="127">
        <v>42863</v>
      </c>
      <c r="T1321" s="184" t="s">
        <v>34</v>
      </c>
      <c r="U1321" s="184" t="s">
        <v>598</v>
      </c>
      <c r="V1321" s="185">
        <v>1000</v>
      </c>
      <c r="W1321" s="184" t="s">
        <v>550</v>
      </c>
      <c r="X1321" s="184" t="s">
        <v>598</v>
      </c>
      <c r="Y1321" s="185">
        <v>0</v>
      </c>
      <c r="Z1321" s="184" t="s">
        <v>598</v>
      </c>
      <c r="AA1321" s="21" t="s">
        <v>822</v>
      </c>
      <c r="AB1321" s="176" t="s">
        <v>489</v>
      </c>
      <c r="AC1321" s="172">
        <v>42996.328472222223</v>
      </c>
      <c r="AD1321" s="32" t="s">
        <v>552</v>
      </c>
    </row>
    <row r="1322" spans="1:30">
      <c r="A1322" s="184">
        <v>1321</v>
      </c>
      <c r="B1322" s="184" t="s">
        <v>3259</v>
      </c>
      <c r="C1322" s="184" t="s">
        <v>598</v>
      </c>
      <c r="D1322" s="127">
        <v>42863</v>
      </c>
      <c r="E1322" s="127" t="s">
        <v>598</v>
      </c>
      <c r="F1322" s="184" t="s">
        <v>3260</v>
      </c>
      <c r="G1322" s="185">
        <v>3430000</v>
      </c>
      <c r="H1322" s="184" t="s">
        <v>598</v>
      </c>
      <c r="I1322" s="184" t="s">
        <v>134</v>
      </c>
      <c r="J1322" s="184" t="s">
        <v>84</v>
      </c>
      <c r="K1322" s="184" t="s">
        <v>240</v>
      </c>
      <c r="L1322" s="184" t="s">
        <v>598</v>
      </c>
      <c r="M1322" s="184" t="s">
        <v>598</v>
      </c>
      <c r="N1322" s="184" t="s">
        <v>63</v>
      </c>
      <c r="O1322" s="184" t="s">
        <v>86</v>
      </c>
      <c r="P1322" s="186" t="s">
        <v>67</v>
      </c>
      <c r="Q1322" s="184" t="s">
        <v>598</v>
      </c>
      <c r="R1322" s="184" t="s">
        <v>598</v>
      </c>
      <c r="S1322" s="127">
        <v>42870</v>
      </c>
      <c r="T1322" s="184" t="s">
        <v>34</v>
      </c>
      <c r="U1322" s="184" t="s">
        <v>598</v>
      </c>
      <c r="V1322" s="185">
        <v>3000</v>
      </c>
      <c r="W1322" s="184" t="s">
        <v>493</v>
      </c>
      <c r="X1322" s="184" t="s">
        <v>598</v>
      </c>
      <c r="Y1322" s="185">
        <v>0</v>
      </c>
      <c r="Z1322" s="184" t="s">
        <v>598</v>
      </c>
      <c r="AA1322" s="21" t="s">
        <v>610</v>
      </c>
      <c r="AB1322" s="176" t="s">
        <v>489</v>
      </c>
      <c r="AC1322" s="172">
        <v>42996.328472222223</v>
      </c>
      <c r="AD1322" s="32" t="s">
        <v>552</v>
      </c>
    </row>
    <row r="1323" spans="1:30">
      <c r="A1323" s="184">
        <v>1322</v>
      </c>
      <c r="B1323" s="184" t="s">
        <v>3261</v>
      </c>
      <c r="C1323" s="184" t="s">
        <v>598</v>
      </c>
      <c r="D1323" s="127">
        <v>42863</v>
      </c>
      <c r="E1323" s="127" t="s">
        <v>598</v>
      </c>
      <c r="F1323" s="184" t="s">
        <v>3262</v>
      </c>
      <c r="G1323" s="185">
        <v>24394000</v>
      </c>
      <c r="H1323" s="184" t="s">
        <v>598</v>
      </c>
      <c r="I1323" s="184" t="s">
        <v>3263</v>
      </c>
      <c r="J1323" s="184" t="s">
        <v>84</v>
      </c>
      <c r="K1323" s="184" t="s">
        <v>598</v>
      </c>
      <c r="L1323" s="184" t="s">
        <v>598</v>
      </c>
      <c r="M1323" s="184" t="s">
        <v>598</v>
      </c>
      <c r="N1323" s="184" t="s">
        <v>63</v>
      </c>
      <c r="O1323" s="184" t="s">
        <v>63</v>
      </c>
      <c r="P1323" s="186" t="s">
        <v>602</v>
      </c>
      <c r="Q1323" s="184" t="s">
        <v>598</v>
      </c>
      <c r="R1323" s="184" t="s">
        <v>598</v>
      </c>
      <c r="S1323" s="127">
        <v>42871</v>
      </c>
      <c r="T1323" s="184" t="s">
        <v>10</v>
      </c>
      <c r="U1323" s="184" t="s">
        <v>598</v>
      </c>
      <c r="V1323" s="185">
        <v>22500</v>
      </c>
      <c r="W1323" s="184" t="s">
        <v>493</v>
      </c>
      <c r="X1323" s="184" t="s">
        <v>598</v>
      </c>
      <c r="Y1323" s="185">
        <v>0</v>
      </c>
      <c r="Z1323" s="184" t="s">
        <v>598</v>
      </c>
      <c r="AA1323" s="21" t="s">
        <v>610</v>
      </c>
      <c r="AB1323" s="176" t="s">
        <v>489</v>
      </c>
      <c r="AC1323" s="172">
        <v>42996.328472222223</v>
      </c>
      <c r="AD1323" s="32" t="s">
        <v>552</v>
      </c>
    </row>
    <row r="1324" spans="1:30">
      <c r="A1324" s="184">
        <v>1323</v>
      </c>
      <c r="B1324" s="184" t="s">
        <v>3264</v>
      </c>
      <c r="C1324" s="184" t="s">
        <v>598</v>
      </c>
      <c r="D1324" s="127">
        <v>42863</v>
      </c>
      <c r="E1324" s="127" t="s">
        <v>598</v>
      </c>
      <c r="F1324" s="184" t="s">
        <v>3262</v>
      </c>
      <c r="G1324" s="185">
        <v>49610000</v>
      </c>
      <c r="H1324" s="184" t="s">
        <v>598</v>
      </c>
      <c r="I1324" s="184" t="s">
        <v>3263</v>
      </c>
      <c r="J1324" s="184" t="s">
        <v>84</v>
      </c>
      <c r="K1324" s="184" t="s">
        <v>598</v>
      </c>
      <c r="L1324" s="184" t="s">
        <v>598</v>
      </c>
      <c r="M1324" s="184" t="s">
        <v>598</v>
      </c>
      <c r="N1324" s="184" t="s">
        <v>63</v>
      </c>
      <c r="O1324" s="184" t="s">
        <v>63</v>
      </c>
      <c r="P1324" s="186" t="s">
        <v>603</v>
      </c>
      <c r="Q1324" s="184" t="s">
        <v>598</v>
      </c>
      <c r="R1324" s="184" t="s">
        <v>598</v>
      </c>
      <c r="S1324" s="127">
        <v>42871</v>
      </c>
      <c r="T1324" s="184" t="s">
        <v>10</v>
      </c>
      <c r="U1324" s="184" t="s">
        <v>598</v>
      </c>
      <c r="V1324" s="185">
        <v>22500</v>
      </c>
      <c r="W1324" s="184" t="s">
        <v>493</v>
      </c>
      <c r="X1324" s="184" t="s">
        <v>598</v>
      </c>
      <c r="Y1324" s="185">
        <v>0</v>
      </c>
      <c r="Z1324" s="184" t="s">
        <v>598</v>
      </c>
      <c r="AA1324" s="21" t="s">
        <v>610</v>
      </c>
      <c r="AB1324" s="176" t="s">
        <v>489</v>
      </c>
      <c r="AC1324" s="172">
        <v>42996.328472222223</v>
      </c>
      <c r="AD1324" s="32" t="s">
        <v>552</v>
      </c>
    </row>
    <row r="1325" spans="1:30">
      <c r="A1325" s="184">
        <v>1324</v>
      </c>
      <c r="B1325" s="184" t="s">
        <v>3265</v>
      </c>
      <c r="C1325" s="184" t="s">
        <v>598</v>
      </c>
      <c r="D1325" s="127">
        <v>42864</v>
      </c>
      <c r="E1325" s="127" t="s">
        <v>598</v>
      </c>
      <c r="F1325" s="184" t="s">
        <v>3266</v>
      </c>
      <c r="G1325" s="185">
        <v>7392000</v>
      </c>
      <c r="H1325" s="184" t="s">
        <v>598</v>
      </c>
      <c r="I1325" s="184" t="s">
        <v>132</v>
      </c>
      <c r="J1325" s="184" t="s">
        <v>84</v>
      </c>
      <c r="K1325" s="184" t="s">
        <v>357</v>
      </c>
      <c r="L1325" s="184" t="s">
        <v>598</v>
      </c>
      <c r="M1325" s="184" t="s">
        <v>598</v>
      </c>
      <c r="N1325" s="184" t="s">
        <v>63</v>
      </c>
      <c r="O1325" s="184" t="s">
        <v>63</v>
      </c>
      <c r="P1325" s="186" t="s">
        <v>604</v>
      </c>
      <c r="Q1325" s="184" t="s">
        <v>598</v>
      </c>
      <c r="R1325" s="184" t="s">
        <v>598</v>
      </c>
      <c r="S1325" s="127">
        <v>42867</v>
      </c>
      <c r="T1325" s="184" t="s">
        <v>34</v>
      </c>
      <c r="U1325" s="184" t="s">
        <v>598</v>
      </c>
      <c r="V1325" s="185">
        <v>3000</v>
      </c>
      <c r="W1325" s="184" t="s">
        <v>493</v>
      </c>
      <c r="X1325" s="184" t="s">
        <v>598</v>
      </c>
      <c r="Y1325" s="185">
        <v>0</v>
      </c>
      <c r="Z1325" s="184" t="s">
        <v>598</v>
      </c>
      <c r="AA1325" s="21" t="s">
        <v>610</v>
      </c>
      <c r="AB1325" s="176" t="s">
        <v>489</v>
      </c>
      <c r="AC1325" s="172">
        <v>42996.328472222223</v>
      </c>
      <c r="AD1325" s="32" t="s">
        <v>552</v>
      </c>
    </row>
    <row r="1326" spans="1:30">
      <c r="A1326" s="184">
        <v>1325</v>
      </c>
      <c r="B1326" s="184" t="s">
        <v>3267</v>
      </c>
      <c r="C1326" s="184" t="s">
        <v>598</v>
      </c>
      <c r="D1326" s="127">
        <v>42864</v>
      </c>
      <c r="E1326" s="127" t="s">
        <v>598</v>
      </c>
      <c r="F1326" s="184" t="s">
        <v>3268</v>
      </c>
      <c r="G1326" s="185">
        <v>8008000</v>
      </c>
      <c r="H1326" s="184" t="s">
        <v>598</v>
      </c>
      <c r="I1326" s="184" t="s">
        <v>598</v>
      </c>
      <c r="J1326" s="184" t="s">
        <v>84</v>
      </c>
      <c r="K1326" s="184" t="s">
        <v>447</v>
      </c>
      <c r="L1326" s="184" t="s">
        <v>598</v>
      </c>
      <c r="M1326" s="184" t="s">
        <v>598</v>
      </c>
      <c r="N1326" s="184" t="s">
        <v>63</v>
      </c>
      <c r="O1326" s="184" t="s">
        <v>63</v>
      </c>
      <c r="P1326" s="186" t="s">
        <v>605</v>
      </c>
      <c r="Q1326" s="184" t="s">
        <v>598</v>
      </c>
      <c r="R1326" s="184" t="s">
        <v>598</v>
      </c>
      <c r="S1326" s="127">
        <v>42866</v>
      </c>
      <c r="T1326" s="184" t="s">
        <v>34</v>
      </c>
      <c r="U1326" s="184" t="s">
        <v>598</v>
      </c>
      <c r="V1326" s="185">
        <v>3000</v>
      </c>
      <c r="W1326" s="184" t="s">
        <v>493</v>
      </c>
      <c r="X1326" s="184" t="s">
        <v>598</v>
      </c>
      <c r="Y1326" s="185">
        <v>0</v>
      </c>
      <c r="Z1326" s="184" t="s">
        <v>598</v>
      </c>
      <c r="AA1326" s="21" t="s">
        <v>610</v>
      </c>
      <c r="AB1326" s="176" t="s">
        <v>489</v>
      </c>
      <c r="AC1326" s="172">
        <v>42996.328472222223</v>
      </c>
      <c r="AD1326" s="32" t="s">
        <v>552</v>
      </c>
    </row>
    <row r="1327" spans="1:30">
      <c r="A1327" s="184">
        <v>1326</v>
      </c>
      <c r="B1327" s="184" t="s">
        <v>3269</v>
      </c>
      <c r="C1327" s="184" t="s">
        <v>598</v>
      </c>
      <c r="D1327" s="127">
        <v>42865</v>
      </c>
      <c r="E1327" s="127" t="s">
        <v>598</v>
      </c>
      <c r="F1327" s="184" t="s">
        <v>3270</v>
      </c>
      <c r="G1327" s="185">
        <v>4201000</v>
      </c>
      <c r="H1327" s="184" t="s">
        <v>598</v>
      </c>
      <c r="I1327" s="184" t="s">
        <v>134</v>
      </c>
      <c r="J1327" s="184" t="s">
        <v>84</v>
      </c>
      <c r="K1327" s="184" t="s">
        <v>3271</v>
      </c>
      <c r="L1327" s="184" t="s">
        <v>598</v>
      </c>
      <c r="M1327" s="184" t="s">
        <v>598</v>
      </c>
      <c r="N1327" s="184" t="s">
        <v>63</v>
      </c>
      <c r="O1327" s="184" t="s">
        <v>63</v>
      </c>
      <c r="P1327" s="186" t="s">
        <v>606</v>
      </c>
      <c r="Q1327" s="184" t="s">
        <v>598</v>
      </c>
      <c r="R1327" s="184" t="s">
        <v>598</v>
      </c>
      <c r="S1327" s="127">
        <v>42865</v>
      </c>
      <c r="T1327" s="184" t="s">
        <v>34</v>
      </c>
      <c r="U1327" s="184" t="s">
        <v>598</v>
      </c>
      <c r="V1327" s="185">
        <v>3000</v>
      </c>
      <c r="W1327" s="184" t="s">
        <v>493</v>
      </c>
      <c r="X1327" s="184" t="s">
        <v>598</v>
      </c>
      <c r="Y1327" s="185">
        <v>0</v>
      </c>
      <c r="Z1327" s="184" t="s">
        <v>598</v>
      </c>
      <c r="AA1327" s="21" t="s">
        <v>610</v>
      </c>
      <c r="AB1327" s="176" t="s">
        <v>489</v>
      </c>
      <c r="AC1327" s="172">
        <v>42996.328472222223</v>
      </c>
      <c r="AD1327" s="32" t="s">
        <v>552</v>
      </c>
    </row>
    <row r="1328" spans="1:30">
      <c r="A1328" s="184">
        <v>1327</v>
      </c>
      <c r="B1328" s="184" t="s">
        <v>3272</v>
      </c>
      <c r="C1328" s="184" t="s">
        <v>598</v>
      </c>
      <c r="D1328" s="127">
        <v>42870</v>
      </c>
      <c r="E1328" s="127" t="s">
        <v>598</v>
      </c>
      <c r="F1328" s="184" t="s">
        <v>3273</v>
      </c>
      <c r="G1328" s="185">
        <v>0</v>
      </c>
      <c r="H1328" s="184" t="s">
        <v>598</v>
      </c>
      <c r="I1328" s="184" t="s">
        <v>598</v>
      </c>
      <c r="J1328" s="184" t="s">
        <v>84</v>
      </c>
      <c r="K1328" s="184" t="s">
        <v>189</v>
      </c>
      <c r="L1328" s="184" t="s">
        <v>598</v>
      </c>
      <c r="M1328" s="184" t="s">
        <v>598</v>
      </c>
      <c r="N1328" s="184" t="s">
        <v>63</v>
      </c>
      <c r="O1328" s="184" t="s">
        <v>3021</v>
      </c>
      <c r="P1328" s="186"/>
      <c r="Q1328" s="184" t="s">
        <v>598</v>
      </c>
      <c r="R1328" s="184" t="s">
        <v>598</v>
      </c>
      <c r="S1328" s="127">
        <v>42878</v>
      </c>
      <c r="T1328" s="184" t="s">
        <v>10</v>
      </c>
      <c r="U1328" s="184" t="s">
        <v>598</v>
      </c>
      <c r="V1328" s="185">
        <v>5000</v>
      </c>
      <c r="W1328" s="184" t="s">
        <v>493</v>
      </c>
      <c r="X1328" s="184" t="s">
        <v>598</v>
      </c>
      <c r="Y1328" s="185">
        <v>0</v>
      </c>
      <c r="Z1328" s="184" t="s">
        <v>598</v>
      </c>
      <c r="AA1328" s="21" t="s">
        <v>610</v>
      </c>
      <c r="AB1328" s="176" t="s">
        <v>489</v>
      </c>
      <c r="AC1328" s="172">
        <v>42996.328472222223</v>
      </c>
      <c r="AD1328" s="32" t="s">
        <v>552</v>
      </c>
    </row>
    <row r="1329" spans="1:30">
      <c r="A1329" s="184">
        <v>1328</v>
      </c>
      <c r="B1329" s="184" t="s">
        <v>3274</v>
      </c>
      <c r="C1329" s="184" t="s">
        <v>598</v>
      </c>
      <c r="D1329" s="127">
        <v>42871</v>
      </c>
      <c r="E1329" s="127" t="s">
        <v>598</v>
      </c>
      <c r="F1329" s="184" t="s">
        <v>3275</v>
      </c>
      <c r="G1329" s="185">
        <v>2240000</v>
      </c>
      <c r="H1329" s="184" t="s">
        <v>598</v>
      </c>
      <c r="I1329" s="184" t="s">
        <v>598</v>
      </c>
      <c r="J1329" s="184" t="s">
        <v>84</v>
      </c>
      <c r="K1329" s="184" t="s">
        <v>219</v>
      </c>
      <c r="L1329" s="184" t="s">
        <v>598</v>
      </c>
      <c r="M1329" s="184" t="s">
        <v>598</v>
      </c>
      <c r="N1329" s="184" t="s">
        <v>63</v>
      </c>
      <c r="O1329" s="184" t="s">
        <v>86</v>
      </c>
      <c r="P1329" s="186" t="s">
        <v>73</v>
      </c>
      <c r="Q1329" s="184" t="s">
        <v>598</v>
      </c>
      <c r="R1329" s="184" t="s">
        <v>598</v>
      </c>
      <c r="S1329" s="127">
        <v>42872</v>
      </c>
      <c r="T1329" s="184" t="s">
        <v>34</v>
      </c>
      <c r="U1329" s="184" t="s">
        <v>598</v>
      </c>
      <c r="V1329" s="185">
        <v>4000</v>
      </c>
      <c r="W1329" s="184" t="s">
        <v>493</v>
      </c>
      <c r="X1329" s="184" t="s">
        <v>598</v>
      </c>
      <c r="Y1329" s="185">
        <v>0</v>
      </c>
      <c r="Z1329" s="184" t="s">
        <v>598</v>
      </c>
      <c r="AA1329" s="21" t="s">
        <v>610</v>
      </c>
      <c r="AB1329" s="176" t="s">
        <v>489</v>
      </c>
      <c r="AC1329" s="172">
        <v>42996.328472222223</v>
      </c>
      <c r="AD1329" s="32" t="s">
        <v>552</v>
      </c>
    </row>
    <row r="1330" spans="1:30">
      <c r="A1330" s="184">
        <v>1329</v>
      </c>
      <c r="B1330" s="184" t="s">
        <v>3276</v>
      </c>
      <c r="C1330" s="184" t="s">
        <v>598</v>
      </c>
      <c r="D1330" s="127">
        <v>42872</v>
      </c>
      <c r="E1330" s="127" t="s">
        <v>598</v>
      </c>
      <c r="F1330" s="184" t="s">
        <v>1170</v>
      </c>
      <c r="G1330" s="185">
        <v>2960000</v>
      </c>
      <c r="H1330" s="184" t="s">
        <v>598</v>
      </c>
      <c r="I1330" s="184" t="s">
        <v>598</v>
      </c>
      <c r="J1330" s="184" t="s">
        <v>84</v>
      </c>
      <c r="K1330" s="184" t="s">
        <v>209</v>
      </c>
      <c r="L1330" s="184" t="s">
        <v>598</v>
      </c>
      <c r="M1330" s="184" t="s">
        <v>598</v>
      </c>
      <c r="N1330" s="184" t="s">
        <v>63</v>
      </c>
      <c r="O1330" s="184" t="s">
        <v>86</v>
      </c>
      <c r="P1330" s="186" t="s">
        <v>601</v>
      </c>
      <c r="Q1330" s="184" t="s">
        <v>598</v>
      </c>
      <c r="R1330" s="184" t="s">
        <v>598</v>
      </c>
      <c r="S1330" s="127">
        <v>42879</v>
      </c>
      <c r="T1330" s="184" t="s">
        <v>10</v>
      </c>
      <c r="U1330" s="184" t="s">
        <v>598</v>
      </c>
      <c r="V1330" s="185">
        <v>3000</v>
      </c>
      <c r="W1330" s="184" t="s">
        <v>493</v>
      </c>
      <c r="X1330" s="184" t="s">
        <v>598</v>
      </c>
      <c r="Y1330" s="185">
        <v>0</v>
      </c>
      <c r="Z1330" s="184" t="s">
        <v>598</v>
      </c>
      <c r="AA1330" s="21" t="s">
        <v>610</v>
      </c>
      <c r="AB1330" s="176" t="s">
        <v>489</v>
      </c>
      <c r="AC1330" s="172">
        <v>42996.328472222223</v>
      </c>
      <c r="AD1330" s="32" t="s">
        <v>552</v>
      </c>
    </row>
    <row r="1331" spans="1:30">
      <c r="A1331" s="184">
        <v>1330</v>
      </c>
      <c r="B1331" s="184" t="s">
        <v>3277</v>
      </c>
      <c r="C1331" s="184" t="s">
        <v>598</v>
      </c>
      <c r="D1331" s="127">
        <v>42873</v>
      </c>
      <c r="E1331" s="127" t="s">
        <v>598</v>
      </c>
      <c r="F1331" s="184" t="s">
        <v>3278</v>
      </c>
      <c r="G1331" s="185">
        <v>0</v>
      </c>
      <c r="H1331" s="184" t="s">
        <v>598</v>
      </c>
      <c r="I1331" s="184" t="s">
        <v>3263</v>
      </c>
      <c r="J1331" s="184" t="s">
        <v>84</v>
      </c>
      <c r="K1331" s="184" t="s">
        <v>598</v>
      </c>
      <c r="L1331" s="184" t="s">
        <v>598</v>
      </c>
      <c r="M1331" s="184" t="s">
        <v>598</v>
      </c>
      <c r="N1331" s="184" t="s">
        <v>63</v>
      </c>
      <c r="O1331" s="184" t="s">
        <v>86</v>
      </c>
      <c r="P1331" s="186" t="s">
        <v>32</v>
      </c>
      <c r="Q1331" s="184" t="s">
        <v>598</v>
      </c>
      <c r="R1331" s="184" t="s">
        <v>598</v>
      </c>
      <c r="S1331" s="127">
        <v>42875</v>
      </c>
      <c r="T1331" s="184" t="s">
        <v>34</v>
      </c>
      <c r="U1331" s="184" t="s">
        <v>598</v>
      </c>
      <c r="V1331" s="185">
        <v>4000</v>
      </c>
      <c r="W1331" s="184" t="s">
        <v>493</v>
      </c>
      <c r="X1331" s="184" t="s">
        <v>598</v>
      </c>
      <c r="Y1331" s="185">
        <v>0</v>
      </c>
      <c r="Z1331" s="184" t="s">
        <v>598</v>
      </c>
      <c r="AA1331" s="21" t="s">
        <v>610</v>
      </c>
      <c r="AB1331" s="176" t="s">
        <v>489</v>
      </c>
      <c r="AC1331" s="172">
        <v>42996.328472222223</v>
      </c>
      <c r="AD1331" s="32" t="s">
        <v>552</v>
      </c>
    </row>
    <row r="1332" spans="1:30">
      <c r="A1332" s="184">
        <v>1331</v>
      </c>
      <c r="B1332" s="184" t="s">
        <v>3279</v>
      </c>
      <c r="C1332" s="184" t="s">
        <v>598</v>
      </c>
      <c r="D1332" s="127">
        <v>42873</v>
      </c>
      <c r="E1332" s="127" t="s">
        <v>598</v>
      </c>
      <c r="F1332" s="184" t="s">
        <v>3280</v>
      </c>
      <c r="G1332" s="185">
        <v>2450000</v>
      </c>
      <c r="H1332" s="184" t="s">
        <v>598</v>
      </c>
      <c r="I1332" s="184" t="s">
        <v>132</v>
      </c>
      <c r="J1332" s="184" t="s">
        <v>84</v>
      </c>
      <c r="K1332" s="184" t="s">
        <v>448</v>
      </c>
      <c r="L1332" s="184" t="s">
        <v>598</v>
      </c>
      <c r="M1332" s="184" t="s">
        <v>598</v>
      </c>
      <c r="N1332" s="184" t="s">
        <v>63</v>
      </c>
      <c r="O1332" s="184" t="s">
        <v>86</v>
      </c>
      <c r="P1332" s="186" t="s">
        <v>53</v>
      </c>
      <c r="Q1332" s="184" t="s">
        <v>598</v>
      </c>
      <c r="R1332" s="184" t="s">
        <v>598</v>
      </c>
      <c r="S1332" s="127">
        <v>42878</v>
      </c>
      <c r="T1332" s="184" t="s">
        <v>34</v>
      </c>
      <c r="U1332" s="184" t="s">
        <v>598</v>
      </c>
      <c r="V1332" s="185">
        <v>2000</v>
      </c>
      <c r="W1332" s="184" t="s">
        <v>493</v>
      </c>
      <c r="X1332" s="184" t="s">
        <v>598</v>
      </c>
      <c r="Y1332" s="185">
        <v>0</v>
      </c>
      <c r="Z1332" s="184" t="s">
        <v>598</v>
      </c>
      <c r="AA1332" s="21" t="s">
        <v>610</v>
      </c>
      <c r="AB1332" s="176" t="s">
        <v>489</v>
      </c>
      <c r="AC1332" s="172">
        <v>42996.328472222223</v>
      </c>
      <c r="AD1332" s="32" t="s">
        <v>552</v>
      </c>
    </row>
    <row r="1333" spans="1:30">
      <c r="A1333" s="184">
        <v>1332</v>
      </c>
      <c r="B1333" s="184" t="s">
        <v>3281</v>
      </c>
      <c r="C1333" s="184" t="s">
        <v>598</v>
      </c>
      <c r="D1333" s="127">
        <v>42873</v>
      </c>
      <c r="E1333" s="127" t="s">
        <v>598</v>
      </c>
      <c r="F1333" s="184" t="s">
        <v>3282</v>
      </c>
      <c r="G1333" s="185">
        <v>4354000</v>
      </c>
      <c r="H1333" s="184" t="s">
        <v>598</v>
      </c>
      <c r="I1333" s="184" t="s">
        <v>598</v>
      </c>
      <c r="J1333" s="184" t="s">
        <v>84</v>
      </c>
      <c r="K1333" s="184" t="s">
        <v>1265</v>
      </c>
      <c r="L1333" s="184" t="s">
        <v>598</v>
      </c>
      <c r="M1333" s="184" t="s">
        <v>598</v>
      </c>
      <c r="N1333" s="184" t="s">
        <v>63</v>
      </c>
      <c r="O1333" s="184" t="s">
        <v>3021</v>
      </c>
      <c r="P1333" s="186" t="s">
        <v>44</v>
      </c>
      <c r="Q1333" s="184" t="s">
        <v>598</v>
      </c>
      <c r="R1333" s="184" t="s">
        <v>598</v>
      </c>
      <c r="S1333" s="127">
        <v>42880</v>
      </c>
      <c r="T1333" s="184" t="s">
        <v>34</v>
      </c>
      <c r="U1333" s="184" t="s">
        <v>598</v>
      </c>
      <c r="V1333" s="185">
        <v>3000</v>
      </c>
      <c r="W1333" s="184" t="s">
        <v>493</v>
      </c>
      <c r="X1333" s="184" t="s">
        <v>598</v>
      </c>
      <c r="Y1333" s="185">
        <v>0</v>
      </c>
      <c r="Z1333" s="184" t="s">
        <v>598</v>
      </c>
      <c r="AA1333" s="21" t="s">
        <v>610</v>
      </c>
      <c r="AB1333" s="176" t="s">
        <v>489</v>
      </c>
      <c r="AC1333" s="172">
        <v>42996.328472222223</v>
      </c>
      <c r="AD1333" s="32" t="s">
        <v>552</v>
      </c>
    </row>
    <row r="1334" spans="1:30">
      <c r="A1334" s="184">
        <v>1333</v>
      </c>
      <c r="B1334" s="184" t="s">
        <v>3283</v>
      </c>
      <c r="C1334" s="184" t="s">
        <v>598</v>
      </c>
      <c r="D1334" s="127">
        <v>42873</v>
      </c>
      <c r="E1334" s="127" t="s">
        <v>598</v>
      </c>
      <c r="F1334" s="184" t="s">
        <v>3284</v>
      </c>
      <c r="G1334" s="185">
        <v>8552000</v>
      </c>
      <c r="H1334" s="184" t="s">
        <v>598</v>
      </c>
      <c r="I1334" s="184" t="s">
        <v>598</v>
      </c>
      <c r="J1334" s="184" t="s">
        <v>84</v>
      </c>
      <c r="K1334" s="184" t="s">
        <v>448</v>
      </c>
      <c r="L1334" s="184" t="s">
        <v>598</v>
      </c>
      <c r="M1334" s="184" t="s">
        <v>598</v>
      </c>
      <c r="N1334" s="184" t="s">
        <v>63</v>
      </c>
      <c r="O1334" s="184" t="s">
        <v>86</v>
      </c>
      <c r="P1334" s="186" t="s">
        <v>67</v>
      </c>
      <c r="Q1334" s="184" t="s">
        <v>598</v>
      </c>
      <c r="R1334" s="184" t="s">
        <v>598</v>
      </c>
      <c r="S1334" s="127">
        <v>42878</v>
      </c>
      <c r="T1334" s="184" t="s">
        <v>34</v>
      </c>
      <c r="U1334" s="184" t="s">
        <v>598</v>
      </c>
      <c r="V1334" s="185">
        <v>3000</v>
      </c>
      <c r="W1334" s="184" t="s">
        <v>493</v>
      </c>
      <c r="X1334" s="184" t="s">
        <v>598</v>
      </c>
      <c r="Y1334" s="185">
        <v>0</v>
      </c>
      <c r="Z1334" s="184" t="s">
        <v>598</v>
      </c>
      <c r="AA1334" s="21" t="s">
        <v>610</v>
      </c>
      <c r="AB1334" s="176" t="s">
        <v>489</v>
      </c>
      <c r="AC1334" s="172">
        <v>42996.328472222223</v>
      </c>
      <c r="AD1334" s="32" t="s">
        <v>552</v>
      </c>
    </row>
    <row r="1335" spans="1:30">
      <c r="A1335" s="184">
        <v>1334</v>
      </c>
      <c r="B1335" s="184" t="s">
        <v>3285</v>
      </c>
      <c r="C1335" s="184" t="s">
        <v>598</v>
      </c>
      <c r="D1335" s="127">
        <v>42877</v>
      </c>
      <c r="E1335" s="127" t="s">
        <v>598</v>
      </c>
      <c r="F1335" s="184" t="s">
        <v>1246</v>
      </c>
      <c r="G1335" s="185">
        <v>0</v>
      </c>
      <c r="H1335" s="184" t="s">
        <v>598</v>
      </c>
      <c r="I1335" s="184" t="s">
        <v>598</v>
      </c>
      <c r="J1335" s="184" t="s">
        <v>84</v>
      </c>
      <c r="K1335" s="184" t="s">
        <v>191</v>
      </c>
      <c r="L1335" s="184" t="s">
        <v>598</v>
      </c>
      <c r="M1335" s="184" t="s">
        <v>598</v>
      </c>
      <c r="N1335" s="184" t="s">
        <v>63</v>
      </c>
      <c r="O1335" s="184" t="s">
        <v>63</v>
      </c>
      <c r="P1335" s="186" t="s">
        <v>602</v>
      </c>
      <c r="Q1335" s="184" t="s">
        <v>598</v>
      </c>
      <c r="R1335" s="184" t="s">
        <v>804</v>
      </c>
      <c r="S1335" s="127">
        <v>42877</v>
      </c>
      <c r="T1335" s="184" t="s">
        <v>34</v>
      </c>
      <c r="U1335" s="184" t="s">
        <v>598</v>
      </c>
      <c r="V1335" s="185">
        <v>1000</v>
      </c>
      <c r="W1335" s="184" t="s">
        <v>573</v>
      </c>
      <c r="X1335" s="184" t="s">
        <v>598</v>
      </c>
      <c r="Y1335" s="185">
        <v>0</v>
      </c>
      <c r="Z1335" s="184" t="s">
        <v>89</v>
      </c>
      <c r="AA1335" s="21" t="s">
        <v>822</v>
      </c>
      <c r="AB1335" s="176" t="s">
        <v>489</v>
      </c>
      <c r="AC1335" s="172">
        <v>42996.328472222223</v>
      </c>
      <c r="AD1335" s="32" t="s">
        <v>552</v>
      </c>
    </row>
    <row r="1336" spans="1:30">
      <c r="A1336" s="184">
        <v>1335</v>
      </c>
      <c r="B1336" s="184" t="s">
        <v>3286</v>
      </c>
      <c r="C1336" s="184" t="s">
        <v>598</v>
      </c>
      <c r="D1336" s="127">
        <v>42877</v>
      </c>
      <c r="E1336" s="127" t="s">
        <v>598</v>
      </c>
      <c r="F1336" s="184" t="s">
        <v>3287</v>
      </c>
      <c r="G1336" s="185">
        <v>2431000</v>
      </c>
      <c r="H1336" s="184" t="s">
        <v>598</v>
      </c>
      <c r="I1336" s="184" t="s">
        <v>598</v>
      </c>
      <c r="J1336" s="184" t="s">
        <v>84</v>
      </c>
      <c r="K1336" s="184" t="s">
        <v>208</v>
      </c>
      <c r="L1336" s="184" t="s">
        <v>598</v>
      </c>
      <c r="M1336" s="184" t="s">
        <v>598</v>
      </c>
      <c r="N1336" s="184" t="s">
        <v>63</v>
      </c>
      <c r="O1336" s="184" t="s">
        <v>63</v>
      </c>
      <c r="P1336" s="186" t="s">
        <v>603</v>
      </c>
      <c r="Q1336" s="184" t="s">
        <v>598</v>
      </c>
      <c r="R1336" s="184" t="s">
        <v>598</v>
      </c>
      <c r="S1336" s="127">
        <v>42881</v>
      </c>
      <c r="T1336" s="184" t="s">
        <v>34</v>
      </c>
      <c r="U1336" s="184" t="s">
        <v>598</v>
      </c>
      <c r="V1336" s="185">
        <v>3000</v>
      </c>
      <c r="W1336" s="184" t="s">
        <v>493</v>
      </c>
      <c r="X1336" s="184" t="s">
        <v>598</v>
      </c>
      <c r="Y1336" s="185">
        <v>0</v>
      </c>
      <c r="Z1336" s="184" t="s">
        <v>598</v>
      </c>
      <c r="AA1336" s="21" t="s">
        <v>610</v>
      </c>
      <c r="AB1336" s="176" t="s">
        <v>489</v>
      </c>
      <c r="AC1336" s="172">
        <v>42996.328472222223</v>
      </c>
      <c r="AD1336" s="32" t="s">
        <v>552</v>
      </c>
    </row>
    <row r="1337" spans="1:30">
      <c r="A1337" s="184">
        <v>1336</v>
      </c>
      <c r="B1337" s="184" t="s">
        <v>3288</v>
      </c>
      <c r="C1337" s="184" t="s">
        <v>598</v>
      </c>
      <c r="D1337" s="127">
        <v>42878</v>
      </c>
      <c r="E1337" s="127" t="s">
        <v>598</v>
      </c>
      <c r="F1337" s="184" t="s">
        <v>3289</v>
      </c>
      <c r="G1337" s="185">
        <v>2910000</v>
      </c>
      <c r="H1337" s="184" t="s">
        <v>598</v>
      </c>
      <c r="I1337" s="184" t="s">
        <v>598</v>
      </c>
      <c r="J1337" s="184" t="s">
        <v>84</v>
      </c>
      <c r="K1337" s="184" t="s">
        <v>191</v>
      </c>
      <c r="L1337" s="184" t="s">
        <v>598</v>
      </c>
      <c r="M1337" s="184" t="s">
        <v>598</v>
      </c>
      <c r="N1337" s="184" t="s">
        <v>63</v>
      </c>
      <c r="O1337" s="184" t="s">
        <v>63</v>
      </c>
      <c r="P1337" s="186" t="s">
        <v>604</v>
      </c>
      <c r="Q1337" s="184" t="s">
        <v>598</v>
      </c>
      <c r="R1337" s="184" t="s">
        <v>598</v>
      </c>
      <c r="S1337" s="127">
        <v>42878</v>
      </c>
      <c r="T1337" s="184" t="s">
        <v>34</v>
      </c>
      <c r="U1337" s="184" t="s">
        <v>598</v>
      </c>
      <c r="V1337" s="185">
        <v>4000</v>
      </c>
      <c r="W1337" s="184" t="s">
        <v>493</v>
      </c>
      <c r="X1337" s="184" t="s">
        <v>598</v>
      </c>
      <c r="Y1337" s="185">
        <v>0</v>
      </c>
      <c r="Z1337" s="184" t="s">
        <v>598</v>
      </c>
      <c r="AA1337" s="21" t="s">
        <v>610</v>
      </c>
      <c r="AB1337" s="176" t="s">
        <v>489</v>
      </c>
      <c r="AC1337" s="172">
        <v>42996.328472222223</v>
      </c>
      <c r="AD1337" s="32" t="s">
        <v>552</v>
      </c>
    </row>
    <row r="1338" spans="1:30">
      <c r="A1338" s="184">
        <v>1337</v>
      </c>
      <c r="B1338" s="184" t="s">
        <v>3290</v>
      </c>
      <c r="C1338" s="184" t="s">
        <v>598</v>
      </c>
      <c r="D1338" s="127">
        <v>42878</v>
      </c>
      <c r="E1338" s="127" t="s">
        <v>598</v>
      </c>
      <c r="F1338" s="184" t="s">
        <v>3291</v>
      </c>
      <c r="G1338" s="185">
        <v>6966000</v>
      </c>
      <c r="H1338" s="184" t="s">
        <v>598</v>
      </c>
      <c r="I1338" s="184" t="s">
        <v>598</v>
      </c>
      <c r="J1338" s="184" t="s">
        <v>84</v>
      </c>
      <c r="K1338" s="184" t="s">
        <v>449</v>
      </c>
      <c r="L1338" s="184" t="s">
        <v>598</v>
      </c>
      <c r="M1338" s="184" t="s">
        <v>598</v>
      </c>
      <c r="N1338" s="184" t="s">
        <v>63</v>
      </c>
      <c r="O1338" s="184" t="s">
        <v>3021</v>
      </c>
      <c r="P1338" s="186" t="s">
        <v>605</v>
      </c>
      <c r="Q1338" s="184" t="s">
        <v>598</v>
      </c>
      <c r="R1338" s="184" t="s">
        <v>598</v>
      </c>
      <c r="S1338" s="127">
        <v>42879</v>
      </c>
      <c r="T1338" s="184" t="s">
        <v>34</v>
      </c>
      <c r="U1338" s="184" t="s">
        <v>598</v>
      </c>
      <c r="V1338" s="185">
        <v>5000</v>
      </c>
      <c r="W1338" s="184" t="s">
        <v>493</v>
      </c>
      <c r="X1338" s="184" t="s">
        <v>598</v>
      </c>
      <c r="Y1338" s="185">
        <v>0</v>
      </c>
      <c r="Z1338" s="184" t="s">
        <v>598</v>
      </c>
      <c r="AA1338" s="21" t="s">
        <v>610</v>
      </c>
      <c r="AB1338" s="176" t="s">
        <v>489</v>
      </c>
      <c r="AC1338" s="172">
        <v>42996.328472222223</v>
      </c>
      <c r="AD1338" s="32" t="s">
        <v>552</v>
      </c>
    </row>
    <row r="1339" spans="1:30">
      <c r="A1339" s="184">
        <v>1338</v>
      </c>
      <c r="B1339" s="184" t="s">
        <v>3292</v>
      </c>
      <c r="C1339" s="184" t="s">
        <v>598</v>
      </c>
      <c r="D1339" s="127">
        <v>42879</v>
      </c>
      <c r="E1339" s="127" t="s">
        <v>598</v>
      </c>
      <c r="F1339" s="184" t="s">
        <v>3293</v>
      </c>
      <c r="G1339" s="185">
        <v>2857000</v>
      </c>
      <c r="H1339" s="184" t="s">
        <v>598</v>
      </c>
      <c r="I1339" s="184" t="s">
        <v>598</v>
      </c>
      <c r="J1339" s="184" t="s">
        <v>84</v>
      </c>
      <c r="K1339" s="184" t="s">
        <v>222</v>
      </c>
      <c r="L1339" s="184" t="s">
        <v>598</v>
      </c>
      <c r="M1339" s="184" t="s">
        <v>598</v>
      </c>
      <c r="N1339" s="184" t="s">
        <v>63</v>
      </c>
      <c r="O1339" s="184" t="s">
        <v>63</v>
      </c>
      <c r="P1339" s="186" t="s">
        <v>606</v>
      </c>
      <c r="Q1339" s="184" t="s">
        <v>598</v>
      </c>
      <c r="R1339" s="184" t="s">
        <v>598</v>
      </c>
      <c r="S1339" s="127">
        <v>42885</v>
      </c>
      <c r="T1339" s="184" t="s">
        <v>10</v>
      </c>
      <c r="U1339" s="184" t="s">
        <v>598</v>
      </c>
      <c r="V1339" s="185">
        <v>3000</v>
      </c>
      <c r="W1339" s="184" t="s">
        <v>493</v>
      </c>
      <c r="X1339" s="184" t="s">
        <v>598</v>
      </c>
      <c r="Y1339" s="185">
        <v>0</v>
      </c>
      <c r="Z1339" s="184" t="s">
        <v>598</v>
      </c>
      <c r="AA1339" s="21" t="s">
        <v>610</v>
      </c>
      <c r="AB1339" s="176" t="s">
        <v>489</v>
      </c>
      <c r="AC1339" s="172">
        <v>42996.328472222223</v>
      </c>
      <c r="AD1339" s="32" t="s">
        <v>552</v>
      </c>
    </row>
    <row r="1340" spans="1:30">
      <c r="A1340" s="184">
        <v>1339</v>
      </c>
      <c r="B1340" s="184" t="s">
        <v>3294</v>
      </c>
      <c r="C1340" s="184" t="s">
        <v>598</v>
      </c>
      <c r="D1340" s="127">
        <v>42879</v>
      </c>
      <c r="E1340" s="127" t="s">
        <v>598</v>
      </c>
      <c r="F1340" s="184" t="s">
        <v>3295</v>
      </c>
      <c r="G1340" s="185">
        <v>3324000</v>
      </c>
      <c r="H1340" s="184" t="s">
        <v>598</v>
      </c>
      <c r="I1340" s="184" t="s">
        <v>598</v>
      </c>
      <c r="J1340" s="184" t="s">
        <v>84</v>
      </c>
      <c r="K1340" s="184" t="s">
        <v>357</v>
      </c>
      <c r="L1340" s="184" t="s">
        <v>598</v>
      </c>
      <c r="M1340" s="184" t="s">
        <v>598</v>
      </c>
      <c r="N1340" s="184" t="s">
        <v>63</v>
      </c>
      <c r="O1340" s="184" t="s">
        <v>86</v>
      </c>
      <c r="P1340" s="186"/>
      <c r="Q1340" s="184" t="s">
        <v>598</v>
      </c>
      <c r="R1340" s="184" t="s">
        <v>598</v>
      </c>
      <c r="S1340" s="127">
        <v>42881</v>
      </c>
      <c r="T1340" s="184" t="s">
        <v>34</v>
      </c>
      <c r="U1340" s="184" t="s">
        <v>598</v>
      </c>
      <c r="V1340" s="185">
        <v>3000</v>
      </c>
      <c r="W1340" s="184" t="s">
        <v>493</v>
      </c>
      <c r="X1340" s="184" t="s">
        <v>598</v>
      </c>
      <c r="Y1340" s="185">
        <v>0</v>
      </c>
      <c r="Z1340" s="184" t="s">
        <v>598</v>
      </c>
      <c r="AA1340" s="21" t="s">
        <v>610</v>
      </c>
      <c r="AB1340" s="176" t="s">
        <v>489</v>
      </c>
      <c r="AC1340" s="172">
        <v>42996.328472222223</v>
      </c>
      <c r="AD1340" s="32" t="s">
        <v>552</v>
      </c>
    </row>
    <row r="1341" spans="1:30">
      <c r="A1341" s="184">
        <v>1340</v>
      </c>
      <c r="B1341" s="184" t="s">
        <v>3296</v>
      </c>
      <c r="C1341" s="184" t="s">
        <v>598</v>
      </c>
      <c r="D1341" s="127">
        <v>42880</v>
      </c>
      <c r="E1341" s="127" t="s">
        <v>598</v>
      </c>
      <c r="F1341" s="184" t="s">
        <v>3297</v>
      </c>
      <c r="G1341" s="185">
        <v>12491000</v>
      </c>
      <c r="H1341" s="184" t="s">
        <v>598</v>
      </c>
      <c r="I1341" s="184" t="s">
        <v>134</v>
      </c>
      <c r="J1341" s="184" t="s">
        <v>84</v>
      </c>
      <c r="K1341" s="184" t="s">
        <v>358</v>
      </c>
      <c r="L1341" s="184" t="s">
        <v>598</v>
      </c>
      <c r="M1341" s="184" t="s">
        <v>598</v>
      </c>
      <c r="N1341" s="184" t="s">
        <v>63</v>
      </c>
      <c r="O1341" s="184" t="s">
        <v>86</v>
      </c>
      <c r="P1341" s="186" t="s">
        <v>73</v>
      </c>
      <c r="Q1341" s="184" t="s">
        <v>598</v>
      </c>
      <c r="R1341" s="184" t="s">
        <v>598</v>
      </c>
      <c r="S1341" s="127">
        <v>42885</v>
      </c>
      <c r="T1341" s="184" t="s">
        <v>34</v>
      </c>
      <c r="U1341" s="184" t="s">
        <v>598</v>
      </c>
      <c r="V1341" s="185">
        <v>10000</v>
      </c>
      <c r="W1341" s="184" t="s">
        <v>493</v>
      </c>
      <c r="X1341" s="184" t="s">
        <v>598</v>
      </c>
      <c r="Y1341" s="185">
        <v>0</v>
      </c>
      <c r="Z1341" s="184" t="s">
        <v>598</v>
      </c>
      <c r="AA1341" s="21" t="s">
        <v>610</v>
      </c>
      <c r="AB1341" s="176" t="s">
        <v>489</v>
      </c>
      <c r="AC1341" s="172">
        <v>42996.328472222223</v>
      </c>
      <c r="AD1341" s="32" t="s">
        <v>552</v>
      </c>
    </row>
    <row r="1342" spans="1:30">
      <c r="A1342" s="184">
        <v>1341</v>
      </c>
      <c r="B1342" s="184" t="s">
        <v>3298</v>
      </c>
      <c r="C1342" s="184" t="s">
        <v>598</v>
      </c>
      <c r="D1342" s="127">
        <v>42881</v>
      </c>
      <c r="E1342" s="127" t="s">
        <v>598</v>
      </c>
      <c r="F1342" s="184" t="s">
        <v>1261</v>
      </c>
      <c r="G1342" s="185">
        <v>0</v>
      </c>
      <c r="H1342" s="184" t="s">
        <v>598</v>
      </c>
      <c r="I1342" s="184" t="s">
        <v>598</v>
      </c>
      <c r="J1342" s="184" t="s">
        <v>84</v>
      </c>
      <c r="K1342" s="184" t="s">
        <v>1262</v>
      </c>
      <c r="L1342" s="184" t="s">
        <v>598</v>
      </c>
      <c r="M1342" s="184" t="s">
        <v>598</v>
      </c>
      <c r="N1342" s="184" t="s">
        <v>63</v>
      </c>
      <c r="O1342" s="184" t="s">
        <v>63</v>
      </c>
      <c r="P1342" s="186" t="s">
        <v>601</v>
      </c>
      <c r="Q1342" s="184" t="s">
        <v>598</v>
      </c>
      <c r="R1342" s="184" t="s">
        <v>804</v>
      </c>
      <c r="S1342" s="127">
        <v>42881</v>
      </c>
      <c r="T1342" s="184" t="s">
        <v>34</v>
      </c>
      <c r="U1342" s="184" t="s">
        <v>598</v>
      </c>
      <c r="V1342" s="185">
        <v>1000</v>
      </c>
      <c r="W1342" s="184" t="s">
        <v>573</v>
      </c>
      <c r="X1342" s="184" t="s">
        <v>598</v>
      </c>
      <c r="Y1342" s="185">
        <v>0</v>
      </c>
      <c r="Z1342" s="184" t="s">
        <v>598</v>
      </c>
      <c r="AA1342" s="21" t="s">
        <v>822</v>
      </c>
      <c r="AB1342" s="176" t="s">
        <v>489</v>
      </c>
      <c r="AC1342" s="172">
        <v>42996.328472222223</v>
      </c>
      <c r="AD1342" s="32" t="s">
        <v>552</v>
      </c>
    </row>
    <row r="1343" spans="1:30">
      <c r="A1343" s="184">
        <v>1342</v>
      </c>
      <c r="B1343" s="184" t="s">
        <v>3299</v>
      </c>
      <c r="C1343" s="184" t="s">
        <v>598</v>
      </c>
      <c r="D1343" s="127">
        <v>42881</v>
      </c>
      <c r="E1343" s="127" t="s">
        <v>598</v>
      </c>
      <c r="F1343" s="184" t="s">
        <v>1264</v>
      </c>
      <c r="G1343" s="185">
        <v>0</v>
      </c>
      <c r="H1343" s="184" t="s">
        <v>598</v>
      </c>
      <c r="I1343" s="184" t="s">
        <v>134</v>
      </c>
      <c r="J1343" s="184" t="s">
        <v>84</v>
      </c>
      <c r="K1343" s="184" t="s">
        <v>1265</v>
      </c>
      <c r="L1343" s="184" t="s">
        <v>598</v>
      </c>
      <c r="M1343" s="184" t="s">
        <v>598</v>
      </c>
      <c r="N1343" s="184" t="s">
        <v>63</v>
      </c>
      <c r="O1343" s="184" t="s">
        <v>3021</v>
      </c>
      <c r="P1343" s="186" t="s">
        <v>601</v>
      </c>
      <c r="Q1343" s="184" t="s">
        <v>598</v>
      </c>
      <c r="R1343" s="184" t="s">
        <v>804</v>
      </c>
      <c r="S1343" s="127">
        <v>42881</v>
      </c>
      <c r="T1343" s="184" t="s">
        <v>34</v>
      </c>
      <c r="U1343" s="184" t="s">
        <v>598</v>
      </c>
      <c r="V1343" s="185">
        <v>1000</v>
      </c>
      <c r="W1343" s="184" t="s">
        <v>549</v>
      </c>
      <c r="X1343" s="184" t="s">
        <v>598</v>
      </c>
      <c r="Y1343" s="185">
        <v>0</v>
      </c>
      <c r="Z1343" s="184" t="s">
        <v>493</v>
      </c>
      <c r="AA1343" s="21" t="s">
        <v>822</v>
      </c>
      <c r="AB1343" s="176" t="s">
        <v>489</v>
      </c>
      <c r="AC1343" s="172">
        <v>42996.328472222223</v>
      </c>
      <c r="AD1343" s="32" t="s">
        <v>552</v>
      </c>
    </row>
    <row r="1344" spans="1:30">
      <c r="A1344" s="184">
        <v>1343</v>
      </c>
      <c r="B1344" s="184" t="s">
        <v>3300</v>
      </c>
      <c r="C1344" s="184" t="s">
        <v>598</v>
      </c>
      <c r="D1344" s="127">
        <v>42881</v>
      </c>
      <c r="E1344" s="127" t="s">
        <v>598</v>
      </c>
      <c r="F1344" s="184" t="s">
        <v>3301</v>
      </c>
      <c r="G1344" s="185">
        <v>0</v>
      </c>
      <c r="H1344" s="184" t="s">
        <v>598</v>
      </c>
      <c r="I1344" s="184" t="s">
        <v>120</v>
      </c>
      <c r="J1344" s="184" t="s">
        <v>84</v>
      </c>
      <c r="K1344" s="184" t="s">
        <v>222</v>
      </c>
      <c r="L1344" s="184" t="s">
        <v>598</v>
      </c>
      <c r="M1344" s="184" t="s">
        <v>598</v>
      </c>
      <c r="N1344" s="184" t="s">
        <v>63</v>
      </c>
      <c r="O1344" s="184" t="s">
        <v>3021</v>
      </c>
      <c r="P1344" s="186" t="s">
        <v>32</v>
      </c>
      <c r="Q1344" s="184" t="s">
        <v>598</v>
      </c>
      <c r="R1344" s="184" t="s">
        <v>598</v>
      </c>
      <c r="S1344" s="127">
        <v>42881</v>
      </c>
      <c r="T1344" s="184" t="s">
        <v>34</v>
      </c>
      <c r="U1344" s="184" t="s">
        <v>598</v>
      </c>
      <c r="V1344" s="185">
        <v>3000</v>
      </c>
      <c r="W1344" s="184" t="s">
        <v>493</v>
      </c>
      <c r="X1344" s="184" t="s">
        <v>598</v>
      </c>
      <c r="Y1344" s="185">
        <v>0</v>
      </c>
      <c r="Z1344" s="184" t="s">
        <v>598</v>
      </c>
      <c r="AA1344" s="21" t="s">
        <v>610</v>
      </c>
      <c r="AB1344" s="176" t="s">
        <v>489</v>
      </c>
      <c r="AC1344" s="172">
        <v>42996.328472222223</v>
      </c>
      <c r="AD1344" s="32" t="s">
        <v>552</v>
      </c>
    </row>
    <row r="1345" spans="1:30">
      <c r="A1345" s="184">
        <v>1344</v>
      </c>
      <c r="B1345" s="184" t="s">
        <v>3302</v>
      </c>
      <c r="C1345" s="184" t="s">
        <v>598</v>
      </c>
      <c r="D1345" s="127">
        <v>42881</v>
      </c>
      <c r="E1345" s="127" t="s">
        <v>598</v>
      </c>
      <c r="F1345" s="184" t="s">
        <v>3303</v>
      </c>
      <c r="G1345" s="185">
        <v>0</v>
      </c>
      <c r="H1345" s="184" t="s">
        <v>598</v>
      </c>
      <c r="I1345" s="184" t="s">
        <v>598</v>
      </c>
      <c r="J1345" s="184" t="s">
        <v>84</v>
      </c>
      <c r="K1345" s="184" t="s">
        <v>189</v>
      </c>
      <c r="L1345" s="184" t="s">
        <v>598</v>
      </c>
      <c r="M1345" s="184" t="s">
        <v>598</v>
      </c>
      <c r="N1345" s="184" t="s">
        <v>63</v>
      </c>
      <c r="O1345" s="184" t="s">
        <v>3021</v>
      </c>
      <c r="P1345" s="186" t="s">
        <v>53</v>
      </c>
      <c r="Q1345" s="184" t="s">
        <v>598</v>
      </c>
      <c r="R1345" s="184" t="s">
        <v>598</v>
      </c>
      <c r="S1345" s="127">
        <v>42884</v>
      </c>
      <c r="T1345" s="184" t="s">
        <v>10</v>
      </c>
      <c r="U1345" s="184" t="s">
        <v>598</v>
      </c>
      <c r="V1345" s="185">
        <v>2500</v>
      </c>
      <c r="W1345" s="184" t="s">
        <v>493</v>
      </c>
      <c r="X1345" s="184" t="s">
        <v>598</v>
      </c>
      <c r="Y1345" s="185">
        <v>0</v>
      </c>
      <c r="Z1345" s="184" t="s">
        <v>598</v>
      </c>
      <c r="AA1345" s="21" t="s">
        <v>610</v>
      </c>
      <c r="AB1345" s="176" t="s">
        <v>489</v>
      </c>
      <c r="AC1345" s="172">
        <v>42996.328472222223</v>
      </c>
      <c r="AD1345" s="32" t="s">
        <v>552</v>
      </c>
    </row>
    <row r="1346" spans="1:30">
      <c r="A1346" s="184">
        <v>1345</v>
      </c>
      <c r="B1346" s="184" t="s">
        <v>3304</v>
      </c>
      <c r="C1346" s="184" t="s">
        <v>598</v>
      </c>
      <c r="D1346" s="127">
        <v>42881</v>
      </c>
      <c r="E1346" s="127" t="s">
        <v>598</v>
      </c>
      <c r="F1346" s="184" t="s">
        <v>2934</v>
      </c>
      <c r="G1346" s="185">
        <v>0</v>
      </c>
      <c r="H1346" s="184" t="s">
        <v>598</v>
      </c>
      <c r="I1346" s="184" t="s">
        <v>598</v>
      </c>
      <c r="J1346" s="184" t="s">
        <v>84</v>
      </c>
      <c r="K1346" s="184" t="s">
        <v>205</v>
      </c>
      <c r="L1346" s="184" t="s">
        <v>598</v>
      </c>
      <c r="M1346" s="184" t="s">
        <v>598</v>
      </c>
      <c r="N1346" s="184" t="s">
        <v>63</v>
      </c>
      <c r="O1346" s="184" t="s">
        <v>86</v>
      </c>
      <c r="P1346" s="186" t="s">
        <v>44</v>
      </c>
      <c r="Q1346" s="184" t="s">
        <v>598</v>
      </c>
      <c r="R1346" s="184" t="s">
        <v>598</v>
      </c>
      <c r="S1346" s="127">
        <v>42885</v>
      </c>
      <c r="T1346" s="184" t="s">
        <v>34</v>
      </c>
      <c r="U1346" s="184" t="s">
        <v>598</v>
      </c>
      <c r="V1346" s="185">
        <v>6000</v>
      </c>
      <c r="W1346" s="184" t="s">
        <v>493</v>
      </c>
      <c r="X1346" s="184" t="s">
        <v>598</v>
      </c>
      <c r="Y1346" s="185">
        <v>0</v>
      </c>
      <c r="Z1346" s="184" t="s">
        <v>598</v>
      </c>
      <c r="AA1346" s="21" t="s">
        <v>610</v>
      </c>
      <c r="AB1346" s="176" t="s">
        <v>489</v>
      </c>
      <c r="AC1346" s="172">
        <v>42996.328472222223</v>
      </c>
      <c r="AD1346" s="32" t="s">
        <v>552</v>
      </c>
    </row>
    <row r="1347" spans="1:30">
      <c r="A1347" s="184">
        <v>1346</v>
      </c>
      <c r="B1347" s="184" t="s">
        <v>3305</v>
      </c>
      <c r="C1347" s="184" t="s">
        <v>598</v>
      </c>
      <c r="D1347" s="127">
        <v>42884</v>
      </c>
      <c r="E1347" s="127" t="s">
        <v>598</v>
      </c>
      <c r="F1347" s="184" t="s">
        <v>1267</v>
      </c>
      <c r="G1347" s="185">
        <v>0</v>
      </c>
      <c r="H1347" s="184" t="s">
        <v>598</v>
      </c>
      <c r="I1347" s="184" t="s">
        <v>598</v>
      </c>
      <c r="J1347" s="184" t="s">
        <v>84</v>
      </c>
      <c r="K1347" s="184" t="s">
        <v>225</v>
      </c>
      <c r="L1347" s="184" t="s">
        <v>598</v>
      </c>
      <c r="M1347" s="184" t="s">
        <v>598</v>
      </c>
      <c r="N1347" s="184" t="s">
        <v>63</v>
      </c>
      <c r="O1347" s="184" t="s">
        <v>3021</v>
      </c>
      <c r="P1347" s="186" t="s">
        <v>67</v>
      </c>
      <c r="Q1347" s="184" t="s">
        <v>598</v>
      </c>
      <c r="R1347" s="184" t="s">
        <v>804</v>
      </c>
      <c r="S1347" s="127">
        <v>42885</v>
      </c>
      <c r="T1347" s="184" t="s">
        <v>34</v>
      </c>
      <c r="U1347" s="184" t="s">
        <v>598</v>
      </c>
      <c r="V1347" s="185">
        <v>1000</v>
      </c>
      <c r="W1347" s="184" t="s">
        <v>573</v>
      </c>
      <c r="X1347" s="184" t="s">
        <v>598</v>
      </c>
      <c r="Y1347" s="185">
        <v>0</v>
      </c>
      <c r="Z1347" s="184" t="s">
        <v>598</v>
      </c>
      <c r="AA1347" s="21" t="s">
        <v>822</v>
      </c>
      <c r="AB1347" s="176" t="s">
        <v>489</v>
      </c>
      <c r="AC1347" s="172">
        <v>42996.328472222223</v>
      </c>
      <c r="AD1347" s="32" t="s">
        <v>552</v>
      </c>
    </row>
    <row r="1348" spans="1:30">
      <c r="A1348" s="184">
        <v>1347</v>
      </c>
      <c r="B1348" s="184" t="s">
        <v>3306</v>
      </c>
      <c r="C1348" s="184" t="s">
        <v>598</v>
      </c>
      <c r="D1348" s="127">
        <v>42884</v>
      </c>
      <c r="E1348" s="127" t="s">
        <v>598</v>
      </c>
      <c r="F1348" s="184" t="s">
        <v>3307</v>
      </c>
      <c r="G1348" s="185">
        <v>0</v>
      </c>
      <c r="H1348" s="184" t="s">
        <v>598</v>
      </c>
      <c r="I1348" s="184" t="s">
        <v>598</v>
      </c>
      <c r="J1348" s="184" t="s">
        <v>84</v>
      </c>
      <c r="K1348" s="184" t="s">
        <v>214</v>
      </c>
      <c r="L1348" s="184" t="s">
        <v>598</v>
      </c>
      <c r="M1348" s="184" t="s">
        <v>598</v>
      </c>
      <c r="N1348" s="184" t="s">
        <v>63</v>
      </c>
      <c r="O1348" s="184" t="s">
        <v>3021</v>
      </c>
      <c r="P1348" s="186" t="s">
        <v>602</v>
      </c>
      <c r="Q1348" s="184" t="s">
        <v>598</v>
      </c>
      <c r="R1348" s="184" t="s">
        <v>598</v>
      </c>
      <c r="S1348" s="127">
        <v>42886</v>
      </c>
      <c r="T1348" s="184" t="s">
        <v>34</v>
      </c>
      <c r="U1348" s="184" t="s">
        <v>598</v>
      </c>
      <c r="V1348" s="185">
        <v>5000</v>
      </c>
      <c r="W1348" s="184" t="s">
        <v>493</v>
      </c>
      <c r="X1348" s="184" t="s">
        <v>598</v>
      </c>
      <c r="Y1348" s="185">
        <v>0</v>
      </c>
      <c r="Z1348" s="184" t="s">
        <v>598</v>
      </c>
      <c r="AA1348" s="21" t="s">
        <v>610</v>
      </c>
      <c r="AB1348" s="176" t="s">
        <v>489</v>
      </c>
      <c r="AC1348" s="172">
        <v>42996.328472222223</v>
      </c>
      <c r="AD1348" s="32" t="s">
        <v>552</v>
      </c>
    </row>
    <row r="1349" spans="1:30">
      <c r="A1349" s="184">
        <v>1348</v>
      </c>
      <c r="B1349" s="184" t="s">
        <v>3308</v>
      </c>
      <c r="C1349" s="184" t="s">
        <v>598</v>
      </c>
      <c r="D1349" s="127">
        <v>42885</v>
      </c>
      <c r="E1349" s="127" t="s">
        <v>598</v>
      </c>
      <c r="F1349" s="184" t="s">
        <v>1276</v>
      </c>
      <c r="G1349" s="185">
        <v>0</v>
      </c>
      <c r="H1349" s="184" t="s">
        <v>598</v>
      </c>
      <c r="I1349" s="184" t="s">
        <v>598</v>
      </c>
      <c r="J1349" s="184" t="s">
        <v>84</v>
      </c>
      <c r="K1349" s="184" t="s">
        <v>242</v>
      </c>
      <c r="L1349" s="184" t="s">
        <v>598</v>
      </c>
      <c r="M1349" s="184" t="s">
        <v>598</v>
      </c>
      <c r="N1349" s="184" t="s">
        <v>63</v>
      </c>
      <c r="O1349" s="184" t="s">
        <v>86</v>
      </c>
      <c r="P1349" s="186" t="s">
        <v>603</v>
      </c>
      <c r="Q1349" s="184" t="s">
        <v>598</v>
      </c>
      <c r="R1349" s="184" t="s">
        <v>804</v>
      </c>
      <c r="S1349" s="127">
        <v>42886</v>
      </c>
      <c r="T1349" s="184" t="s">
        <v>34</v>
      </c>
      <c r="U1349" s="184" t="s">
        <v>598</v>
      </c>
      <c r="V1349" s="185">
        <v>1000</v>
      </c>
      <c r="W1349" s="184" t="s">
        <v>549</v>
      </c>
      <c r="X1349" s="184" t="s">
        <v>598</v>
      </c>
      <c r="Y1349" s="185">
        <v>0</v>
      </c>
      <c r="Z1349" s="184" t="s">
        <v>493</v>
      </c>
      <c r="AA1349" s="21" t="s">
        <v>822</v>
      </c>
      <c r="AB1349" s="176" t="s">
        <v>489</v>
      </c>
      <c r="AC1349" s="172">
        <v>42996.328472222223</v>
      </c>
      <c r="AD1349" s="32" t="s">
        <v>552</v>
      </c>
    </row>
    <row r="1350" spans="1:30">
      <c r="A1350" s="184">
        <v>1349</v>
      </c>
      <c r="B1350" s="184" t="s">
        <v>3309</v>
      </c>
      <c r="C1350" s="184" t="s">
        <v>598</v>
      </c>
      <c r="D1350" s="127">
        <v>42837</v>
      </c>
      <c r="E1350" s="127" t="s">
        <v>598</v>
      </c>
      <c r="F1350" s="184" t="s">
        <v>3310</v>
      </c>
      <c r="G1350" s="185">
        <v>0</v>
      </c>
      <c r="H1350" s="184" t="s">
        <v>598</v>
      </c>
      <c r="I1350" s="184" t="s">
        <v>134</v>
      </c>
      <c r="J1350" s="184" t="s">
        <v>84</v>
      </c>
      <c r="K1350" s="184" t="s">
        <v>221</v>
      </c>
      <c r="L1350" s="184" t="s">
        <v>598</v>
      </c>
      <c r="M1350" s="184" t="s">
        <v>598</v>
      </c>
      <c r="N1350" s="184" t="s">
        <v>63</v>
      </c>
      <c r="O1350" s="184" t="s">
        <v>63</v>
      </c>
      <c r="P1350" s="186"/>
      <c r="Q1350" s="184" t="s">
        <v>598</v>
      </c>
      <c r="R1350" s="184" t="s">
        <v>598</v>
      </c>
      <c r="S1350" s="127">
        <v>42873</v>
      </c>
      <c r="T1350" s="184" t="s">
        <v>34</v>
      </c>
      <c r="U1350" s="184" t="s">
        <v>598</v>
      </c>
      <c r="V1350" s="185">
        <v>1000</v>
      </c>
      <c r="W1350" s="184" t="s">
        <v>493</v>
      </c>
      <c r="X1350" s="184" t="s">
        <v>598</v>
      </c>
      <c r="Y1350" s="185">
        <v>0</v>
      </c>
      <c r="Z1350" s="184" t="s">
        <v>598</v>
      </c>
      <c r="AA1350" s="21" t="s">
        <v>610</v>
      </c>
      <c r="AB1350" s="176" t="s">
        <v>489</v>
      </c>
      <c r="AC1350" s="172">
        <v>42996.328472222223</v>
      </c>
      <c r="AD1350" s="32" t="s">
        <v>552</v>
      </c>
    </row>
    <row r="1351" spans="1:30">
      <c r="A1351" s="184">
        <v>1350</v>
      </c>
      <c r="B1351" s="184" t="s">
        <v>3311</v>
      </c>
      <c r="C1351" s="184" t="s">
        <v>598</v>
      </c>
      <c r="D1351" s="127">
        <v>42849</v>
      </c>
      <c r="E1351" s="127" t="s">
        <v>598</v>
      </c>
      <c r="F1351" s="184" t="s">
        <v>3312</v>
      </c>
      <c r="G1351" s="185">
        <v>0</v>
      </c>
      <c r="H1351" s="184" t="s">
        <v>598</v>
      </c>
      <c r="I1351" s="184" t="s">
        <v>598</v>
      </c>
      <c r="J1351" s="184" t="s">
        <v>84</v>
      </c>
      <c r="K1351" s="184" t="s">
        <v>450</v>
      </c>
      <c r="L1351" s="184" t="s">
        <v>598</v>
      </c>
      <c r="M1351" s="184" t="s">
        <v>598</v>
      </c>
      <c r="N1351" s="184" t="s">
        <v>63</v>
      </c>
      <c r="O1351" s="184" t="s">
        <v>86</v>
      </c>
      <c r="P1351" s="186" t="s">
        <v>605</v>
      </c>
      <c r="Q1351" s="184" t="s">
        <v>598</v>
      </c>
      <c r="R1351" s="184" t="s">
        <v>598</v>
      </c>
      <c r="S1351" s="127">
        <v>42857</v>
      </c>
      <c r="T1351" s="184" t="s">
        <v>10</v>
      </c>
      <c r="U1351" s="184" t="s">
        <v>598</v>
      </c>
      <c r="V1351" s="185">
        <v>6000</v>
      </c>
      <c r="W1351" s="184" t="s">
        <v>493</v>
      </c>
      <c r="X1351" s="184" t="s">
        <v>598</v>
      </c>
      <c r="Y1351" s="185">
        <v>0</v>
      </c>
      <c r="Z1351" s="184" t="s">
        <v>598</v>
      </c>
      <c r="AA1351" s="21" t="s">
        <v>610</v>
      </c>
      <c r="AB1351" s="176" t="s">
        <v>489</v>
      </c>
      <c r="AC1351" s="172">
        <v>42996.328472222223</v>
      </c>
      <c r="AD1351" s="32" t="s">
        <v>552</v>
      </c>
    </row>
    <row r="1352" spans="1:30">
      <c r="A1352" s="184">
        <v>1351</v>
      </c>
      <c r="B1352" s="184" t="s">
        <v>3313</v>
      </c>
      <c r="C1352" s="184" t="s">
        <v>598</v>
      </c>
      <c r="D1352" s="127">
        <v>42849</v>
      </c>
      <c r="E1352" s="127" t="s">
        <v>598</v>
      </c>
      <c r="F1352" s="184" t="s">
        <v>3314</v>
      </c>
      <c r="G1352" s="185">
        <v>0</v>
      </c>
      <c r="H1352" s="184" t="s">
        <v>598</v>
      </c>
      <c r="I1352" s="184" t="s">
        <v>135</v>
      </c>
      <c r="J1352" s="184" t="s">
        <v>84</v>
      </c>
      <c r="K1352" s="184" t="s">
        <v>191</v>
      </c>
      <c r="L1352" s="184" t="s">
        <v>598</v>
      </c>
      <c r="M1352" s="184" t="s">
        <v>598</v>
      </c>
      <c r="N1352" s="184" t="s">
        <v>63</v>
      </c>
      <c r="O1352" s="184" t="s">
        <v>86</v>
      </c>
      <c r="P1352" s="186" t="s">
        <v>606</v>
      </c>
      <c r="Q1352" s="184" t="s">
        <v>598</v>
      </c>
      <c r="R1352" s="184" t="s">
        <v>598</v>
      </c>
      <c r="S1352" s="127">
        <v>42861</v>
      </c>
      <c r="T1352" s="184" t="s">
        <v>10</v>
      </c>
      <c r="U1352" s="184" t="s">
        <v>598</v>
      </c>
      <c r="V1352" s="185">
        <v>3000</v>
      </c>
      <c r="W1352" s="184" t="s">
        <v>493</v>
      </c>
      <c r="X1352" s="184">
        <v>4004</v>
      </c>
      <c r="Y1352" s="185">
        <v>3000</v>
      </c>
      <c r="Z1352" s="184" t="s">
        <v>598</v>
      </c>
      <c r="AA1352" s="21" t="s">
        <v>610</v>
      </c>
      <c r="AB1352" s="176" t="s">
        <v>489</v>
      </c>
      <c r="AC1352" s="172">
        <v>42996.328472222223</v>
      </c>
      <c r="AD1352" s="32" t="s">
        <v>552</v>
      </c>
    </row>
    <row r="1353" spans="1:30">
      <c r="A1353" s="184">
        <v>1352</v>
      </c>
      <c r="B1353" s="184" t="s">
        <v>3315</v>
      </c>
      <c r="C1353" s="184" t="s">
        <v>598</v>
      </c>
      <c r="D1353" s="127">
        <v>42849</v>
      </c>
      <c r="E1353" s="127" t="s">
        <v>598</v>
      </c>
      <c r="F1353" s="184" t="s">
        <v>3316</v>
      </c>
      <c r="G1353" s="185">
        <v>0</v>
      </c>
      <c r="H1353" s="184" t="s">
        <v>598</v>
      </c>
      <c r="I1353" s="184" t="s">
        <v>132</v>
      </c>
      <c r="J1353" s="184" t="s">
        <v>84</v>
      </c>
      <c r="K1353" s="184" t="s">
        <v>357</v>
      </c>
      <c r="L1353" s="184" t="s">
        <v>598</v>
      </c>
      <c r="M1353" s="184" t="s">
        <v>598</v>
      </c>
      <c r="N1353" s="184" t="s">
        <v>63</v>
      </c>
      <c r="O1353" s="184" t="s">
        <v>86</v>
      </c>
      <c r="P1353" s="186"/>
      <c r="Q1353" s="184" t="s">
        <v>598</v>
      </c>
      <c r="R1353" s="184" t="s">
        <v>598</v>
      </c>
      <c r="S1353" s="127">
        <v>42870</v>
      </c>
      <c r="T1353" s="184" t="s">
        <v>10</v>
      </c>
      <c r="U1353" s="184" t="s">
        <v>598</v>
      </c>
      <c r="V1353" s="185">
        <v>5000</v>
      </c>
      <c r="W1353" s="184" t="s">
        <v>493</v>
      </c>
      <c r="X1353" s="184">
        <v>3900</v>
      </c>
      <c r="Y1353" s="185">
        <v>5000</v>
      </c>
      <c r="Z1353" s="184" t="s">
        <v>598</v>
      </c>
      <c r="AA1353" s="21" t="s">
        <v>610</v>
      </c>
      <c r="AB1353" s="176" t="s">
        <v>489</v>
      </c>
      <c r="AC1353" s="172">
        <v>42996.328472222223</v>
      </c>
      <c r="AD1353" s="32" t="s">
        <v>552</v>
      </c>
    </row>
    <row r="1354" spans="1:30">
      <c r="A1354" s="184">
        <v>1353</v>
      </c>
      <c r="B1354" s="184" t="s">
        <v>3317</v>
      </c>
      <c r="C1354" s="184" t="s">
        <v>598</v>
      </c>
      <c r="D1354" s="127">
        <v>42850</v>
      </c>
      <c r="E1354" s="127" t="s">
        <v>598</v>
      </c>
      <c r="F1354" s="184" t="s">
        <v>3318</v>
      </c>
      <c r="G1354" s="185">
        <v>0</v>
      </c>
      <c r="H1354" s="184" t="s">
        <v>598</v>
      </c>
      <c r="I1354" s="184" t="s">
        <v>132</v>
      </c>
      <c r="J1354" s="184" t="s">
        <v>84</v>
      </c>
      <c r="K1354" s="184" t="s">
        <v>245</v>
      </c>
      <c r="L1354" s="184" t="s">
        <v>598</v>
      </c>
      <c r="M1354" s="184" t="s">
        <v>598</v>
      </c>
      <c r="N1354" s="184" t="s">
        <v>63</v>
      </c>
      <c r="O1354" s="184" t="s">
        <v>63</v>
      </c>
      <c r="P1354" s="186" t="s">
        <v>73</v>
      </c>
      <c r="Q1354" s="184" t="s">
        <v>598</v>
      </c>
      <c r="R1354" s="184" t="s">
        <v>598</v>
      </c>
      <c r="S1354" s="127">
        <v>42858</v>
      </c>
      <c r="T1354" s="184" t="s">
        <v>34</v>
      </c>
      <c r="U1354" s="184" t="s">
        <v>598</v>
      </c>
      <c r="V1354" s="185">
        <v>3000</v>
      </c>
      <c r="W1354" s="184" t="s">
        <v>493</v>
      </c>
      <c r="X1354" s="184" t="s">
        <v>598</v>
      </c>
      <c r="Y1354" s="185">
        <v>0</v>
      </c>
      <c r="Z1354" s="184" t="s">
        <v>598</v>
      </c>
      <c r="AA1354" s="21" t="s">
        <v>610</v>
      </c>
      <c r="AB1354" s="176" t="s">
        <v>489</v>
      </c>
      <c r="AC1354" s="172">
        <v>42996.328472222223</v>
      </c>
      <c r="AD1354" s="32" t="s">
        <v>552</v>
      </c>
    </row>
    <row r="1355" spans="1:30">
      <c r="A1355" s="184">
        <v>1354</v>
      </c>
      <c r="B1355" s="184" t="s">
        <v>3319</v>
      </c>
      <c r="C1355" s="184" t="s">
        <v>598</v>
      </c>
      <c r="D1355" s="127">
        <v>42850</v>
      </c>
      <c r="E1355" s="127" t="s">
        <v>598</v>
      </c>
      <c r="F1355" s="184" t="s">
        <v>3320</v>
      </c>
      <c r="G1355" s="185">
        <v>0</v>
      </c>
      <c r="H1355" s="184" t="s">
        <v>598</v>
      </c>
      <c r="I1355" s="184" t="s">
        <v>132</v>
      </c>
      <c r="J1355" s="184" t="s">
        <v>84</v>
      </c>
      <c r="K1355" s="184" t="s">
        <v>191</v>
      </c>
      <c r="L1355" s="184" t="s">
        <v>598</v>
      </c>
      <c r="M1355" s="184" t="s">
        <v>598</v>
      </c>
      <c r="N1355" s="184" t="s">
        <v>63</v>
      </c>
      <c r="O1355" s="184" t="s">
        <v>63</v>
      </c>
      <c r="P1355" s="186" t="s">
        <v>601</v>
      </c>
      <c r="Q1355" s="184" t="s">
        <v>598</v>
      </c>
      <c r="R1355" s="184" t="s">
        <v>598</v>
      </c>
      <c r="S1355" s="127">
        <v>42860</v>
      </c>
      <c r="T1355" s="184" t="s">
        <v>34</v>
      </c>
      <c r="U1355" s="184" t="s">
        <v>598</v>
      </c>
      <c r="V1355" s="185">
        <v>4500</v>
      </c>
      <c r="W1355" s="184" t="s">
        <v>493</v>
      </c>
      <c r="X1355" s="184" t="s">
        <v>598</v>
      </c>
      <c r="Y1355" s="185">
        <v>0</v>
      </c>
      <c r="Z1355" s="184" t="s">
        <v>598</v>
      </c>
      <c r="AA1355" s="21" t="s">
        <v>610</v>
      </c>
      <c r="AB1355" s="176" t="s">
        <v>489</v>
      </c>
      <c r="AC1355" s="172">
        <v>42996.328472222223</v>
      </c>
      <c r="AD1355" s="32" t="s">
        <v>552</v>
      </c>
    </row>
    <row r="1356" spans="1:30">
      <c r="A1356" s="184">
        <v>1355</v>
      </c>
      <c r="B1356" s="184" t="s">
        <v>3321</v>
      </c>
      <c r="C1356" s="184" t="s">
        <v>598</v>
      </c>
      <c r="D1356" s="127">
        <v>42853</v>
      </c>
      <c r="E1356" s="127" t="s">
        <v>598</v>
      </c>
      <c r="F1356" s="184" t="s">
        <v>3322</v>
      </c>
      <c r="G1356" s="185">
        <v>0</v>
      </c>
      <c r="H1356" s="184" t="s">
        <v>598</v>
      </c>
      <c r="I1356" s="184" t="s">
        <v>134</v>
      </c>
      <c r="J1356" s="184" t="s">
        <v>84</v>
      </c>
      <c r="K1356" s="184" t="s">
        <v>3323</v>
      </c>
      <c r="L1356" s="184" t="s">
        <v>598</v>
      </c>
      <c r="M1356" s="184" t="s">
        <v>598</v>
      </c>
      <c r="N1356" s="184" t="s">
        <v>63</v>
      </c>
      <c r="O1356" s="184" t="s">
        <v>86</v>
      </c>
      <c r="P1356" s="186" t="s">
        <v>32</v>
      </c>
      <c r="Q1356" s="184" t="s">
        <v>598</v>
      </c>
      <c r="R1356" s="184" t="s">
        <v>598</v>
      </c>
      <c r="S1356" s="127">
        <v>42861</v>
      </c>
      <c r="T1356" s="184" t="s">
        <v>10</v>
      </c>
      <c r="U1356" s="184" t="s">
        <v>598</v>
      </c>
      <c r="V1356" s="185">
        <v>3000</v>
      </c>
      <c r="W1356" s="184" t="s">
        <v>493</v>
      </c>
      <c r="X1356" s="184">
        <v>4005</v>
      </c>
      <c r="Y1356" s="185">
        <v>5000</v>
      </c>
      <c r="Z1356" s="184" t="s">
        <v>598</v>
      </c>
      <c r="AA1356" s="21" t="s">
        <v>610</v>
      </c>
      <c r="AB1356" s="176" t="s">
        <v>489</v>
      </c>
      <c r="AC1356" s="172">
        <v>42996.328472222223</v>
      </c>
      <c r="AD1356" s="32" t="s">
        <v>552</v>
      </c>
    </row>
    <row r="1357" spans="1:30">
      <c r="A1357" s="184">
        <v>1356</v>
      </c>
      <c r="B1357" s="184" t="s">
        <v>3324</v>
      </c>
      <c r="C1357" s="184" t="s">
        <v>598</v>
      </c>
      <c r="D1357" s="127">
        <v>42853</v>
      </c>
      <c r="E1357" s="127" t="s">
        <v>598</v>
      </c>
      <c r="F1357" s="184" t="s">
        <v>3325</v>
      </c>
      <c r="G1357" s="185">
        <v>0</v>
      </c>
      <c r="H1357" s="184" t="s">
        <v>598</v>
      </c>
      <c r="I1357" s="184" t="s">
        <v>134</v>
      </c>
      <c r="J1357" s="184" t="s">
        <v>84</v>
      </c>
      <c r="K1357" s="184" t="s">
        <v>3323</v>
      </c>
      <c r="L1357" s="184" t="s">
        <v>598</v>
      </c>
      <c r="M1357" s="184" t="s">
        <v>598</v>
      </c>
      <c r="N1357" s="184" t="s">
        <v>63</v>
      </c>
      <c r="O1357" s="184" t="s">
        <v>86</v>
      </c>
      <c r="P1357" s="186" t="s">
        <v>53</v>
      </c>
      <c r="Q1357" s="184" t="s">
        <v>598</v>
      </c>
      <c r="R1357" s="184" t="s">
        <v>598</v>
      </c>
      <c r="S1357" s="127">
        <v>42857</v>
      </c>
      <c r="T1357" s="184" t="s">
        <v>10</v>
      </c>
      <c r="U1357" s="184" t="s">
        <v>598</v>
      </c>
      <c r="V1357" s="185">
        <v>3500</v>
      </c>
      <c r="W1357" s="184" t="s">
        <v>493</v>
      </c>
      <c r="X1357" s="184">
        <v>4006</v>
      </c>
      <c r="Y1357" s="185">
        <v>3500</v>
      </c>
      <c r="Z1357" s="184" t="s">
        <v>598</v>
      </c>
      <c r="AA1357" s="21" t="s">
        <v>610</v>
      </c>
      <c r="AB1357" s="176" t="s">
        <v>489</v>
      </c>
      <c r="AC1357" s="172">
        <v>42996.328472222223</v>
      </c>
      <c r="AD1357" s="32" t="s">
        <v>552</v>
      </c>
    </row>
    <row r="1358" spans="1:30">
      <c r="A1358" s="184">
        <v>1357</v>
      </c>
      <c r="B1358" s="184" t="s">
        <v>3326</v>
      </c>
      <c r="C1358" s="184" t="s">
        <v>598</v>
      </c>
      <c r="D1358" s="127">
        <v>42856</v>
      </c>
      <c r="E1358" s="127" t="s">
        <v>598</v>
      </c>
      <c r="F1358" s="184" t="s">
        <v>1353</v>
      </c>
      <c r="G1358" s="185">
        <v>0</v>
      </c>
      <c r="H1358" s="184" t="s">
        <v>598</v>
      </c>
      <c r="I1358" s="184" t="s">
        <v>864</v>
      </c>
      <c r="J1358" s="184" t="s">
        <v>84</v>
      </c>
      <c r="K1358" s="184" t="s">
        <v>598</v>
      </c>
      <c r="L1358" s="184" t="s">
        <v>598</v>
      </c>
      <c r="M1358" s="184" t="s">
        <v>598</v>
      </c>
      <c r="N1358" s="184" t="s">
        <v>79</v>
      </c>
      <c r="O1358" s="184" t="s">
        <v>598</v>
      </c>
      <c r="P1358" s="186" t="s">
        <v>44</v>
      </c>
      <c r="Q1358" s="184" t="s">
        <v>598</v>
      </c>
      <c r="R1358" s="184" t="s">
        <v>598</v>
      </c>
      <c r="S1358" s="127">
        <v>42856</v>
      </c>
      <c r="T1358" s="184" t="s">
        <v>34</v>
      </c>
      <c r="U1358" s="184" t="s">
        <v>598</v>
      </c>
      <c r="V1358" s="185">
        <v>2000</v>
      </c>
      <c r="W1358" s="184" t="s">
        <v>493</v>
      </c>
      <c r="X1358" s="184" t="s">
        <v>598</v>
      </c>
      <c r="Y1358" s="185">
        <v>0</v>
      </c>
      <c r="Z1358" s="184" t="s">
        <v>598</v>
      </c>
      <c r="AA1358" s="21" t="s">
        <v>610</v>
      </c>
      <c r="AB1358" s="176" t="s">
        <v>489</v>
      </c>
      <c r="AC1358" s="172">
        <v>42996.328472222223</v>
      </c>
      <c r="AD1358" s="32" t="s">
        <v>552</v>
      </c>
    </row>
    <row r="1359" spans="1:30">
      <c r="A1359" s="184">
        <v>1358</v>
      </c>
      <c r="B1359" s="184" t="s">
        <v>3327</v>
      </c>
      <c r="C1359" s="184" t="s">
        <v>598</v>
      </c>
      <c r="D1359" s="127">
        <v>42856</v>
      </c>
      <c r="E1359" s="127" t="s">
        <v>598</v>
      </c>
      <c r="F1359" s="184" t="s">
        <v>3328</v>
      </c>
      <c r="G1359" s="185">
        <v>3422000</v>
      </c>
      <c r="H1359" s="184" t="s">
        <v>598</v>
      </c>
      <c r="I1359" s="184" t="s">
        <v>134</v>
      </c>
      <c r="J1359" s="184" t="s">
        <v>84</v>
      </c>
      <c r="K1359" s="184" t="s">
        <v>192</v>
      </c>
      <c r="L1359" s="184" t="s">
        <v>598</v>
      </c>
      <c r="M1359" s="184" t="s">
        <v>50</v>
      </c>
      <c r="N1359" s="184" t="s">
        <v>79</v>
      </c>
      <c r="O1359" s="184" t="s">
        <v>112</v>
      </c>
      <c r="P1359" s="186" t="s">
        <v>67</v>
      </c>
      <c r="Q1359" s="184" t="s">
        <v>598</v>
      </c>
      <c r="R1359" s="184" t="s">
        <v>598</v>
      </c>
      <c r="S1359" s="127">
        <v>42865</v>
      </c>
      <c r="T1359" s="184" t="s">
        <v>10</v>
      </c>
      <c r="U1359" s="184" t="s">
        <v>598</v>
      </c>
      <c r="V1359" s="185">
        <v>3000</v>
      </c>
      <c r="W1359" s="184" t="s">
        <v>493</v>
      </c>
      <c r="X1359" s="184" t="s">
        <v>598</v>
      </c>
      <c r="Y1359" s="185">
        <v>0</v>
      </c>
      <c r="Z1359" s="184" t="s">
        <v>598</v>
      </c>
      <c r="AA1359" s="21" t="s">
        <v>610</v>
      </c>
      <c r="AB1359" s="176" t="s">
        <v>489</v>
      </c>
      <c r="AC1359" s="172">
        <v>42996.328472222223</v>
      </c>
      <c r="AD1359" s="32" t="s">
        <v>552</v>
      </c>
    </row>
    <row r="1360" spans="1:30">
      <c r="A1360" s="184">
        <v>1359</v>
      </c>
      <c r="B1360" s="184" t="s">
        <v>3329</v>
      </c>
      <c r="C1360" s="184" t="s">
        <v>598</v>
      </c>
      <c r="D1360" s="127">
        <v>42856</v>
      </c>
      <c r="E1360" s="127" t="s">
        <v>598</v>
      </c>
      <c r="F1360" s="184" t="s">
        <v>3330</v>
      </c>
      <c r="G1360" s="185">
        <v>3048000</v>
      </c>
      <c r="H1360" s="184" t="s">
        <v>598</v>
      </c>
      <c r="I1360" s="184" t="s">
        <v>132</v>
      </c>
      <c r="J1360" s="184" t="s">
        <v>84</v>
      </c>
      <c r="K1360" s="184" t="s">
        <v>265</v>
      </c>
      <c r="L1360" s="184" t="s">
        <v>598</v>
      </c>
      <c r="M1360" s="184" t="s">
        <v>598</v>
      </c>
      <c r="N1360" s="184" t="s">
        <v>79</v>
      </c>
      <c r="O1360" s="184" t="s">
        <v>79</v>
      </c>
      <c r="P1360" s="186" t="s">
        <v>602</v>
      </c>
      <c r="Q1360" s="184" t="s">
        <v>598</v>
      </c>
      <c r="R1360" s="184" t="s">
        <v>598</v>
      </c>
      <c r="S1360" s="127">
        <v>42858</v>
      </c>
      <c r="T1360" s="184" t="s">
        <v>34</v>
      </c>
      <c r="U1360" s="184" t="s">
        <v>598</v>
      </c>
      <c r="V1360" s="185">
        <v>3000</v>
      </c>
      <c r="W1360" s="184" t="s">
        <v>493</v>
      </c>
      <c r="X1360" s="184" t="s">
        <v>598</v>
      </c>
      <c r="Y1360" s="185">
        <v>0</v>
      </c>
      <c r="Z1360" s="184" t="s">
        <v>598</v>
      </c>
      <c r="AA1360" s="21" t="s">
        <v>610</v>
      </c>
      <c r="AB1360" s="176" t="s">
        <v>489</v>
      </c>
      <c r="AC1360" s="172">
        <v>42996.328472222223</v>
      </c>
      <c r="AD1360" s="32" t="s">
        <v>552</v>
      </c>
    </row>
    <row r="1361" spans="1:30">
      <c r="A1361" s="184">
        <v>1360</v>
      </c>
      <c r="B1361" s="184" t="s">
        <v>3331</v>
      </c>
      <c r="C1361" s="184" t="s">
        <v>598</v>
      </c>
      <c r="D1361" s="127">
        <v>42856</v>
      </c>
      <c r="E1361" s="127" t="s">
        <v>598</v>
      </c>
      <c r="F1361" s="184" t="s">
        <v>3332</v>
      </c>
      <c r="G1361" s="185">
        <v>3217000</v>
      </c>
      <c r="H1361" s="184" t="s">
        <v>598</v>
      </c>
      <c r="I1361" s="184" t="s">
        <v>122</v>
      </c>
      <c r="J1361" s="184" t="s">
        <v>84</v>
      </c>
      <c r="K1361" s="184" t="s">
        <v>250</v>
      </c>
      <c r="L1361" s="184" t="s">
        <v>598</v>
      </c>
      <c r="M1361" s="184" t="s">
        <v>598</v>
      </c>
      <c r="N1361" s="184" t="s">
        <v>79</v>
      </c>
      <c r="O1361" s="184" t="s">
        <v>112</v>
      </c>
      <c r="P1361" s="186" t="s">
        <v>603</v>
      </c>
      <c r="Q1361" s="184" t="s">
        <v>598</v>
      </c>
      <c r="R1361" s="184" t="s">
        <v>598</v>
      </c>
      <c r="S1361" s="127">
        <v>42865</v>
      </c>
      <c r="T1361" s="184" t="s">
        <v>34</v>
      </c>
      <c r="U1361" s="184" t="s">
        <v>598</v>
      </c>
      <c r="V1361" s="185">
        <v>3000</v>
      </c>
      <c r="W1361" s="184" t="s">
        <v>493</v>
      </c>
      <c r="X1361" s="184" t="s">
        <v>598</v>
      </c>
      <c r="Y1361" s="185">
        <v>0</v>
      </c>
      <c r="Z1361" s="184" t="s">
        <v>598</v>
      </c>
      <c r="AA1361" s="21" t="s">
        <v>610</v>
      </c>
      <c r="AB1361" s="176" t="s">
        <v>489</v>
      </c>
      <c r="AC1361" s="172">
        <v>42996.328472222223</v>
      </c>
      <c r="AD1361" s="32" t="s">
        <v>552</v>
      </c>
    </row>
    <row r="1362" spans="1:30">
      <c r="A1362" s="184">
        <v>1361</v>
      </c>
      <c r="B1362" s="184" t="s">
        <v>3333</v>
      </c>
      <c r="C1362" s="184" t="s">
        <v>598</v>
      </c>
      <c r="D1362" s="127">
        <v>42856</v>
      </c>
      <c r="E1362" s="127" t="s">
        <v>598</v>
      </c>
      <c r="F1362" s="184" t="s">
        <v>3334</v>
      </c>
      <c r="G1362" s="185">
        <v>2226000</v>
      </c>
      <c r="H1362" s="184" t="s">
        <v>598</v>
      </c>
      <c r="I1362" s="184" t="s">
        <v>134</v>
      </c>
      <c r="J1362" s="184" t="s">
        <v>84</v>
      </c>
      <c r="K1362" s="184" t="s">
        <v>277</v>
      </c>
      <c r="L1362" s="184" t="s">
        <v>598</v>
      </c>
      <c r="M1362" s="184" t="s">
        <v>598</v>
      </c>
      <c r="N1362" s="184" t="s">
        <v>79</v>
      </c>
      <c r="O1362" s="184" t="s">
        <v>112</v>
      </c>
      <c r="P1362" s="186"/>
      <c r="Q1362" s="184" t="s">
        <v>598</v>
      </c>
      <c r="R1362" s="184" t="s">
        <v>598</v>
      </c>
      <c r="S1362" s="127">
        <v>42860</v>
      </c>
      <c r="T1362" s="184" t="s">
        <v>34</v>
      </c>
      <c r="U1362" s="184" t="s">
        <v>598</v>
      </c>
      <c r="V1362" s="185">
        <v>3000</v>
      </c>
      <c r="W1362" s="184" t="s">
        <v>493</v>
      </c>
      <c r="X1362" s="184" t="s">
        <v>598</v>
      </c>
      <c r="Y1362" s="185">
        <v>0</v>
      </c>
      <c r="Z1362" s="184" t="s">
        <v>598</v>
      </c>
      <c r="AA1362" s="21" t="s">
        <v>610</v>
      </c>
      <c r="AB1362" s="176" t="s">
        <v>489</v>
      </c>
      <c r="AC1362" s="172">
        <v>42996.328472222223</v>
      </c>
      <c r="AD1362" s="32" t="s">
        <v>552</v>
      </c>
    </row>
    <row r="1363" spans="1:30">
      <c r="A1363" s="184">
        <v>1362</v>
      </c>
      <c r="B1363" s="184" t="s">
        <v>3335</v>
      </c>
      <c r="C1363" s="184" t="s">
        <v>598</v>
      </c>
      <c r="D1363" s="127">
        <v>42858</v>
      </c>
      <c r="E1363" s="127" t="s">
        <v>598</v>
      </c>
      <c r="F1363" s="184" t="s">
        <v>3336</v>
      </c>
      <c r="G1363" s="185">
        <v>0</v>
      </c>
      <c r="H1363" s="184" t="s">
        <v>598</v>
      </c>
      <c r="I1363" s="184" t="s">
        <v>126</v>
      </c>
      <c r="J1363" s="184" t="s">
        <v>84</v>
      </c>
      <c r="K1363" s="184" t="s">
        <v>598</v>
      </c>
      <c r="L1363" s="184" t="s">
        <v>598</v>
      </c>
      <c r="M1363" s="184" t="s">
        <v>598</v>
      </c>
      <c r="N1363" s="184" t="s">
        <v>79</v>
      </c>
      <c r="O1363" s="184" t="s">
        <v>598</v>
      </c>
      <c r="P1363" s="186" t="s">
        <v>605</v>
      </c>
      <c r="Q1363" s="184" t="s">
        <v>598</v>
      </c>
      <c r="R1363" s="184" t="s">
        <v>598</v>
      </c>
      <c r="S1363" s="127">
        <v>42858</v>
      </c>
      <c r="T1363" s="184" t="s">
        <v>34</v>
      </c>
      <c r="U1363" s="184" t="s">
        <v>598</v>
      </c>
      <c r="V1363" s="185">
        <v>1000</v>
      </c>
      <c r="W1363" s="184" t="s">
        <v>493</v>
      </c>
      <c r="X1363" s="184" t="s">
        <v>598</v>
      </c>
      <c r="Y1363" s="185">
        <v>0</v>
      </c>
      <c r="Z1363" s="184" t="s">
        <v>598</v>
      </c>
      <c r="AA1363" s="21" t="s">
        <v>610</v>
      </c>
      <c r="AB1363" s="176" t="s">
        <v>489</v>
      </c>
      <c r="AC1363" s="172">
        <v>42996.328472222223</v>
      </c>
      <c r="AD1363" s="32" t="s">
        <v>552</v>
      </c>
    </row>
    <row r="1364" spans="1:30">
      <c r="A1364" s="184">
        <v>1363</v>
      </c>
      <c r="B1364" s="184" t="s">
        <v>3337</v>
      </c>
      <c r="C1364" s="184" t="s">
        <v>598</v>
      </c>
      <c r="D1364" s="127">
        <v>42858</v>
      </c>
      <c r="E1364" s="127" t="s">
        <v>598</v>
      </c>
      <c r="F1364" s="184" t="s">
        <v>3338</v>
      </c>
      <c r="G1364" s="185">
        <v>6421000</v>
      </c>
      <c r="H1364" s="184" t="s">
        <v>598</v>
      </c>
      <c r="I1364" s="184" t="s">
        <v>134</v>
      </c>
      <c r="J1364" s="184" t="s">
        <v>84</v>
      </c>
      <c r="K1364" s="184" t="s">
        <v>451</v>
      </c>
      <c r="L1364" s="184" t="s">
        <v>598</v>
      </c>
      <c r="M1364" s="184" t="s">
        <v>598</v>
      </c>
      <c r="N1364" s="184" t="s">
        <v>79</v>
      </c>
      <c r="O1364" s="184" t="s">
        <v>79</v>
      </c>
      <c r="P1364" s="186" t="s">
        <v>606</v>
      </c>
      <c r="Q1364" s="184" t="s">
        <v>598</v>
      </c>
      <c r="R1364" s="184" t="s">
        <v>598</v>
      </c>
      <c r="S1364" s="127">
        <v>42864</v>
      </c>
      <c r="T1364" s="184" t="s">
        <v>34</v>
      </c>
      <c r="U1364" s="184" t="s">
        <v>598</v>
      </c>
      <c r="V1364" s="185">
        <v>1500</v>
      </c>
      <c r="W1364" s="184" t="s">
        <v>493</v>
      </c>
      <c r="X1364" s="184" t="s">
        <v>598</v>
      </c>
      <c r="Y1364" s="185">
        <v>0</v>
      </c>
      <c r="Z1364" s="184" t="s">
        <v>598</v>
      </c>
      <c r="AA1364" s="21" t="s">
        <v>610</v>
      </c>
      <c r="AB1364" s="176" t="s">
        <v>489</v>
      </c>
      <c r="AC1364" s="172">
        <v>42996.328472222223</v>
      </c>
      <c r="AD1364" s="32" t="s">
        <v>552</v>
      </c>
    </row>
    <row r="1365" spans="1:30">
      <c r="A1365" s="184">
        <v>1364</v>
      </c>
      <c r="B1365" s="184" t="s">
        <v>3339</v>
      </c>
      <c r="C1365" s="184" t="s">
        <v>598</v>
      </c>
      <c r="D1365" s="127">
        <v>42858</v>
      </c>
      <c r="E1365" s="127" t="s">
        <v>598</v>
      </c>
      <c r="F1365" s="184" t="s">
        <v>3340</v>
      </c>
      <c r="G1365" s="185">
        <v>4126000</v>
      </c>
      <c r="H1365" s="184" t="s">
        <v>598</v>
      </c>
      <c r="I1365" s="184" t="s">
        <v>120</v>
      </c>
      <c r="J1365" s="184" t="s">
        <v>84</v>
      </c>
      <c r="K1365" s="184" t="s">
        <v>452</v>
      </c>
      <c r="L1365" s="184" t="s">
        <v>598</v>
      </c>
      <c r="M1365" s="184" t="s">
        <v>50</v>
      </c>
      <c r="N1365" s="184" t="s">
        <v>79</v>
      </c>
      <c r="O1365" s="184" t="s">
        <v>79</v>
      </c>
      <c r="P1365" s="186"/>
      <c r="Q1365" s="184" t="s">
        <v>598</v>
      </c>
      <c r="R1365" s="184" t="s">
        <v>598</v>
      </c>
      <c r="S1365" s="127">
        <v>42865</v>
      </c>
      <c r="T1365" s="184" t="s">
        <v>10</v>
      </c>
      <c r="U1365" s="184" t="s">
        <v>598</v>
      </c>
      <c r="V1365" s="185">
        <v>3000</v>
      </c>
      <c r="W1365" s="184" t="s">
        <v>493</v>
      </c>
      <c r="X1365" s="184" t="s">
        <v>598</v>
      </c>
      <c r="Y1365" s="185">
        <v>0</v>
      </c>
      <c r="Z1365" s="184" t="s">
        <v>598</v>
      </c>
      <c r="AA1365" s="21" t="s">
        <v>610</v>
      </c>
      <c r="AB1365" s="176" t="s">
        <v>489</v>
      </c>
      <c r="AC1365" s="172">
        <v>42996.328472222223</v>
      </c>
      <c r="AD1365" s="32" t="s">
        <v>552</v>
      </c>
    </row>
    <row r="1366" spans="1:30">
      <c r="A1366" s="184">
        <v>1365</v>
      </c>
      <c r="B1366" s="184" t="s">
        <v>3341</v>
      </c>
      <c r="C1366" s="184" t="s">
        <v>598</v>
      </c>
      <c r="D1366" s="127">
        <v>42859</v>
      </c>
      <c r="E1366" s="127" t="s">
        <v>598</v>
      </c>
      <c r="F1366" s="184" t="s">
        <v>3342</v>
      </c>
      <c r="G1366" s="185">
        <v>9103000</v>
      </c>
      <c r="H1366" s="184" t="s">
        <v>598</v>
      </c>
      <c r="I1366" s="184" t="s">
        <v>126</v>
      </c>
      <c r="J1366" s="184" t="s">
        <v>84</v>
      </c>
      <c r="K1366" s="184" t="s">
        <v>598</v>
      </c>
      <c r="L1366" s="184" t="s">
        <v>598</v>
      </c>
      <c r="M1366" s="184" t="s">
        <v>598</v>
      </c>
      <c r="N1366" s="184" t="s">
        <v>79</v>
      </c>
      <c r="O1366" s="184" t="s">
        <v>598</v>
      </c>
      <c r="P1366" s="186" t="s">
        <v>73</v>
      </c>
      <c r="Q1366" s="184" t="s">
        <v>598</v>
      </c>
      <c r="R1366" s="184" t="s">
        <v>598</v>
      </c>
      <c r="S1366" s="127">
        <v>42859</v>
      </c>
      <c r="T1366" s="184" t="s">
        <v>34</v>
      </c>
      <c r="U1366" s="184" t="s">
        <v>598</v>
      </c>
      <c r="V1366" s="185">
        <v>1000</v>
      </c>
      <c r="W1366" s="184" t="s">
        <v>493</v>
      </c>
      <c r="X1366" s="184" t="s">
        <v>598</v>
      </c>
      <c r="Y1366" s="185">
        <v>0</v>
      </c>
      <c r="Z1366" s="184" t="s">
        <v>598</v>
      </c>
      <c r="AA1366" s="21" t="s">
        <v>610</v>
      </c>
      <c r="AB1366" s="176" t="s">
        <v>489</v>
      </c>
      <c r="AC1366" s="172">
        <v>42996.328472222223</v>
      </c>
      <c r="AD1366" s="32" t="s">
        <v>552</v>
      </c>
    </row>
    <row r="1367" spans="1:30">
      <c r="A1367" s="184">
        <v>1366</v>
      </c>
      <c r="B1367" s="184" t="s">
        <v>3343</v>
      </c>
      <c r="C1367" s="184" t="s">
        <v>598</v>
      </c>
      <c r="D1367" s="127">
        <v>42859</v>
      </c>
      <c r="E1367" s="127" t="s">
        <v>598</v>
      </c>
      <c r="F1367" s="184" t="s">
        <v>3344</v>
      </c>
      <c r="G1367" s="185">
        <v>2380000</v>
      </c>
      <c r="H1367" s="184" t="s">
        <v>598</v>
      </c>
      <c r="I1367" s="184" t="s">
        <v>132</v>
      </c>
      <c r="J1367" s="184" t="s">
        <v>84</v>
      </c>
      <c r="K1367" s="184" t="s">
        <v>265</v>
      </c>
      <c r="L1367" s="184" t="s">
        <v>598</v>
      </c>
      <c r="M1367" s="184" t="s">
        <v>598</v>
      </c>
      <c r="N1367" s="184" t="s">
        <v>79</v>
      </c>
      <c r="O1367" s="184" t="s">
        <v>112</v>
      </c>
      <c r="P1367" s="186" t="s">
        <v>601</v>
      </c>
      <c r="Q1367" s="184" t="s">
        <v>598</v>
      </c>
      <c r="R1367" s="184" t="s">
        <v>598</v>
      </c>
      <c r="S1367" s="127">
        <v>42861</v>
      </c>
      <c r="T1367" s="184" t="s">
        <v>34</v>
      </c>
      <c r="U1367" s="184" t="s">
        <v>598</v>
      </c>
      <c r="V1367" s="185">
        <v>3500</v>
      </c>
      <c r="W1367" s="184" t="s">
        <v>493</v>
      </c>
      <c r="X1367" s="184" t="s">
        <v>598</v>
      </c>
      <c r="Y1367" s="185">
        <v>0</v>
      </c>
      <c r="Z1367" s="184" t="s">
        <v>598</v>
      </c>
      <c r="AA1367" s="21" t="s">
        <v>610</v>
      </c>
      <c r="AB1367" s="176" t="s">
        <v>489</v>
      </c>
      <c r="AC1367" s="172">
        <v>42996.328472222223</v>
      </c>
      <c r="AD1367" s="32" t="s">
        <v>552</v>
      </c>
    </row>
    <row r="1368" spans="1:30">
      <c r="A1368" s="184">
        <v>1367</v>
      </c>
      <c r="B1368" s="184" t="s">
        <v>3345</v>
      </c>
      <c r="C1368" s="184" t="s">
        <v>598</v>
      </c>
      <c r="D1368" s="127">
        <v>42859</v>
      </c>
      <c r="E1368" s="127" t="s">
        <v>598</v>
      </c>
      <c r="F1368" s="184" t="s">
        <v>3346</v>
      </c>
      <c r="G1368" s="185">
        <v>2200000</v>
      </c>
      <c r="H1368" s="184" t="s">
        <v>598</v>
      </c>
      <c r="I1368" s="184" t="s">
        <v>134</v>
      </c>
      <c r="J1368" s="184" t="s">
        <v>84</v>
      </c>
      <c r="K1368" s="184" t="s">
        <v>168</v>
      </c>
      <c r="L1368" s="184" t="s">
        <v>598</v>
      </c>
      <c r="M1368" s="184" t="s">
        <v>598</v>
      </c>
      <c r="N1368" s="184" t="s">
        <v>79</v>
      </c>
      <c r="O1368" s="184" t="s">
        <v>112</v>
      </c>
      <c r="P1368" s="186" t="s">
        <v>32</v>
      </c>
      <c r="Q1368" s="184" t="s">
        <v>598</v>
      </c>
      <c r="R1368" s="184" t="s">
        <v>598</v>
      </c>
      <c r="S1368" s="127">
        <v>42861</v>
      </c>
      <c r="T1368" s="184" t="s">
        <v>34</v>
      </c>
      <c r="U1368" s="184" t="s">
        <v>598</v>
      </c>
      <c r="V1368" s="185">
        <v>3000</v>
      </c>
      <c r="W1368" s="184" t="s">
        <v>493</v>
      </c>
      <c r="X1368" s="184" t="s">
        <v>598</v>
      </c>
      <c r="Y1368" s="185">
        <v>0</v>
      </c>
      <c r="Z1368" s="184" t="s">
        <v>598</v>
      </c>
      <c r="AA1368" s="21" t="s">
        <v>610</v>
      </c>
      <c r="AB1368" s="176" t="s">
        <v>489</v>
      </c>
      <c r="AC1368" s="172">
        <v>42996.328472222223</v>
      </c>
      <c r="AD1368" s="32" t="s">
        <v>552</v>
      </c>
    </row>
    <row r="1369" spans="1:30">
      <c r="A1369" s="184">
        <v>1368</v>
      </c>
      <c r="B1369" s="184" t="s">
        <v>3347</v>
      </c>
      <c r="C1369" s="184" t="s">
        <v>598</v>
      </c>
      <c r="D1369" s="127">
        <v>42860</v>
      </c>
      <c r="E1369" s="127" t="s">
        <v>598</v>
      </c>
      <c r="F1369" s="184" t="s">
        <v>3348</v>
      </c>
      <c r="G1369" s="185">
        <v>8772000</v>
      </c>
      <c r="H1369" s="184" t="s">
        <v>598</v>
      </c>
      <c r="I1369" s="184" t="s">
        <v>134</v>
      </c>
      <c r="J1369" s="184" t="s">
        <v>84</v>
      </c>
      <c r="K1369" s="184" t="s">
        <v>453</v>
      </c>
      <c r="L1369" s="184" t="s">
        <v>598</v>
      </c>
      <c r="M1369" s="184" t="s">
        <v>598</v>
      </c>
      <c r="N1369" s="184" t="s">
        <v>79</v>
      </c>
      <c r="O1369" s="184" t="s">
        <v>112</v>
      </c>
      <c r="P1369" s="186" t="s">
        <v>53</v>
      </c>
      <c r="Q1369" s="184" t="s">
        <v>598</v>
      </c>
      <c r="R1369" s="184" t="s">
        <v>598</v>
      </c>
      <c r="S1369" s="127">
        <v>42880</v>
      </c>
      <c r="T1369" s="184" t="s">
        <v>34</v>
      </c>
      <c r="U1369" s="184" t="s">
        <v>598</v>
      </c>
      <c r="V1369" s="185">
        <v>5000</v>
      </c>
      <c r="W1369" s="184" t="s">
        <v>493</v>
      </c>
      <c r="X1369" s="184" t="s">
        <v>598</v>
      </c>
      <c r="Y1369" s="185">
        <v>0</v>
      </c>
      <c r="Z1369" s="184" t="s">
        <v>598</v>
      </c>
      <c r="AA1369" s="21" t="s">
        <v>610</v>
      </c>
      <c r="AB1369" s="176" t="s">
        <v>489</v>
      </c>
      <c r="AC1369" s="172">
        <v>42996.328472222223</v>
      </c>
      <c r="AD1369" s="32" t="s">
        <v>552</v>
      </c>
    </row>
    <row r="1370" spans="1:30">
      <c r="A1370" s="184">
        <v>1369</v>
      </c>
      <c r="B1370" s="184" t="s">
        <v>3349</v>
      </c>
      <c r="C1370" s="184" t="s">
        <v>598</v>
      </c>
      <c r="D1370" s="127">
        <v>42864</v>
      </c>
      <c r="E1370" s="127" t="s">
        <v>598</v>
      </c>
      <c r="F1370" s="184" t="s">
        <v>3350</v>
      </c>
      <c r="G1370" s="185">
        <v>3305000</v>
      </c>
      <c r="H1370" s="184" t="s">
        <v>598</v>
      </c>
      <c r="I1370" s="184" t="s">
        <v>132</v>
      </c>
      <c r="J1370" s="184" t="s">
        <v>84</v>
      </c>
      <c r="K1370" s="184" t="s">
        <v>184</v>
      </c>
      <c r="L1370" s="184" t="s">
        <v>598</v>
      </c>
      <c r="M1370" s="184" t="s">
        <v>598</v>
      </c>
      <c r="N1370" s="184" t="s">
        <v>79</v>
      </c>
      <c r="O1370" s="184" t="s">
        <v>79</v>
      </c>
      <c r="P1370" s="186" t="s">
        <v>44</v>
      </c>
      <c r="Q1370" s="184" t="s">
        <v>598</v>
      </c>
      <c r="R1370" s="184" t="s">
        <v>598</v>
      </c>
      <c r="S1370" s="127">
        <v>42865</v>
      </c>
      <c r="T1370" s="184" t="s">
        <v>34</v>
      </c>
      <c r="U1370" s="184" t="s">
        <v>598</v>
      </c>
      <c r="V1370" s="185">
        <v>3000</v>
      </c>
      <c r="W1370" s="184" t="s">
        <v>493</v>
      </c>
      <c r="X1370" s="184" t="s">
        <v>598</v>
      </c>
      <c r="Y1370" s="185">
        <v>0</v>
      </c>
      <c r="Z1370" s="184" t="s">
        <v>598</v>
      </c>
      <c r="AA1370" s="21" t="s">
        <v>610</v>
      </c>
      <c r="AB1370" s="176" t="s">
        <v>489</v>
      </c>
      <c r="AC1370" s="172">
        <v>42996.328472222223</v>
      </c>
      <c r="AD1370" s="32" t="s">
        <v>552</v>
      </c>
    </row>
    <row r="1371" spans="1:30">
      <c r="A1371" s="184">
        <v>1370</v>
      </c>
      <c r="B1371" s="184" t="s">
        <v>3351</v>
      </c>
      <c r="C1371" s="184" t="s">
        <v>598</v>
      </c>
      <c r="D1371" s="127">
        <v>42864</v>
      </c>
      <c r="E1371" s="127" t="s">
        <v>598</v>
      </c>
      <c r="F1371" s="184" t="s">
        <v>3350</v>
      </c>
      <c r="G1371" s="185">
        <v>5424000</v>
      </c>
      <c r="H1371" s="184" t="s">
        <v>598</v>
      </c>
      <c r="I1371" s="184" t="s">
        <v>132</v>
      </c>
      <c r="J1371" s="184" t="s">
        <v>3352</v>
      </c>
      <c r="K1371" s="184" t="s">
        <v>184</v>
      </c>
      <c r="L1371" s="184" t="s">
        <v>598</v>
      </c>
      <c r="M1371" s="184" t="s">
        <v>598</v>
      </c>
      <c r="N1371" s="184" t="s">
        <v>79</v>
      </c>
      <c r="O1371" s="184" t="s">
        <v>79</v>
      </c>
      <c r="P1371" s="186" t="s">
        <v>67</v>
      </c>
      <c r="Q1371" s="184" t="s">
        <v>598</v>
      </c>
      <c r="R1371" s="184" t="s">
        <v>598</v>
      </c>
      <c r="S1371" s="127">
        <v>42865</v>
      </c>
      <c r="T1371" s="184" t="s">
        <v>34</v>
      </c>
      <c r="U1371" s="184" t="s">
        <v>598</v>
      </c>
      <c r="V1371" s="185">
        <v>3000</v>
      </c>
      <c r="W1371" s="184" t="s">
        <v>493</v>
      </c>
      <c r="X1371" s="184" t="s">
        <v>598</v>
      </c>
      <c r="Y1371" s="185">
        <v>0</v>
      </c>
      <c r="Z1371" s="184" t="s">
        <v>598</v>
      </c>
      <c r="AA1371" s="21" t="s">
        <v>610</v>
      </c>
      <c r="AB1371" s="176" t="s">
        <v>489</v>
      </c>
      <c r="AC1371" s="172">
        <v>42996.328472222223</v>
      </c>
      <c r="AD1371" s="32" t="s">
        <v>552</v>
      </c>
    </row>
    <row r="1372" spans="1:30">
      <c r="A1372" s="184">
        <v>1371</v>
      </c>
      <c r="B1372" s="184" t="s">
        <v>3353</v>
      </c>
      <c r="C1372" s="184" t="s">
        <v>598</v>
      </c>
      <c r="D1372" s="127">
        <v>42864</v>
      </c>
      <c r="E1372" s="127" t="s">
        <v>598</v>
      </c>
      <c r="F1372" s="184" t="s">
        <v>3354</v>
      </c>
      <c r="G1372" s="185">
        <v>2068000</v>
      </c>
      <c r="H1372" s="184" t="s">
        <v>598</v>
      </c>
      <c r="I1372" s="184" t="s">
        <v>134</v>
      </c>
      <c r="J1372" s="184" t="s">
        <v>84</v>
      </c>
      <c r="K1372" s="184" t="s">
        <v>254</v>
      </c>
      <c r="L1372" s="184" t="s">
        <v>598</v>
      </c>
      <c r="M1372" s="184" t="s">
        <v>598</v>
      </c>
      <c r="N1372" s="184" t="s">
        <v>79</v>
      </c>
      <c r="O1372" s="184" t="s">
        <v>79</v>
      </c>
      <c r="P1372" s="186" t="s">
        <v>602</v>
      </c>
      <c r="Q1372" s="184" t="s">
        <v>598</v>
      </c>
      <c r="R1372" s="184" t="s">
        <v>598</v>
      </c>
      <c r="S1372" s="127">
        <v>42879</v>
      </c>
      <c r="T1372" s="184" t="s">
        <v>34</v>
      </c>
      <c r="U1372" s="184" t="s">
        <v>598</v>
      </c>
      <c r="V1372" s="185">
        <v>5000</v>
      </c>
      <c r="W1372" s="184" t="s">
        <v>493</v>
      </c>
      <c r="X1372" s="184" t="s">
        <v>598</v>
      </c>
      <c r="Y1372" s="185">
        <v>0</v>
      </c>
      <c r="Z1372" s="184" t="s">
        <v>598</v>
      </c>
      <c r="AA1372" s="21" t="s">
        <v>610</v>
      </c>
      <c r="AB1372" s="176" t="s">
        <v>489</v>
      </c>
      <c r="AC1372" s="172">
        <v>42996.328472222223</v>
      </c>
      <c r="AD1372" s="32" t="s">
        <v>552</v>
      </c>
    </row>
    <row r="1373" spans="1:30">
      <c r="A1373" s="184">
        <v>1372</v>
      </c>
      <c r="B1373" s="184" t="s">
        <v>3355</v>
      </c>
      <c r="C1373" s="184" t="s">
        <v>598</v>
      </c>
      <c r="D1373" s="127">
        <v>42865</v>
      </c>
      <c r="E1373" s="127" t="s">
        <v>598</v>
      </c>
      <c r="F1373" s="184" t="s">
        <v>3356</v>
      </c>
      <c r="G1373" s="185">
        <v>4287000</v>
      </c>
      <c r="H1373" s="184" t="s">
        <v>598</v>
      </c>
      <c r="I1373" s="184" t="s">
        <v>134</v>
      </c>
      <c r="J1373" s="184" t="s">
        <v>84</v>
      </c>
      <c r="K1373" s="184" t="s">
        <v>370</v>
      </c>
      <c r="L1373" s="184" t="s">
        <v>598</v>
      </c>
      <c r="M1373" s="184" t="s">
        <v>598</v>
      </c>
      <c r="N1373" s="184" t="s">
        <v>79</v>
      </c>
      <c r="O1373" s="184" t="s">
        <v>112</v>
      </c>
      <c r="P1373" s="186" t="s">
        <v>603</v>
      </c>
      <c r="Q1373" s="184" t="s">
        <v>598</v>
      </c>
      <c r="R1373" s="184" t="s">
        <v>598</v>
      </c>
      <c r="S1373" s="127">
        <v>42867</v>
      </c>
      <c r="T1373" s="184" t="s">
        <v>34</v>
      </c>
      <c r="U1373" s="184" t="s">
        <v>598</v>
      </c>
      <c r="V1373" s="185">
        <v>4000</v>
      </c>
      <c r="W1373" s="184" t="s">
        <v>493</v>
      </c>
      <c r="X1373" s="184" t="s">
        <v>598</v>
      </c>
      <c r="Y1373" s="185">
        <v>0</v>
      </c>
      <c r="Z1373" s="184" t="s">
        <v>598</v>
      </c>
      <c r="AA1373" s="21" t="s">
        <v>610</v>
      </c>
      <c r="AB1373" s="176" t="s">
        <v>489</v>
      </c>
      <c r="AC1373" s="172">
        <v>42996.328472222223</v>
      </c>
      <c r="AD1373" s="32" t="s">
        <v>552</v>
      </c>
    </row>
    <row r="1374" spans="1:30">
      <c r="A1374" s="184">
        <v>1373</v>
      </c>
      <c r="B1374" s="184" t="s">
        <v>3357</v>
      </c>
      <c r="C1374" s="184" t="s">
        <v>598</v>
      </c>
      <c r="D1374" s="127">
        <v>42865</v>
      </c>
      <c r="E1374" s="127" t="s">
        <v>598</v>
      </c>
      <c r="F1374" s="184" t="s">
        <v>3358</v>
      </c>
      <c r="G1374" s="185">
        <v>3752000</v>
      </c>
      <c r="H1374" s="184" t="s">
        <v>598</v>
      </c>
      <c r="I1374" s="184" t="s">
        <v>132</v>
      </c>
      <c r="J1374" s="184" t="s">
        <v>84</v>
      </c>
      <c r="K1374" s="184" t="s">
        <v>192</v>
      </c>
      <c r="L1374" s="184" t="s">
        <v>598</v>
      </c>
      <c r="M1374" s="184" t="s">
        <v>598</v>
      </c>
      <c r="N1374" s="184" t="s">
        <v>79</v>
      </c>
      <c r="O1374" s="184" t="s">
        <v>112</v>
      </c>
      <c r="P1374" s="186"/>
      <c r="Q1374" s="184" t="s">
        <v>598</v>
      </c>
      <c r="R1374" s="184" t="s">
        <v>598</v>
      </c>
      <c r="S1374" s="127">
        <v>42871</v>
      </c>
      <c r="T1374" s="184" t="s">
        <v>10</v>
      </c>
      <c r="U1374" s="184" t="s">
        <v>598</v>
      </c>
      <c r="V1374" s="185">
        <v>10000</v>
      </c>
      <c r="W1374" s="184" t="s">
        <v>493</v>
      </c>
      <c r="X1374" s="184" t="s">
        <v>598</v>
      </c>
      <c r="Y1374" s="185">
        <v>0</v>
      </c>
      <c r="Z1374" s="184" t="s">
        <v>598</v>
      </c>
      <c r="AA1374" s="21" t="s">
        <v>610</v>
      </c>
      <c r="AB1374" s="176" t="s">
        <v>489</v>
      </c>
      <c r="AC1374" s="172">
        <v>42996.328472222223</v>
      </c>
      <c r="AD1374" s="32" t="s">
        <v>552</v>
      </c>
    </row>
    <row r="1375" spans="1:30">
      <c r="A1375" s="184">
        <v>1374</v>
      </c>
      <c r="B1375" s="184" t="s">
        <v>3359</v>
      </c>
      <c r="C1375" s="184" t="s">
        <v>598</v>
      </c>
      <c r="D1375" s="127">
        <v>42866</v>
      </c>
      <c r="E1375" s="127" t="s">
        <v>598</v>
      </c>
      <c r="F1375" s="184" t="s">
        <v>3360</v>
      </c>
      <c r="G1375" s="185">
        <v>5050000</v>
      </c>
      <c r="H1375" s="184" t="s">
        <v>598</v>
      </c>
      <c r="I1375" s="184" t="s">
        <v>134</v>
      </c>
      <c r="J1375" s="184" t="s">
        <v>84</v>
      </c>
      <c r="K1375" s="184" t="s">
        <v>370</v>
      </c>
      <c r="L1375" s="184" t="s">
        <v>598</v>
      </c>
      <c r="M1375" s="184" t="s">
        <v>598</v>
      </c>
      <c r="N1375" s="184" t="s">
        <v>79</v>
      </c>
      <c r="O1375" s="184" t="s">
        <v>112</v>
      </c>
      <c r="P1375" s="186" t="s">
        <v>605</v>
      </c>
      <c r="Q1375" s="184" t="s">
        <v>598</v>
      </c>
      <c r="R1375" s="184" t="s">
        <v>598</v>
      </c>
      <c r="S1375" s="127">
        <v>42870</v>
      </c>
      <c r="T1375" s="184" t="s">
        <v>34</v>
      </c>
      <c r="U1375" s="184" t="s">
        <v>598</v>
      </c>
      <c r="V1375" s="185">
        <v>5000</v>
      </c>
      <c r="W1375" s="184" t="s">
        <v>493</v>
      </c>
      <c r="X1375" s="184" t="s">
        <v>598</v>
      </c>
      <c r="Y1375" s="185">
        <v>0</v>
      </c>
      <c r="Z1375" s="184" t="s">
        <v>598</v>
      </c>
      <c r="AA1375" s="21" t="s">
        <v>610</v>
      </c>
      <c r="AB1375" s="176" t="s">
        <v>489</v>
      </c>
      <c r="AC1375" s="172">
        <v>42996.328472222223</v>
      </c>
      <c r="AD1375" s="32" t="s">
        <v>552</v>
      </c>
    </row>
    <row r="1376" spans="1:30">
      <c r="A1376" s="184">
        <v>1375</v>
      </c>
      <c r="B1376" s="184" t="s">
        <v>3361</v>
      </c>
      <c r="C1376" s="184" t="s">
        <v>598</v>
      </c>
      <c r="D1376" s="127">
        <v>42867</v>
      </c>
      <c r="E1376" s="127" t="s">
        <v>598</v>
      </c>
      <c r="F1376" s="184" t="s">
        <v>3362</v>
      </c>
      <c r="G1376" s="185">
        <v>7340000</v>
      </c>
      <c r="H1376" s="184" t="s">
        <v>598</v>
      </c>
      <c r="I1376" s="184" t="s">
        <v>134</v>
      </c>
      <c r="J1376" s="184" t="s">
        <v>84</v>
      </c>
      <c r="K1376" s="184" t="s">
        <v>3363</v>
      </c>
      <c r="L1376" s="184" t="s">
        <v>598</v>
      </c>
      <c r="M1376" s="184" t="s">
        <v>598</v>
      </c>
      <c r="N1376" s="184" t="s">
        <v>79</v>
      </c>
      <c r="O1376" s="184" t="s">
        <v>79</v>
      </c>
      <c r="P1376" s="186" t="s">
        <v>606</v>
      </c>
      <c r="Q1376" s="184" t="s">
        <v>598</v>
      </c>
      <c r="R1376" s="184" t="s">
        <v>598</v>
      </c>
      <c r="S1376" s="127">
        <v>42871</v>
      </c>
      <c r="T1376" s="184" t="s">
        <v>34</v>
      </c>
      <c r="U1376" s="184" t="s">
        <v>598</v>
      </c>
      <c r="V1376" s="185">
        <v>5000</v>
      </c>
      <c r="W1376" s="184" t="s">
        <v>493</v>
      </c>
      <c r="X1376" s="184" t="s">
        <v>598</v>
      </c>
      <c r="Y1376" s="185">
        <v>0</v>
      </c>
      <c r="Z1376" s="184" t="s">
        <v>598</v>
      </c>
      <c r="AA1376" s="21" t="s">
        <v>610</v>
      </c>
      <c r="AB1376" s="176" t="s">
        <v>489</v>
      </c>
      <c r="AC1376" s="172">
        <v>42996.328472222223</v>
      </c>
      <c r="AD1376" s="32" t="s">
        <v>552</v>
      </c>
    </row>
    <row r="1377" spans="1:30">
      <c r="A1377" s="184">
        <v>1376</v>
      </c>
      <c r="B1377" s="184" t="s">
        <v>3364</v>
      </c>
      <c r="C1377" s="184" t="s">
        <v>598</v>
      </c>
      <c r="D1377" s="127">
        <v>42867</v>
      </c>
      <c r="E1377" s="127" t="s">
        <v>598</v>
      </c>
      <c r="F1377" s="184" t="s">
        <v>3365</v>
      </c>
      <c r="G1377" s="185">
        <v>7306000</v>
      </c>
      <c r="H1377" s="184" t="s">
        <v>598</v>
      </c>
      <c r="I1377" s="184" t="s">
        <v>598</v>
      </c>
      <c r="J1377" s="184" t="s">
        <v>84</v>
      </c>
      <c r="K1377" s="184" t="s">
        <v>264</v>
      </c>
      <c r="L1377" s="184" t="s">
        <v>598</v>
      </c>
      <c r="M1377" s="184" t="s">
        <v>50</v>
      </c>
      <c r="N1377" s="184" t="s">
        <v>79</v>
      </c>
      <c r="O1377" s="184" t="s">
        <v>79</v>
      </c>
      <c r="P1377" s="186"/>
      <c r="Q1377" s="184" t="s">
        <v>598</v>
      </c>
      <c r="R1377" s="184" t="s">
        <v>598</v>
      </c>
      <c r="S1377" s="127">
        <v>42873</v>
      </c>
      <c r="T1377" s="184" t="s">
        <v>10</v>
      </c>
      <c r="U1377" s="184" t="s">
        <v>598</v>
      </c>
      <c r="V1377" s="185">
        <v>4000</v>
      </c>
      <c r="W1377" s="184" t="s">
        <v>493</v>
      </c>
      <c r="X1377" s="184" t="s">
        <v>598</v>
      </c>
      <c r="Y1377" s="185">
        <v>0</v>
      </c>
      <c r="Z1377" s="184" t="s">
        <v>598</v>
      </c>
      <c r="AA1377" s="21" t="s">
        <v>610</v>
      </c>
      <c r="AB1377" s="176" t="s">
        <v>489</v>
      </c>
      <c r="AC1377" s="172">
        <v>42996.328472222223</v>
      </c>
      <c r="AD1377" s="32" t="s">
        <v>552</v>
      </c>
    </row>
    <row r="1378" spans="1:30">
      <c r="A1378" s="184">
        <v>1377</v>
      </c>
      <c r="B1378" s="184" t="s">
        <v>3366</v>
      </c>
      <c r="C1378" s="184" t="s">
        <v>598</v>
      </c>
      <c r="D1378" s="127">
        <v>42867</v>
      </c>
      <c r="E1378" s="127" t="s">
        <v>598</v>
      </c>
      <c r="F1378" s="184" t="s">
        <v>3367</v>
      </c>
      <c r="G1378" s="185">
        <v>2510000</v>
      </c>
      <c r="H1378" s="184" t="s">
        <v>598</v>
      </c>
      <c r="I1378" s="184" t="s">
        <v>134</v>
      </c>
      <c r="J1378" s="184" t="s">
        <v>84</v>
      </c>
      <c r="K1378" s="184" t="s">
        <v>370</v>
      </c>
      <c r="L1378" s="184" t="s">
        <v>598</v>
      </c>
      <c r="M1378" s="184" t="s">
        <v>598</v>
      </c>
      <c r="N1378" s="184" t="s">
        <v>79</v>
      </c>
      <c r="O1378" s="184" t="s">
        <v>79</v>
      </c>
      <c r="P1378" s="186" t="s">
        <v>73</v>
      </c>
      <c r="Q1378" s="184" t="s">
        <v>598</v>
      </c>
      <c r="R1378" s="184" t="s">
        <v>598</v>
      </c>
      <c r="S1378" s="127">
        <v>42870</v>
      </c>
      <c r="T1378" s="184" t="s">
        <v>34</v>
      </c>
      <c r="U1378" s="184" t="s">
        <v>598</v>
      </c>
      <c r="V1378" s="185">
        <v>3000</v>
      </c>
      <c r="W1378" s="184" t="s">
        <v>493</v>
      </c>
      <c r="X1378" s="184" t="s">
        <v>598</v>
      </c>
      <c r="Y1378" s="185">
        <v>0</v>
      </c>
      <c r="Z1378" s="184" t="s">
        <v>598</v>
      </c>
      <c r="AA1378" s="21" t="s">
        <v>610</v>
      </c>
      <c r="AB1378" s="176" t="s">
        <v>489</v>
      </c>
      <c r="AC1378" s="172">
        <v>42996.328472222223</v>
      </c>
      <c r="AD1378" s="32" t="s">
        <v>552</v>
      </c>
    </row>
    <row r="1379" spans="1:30">
      <c r="A1379" s="184">
        <v>1378</v>
      </c>
      <c r="B1379" s="184" t="s">
        <v>3368</v>
      </c>
      <c r="C1379" s="184" t="s">
        <v>598</v>
      </c>
      <c r="D1379" s="127">
        <v>42867</v>
      </c>
      <c r="E1379" s="127" t="s">
        <v>598</v>
      </c>
      <c r="F1379" s="184" t="s">
        <v>3369</v>
      </c>
      <c r="G1379" s="185">
        <v>3492000</v>
      </c>
      <c r="H1379" s="184" t="s">
        <v>598</v>
      </c>
      <c r="I1379" s="184" t="s">
        <v>134</v>
      </c>
      <c r="J1379" s="184" t="s">
        <v>84</v>
      </c>
      <c r="K1379" s="184" t="s">
        <v>262</v>
      </c>
      <c r="L1379" s="184" t="s">
        <v>598</v>
      </c>
      <c r="M1379" s="184" t="s">
        <v>598</v>
      </c>
      <c r="N1379" s="184" t="s">
        <v>79</v>
      </c>
      <c r="O1379" s="184" t="s">
        <v>112</v>
      </c>
      <c r="P1379" s="186" t="s">
        <v>601</v>
      </c>
      <c r="Q1379" s="184" t="s">
        <v>598</v>
      </c>
      <c r="R1379" s="184" t="s">
        <v>598</v>
      </c>
      <c r="S1379" s="127">
        <v>42871</v>
      </c>
      <c r="T1379" s="184" t="s">
        <v>34</v>
      </c>
      <c r="U1379" s="184" t="s">
        <v>598</v>
      </c>
      <c r="V1379" s="185">
        <v>3000</v>
      </c>
      <c r="W1379" s="184" t="s">
        <v>493</v>
      </c>
      <c r="X1379" s="184" t="s">
        <v>598</v>
      </c>
      <c r="Y1379" s="185">
        <v>0</v>
      </c>
      <c r="Z1379" s="184" t="s">
        <v>598</v>
      </c>
      <c r="AA1379" s="21" t="s">
        <v>610</v>
      </c>
      <c r="AB1379" s="176" t="s">
        <v>489</v>
      </c>
      <c r="AC1379" s="172">
        <v>42996.328472222223</v>
      </c>
      <c r="AD1379" s="32" t="s">
        <v>552</v>
      </c>
    </row>
    <row r="1380" spans="1:30">
      <c r="A1380" s="184">
        <v>1379</v>
      </c>
      <c r="B1380" s="184" t="s">
        <v>3370</v>
      </c>
      <c r="C1380" s="184" t="s">
        <v>598</v>
      </c>
      <c r="D1380" s="127">
        <v>42868</v>
      </c>
      <c r="E1380" s="127" t="s">
        <v>598</v>
      </c>
      <c r="F1380" s="184" t="s">
        <v>3371</v>
      </c>
      <c r="G1380" s="185">
        <v>3821000</v>
      </c>
      <c r="H1380" s="184" t="s">
        <v>598</v>
      </c>
      <c r="I1380" s="184" t="s">
        <v>134</v>
      </c>
      <c r="J1380" s="184" t="s">
        <v>84</v>
      </c>
      <c r="K1380" s="184" t="s">
        <v>454</v>
      </c>
      <c r="L1380" s="184" t="s">
        <v>598</v>
      </c>
      <c r="M1380" s="184" t="s">
        <v>50</v>
      </c>
      <c r="N1380" s="184" t="s">
        <v>79</v>
      </c>
      <c r="O1380" s="184" t="s">
        <v>65</v>
      </c>
      <c r="P1380" s="186" t="s">
        <v>32</v>
      </c>
      <c r="Q1380" s="184" t="s">
        <v>598</v>
      </c>
      <c r="R1380" s="184" t="s">
        <v>598</v>
      </c>
      <c r="S1380" s="127">
        <v>42873</v>
      </c>
      <c r="T1380" s="184" t="s">
        <v>10</v>
      </c>
      <c r="U1380" s="184" t="s">
        <v>598</v>
      </c>
      <c r="V1380" s="185">
        <v>3000</v>
      </c>
      <c r="W1380" s="184" t="s">
        <v>493</v>
      </c>
      <c r="X1380" s="184" t="s">
        <v>598</v>
      </c>
      <c r="Y1380" s="185">
        <v>0</v>
      </c>
      <c r="Z1380" s="184" t="s">
        <v>598</v>
      </c>
      <c r="AA1380" s="21" t="s">
        <v>610</v>
      </c>
      <c r="AB1380" s="176" t="s">
        <v>489</v>
      </c>
      <c r="AC1380" s="172">
        <v>42996.328472222223</v>
      </c>
      <c r="AD1380" s="32" t="s">
        <v>552</v>
      </c>
    </row>
    <row r="1381" spans="1:30">
      <c r="A1381" s="184">
        <v>1380</v>
      </c>
      <c r="B1381" s="184" t="s">
        <v>3372</v>
      </c>
      <c r="C1381" s="184" t="s">
        <v>598</v>
      </c>
      <c r="D1381" s="127">
        <v>42868</v>
      </c>
      <c r="E1381" s="127" t="s">
        <v>598</v>
      </c>
      <c r="F1381" s="184" t="s">
        <v>3373</v>
      </c>
      <c r="G1381" s="185">
        <v>4589000</v>
      </c>
      <c r="H1381" s="184" t="s">
        <v>598</v>
      </c>
      <c r="I1381" s="184" t="s">
        <v>132</v>
      </c>
      <c r="J1381" s="184" t="s">
        <v>84</v>
      </c>
      <c r="K1381" s="184" t="s">
        <v>598</v>
      </c>
      <c r="L1381" s="184" t="s">
        <v>598</v>
      </c>
      <c r="M1381" s="184" t="s">
        <v>598</v>
      </c>
      <c r="N1381" s="184" t="s">
        <v>79</v>
      </c>
      <c r="O1381" s="184" t="s">
        <v>79</v>
      </c>
      <c r="P1381" s="186" t="s">
        <v>53</v>
      </c>
      <c r="Q1381" s="184" t="s">
        <v>598</v>
      </c>
      <c r="R1381" s="184" t="s">
        <v>598</v>
      </c>
      <c r="S1381" s="127">
        <v>42868</v>
      </c>
      <c r="T1381" s="184" t="s">
        <v>34</v>
      </c>
      <c r="U1381" s="184" t="s">
        <v>598</v>
      </c>
      <c r="V1381" s="185">
        <v>3000</v>
      </c>
      <c r="W1381" s="184" t="s">
        <v>493</v>
      </c>
      <c r="X1381" s="184" t="s">
        <v>598</v>
      </c>
      <c r="Y1381" s="185">
        <v>0</v>
      </c>
      <c r="Z1381" s="184" t="s">
        <v>598</v>
      </c>
      <c r="AA1381" s="21" t="s">
        <v>610</v>
      </c>
      <c r="AB1381" s="176" t="s">
        <v>489</v>
      </c>
      <c r="AC1381" s="172">
        <v>42996.328472222223</v>
      </c>
      <c r="AD1381" s="32" t="s">
        <v>552</v>
      </c>
    </row>
    <row r="1382" spans="1:30">
      <c r="A1382" s="184">
        <v>1381</v>
      </c>
      <c r="B1382" s="184" t="s">
        <v>3374</v>
      </c>
      <c r="C1382" s="184" t="s">
        <v>598</v>
      </c>
      <c r="D1382" s="127">
        <v>42870</v>
      </c>
      <c r="E1382" s="127" t="s">
        <v>598</v>
      </c>
      <c r="F1382" s="184" t="s">
        <v>3375</v>
      </c>
      <c r="G1382" s="185">
        <v>0</v>
      </c>
      <c r="H1382" s="184" t="s">
        <v>598</v>
      </c>
      <c r="I1382" s="184" t="s">
        <v>126</v>
      </c>
      <c r="J1382" s="184" t="s">
        <v>84</v>
      </c>
      <c r="K1382" s="184" t="s">
        <v>598</v>
      </c>
      <c r="L1382" s="184" t="s">
        <v>598</v>
      </c>
      <c r="M1382" s="184" t="s">
        <v>598</v>
      </c>
      <c r="N1382" s="184" t="s">
        <v>79</v>
      </c>
      <c r="O1382" s="184" t="s">
        <v>598</v>
      </c>
      <c r="P1382" s="186" t="s">
        <v>44</v>
      </c>
      <c r="Q1382" s="184" t="s">
        <v>598</v>
      </c>
      <c r="R1382" s="184" t="s">
        <v>598</v>
      </c>
      <c r="S1382" s="127">
        <v>42871</v>
      </c>
      <c r="T1382" s="184" t="s">
        <v>34</v>
      </c>
      <c r="U1382" s="184" t="s">
        <v>598</v>
      </c>
      <c r="V1382" s="185">
        <v>1000</v>
      </c>
      <c r="W1382" s="184" t="s">
        <v>493</v>
      </c>
      <c r="X1382" s="184" t="s">
        <v>598</v>
      </c>
      <c r="Y1382" s="185">
        <v>0</v>
      </c>
      <c r="Z1382" s="184" t="s">
        <v>598</v>
      </c>
      <c r="AA1382" s="21" t="s">
        <v>610</v>
      </c>
      <c r="AB1382" s="176" t="s">
        <v>489</v>
      </c>
      <c r="AC1382" s="172">
        <v>42996.328472222223</v>
      </c>
      <c r="AD1382" s="32" t="s">
        <v>552</v>
      </c>
    </row>
    <row r="1383" spans="1:30">
      <c r="A1383" s="184">
        <v>1382</v>
      </c>
      <c r="B1383" s="184" t="s">
        <v>3376</v>
      </c>
      <c r="C1383" s="184" t="s">
        <v>598</v>
      </c>
      <c r="D1383" s="127">
        <v>42871</v>
      </c>
      <c r="E1383" s="127" t="s">
        <v>598</v>
      </c>
      <c r="F1383" s="184" t="s">
        <v>67</v>
      </c>
      <c r="G1383" s="185">
        <v>0</v>
      </c>
      <c r="H1383" s="184" t="s">
        <v>598</v>
      </c>
      <c r="I1383" s="184" t="s">
        <v>126</v>
      </c>
      <c r="J1383" s="184" t="s">
        <v>84</v>
      </c>
      <c r="K1383" s="184" t="s">
        <v>598</v>
      </c>
      <c r="L1383" s="184" t="s">
        <v>598</v>
      </c>
      <c r="M1383" s="184" t="s">
        <v>598</v>
      </c>
      <c r="N1383" s="184" t="s">
        <v>79</v>
      </c>
      <c r="O1383" s="184" t="s">
        <v>598</v>
      </c>
      <c r="P1383" s="186" t="s">
        <v>67</v>
      </c>
      <c r="Q1383" s="184" t="s">
        <v>598</v>
      </c>
      <c r="R1383" s="184" t="s">
        <v>598</v>
      </c>
      <c r="S1383" s="127">
        <v>42871</v>
      </c>
      <c r="T1383" s="184" t="s">
        <v>34</v>
      </c>
      <c r="U1383" s="184" t="s">
        <v>598</v>
      </c>
      <c r="V1383" s="185">
        <v>1000</v>
      </c>
      <c r="W1383" s="184" t="s">
        <v>493</v>
      </c>
      <c r="X1383" s="184" t="s">
        <v>598</v>
      </c>
      <c r="Y1383" s="185">
        <v>0</v>
      </c>
      <c r="Z1383" s="184" t="s">
        <v>598</v>
      </c>
      <c r="AA1383" s="21" t="s">
        <v>610</v>
      </c>
      <c r="AB1383" s="176" t="s">
        <v>489</v>
      </c>
      <c r="AC1383" s="172">
        <v>42996.328472222223</v>
      </c>
      <c r="AD1383" s="32" t="s">
        <v>552</v>
      </c>
    </row>
    <row r="1384" spans="1:30">
      <c r="A1384" s="184">
        <v>1383</v>
      </c>
      <c r="B1384" s="184" t="s">
        <v>3377</v>
      </c>
      <c r="C1384" s="184" t="s">
        <v>598</v>
      </c>
      <c r="D1384" s="127">
        <v>42872</v>
      </c>
      <c r="E1384" s="127" t="s">
        <v>598</v>
      </c>
      <c r="F1384" s="184" t="s">
        <v>3378</v>
      </c>
      <c r="G1384" s="185">
        <v>0</v>
      </c>
      <c r="H1384" s="184" t="s">
        <v>598</v>
      </c>
      <c r="I1384" s="184" t="s">
        <v>83</v>
      </c>
      <c r="J1384" s="184" t="s">
        <v>84</v>
      </c>
      <c r="K1384" s="184" t="s">
        <v>598</v>
      </c>
      <c r="L1384" s="184" t="s">
        <v>598</v>
      </c>
      <c r="M1384" s="184" t="s">
        <v>598</v>
      </c>
      <c r="N1384" s="184" t="s">
        <v>79</v>
      </c>
      <c r="O1384" s="184" t="s">
        <v>598</v>
      </c>
      <c r="P1384" s="186" t="s">
        <v>602</v>
      </c>
      <c r="Q1384" s="184" t="s">
        <v>598</v>
      </c>
      <c r="R1384" s="184" t="s">
        <v>598</v>
      </c>
      <c r="S1384" s="127">
        <v>42872</v>
      </c>
      <c r="T1384" s="184" t="s">
        <v>34</v>
      </c>
      <c r="U1384" s="184" t="s">
        <v>598</v>
      </c>
      <c r="V1384" s="185">
        <v>500</v>
      </c>
      <c r="W1384" s="184" t="s">
        <v>493</v>
      </c>
      <c r="X1384" s="184" t="s">
        <v>598</v>
      </c>
      <c r="Y1384" s="185">
        <v>0</v>
      </c>
      <c r="Z1384" s="184" t="s">
        <v>598</v>
      </c>
      <c r="AA1384" s="21" t="s">
        <v>610</v>
      </c>
      <c r="AB1384" s="176" t="s">
        <v>489</v>
      </c>
      <c r="AC1384" s="172">
        <v>42996.328472222223</v>
      </c>
      <c r="AD1384" s="32" t="s">
        <v>552</v>
      </c>
    </row>
    <row r="1385" spans="1:30">
      <c r="A1385" s="184">
        <v>1384</v>
      </c>
      <c r="B1385" s="184" t="s">
        <v>3379</v>
      </c>
      <c r="C1385" s="184" t="s">
        <v>598</v>
      </c>
      <c r="D1385" s="127">
        <v>42872</v>
      </c>
      <c r="E1385" s="127" t="s">
        <v>598</v>
      </c>
      <c r="F1385" s="184" t="s">
        <v>3380</v>
      </c>
      <c r="G1385" s="185">
        <v>6544000</v>
      </c>
      <c r="H1385" s="184" t="s">
        <v>598</v>
      </c>
      <c r="I1385" s="184" t="s">
        <v>132</v>
      </c>
      <c r="J1385" s="184" t="s">
        <v>84</v>
      </c>
      <c r="K1385" s="184" t="s">
        <v>186</v>
      </c>
      <c r="L1385" s="184" t="s">
        <v>598</v>
      </c>
      <c r="M1385" s="184" t="s">
        <v>598</v>
      </c>
      <c r="N1385" s="184" t="s">
        <v>79</v>
      </c>
      <c r="O1385" s="184" t="s">
        <v>112</v>
      </c>
      <c r="P1385" s="186" t="s">
        <v>603</v>
      </c>
      <c r="Q1385" s="184" t="s">
        <v>598</v>
      </c>
      <c r="R1385" s="184" t="s">
        <v>598</v>
      </c>
      <c r="S1385" s="127">
        <v>42879</v>
      </c>
      <c r="T1385" s="184" t="s">
        <v>494</v>
      </c>
      <c r="U1385" s="184" t="s">
        <v>598</v>
      </c>
      <c r="V1385" s="185">
        <v>5000</v>
      </c>
      <c r="W1385" s="184" t="s">
        <v>493</v>
      </c>
      <c r="X1385" s="184" t="s">
        <v>598</v>
      </c>
      <c r="Y1385" s="185">
        <v>0</v>
      </c>
      <c r="Z1385" s="184" t="s">
        <v>598</v>
      </c>
      <c r="AA1385" s="21" t="s">
        <v>610</v>
      </c>
      <c r="AB1385" s="176" t="s">
        <v>489</v>
      </c>
      <c r="AC1385" s="172">
        <v>42996.328472222223</v>
      </c>
      <c r="AD1385" s="32" t="s">
        <v>552</v>
      </c>
    </row>
    <row r="1386" spans="1:30">
      <c r="A1386" s="184">
        <v>1385</v>
      </c>
      <c r="B1386" s="184" t="s">
        <v>3381</v>
      </c>
      <c r="C1386" s="184" t="s">
        <v>598</v>
      </c>
      <c r="D1386" s="127">
        <v>42872</v>
      </c>
      <c r="E1386" s="127" t="s">
        <v>598</v>
      </c>
      <c r="F1386" s="184" t="s">
        <v>3382</v>
      </c>
      <c r="G1386" s="185">
        <v>3828000</v>
      </c>
      <c r="H1386" s="184" t="s">
        <v>598</v>
      </c>
      <c r="I1386" s="184" t="s">
        <v>132</v>
      </c>
      <c r="J1386" s="184" t="s">
        <v>84</v>
      </c>
      <c r="K1386" s="184" t="s">
        <v>192</v>
      </c>
      <c r="L1386" s="184" t="s">
        <v>598</v>
      </c>
      <c r="M1386" s="184" t="s">
        <v>598</v>
      </c>
      <c r="N1386" s="184" t="s">
        <v>79</v>
      </c>
      <c r="O1386" s="184" t="s">
        <v>79</v>
      </c>
      <c r="P1386" s="186"/>
      <c r="Q1386" s="184" t="s">
        <v>598</v>
      </c>
      <c r="R1386" s="184" t="s">
        <v>598</v>
      </c>
      <c r="S1386" s="127">
        <v>42878</v>
      </c>
      <c r="T1386" s="184" t="s">
        <v>10</v>
      </c>
      <c r="U1386" s="184" t="s">
        <v>598</v>
      </c>
      <c r="V1386" s="185">
        <v>3000</v>
      </c>
      <c r="W1386" s="184" t="s">
        <v>493</v>
      </c>
      <c r="X1386" s="184" t="s">
        <v>598</v>
      </c>
      <c r="Y1386" s="185">
        <v>0</v>
      </c>
      <c r="Z1386" s="184" t="s">
        <v>598</v>
      </c>
      <c r="AA1386" s="21" t="s">
        <v>610</v>
      </c>
      <c r="AB1386" s="176" t="s">
        <v>489</v>
      </c>
      <c r="AC1386" s="172">
        <v>42996.328472222223</v>
      </c>
      <c r="AD1386" s="32" t="s">
        <v>552</v>
      </c>
    </row>
    <row r="1387" spans="1:30">
      <c r="A1387" s="184">
        <v>1386</v>
      </c>
      <c r="B1387" s="184" t="s">
        <v>3383</v>
      </c>
      <c r="C1387" s="184" t="s">
        <v>598</v>
      </c>
      <c r="D1387" s="127">
        <v>42872</v>
      </c>
      <c r="E1387" s="127" t="s">
        <v>598</v>
      </c>
      <c r="F1387" s="184" t="s">
        <v>3384</v>
      </c>
      <c r="G1387" s="185">
        <v>5324000</v>
      </c>
      <c r="H1387" s="184" t="s">
        <v>598</v>
      </c>
      <c r="I1387" s="184" t="s">
        <v>598</v>
      </c>
      <c r="J1387" s="184" t="s">
        <v>84</v>
      </c>
      <c r="K1387" s="184" t="s">
        <v>455</v>
      </c>
      <c r="L1387" s="184" t="s">
        <v>598</v>
      </c>
      <c r="M1387" s="184" t="s">
        <v>598</v>
      </c>
      <c r="N1387" s="184" t="s">
        <v>79</v>
      </c>
      <c r="O1387" s="184" t="s">
        <v>65</v>
      </c>
      <c r="P1387" s="186" t="s">
        <v>605</v>
      </c>
      <c r="Q1387" s="184" t="s">
        <v>598</v>
      </c>
      <c r="R1387" s="184" t="s">
        <v>598</v>
      </c>
      <c r="S1387" s="127">
        <v>42875</v>
      </c>
      <c r="T1387" s="184" t="s">
        <v>494</v>
      </c>
      <c r="U1387" s="184" t="s">
        <v>598</v>
      </c>
      <c r="V1387" s="185">
        <v>3000</v>
      </c>
      <c r="W1387" s="184" t="s">
        <v>493</v>
      </c>
      <c r="X1387" s="184" t="s">
        <v>598</v>
      </c>
      <c r="Y1387" s="185">
        <v>0</v>
      </c>
      <c r="Z1387" s="184" t="s">
        <v>598</v>
      </c>
      <c r="AA1387" s="21" t="s">
        <v>610</v>
      </c>
      <c r="AB1387" s="176" t="s">
        <v>489</v>
      </c>
      <c r="AC1387" s="172">
        <v>42996.328472222223</v>
      </c>
      <c r="AD1387" s="32" t="s">
        <v>552</v>
      </c>
    </row>
    <row r="1388" spans="1:30">
      <c r="A1388" s="184">
        <v>1387</v>
      </c>
      <c r="B1388" s="184" t="s">
        <v>3385</v>
      </c>
      <c r="C1388" s="184" t="s">
        <v>598</v>
      </c>
      <c r="D1388" s="127">
        <v>42874</v>
      </c>
      <c r="E1388" s="127" t="s">
        <v>598</v>
      </c>
      <c r="F1388" s="184" t="s">
        <v>1176</v>
      </c>
      <c r="G1388" s="185">
        <v>3013000</v>
      </c>
      <c r="H1388" s="184" t="s">
        <v>598</v>
      </c>
      <c r="I1388" s="184" t="s">
        <v>96</v>
      </c>
      <c r="J1388" s="184" t="s">
        <v>84</v>
      </c>
      <c r="K1388" s="184" t="s">
        <v>196</v>
      </c>
      <c r="L1388" s="184" t="s">
        <v>598</v>
      </c>
      <c r="M1388" s="184" t="s">
        <v>598</v>
      </c>
      <c r="N1388" s="184" t="s">
        <v>79</v>
      </c>
      <c r="O1388" s="184" t="s">
        <v>79</v>
      </c>
      <c r="P1388" s="186" t="s">
        <v>606</v>
      </c>
      <c r="Q1388" s="184" t="s">
        <v>598</v>
      </c>
      <c r="R1388" s="184" t="s">
        <v>804</v>
      </c>
      <c r="S1388" s="127">
        <v>42874</v>
      </c>
      <c r="T1388" s="184" t="s">
        <v>34</v>
      </c>
      <c r="U1388" s="184" t="s">
        <v>598</v>
      </c>
      <c r="V1388" s="185">
        <v>1000</v>
      </c>
      <c r="W1388" s="184" t="s">
        <v>549</v>
      </c>
      <c r="X1388" s="184" t="s">
        <v>598</v>
      </c>
      <c r="Y1388" s="185">
        <v>0</v>
      </c>
      <c r="Z1388" s="184" t="s">
        <v>493</v>
      </c>
      <c r="AA1388" s="21" t="s">
        <v>822</v>
      </c>
      <c r="AB1388" s="176" t="s">
        <v>489</v>
      </c>
      <c r="AC1388" s="172">
        <v>42996.328472222223</v>
      </c>
      <c r="AD1388" s="32" t="s">
        <v>552</v>
      </c>
    </row>
    <row r="1389" spans="1:30">
      <c r="A1389" s="184">
        <v>1388</v>
      </c>
      <c r="B1389" s="184" t="s">
        <v>3386</v>
      </c>
      <c r="C1389" s="184" t="s">
        <v>598</v>
      </c>
      <c r="D1389" s="127">
        <v>42875</v>
      </c>
      <c r="E1389" s="127" t="s">
        <v>598</v>
      </c>
      <c r="F1389" s="184" t="s">
        <v>3387</v>
      </c>
      <c r="G1389" s="185">
        <v>5840000</v>
      </c>
      <c r="H1389" s="184" t="s">
        <v>598</v>
      </c>
      <c r="I1389" s="184" t="s">
        <v>132</v>
      </c>
      <c r="J1389" s="184" t="s">
        <v>84</v>
      </c>
      <c r="K1389" s="184" t="s">
        <v>3363</v>
      </c>
      <c r="L1389" s="184" t="s">
        <v>598</v>
      </c>
      <c r="M1389" s="184" t="s">
        <v>598</v>
      </c>
      <c r="N1389" s="184" t="s">
        <v>79</v>
      </c>
      <c r="O1389" s="184" t="s">
        <v>112</v>
      </c>
      <c r="P1389" s="186"/>
      <c r="Q1389" s="184" t="s">
        <v>598</v>
      </c>
      <c r="R1389" s="184" t="s">
        <v>598</v>
      </c>
      <c r="S1389" s="127">
        <v>42857</v>
      </c>
      <c r="T1389" s="184" t="s">
        <v>10</v>
      </c>
      <c r="U1389" s="184" t="s">
        <v>598</v>
      </c>
      <c r="V1389" s="185">
        <v>3000</v>
      </c>
      <c r="W1389" s="184" t="s">
        <v>493</v>
      </c>
      <c r="X1389" s="184" t="s">
        <v>598</v>
      </c>
      <c r="Y1389" s="185">
        <v>0</v>
      </c>
      <c r="Z1389" s="184" t="s">
        <v>598</v>
      </c>
      <c r="AA1389" s="21" t="s">
        <v>610</v>
      </c>
      <c r="AB1389" s="176" t="s">
        <v>489</v>
      </c>
      <c r="AC1389" s="172">
        <v>42996.328472222223</v>
      </c>
      <c r="AD1389" s="32" t="s">
        <v>552</v>
      </c>
    </row>
    <row r="1390" spans="1:30">
      <c r="A1390" s="184">
        <v>1389</v>
      </c>
      <c r="B1390" s="184" t="s">
        <v>3388</v>
      </c>
      <c r="C1390" s="184" t="s">
        <v>598</v>
      </c>
      <c r="D1390" s="127">
        <v>42875</v>
      </c>
      <c r="E1390" s="127" t="s">
        <v>598</v>
      </c>
      <c r="F1390" s="184" t="s">
        <v>3389</v>
      </c>
      <c r="G1390" s="185">
        <v>5735000</v>
      </c>
      <c r="H1390" s="184" t="s">
        <v>598</v>
      </c>
      <c r="I1390" s="184" t="s">
        <v>132</v>
      </c>
      <c r="J1390" s="184" t="s">
        <v>84</v>
      </c>
      <c r="K1390" s="184" t="s">
        <v>455</v>
      </c>
      <c r="L1390" s="184" t="s">
        <v>598</v>
      </c>
      <c r="M1390" s="184" t="s">
        <v>598</v>
      </c>
      <c r="N1390" s="184" t="s">
        <v>79</v>
      </c>
      <c r="O1390" s="184" t="s">
        <v>112</v>
      </c>
      <c r="P1390" s="186" t="s">
        <v>73</v>
      </c>
      <c r="Q1390" s="184" t="s">
        <v>598</v>
      </c>
      <c r="R1390" s="184" t="s">
        <v>598</v>
      </c>
      <c r="S1390" s="127">
        <v>42881</v>
      </c>
      <c r="T1390" s="184" t="s">
        <v>494</v>
      </c>
      <c r="U1390" s="184" t="s">
        <v>598</v>
      </c>
      <c r="V1390" s="185">
        <v>5000</v>
      </c>
      <c r="W1390" s="184" t="s">
        <v>493</v>
      </c>
      <c r="X1390" s="184" t="s">
        <v>598</v>
      </c>
      <c r="Y1390" s="185">
        <v>0</v>
      </c>
      <c r="Z1390" s="184" t="s">
        <v>598</v>
      </c>
      <c r="AA1390" s="21" t="s">
        <v>610</v>
      </c>
      <c r="AB1390" s="176" t="s">
        <v>489</v>
      </c>
      <c r="AC1390" s="172">
        <v>42996.328472222223</v>
      </c>
      <c r="AD1390" s="32" t="s">
        <v>552</v>
      </c>
    </row>
    <row r="1391" spans="1:30">
      <c r="A1391" s="184">
        <v>1390</v>
      </c>
      <c r="B1391" s="184" t="s">
        <v>3390</v>
      </c>
      <c r="C1391" s="184" t="s">
        <v>598</v>
      </c>
      <c r="D1391" s="127">
        <v>42877</v>
      </c>
      <c r="E1391" s="127" t="s">
        <v>598</v>
      </c>
      <c r="F1391" s="184" t="s">
        <v>598</v>
      </c>
      <c r="G1391" s="185">
        <v>5190000</v>
      </c>
      <c r="H1391" s="184" t="s">
        <v>598</v>
      </c>
      <c r="I1391" s="184" t="s">
        <v>134</v>
      </c>
      <c r="J1391" s="184" t="s">
        <v>84</v>
      </c>
      <c r="K1391" s="184" t="s">
        <v>598</v>
      </c>
      <c r="L1391" s="184" t="s">
        <v>598</v>
      </c>
      <c r="M1391" s="184" t="s">
        <v>41</v>
      </c>
      <c r="N1391" s="184" t="s">
        <v>79</v>
      </c>
      <c r="O1391" s="184" t="s">
        <v>112</v>
      </c>
      <c r="P1391" s="186" t="s">
        <v>601</v>
      </c>
      <c r="Q1391" s="184" t="s">
        <v>598</v>
      </c>
      <c r="R1391" s="184" t="s">
        <v>598</v>
      </c>
      <c r="S1391" s="127">
        <v>42881</v>
      </c>
      <c r="T1391" s="184" t="s">
        <v>10</v>
      </c>
      <c r="U1391" s="184" t="s">
        <v>598</v>
      </c>
      <c r="V1391" s="185">
        <v>3000</v>
      </c>
      <c r="W1391" s="184" t="s">
        <v>493</v>
      </c>
      <c r="X1391" s="184" t="s">
        <v>598</v>
      </c>
      <c r="Y1391" s="185">
        <v>0</v>
      </c>
      <c r="Z1391" s="184" t="s">
        <v>598</v>
      </c>
      <c r="AA1391" s="21" t="s">
        <v>610</v>
      </c>
      <c r="AB1391" s="176" t="s">
        <v>489</v>
      </c>
      <c r="AC1391" s="172">
        <v>42996.328472222223</v>
      </c>
      <c r="AD1391" s="32" t="s">
        <v>552</v>
      </c>
    </row>
    <row r="1392" spans="1:30">
      <c r="A1392" s="184">
        <v>1391</v>
      </c>
      <c r="B1392" s="184" t="s">
        <v>3391</v>
      </c>
      <c r="C1392" s="184" t="s">
        <v>598</v>
      </c>
      <c r="D1392" s="127">
        <v>42877</v>
      </c>
      <c r="E1392" s="127" t="s">
        <v>598</v>
      </c>
      <c r="F1392" s="184" t="s">
        <v>598</v>
      </c>
      <c r="G1392" s="185">
        <v>5190000</v>
      </c>
      <c r="H1392" s="184" t="s">
        <v>598</v>
      </c>
      <c r="I1392" s="184" t="s">
        <v>134</v>
      </c>
      <c r="J1392" s="184" t="s">
        <v>84</v>
      </c>
      <c r="K1392" s="184" t="s">
        <v>598</v>
      </c>
      <c r="L1392" s="184" t="s">
        <v>598</v>
      </c>
      <c r="M1392" s="184" t="s">
        <v>41</v>
      </c>
      <c r="N1392" s="184" t="s">
        <v>79</v>
      </c>
      <c r="O1392" s="184" t="s">
        <v>112</v>
      </c>
      <c r="P1392" s="186" t="s">
        <v>32</v>
      </c>
      <c r="Q1392" s="184" t="s">
        <v>598</v>
      </c>
      <c r="R1392" s="184" t="s">
        <v>598</v>
      </c>
      <c r="S1392" s="127">
        <v>42884</v>
      </c>
      <c r="T1392" s="184" t="s">
        <v>10</v>
      </c>
      <c r="U1392" s="184" t="s">
        <v>598</v>
      </c>
      <c r="V1392" s="185">
        <v>3000</v>
      </c>
      <c r="W1392" s="184" t="s">
        <v>493</v>
      </c>
      <c r="X1392" s="184" t="s">
        <v>598</v>
      </c>
      <c r="Y1392" s="185">
        <v>0</v>
      </c>
      <c r="Z1392" s="184" t="s">
        <v>598</v>
      </c>
      <c r="AA1392" s="21" t="s">
        <v>610</v>
      </c>
      <c r="AB1392" s="176" t="s">
        <v>489</v>
      </c>
      <c r="AC1392" s="172">
        <v>42996.328472222223</v>
      </c>
      <c r="AD1392" s="32" t="s">
        <v>552</v>
      </c>
    </row>
    <row r="1393" spans="1:30">
      <c r="A1393" s="184">
        <v>1392</v>
      </c>
      <c r="B1393" s="184" t="s">
        <v>3392</v>
      </c>
      <c r="C1393" s="184" t="s">
        <v>598</v>
      </c>
      <c r="D1393" s="127">
        <v>42877</v>
      </c>
      <c r="E1393" s="127" t="s">
        <v>598</v>
      </c>
      <c r="F1393" s="184" t="s">
        <v>2907</v>
      </c>
      <c r="G1393" s="185">
        <v>5017000</v>
      </c>
      <c r="H1393" s="184" t="s">
        <v>598</v>
      </c>
      <c r="I1393" s="184" t="s">
        <v>132</v>
      </c>
      <c r="J1393" s="184" t="s">
        <v>84</v>
      </c>
      <c r="K1393" s="184" t="s">
        <v>598</v>
      </c>
      <c r="L1393" s="184" t="s">
        <v>598</v>
      </c>
      <c r="M1393" s="184" t="s">
        <v>50</v>
      </c>
      <c r="N1393" s="184" t="s">
        <v>79</v>
      </c>
      <c r="O1393" s="184" t="s">
        <v>79</v>
      </c>
      <c r="P1393" s="186" t="s">
        <v>53</v>
      </c>
      <c r="Q1393" s="184" t="s">
        <v>598</v>
      </c>
      <c r="R1393" s="184" t="s">
        <v>598</v>
      </c>
      <c r="S1393" s="127">
        <v>42880</v>
      </c>
      <c r="T1393" s="184" t="s">
        <v>34</v>
      </c>
      <c r="U1393" s="184" t="s">
        <v>598</v>
      </c>
      <c r="V1393" s="185">
        <v>4000</v>
      </c>
      <c r="W1393" s="184" t="s">
        <v>493</v>
      </c>
      <c r="X1393" s="184" t="s">
        <v>598</v>
      </c>
      <c r="Y1393" s="185">
        <v>0</v>
      </c>
      <c r="Z1393" s="184" t="s">
        <v>598</v>
      </c>
      <c r="AA1393" s="21" t="s">
        <v>610</v>
      </c>
      <c r="AB1393" s="176" t="s">
        <v>489</v>
      </c>
      <c r="AC1393" s="172">
        <v>42996.328472222223</v>
      </c>
      <c r="AD1393" s="32" t="s">
        <v>552</v>
      </c>
    </row>
    <row r="1394" spans="1:30">
      <c r="A1394" s="184">
        <v>1393</v>
      </c>
      <c r="B1394" s="184" t="s">
        <v>3393</v>
      </c>
      <c r="C1394" s="184" t="s">
        <v>598</v>
      </c>
      <c r="D1394" s="127">
        <v>42878</v>
      </c>
      <c r="E1394" s="127" t="s">
        <v>598</v>
      </c>
      <c r="F1394" s="184" t="s">
        <v>3394</v>
      </c>
      <c r="G1394" s="185">
        <v>0</v>
      </c>
      <c r="H1394" s="184" t="s">
        <v>598</v>
      </c>
      <c r="I1394" s="184" t="s">
        <v>132</v>
      </c>
      <c r="J1394" s="184" t="s">
        <v>84</v>
      </c>
      <c r="K1394" s="184" t="s">
        <v>456</v>
      </c>
      <c r="L1394" s="184" t="s">
        <v>598</v>
      </c>
      <c r="M1394" s="184" t="s">
        <v>598</v>
      </c>
      <c r="N1394" s="184" t="s">
        <v>79</v>
      </c>
      <c r="O1394" s="184" t="s">
        <v>65</v>
      </c>
      <c r="P1394" s="186" t="s">
        <v>44</v>
      </c>
      <c r="Q1394" s="184" t="s">
        <v>598</v>
      </c>
      <c r="R1394" s="184" t="s">
        <v>598</v>
      </c>
      <c r="S1394" s="127">
        <v>42880</v>
      </c>
      <c r="T1394" s="184" t="s">
        <v>34</v>
      </c>
      <c r="U1394" s="184" t="s">
        <v>598</v>
      </c>
      <c r="V1394" s="185">
        <v>5000</v>
      </c>
      <c r="W1394" s="184" t="s">
        <v>493</v>
      </c>
      <c r="X1394" s="184" t="s">
        <v>598</v>
      </c>
      <c r="Y1394" s="185">
        <v>0</v>
      </c>
      <c r="Z1394" s="184" t="s">
        <v>598</v>
      </c>
      <c r="AA1394" s="21" t="s">
        <v>610</v>
      </c>
      <c r="AB1394" s="176" t="s">
        <v>489</v>
      </c>
      <c r="AC1394" s="172">
        <v>42996.328472222223</v>
      </c>
      <c r="AD1394" s="32" t="s">
        <v>552</v>
      </c>
    </row>
    <row r="1395" spans="1:30">
      <c r="A1395" s="184">
        <v>1394</v>
      </c>
      <c r="B1395" s="184" t="s">
        <v>3395</v>
      </c>
      <c r="C1395" s="184" t="s">
        <v>598</v>
      </c>
      <c r="D1395" s="127">
        <v>42878</v>
      </c>
      <c r="E1395" s="127" t="s">
        <v>598</v>
      </c>
      <c r="F1395" s="184" t="s">
        <v>3396</v>
      </c>
      <c r="G1395" s="185">
        <v>0</v>
      </c>
      <c r="H1395" s="184" t="s">
        <v>598</v>
      </c>
      <c r="I1395" s="184" t="s">
        <v>864</v>
      </c>
      <c r="J1395" s="184" t="s">
        <v>84</v>
      </c>
      <c r="K1395" s="184" t="s">
        <v>598</v>
      </c>
      <c r="L1395" s="184" t="s">
        <v>598</v>
      </c>
      <c r="M1395" s="184" t="s">
        <v>598</v>
      </c>
      <c r="N1395" s="184" t="s">
        <v>79</v>
      </c>
      <c r="O1395" s="184" t="s">
        <v>598</v>
      </c>
      <c r="P1395" s="186" t="s">
        <v>67</v>
      </c>
      <c r="Q1395" s="184" t="s">
        <v>598</v>
      </c>
      <c r="R1395" s="184" t="s">
        <v>598</v>
      </c>
      <c r="S1395" s="127">
        <v>42878</v>
      </c>
      <c r="T1395" s="184" t="s">
        <v>34</v>
      </c>
      <c r="U1395" s="184" t="s">
        <v>598</v>
      </c>
      <c r="V1395" s="185">
        <v>1500</v>
      </c>
      <c r="W1395" s="184" t="s">
        <v>493</v>
      </c>
      <c r="X1395" s="184" t="s">
        <v>598</v>
      </c>
      <c r="Y1395" s="185">
        <v>0</v>
      </c>
      <c r="Z1395" s="184" t="s">
        <v>598</v>
      </c>
      <c r="AA1395" s="21" t="s">
        <v>610</v>
      </c>
      <c r="AB1395" s="176" t="s">
        <v>489</v>
      </c>
      <c r="AC1395" s="172">
        <v>42996.328472222223</v>
      </c>
      <c r="AD1395" s="32" t="s">
        <v>552</v>
      </c>
    </row>
    <row r="1396" spans="1:30">
      <c r="A1396" s="184">
        <v>1395</v>
      </c>
      <c r="B1396" s="184" t="s">
        <v>3397</v>
      </c>
      <c r="C1396" s="184" t="s">
        <v>598</v>
      </c>
      <c r="D1396" s="127">
        <v>42878</v>
      </c>
      <c r="E1396" s="127" t="s">
        <v>598</v>
      </c>
      <c r="F1396" s="184" t="s">
        <v>670</v>
      </c>
      <c r="G1396" s="185">
        <v>6426000</v>
      </c>
      <c r="H1396" s="184" t="s">
        <v>598</v>
      </c>
      <c r="I1396" s="184" t="s">
        <v>134</v>
      </c>
      <c r="J1396" s="184" t="s">
        <v>84</v>
      </c>
      <c r="K1396" s="184" t="s">
        <v>191</v>
      </c>
      <c r="L1396" s="184" t="s">
        <v>598</v>
      </c>
      <c r="M1396" s="184" t="s">
        <v>41</v>
      </c>
      <c r="N1396" s="184" t="s">
        <v>79</v>
      </c>
      <c r="O1396" s="184" t="s">
        <v>112</v>
      </c>
      <c r="P1396" s="186" t="s">
        <v>602</v>
      </c>
      <c r="Q1396" s="184" t="s">
        <v>598</v>
      </c>
      <c r="R1396" s="184" t="s">
        <v>598</v>
      </c>
      <c r="S1396" s="127">
        <v>42885</v>
      </c>
      <c r="T1396" s="184" t="s">
        <v>10</v>
      </c>
      <c r="U1396" s="184" t="s">
        <v>598</v>
      </c>
      <c r="V1396" s="185">
        <v>4000</v>
      </c>
      <c r="W1396" s="184" t="s">
        <v>493</v>
      </c>
      <c r="X1396" s="184" t="s">
        <v>598</v>
      </c>
      <c r="Y1396" s="185">
        <v>0</v>
      </c>
      <c r="Z1396" s="184" t="s">
        <v>598</v>
      </c>
      <c r="AA1396" s="21" t="s">
        <v>610</v>
      </c>
      <c r="AB1396" s="176" t="s">
        <v>489</v>
      </c>
      <c r="AC1396" s="172">
        <v>42996.328472222223</v>
      </c>
      <c r="AD1396" s="32" t="s">
        <v>552</v>
      </c>
    </row>
    <row r="1397" spans="1:30">
      <c r="A1397" s="184">
        <v>1396</v>
      </c>
      <c r="B1397" s="184" t="s">
        <v>3398</v>
      </c>
      <c r="C1397" s="184" t="s">
        <v>598</v>
      </c>
      <c r="D1397" s="127">
        <v>42878</v>
      </c>
      <c r="E1397" s="127" t="s">
        <v>598</v>
      </c>
      <c r="F1397" s="184" t="s">
        <v>3399</v>
      </c>
      <c r="G1397" s="185">
        <v>10438000</v>
      </c>
      <c r="H1397" s="184" t="s">
        <v>598</v>
      </c>
      <c r="I1397" s="184" t="s">
        <v>134</v>
      </c>
      <c r="J1397" s="184" t="s">
        <v>84</v>
      </c>
      <c r="K1397" s="184" t="s">
        <v>250</v>
      </c>
      <c r="L1397" s="184" t="s">
        <v>598</v>
      </c>
      <c r="M1397" s="184" t="s">
        <v>598</v>
      </c>
      <c r="N1397" s="184" t="s">
        <v>79</v>
      </c>
      <c r="O1397" s="184" t="s">
        <v>79</v>
      </c>
      <c r="P1397" s="186" t="s">
        <v>603</v>
      </c>
      <c r="Q1397" s="184" t="s">
        <v>598</v>
      </c>
      <c r="R1397" s="184" t="s">
        <v>598</v>
      </c>
      <c r="S1397" s="127">
        <v>42880</v>
      </c>
      <c r="T1397" s="184" t="s">
        <v>34</v>
      </c>
      <c r="U1397" s="184" t="s">
        <v>598</v>
      </c>
      <c r="V1397" s="185">
        <v>6000</v>
      </c>
      <c r="W1397" s="184" t="s">
        <v>493</v>
      </c>
      <c r="X1397" s="184" t="s">
        <v>598</v>
      </c>
      <c r="Y1397" s="185">
        <v>0</v>
      </c>
      <c r="Z1397" s="184" t="s">
        <v>598</v>
      </c>
      <c r="AA1397" s="21" t="s">
        <v>610</v>
      </c>
      <c r="AB1397" s="176" t="s">
        <v>489</v>
      </c>
      <c r="AC1397" s="172">
        <v>42996.328472222223</v>
      </c>
      <c r="AD1397" s="32" t="s">
        <v>552</v>
      </c>
    </row>
    <row r="1398" spans="1:30">
      <c r="A1398" s="184">
        <v>1397</v>
      </c>
      <c r="B1398" s="184" t="s">
        <v>3400</v>
      </c>
      <c r="C1398" s="184" t="s">
        <v>598</v>
      </c>
      <c r="D1398" s="127">
        <v>42878</v>
      </c>
      <c r="E1398" s="127" t="s">
        <v>598</v>
      </c>
      <c r="F1398" s="184" t="s">
        <v>3401</v>
      </c>
      <c r="G1398" s="185">
        <v>0</v>
      </c>
      <c r="H1398" s="184" t="s">
        <v>598</v>
      </c>
      <c r="I1398" s="184" t="s">
        <v>864</v>
      </c>
      <c r="J1398" s="184" t="s">
        <v>84</v>
      </c>
      <c r="K1398" s="184" t="s">
        <v>598</v>
      </c>
      <c r="L1398" s="184" t="s">
        <v>598</v>
      </c>
      <c r="M1398" s="184" t="s">
        <v>598</v>
      </c>
      <c r="N1398" s="184" t="s">
        <v>79</v>
      </c>
      <c r="O1398" s="184" t="s">
        <v>598</v>
      </c>
      <c r="P1398" s="186"/>
      <c r="Q1398" s="184" t="s">
        <v>598</v>
      </c>
      <c r="R1398" s="184" t="s">
        <v>598</v>
      </c>
      <c r="S1398" s="127">
        <v>42878</v>
      </c>
      <c r="T1398" s="184" t="s">
        <v>3077</v>
      </c>
      <c r="U1398" s="184" t="s">
        <v>598</v>
      </c>
      <c r="V1398" s="185">
        <v>5000</v>
      </c>
      <c r="W1398" s="184" t="s">
        <v>493</v>
      </c>
      <c r="X1398" s="184" t="s">
        <v>598</v>
      </c>
      <c r="Y1398" s="185">
        <v>0</v>
      </c>
      <c r="Z1398" s="184" t="s">
        <v>598</v>
      </c>
      <c r="AA1398" s="21" t="s">
        <v>610</v>
      </c>
      <c r="AB1398" s="176" t="s">
        <v>489</v>
      </c>
      <c r="AC1398" s="172">
        <v>42996.328472222223</v>
      </c>
      <c r="AD1398" s="32" t="s">
        <v>552</v>
      </c>
    </row>
    <row r="1399" spans="1:30">
      <c r="A1399" s="184">
        <v>1398</v>
      </c>
      <c r="B1399" s="184" t="s">
        <v>3402</v>
      </c>
      <c r="C1399" s="184" t="s">
        <v>598</v>
      </c>
      <c r="D1399" s="127">
        <v>42878</v>
      </c>
      <c r="E1399" s="127" t="s">
        <v>598</v>
      </c>
      <c r="F1399" s="184" t="s">
        <v>3403</v>
      </c>
      <c r="G1399" s="185">
        <v>11400000</v>
      </c>
      <c r="H1399" s="184" t="s">
        <v>598</v>
      </c>
      <c r="I1399" s="184" t="s">
        <v>134</v>
      </c>
      <c r="J1399" s="184" t="s">
        <v>84</v>
      </c>
      <c r="K1399" s="184" t="s">
        <v>252</v>
      </c>
      <c r="L1399" s="184" t="s">
        <v>598</v>
      </c>
      <c r="M1399" s="184" t="s">
        <v>598</v>
      </c>
      <c r="N1399" s="184" t="s">
        <v>79</v>
      </c>
      <c r="O1399" s="184" t="s">
        <v>112</v>
      </c>
      <c r="P1399" s="186" t="s">
        <v>605</v>
      </c>
      <c r="Q1399" s="184" t="s">
        <v>598</v>
      </c>
      <c r="R1399" s="184" t="s">
        <v>598</v>
      </c>
      <c r="S1399" s="127">
        <v>42885</v>
      </c>
      <c r="T1399" s="184" t="s">
        <v>10</v>
      </c>
      <c r="U1399" s="184" t="s">
        <v>598</v>
      </c>
      <c r="V1399" s="185">
        <v>10000</v>
      </c>
      <c r="W1399" s="184" t="s">
        <v>493</v>
      </c>
      <c r="X1399" s="184" t="s">
        <v>598</v>
      </c>
      <c r="Y1399" s="185">
        <v>0</v>
      </c>
      <c r="Z1399" s="184" t="s">
        <v>598</v>
      </c>
      <c r="AA1399" s="21" t="s">
        <v>610</v>
      </c>
      <c r="AB1399" s="176" t="s">
        <v>489</v>
      </c>
      <c r="AC1399" s="172">
        <v>42996.328472222223</v>
      </c>
      <c r="AD1399" s="32" t="s">
        <v>552</v>
      </c>
    </row>
    <row r="1400" spans="1:30">
      <c r="A1400" s="184">
        <v>1399</v>
      </c>
      <c r="B1400" s="184" t="s">
        <v>3404</v>
      </c>
      <c r="C1400" s="184" t="s">
        <v>598</v>
      </c>
      <c r="D1400" s="127">
        <v>42878</v>
      </c>
      <c r="E1400" s="127" t="s">
        <v>598</v>
      </c>
      <c r="F1400" s="184" t="s">
        <v>3405</v>
      </c>
      <c r="G1400" s="185">
        <v>4833000</v>
      </c>
      <c r="H1400" s="184" t="s">
        <v>598</v>
      </c>
      <c r="I1400" s="184" t="s">
        <v>132</v>
      </c>
      <c r="J1400" s="184" t="s">
        <v>84</v>
      </c>
      <c r="K1400" s="184" t="s">
        <v>299</v>
      </c>
      <c r="L1400" s="184" t="s">
        <v>598</v>
      </c>
      <c r="M1400" s="184" t="s">
        <v>598</v>
      </c>
      <c r="N1400" s="184" t="s">
        <v>79</v>
      </c>
      <c r="O1400" s="184" t="s">
        <v>79</v>
      </c>
      <c r="P1400" s="186" t="s">
        <v>606</v>
      </c>
      <c r="Q1400" s="184" t="s">
        <v>598</v>
      </c>
      <c r="R1400" s="184" t="s">
        <v>598</v>
      </c>
      <c r="S1400" s="127">
        <v>42879</v>
      </c>
      <c r="T1400" s="184" t="s">
        <v>34</v>
      </c>
      <c r="U1400" s="184" t="s">
        <v>598</v>
      </c>
      <c r="V1400" s="185">
        <v>3500</v>
      </c>
      <c r="W1400" s="184" t="s">
        <v>493</v>
      </c>
      <c r="X1400" s="184" t="s">
        <v>598</v>
      </c>
      <c r="Y1400" s="185">
        <v>0</v>
      </c>
      <c r="Z1400" s="184" t="s">
        <v>598</v>
      </c>
      <c r="AA1400" s="21" t="s">
        <v>610</v>
      </c>
      <c r="AB1400" s="176" t="s">
        <v>489</v>
      </c>
      <c r="AC1400" s="172">
        <v>42996.328472222223</v>
      </c>
      <c r="AD1400" s="32" t="s">
        <v>552</v>
      </c>
    </row>
    <row r="1401" spans="1:30">
      <c r="A1401" s="184">
        <v>1400</v>
      </c>
      <c r="B1401" s="184" t="s">
        <v>3406</v>
      </c>
      <c r="C1401" s="184" t="s">
        <v>598</v>
      </c>
      <c r="D1401" s="127">
        <v>42879</v>
      </c>
      <c r="E1401" s="127" t="s">
        <v>598</v>
      </c>
      <c r="F1401" s="184" t="s">
        <v>3407</v>
      </c>
      <c r="G1401" s="185">
        <v>0</v>
      </c>
      <c r="H1401" s="184" t="s">
        <v>598</v>
      </c>
      <c r="I1401" s="184" t="s">
        <v>864</v>
      </c>
      <c r="J1401" s="184" t="s">
        <v>84</v>
      </c>
      <c r="K1401" s="184" t="s">
        <v>598</v>
      </c>
      <c r="L1401" s="184" t="s">
        <v>598</v>
      </c>
      <c r="M1401" s="184" t="s">
        <v>598</v>
      </c>
      <c r="N1401" s="184" t="s">
        <v>79</v>
      </c>
      <c r="O1401" s="184" t="s">
        <v>598</v>
      </c>
      <c r="P1401" s="186"/>
      <c r="Q1401" s="184" t="s">
        <v>598</v>
      </c>
      <c r="R1401" s="184" t="s">
        <v>598</v>
      </c>
      <c r="S1401" s="127">
        <v>42879</v>
      </c>
      <c r="T1401" s="184" t="s">
        <v>494</v>
      </c>
      <c r="U1401" s="184" t="s">
        <v>598</v>
      </c>
      <c r="V1401" s="185">
        <v>750</v>
      </c>
      <c r="W1401" s="184" t="s">
        <v>493</v>
      </c>
      <c r="X1401" s="184" t="s">
        <v>598</v>
      </c>
      <c r="Y1401" s="185">
        <v>0</v>
      </c>
      <c r="Z1401" s="184" t="s">
        <v>598</v>
      </c>
      <c r="AA1401" s="21" t="s">
        <v>610</v>
      </c>
      <c r="AB1401" s="176" t="s">
        <v>489</v>
      </c>
      <c r="AC1401" s="172">
        <v>42996.328472222223</v>
      </c>
      <c r="AD1401" s="32" t="s">
        <v>552</v>
      </c>
    </row>
    <row r="1402" spans="1:30">
      <c r="A1402" s="184">
        <v>1401</v>
      </c>
      <c r="B1402" s="184" t="s">
        <v>3408</v>
      </c>
      <c r="C1402" s="184" t="s">
        <v>598</v>
      </c>
      <c r="D1402" s="127">
        <v>42880</v>
      </c>
      <c r="E1402" s="127" t="s">
        <v>598</v>
      </c>
      <c r="F1402" s="184" t="s">
        <v>3409</v>
      </c>
      <c r="G1402" s="185">
        <v>0</v>
      </c>
      <c r="H1402" s="184" t="s">
        <v>598</v>
      </c>
      <c r="I1402" s="184" t="s">
        <v>126</v>
      </c>
      <c r="J1402" s="184" t="s">
        <v>84</v>
      </c>
      <c r="K1402" s="184" t="s">
        <v>598</v>
      </c>
      <c r="L1402" s="184" t="s">
        <v>598</v>
      </c>
      <c r="M1402" s="184" t="s">
        <v>598</v>
      </c>
      <c r="N1402" s="184" t="s">
        <v>79</v>
      </c>
      <c r="O1402" s="184" t="s">
        <v>598</v>
      </c>
      <c r="P1402" s="186" t="s">
        <v>73</v>
      </c>
      <c r="Q1402" s="184" t="s">
        <v>598</v>
      </c>
      <c r="R1402" s="184" t="s">
        <v>598</v>
      </c>
      <c r="S1402" s="127">
        <v>42880</v>
      </c>
      <c r="T1402" s="184" t="s">
        <v>494</v>
      </c>
      <c r="U1402" s="184" t="s">
        <v>598</v>
      </c>
      <c r="V1402" s="185">
        <v>1000</v>
      </c>
      <c r="W1402" s="184" t="s">
        <v>493</v>
      </c>
      <c r="X1402" s="184" t="s">
        <v>598</v>
      </c>
      <c r="Y1402" s="185">
        <v>0</v>
      </c>
      <c r="Z1402" s="184" t="s">
        <v>598</v>
      </c>
      <c r="AA1402" s="21" t="s">
        <v>610</v>
      </c>
      <c r="AB1402" s="176" t="s">
        <v>489</v>
      </c>
      <c r="AC1402" s="172">
        <v>42996.328472222223</v>
      </c>
      <c r="AD1402" s="32" t="s">
        <v>552</v>
      </c>
    </row>
    <row r="1403" spans="1:30">
      <c r="A1403" s="184">
        <v>1402</v>
      </c>
      <c r="B1403" s="184" t="s">
        <v>3410</v>
      </c>
      <c r="C1403" s="184" t="s">
        <v>598</v>
      </c>
      <c r="D1403" s="127">
        <v>42880</v>
      </c>
      <c r="E1403" s="127" t="s">
        <v>598</v>
      </c>
      <c r="F1403" s="184" t="s">
        <v>3411</v>
      </c>
      <c r="G1403" s="185">
        <v>3114000</v>
      </c>
      <c r="H1403" s="184" t="s">
        <v>598</v>
      </c>
      <c r="I1403" s="184" t="s">
        <v>598</v>
      </c>
      <c r="J1403" s="184" t="s">
        <v>84</v>
      </c>
      <c r="K1403" s="184" t="s">
        <v>457</v>
      </c>
      <c r="L1403" s="184" t="s">
        <v>598</v>
      </c>
      <c r="M1403" s="184" t="s">
        <v>598</v>
      </c>
      <c r="N1403" s="184" t="s">
        <v>79</v>
      </c>
      <c r="O1403" s="184" t="s">
        <v>79</v>
      </c>
      <c r="P1403" s="186" t="s">
        <v>601</v>
      </c>
      <c r="Q1403" s="184" t="s">
        <v>598</v>
      </c>
      <c r="R1403" s="184" t="s">
        <v>598</v>
      </c>
      <c r="S1403" s="127">
        <v>42880</v>
      </c>
      <c r="T1403" s="184" t="s">
        <v>34</v>
      </c>
      <c r="U1403" s="184" t="s">
        <v>598</v>
      </c>
      <c r="V1403" s="185">
        <v>3000</v>
      </c>
      <c r="W1403" s="184" t="s">
        <v>493</v>
      </c>
      <c r="X1403" s="184" t="s">
        <v>598</v>
      </c>
      <c r="Y1403" s="185">
        <v>0</v>
      </c>
      <c r="Z1403" s="184" t="s">
        <v>598</v>
      </c>
      <c r="AA1403" s="21" t="s">
        <v>610</v>
      </c>
      <c r="AB1403" s="176" t="s">
        <v>489</v>
      </c>
      <c r="AC1403" s="172">
        <v>42996.328472222223</v>
      </c>
      <c r="AD1403" s="32" t="s">
        <v>552</v>
      </c>
    </row>
    <row r="1404" spans="1:30">
      <c r="A1404" s="184">
        <v>1403</v>
      </c>
      <c r="B1404" s="184" t="s">
        <v>3412</v>
      </c>
      <c r="C1404" s="184" t="s">
        <v>598</v>
      </c>
      <c r="D1404" s="127">
        <v>42880</v>
      </c>
      <c r="E1404" s="127" t="s">
        <v>598</v>
      </c>
      <c r="F1404" s="184" t="s">
        <v>3413</v>
      </c>
      <c r="G1404" s="185">
        <v>4200000</v>
      </c>
      <c r="H1404" s="184" t="s">
        <v>598</v>
      </c>
      <c r="I1404" s="184" t="s">
        <v>598</v>
      </c>
      <c r="J1404" s="184" t="s">
        <v>84</v>
      </c>
      <c r="K1404" s="184" t="s">
        <v>192</v>
      </c>
      <c r="L1404" s="184" t="s">
        <v>598</v>
      </c>
      <c r="M1404" s="184" t="s">
        <v>598</v>
      </c>
      <c r="N1404" s="184" t="s">
        <v>79</v>
      </c>
      <c r="O1404" s="184" t="s">
        <v>79</v>
      </c>
      <c r="P1404" s="186" t="s">
        <v>601</v>
      </c>
      <c r="Q1404" s="184" t="s">
        <v>598</v>
      </c>
      <c r="R1404" s="184" t="s">
        <v>598</v>
      </c>
      <c r="S1404" s="127">
        <v>42881</v>
      </c>
      <c r="T1404" s="184" t="s">
        <v>34</v>
      </c>
      <c r="U1404" s="184" t="s">
        <v>598</v>
      </c>
      <c r="V1404" s="185">
        <v>3000</v>
      </c>
      <c r="W1404" s="184" t="s">
        <v>493</v>
      </c>
      <c r="X1404" s="184" t="s">
        <v>598</v>
      </c>
      <c r="Y1404" s="185">
        <v>0</v>
      </c>
      <c r="Z1404" s="184" t="s">
        <v>598</v>
      </c>
      <c r="AA1404" s="21" t="s">
        <v>610</v>
      </c>
      <c r="AB1404" s="176" t="s">
        <v>489</v>
      </c>
      <c r="AC1404" s="172">
        <v>42996.328472222223</v>
      </c>
      <c r="AD1404" s="32" t="s">
        <v>552</v>
      </c>
    </row>
    <row r="1405" spans="1:30">
      <c r="A1405" s="184">
        <v>1404</v>
      </c>
      <c r="B1405" s="184" t="s">
        <v>3414</v>
      </c>
      <c r="C1405" s="184" t="s">
        <v>598</v>
      </c>
      <c r="D1405" s="127">
        <v>42880</v>
      </c>
      <c r="E1405" s="127" t="s">
        <v>598</v>
      </c>
      <c r="F1405" s="184" t="s">
        <v>3415</v>
      </c>
      <c r="G1405" s="185">
        <v>0</v>
      </c>
      <c r="H1405" s="184" t="s">
        <v>598</v>
      </c>
      <c r="I1405" s="184" t="s">
        <v>107</v>
      </c>
      <c r="J1405" s="184" t="s">
        <v>84</v>
      </c>
      <c r="K1405" s="184" t="s">
        <v>458</v>
      </c>
      <c r="L1405" s="184" t="s">
        <v>598</v>
      </c>
      <c r="M1405" s="184" t="s">
        <v>598</v>
      </c>
      <c r="N1405" s="184" t="s">
        <v>79</v>
      </c>
      <c r="O1405" s="184" t="s">
        <v>112</v>
      </c>
      <c r="P1405" s="186" t="s">
        <v>32</v>
      </c>
      <c r="Q1405" s="184" t="s">
        <v>598</v>
      </c>
      <c r="R1405" s="184" t="s">
        <v>598</v>
      </c>
      <c r="S1405" s="127">
        <v>42880</v>
      </c>
      <c r="T1405" s="184" t="s">
        <v>34</v>
      </c>
      <c r="U1405" s="184" t="s">
        <v>598</v>
      </c>
      <c r="V1405" s="185">
        <v>1500</v>
      </c>
      <c r="W1405" s="184" t="s">
        <v>493</v>
      </c>
      <c r="X1405" s="184" t="s">
        <v>598</v>
      </c>
      <c r="Y1405" s="185">
        <v>0</v>
      </c>
      <c r="Z1405" s="184" t="s">
        <v>598</v>
      </c>
      <c r="AA1405" s="21" t="s">
        <v>610</v>
      </c>
      <c r="AB1405" s="176" t="s">
        <v>489</v>
      </c>
      <c r="AC1405" s="172">
        <v>42996.328472222223</v>
      </c>
      <c r="AD1405" s="32" t="s">
        <v>552</v>
      </c>
    </row>
    <row r="1406" spans="1:30">
      <c r="A1406" s="184">
        <v>1405</v>
      </c>
      <c r="B1406" s="184" t="s">
        <v>3416</v>
      </c>
      <c r="C1406" s="184" t="s">
        <v>598</v>
      </c>
      <c r="D1406" s="127">
        <v>42880</v>
      </c>
      <c r="E1406" s="127" t="s">
        <v>598</v>
      </c>
      <c r="F1406" s="184" t="s">
        <v>3417</v>
      </c>
      <c r="G1406" s="185">
        <v>7121000</v>
      </c>
      <c r="H1406" s="184" t="s">
        <v>598</v>
      </c>
      <c r="I1406" s="184" t="s">
        <v>134</v>
      </c>
      <c r="J1406" s="184" t="s">
        <v>84</v>
      </c>
      <c r="K1406" s="184" t="s">
        <v>254</v>
      </c>
      <c r="L1406" s="184" t="s">
        <v>598</v>
      </c>
      <c r="M1406" s="184" t="s">
        <v>598</v>
      </c>
      <c r="N1406" s="184" t="s">
        <v>79</v>
      </c>
      <c r="O1406" s="184" t="s">
        <v>79</v>
      </c>
      <c r="P1406" s="186" t="s">
        <v>53</v>
      </c>
      <c r="Q1406" s="184" t="s">
        <v>598</v>
      </c>
      <c r="R1406" s="184" t="s">
        <v>598</v>
      </c>
      <c r="S1406" s="127">
        <v>42881</v>
      </c>
      <c r="T1406" s="184" t="s">
        <v>34</v>
      </c>
      <c r="U1406" s="184" t="s">
        <v>598</v>
      </c>
      <c r="V1406" s="185">
        <v>5000</v>
      </c>
      <c r="W1406" s="184" t="s">
        <v>493</v>
      </c>
      <c r="X1406" s="184" t="s">
        <v>598</v>
      </c>
      <c r="Y1406" s="185">
        <v>0</v>
      </c>
      <c r="Z1406" s="184" t="s">
        <v>598</v>
      </c>
      <c r="AA1406" s="21" t="s">
        <v>610</v>
      </c>
      <c r="AB1406" s="176" t="s">
        <v>489</v>
      </c>
      <c r="AC1406" s="172">
        <v>42996.328472222223</v>
      </c>
      <c r="AD1406" s="32" t="s">
        <v>552</v>
      </c>
    </row>
    <row r="1407" spans="1:30">
      <c r="A1407" s="184">
        <v>1406</v>
      </c>
      <c r="B1407" s="184" t="s">
        <v>3418</v>
      </c>
      <c r="C1407" s="184" t="s">
        <v>598</v>
      </c>
      <c r="D1407" s="127">
        <v>42881</v>
      </c>
      <c r="E1407" s="127" t="s">
        <v>598</v>
      </c>
      <c r="F1407" s="184" t="s">
        <v>3419</v>
      </c>
      <c r="G1407" s="185">
        <v>0</v>
      </c>
      <c r="H1407" s="184" t="s">
        <v>598</v>
      </c>
      <c r="I1407" s="184" t="s">
        <v>134</v>
      </c>
      <c r="J1407" s="184" t="s">
        <v>84</v>
      </c>
      <c r="K1407" s="184" t="s">
        <v>244</v>
      </c>
      <c r="L1407" s="184" t="s">
        <v>598</v>
      </c>
      <c r="M1407" s="184" t="s">
        <v>598</v>
      </c>
      <c r="N1407" s="184" t="s">
        <v>79</v>
      </c>
      <c r="O1407" s="184" t="s">
        <v>79</v>
      </c>
      <c r="P1407" s="186" t="s">
        <v>44</v>
      </c>
      <c r="Q1407" s="184" t="s">
        <v>598</v>
      </c>
      <c r="R1407" s="184" t="s">
        <v>598</v>
      </c>
      <c r="S1407" s="127">
        <v>42885</v>
      </c>
      <c r="T1407" s="184" t="s">
        <v>10</v>
      </c>
      <c r="U1407" s="184" t="s">
        <v>598</v>
      </c>
      <c r="V1407" s="185">
        <v>3000</v>
      </c>
      <c r="W1407" s="184" t="s">
        <v>493</v>
      </c>
      <c r="X1407" s="184" t="s">
        <v>598</v>
      </c>
      <c r="Y1407" s="185">
        <v>0</v>
      </c>
      <c r="Z1407" s="184" t="s">
        <v>598</v>
      </c>
      <c r="AA1407" s="21" t="s">
        <v>610</v>
      </c>
      <c r="AB1407" s="176" t="s">
        <v>489</v>
      </c>
      <c r="AC1407" s="172">
        <v>42996.328472222223</v>
      </c>
      <c r="AD1407" s="32" t="s">
        <v>552</v>
      </c>
    </row>
    <row r="1408" spans="1:30">
      <c r="A1408" s="184">
        <v>1407</v>
      </c>
      <c r="B1408" s="184" t="s">
        <v>3420</v>
      </c>
      <c r="C1408" s="184" t="s">
        <v>598</v>
      </c>
      <c r="D1408" s="127">
        <v>42881</v>
      </c>
      <c r="E1408" s="127" t="s">
        <v>598</v>
      </c>
      <c r="F1408" s="184" t="s">
        <v>1794</v>
      </c>
      <c r="G1408" s="185">
        <v>0</v>
      </c>
      <c r="H1408" s="184" t="s">
        <v>598</v>
      </c>
      <c r="I1408" s="184" t="s">
        <v>120</v>
      </c>
      <c r="J1408" s="184" t="s">
        <v>84</v>
      </c>
      <c r="K1408" s="184" t="s">
        <v>373</v>
      </c>
      <c r="L1408" s="184" t="s">
        <v>598</v>
      </c>
      <c r="M1408" s="184" t="s">
        <v>598</v>
      </c>
      <c r="N1408" s="184" t="s">
        <v>79</v>
      </c>
      <c r="O1408" s="184" t="s">
        <v>112</v>
      </c>
      <c r="P1408" s="186" t="s">
        <v>67</v>
      </c>
      <c r="Q1408" s="184" t="s">
        <v>598</v>
      </c>
      <c r="R1408" s="184" t="s">
        <v>804</v>
      </c>
      <c r="S1408" s="127">
        <v>42881</v>
      </c>
      <c r="T1408" s="184" t="s">
        <v>34</v>
      </c>
      <c r="U1408" s="184" t="s">
        <v>598</v>
      </c>
      <c r="V1408" s="185">
        <v>1000</v>
      </c>
      <c r="W1408" s="184" t="s">
        <v>549</v>
      </c>
      <c r="X1408" s="184" t="s">
        <v>598</v>
      </c>
      <c r="Y1408" s="185">
        <v>0</v>
      </c>
      <c r="Z1408" s="184" t="s">
        <v>493</v>
      </c>
      <c r="AA1408" s="21" t="s">
        <v>822</v>
      </c>
      <c r="AB1408" s="176" t="s">
        <v>489</v>
      </c>
      <c r="AC1408" s="172">
        <v>42996.328472222223</v>
      </c>
      <c r="AD1408" s="32" t="s">
        <v>552</v>
      </c>
    </row>
    <row r="1409" spans="1:30">
      <c r="A1409" s="184">
        <v>1408</v>
      </c>
      <c r="B1409" s="184" t="s">
        <v>3421</v>
      </c>
      <c r="C1409" s="184" t="s">
        <v>598</v>
      </c>
      <c r="D1409" s="127">
        <v>42885</v>
      </c>
      <c r="E1409" s="127" t="s">
        <v>598</v>
      </c>
      <c r="F1409" s="184" t="s">
        <v>3422</v>
      </c>
      <c r="G1409" s="185">
        <v>0</v>
      </c>
      <c r="H1409" s="184" t="s">
        <v>598</v>
      </c>
      <c r="I1409" s="184" t="s">
        <v>598</v>
      </c>
      <c r="J1409" s="184" t="s">
        <v>84</v>
      </c>
      <c r="K1409" s="184" t="s">
        <v>598</v>
      </c>
      <c r="L1409" s="184" t="s">
        <v>598</v>
      </c>
      <c r="M1409" s="184" t="s">
        <v>598</v>
      </c>
      <c r="N1409" s="184" t="s">
        <v>79</v>
      </c>
      <c r="O1409" s="184" t="s">
        <v>79</v>
      </c>
      <c r="P1409" s="186" t="s">
        <v>602</v>
      </c>
      <c r="Q1409" s="184" t="s">
        <v>598</v>
      </c>
      <c r="R1409" s="184" t="s">
        <v>3423</v>
      </c>
      <c r="S1409" s="127">
        <v>42885</v>
      </c>
      <c r="T1409" s="184" t="s">
        <v>3077</v>
      </c>
      <c r="U1409" s="184" t="s">
        <v>598</v>
      </c>
      <c r="V1409" s="185">
        <v>1500</v>
      </c>
      <c r="W1409" s="184" t="s">
        <v>493</v>
      </c>
      <c r="X1409" s="184" t="s">
        <v>598</v>
      </c>
      <c r="Y1409" s="185">
        <v>0</v>
      </c>
      <c r="Z1409" s="184" t="s">
        <v>598</v>
      </c>
      <c r="AA1409" s="21" t="s">
        <v>610</v>
      </c>
      <c r="AB1409" s="176" t="s">
        <v>489</v>
      </c>
      <c r="AC1409" s="172">
        <v>42996.328472222223</v>
      </c>
      <c r="AD1409" s="32" t="s">
        <v>552</v>
      </c>
    </row>
    <row r="1410" spans="1:30">
      <c r="A1410" s="184">
        <v>1409</v>
      </c>
      <c r="B1410" s="184" t="s">
        <v>3424</v>
      </c>
      <c r="C1410" s="184" t="s">
        <v>598</v>
      </c>
      <c r="D1410" s="127">
        <v>42693</v>
      </c>
      <c r="E1410" s="127" t="s">
        <v>598</v>
      </c>
      <c r="F1410" s="184" t="s">
        <v>3425</v>
      </c>
      <c r="G1410" s="185">
        <v>8228000</v>
      </c>
      <c r="H1410" s="184" t="s">
        <v>598</v>
      </c>
      <c r="I1410" s="184" t="s">
        <v>134</v>
      </c>
      <c r="J1410" s="184" t="s">
        <v>84</v>
      </c>
      <c r="K1410" s="184" t="s">
        <v>184</v>
      </c>
      <c r="L1410" s="184" t="s">
        <v>598</v>
      </c>
      <c r="M1410" s="184" t="s">
        <v>62</v>
      </c>
      <c r="N1410" s="184" t="s">
        <v>79</v>
      </c>
      <c r="O1410" s="184" t="s">
        <v>79</v>
      </c>
      <c r="P1410" s="186" t="s">
        <v>603</v>
      </c>
      <c r="Q1410" s="184" t="s">
        <v>598</v>
      </c>
      <c r="R1410" s="184" t="s">
        <v>598</v>
      </c>
      <c r="S1410" s="127">
        <v>42886</v>
      </c>
      <c r="T1410" s="184" t="s">
        <v>34</v>
      </c>
      <c r="U1410" s="184" t="s">
        <v>598</v>
      </c>
      <c r="V1410" s="185">
        <v>4000</v>
      </c>
      <c r="W1410" s="184" t="s">
        <v>493</v>
      </c>
      <c r="X1410" s="184" t="s">
        <v>598</v>
      </c>
      <c r="Y1410" s="185">
        <v>0</v>
      </c>
      <c r="Z1410" s="184" t="s">
        <v>598</v>
      </c>
      <c r="AA1410" s="21" t="s">
        <v>610</v>
      </c>
      <c r="AB1410" s="176" t="s">
        <v>489</v>
      </c>
      <c r="AC1410" s="172">
        <v>42996.328472222223</v>
      </c>
      <c r="AD1410" s="32" t="s">
        <v>552</v>
      </c>
    </row>
    <row r="1411" spans="1:30">
      <c r="A1411" s="184">
        <v>1410</v>
      </c>
      <c r="B1411" s="184" t="s">
        <v>3426</v>
      </c>
      <c r="C1411" s="184" t="s">
        <v>598</v>
      </c>
      <c r="D1411" s="127">
        <v>42696</v>
      </c>
      <c r="E1411" s="127" t="s">
        <v>598</v>
      </c>
      <c r="F1411" s="184" t="s">
        <v>3427</v>
      </c>
      <c r="G1411" s="185">
        <v>9832000</v>
      </c>
      <c r="H1411" s="184" t="s">
        <v>598</v>
      </c>
      <c r="I1411" s="184" t="s">
        <v>134</v>
      </c>
      <c r="J1411" s="184" t="s">
        <v>84</v>
      </c>
      <c r="K1411" s="184" t="s">
        <v>3428</v>
      </c>
      <c r="L1411" s="184" t="s">
        <v>598</v>
      </c>
      <c r="M1411" s="184" t="s">
        <v>62</v>
      </c>
      <c r="N1411" s="184" t="s">
        <v>79</v>
      </c>
      <c r="O1411" s="184" t="s">
        <v>79</v>
      </c>
      <c r="P1411" s="186"/>
      <c r="Q1411" s="184" t="s">
        <v>598</v>
      </c>
      <c r="R1411" s="184" t="s">
        <v>598</v>
      </c>
      <c r="S1411" s="127">
        <v>42886</v>
      </c>
      <c r="T1411" s="184" t="s">
        <v>34</v>
      </c>
      <c r="U1411" s="184" t="s">
        <v>598</v>
      </c>
      <c r="V1411" s="185">
        <v>4000</v>
      </c>
      <c r="W1411" s="184" t="s">
        <v>493</v>
      </c>
      <c r="X1411" s="184" t="s">
        <v>598</v>
      </c>
      <c r="Y1411" s="185">
        <v>0</v>
      </c>
      <c r="Z1411" s="184" t="s">
        <v>598</v>
      </c>
      <c r="AA1411" s="21" t="s">
        <v>610</v>
      </c>
      <c r="AB1411" s="176" t="s">
        <v>489</v>
      </c>
      <c r="AC1411" s="172">
        <v>42996.328472222223</v>
      </c>
      <c r="AD1411" s="32" t="s">
        <v>552</v>
      </c>
    </row>
    <row r="1412" spans="1:30">
      <c r="A1412" s="184">
        <v>1411</v>
      </c>
      <c r="B1412" s="184" t="s">
        <v>3429</v>
      </c>
      <c r="C1412" s="184" t="s">
        <v>598</v>
      </c>
      <c r="D1412" s="127">
        <v>42704</v>
      </c>
      <c r="E1412" s="127" t="s">
        <v>598</v>
      </c>
      <c r="F1412" s="184" t="s">
        <v>3430</v>
      </c>
      <c r="G1412" s="185">
        <v>9729000</v>
      </c>
      <c r="H1412" s="184" t="s">
        <v>598</v>
      </c>
      <c r="I1412" s="184" t="s">
        <v>598</v>
      </c>
      <c r="J1412" s="184" t="s">
        <v>84</v>
      </c>
      <c r="K1412" s="184" t="s">
        <v>598</v>
      </c>
      <c r="L1412" s="184" t="s">
        <v>598</v>
      </c>
      <c r="M1412" s="184" t="s">
        <v>62</v>
      </c>
      <c r="N1412" s="184" t="s">
        <v>79</v>
      </c>
      <c r="O1412" s="184" t="s">
        <v>79</v>
      </c>
      <c r="P1412" s="186" t="s">
        <v>605</v>
      </c>
      <c r="Q1412" s="184" t="s">
        <v>598</v>
      </c>
      <c r="R1412" s="184" t="s">
        <v>598</v>
      </c>
      <c r="S1412" s="127">
        <v>42886</v>
      </c>
      <c r="T1412" s="184" t="s">
        <v>34</v>
      </c>
      <c r="U1412" s="184" t="s">
        <v>598</v>
      </c>
      <c r="V1412" s="185">
        <v>4000</v>
      </c>
      <c r="W1412" s="184" t="s">
        <v>493</v>
      </c>
      <c r="X1412" s="184" t="s">
        <v>598</v>
      </c>
      <c r="Y1412" s="185">
        <v>0</v>
      </c>
      <c r="Z1412" s="184" t="s">
        <v>598</v>
      </c>
      <c r="AA1412" s="21" t="s">
        <v>610</v>
      </c>
      <c r="AB1412" s="176" t="s">
        <v>489</v>
      </c>
      <c r="AC1412" s="172">
        <v>42996.328472222223</v>
      </c>
      <c r="AD1412" s="32" t="s">
        <v>552</v>
      </c>
    </row>
    <row r="1413" spans="1:30">
      <c r="A1413" s="184">
        <v>1412</v>
      </c>
      <c r="B1413" s="184" t="s">
        <v>3431</v>
      </c>
      <c r="C1413" s="184" t="s">
        <v>598</v>
      </c>
      <c r="D1413" s="127">
        <v>42713</v>
      </c>
      <c r="E1413" s="127" t="s">
        <v>598</v>
      </c>
      <c r="F1413" s="184" t="s">
        <v>3432</v>
      </c>
      <c r="G1413" s="185">
        <v>7061000</v>
      </c>
      <c r="H1413" s="184" t="s">
        <v>598</v>
      </c>
      <c r="I1413" s="184" t="s">
        <v>134</v>
      </c>
      <c r="J1413" s="184" t="s">
        <v>84</v>
      </c>
      <c r="K1413" s="184" t="s">
        <v>195</v>
      </c>
      <c r="L1413" s="184" t="s">
        <v>598</v>
      </c>
      <c r="M1413" s="184" t="s">
        <v>62</v>
      </c>
      <c r="N1413" s="184" t="s">
        <v>79</v>
      </c>
      <c r="O1413" s="184" t="s">
        <v>112</v>
      </c>
      <c r="P1413" s="186" t="s">
        <v>606</v>
      </c>
      <c r="Q1413" s="184" t="s">
        <v>598</v>
      </c>
      <c r="R1413" s="184" t="s">
        <v>598</v>
      </c>
      <c r="S1413" s="127">
        <v>42886</v>
      </c>
      <c r="T1413" s="184" t="s">
        <v>34</v>
      </c>
      <c r="U1413" s="184" t="s">
        <v>598</v>
      </c>
      <c r="V1413" s="185">
        <v>4000</v>
      </c>
      <c r="W1413" s="184" t="s">
        <v>493</v>
      </c>
      <c r="X1413" s="184" t="s">
        <v>598</v>
      </c>
      <c r="Y1413" s="185">
        <v>0</v>
      </c>
      <c r="Z1413" s="184" t="s">
        <v>598</v>
      </c>
      <c r="AA1413" s="21" t="s">
        <v>610</v>
      </c>
      <c r="AB1413" s="176" t="s">
        <v>489</v>
      </c>
      <c r="AC1413" s="172">
        <v>42996.328472222223</v>
      </c>
      <c r="AD1413" s="32" t="s">
        <v>552</v>
      </c>
    </row>
    <row r="1414" spans="1:30">
      <c r="A1414" s="184">
        <v>1413</v>
      </c>
      <c r="B1414" s="184" t="s">
        <v>3433</v>
      </c>
      <c r="C1414" s="184" t="s">
        <v>598</v>
      </c>
      <c r="D1414" s="127">
        <v>42713</v>
      </c>
      <c r="E1414" s="127" t="s">
        <v>598</v>
      </c>
      <c r="F1414" s="184" t="s">
        <v>3434</v>
      </c>
      <c r="G1414" s="185">
        <v>4513000</v>
      </c>
      <c r="H1414" s="184" t="s">
        <v>598</v>
      </c>
      <c r="I1414" s="184" t="s">
        <v>598</v>
      </c>
      <c r="J1414" s="184" t="s">
        <v>84</v>
      </c>
      <c r="K1414" s="184" t="s">
        <v>263</v>
      </c>
      <c r="L1414" s="184" t="s">
        <v>598</v>
      </c>
      <c r="M1414" s="184" t="s">
        <v>62</v>
      </c>
      <c r="N1414" s="184" t="s">
        <v>79</v>
      </c>
      <c r="O1414" s="184" t="s">
        <v>79</v>
      </c>
      <c r="P1414" s="186"/>
      <c r="Q1414" s="184" t="s">
        <v>598</v>
      </c>
      <c r="R1414" s="184" t="s">
        <v>598</v>
      </c>
      <c r="S1414" s="127">
        <v>42886</v>
      </c>
      <c r="T1414" s="184" t="s">
        <v>34</v>
      </c>
      <c r="U1414" s="184" t="s">
        <v>598</v>
      </c>
      <c r="V1414" s="185">
        <v>3000</v>
      </c>
      <c r="W1414" s="184" t="s">
        <v>493</v>
      </c>
      <c r="X1414" s="184" t="s">
        <v>598</v>
      </c>
      <c r="Y1414" s="185">
        <v>0</v>
      </c>
      <c r="Z1414" s="184" t="s">
        <v>598</v>
      </c>
      <c r="AA1414" s="21" t="s">
        <v>610</v>
      </c>
      <c r="AB1414" s="176" t="s">
        <v>489</v>
      </c>
      <c r="AC1414" s="172">
        <v>42996.328472222223</v>
      </c>
      <c r="AD1414" s="32" t="s">
        <v>552</v>
      </c>
    </row>
    <row r="1415" spans="1:30">
      <c r="A1415" s="184">
        <v>1414</v>
      </c>
      <c r="B1415" s="184" t="s">
        <v>3435</v>
      </c>
      <c r="C1415" s="184" t="s">
        <v>598</v>
      </c>
      <c r="D1415" s="127">
        <v>42720</v>
      </c>
      <c r="E1415" s="127" t="s">
        <v>598</v>
      </c>
      <c r="F1415" s="184" t="s">
        <v>3436</v>
      </c>
      <c r="G1415" s="185">
        <v>4222000</v>
      </c>
      <c r="H1415" s="184" t="s">
        <v>598</v>
      </c>
      <c r="I1415" s="184" t="s">
        <v>134</v>
      </c>
      <c r="J1415" s="184" t="s">
        <v>84</v>
      </c>
      <c r="K1415" s="184" t="s">
        <v>184</v>
      </c>
      <c r="L1415" s="184" t="s">
        <v>598</v>
      </c>
      <c r="M1415" s="184" t="s">
        <v>62</v>
      </c>
      <c r="N1415" s="184" t="s">
        <v>79</v>
      </c>
      <c r="O1415" s="184" t="s">
        <v>112</v>
      </c>
      <c r="P1415" s="186" t="s">
        <v>73</v>
      </c>
      <c r="Q1415" s="184" t="s">
        <v>598</v>
      </c>
      <c r="R1415" s="184" t="s">
        <v>598</v>
      </c>
      <c r="S1415" s="127">
        <v>42886</v>
      </c>
      <c r="T1415" s="184" t="s">
        <v>34</v>
      </c>
      <c r="U1415" s="184" t="s">
        <v>598</v>
      </c>
      <c r="V1415" s="185">
        <v>3000</v>
      </c>
      <c r="W1415" s="184" t="s">
        <v>493</v>
      </c>
      <c r="X1415" s="184" t="s">
        <v>598</v>
      </c>
      <c r="Y1415" s="185">
        <v>0</v>
      </c>
      <c r="Z1415" s="184" t="s">
        <v>598</v>
      </c>
      <c r="AA1415" s="21" t="s">
        <v>610</v>
      </c>
      <c r="AB1415" s="176" t="s">
        <v>489</v>
      </c>
      <c r="AC1415" s="172">
        <v>42996.328472222223</v>
      </c>
      <c r="AD1415" s="32" t="s">
        <v>552</v>
      </c>
    </row>
    <row r="1416" spans="1:30">
      <c r="A1416" s="184">
        <v>1415</v>
      </c>
      <c r="B1416" s="184" t="s">
        <v>3437</v>
      </c>
      <c r="C1416" s="184" t="s">
        <v>598</v>
      </c>
      <c r="D1416" s="127">
        <v>42731</v>
      </c>
      <c r="E1416" s="127" t="s">
        <v>598</v>
      </c>
      <c r="F1416" s="184" t="s">
        <v>3438</v>
      </c>
      <c r="G1416" s="185">
        <v>2666000</v>
      </c>
      <c r="H1416" s="184" t="s">
        <v>598</v>
      </c>
      <c r="I1416" s="184" t="s">
        <v>96</v>
      </c>
      <c r="J1416" s="184" t="s">
        <v>84</v>
      </c>
      <c r="K1416" s="184" t="s">
        <v>249</v>
      </c>
      <c r="L1416" s="184" t="s">
        <v>598</v>
      </c>
      <c r="M1416" s="184" t="s">
        <v>62</v>
      </c>
      <c r="N1416" s="184" t="s">
        <v>79</v>
      </c>
      <c r="O1416" s="184" t="s">
        <v>112</v>
      </c>
      <c r="P1416" s="186" t="s">
        <v>601</v>
      </c>
      <c r="Q1416" s="184" t="s">
        <v>598</v>
      </c>
      <c r="R1416" s="184" t="s">
        <v>598</v>
      </c>
      <c r="S1416" s="127">
        <v>42886</v>
      </c>
      <c r="T1416" s="184" t="s">
        <v>34</v>
      </c>
      <c r="U1416" s="184" t="s">
        <v>598</v>
      </c>
      <c r="V1416" s="185">
        <v>3000</v>
      </c>
      <c r="W1416" s="184" t="s">
        <v>493</v>
      </c>
      <c r="X1416" s="184" t="s">
        <v>598</v>
      </c>
      <c r="Y1416" s="185">
        <v>0</v>
      </c>
      <c r="Z1416" s="184" t="s">
        <v>598</v>
      </c>
      <c r="AA1416" s="21" t="s">
        <v>610</v>
      </c>
      <c r="AB1416" s="176" t="s">
        <v>489</v>
      </c>
      <c r="AC1416" s="172">
        <v>42996.328472222223</v>
      </c>
      <c r="AD1416" s="32" t="s">
        <v>552</v>
      </c>
    </row>
    <row r="1417" spans="1:30">
      <c r="A1417" s="184">
        <v>1416</v>
      </c>
      <c r="B1417" s="184" t="s">
        <v>3439</v>
      </c>
      <c r="C1417" s="184" t="s">
        <v>598</v>
      </c>
      <c r="D1417" s="127">
        <v>42731</v>
      </c>
      <c r="E1417" s="127" t="s">
        <v>598</v>
      </c>
      <c r="F1417" s="184" t="s">
        <v>3440</v>
      </c>
      <c r="G1417" s="185">
        <v>3847000</v>
      </c>
      <c r="H1417" s="184" t="s">
        <v>598</v>
      </c>
      <c r="I1417" s="184" t="s">
        <v>134</v>
      </c>
      <c r="J1417" s="184" t="s">
        <v>84</v>
      </c>
      <c r="K1417" s="184" t="s">
        <v>459</v>
      </c>
      <c r="L1417" s="184" t="s">
        <v>598</v>
      </c>
      <c r="M1417" s="184" t="s">
        <v>62</v>
      </c>
      <c r="N1417" s="184" t="s">
        <v>79</v>
      </c>
      <c r="O1417" s="184" t="s">
        <v>79</v>
      </c>
      <c r="P1417" s="186" t="s">
        <v>32</v>
      </c>
      <c r="Q1417" s="184" t="s">
        <v>598</v>
      </c>
      <c r="R1417" s="184" t="s">
        <v>598</v>
      </c>
      <c r="S1417" s="127">
        <v>42886</v>
      </c>
      <c r="T1417" s="184" t="s">
        <v>34</v>
      </c>
      <c r="U1417" s="184" t="s">
        <v>598</v>
      </c>
      <c r="V1417" s="185">
        <v>3000</v>
      </c>
      <c r="W1417" s="184" t="s">
        <v>493</v>
      </c>
      <c r="X1417" s="184" t="s">
        <v>598</v>
      </c>
      <c r="Y1417" s="185">
        <v>0</v>
      </c>
      <c r="Z1417" s="184" t="s">
        <v>598</v>
      </c>
      <c r="AA1417" s="21" t="s">
        <v>610</v>
      </c>
      <c r="AB1417" s="176" t="s">
        <v>489</v>
      </c>
      <c r="AC1417" s="172">
        <v>42996.328472222223</v>
      </c>
      <c r="AD1417" s="32" t="s">
        <v>552</v>
      </c>
    </row>
    <row r="1418" spans="1:30">
      <c r="A1418" s="184">
        <v>1417</v>
      </c>
      <c r="B1418" s="184" t="s">
        <v>3441</v>
      </c>
      <c r="C1418" s="184" t="s">
        <v>598</v>
      </c>
      <c r="D1418" s="127">
        <v>42732</v>
      </c>
      <c r="E1418" s="127" t="s">
        <v>598</v>
      </c>
      <c r="F1418" s="184" t="s">
        <v>3442</v>
      </c>
      <c r="G1418" s="185">
        <v>3445000</v>
      </c>
      <c r="H1418" s="184" t="s">
        <v>598</v>
      </c>
      <c r="I1418" s="184" t="s">
        <v>107</v>
      </c>
      <c r="J1418" s="184" t="s">
        <v>84</v>
      </c>
      <c r="K1418" s="184" t="s">
        <v>263</v>
      </c>
      <c r="L1418" s="184" t="s">
        <v>598</v>
      </c>
      <c r="M1418" s="184" t="s">
        <v>62</v>
      </c>
      <c r="N1418" s="184" t="s">
        <v>79</v>
      </c>
      <c r="O1418" s="184" t="s">
        <v>112</v>
      </c>
      <c r="P1418" s="186" t="s">
        <v>53</v>
      </c>
      <c r="Q1418" s="184" t="s">
        <v>598</v>
      </c>
      <c r="R1418" s="184" t="s">
        <v>598</v>
      </c>
      <c r="S1418" s="127">
        <v>42886</v>
      </c>
      <c r="T1418" s="184" t="s">
        <v>34</v>
      </c>
      <c r="U1418" s="184" t="s">
        <v>598</v>
      </c>
      <c r="V1418" s="185">
        <v>3000</v>
      </c>
      <c r="W1418" s="184" t="s">
        <v>493</v>
      </c>
      <c r="X1418" s="184" t="s">
        <v>598</v>
      </c>
      <c r="Y1418" s="185">
        <v>0</v>
      </c>
      <c r="Z1418" s="184" t="s">
        <v>598</v>
      </c>
      <c r="AA1418" s="21" t="s">
        <v>610</v>
      </c>
      <c r="AB1418" s="176" t="s">
        <v>489</v>
      </c>
      <c r="AC1418" s="172">
        <v>42996.328472222223</v>
      </c>
      <c r="AD1418" s="32" t="s">
        <v>552</v>
      </c>
    </row>
    <row r="1419" spans="1:30">
      <c r="A1419" s="184">
        <v>1418</v>
      </c>
      <c r="B1419" s="184" t="s">
        <v>3443</v>
      </c>
      <c r="C1419" s="184" t="s">
        <v>598</v>
      </c>
      <c r="D1419" s="127">
        <v>42734</v>
      </c>
      <c r="E1419" s="127" t="s">
        <v>598</v>
      </c>
      <c r="F1419" s="184" t="s">
        <v>3444</v>
      </c>
      <c r="G1419" s="185">
        <v>3813000</v>
      </c>
      <c r="H1419" s="184" t="s">
        <v>598</v>
      </c>
      <c r="I1419" s="184" t="s">
        <v>598</v>
      </c>
      <c r="J1419" s="184" t="s">
        <v>84</v>
      </c>
      <c r="K1419" s="184" t="s">
        <v>263</v>
      </c>
      <c r="L1419" s="184" t="s">
        <v>598</v>
      </c>
      <c r="M1419" s="184" t="s">
        <v>62</v>
      </c>
      <c r="N1419" s="184" t="s">
        <v>79</v>
      </c>
      <c r="O1419" s="184" t="s">
        <v>79</v>
      </c>
      <c r="P1419" s="186" t="s">
        <v>44</v>
      </c>
      <c r="Q1419" s="184" t="s">
        <v>598</v>
      </c>
      <c r="R1419" s="184" t="s">
        <v>598</v>
      </c>
      <c r="S1419" s="127">
        <v>42886</v>
      </c>
      <c r="T1419" s="184" t="s">
        <v>34</v>
      </c>
      <c r="U1419" s="184" t="s">
        <v>598</v>
      </c>
      <c r="V1419" s="185">
        <v>3000</v>
      </c>
      <c r="W1419" s="184" t="s">
        <v>493</v>
      </c>
      <c r="X1419" s="184" t="s">
        <v>598</v>
      </c>
      <c r="Y1419" s="185">
        <v>0</v>
      </c>
      <c r="Z1419" s="184" t="s">
        <v>598</v>
      </c>
      <c r="AA1419" s="21" t="s">
        <v>610</v>
      </c>
      <c r="AB1419" s="176" t="s">
        <v>489</v>
      </c>
      <c r="AC1419" s="172">
        <v>42996.328472222223</v>
      </c>
      <c r="AD1419" s="32" t="s">
        <v>552</v>
      </c>
    </row>
    <row r="1420" spans="1:30">
      <c r="A1420" s="184">
        <v>1419</v>
      </c>
      <c r="B1420" s="184" t="s">
        <v>3445</v>
      </c>
      <c r="C1420" s="184" t="s">
        <v>598</v>
      </c>
      <c r="D1420" s="127">
        <v>42734</v>
      </c>
      <c r="E1420" s="127" t="s">
        <v>598</v>
      </c>
      <c r="F1420" s="184" t="s">
        <v>3446</v>
      </c>
      <c r="G1420" s="185">
        <v>7334000</v>
      </c>
      <c r="H1420" s="184" t="s">
        <v>598</v>
      </c>
      <c r="I1420" s="184" t="s">
        <v>134</v>
      </c>
      <c r="J1420" s="184" t="s">
        <v>84</v>
      </c>
      <c r="K1420" s="184" t="s">
        <v>3076</v>
      </c>
      <c r="L1420" s="184" t="s">
        <v>598</v>
      </c>
      <c r="M1420" s="184" t="s">
        <v>62</v>
      </c>
      <c r="N1420" s="184" t="s">
        <v>79</v>
      </c>
      <c r="O1420" s="184" t="s">
        <v>112</v>
      </c>
      <c r="P1420" s="186" t="s">
        <v>67</v>
      </c>
      <c r="Q1420" s="184" t="s">
        <v>598</v>
      </c>
      <c r="R1420" s="184" t="s">
        <v>598</v>
      </c>
      <c r="S1420" s="127">
        <v>42886</v>
      </c>
      <c r="T1420" s="184" t="s">
        <v>34</v>
      </c>
      <c r="U1420" s="184" t="s">
        <v>598</v>
      </c>
      <c r="V1420" s="185">
        <v>4000</v>
      </c>
      <c r="W1420" s="184" t="s">
        <v>493</v>
      </c>
      <c r="X1420" s="184" t="s">
        <v>598</v>
      </c>
      <c r="Y1420" s="185">
        <v>0</v>
      </c>
      <c r="Z1420" s="184" t="s">
        <v>598</v>
      </c>
      <c r="AA1420" s="21" t="s">
        <v>610</v>
      </c>
      <c r="AB1420" s="176" t="s">
        <v>489</v>
      </c>
      <c r="AC1420" s="172">
        <v>42996.328472222223</v>
      </c>
      <c r="AD1420" s="32" t="s">
        <v>552</v>
      </c>
    </row>
    <row r="1421" spans="1:30">
      <c r="A1421" s="184">
        <v>1420</v>
      </c>
      <c r="B1421" s="184" t="s">
        <v>3447</v>
      </c>
      <c r="C1421" s="184" t="s">
        <v>598</v>
      </c>
      <c r="D1421" s="127">
        <v>42737</v>
      </c>
      <c r="E1421" s="127" t="s">
        <v>598</v>
      </c>
      <c r="F1421" s="184" t="s">
        <v>3448</v>
      </c>
      <c r="G1421" s="185">
        <v>3956000</v>
      </c>
      <c r="H1421" s="184" t="s">
        <v>598</v>
      </c>
      <c r="I1421" s="184" t="s">
        <v>120</v>
      </c>
      <c r="J1421" s="184" t="s">
        <v>84</v>
      </c>
      <c r="K1421" s="184" t="s">
        <v>3323</v>
      </c>
      <c r="L1421" s="184" t="s">
        <v>598</v>
      </c>
      <c r="M1421" s="184" t="s">
        <v>62</v>
      </c>
      <c r="N1421" s="184" t="s">
        <v>79</v>
      </c>
      <c r="O1421" s="184" t="s">
        <v>79</v>
      </c>
      <c r="P1421" s="186" t="s">
        <v>602</v>
      </c>
      <c r="Q1421" s="184" t="s">
        <v>598</v>
      </c>
      <c r="R1421" s="184" t="s">
        <v>598</v>
      </c>
      <c r="S1421" s="127">
        <v>42886</v>
      </c>
      <c r="T1421" s="184" t="s">
        <v>34</v>
      </c>
      <c r="U1421" s="184" t="s">
        <v>598</v>
      </c>
      <c r="V1421" s="185">
        <v>3000</v>
      </c>
      <c r="W1421" s="184" t="s">
        <v>493</v>
      </c>
      <c r="X1421" s="184" t="s">
        <v>598</v>
      </c>
      <c r="Y1421" s="185">
        <v>0</v>
      </c>
      <c r="Z1421" s="184" t="s">
        <v>598</v>
      </c>
      <c r="AA1421" s="21" t="s">
        <v>610</v>
      </c>
      <c r="AB1421" s="176" t="s">
        <v>489</v>
      </c>
      <c r="AC1421" s="172">
        <v>42996.328472222223</v>
      </c>
      <c r="AD1421" s="32" t="s">
        <v>552</v>
      </c>
    </row>
    <row r="1422" spans="1:30">
      <c r="A1422" s="184">
        <v>1421</v>
      </c>
      <c r="B1422" s="184" t="s">
        <v>3449</v>
      </c>
      <c r="C1422" s="184" t="s">
        <v>598</v>
      </c>
      <c r="D1422" s="127">
        <v>42742</v>
      </c>
      <c r="E1422" s="127" t="s">
        <v>598</v>
      </c>
      <c r="F1422" s="184" t="s">
        <v>3450</v>
      </c>
      <c r="G1422" s="185">
        <v>1200000</v>
      </c>
      <c r="H1422" s="184" t="s">
        <v>598</v>
      </c>
      <c r="I1422" s="184" t="s">
        <v>132</v>
      </c>
      <c r="J1422" s="184" t="s">
        <v>84</v>
      </c>
      <c r="K1422" s="184" t="s">
        <v>460</v>
      </c>
      <c r="L1422" s="184" t="s">
        <v>598</v>
      </c>
      <c r="M1422" s="184" t="s">
        <v>62</v>
      </c>
      <c r="N1422" s="184" t="s">
        <v>79</v>
      </c>
      <c r="O1422" s="184" t="s">
        <v>112</v>
      </c>
      <c r="P1422" s="186" t="s">
        <v>603</v>
      </c>
      <c r="Q1422" s="184" t="s">
        <v>598</v>
      </c>
      <c r="R1422" s="184" t="s">
        <v>598</v>
      </c>
      <c r="S1422" s="127">
        <v>42886</v>
      </c>
      <c r="T1422" s="184" t="s">
        <v>34</v>
      </c>
      <c r="U1422" s="184" t="s">
        <v>598</v>
      </c>
      <c r="V1422" s="185">
        <v>3000</v>
      </c>
      <c r="W1422" s="184" t="s">
        <v>493</v>
      </c>
      <c r="X1422" s="184" t="s">
        <v>598</v>
      </c>
      <c r="Y1422" s="185">
        <v>0</v>
      </c>
      <c r="Z1422" s="184" t="s">
        <v>598</v>
      </c>
      <c r="AA1422" s="21" t="s">
        <v>610</v>
      </c>
      <c r="AB1422" s="176" t="s">
        <v>489</v>
      </c>
      <c r="AC1422" s="172">
        <v>42996.328472222223</v>
      </c>
      <c r="AD1422" s="32" t="s">
        <v>552</v>
      </c>
    </row>
    <row r="1423" spans="1:30">
      <c r="A1423" s="184">
        <v>1422</v>
      </c>
      <c r="B1423" s="184" t="s">
        <v>3451</v>
      </c>
      <c r="C1423" s="184" t="s">
        <v>598</v>
      </c>
      <c r="D1423" s="127">
        <v>42742</v>
      </c>
      <c r="E1423" s="127" t="s">
        <v>598</v>
      </c>
      <c r="F1423" s="184" t="s">
        <v>3450</v>
      </c>
      <c r="G1423" s="185">
        <v>725000</v>
      </c>
      <c r="H1423" s="184" t="s">
        <v>598</v>
      </c>
      <c r="I1423" s="184" t="s">
        <v>132</v>
      </c>
      <c r="J1423" s="184" t="s">
        <v>84</v>
      </c>
      <c r="K1423" s="184" t="s">
        <v>460</v>
      </c>
      <c r="L1423" s="184" t="s">
        <v>598</v>
      </c>
      <c r="M1423" s="184" t="s">
        <v>62</v>
      </c>
      <c r="N1423" s="184" t="s">
        <v>79</v>
      </c>
      <c r="O1423" s="184" t="s">
        <v>112</v>
      </c>
      <c r="P1423" s="186"/>
      <c r="Q1423" s="184" t="s">
        <v>598</v>
      </c>
      <c r="R1423" s="184" t="s">
        <v>598</v>
      </c>
      <c r="S1423" s="127">
        <v>42886</v>
      </c>
      <c r="T1423" s="184" t="s">
        <v>34</v>
      </c>
      <c r="U1423" s="184" t="s">
        <v>598</v>
      </c>
      <c r="V1423" s="185">
        <v>3000</v>
      </c>
      <c r="W1423" s="184" t="s">
        <v>493</v>
      </c>
      <c r="X1423" s="184" t="s">
        <v>598</v>
      </c>
      <c r="Y1423" s="185">
        <v>0</v>
      </c>
      <c r="Z1423" s="184" t="s">
        <v>598</v>
      </c>
      <c r="AA1423" s="21" t="s">
        <v>610</v>
      </c>
      <c r="AB1423" s="176" t="s">
        <v>489</v>
      </c>
      <c r="AC1423" s="172">
        <v>42996.328472222223</v>
      </c>
      <c r="AD1423" s="32" t="s">
        <v>552</v>
      </c>
    </row>
    <row r="1424" spans="1:30">
      <c r="A1424" s="184">
        <v>1423</v>
      </c>
      <c r="B1424" s="184" t="s">
        <v>3452</v>
      </c>
      <c r="C1424" s="184" t="s">
        <v>598</v>
      </c>
      <c r="D1424" s="127">
        <v>42754</v>
      </c>
      <c r="E1424" s="127" t="s">
        <v>598</v>
      </c>
      <c r="F1424" s="184" t="s">
        <v>3453</v>
      </c>
      <c r="G1424" s="185">
        <v>3449000</v>
      </c>
      <c r="H1424" s="184" t="s">
        <v>598</v>
      </c>
      <c r="I1424" s="184" t="s">
        <v>134</v>
      </c>
      <c r="J1424" s="184" t="s">
        <v>84</v>
      </c>
      <c r="K1424" s="184" t="s">
        <v>279</v>
      </c>
      <c r="L1424" s="184" t="s">
        <v>598</v>
      </c>
      <c r="M1424" s="184" t="s">
        <v>62</v>
      </c>
      <c r="N1424" s="184" t="s">
        <v>79</v>
      </c>
      <c r="O1424" s="184" t="s">
        <v>112</v>
      </c>
      <c r="P1424" s="186" t="s">
        <v>605</v>
      </c>
      <c r="Q1424" s="184" t="s">
        <v>598</v>
      </c>
      <c r="R1424" s="184" t="s">
        <v>598</v>
      </c>
      <c r="S1424" s="127">
        <v>42886</v>
      </c>
      <c r="T1424" s="184" t="s">
        <v>34</v>
      </c>
      <c r="U1424" s="184" t="s">
        <v>598</v>
      </c>
      <c r="V1424" s="185">
        <v>3000</v>
      </c>
      <c r="W1424" s="184" t="s">
        <v>493</v>
      </c>
      <c r="X1424" s="184" t="s">
        <v>598</v>
      </c>
      <c r="Y1424" s="185">
        <v>0</v>
      </c>
      <c r="Z1424" s="184" t="s">
        <v>598</v>
      </c>
      <c r="AA1424" s="21" t="s">
        <v>610</v>
      </c>
      <c r="AB1424" s="176" t="s">
        <v>489</v>
      </c>
      <c r="AC1424" s="172">
        <v>42996.328472222223</v>
      </c>
      <c r="AD1424" s="32" t="s">
        <v>552</v>
      </c>
    </row>
    <row r="1425" spans="1:30">
      <c r="A1425" s="184">
        <v>1424</v>
      </c>
      <c r="B1425" s="184" t="s">
        <v>3454</v>
      </c>
      <c r="C1425" s="184" t="s">
        <v>598</v>
      </c>
      <c r="D1425" s="127">
        <v>42798</v>
      </c>
      <c r="E1425" s="127" t="s">
        <v>598</v>
      </c>
      <c r="F1425" s="184" t="s">
        <v>3455</v>
      </c>
      <c r="G1425" s="185">
        <v>0</v>
      </c>
      <c r="H1425" s="184" t="s">
        <v>598</v>
      </c>
      <c r="I1425" s="184" t="s">
        <v>134</v>
      </c>
      <c r="J1425" s="184" t="s">
        <v>84</v>
      </c>
      <c r="K1425" s="184" t="s">
        <v>461</v>
      </c>
      <c r="L1425" s="184" t="s">
        <v>598</v>
      </c>
      <c r="M1425" s="184" t="s">
        <v>598</v>
      </c>
      <c r="N1425" s="184" t="s">
        <v>79</v>
      </c>
      <c r="O1425" s="184" t="s">
        <v>79</v>
      </c>
      <c r="P1425" s="186" t="s">
        <v>606</v>
      </c>
      <c r="Q1425" s="184" t="s">
        <v>598</v>
      </c>
      <c r="R1425" s="184" t="s">
        <v>598</v>
      </c>
      <c r="S1425" s="127">
        <v>42874</v>
      </c>
      <c r="T1425" s="184" t="s">
        <v>494</v>
      </c>
      <c r="U1425" s="184" t="s">
        <v>598</v>
      </c>
      <c r="V1425" s="185">
        <v>1500</v>
      </c>
      <c r="W1425" s="184" t="s">
        <v>493</v>
      </c>
      <c r="X1425" s="184" t="s">
        <v>598</v>
      </c>
      <c r="Y1425" s="185">
        <v>0</v>
      </c>
      <c r="Z1425" s="184" t="s">
        <v>598</v>
      </c>
      <c r="AA1425" s="21" t="s">
        <v>610</v>
      </c>
      <c r="AB1425" s="176" t="s">
        <v>489</v>
      </c>
      <c r="AC1425" s="172">
        <v>42996.328472222223</v>
      </c>
      <c r="AD1425" s="32" t="s">
        <v>552</v>
      </c>
    </row>
    <row r="1426" spans="1:30">
      <c r="A1426" s="184">
        <v>1425</v>
      </c>
      <c r="B1426" s="184" t="s">
        <v>3456</v>
      </c>
      <c r="C1426" s="184" t="s">
        <v>598</v>
      </c>
      <c r="D1426" s="127">
        <v>42837</v>
      </c>
      <c r="E1426" s="127" t="s">
        <v>598</v>
      </c>
      <c r="F1426" s="184" t="s">
        <v>3457</v>
      </c>
      <c r="G1426" s="185">
        <v>0</v>
      </c>
      <c r="H1426" s="184" t="s">
        <v>598</v>
      </c>
      <c r="I1426" s="184" t="s">
        <v>134</v>
      </c>
      <c r="J1426" s="184" t="s">
        <v>84</v>
      </c>
      <c r="K1426" s="184" t="s">
        <v>264</v>
      </c>
      <c r="L1426" s="184" t="s">
        <v>598</v>
      </c>
      <c r="M1426" s="184" t="s">
        <v>50</v>
      </c>
      <c r="N1426" s="184" t="s">
        <v>79</v>
      </c>
      <c r="O1426" s="184" t="s">
        <v>79</v>
      </c>
      <c r="P1426" s="186"/>
      <c r="Q1426" s="184" t="s">
        <v>598</v>
      </c>
      <c r="R1426" s="184" t="s">
        <v>598</v>
      </c>
      <c r="S1426" s="127">
        <v>42856</v>
      </c>
      <c r="T1426" s="184" t="s">
        <v>10</v>
      </c>
      <c r="U1426" s="184" t="s">
        <v>598</v>
      </c>
      <c r="V1426" s="185">
        <v>4000</v>
      </c>
      <c r="W1426" s="184" t="s">
        <v>493</v>
      </c>
      <c r="X1426" s="184" t="s">
        <v>598</v>
      </c>
      <c r="Y1426" s="185">
        <v>0</v>
      </c>
      <c r="Z1426" s="184" t="s">
        <v>598</v>
      </c>
      <c r="AA1426" s="21" t="s">
        <v>610</v>
      </c>
      <c r="AB1426" s="176" t="s">
        <v>489</v>
      </c>
      <c r="AC1426" s="172">
        <v>42996.328472222223</v>
      </c>
      <c r="AD1426" s="32" t="s">
        <v>552</v>
      </c>
    </row>
    <row r="1427" spans="1:30">
      <c r="A1427" s="184">
        <v>1426</v>
      </c>
      <c r="B1427" s="184" t="s">
        <v>3458</v>
      </c>
      <c r="C1427" s="184" t="s">
        <v>598</v>
      </c>
      <c r="D1427" s="127">
        <v>42838</v>
      </c>
      <c r="E1427" s="127" t="s">
        <v>598</v>
      </c>
      <c r="F1427" s="184" t="s">
        <v>3459</v>
      </c>
      <c r="G1427" s="185">
        <v>0</v>
      </c>
      <c r="H1427" s="184" t="s">
        <v>598</v>
      </c>
      <c r="I1427" s="184" t="s">
        <v>134</v>
      </c>
      <c r="J1427" s="184" t="s">
        <v>84</v>
      </c>
      <c r="K1427" s="184" t="s">
        <v>28</v>
      </c>
      <c r="L1427" s="184" t="s">
        <v>598</v>
      </c>
      <c r="M1427" s="184" t="s">
        <v>598</v>
      </c>
      <c r="N1427" s="184" t="s">
        <v>79</v>
      </c>
      <c r="O1427" s="184" t="s">
        <v>112</v>
      </c>
      <c r="P1427" s="186" t="s">
        <v>73</v>
      </c>
      <c r="Q1427" s="184" t="s">
        <v>598</v>
      </c>
      <c r="R1427" s="184" t="s">
        <v>598</v>
      </c>
      <c r="S1427" s="127">
        <v>42871</v>
      </c>
      <c r="T1427" s="184" t="s">
        <v>10</v>
      </c>
      <c r="U1427" s="184" t="s">
        <v>598</v>
      </c>
      <c r="V1427" s="185">
        <v>3000</v>
      </c>
      <c r="W1427" s="184" t="s">
        <v>493</v>
      </c>
      <c r="X1427" s="184" t="s">
        <v>598</v>
      </c>
      <c r="Y1427" s="185">
        <v>0</v>
      </c>
      <c r="Z1427" s="184" t="s">
        <v>598</v>
      </c>
      <c r="AA1427" s="21" t="s">
        <v>610</v>
      </c>
      <c r="AB1427" s="176" t="s">
        <v>489</v>
      </c>
      <c r="AC1427" s="172">
        <v>42996.328472222223</v>
      </c>
      <c r="AD1427" s="32" t="s">
        <v>552</v>
      </c>
    </row>
    <row r="1428" spans="1:30">
      <c r="A1428" s="184">
        <v>1427</v>
      </c>
      <c r="B1428" s="184" t="s">
        <v>3460</v>
      </c>
      <c r="C1428" s="184" t="s">
        <v>598</v>
      </c>
      <c r="D1428" s="127">
        <v>42843</v>
      </c>
      <c r="E1428" s="127" t="s">
        <v>598</v>
      </c>
      <c r="F1428" s="184" t="s">
        <v>3461</v>
      </c>
      <c r="G1428" s="185">
        <v>0</v>
      </c>
      <c r="H1428" s="184" t="s">
        <v>598</v>
      </c>
      <c r="I1428" s="184" t="s">
        <v>120</v>
      </c>
      <c r="J1428" s="184" t="s">
        <v>84</v>
      </c>
      <c r="K1428" s="184" t="s">
        <v>264</v>
      </c>
      <c r="L1428" s="184" t="s">
        <v>598</v>
      </c>
      <c r="M1428" s="184" t="s">
        <v>50</v>
      </c>
      <c r="N1428" s="184" t="s">
        <v>79</v>
      </c>
      <c r="O1428" s="184" t="s">
        <v>79</v>
      </c>
      <c r="P1428" s="186" t="s">
        <v>601</v>
      </c>
      <c r="Q1428" s="184" t="s">
        <v>598</v>
      </c>
      <c r="R1428" s="184" t="s">
        <v>598</v>
      </c>
      <c r="S1428" s="127">
        <v>42856</v>
      </c>
      <c r="T1428" s="184" t="s">
        <v>10</v>
      </c>
      <c r="U1428" s="184" t="s">
        <v>598</v>
      </c>
      <c r="V1428" s="185">
        <v>8000</v>
      </c>
      <c r="W1428" s="184" t="s">
        <v>493</v>
      </c>
      <c r="X1428" s="184" t="s">
        <v>598</v>
      </c>
      <c r="Y1428" s="185">
        <v>0</v>
      </c>
      <c r="Z1428" s="184" t="s">
        <v>598</v>
      </c>
      <c r="AA1428" s="21" t="s">
        <v>610</v>
      </c>
      <c r="AB1428" s="176" t="s">
        <v>489</v>
      </c>
      <c r="AC1428" s="172">
        <v>42996.328472222223</v>
      </c>
      <c r="AD1428" s="32" t="s">
        <v>552</v>
      </c>
    </row>
    <row r="1429" spans="1:30">
      <c r="A1429" s="184">
        <v>1428</v>
      </c>
      <c r="B1429" s="184" t="s">
        <v>3462</v>
      </c>
      <c r="C1429" s="184" t="s">
        <v>598</v>
      </c>
      <c r="D1429" s="127">
        <v>42843</v>
      </c>
      <c r="E1429" s="127" t="s">
        <v>598</v>
      </c>
      <c r="F1429" s="184" t="s">
        <v>3463</v>
      </c>
      <c r="G1429" s="185">
        <v>0</v>
      </c>
      <c r="H1429" s="184" t="s">
        <v>598</v>
      </c>
      <c r="I1429" s="184" t="s">
        <v>134</v>
      </c>
      <c r="J1429" s="184" t="s">
        <v>84</v>
      </c>
      <c r="K1429" s="184" t="s">
        <v>265</v>
      </c>
      <c r="L1429" s="184" t="s">
        <v>598</v>
      </c>
      <c r="M1429" s="184" t="s">
        <v>50</v>
      </c>
      <c r="N1429" s="184" t="s">
        <v>79</v>
      </c>
      <c r="O1429" s="184" t="s">
        <v>112</v>
      </c>
      <c r="P1429" s="186" t="s">
        <v>32</v>
      </c>
      <c r="Q1429" s="184" t="s">
        <v>598</v>
      </c>
      <c r="R1429" s="184" t="s">
        <v>598</v>
      </c>
      <c r="S1429" s="127">
        <v>42856</v>
      </c>
      <c r="T1429" s="184" t="s">
        <v>10</v>
      </c>
      <c r="U1429" s="184" t="s">
        <v>598</v>
      </c>
      <c r="V1429" s="185">
        <v>3000</v>
      </c>
      <c r="W1429" s="184" t="s">
        <v>493</v>
      </c>
      <c r="X1429" s="184" t="s">
        <v>598</v>
      </c>
      <c r="Y1429" s="185">
        <v>0</v>
      </c>
      <c r="Z1429" s="184" t="s">
        <v>598</v>
      </c>
      <c r="AA1429" s="21" t="s">
        <v>610</v>
      </c>
      <c r="AB1429" s="176" t="s">
        <v>489</v>
      </c>
      <c r="AC1429" s="172">
        <v>42996.328472222223</v>
      </c>
      <c r="AD1429" s="32" t="s">
        <v>552</v>
      </c>
    </row>
    <row r="1430" spans="1:30">
      <c r="A1430" s="184">
        <v>1429</v>
      </c>
      <c r="B1430" s="184" t="s">
        <v>3464</v>
      </c>
      <c r="C1430" s="184" t="s">
        <v>598</v>
      </c>
      <c r="D1430" s="127">
        <v>42847</v>
      </c>
      <c r="E1430" s="127" t="s">
        <v>598</v>
      </c>
      <c r="F1430" s="184" t="s">
        <v>3465</v>
      </c>
      <c r="G1430" s="185">
        <v>0</v>
      </c>
      <c r="H1430" s="184" t="s">
        <v>598</v>
      </c>
      <c r="I1430" s="184" t="s">
        <v>598</v>
      </c>
      <c r="J1430" s="184" t="s">
        <v>84</v>
      </c>
      <c r="K1430" s="184" t="s">
        <v>3363</v>
      </c>
      <c r="L1430" s="184" t="s">
        <v>598</v>
      </c>
      <c r="M1430" s="184" t="s">
        <v>598</v>
      </c>
      <c r="N1430" s="184" t="s">
        <v>79</v>
      </c>
      <c r="O1430" s="184" t="s">
        <v>79</v>
      </c>
      <c r="P1430" s="186" t="s">
        <v>53</v>
      </c>
      <c r="Q1430" s="184" t="s">
        <v>598</v>
      </c>
      <c r="R1430" s="184" t="s">
        <v>598</v>
      </c>
      <c r="S1430" s="127">
        <v>42859</v>
      </c>
      <c r="T1430" s="184" t="s">
        <v>34</v>
      </c>
      <c r="U1430" s="184" t="s">
        <v>598</v>
      </c>
      <c r="V1430" s="185">
        <v>3000</v>
      </c>
      <c r="W1430" s="184" t="s">
        <v>493</v>
      </c>
      <c r="X1430" s="184" t="s">
        <v>598</v>
      </c>
      <c r="Y1430" s="185">
        <v>0</v>
      </c>
      <c r="Z1430" s="184" t="s">
        <v>598</v>
      </c>
      <c r="AA1430" s="21" t="s">
        <v>610</v>
      </c>
      <c r="AB1430" s="176" t="s">
        <v>489</v>
      </c>
      <c r="AC1430" s="172">
        <v>42996.328472222223</v>
      </c>
      <c r="AD1430" s="32" t="s">
        <v>552</v>
      </c>
    </row>
    <row r="1431" spans="1:30">
      <c r="A1431" s="184">
        <v>1430</v>
      </c>
      <c r="B1431" s="184" t="s">
        <v>3466</v>
      </c>
      <c r="C1431" s="184" t="s">
        <v>598</v>
      </c>
      <c r="D1431" s="127">
        <v>42849</v>
      </c>
      <c r="E1431" s="127" t="s">
        <v>598</v>
      </c>
      <c r="F1431" s="184" t="s">
        <v>3467</v>
      </c>
      <c r="G1431" s="185">
        <v>0</v>
      </c>
      <c r="H1431" s="184" t="s">
        <v>598</v>
      </c>
      <c r="I1431" s="184" t="s">
        <v>132</v>
      </c>
      <c r="J1431" s="184" t="s">
        <v>84</v>
      </c>
      <c r="K1431" s="184" t="s">
        <v>186</v>
      </c>
      <c r="L1431" s="184" t="s">
        <v>598</v>
      </c>
      <c r="M1431" s="184" t="s">
        <v>598</v>
      </c>
      <c r="N1431" s="184" t="s">
        <v>79</v>
      </c>
      <c r="O1431" s="184" t="s">
        <v>112</v>
      </c>
      <c r="P1431" s="186" t="s">
        <v>44</v>
      </c>
      <c r="Q1431" s="184" t="s">
        <v>598</v>
      </c>
      <c r="R1431" s="184" t="s">
        <v>598</v>
      </c>
      <c r="S1431" s="127">
        <v>42877</v>
      </c>
      <c r="T1431" s="184" t="s">
        <v>494</v>
      </c>
      <c r="U1431" s="184" t="s">
        <v>598</v>
      </c>
      <c r="V1431" s="185">
        <v>3000</v>
      </c>
      <c r="W1431" s="184" t="s">
        <v>493</v>
      </c>
      <c r="X1431" s="184" t="s">
        <v>598</v>
      </c>
      <c r="Y1431" s="185">
        <v>0</v>
      </c>
      <c r="Z1431" s="184" t="s">
        <v>598</v>
      </c>
      <c r="AA1431" s="21" t="s">
        <v>610</v>
      </c>
      <c r="AB1431" s="176" t="s">
        <v>489</v>
      </c>
      <c r="AC1431" s="172">
        <v>42996.328472222223</v>
      </c>
      <c r="AD1431" s="32" t="s">
        <v>552</v>
      </c>
    </row>
    <row r="1432" spans="1:30">
      <c r="A1432" s="184">
        <v>1431</v>
      </c>
      <c r="B1432" s="184" t="s">
        <v>3468</v>
      </c>
      <c r="C1432" s="184" t="s">
        <v>598</v>
      </c>
      <c r="D1432" s="127">
        <v>42851</v>
      </c>
      <c r="E1432" s="127" t="s">
        <v>598</v>
      </c>
      <c r="F1432" s="184" t="s">
        <v>3469</v>
      </c>
      <c r="G1432" s="185">
        <v>0</v>
      </c>
      <c r="H1432" s="184" t="s">
        <v>598</v>
      </c>
      <c r="I1432" s="184" t="s">
        <v>134</v>
      </c>
      <c r="J1432" s="184" t="s">
        <v>84</v>
      </c>
      <c r="K1432" s="184" t="s">
        <v>1520</v>
      </c>
      <c r="L1432" s="184" t="s">
        <v>598</v>
      </c>
      <c r="M1432" s="184" t="s">
        <v>598</v>
      </c>
      <c r="N1432" s="184" t="s">
        <v>79</v>
      </c>
      <c r="O1432" s="184" t="s">
        <v>112</v>
      </c>
      <c r="P1432" s="186" t="s">
        <v>67</v>
      </c>
      <c r="Q1432" s="184" t="s">
        <v>598</v>
      </c>
      <c r="R1432" s="184" t="s">
        <v>598</v>
      </c>
      <c r="S1432" s="127">
        <v>42867</v>
      </c>
      <c r="T1432" s="184" t="s">
        <v>34</v>
      </c>
      <c r="U1432" s="184" t="s">
        <v>598</v>
      </c>
      <c r="V1432" s="185">
        <v>3000</v>
      </c>
      <c r="W1432" s="184" t="s">
        <v>493</v>
      </c>
      <c r="X1432" s="184" t="s">
        <v>598</v>
      </c>
      <c r="Y1432" s="185">
        <v>0</v>
      </c>
      <c r="Z1432" s="184" t="s">
        <v>598</v>
      </c>
      <c r="AA1432" s="21" t="s">
        <v>610</v>
      </c>
      <c r="AB1432" s="176" t="s">
        <v>489</v>
      </c>
      <c r="AC1432" s="172">
        <v>42996.328472222223</v>
      </c>
      <c r="AD1432" s="32" t="s">
        <v>552</v>
      </c>
    </row>
    <row r="1433" spans="1:30">
      <c r="A1433" s="184">
        <v>1432</v>
      </c>
      <c r="B1433" s="184" t="s">
        <v>3470</v>
      </c>
      <c r="C1433" s="184" t="s">
        <v>598</v>
      </c>
      <c r="D1433" s="127">
        <v>42851</v>
      </c>
      <c r="E1433" s="127" t="s">
        <v>598</v>
      </c>
      <c r="F1433" s="184" t="s">
        <v>3471</v>
      </c>
      <c r="G1433" s="185">
        <v>0</v>
      </c>
      <c r="H1433" s="184" t="s">
        <v>598</v>
      </c>
      <c r="I1433" s="184" t="s">
        <v>134</v>
      </c>
      <c r="J1433" s="184" t="s">
        <v>84</v>
      </c>
      <c r="K1433" s="184" t="s">
        <v>265</v>
      </c>
      <c r="L1433" s="184" t="s">
        <v>598</v>
      </c>
      <c r="M1433" s="184" t="s">
        <v>50</v>
      </c>
      <c r="N1433" s="184" t="s">
        <v>79</v>
      </c>
      <c r="O1433" s="184" t="s">
        <v>79</v>
      </c>
      <c r="P1433" s="186" t="s">
        <v>602</v>
      </c>
      <c r="Q1433" s="184" t="s">
        <v>598</v>
      </c>
      <c r="R1433" s="184" t="s">
        <v>598</v>
      </c>
      <c r="S1433" s="127">
        <v>42856</v>
      </c>
      <c r="T1433" s="184" t="s">
        <v>10</v>
      </c>
      <c r="U1433" s="184" t="s">
        <v>598</v>
      </c>
      <c r="V1433" s="185">
        <v>8000</v>
      </c>
      <c r="W1433" s="184" t="s">
        <v>493</v>
      </c>
      <c r="X1433" s="184" t="s">
        <v>598</v>
      </c>
      <c r="Y1433" s="185">
        <v>0</v>
      </c>
      <c r="Z1433" s="184" t="s">
        <v>598</v>
      </c>
      <c r="AA1433" s="21" t="s">
        <v>610</v>
      </c>
      <c r="AB1433" s="176" t="s">
        <v>489</v>
      </c>
      <c r="AC1433" s="172">
        <v>42996.328472222223</v>
      </c>
      <c r="AD1433" s="32" t="s">
        <v>552</v>
      </c>
    </row>
    <row r="1434" spans="1:30">
      <c r="A1434" s="184">
        <v>1433</v>
      </c>
      <c r="B1434" s="184" t="s">
        <v>3472</v>
      </c>
      <c r="C1434" s="184" t="s">
        <v>598</v>
      </c>
      <c r="D1434" s="127">
        <v>42853</v>
      </c>
      <c r="E1434" s="127" t="s">
        <v>598</v>
      </c>
      <c r="F1434" s="184" t="s">
        <v>3473</v>
      </c>
      <c r="G1434" s="185">
        <v>0</v>
      </c>
      <c r="H1434" s="184" t="s">
        <v>598</v>
      </c>
      <c r="I1434" s="184" t="s">
        <v>134</v>
      </c>
      <c r="J1434" s="184" t="s">
        <v>84</v>
      </c>
      <c r="K1434" s="184" t="s">
        <v>462</v>
      </c>
      <c r="L1434" s="184" t="s">
        <v>598</v>
      </c>
      <c r="M1434" s="184" t="s">
        <v>598</v>
      </c>
      <c r="N1434" s="184" t="s">
        <v>79</v>
      </c>
      <c r="O1434" s="184" t="s">
        <v>112</v>
      </c>
      <c r="P1434" s="186" t="s">
        <v>603</v>
      </c>
      <c r="Q1434" s="184" t="s">
        <v>598</v>
      </c>
      <c r="R1434" s="184" t="s">
        <v>598</v>
      </c>
      <c r="S1434" s="127">
        <v>42867</v>
      </c>
      <c r="T1434" s="184" t="s">
        <v>34</v>
      </c>
      <c r="U1434" s="184" t="s">
        <v>598</v>
      </c>
      <c r="V1434" s="185">
        <v>3000</v>
      </c>
      <c r="W1434" s="184" t="s">
        <v>493</v>
      </c>
      <c r="X1434" s="184" t="s">
        <v>598</v>
      </c>
      <c r="Y1434" s="185">
        <v>0</v>
      </c>
      <c r="Z1434" s="184" t="s">
        <v>598</v>
      </c>
      <c r="AA1434" s="21" t="s">
        <v>610</v>
      </c>
      <c r="AB1434" s="176" t="s">
        <v>489</v>
      </c>
      <c r="AC1434" s="172">
        <v>42996.328472222223</v>
      </c>
      <c r="AD1434" s="32" t="s">
        <v>552</v>
      </c>
    </row>
    <row r="1435" spans="1:30">
      <c r="A1435" s="184">
        <v>1434</v>
      </c>
      <c r="B1435" s="184" t="s">
        <v>3474</v>
      </c>
      <c r="C1435" s="184" t="s">
        <v>598</v>
      </c>
      <c r="D1435" s="127">
        <v>42856</v>
      </c>
      <c r="E1435" s="127" t="s">
        <v>598</v>
      </c>
      <c r="F1435" s="184" t="s">
        <v>2477</v>
      </c>
      <c r="G1435" s="185">
        <v>10148000</v>
      </c>
      <c r="H1435" s="184" t="s">
        <v>598</v>
      </c>
      <c r="I1435" s="184" t="s">
        <v>118</v>
      </c>
      <c r="J1435" s="184" t="s">
        <v>551</v>
      </c>
      <c r="K1435" s="184" t="s">
        <v>3475</v>
      </c>
      <c r="L1435" s="184" t="s">
        <v>598</v>
      </c>
      <c r="M1435" s="184" t="s">
        <v>598</v>
      </c>
      <c r="N1435" s="184" t="s">
        <v>42</v>
      </c>
      <c r="O1435" s="184" t="s">
        <v>98</v>
      </c>
      <c r="P1435" s="186"/>
      <c r="Q1435" s="184" t="s">
        <v>598</v>
      </c>
      <c r="R1435" s="184" t="s">
        <v>804</v>
      </c>
      <c r="S1435" s="127">
        <v>42857</v>
      </c>
      <c r="T1435" s="184" t="s">
        <v>10</v>
      </c>
      <c r="U1435" s="184" t="s">
        <v>598</v>
      </c>
      <c r="V1435" s="185">
        <v>10000</v>
      </c>
      <c r="W1435" s="184" t="s">
        <v>493</v>
      </c>
      <c r="X1435" s="184" t="s">
        <v>598</v>
      </c>
      <c r="Y1435" s="185">
        <v>0</v>
      </c>
      <c r="Z1435" s="184" t="s">
        <v>598</v>
      </c>
      <c r="AA1435" s="21" t="s">
        <v>610</v>
      </c>
      <c r="AB1435" s="176" t="s">
        <v>489</v>
      </c>
      <c r="AC1435" s="172">
        <v>42996.328472222223</v>
      </c>
      <c r="AD1435" s="32" t="s">
        <v>552</v>
      </c>
    </row>
    <row r="1436" spans="1:30">
      <c r="A1436" s="184">
        <v>1435</v>
      </c>
      <c r="B1436" s="184" t="s">
        <v>3476</v>
      </c>
      <c r="C1436" s="184" t="s">
        <v>598</v>
      </c>
      <c r="D1436" s="127">
        <v>42856</v>
      </c>
      <c r="E1436" s="127" t="s">
        <v>598</v>
      </c>
      <c r="F1436" s="184" t="s">
        <v>3477</v>
      </c>
      <c r="G1436" s="185">
        <v>4145000</v>
      </c>
      <c r="H1436" s="184" t="s">
        <v>598</v>
      </c>
      <c r="I1436" s="184" t="s">
        <v>598</v>
      </c>
      <c r="J1436" s="184" t="s">
        <v>551</v>
      </c>
      <c r="K1436" s="184" t="s">
        <v>3475</v>
      </c>
      <c r="L1436" s="184" t="s">
        <v>598</v>
      </c>
      <c r="M1436" s="184" t="s">
        <v>598</v>
      </c>
      <c r="N1436" s="184" t="s">
        <v>42</v>
      </c>
      <c r="O1436" s="184" t="s">
        <v>98</v>
      </c>
      <c r="P1436" s="186" t="s">
        <v>605</v>
      </c>
      <c r="Q1436" s="184" t="s">
        <v>598</v>
      </c>
      <c r="R1436" s="184" t="s">
        <v>804</v>
      </c>
      <c r="S1436" s="127">
        <v>42856</v>
      </c>
      <c r="T1436" s="184" t="s">
        <v>34</v>
      </c>
      <c r="U1436" s="184" t="s">
        <v>598</v>
      </c>
      <c r="V1436" s="185">
        <v>3000</v>
      </c>
      <c r="W1436" s="184" t="s">
        <v>493</v>
      </c>
      <c r="X1436" s="184" t="s">
        <v>598</v>
      </c>
      <c r="Y1436" s="185">
        <v>0</v>
      </c>
      <c r="Z1436" s="184" t="s">
        <v>598</v>
      </c>
      <c r="AA1436" s="21" t="s">
        <v>610</v>
      </c>
      <c r="AB1436" s="176" t="s">
        <v>489</v>
      </c>
      <c r="AC1436" s="172">
        <v>42996.328472222223</v>
      </c>
      <c r="AD1436" s="32" t="s">
        <v>552</v>
      </c>
    </row>
    <row r="1437" spans="1:30">
      <c r="A1437" s="184">
        <v>1436</v>
      </c>
      <c r="B1437" s="184" t="s">
        <v>3478</v>
      </c>
      <c r="C1437" s="184" t="s">
        <v>598</v>
      </c>
      <c r="D1437" s="127">
        <v>42860</v>
      </c>
      <c r="E1437" s="127" t="s">
        <v>598</v>
      </c>
      <c r="F1437" s="184" t="s">
        <v>3479</v>
      </c>
      <c r="G1437" s="185">
        <v>9438000</v>
      </c>
      <c r="H1437" s="184" t="s">
        <v>598</v>
      </c>
      <c r="I1437" s="184" t="s">
        <v>3480</v>
      </c>
      <c r="J1437" s="184" t="s">
        <v>551</v>
      </c>
      <c r="K1437" s="184" t="s">
        <v>293</v>
      </c>
      <c r="L1437" s="184" t="s">
        <v>598</v>
      </c>
      <c r="M1437" s="184" t="s">
        <v>598</v>
      </c>
      <c r="N1437" s="184" t="s">
        <v>42</v>
      </c>
      <c r="O1437" s="184" t="s">
        <v>85</v>
      </c>
      <c r="P1437" s="186" t="s">
        <v>606</v>
      </c>
      <c r="Q1437" s="184" t="s">
        <v>598</v>
      </c>
      <c r="R1437" s="184" t="s">
        <v>804</v>
      </c>
      <c r="S1437" s="127">
        <v>42864</v>
      </c>
      <c r="T1437" s="184" t="s">
        <v>34</v>
      </c>
      <c r="U1437" s="184" t="s">
        <v>598</v>
      </c>
      <c r="V1437" s="185">
        <v>3000</v>
      </c>
      <c r="W1437" s="184" t="s">
        <v>493</v>
      </c>
      <c r="X1437" s="184" t="s">
        <v>598</v>
      </c>
      <c r="Y1437" s="185">
        <v>0</v>
      </c>
      <c r="Z1437" s="184" t="s">
        <v>598</v>
      </c>
      <c r="AA1437" s="21" t="s">
        <v>610</v>
      </c>
      <c r="AB1437" s="176" t="s">
        <v>489</v>
      </c>
      <c r="AC1437" s="172">
        <v>42996.328472222223</v>
      </c>
      <c r="AD1437" s="32" t="s">
        <v>552</v>
      </c>
    </row>
    <row r="1438" spans="1:30">
      <c r="A1438" s="184">
        <v>1437</v>
      </c>
      <c r="B1438" s="184" t="s">
        <v>3481</v>
      </c>
      <c r="C1438" s="184" t="s">
        <v>598</v>
      </c>
      <c r="D1438" s="127">
        <v>42873</v>
      </c>
      <c r="E1438" s="127" t="s">
        <v>598</v>
      </c>
      <c r="F1438" s="184" t="s">
        <v>3482</v>
      </c>
      <c r="G1438" s="185">
        <v>7225000</v>
      </c>
      <c r="H1438" s="184" t="s">
        <v>598</v>
      </c>
      <c r="I1438" s="184" t="s">
        <v>58</v>
      </c>
      <c r="J1438" s="184" t="s">
        <v>551</v>
      </c>
      <c r="K1438" s="184" t="s">
        <v>398</v>
      </c>
      <c r="L1438" s="184" t="s">
        <v>598</v>
      </c>
      <c r="M1438" s="184" t="s">
        <v>598</v>
      </c>
      <c r="N1438" s="184" t="s">
        <v>42</v>
      </c>
      <c r="O1438" s="184" t="s">
        <v>73</v>
      </c>
      <c r="P1438" s="186"/>
      <c r="Q1438" s="184" t="s">
        <v>598</v>
      </c>
      <c r="R1438" s="184" t="s">
        <v>804</v>
      </c>
      <c r="S1438" s="127">
        <v>42875</v>
      </c>
      <c r="T1438" s="184" t="s">
        <v>34</v>
      </c>
      <c r="U1438" s="184" t="s">
        <v>598</v>
      </c>
      <c r="V1438" s="185">
        <v>5000</v>
      </c>
      <c r="W1438" s="184" t="s">
        <v>493</v>
      </c>
      <c r="X1438" s="184" t="s">
        <v>598</v>
      </c>
      <c r="Y1438" s="185">
        <v>0</v>
      </c>
      <c r="Z1438" s="184" t="s">
        <v>598</v>
      </c>
      <c r="AA1438" s="21" t="s">
        <v>610</v>
      </c>
      <c r="AB1438" s="176" t="s">
        <v>489</v>
      </c>
      <c r="AC1438" s="172">
        <v>42996.328472222223</v>
      </c>
      <c r="AD1438" s="32" t="s">
        <v>552</v>
      </c>
    </row>
    <row r="1439" spans="1:30">
      <c r="A1439" s="184">
        <v>1438</v>
      </c>
      <c r="B1439" s="184" t="s">
        <v>3483</v>
      </c>
      <c r="C1439" s="184" t="s">
        <v>598</v>
      </c>
      <c r="D1439" s="127">
        <v>42878</v>
      </c>
      <c r="E1439" s="127" t="s">
        <v>598</v>
      </c>
      <c r="F1439" s="184" t="s">
        <v>3484</v>
      </c>
      <c r="G1439" s="185">
        <v>3805000</v>
      </c>
      <c r="H1439" s="184" t="s">
        <v>598</v>
      </c>
      <c r="I1439" s="184" t="s">
        <v>598</v>
      </c>
      <c r="J1439" s="184" t="s">
        <v>551</v>
      </c>
      <c r="K1439" s="184" t="s">
        <v>598</v>
      </c>
      <c r="L1439" s="184" t="s">
        <v>598</v>
      </c>
      <c r="M1439" s="184" t="s">
        <v>598</v>
      </c>
      <c r="N1439" s="184" t="s">
        <v>42</v>
      </c>
      <c r="O1439" s="184" t="s">
        <v>598</v>
      </c>
      <c r="P1439" s="186" t="s">
        <v>73</v>
      </c>
      <c r="Q1439" s="184" t="s">
        <v>598</v>
      </c>
      <c r="R1439" s="184" t="s">
        <v>804</v>
      </c>
      <c r="S1439" s="127">
        <v>42886</v>
      </c>
      <c r="T1439" s="184" t="s">
        <v>34</v>
      </c>
      <c r="U1439" s="184" t="s">
        <v>598</v>
      </c>
      <c r="V1439" s="185">
        <v>3000</v>
      </c>
      <c r="W1439" s="184" t="s">
        <v>493</v>
      </c>
      <c r="X1439" s="184" t="s">
        <v>598</v>
      </c>
      <c r="Y1439" s="185">
        <v>0</v>
      </c>
      <c r="Z1439" s="184" t="s">
        <v>598</v>
      </c>
      <c r="AA1439" s="21" t="s">
        <v>610</v>
      </c>
      <c r="AB1439" s="176" t="s">
        <v>489</v>
      </c>
      <c r="AC1439" s="172">
        <v>42996.328472222223</v>
      </c>
      <c r="AD1439" s="32" t="s">
        <v>552</v>
      </c>
    </row>
    <row r="1440" spans="1:30">
      <c r="A1440" s="184">
        <v>1439</v>
      </c>
      <c r="B1440" s="184" t="s">
        <v>3485</v>
      </c>
      <c r="C1440" s="184" t="s">
        <v>598</v>
      </c>
      <c r="D1440" s="127">
        <v>42886</v>
      </c>
      <c r="E1440" s="127" t="s">
        <v>598</v>
      </c>
      <c r="F1440" s="184" t="s">
        <v>3486</v>
      </c>
      <c r="G1440" s="185">
        <v>3000000</v>
      </c>
      <c r="H1440" s="184" t="s">
        <v>598</v>
      </c>
      <c r="I1440" s="184" t="s">
        <v>598</v>
      </c>
      <c r="J1440" s="184" t="s">
        <v>551</v>
      </c>
      <c r="K1440" s="184" t="s">
        <v>307</v>
      </c>
      <c r="L1440" s="184" t="s">
        <v>598</v>
      </c>
      <c r="M1440" s="184" t="s">
        <v>598</v>
      </c>
      <c r="N1440" s="184" t="s">
        <v>42</v>
      </c>
      <c r="O1440" s="184" t="s">
        <v>598</v>
      </c>
      <c r="P1440" s="186" t="s">
        <v>601</v>
      </c>
      <c r="Q1440" s="184" t="s">
        <v>598</v>
      </c>
      <c r="R1440" s="184" t="s">
        <v>804</v>
      </c>
      <c r="S1440" s="127">
        <v>42886</v>
      </c>
      <c r="T1440" s="184" t="s">
        <v>34</v>
      </c>
      <c r="U1440" s="184" t="s">
        <v>598</v>
      </c>
      <c r="V1440" s="185">
        <v>3000</v>
      </c>
      <c r="W1440" s="184" t="s">
        <v>493</v>
      </c>
      <c r="X1440" s="184" t="s">
        <v>598</v>
      </c>
      <c r="Y1440" s="185">
        <v>0</v>
      </c>
      <c r="Z1440" s="184" t="s">
        <v>598</v>
      </c>
      <c r="AA1440" s="21" t="s">
        <v>610</v>
      </c>
      <c r="AB1440" s="176" t="s">
        <v>489</v>
      </c>
      <c r="AC1440" s="172">
        <v>42996.328472222223</v>
      </c>
      <c r="AD1440" s="32" t="s">
        <v>552</v>
      </c>
    </row>
    <row r="1441" spans="1:30">
      <c r="A1441" s="184">
        <v>1440</v>
      </c>
      <c r="B1441" s="184" t="s">
        <v>3487</v>
      </c>
      <c r="C1441" s="184" t="s">
        <v>598</v>
      </c>
      <c r="D1441" s="127">
        <v>42886</v>
      </c>
      <c r="E1441" s="127" t="s">
        <v>598</v>
      </c>
      <c r="F1441" s="184" t="s">
        <v>3488</v>
      </c>
      <c r="G1441" s="185">
        <v>3830000</v>
      </c>
      <c r="H1441" s="184" t="s">
        <v>598</v>
      </c>
      <c r="I1441" s="184" t="s">
        <v>598</v>
      </c>
      <c r="J1441" s="184" t="s">
        <v>551</v>
      </c>
      <c r="K1441" s="184" t="s">
        <v>311</v>
      </c>
      <c r="L1441" s="184" t="s">
        <v>598</v>
      </c>
      <c r="M1441" s="184" t="s">
        <v>598</v>
      </c>
      <c r="N1441" s="184" t="s">
        <v>42</v>
      </c>
      <c r="O1441" s="184" t="s">
        <v>598</v>
      </c>
      <c r="P1441" s="186" t="s">
        <v>32</v>
      </c>
      <c r="Q1441" s="184" t="s">
        <v>598</v>
      </c>
      <c r="R1441" s="184" t="s">
        <v>804</v>
      </c>
      <c r="S1441" s="127">
        <v>42875</v>
      </c>
      <c r="T1441" s="184" t="s">
        <v>34</v>
      </c>
      <c r="U1441" s="184" t="s">
        <v>598</v>
      </c>
      <c r="V1441" s="185">
        <v>3500</v>
      </c>
      <c r="W1441" s="184" t="s">
        <v>493</v>
      </c>
      <c r="X1441" s="184" t="s">
        <v>598</v>
      </c>
      <c r="Y1441" s="185">
        <v>0</v>
      </c>
      <c r="Z1441" s="184" t="s">
        <v>598</v>
      </c>
      <c r="AA1441" s="21" t="s">
        <v>610</v>
      </c>
      <c r="AB1441" s="176" t="s">
        <v>489</v>
      </c>
      <c r="AC1441" s="172">
        <v>42996.328472222223</v>
      </c>
      <c r="AD1441" s="32" t="s">
        <v>552</v>
      </c>
    </row>
    <row r="1442" spans="1:30">
      <c r="A1442" s="184">
        <v>1441</v>
      </c>
      <c r="B1442" s="184" t="s">
        <v>3489</v>
      </c>
      <c r="C1442" s="184" t="s">
        <v>598</v>
      </c>
      <c r="D1442" s="127">
        <v>42812</v>
      </c>
      <c r="E1442" s="127" t="s">
        <v>598</v>
      </c>
      <c r="F1442" s="184" t="s">
        <v>3490</v>
      </c>
      <c r="G1442" s="185">
        <v>0</v>
      </c>
      <c r="H1442" s="184" t="s">
        <v>598</v>
      </c>
      <c r="I1442" s="184" t="s">
        <v>118</v>
      </c>
      <c r="J1442" s="184" t="s">
        <v>551</v>
      </c>
      <c r="K1442" s="184" t="s">
        <v>308</v>
      </c>
      <c r="L1442" s="184" t="s">
        <v>598</v>
      </c>
      <c r="M1442" s="184" t="s">
        <v>598</v>
      </c>
      <c r="N1442" s="184" t="s">
        <v>42</v>
      </c>
      <c r="O1442" s="184" t="s">
        <v>73</v>
      </c>
      <c r="P1442" s="186" t="s">
        <v>53</v>
      </c>
      <c r="Q1442" s="184" t="s">
        <v>598</v>
      </c>
      <c r="R1442" s="184" t="s">
        <v>598</v>
      </c>
      <c r="S1442" s="127">
        <v>42863</v>
      </c>
      <c r="T1442" s="184" t="s">
        <v>10</v>
      </c>
      <c r="U1442" s="184" t="s">
        <v>598</v>
      </c>
      <c r="V1442" s="185">
        <v>10000</v>
      </c>
      <c r="W1442" s="184" t="s">
        <v>493</v>
      </c>
      <c r="X1442" s="184" t="s">
        <v>598</v>
      </c>
      <c r="Y1442" s="185">
        <v>0</v>
      </c>
      <c r="Z1442" s="184" t="s">
        <v>598</v>
      </c>
      <c r="AA1442" s="21" t="s">
        <v>610</v>
      </c>
      <c r="AB1442" s="176" t="s">
        <v>489</v>
      </c>
      <c r="AC1442" s="172">
        <v>42996.328472222223</v>
      </c>
      <c r="AD1442" s="32" t="s">
        <v>552</v>
      </c>
    </row>
    <row r="1443" spans="1:30">
      <c r="A1443" s="184">
        <v>1442</v>
      </c>
      <c r="B1443" s="184" t="s">
        <v>3491</v>
      </c>
      <c r="C1443" s="184" t="s">
        <v>598</v>
      </c>
      <c r="D1443" s="127">
        <v>42819</v>
      </c>
      <c r="E1443" s="127" t="s">
        <v>598</v>
      </c>
      <c r="F1443" s="184" t="s">
        <v>3492</v>
      </c>
      <c r="G1443" s="185">
        <v>0</v>
      </c>
      <c r="H1443" s="184" t="s">
        <v>598</v>
      </c>
      <c r="I1443" s="184" t="s">
        <v>58</v>
      </c>
      <c r="J1443" s="184" t="s">
        <v>551</v>
      </c>
      <c r="K1443" s="184" t="s">
        <v>311</v>
      </c>
      <c r="L1443" s="184" t="s">
        <v>598</v>
      </c>
      <c r="M1443" s="184" t="s">
        <v>598</v>
      </c>
      <c r="N1443" s="184" t="s">
        <v>42</v>
      </c>
      <c r="O1443" s="184" t="s">
        <v>73</v>
      </c>
      <c r="P1443" s="186" t="s">
        <v>44</v>
      </c>
      <c r="Q1443" s="184" t="s">
        <v>598</v>
      </c>
      <c r="R1443" s="184" t="s">
        <v>598</v>
      </c>
      <c r="S1443" s="127">
        <v>42863</v>
      </c>
      <c r="T1443" s="184" t="s">
        <v>10</v>
      </c>
      <c r="U1443" s="184" t="s">
        <v>598</v>
      </c>
      <c r="V1443" s="185">
        <v>10000</v>
      </c>
      <c r="W1443" s="184" t="s">
        <v>493</v>
      </c>
      <c r="X1443" s="184" t="s">
        <v>598</v>
      </c>
      <c r="Y1443" s="185">
        <v>0</v>
      </c>
      <c r="Z1443" s="184" t="s">
        <v>598</v>
      </c>
      <c r="AA1443" s="21" t="s">
        <v>610</v>
      </c>
      <c r="AB1443" s="176" t="s">
        <v>489</v>
      </c>
      <c r="AC1443" s="172">
        <v>42996.328472222223</v>
      </c>
      <c r="AD1443" s="32" t="s">
        <v>552</v>
      </c>
    </row>
    <row r="1444" spans="1:30">
      <c r="A1444" s="184">
        <v>1443</v>
      </c>
      <c r="B1444" s="184" t="s">
        <v>3493</v>
      </c>
      <c r="C1444" s="184" t="s">
        <v>598</v>
      </c>
      <c r="D1444" s="127">
        <v>42819</v>
      </c>
      <c r="E1444" s="127" t="s">
        <v>598</v>
      </c>
      <c r="F1444" s="184" t="s">
        <v>3494</v>
      </c>
      <c r="G1444" s="185">
        <v>0</v>
      </c>
      <c r="H1444" s="184" t="s">
        <v>598</v>
      </c>
      <c r="I1444" s="184" t="s">
        <v>58</v>
      </c>
      <c r="J1444" s="184" t="s">
        <v>551</v>
      </c>
      <c r="K1444" s="184" t="s">
        <v>311</v>
      </c>
      <c r="L1444" s="184" t="s">
        <v>598</v>
      </c>
      <c r="M1444" s="184" t="s">
        <v>598</v>
      </c>
      <c r="N1444" s="184" t="s">
        <v>42</v>
      </c>
      <c r="O1444" s="184" t="s">
        <v>73</v>
      </c>
      <c r="P1444" s="186" t="s">
        <v>67</v>
      </c>
      <c r="Q1444" s="184" t="s">
        <v>598</v>
      </c>
      <c r="R1444" s="184" t="s">
        <v>598</v>
      </c>
      <c r="S1444" s="127">
        <v>42863</v>
      </c>
      <c r="T1444" s="184" t="s">
        <v>10</v>
      </c>
      <c r="U1444" s="184" t="s">
        <v>598</v>
      </c>
      <c r="V1444" s="185">
        <v>10000</v>
      </c>
      <c r="W1444" s="184" t="s">
        <v>493</v>
      </c>
      <c r="X1444" s="184" t="s">
        <v>598</v>
      </c>
      <c r="Y1444" s="185">
        <v>0</v>
      </c>
      <c r="Z1444" s="184" t="s">
        <v>598</v>
      </c>
      <c r="AA1444" s="21" t="s">
        <v>610</v>
      </c>
      <c r="AB1444" s="176" t="s">
        <v>489</v>
      </c>
      <c r="AC1444" s="172">
        <v>42996.328472222223</v>
      </c>
      <c r="AD1444" s="32" t="s">
        <v>552</v>
      </c>
    </row>
    <row r="1445" spans="1:30">
      <c r="A1445" s="184">
        <v>1444</v>
      </c>
      <c r="B1445" s="184" t="s">
        <v>3495</v>
      </c>
      <c r="C1445" s="184" t="s">
        <v>598</v>
      </c>
      <c r="D1445" s="127">
        <v>42819</v>
      </c>
      <c r="E1445" s="127" t="s">
        <v>598</v>
      </c>
      <c r="F1445" s="184" t="s">
        <v>3496</v>
      </c>
      <c r="G1445" s="185">
        <v>0</v>
      </c>
      <c r="H1445" s="184" t="s">
        <v>598</v>
      </c>
      <c r="I1445" s="184" t="s">
        <v>58</v>
      </c>
      <c r="J1445" s="184" t="s">
        <v>551</v>
      </c>
      <c r="K1445" s="184" t="s">
        <v>189</v>
      </c>
      <c r="L1445" s="184" t="s">
        <v>598</v>
      </c>
      <c r="M1445" s="184" t="s">
        <v>598</v>
      </c>
      <c r="N1445" s="184" t="s">
        <v>42</v>
      </c>
      <c r="O1445" s="184" t="s">
        <v>598</v>
      </c>
      <c r="P1445" s="186" t="s">
        <v>602</v>
      </c>
      <c r="Q1445" s="184" t="s">
        <v>598</v>
      </c>
      <c r="R1445" s="184" t="s">
        <v>598</v>
      </c>
      <c r="S1445" s="127">
        <v>42863</v>
      </c>
      <c r="T1445" s="184" t="s">
        <v>10</v>
      </c>
      <c r="U1445" s="184" t="s">
        <v>598</v>
      </c>
      <c r="V1445" s="185">
        <v>6750</v>
      </c>
      <c r="W1445" s="184" t="s">
        <v>493</v>
      </c>
      <c r="X1445" s="184" t="s">
        <v>598</v>
      </c>
      <c r="Y1445" s="185">
        <v>0</v>
      </c>
      <c r="Z1445" s="184" t="s">
        <v>598</v>
      </c>
      <c r="AA1445" s="21" t="s">
        <v>610</v>
      </c>
      <c r="AB1445" s="176" t="s">
        <v>489</v>
      </c>
      <c r="AC1445" s="172">
        <v>42996.328472222223</v>
      </c>
      <c r="AD1445" s="32" t="s">
        <v>552</v>
      </c>
    </row>
    <row r="1446" spans="1:30">
      <c r="A1446" s="184">
        <v>1445</v>
      </c>
      <c r="B1446" s="184" t="s">
        <v>3497</v>
      </c>
      <c r="C1446" s="184" t="s">
        <v>598</v>
      </c>
      <c r="D1446" s="127">
        <v>42819</v>
      </c>
      <c r="E1446" s="127" t="s">
        <v>598</v>
      </c>
      <c r="F1446" s="184" t="s">
        <v>3498</v>
      </c>
      <c r="G1446" s="185">
        <v>0</v>
      </c>
      <c r="H1446" s="184" t="s">
        <v>598</v>
      </c>
      <c r="I1446" s="184" t="s">
        <v>58</v>
      </c>
      <c r="J1446" s="184" t="s">
        <v>551</v>
      </c>
      <c r="K1446" s="184" t="s">
        <v>189</v>
      </c>
      <c r="L1446" s="184" t="s">
        <v>598</v>
      </c>
      <c r="M1446" s="184" t="s">
        <v>598</v>
      </c>
      <c r="N1446" s="184" t="s">
        <v>42</v>
      </c>
      <c r="O1446" s="184" t="s">
        <v>598</v>
      </c>
      <c r="P1446" s="186" t="s">
        <v>603</v>
      </c>
      <c r="Q1446" s="184" t="s">
        <v>598</v>
      </c>
      <c r="R1446" s="184" t="s">
        <v>804</v>
      </c>
      <c r="S1446" s="127">
        <v>42863</v>
      </c>
      <c r="T1446" s="184" t="s">
        <v>10</v>
      </c>
      <c r="U1446" s="184" t="s">
        <v>598</v>
      </c>
      <c r="V1446" s="185">
        <v>6750</v>
      </c>
      <c r="W1446" s="184" t="s">
        <v>493</v>
      </c>
      <c r="X1446" s="184" t="s">
        <v>598</v>
      </c>
      <c r="Y1446" s="185">
        <v>0</v>
      </c>
      <c r="Z1446" s="184" t="s">
        <v>598</v>
      </c>
      <c r="AA1446" s="21" t="s">
        <v>610</v>
      </c>
      <c r="AB1446" s="176" t="s">
        <v>489</v>
      </c>
      <c r="AC1446" s="172">
        <v>42996.328472222223</v>
      </c>
      <c r="AD1446" s="32" t="s">
        <v>552</v>
      </c>
    </row>
    <row r="1447" spans="1:30">
      <c r="A1447" s="184">
        <v>1446</v>
      </c>
      <c r="B1447" s="184" t="s">
        <v>3499</v>
      </c>
      <c r="C1447" s="184" t="s">
        <v>598</v>
      </c>
      <c r="D1447" s="127">
        <v>42819</v>
      </c>
      <c r="E1447" s="127" t="s">
        <v>598</v>
      </c>
      <c r="F1447" s="184" t="s">
        <v>3498</v>
      </c>
      <c r="G1447" s="185">
        <v>0</v>
      </c>
      <c r="H1447" s="184" t="s">
        <v>598</v>
      </c>
      <c r="I1447" s="184" t="s">
        <v>58</v>
      </c>
      <c r="J1447" s="184" t="s">
        <v>551</v>
      </c>
      <c r="K1447" s="184" t="s">
        <v>189</v>
      </c>
      <c r="L1447" s="184" t="s">
        <v>598</v>
      </c>
      <c r="M1447" s="184" t="s">
        <v>598</v>
      </c>
      <c r="N1447" s="184" t="s">
        <v>42</v>
      </c>
      <c r="O1447" s="184" t="s">
        <v>598</v>
      </c>
      <c r="P1447" s="186"/>
      <c r="Q1447" s="184" t="s">
        <v>598</v>
      </c>
      <c r="R1447" s="184" t="s">
        <v>598</v>
      </c>
      <c r="S1447" s="127">
        <v>42863</v>
      </c>
      <c r="T1447" s="184" t="s">
        <v>10</v>
      </c>
      <c r="U1447" s="184" t="s">
        <v>598</v>
      </c>
      <c r="V1447" s="185">
        <v>6750</v>
      </c>
      <c r="W1447" s="184" t="s">
        <v>493</v>
      </c>
      <c r="X1447" s="184" t="s">
        <v>598</v>
      </c>
      <c r="Y1447" s="185">
        <v>0</v>
      </c>
      <c r="Z1447" s="184" t="s">
        <v>598</v>
      </c>
      <c r="AA1447" s="21" t="s">
        <v>610</v>
      </c>
      <c r="AB1447" s="176" t="s">
        <v>489</v>
      </c>
      <c r="AC1447" s="172">
        <v>42996.328472222223</v>
      </c>
      <c r="AD1447" s="32" t="s">
        <v>552</v>
      </c>
    </row>
    <row r="1448" spans="1:30">
      <c r="A1448" s="184">
        <v>1447</v>
      </c>
      <c r="B1448" s="184" t="s">
        <v>3500</v>
      </c>
      <c r="C1448" s="184" t="s">
        <v>598</v>
      </c>
      <c r="D1448" s="127">
        <v>42819</v>
      </c>
      <c r="E1448" s="127" t="s">
        <v>598</v>
      </c>
      <c r="F1448" s="184" t="s">
        <v>3498</v>
      </c>
      <c r="G1448" s="185">
        <v>0</v>
      </c>
      <c r="H1448" s="184" t="s">
        <v>598</v>
      </c>
      <c r="I1448" s="184" t="s">
        <v>58</v>
      </c>
      <c r="J1448" s="184" t="s">
        <v>551</v>
      </c>
      <c r="K1448" s="184" t="s">
        <v>189</v>
      </c>
      <c r="L1448" s="184" t="s">
        <v>598</v>
      </c>
      <c r="M1448" s="184" t="s">
        <v>598</v>
      </c>
      <c r="N1448" s="184" t="s">
        <v>42</v>
      </c>
      <c r="O1448" s="184" t="s">
        <v>598</v>
      </c>
      <c r="P1448" s="186" t="s">
        <v>605</v>
      </c>
      <c r="Q1448" s="184" t="s">
        <v>598</v>
      </c>
      <c r="R1448" s="184" t="s">
        <v>804</v>
      </c>
      <c r="S1448" s="127">
        <v>42863</v>
      </c>
      <c r="T1448" s="184" t="s">
        <v>10</v>
      </c>
      <c r="U1448" s="184" t="s">
        <v>598</v>
      </c>
      <c r="V1448" s="185">
        <v>6750</v>
      </c>
      <c r="W1448" s="184" t="s">
        <v>493</v>
      </c>
      <c r="X1448" s="184" t="s">
        <v>598</v>
      </c>
      <c r="Y1448" s="185">
        <v>0</v>
      </c>
      <c r="Z1448" s="184" t="s">
        <v>598</v>
      </c>
      <c r="AA1448" s="21" t="s">
        <v>610</v>
      </c>
      <c r="AB1448" s="176" t="s">
        <v>489</v>
      </c>
      <c r="AC1448" s="172">
        <v>42996.328472222223</v>
      </c>
      <c r="AD1448" s="32" t="s">
        <v>552</v>
      </c>
    </row>
    <row r="1449" spans="1:30">
      <c r="A1449" s="184">
        <v>1448</v>
      </c>
      <c r="B1449" s="184" t="s">
        <v>3501</v>
      </c>
      <c r="C1449" s="184" t="s">
        <v>598</v>
      </c>
      <c r="D1449" s="127">
        <v>42837</v>
      </c>
      <c r="E1449" s="127" t="s">
        <v>598</v>
      </c>
      <c r="F1449" s="184" t="s">
        <v>3502</v>
      </c>
      <c r="G1449" s="185">
        <v>0</v>
      </c>
      <c r="H1449" s="184" t="s">
        <v>598</v>
      </c>
      <c r="I1449" s="184" t="s">
        <v>58</v>
      </c>
      <c r="J1449" s="184" t="s">
        <v>551</v>
      </c>
      <c r="K1449" s="184" t="s">
        <v>311</v>
      </c>
      <c r="L1449" s="184" t="s">
        <v>598</v>
      </c>
      <c r="M1449" s="184" t="s">
        <v>598</v>
      </c>
      <c r="N1449" s="184" t="s">
        <v>42</v>
      </c>
      <c r="O1449" s="184" t="s">
        <v>73</v>
      </c>
      <c r="P1449" s="186" t="s">
        <v>606</v>
      </c>
      <c r="Q1449" s="184" t="s">
        <v>598</v>
      </c>
      <c r="R1449" s="184" t="s">
        <v>598</v>
      </c>
      <c r="S1449" s="127">
        <v>42863</v>
      </c>
      <c r="T1449" s="184" t="s">
        <v>10</v>
      </c>
      <c r="U1449" s="184" t="s">
        <v>598</v>
      </c>
      <c r="V1449" s="185">
        <v>10000</v>
      </c>
      <c r="W1449" s="184" t="s">
        <v>493</v>
      </c>
      <c r="X1449" s="184" t="s">
        <v>598</v>
      </c>
      <c r="Y1449" s="185">
        <v>0</v>
      </c>
      <c r="Z1449" s="184" t="s">
        <v>598</v>
      </c>
      <c r="AA1449" s="21" t="s">
        <v>610</v>
      </c>
      <c r="AB1449" s="176" t="s">
        <v>489</v>
      </c>
      <c r="AC1449" s="172">
        <v>42996.328472222223</v>
      </c>
      <c r="AD1449" s="32" t="s">
        <v>552</v>
      </c>
    </row>
    <row r="1450" spans="1:30">
      <c r="A1450" s="184">
        <v>1449</v>
      </c>
      <c r="B1450" s="184" t="s">
        <v>3503</v>
      </c>
      <c r="C1450" s="184" t="s">
        <v>598</v>
      </c>
      <c r="D1450" s="127">
        <v>42860</v>
      </c>
      <c r="E1450" s="127" t="s">
        <v>598</v>
      </c>
      <c r="F1450" s="184" t="s">
        <v>3504</v>
      </c>
      <c r="G1450" s="185">
        <v>8521000</v>
      </c>
      <c r="H1450" s="184" t="s">
        <v>598</v>
      </c>
      <c r="I1450" s="184" t="s">
        <v>598</v>
      </c>
      <c r="J1450" s="184" t="s">
        <v>111</v>
      </c>
      <c r="K1450" s="184" t="s">
        <v>598</v>
      </c>
      <c r="L1450" s="184" t="s">
        <v>598</v>
      </c>
      <c r="M1450" s="184" t="s">
        <v>598</v>
      </c>
      <c r="N1450" s="184" t="s">
        <v>63</v>
      </c>
      <c r="O1450" s="184" t="s">
        <v>63</v>
      </c>
      <c r="P1450" s="186"/>
      <c r="Q1450" s="184" t="s">
        <v>598</v>
      </c>
      <c r="R1450" s="184" t="s">
        <v>598</v>
      </c>
      <c r="S1450" s="127">
        <v>42884</v>
      </c>
      <c r="T1450" s="184" t="s">
        <v>10</v>
      </c>
      <c r="U1450" s="184" t="s">
        <v>598</v>
      </c>
      <c r="V1450" s="185">
        <v>7500</v>
      </c>
      <c r="W1450" s="184" t="s">
        <v>493</v>
      </c>
      <c r="X1450" s="184">
        <v>4026</v>
      </c>
      <c r="Y1450" s="185">
        <v>7500</v>
      </c>
      <c r="Z1450" s="184" t="s">
        <v>598</v>
      </c>
      <c r="AA1450" s="21" t="s">
        <v>610</v>
      </c>
      <c r="AB1450" s="176" t="s">
        <v>489</v>
      </c>
      <c r="AC1450" s="172">
        <v>42996.328472222223</v>
      </c>
      <c r="AD1450" s="32" t="s">
        <v>552</v>
      </c>
    </row>
    <row r="1451" spans="1:30">
      <c r="A1451" s="184">
        <v>1450</v>
      </c>
      <c r="B1451" s="184" t="s">
        <v>3505</v>
      </c>
      <c r="C1451" s="184" t="s">
        <v>598</v>
      </c>
      <c r="D1451" s="127">
        <v>42860</v>
      </c>
      <c r="E1451" s="127" t="s">
        <v>598</v>
      </c>
      <c r="F1451" s="184" t="s">
        <v>3504</v>
      </c>
      <c r="G1451" s="185">
        <v>17215000</v>
      </c>
      <c r="H1451" s="184" t="s">
        <v>598</v>
      </c>
      <c r="I1451" s="184" t="s">
        <v>598</v>
      </c>
      <c r="J1451" s="184" t="s">
        <v>111</v>
      </c>
      <c r="K1451" s="184" t="s">
        <v>598</v>
      </c>
      <c r="L1451" s="184" t="s">
        <v>598</v>
      </c>
      <c r="M1451" s="184" t="s">
        <v>598</v>
      </c>
      <c r="N1451" s="184" t="s">
        <v>63</v>
      </c>
      <c r="O1451" s="184" t="s">
        <v>63</v>
      </c>
      <c r="P1451" s="186" t="s">
        <v>73</v>
      </c>
      <c r="Q1451" s="184" t="s">
        <v>598</v>
      </c>
      <c r="R1451" s="184" t="s">
        <v>598</v>
      </c>
      <c r="S1451" s="127">
        <v>42884</v>
      </c>
      <c r="T1451" s="184" t="s">
        <v>10</v>
      </c>
      <c r="U1451" s="184" t="s">
        <v>598</v>
      </c>
      <c r="V1451" s="185">
        <v>7500</v>
      </c>
      <c r="W1451" s="184" t="s">
        <v>493</v>
      </c>
      <c r="X1451" s="184">
        <v>4026</v>
      </c>
      <c r="Y1451" s="185">
        <v>7500</v>
      </c>
      <c r="Z1451" s="184" t="s">
        <v>598</v>
      </c>
      <c r="AA1451" s="21" t="s">
        <v>610</v>
      </c>
      <c r="AB1451" s="176" t="s">
        <v>489</v>
      </c>
      <c r="AC1451" s="172">
        <v>42996.328472222223</v>
      </c>
      <c r="AD1451" s="32" t="s">
        <v>552</v>
      </c>
    </row>
    <row r="1452" spans="1:30">
      <c r="A1452" s="184">
        <v>1451</v>
      </c>
      <c r="B1452" s="184" t="s">
        <v>3506</v>
      </c>
      <c r="C1452" s="184" t="s">
        <v>598</v>
      </c>
      <c r="D1452" s="127">
        <v>42864</v>
      </c>
      <c r="E1452" s="127" t="s">
        <v>598</v>
      </c>
      <c r="F1452" s="184" t="s">
        <v>3507</v>
      </c>
      <c r="G1452" s="185">
        <v>3213000</v>
      </c>
      <c r="H1452" s="184" t="s">
        <v>598</v>
      </c>
      <c r="I1452" s="184" t="s">
        <v>598</v>
      </c>
      <c r="J1452" s="184" t="s">
        <v>111</v>
      </c>
      <c r="K1452" s="184" t="s">
        <v>222</v>
      </c>
      <c r="L1452" s="184" t="s">
        <v>598</v>
      </c>
      <c r="M1452" s="184" t="s">
        <v>598</v>
      </c>
      <c r="N1452" s="184" t="s">
        <v>63</v>
      </c>
      <c r="O1452" s="184" t="s">
        <v>63</v>
      </c>
      <c r="P1452" s="186" t="s">
        <v>601</v>
      </c>
      <c r="Q1452" s="184" t="s">
        <v>598</v>
      </c>
      <c r="R1452" s="184" t="s">
        <v>598</v>
      </c>
      <c r="S1452" s="127">
        <v>42871</v>
      </c>
      <c r="T1452" s="184" t="s">
        <v>34</v>
      </c>
      <c r="U1452" s="184" t="s">
        <v>598</v>
      </c>
      <c r="V1452" s="185">
        <v>4000</v>
      </c>
      <c r="W1452" s="184" t="s">
        <v>493</v>
      </c>
      <c r="X1452" s="184" t="s">
        <v>598</v>
      </c>
      <c r="Y1452" s="185">
        <v>0</v>
      </c>
      <c r="Z1452" s="184" t="s">
        <v>598</v>
      </c>
      <c r="AA1452" s="21" t="s">
        <v>610</v>
      </c>
      <c r="AB1452" s="176" t="s">
        <v>489</v>
      </c>
      <c r="AC1452" s="172">
        <v>42996.328472222223</v>
      </c>
      <c r="AD1452" s="32" t="s">
        <v>552</v>
      </c>
    </row>
    <row r="1453" spans="1:30">
      <c r="A1453" s="184">
        <v>1452</v>
      </c>
      <c r="B1453" s="184" t="s">
        <v>3508</v>
      </c>
      <c r="C1453" s="184" t="s">
        <v>598</v>
      </c>
      <c r="D1453" s="127">
        <v>42864</v>
      </c>
      <c r="E1453" s="127" t="s">
        <v>598</v>
      </c>
      <c r="F1453" s="184" t="s">
        <v>3509</v>
      </c>
      <c r="G1453" s="185">
        <v>0</v>
      </c>
      <c r="H1453" s="184" t="s">
        <v>598</v>
      </c>
      <c r="I1453" s="184" t="s">
        <v>598</v>
      </c>
      <c r="J1453" s="184" t="s">
        <v>111</v>
      </c>
      <c r="K1453" s="184" t="s">
        <v>598</v>
      </c>
      <c r="L1453" s="184" t="s">
        <v>598</v>
      </c>
      <c r="M1453" s="184" t="s">
        <v>598</v>
      </c>
      <c r="N1453" s="184" t="s">
        <v>63</v>
      </c>
      <c r="O1453" s="184" t="s">
        <v>86</v>
      </c>
      <c r="P1453" s="186" t="s">
        <v>32</v>
      </c>
      <c r="Q1453" s="184" t="s">
        <v>598</v>
      </c>
      <c r="R1453" s="184" t="s">
        <v>598</v>
      </c>
      <c r="S1453" s="127">
        <v>42865</v>
      </c>
      <c r="T1453" s="184" t="s">
        <v>34</v>
      </c>
      <c r="U1453" s="184" t="s">
        <v>598</v>
      </c>
      <c r="V1453" s="185">
        <v>3000</v>
      </c>
      <c r="W1453" s="184" t="s">
        <v>493</v>
      </c>
      <c r="X1453" s="184" t="s">
        <v>598</v>
      </c>
      <c r="Y1453" s="185">
        <v>0</v>
      </c>
      <c r="Z1453" s="184" t="s">
        <v>598</v>
      </c>
      <c r="AA1453" s="21" t="s">
        <v>610</v>
      </c>
      <c r="AB1453" s="176" t="s">
        <v>489</v>
      </c>
      <c r="AC1453" s="172">
        <v>42996.328472222223</v>
      </c>
      <c r="AD1453" s="32" t="s">
        <v>552</v>
      </c>
    </row>
    <row r="1454" spans="1:30">
      <c r="A1454" s="184">
        <v>1453</v>
      </c>
      <c r="B1454" s="184" t="s">
        <v>3510</v>
      </c>
      <c r="C1454" s="184" t="s">
        <v>598</v>
      </c>
      <c r="D1454" s="127">
        <v>42830</v>
      </c>
      <c r="E1454" s="127" t="s">
        <v>598</v>
      </c>
      <c r="F1454" s="184" t="s">
        <v>3511</v>
      </c>
      <c r="G1454" s="185">
        <v>0</v>
      </c>
      <c r="H1454" s="184" t="s">
        <v>598</v>
      </c>
      <c r="I1454" s="184" t="s">
        <v>598</v>
      </c>
      <c r="J1454" s="184" t="s">
        <v>116</v>
      </c>
      <c r="K1454" s="184" t="s">
        <v>299</v>
      </c>
      <c r="L1454" s="184" t="s">
        <v>598</v>
      </c>
      <c r="M1454" s="184" t="s">
        <v>598</v>
      </c>
      <c r="N1454" s="184" t="s">
        <v>63</v>
      </c>
      <c r="O1454" s="184" t="s">
        <v>63</v>
      </c>
      <c r="P1454" s="186" t="s">
        <v>53</v>
      </c>
      <c r="Q1454" s="184" t="s">
        <v>598</v>
      </c>
      <c r="R1454" s="184" t="s">
        <v>598</v>
      </c>
      <c r="S1454" s="127">
        <v>42857</v>
      </c>
      <c r="T1454" s="184" t="s">
        <v>10</v>
      </c>
      <c r="U1454" s="184" t="s">
        <v>598</v>
      </c>
      <c r="V1454" s="185">
        <v>5000</v>
      </c>
      <c r="W1454" s="184" t="s">
        <v>493</v>
      </c>
      <c r="X1454" s="184">
        <v>3871</v>
      </c>
      <c r="Y1454" s="185">
        <v>5000</v>
      </c>
      <c r="Z1454" s="184" t="s">
        <v>598</v>
      </c>
      <c r="AA1454" s="21" t="s">
        <v>610</v>
      </c>
      <c r="AB1454" s="176" t="s">
        <v>489</v>
      </c>
      <c r="AC1454" s="172">
        <v>42996.328472222223</v>
      </c>
      <c r="AD1454" s="32" t="s">
        <v>552</v>
      </c>
    </row>
    <row r="1455" spans="1:30">
      <c r="A1455" s="184">
        <v>1454</v>
      </c>
      <c r="B1455" s="184" t="s">
        <v>3512</v>
      </c>
      <c r="C1455" s="184" t="s">
        <v>598</v>
      </c>
      <c r="D1455" s="127">
        <v>42873</v>
      </c>
      <c r="E1455" s="127" t="s">
        <v>598</v>
      </c>
      <c r="F1455" s="184" t="s">
        <v>1756</v>
      </c>
      <c r="G1455" s="185">
        <v>5044000</v>
      </c>
      <c r="H1455" s="184" t="s">
        <v>598</v>
      </c>
      <c r="I1455" s="184" t="s">
        <v>598</v>
      </c>
      <c r="J1455" s="184" t="s">
        <v>119</v>
      </c>
      <c r="K1455" s="184" t="s">
        <v>299</v>
      </c>
      <c r="L1455" s="184" t="s">
        <v>598</v>
      </c>
      <c r="M1455" s="184" t="s">
        <v>598</v>
      </c>
      <c r="N1455" s="184" t="s">
        <v>63</v>
      </c>
      <c r="O1455" s="184" t="s">
        <v>86</v>
      </c>
      <c r="P1455" s="186" t="s">
        <v>44</v>
      </c>
      <c r="Q1455" s="184" t="s">
        <v>598</v>
      </c>
      <c r="R1455" s="184" t="s">
        <v>598</v>
      </c>
      <c r="S1455" s="127">
        <v>42884</v>
      </c>
      <c r="T1455" s="184" t="s">
        <v>10</v>
      </c>
      <c r="U1455" s="184" t="s">
        <v>598</v>
      </c>
      <c r="V1455" s="185">
        <v>5000</v>
      </c>
      <c r="W1455" s="184" t="s">
        <v>493</v>
      </c>
      <c r="X1455" s="184">
        <v>4035</v>
      </c>
      <c r="Y1455" s="185">
        <v>4000</v>
      </c>
      <c r="Z1455" s="184" t="s">
        <v>598</v>
      </c>
      <c r="AA1455" s="21" t="s">
        <v>610</v>
      </c>
      <c r="AB1455" s="176" t="s">
        <v>489</v>
      </c>
      <c r="AC1455" s="172">
        <v>42996.328472222223</v>
      </c>
      <c r="AD1455" s="32" t="s">
        <v>552</v>
      </c>
    </row>
    <row r="1456" spans="1:30">
      <c r="A1456" s="184">
        <v>1455</v>
      </c>
      <c r="B1456" s="184" t="s">
        <v>3513</v>
      </c>
      <c r="C1456" s="184" t="s">
        <v>598</v>
      </c>
      <c r="D1456" s="127">
        <v>42816</v>
      </c>
      <c r="E1456" s="127" t="s">
        <v>598</v>
      </c>
      <c r="F1456" s="184" t="s">
        <v>3514</v>
      </c>
      <c r="G1456" s="185">
        <v>0</v>
      </c>
      <c r="H1456" s="184" t="s">
        <v>598</v>
      </c>
      <c r="I1456" s="184" t="s">
        <v>598</v>
      </c>
      <c r="J1456" s="184" t="s">
        <v>119</v>
      </c>
      <c r="K1456" s="184" t="s">
        <v>435</v>
      </c>
      <c r="L1456" s="184" t="s">
        <v>598</v>
      </c>
      <c r="M1456" s="184" t="s">
        <v>598</v>
      </c>
      <c r="N1456" s="184" t="s">
        <v>63</v>
      </c>
      <c r="O1456" s="184" t="s">
        <v>63</v>
      </c>
      <c r="P1456" s="186" t="s">
        <v>67</v>
      </c>
      <c r="Q1456" s="184" t="s">
        <v>598</v>
      </c>
      <c r="R1456" s="184" t="s">
        <v>598</v>
      </c>
      <c r="S1456" s="127">
        <v>42859</v>
      </c>
      <c r="T1456" s="184" t="s">
        <v>10</v>
      </c>
      <c r="U1456" s="184" t="s">
        <v>598</v>
      </c>
      <c r="V1456" s="185">
        <v>2500</v>
      </c>
      <c r="W1456" s="184" t="s">
        <v>493</v>
      </c>
      <c r="X1456" s="184" t="s">
        <v>598</v>
      </c>
      <c r="Y1456" s="185">
        <v>0</v>
      </c>
      <c r="Z1456" s="184" t="s">
        <v>598</v>
      </c>
      <c r="AA1456" s="21" t="s">
        <v>610</v>
      </c>
      <c r="AB1456" s="176" t="s">
        <v>489</v>
      </c>
      <c r="AC1456" s="172">
        <v>42996.328472222223</v>
      </c>
      <c r="AD1456" s="32" t="s">
        <v>552</v>
      </c>
    </row>
    <row r="1457" spans="1:30">
      <c r="A1457" s="184">
        <v>1456</v>
      </c>
      <c r="B1457" s="184" t="s">
        <v>3515</v>
      </c>
      <c r="C1457" s="184" t="s">
        <v>598</v>
      </c>
      <c r="D1457" s="127">
        <v>42857</v>
      </c>
      <c r="E1457" s="127" t="s">
        <v>598</v>
      </c>
      <c r="F1457" s="184" t="s">
        <v>3516</v>
      </c>
      <c r="G1457" s="185">
        <v>2241000</v>
      </c>
      <c r="H1457" s="184" t="s">
        <v>598</v>
      </c>
      <c r="I1457" s="184" t="s">
        <v>135</v>
      </c>
      <c r="J1457" s="184" t="s">
        <v>92</v>
      </c>
      <c r="K1457" s="184" t="s">
        <v>377</v>
      </c>
      <c r="L1457" s="184" t="s">
        <v>598</v>
      </c>
      <c r="M1457" s="184" t="s">
        <v>598</v>
      </c>
      <c r="N1457" s="184" t="s">
        <v>79</v>
      </c>
      <c r="O1457" s="184" t="s">
        <v>112</v>
      </c>
      <c r="P1457" s="186" t="s">
        <v>602</v>
      </c>
      <c r="Q1457" s="184" t="s">
        <v>598</v>
      </c>
      <c r="R1457" s="184" t="s">
        <v>598</v>
      </c>
      <c r="S1457" s="127">
        <v>42864</v>
      </c>
      <c r="T1457" s="184" t="s">
        <v>34</v>
      </c>
      <c r="U1457" s="184" t="s">
        <v>598</v>
      </c>
      <c r="V1457" s="185">
        <v>2500</v>
      </c>
      <c r="W1457" s="184" t="s">
        <v>493</v>
      </c>
      <c r="X1457" s="184" t="s">
        <v>598</v>
      </c>
      <c r="Y1457" s="185">
        <v>0</v>
      </c>
      <c r="Z1457" s="184" t="s">
        <v>598</v>
      </c>
      <c r="AA1457" s="21" t="s">
        <v>610</v>
      </c>
      <c r="AB1457" s="176" t="s">
        <v>489</v>
      </c>
      <c r="AC1457" s="172">
        <v>42996.328472222223</v>
      </c>
      <c r="AD1457" s="32" t="s">
        <v>552</v>
      </c>
    </row>
    <row r="1458" spans="1:30">
      <c r="A1458" s="184">
        <v>1457</v>
      </c>
      <c r="B1458" s="184" t="s">
        <v>3517</v>
      </c>
      <c r="C1458" s="184" t="s">
        <v>598</v>
      </c>
      <c r="D1458" s="127">
        <v>42857</v>
      </c>
      <c r="E1458" s="127" t="s">
        <v>598</v>
      </c>
      <c r="F1458" s="184" t="s">
        <v>3518</v>
      </c>
      <c r="G1458" s="185">
        <v>2886000</v>
      </c>
      <c r="H1458" s="184" t="s">
        <v>598</v>
      </c>
      <c r="I1458" s="184" t="s">
        <v>134</v>
      </c>
      <c r="J1458" s="184" t="s">
        <v>92</v>
      </c>
      <c r="K1458" s="184" t="s">
        <v>598</v>
      </c>
      <c r="L1458" s="184" t="s">
        <v>598</v>
      </c>
      <c r="M1458" s="184" t="s">
        <v>598</v>
      </c>
      <c r="N1458" s="184" t="s">
        <v>79</v>
      </c>
      <c r="O1458" s="184" t="s">
        <v>112</v>
      </c>
      <c r="P1458" s="186" t="s">
        <v>603</v>
      </c>
      <c r="Q1458" s="184" t="s">
        <v>598</v>
      </c>
      <c r="R1458" s="184" t="s">
        <v>598</v>
      </c>
      <c r="S1458" s="127">
        <v>42866</v>
      </c>
      <c r="T1458" s="184" t="s">
        <v>34</v>
      </c>
      <c r="U1458" s="184" t="s">
        <v>598</v>
      </c>
      <c r="V1458" s="185">
        <v>2500</v>
      </c>
      <c r="W1458" s="184" t="s">
        <v>493</v>
      </c>
      <c r="X1458" s="184" t="s">
        <v>598</v>
      </c>
      <c r="Y1458" s="185">
        <v>0</v>
      </c>
      <c r="Z1458" s="184" t="s">
        <v>598</v>
      </c>
      <c r="AA1458" s="21" t="s">
        <v>610</v>
      </c>
      <c r="AB1458" s="176" t="s">
        <v>489</v>
      </c>
      <c r="AC1458" s="172">
        <v>42996.328472222223</v>
      </c>
      <c r="AD1458" s="32" t="s">
        <v>552</v>
      </c>
    </row>
    <row r="1459" spans="1:30">
      <c r="A1459" s="184">
        <v>1458</v>
      </c>
      <c r="B1459" s="184" t="s">
        <v>3519</v>
      </c>
      <c r="C1459" s="184" t="s">
        <v>598</v>
      </c>
      <c r="D1459" s="127">
        <v>42858</v>
      </c>
      <c r="E1459" s="127" t="s">
        <v>598</v>
      </c>
      <c r="F1459" s="184" t="s">
        <v>3520</v>
      </c>
      <c r="G1459" s="185">
        <v>4008000</v>
      </c>
      <c r="H1459" s="184" t="s">
        <v>598</v>
      </c>
      <c r="I1459" s="184" t="s">
        <v>120</v>
      </c>
      <c r="J1459" s="184" t="s">
        <v>92</v>
      </c>
      <c r="K1459" s="184" t="s">
        <v>205</v>
      </c>
      <c r="L1459" s="184" t="s">
        <v>598</v>
      </c>
      <c r="M1459" s="184" t="s">
        <v>598</v>
      </c>
      <c r="N1459" s="184" t="s">
        <v>79</v>
      </c>
      <c r="O1459" s="184" t="s">
        <v>112</v>
      </c>
      <c r="P1459" s="186"/>
      <c r="Q1459" s="184" t="s">
        <v>598</v>
      </c>
      <c r="R1459" s="184" t="s">
        <v>598</v>
      </c>
      <c r="S1459" s="127">
        <v>42871</v>
      </c>
      <c r="T1459" s="184" t="s">
        <v>34</v>
      </c>
      <c r="U1459" s="184" t="s">
        <v>598</v>
      </c>
      <c r="V1459" s="185">
        <v>4000</v>
      </c>
      <c r="W1459" s="184" t="s">
        <v>493</v>
      </c>
      <c r="X1459" s="184" t="s">
        <v>598</v>
      </c>
      <c r="Y1459" s="185">
        <v>0</v>
      </c>
      <c r="Z1459" s="184" t="s">
        <v>598</v>
      </c>
      <c r="AA1459" s="21" t="s">
        <v>610</v>
      </c>
      <c r="AB1459" s="176" t="s">
        <v>489</v>
      </c>
      <c r="AC1459" s="172">
        <v>42996.328472222223</v>
      </c>
      <c r="AD1459" s="32" t="s">
        <v>552</v>
      </c>
    </row>
    <row r="1460" spans="1:30">
      <c r="A1460" s="184">
        <v>1459</v>
      </c>
      <c r="B1460" s="184" t="s">
        <v>3521</v>
      </c>
      <c r="C1460" s="184" t="s">
        <v>598</v>
      </c>
      <c r="D1460" s="127">
        <v>42858</v>
      </c>
      <c r="E1460" s="127" t="s">
        <v>598</v>
      </c>
      <c r="F1460" s="184" t="s">
        <v>3522</v>
      </c>
      <c r="G1460" s="185">
        <v>0</v>
      </c>
      <c r="H1460" s="184" t="s">
        <v>598</v>
      </c>
      <c r="I1460" s="184" t="s">
        <v>134</v>
      </c>
      <c r="J1460" s="184" t="s">
        <v>92</v>
      </c>
      <c r="K1460" s="184" t="s">
        <v>205</v>
      </c>
      <c r="L1460" s="184" t="s">
        <v>598</v>
      </c>
      <c r="M1460" s="184" t="s">
        <v>598</v>
      </c>
      <c r="N1460" s="184" t="s">
        <v>79</v>
      </c>
      <c r="O1460" s="184" t="s">
        <v>112</v>
      </c>
      <c r="P1460" s="186" t="s">
        <v>605</v>
      </c>
      <c r="Q1460" s="184" t="s">
        <v>598</v>
      </c>
      <c r="R1460" s="184" t="s">
        <v>598</v>
      </c>
      <c r="S1460" s="127">
        <v>42861</v>
      </c>
      <c r="T1460" s="184" t="s">
        <v>34</v>
      </c>
      <c r="U1460" s="184" t="s">
        <v>598</v>
      </c>
      <c r="V1460" s="185">
        <v>4000</v>
      </c>
      <c r="W1460" s="184" t="s">
        <v>493</v>
      </c>
      <c r="X1460" s="184" t="s">
        <v>598</v>
      </c>
      <c r="Y1460" s="185">
        <v>0</v>
      </c>
      <c r="Z1460" s="184" t="s">
        <v>598</v>
      </c>
      <c r="AA1460" s="21" t="s">
        <v>610</v>
      </c>
      <c r="AB1460" s="176" t="s">
        <v>489</v>
      </c>
      <c r="AC1460" s="172">
        <v>42996.328472222223</v>
      </c>
      <c r="AD1460" s="32" t="s">
        <v>552</v>
      </c>
    </row>
    <row r="1461" spans="1:30">
      <c r="A1461" s="184">
        <v>1460</v>
      </c>
      <c r="B1461" s="184" t="s">
        <v>3523</v>
      </c>
      <c r="C1461" s="184" t="s">
        <v>598</v>
      </c>
      <c r="D1461" s="127">
        <v>42859</v>
      </c>
      <c r="E1461" s="127" t="s">
        <v>598</v>
      </c>
      <c r="F1461" s="184" t="s">
        <v>3524</v>
      </c>
      <c r="G1461" s="185">
        <v>22728000</v>
      </c>
      <c r="H1461" s="184" t="s">
        <v>598</v>
      </c>
      <c r="I1461" s="184" t="s">
        <v>115</v>
      </c>
      <c r="J1461" s="184" t="s">
        <v>92</v>
      </c>
      <c r="K1461" s="184" t="s">
        <v>463</v>
      </c>
      <c r="L1461" s="184" t="s">
        <v>598</v>
      </c>
      <c r="M1461" s="184" t="s">
        <v>598</v>
      </c>
      <c r="N1461" s="184" t="s">
        <v>79</v>
      </c>
      <c r="O1461" s="184" t="s">
        <v>79</v>
      </c>
      <c r="P1461" s="186" t="s">
        <v>606</v>
      </c>
      <c r="Q1461" s="184" t="s">
        <v>598</v>
      </c>
      <c r="R1461" s="184" t="s">
        <v>598</v>
      </c>
      <c r="S1461" s="127">
        <v>42864</v>
      </c>
      <c r="T1461" s="184" t="s">
        <v>10</v>
      </c>
      <c r="U1461" s="184" t="s">
        <v>598</v>
      </c>
      <c r="V1461" s="185">
        <v>3000</v>
      </c>
      <c r="W1461" s="184" t="s">
        <v>493</v>
      </c>
      <c r="X1461" s="184" t="s">
        <v>598</v>
      </c>
      <c r="Y1461" s="185">
        <v>0</v>
      </c>
      <c r="Z1461" s="184" t="s">
        <v>598</v>
      </c>
      <c r="AA1461" s="21" t="s">
        <v>610</v>
      </c>
      <c r="AB1461" s="176" t="s">
        <v>489</v>
      </c>
      <c r="AC1461" s="172">
        <v>42996.328472222223</v>
      </c>
      <c r="AD1461" s="32" t="s">
        <v>552</v>
      </c>
    </row>
    <row r="1462" spans="1:30">
      <c r="A1462" s="184">
        <v>1461</v>
      </c>
      <c r="B1462" s="184" t="s">
        <v>3525</v>
      </c>
      <c r="C1462" s="184" t="s">
        <v>598</v>
      </c>
      <c r="D1462" s="127">
        <v>42860</v>
      </c>
      <c r="E1462" s="127" t="s">
        <v>598</v>
      </c>
      <c r="F1462" s="184" t="s">
        <v>3526</v>
      </c>
      <c r="G1462" s="185">
        <v>4115000</v>
      </c>
      <c r="H1462" s="184" t="s">
        <v>598</v>
      </c>
      <c r="I1462" s="184" t="s">
        <v>135</v>
      </c>
      <c r="J1462" s="184" t="s">
        <v>92</v>
      </c>
      <c r="K1462" s="184" t="s">
        <v>289</v>
      </c>
      <c r="L1462" s="184" t="s">
        <v>598</v>
      </c>
      <c r="M1462" s="184" t="s">
        <v>598</v>
      </c>
      <c r="N1462" s="184" t="s">
        <v>79</v>
      </c>
      <c r="O1462" s="184" t="s">
        <v>112</v>
      </c>
      <c r="P1462" s="186"/>
      <c r="Q1462" s="184" t="s">
        <v>598</v>
      </c>
      <c r="R1462" s="184" t="s">
        <v>598</v>
      </c>
      <c r="S1462" s="127">
        <v>42864</v>
      </c>
      <c r="T1462" s="184" t="s">
        <v>34</v>
      </c>
      <c r="U1462" s="184" t="s">
        <v>598</v>
      </c>
      <c r="V1462" s="185">
        <v>3000</v>
      </c>
      <c r="W1462" s="184" t="s">
        <v>493</v>
      </c>
      <c r="X1462" s="184" t="s">
        <v>598</v>
      </c>
      <c r="Y1462" s="185">
        <v>0</v>
      </c>
      <c r="Z1462" s="184" t="s">
        <v>598</v>
      </c>
      <c r="AA1462" s="21" t="s">
        <v>610</v>
      </c>
      <c r="AB1462" s="176" t="s">
        <v>489</v>
      </c>
      <c r="AC1462" s="172">
        <v>42996.328472222223</v>
      </c>
      <c r="AD1462" s="32" t="s">
        <v>552</v>
      </c>
    </row>
    <row r="1463" spans="1:30">
      <c r="A1463" s="184">
        <v>1462</v>
      </c>
      <c r="B1463" s="184" t="s">
        <v>3527</v>
      </c>
      <c r="C1463" s="184" t="s">
        <v>598</v>
      </c>
      <c r="D1463" s="127">
        <v>42861</v>
      </c>
      <c r="E1463" s="127" t="s">
        <v>598</v>
      </c>
      <c r="F1463" s="184" t="s">
        <v>3528</v>
      </c>
      <c r="G1463" s="185">
        <v>7161000</v>
      </c>
      <c r="H1463" s="184" t="s">
        <v>598</v>
      </c>
      <c r="I1463" s="184" t="s">
        <v>134</v>
      </c>
      <c r="J1463" s="184" t="s">
        <v>92</v>
      </c>
      <c r="K1463" s="184" t="s">
        <v>205</v>
      </c>
      <c r="L1463" s="184" t="s">
        <v>598</v>
      </c>
      <c r="M1463" s="184" t="s">
        <v>598</v>
      </c>
      <c r="N1463" s="184" t="s">
        <v>79</v>
      </c>
      <c r="O1463" s="184" t="s">
        <v>112</v>
      </c>
      <c r="P1463" s="186" t="s">
        <v>73</v>
      </c>
      <c r="Q1463" s="184" t="s">
        <v>598</v>
      </c>
      <c r="R1463" s="184" t="s">
        <v>598</v>
      </c>
      <c r="S1463" s="127">
        <v>42871</v>
      </c>
      <c r="T1463" s="184" t="s">
        <v>34</v>
      </c>
      <c r="U1463" s="184" t="s">
        <v>598</v>
      </c>
      <c r="V1463" s="185">
        <v>5000</v>
      </c>
      <c r="W1463" s="184" t="s">
        <v>493</v>
      </c>
      <c r="X1463" s="184" t="s">
        <v>598</v>
      </c>
      <c r="Y1463" s="185">
        <v>0</v>
      </c>
      <c r="Z1463" s="184" t="s">
        <v>598</v>
      </c>
      <c r="AA1463" s="21" t="s">
        <v>610</v>
      </c>
      <c r="AB1463" s="176" t="s">
        <v>489</v>
      </c>
      <c r="AC1463" s="172">
        <v>42996.328472222223</v>
      </c>
      <c r="AD1463" s="32" t="s">
        <v>552</v>
      </c>
    </row>
    <row r="1464" spans="1:30">
      <c r="A1464" s="184">
        <v>1463</v>
      </c>
      <c r="B1464" s="184" t="s">
        <v>3529</v>
      </c>
      <c r="C1464" s="184" t="s">
        <v>598</v>
      </c>
      <c r="D1464" s="127">
        <v>42861</v>
      </c>
      <c r="E1464" s="127" t="s">
        <v>598</v>
      </c>
      <c r="F1464" s="184" t="s">
        <v>3530</v>
      </c>
      <c r="G1464" s="185">
        <v>5082000</v>
      </c>
      <c r="H1464" s="184" t="s">
        <v>598</v>
      </c>
      <c r="I1464" s="184" t="s">
        <v>134</v>
      </c>
      <c r="J1464" s="184" t="s">
        <v>92</v>
      </c>
      <c r="K1464" s="184" t="s">
        <v>250</v>
      </c>
      <c r="L1464" s="184" t="s">
        <v>598</v>
      </c>
      <c r="M1464" s="184" t="s">
        <v>598</v>
      </c>
      <c r="N1464" s="184" t="s">
        <v>79</v>
      </c>
      <c r="O1464" s="184" t="s">
        <v>79</v>
      </c>
      <c r="P1464" s="186" t="s">
        <v>601</v>
      </c>
      <c r="Q1464" s="184" t="s">
        <v>598</v>
      </c>
      <c r="R1464" s="184" t="s">
        <v>598</v>
      </c>
      <c r="S1464" s="127">
        <v>42864</v>
      </c>
      <c r="T1464" s="184" t="s">
        <v>34</v>
      </c>
      <c r="U1464" s="184" t="s">
        <v>598</v>
      </c>
      <c r="V1464" s="185">
        <v>5000</v>
      </c>
      <c r="W1464" s="184" t="s">
        <v>493</v>
      </c>
      <c r="X1464" s="184" t="s">
        <v>598</v>
      </c>
      <c r="Y1464" s="185">
        <v>0</v>
      </c>
      <c r="Z1464" s="184" t="s">
        <v>598</v>
      </c>
      <c r="AA1464" s="21" t="s">
        <v>610</v>
      </c>
      <c r="AB1464" s="176" t="s">
        <v>489</v>
      </c>
      <c r="AC1464" s="172">
        <v>42996.328472222223</v>
      </c>
      <c r="AD1464" s="32" t="s">
        <v>552</v>
      </c>
    </row>
    <row r="1465" spans="1:30">
      <c r="A1465" s="184">
        <v>1464</v>
      </c>
      <c r="B1465" s="184" t="s">
        <v>3531</v>
      </c>
      <c r="C1465" s="184" t="s">
        <v>598</v>
      </c>
      <c r="D1465" s="127">
        <v>42861</v>
      </c>
      <c r="E1465" s="127" t="s">
        <v>598</v>
      </c>
      <c r="F1465" s="184" t="s">
        <v>3532</v>
      </c>
      <c r="G1465" s="185">
        <v>42449000</v>
      </c>
      <c r="H1465" s="184" t="s">
        <v>598</v>
      </c>
      <c r="I1465" s="184" t="s">
        <v>107</v>
      </c>
      <c r="J1465" s="184" t="s">
        <v>92</v>
      </c>
      <c r="K1465" s="184" t="s">
        <v>464</v>
      </c>
      <c r="L1465" s="184" t="s">
        <v>598</v>
      </c>
      <c r="M1465" s="184" t="s">
        <v>598</v>
      </c>
      <c r="N1465" s="184" t="s">
        <v>79</v>
      </c>
      <c r="O1465" s="184" t="s">
        <v>65</v>
      </c>
      <c r="P1465" s="186" t="s">
        <v>601</v>
      </c>
      <c r="Q1465" s="184" t="s">
        <v>598</v>
      </c>
      <c r="R1465" s="184" t="s">
        <v>598</v>
      </c>
      <c r="S1465" s="127">
        <v>42863</v>
      </c>
      <c r="T1465" s="184" t="s">
        <v>10</v>
      </c>
      <c r="U1465" s="184" t="s">
        <v>598</v>
      </c>
      <c r="V1465" s="185">
        <v>12000</v>
      </c>
      <c r="W1465" s="184" t="s">
        <v>493</v>
      </c>
      <c r="X1465" s="184" t="s">
        <v>598</v>
      </c>
      <c r="Y1465" s="185">
        <v>0</v>
      </c>
      <c r="Z1465" s="184" t="s">
        <v>598</v>
      </c>
      <c r="AA1465" s="21" t="s">
        <v>610</v>
      </c>
      <c r="AB1465" s="176" t="s">
        <v>489</v>
      </c>
      <c r="AC1465" s="172">
        <v>42996.328472222223</v>
      </c>
      <c r="AD1465" s="32" t="s">
        <v>552</v>
      </c>
    </row>
    <row r="1466" spans="1:30">
      <c r="A1466" s="184">
        <v>1465</v>
      </c>
      <c r="B1466" s="184" t="s">
        <v>3533</v>
      </c>
      <c r="C1466" s="184" t="s">
        <v>598</v>
      </c>
      <c r="D1466" s="127">
        <v>42865</v>
      </c>
      <c r="E1466" s="127" t="s">
        <v>598</v>
      </c>
      <c r="F1466" s="184" t="s">
        <v>3534</v>
      </c>
      <c r="G1466" s="185">
        <v>4429000</v>
      </c>
      <c r="H1466" s="184" t="s">
        <v>598</v>
      </c>
      <c r="I1466" s="184" t="s">
        <v>134</v>
      </c>
      <c r="J1466" s="184" t="s">
        <v>92</v>
      </c>
      <c r="K1466" s="184" t="s">
        <v>465</v>
      </c>
      <c r="L1466" s="184" t="s">
        <v>598</v>
      </c>
      <c r="M1466" s="184" t="s">
        <v>598</v>
      </c>
      <c r="N1466" s="184" t="s">
        <v>79</v>
      </c>
      <c r="O1466" s="184" t="s">
        <v>112</v>
      </c>
      <c r="P1466" s="186" t="s">
        <v>32</v>
      </c>
      <c r="Q1466" s="184" t="s">
        <v>598</v>
      </c>
      <c r="R1466" s="184" t="s">
        <v>598</v>
      </c>
      <c r="S1466" s="127">
        <v>42867</v>
      </c>
      <c r="T1466" s="184" t="s">
        <v>34</v>
      </c>
      <c r="U1466" s="184" t="s">
        <v>598</v>
      </c>
      <c r="V1466" s="185">
        <v>4000</v>
      </c>
      <c r="W1466" s="184" t="s">
        <v>493</v>
      </c>
      <c r="X1466" s="184" t="s">
        <v>598</v>
      </c>
      <c r="Y1466" s="185">
        <v>0</v>
      </c>
      <c r="Z1466" s="184" t="s">
        <v>598</v>
      </c>
      <c r="AA1466" s="21" t="s">
        <v>610</v>
      </c>
      <c r="AB1466" s="176" t="s">
        <v>489</v>
      </c>
      <c r="AC1466" s="172">
        <v>42996.328472222223</v>
      </c>
      <c r="AD1466" s="32" t="s">
        <v>552</v>
      </c>
    </row>
    <row r="1467" spans="1:30">
      <c r="A1467" s="184">
        <v>1466</v>
      </c>
      <c r="B1467" s="184" t="s">
        <v>3535</v>
      </c>
      <c r="C1467" s="184" t="s">
        <v>598</v>
      </c>
      <c r="D1467" s="127">
        <v>42871</v>
      </c>
      <c r="E1467" s="127" t="s">
        <v>598</v>
      </c>
      <c r="F1467" s="184" t="s">
        <v>3536</v>
      </c>
      <c r="G1467" s="185">
        <v>3526000</v>
      </c>
      <c r="H1467" s="184" t="s">
        <v>598</v>
      </c>
      <c r="I1467" s="184" t="s">
        <v>134</v>
      </c>
      <c r="J1467" s="184" t="s">
        <v>92</v>
      </c>
      <c r="K1467" s="184" t="s">
        <v>403</v>
      </c>
      <c r="L1467" s="184" t="s">
        <v>598</v>
      </c>
      <c r="M1467" s="184" t="s">
        <v>29</v>
      </c>
      <c r="N1467" s="184" t="s">
        <v>79</v>
      </c>
      <c r="O1467" s="184" t="s">
        <v>112</v>
      </c>
      <c r="P1467" s="186" t="s">
        <v>53</v>
      </c>
      <c r="Q1467" s="184" t="s">
        <v>598</v>
      </c>
      <c r="R1467" s="184" t="s">
        <v>598</v>
      </c>
      <c r="S1467" s="127">
        <v>42879</v>
      </c>
      <c r="T1467" s="184" t="s">
        <v>10</v>
      </c>
      <c r="U1467" s="184" t="s">
        <v>598</v>
      </c>
      <c r="V1467" s="185">
        <v>2000</v>
      </c>
      <c r="W1467" s="184" t="s">
        <v>493</v>
      </c>
      <c r="X1467" s="184" t="s">
        <v>598</v>
      </c>
      <c r="Y1467" s="185">
        <v>0</v>
      </c>
      <c r="Z1467" s="184" t="s">
        <v>598</v>
      </c>
      <c r="AA1467" s="21" t="s">
        <v>610</v>
      </c>
      <c r="AB1467" s="176" t="s">
        <v>489</v>
      </c>
      <c r="AC1467" s="172">
        <v>42996.328472222223</v>
      </c>
      <c r="AD1467" s="32" t="s">
        <v>552</v>
      </c>
    </row>
    <row r="1468" spans="1:30">
      <c r="A1468" s="184">
        <v>1467</v>
      </c>
      <c r="B1468" s="184" t="s">
        <v>3537</v>
      </c>
      <c r="C1468" s="184" t="s">
        <v>598</v>
      </c>
      <c r="D1468" s="127">
        <v>42872</v>
      </c>
      <c r="E1468" s="127" t="s">
        <v>598</v>
      </c>
      <c r="F1468" s="184" t="s">
        <v>3538</v>
      </c>
      <c r="G1468" s="185">
        <v>188810000</v>
      </c>
      <c r="H1468" s="184" t="s">
        <v>598</v>
      </c>
      <c r="I1468" s="184" t="s">
        <v>598</v>
      </c>
      <c r="J1468" s="184" t="s">
        <v>92</v>
      </c>
      <c r="K1468" s="184" t="s">
        <v>403</v>
      </c>
      <c r="L1468" s="184" t="s">
        <v>598</v>
      </c>
      <c r="M1468" s="184" t="s">
        <v>598</v>
      </c>
      <c r="N1468" s="184" t="s">
        <v>79</v>
      </c>
      <c r="O1468" s="184" t="s">
        <v>79</v>
      </c>
      <c r="P1468" s="186" t="s">
        <v>44</v>
      </c>
      <c r="Q1468" s="184" t="s">
        <v>598</v>
      </c>
      <c r="R1468" s="184" t="s">
        <v>598</v>
      </c>
      <c r="S1468" s="127">
        <v>42886</v>
      </c>
      <c r="T1468" s="184" t="s">
        <v>10</v>
      </c>
      <c r="U1468" s="184" t="s">
        <v>598</v>
      </c>
      <c r="V1468" s="185">
        <v>12500</v>
      </c>
      <c r="W1468" s="184" t="s">
        <v>493</v>
      </c>
      <c r="X1468" s="184" t="s">
        <v>598</v>
      </c>
      <c r="Y1468" s="185">
        <v>0</v>
      </c>
      <c r="Z1468" s="184" t="s">
        <v>598</v>
      </c>
      <c r="AA1468" s="21" t="s">
        <v>610</v>
      </c>
      <c r="AB1468" s="176" t="s">
        <v>489</v>
      </c>
      <c r="AC1468" s="172">
        <v>42996.328472222223</v>
      </c>
      <c r="AD1468" s="32" t="s">
        <v>552</v>
      </c>
    </row>
    <row r="1469" spans="1:30">
      <c r="A1469" s="184">
        <v>1468</v>
      </c>
      <c r="B1469" s="184" t="s">
        <v>3539</v>
      </c>
      <c r="C1469" s="184" t="s">
        <v>598</v>
      </c>
      <c r="D1469" s="127">
        <v>42872</v>
      </c>
      <c r="E1469" s="127" t="s">
        <v>598</v>
      </c>
      <c r="F1469" s="184" t="s">
        <v>3540</v>
      </c>
      <c r="G1469" s="185">
        <v>109945000</v>
      </c>
      <c r="H1469" s="184" t="s">
        <v>598</v>
      </c>
      <c r="I1469" s="184" t="s">
        <v>598</v>
      </c>
      <c r="J1469" s="184" t="s">
        <v>92</v>
      </c>
      <c r="K1469" s="184" t="s">
        <v>403</v>
      </c>
      <c r="L1469" s="184" t="s">
        <v>598</v>
      </c>
      <c r="M1469" s="184" t="s">
        <v>598</v>
      </c>
      <c r="N1469" s="184" t="s">
        <v>79</v>
      </c>
      <c r="O1469" s="184" t="s">
        <v>79</v>
      </c>
      <c r="P1469" s="186" t="s">
        <v>67</v>
      </c>
      <c r="Q1469" s="184" t="s">
        <v>598</v>
      </c>
      <c r="R1469" s="184" t="s">
        <v>598</v>
      </c>
      <c r="S1469" s="127">
        <v>42886</v>
      </c>
      <c r="T1469" s="184" t="s">
        <v>10</v>
      </c>
      <c r="U1469" s="184" t="s">
        <v>598</v>
      </c>
      <c r="V1469" s="185">
        <v>12500</v>
      </c>
      <c r="W1469" s="184" t="s">
        <v>493</v>
      </c>
      <c r="X1469" s="184" t="s">
        <v>598</v>
      </c>
      <c r="Y1469" s="185">
        <v>0</v>
      </c>
      <c r="Z1469" s="184" t="s">
        <v>598</v>
      </c>
      <c r="AA1469" s="21" t="s">
        <v>610</v>
      </c>
      <c r="AB1469" s="176" t="s">
        <v>489</v>
      </c>
      <c r="AC1469" s="172">
        <v>42996.328472222223</v>
      </c>
      <c r="AD1469" s="32" t="s">
        <v>552</v>
      </c>
    </row>
    <row r="1470" spans="1:30">
      <c r="A1470" s="184">
        <v>1469</v>
      </c>
      <c r="B1470" s="184" t="s">
        <v>3541</v>
      </c>
      <c r="C1470" s="184" t="s">
        <v>598</v>
      </c>
      <c r="D1470" s="127">
        <v>42873</v>
      </c>
      <c r="E1470" s="127" t="s">
        <v>598</v>
      </c>
      <c r="F1470" s="184" t="s">
        <v>3542</v>
      </c>
      <c r="G1470" s="185">
        <v>6960000</v>
      </c>
      <c r="H1470" s="184" t="s">
        <v>598</v>
      </c>
      <c r="I1470" s="184" t="s">
        <v>135</v>
      </c>
      <c r="J1470" s="184" t="s">
        <v>92</v>
      </c>
      <c r="K1470" s="184" t="s">
        <v>403</v>
      </c>
      <c r="L1470" s="184" t="s">
        <v>598</v>
      </c>
      <c r="M1470" s="184" t="s">
        <v>29</v>
      </c>
      <c r="N1470" s="184" t="s">
        <v>79</v>
      </c>
      <c r="O1470" s="184" t="s">
        <v>112</v>
      </c>
      <c r="P1470" s="186" t="s">
        <v>602</v>
      </c>
      <c r="Q1470" s="184" t="s">
        <v>598</v>
      </c>
      <c r="R1470" s="184" t="s">
        <v>598</v>
      </c>
      <c r="S1470" s="127">
        <v>42879</v>
      </c>
      <c r="T1470" s="184" t="s">
        <v>10</v>
      </c>
      <c r="U1470" s="184" t="s">
        <v>598</v>
      </c>
      <c r="V1470" s="185">
        <v>4000</v>
      </c>
      <c r="W1470" s="184" t="s">
        <v>493</v>
      </c>
      <c r="X1470" s="184" t="s">
        <v>598</v>
      </c>
      <c r="Y1470" s="185">
        <v>0</v>
      </c>
      <c r="Z1470" s="184" t="s">
        <v>598</v>
      </c>
      <c r="AA1470" s="21" t="s">
        <v>610</v>
      </c>
      <c r="AB1470" s="176" t="s">
        <v>489</v>
      </c>
      <c r="AC1470" s="172">
        <v>42996.328472222223</v>
      </c>
      <c r="AD1470" s="32" t="s">
        <v>552</v>
      </c>
    </row>
    <row r="1471" spans="1:30">
      <c r="A1471" s="184">
        <v>1470</v>
      </c>
      <c r="B1471" s="184" t="s">
        <v>3543</v>
      </c>
      <c r="C1471" s="184" t="s">
        <v>598</v>
      </c>
      <c r="D1471" s="127">
        <v>42873</v>
      </c>
      <c r="E1471" s="127" t="s">
        <v>598</v>
      </c>
      <c r="F1471" s="184" t="s">
        <v>3544</v>
      </c>
      <c r="G1471" s="185">
        <v>0</v>
      </c>
      <c r="H1471" s="184" t="s">
        <v>598</v>
      </c>
      <c r="I1471" s="184" t="s">
        <v>135</v>
      </c>
      <c r="J1471" s="184" t="s">
        <v>92</v>
      </c>
      <c r="K1471" s="184" t="s">
        <v>205</v>
      </c>
      <c r="L1471" s="184" t="s">
        <v>598</v>
      </c>
      <c r="M1471" s="184" t="s">
        <v>598</v>
      </c>
      <c r="N1471" s="184" t="s">
        <v>79</v>
      </c>
      <c r="O1471" s="184" t="s">
        <v>112</v>
      </c>
      <c r="P1471" s="186" t="s">
        <v>603</v>
      </c>
      <c r="Q1471" s="184" t="s">
        <v>598</v>
      </c>
      <c r="R1471" s="184" t="s">
        <v>598</v>
      </c>
      <c r="S1471" s="127">
        <v>42885</v>
      </c>
      <c r="T1471" s="184" t="s">
        <v>34</v>
      </c>
      <c r="U1471" s="184" t="s">
        <v>598</v>
      </c>
      <c r="V1471" s="185">
        <v>4000</v>
      </c>
      <c r="W1471" s="184" t="s">
        <v>493</v>
      </c>
      <c r="X1471" s="184" t="s">
        <v>598</v>
      </c>
      <c r="Y1471" s="185">
        <v>0</v>
      </c>
      <c r="Z1471" s="184" t="s">
        <v>598</v>
      </c>
      <c r="AA1471" s="21" t="s">
        <v>610</v>
      </c>
      <c r="AB1471" s="176" t="s">
        <v>489</v>
      </c>
      <c r="AC1471" s="172">
        <v>42996.328472222223</v>
      </c>
      <c r="AD1471" s="32" t="s">
        <v>552</v>
      </c>
    </row>
    <row r="1472" spans="1:30">
      <c r="A1472" s="184">
        <v>1471</v>
      </c>
      <c r="B1472" s="184" t="s">
        <v>3545</v>
      </c>
      <c r="C1472" s="184" t="s">
        <v>598</v>
      </c>
      <c r="D1472" s="127">
        <v>42875</v>
      </c>
      <c r="E1472" s="127" t="s">
        <v>598</v>
      </c>
      <c r="F1472" s="184" t="s">
        <v>3546</v>
      </c>
      <c r="G1472" s="185">
        <v>2700000</v>
      </c>
      <c r="H1472" s="184" t="s">
        <v>598</v>
      </c>
      <c r="I1472" s="184" t="s">
        <v>3263</v>
      </c>
      <c r="J1472" s="184" t="s">
        <v>92</v>
      </c>
      <c r="K1472" s="184" t="s">
        <v>598</v>
      </c>
      <c r="L1472" s="184" t="s">
        <v>598</v>
      </c>
      <c r="M1472" s="184" t="s">
        <v>598</v>
      </c>
      <c r="N1472" s="184" t="s">
        <v>79</v>
      </c>
      <c r="O1472" s="184" t="s">
        <v>598</v>
      </c>
      <c r="P1472" s="186"/>
      <c r="Q1472" s="184" t="s">
        <v>598</v>
      </c>
      <c r="R1472" s="184" t="s">
        <v>598</v>
      </c>
      <c r="S1472" s="127">
        <v>42878</v>
      </c>
      <c r="T1472" s="184" t="s">
        <v>10</v>
      </c>
      <c r="U1472" s="184" t="s">
        <v>598</v>
      </c>
      <c r="V1472" s="185">
        <v>10000</v>
      </c>
      <c r="W1472" s="184" t="s">
        <v>493</v>
      </c>
      <c r="X1472" s="184" t="s">
        <v>598</v>
      </c>
      <c r="Y1472" s="185">
        <v>0</v>
      </c>
      <c r="Z1472" s="184" t="s">
        <v>598</v>
      </c>
      <c r="AA1472" s="21" t="s">
        <v>610</v>
      </c>
      <c r="AB1472" s="176" t="s">
        <v>489</v>
      </c>
      <c r="AC1472" s="172">
        <v>42996.328472222223</v>
      </c>
      <c r="AD1472" s="32" t="s">
        <v>552</v>
      </c>
    </row>
    <row r="1473" spans="1:30">
      <c r="A1473" s="184">
        <v>1472</v>
      </c>
      <c r="B1473" s="184" t="s">
        <v>3547</v>
      </c>
      <c r="C1473" s="184" t="s">
        <v>598</v>
      </c>
      <c r="D1473" s="127">
        <v>42878</v>
      </c>
      <c r="E1473" s="127" t="s">
        <v>598</v>
      </c>
      <c r="F1473" s="184" t="s">
        <v>3548</v>
      </c>
      <c r="G1473" s="185">
        <v>803000</v>
      </c>
      <c r="H1473" s="184" t="s">
        <v>598</v>
      </c>
      <c r="I1473" s="184" t="s">
        <v>134</v>
      </c>
      <c r="J1473" s="184" t="s">
        <v>92</v>
      </c>
      <c r="K1473" s="184" t="s">
        <v>466</v>
      </c>
      <c r="L1473" s="184" t="s">
        <v>598</v>
      </c>
      <c r="M1473" s="184" t="s">
        <v>598</v>
      </c>
      <c r="N1473" s="184" t="s">
        <v>79</v>
      </c>
      <c r="O1473" s="184" t="s">
        <v>79</v>
      </c>
      <c r="P1473" s="186" t="s">
        <v>605</v>
      </c>
      <c r="Q1473" s="184" t="s">
        <v>598</v>
      </c>
      <c r="R1473" s="184" t="s">
        <v>598</v>
      </c>
      <c r="S1473" s="127">
        <v>42880</v>
      </c>
      <c r="T1473" s="184" t="s">
        <v>34</v>
      </c>
      <c r="U1473" s="184" t="s">
        <v>598</v>
      </c>
      <c r="V1473" s="185">
        <v>1500</v>
      </c>
      <c r="W1473" s="184" t="s">
        <v>493</v>
      </c>
      <c r="X1473" s="184" t="s">
        <v>598</v>
      </c>
      <c r="Y1473" s="185">
        <v>0</v>
      </c>
      <c r="Z1473" s="184" t="s">
        <v>598</v>
      </c>
      <c r="AA1473" s="21" t="s">
        <v>610</v>
      </c>
      <c r="AB1473" s="176" t="s">
        <v>489</v>
      </c>
      <c r="AC1473" s="172">
        <v>42996.328472222223</v>
      </c>
      <c r="AD1473" s="32" t="s">
        <v>552</v>
      </c>
    </row>
    <row r="1474" spans="1:30">
      <c r="A1474" s="184">
        <v>1473</v>
      </c>
      <c r="B1474" s="184" t="s">
        <v>3549</v>
      </c>
      <c r="C1474" s="184" t="s">
        <v>598</v>
      </c>
      <c r="D1474" s="127">
        <v>42879</v>
      </c>
      <c r="E1474" s="127" t="s">
        <v>598</v>
      </c>
      <c r="F1474" s="184" t="s">
        <v>3550</v>
      </c>
      <c r="G1474" s="185">
        <v>3751000</v>
      </c>
      <c r="H1474" s="184" t="s">
        <v>598</v>
      </c>
      <c r="I1474" s="184" t="s">
        <v>134</v>
      </c>
      <c r="J1474" s="184" t="s">
        <v>92</v>
      </c>
      <c r="K1474" s="184" t="s">
        <v>285</v>
      </c>
      <c r="L1474" s="184" t="s">
        <v>598</v>
      </c>
      <c r="M1474" s="184" t="s">
        <v>598</v>
      </c>
      <c r="N1474" s="184" t="s">
        <v>79</v>
      </c>
      <c r="O1474" s="184" t="s">
        <v>112</v>
      </c>
      <c r="P1474" s="186" t="s">
        <v>606</v>
      </c>
      <c r="Q1474" s="184" t="s">
        <v>598</v>
      </c>
      <c r="R1474" s="184" t="s">
        <v>598</v>
      </c>
      <c r="S1474" s="127">
        <v>42886</v>
      </c>
      <c r="T1474" s="184" t="s">
        <v>494</v>
      </c>
      <c r="U1474" s="184" t="s">
        <v>598</v>
      </c>
      <c r="V1474" s="185">
        <v>3000</v>
      </c>
      <c r="W1474" s="184" t="s">
        <v>493</v>
      </c>
      <c r="X1474" s="184" t="s">
        <v>598</v>
      </c>
      <c r="Y1474" s="185">
        <v>0</v>
      </c>
      <c r="Z1474" s="184" t="s">
        <v>598</v>
      </c>
      <c r="AA1474" s="21" t="s">
        <v>610</v>
      </c>
      <c r="AB1474" s="176" t="s">
        <v>489</v>
      </c>
      <c r="AC1474" s="172">
        <v>42996.328472222223</v>
      </c>
      <c r="AD1474" s="32" t="s">
        <v>552</v>
      </c>
    </row>
    <row r="1475" spans="1:30">
      <c r="A1475" s="184">
        <v>1474</v>
      </c>
      <c r="B1475" s="184" t="s">
        <v>3551</v>
      </c>
      <c r="C1475" s="184" t="s">
        <v>598</v>
      </c>
      <c r="D1475" s="127">
        <v>42882</v>
      </c>
      <c r="E1475" s="127" t="s">
        <v>598</v>
      </c>
      <c r="F1475" s="184" t="s">
        <v>3552</v>
      </c>
      <c r="G1475" s="185">
        <v>0</v>
      </c>
      <c r="H1475" s="184" t="s">
        <v>598</v>
      </c>
      <c r="I1475" s="184" t="s">
        <v>598</v>
      </c>
      <c r="J1475" s="184" t="s">
        <v>92</v>
      </c>
      <c r="K1475" s="184" t="s">
        <v>598</v>
      </c>
      <c r="L1475" s="184" t="s">
        <v>598</v>
      </c>
      <c r="M1475" s="184" t="s">
        <v>598</v>
      </c>
      <c r="N1475" s="184" t="s">
        <v>79</v>
      </c>
      <c r="O1475" s="184" t="s">
        <v>598</v>
      </c>
      <c r="P1475" s="186"/>
      <c r="Q1475" s="184" t="s">
        <v>598</v>
      </c>
      <c r="R1475" s="184" t="s">
        <v>598</v>
      </c>
      <c r="S1475" s="127">
        <v>42882</v>
      </c>
      <c r="T1475" s="184" t="s">
        <v>494</v>
      </c>
      <c r="U1475" s="184" t="s">
        <v>598</v>
      </c>
      <c r="V1475" s="185">
        <v>10000</v>
      </c>
      <c r="W1475" s="184" t="s">
        <v>493</v>
      </c>
      <c r="X1475" s="184" t="s">
        <v>598</v>
      </c>
      <c r="Y1475" s="185">
        <v>0</v>
      </c>
      <c r="Z1475" s="184" t="s">
        <v>598</v>
      </c>
      <c r="AA1475" s="21" t="s">
        <v>610</v>
      </c>
      <c r="AB1475" s="176" t="s">
        <v>489</v>
      </c>
      <c r="AC1475" s="172">
        <v>42996.328472222223</v>
      </c>
      <c r="AD1475" s="32" t="s">
        <v>552</v>
      </c>
    </row>
    <row r="1476" spans="1:30">
      <c r="A1476" s="184">
        <v>1475</v>
      </c>
      <c r="B1476" s="184" t="s">
        <v>3553</v>
      </c>
      <c r="C1476" s="184" t="s">
        <v>598</v>
      </c>
      <c r="D1476" s="127">
        <v>42884</v>
      </c>
      <c r="E1476" s="127" t="s">
        <v>598</v>
      </c>
      <c r="F1476" s="184" t="s">
        <v>3554</v>
      </c>
      <c r="G1476" s="185">
        <v>0</v>
      </c>
      <c r="H1476" s="184" t="s">
        <v>598</v>
      </c>
      <c r="I1476" s="184" t="s">
        <v>134</v>
      </c>
      <c r="J1476" s="184" t="s">
        <v>92</v>
      </c>
      <c r="K1476" s="184" t="s">
        <v>285</v>
      </c>
      <c r="L1476" s="184" t="s">
        <v>598</v>
      </c>
      <c r="M1476" s="184" t="s">
        <v>598</v>
      </c>
      <c r="N1476" s="184" t="s">
        <v>79</v>
      </c>
      <c r="O1476" s="184" t="s">
        <v>112</v>
      </c>
      <c r="P1476" s="186" t="s">
        <v>73</v>
      </c>
      <c r="Q1476" s="184" t="s">
        <v>598</v>
      </c>
      <c r="R1476" s="184" t="s">
        <v>598</v>
      </c>
      <c r="S1476" s="127">
        <v>42885</v>
      </c>
      <c r="T1476" s="184" t="s">
        <v>34</v>
      </c>
      <c r="U1476" s="184" t="s">
        <v>598</v>
      </c>
      <c r="V1476" s="185">
        <v>3500</v>
      </c>
      <c r="W1476" s="184" t="s">
        <v>493</v>
      </c>
      <c r="X1476" s="184" t="s">
        <v>598</v>
      </c>
      <c r="Y1476" s="185">
        <v>0</v>
      </c>
      <c r="Z1476" s="184" t="s">
        <v>598</v>
      </c>
      <c r="AA1476" s="21" t="s">
        <v>610</v>
      </c>
      <c r="AB1476" s="176" t="s">
        <v>489</v>
      </c>
      <c r="AC1476" s="172">
        <v>42996.328472222223</v>
      </c>
      <c r="AD1476" s="32" t="s">
        <v>552</v>
      </c>
    </row>
    <row r="1477" spans="1:30">
      <c r="A1477" s="184">
        <v>1476</v>
      </c>
      <c r="B1477" s="184" t="s">
        <v>3555</v>
      </c>
      <c r="C1477" s="184" t="s">
        <v>598</v>
      </c>
      <c r="D1477" s="127">
        <v>42683</v>
      </c>
      <c r="E1477" s="127" t="s">
        <v>598</v>
      </c>
      <c r="F1477" s="184" t="s">
        <v>3524</v>
      </c>
      <c r="G1477" s="185">
        <v>0</v>
      </c>
      <c r="H1477" s="184" t="s">
        <v>598</v>
      </c>
      <c r="I1477" s="184" t="s">
        <v>115</v>
      </c>
      <c r="J1477" s="184" t="s">
        <v>92</v>
      </c>
      <c r="K1477" s="184" t="s">
        <v>463</v>
      </c>
      <c r="L1477" s="184" t="s">
        <v>598</v>
      </c>
      <c r="M1477" s="184" t="s">
        <v>598</v>
      </c>
      <c r="N1477" s="184" t="s">
        <v>79</v>
      </c>
      <c r="O1477" s="184" t="s">
        <v>79</v>
      </c>
      <c r="P1477" s="186" t="s">
        <v>601</v>
      </c>
      <c r="Q1477" s="184" t="s">
        <v>598</v>
      </c>
      <c r="R1477" s="184" t="s">
        <v>598</v>
      </c>
      <c r="S1477" s="127">
        <v>42858</v>
      </c>
      <c r="T1477" s="184" t="s">
        <v>10</v>
      </c>
      <c r="U1477" s="184" t="s">
        <v>598</v>
      </c>
      <c r="V1477" s="185">
        <v>12000</v>
      </c>
      <c r="W1477" s="184" t="s">
        <v>493</v>
      </c>
      <c r="X1477" s="184" t="s">
        <v>598</v>
      </c>
      <c r="Y1477" s="185">
        <v>0</v>
      </c>
      <c r="Z1477" s="184" t="s">
        <v>598</v>
      </c>
      <c r="AA1477" s="21" t="s">
        <v>610</v>
      </c>
      <c r="AB1477" s="176" t="s">
        <v>489</v>
      </c>
      <c r="AC1477" s="172">
        <v>42996.328472222223</v>
      </c>
      <c r="AD1477" s="32" t="s">
        <v>552</v>
      </c>
    </row>
    <row r="1478" spans="1:30">
      <c r="A1478" s="184">
        <v>1477</v>
      </c>
      <c r="B1478" s="184" t="s">
        <v>3556</v>
      </c>
      <c r="C1478" s="184" t="s">
        <v>598</v>
      </c>
      <c r="D1478" s="127">
        <v>42802</v>
      </c>
      <c r="E1478" s="127" t="s">
        <v>598</v>
      </c>
      <c r="F1478" s="184" t="s">
        <v>1848</v>
      </c>
      <c r="G1478" s="185">
        <v>0</v>
      </c>
      <c r="H1478" s="184" t="s">
        <v>598</v>
      </c>
      <c r="I1478" s="184" t="s">
        <v>135</v>
      </c>
      <c r="J1478" s="184" t="s">
        <v>92</v>
      </c>
      <c r="K1478" s="184" t="s">
        <v>261</v>
      </c>
      <c r="L1478" s="184" t="s">
        <v>598</v>
      </c>
      <c r="M1478" s="184" t="s">
        <v>598</v>
      </c>
      <c r="N1478" s="184" t="s">
        <v>79</v>
      </c>
      <c r="O1478" s="184" t="s">
        <v>112</v>
      </c>
      <c r="P1478" s="186" t="s">
        <v>32</v>
      </c>
      <c r="Q1478" s="184" t="s">
        <v>598</v>
      </c>
      <c r="R1478" s="184" t="s">
        <v>804</v>
      </c>
      <c r="S1478" s="127">
        <v>42885</v>
      </c>
      <c r="T1478" s="184" t="s">
        <v>10</v>
      </c>
      <c r="U1478" s="184" t="s">
        <v>598</v>
      </c>
      <c r="V1478" s="185">
        <v>3000</v>
      </c>
      <c r="W1478" s="184" t="s">
        <v>493</v>
      </c>
      <c r="X1478" s="184" t="s">
        <v>598</v>
      </c>
      <c r="Y1478" s="185">
        <v>0</v>
      </c>
      <c r="Z1478" s="184" t="s">
        <v>598</v>
      </c>
      <c r="AA1478" s="21" t="s">
        <v>610</v>
      </c>
      <c r="AB1478" s="176" t="s">
        <v>489</v>
      </c>
      <c r="AC1478" s="172">
        <v>42996.328472222223</v>
      </c>
      <c r="AD1478" s="32" t="s">
        <v>552</v>
      </c>
    </row>
    <row r="1479" spans="1:30">
      <c r="A1479" s="184">
        <v>1478</v>
      </c>
      <c r="B1479" s="184" t="s">
        <v>3557</v>
      </c>
      <c r="C1479" s="184" t="s">
        <v>598</v>
      </c>
      <c r="D1479" s="127">
        <v>42842</v>
      </c>
      <c r="E1479" s="127" t="s">
        <v>598</v>
      </c>
      <c r="F1479" s="184" t="s">
        <v>3558</v>
      </c>
      <c r="G1479" s="185">
        <v>0</v>
      </c>
      <c r="H1479" s="184" t="s">
        <v>598</v>
      </c>
      <c r="I1479" s="184" t="s">
        <v>134</v>
      </c>
      <c r="J1479" s="184" t="s">
        <v>92</v>
      </c>
      <c r="K1479" s="184" t="s">
        <v>1870</v>
      </c>
      <c r="L1479" s="184" t="s">
        <v>598</v>
      </c>
      <c r="M1479" s="184" t="s">
        <v>598</v>
      </c>
      <c r="N1479" s="184" t="s">
        <v>79</v>
      </c>
      <c r="O1479" s="184" t="s">
        <v>79</v>
      </c>
      <c r="P1479" s="186" t="s">
        <v>53</v>
      </c>
      <c r="Q1479" s="184" t="s">
        <v>598</v>
      </c>
      <c r="R1479" s="184" t="s">
        <v>598</v>
      </c>
      <c r="S1479" s="127">
        <v>42860</v>
      </c>
      <c r="T1479" s="184" t="s">
        <v>494</v>
      </c>
      <c r="U1479" s="184" t="s">
        <v>598</v>
      </c>
      <c r="V1479" s="185">
        <v>4000</v>
      </c>
      <c r="W1479" s="184" t="s">
        <v>493</v>
      </c>
      <c r="X1479" s="184" t="s">
        <v>598</v>
      </c>
      <c r="Y1479" s="185">
        <v>0</v>
      </c>
      <c r="Z1479" s="184" t="s">
        <v>598</v>
      </c>
      <c r="AA1479" s="21" t="s">
        <v>610</v>
      </c>
      <c r="AB1479" s="176" t="s">
        <v>489</v>
      </c>
      <c r="AC1479" s="172">
        <v>42996.328472222223</v>
      </c>
      <c r="AD1479" s="32" t="s">
        <v>552</v>
      </c>
    </row>
    <row r="1480" spans="1:30">
      <c r="A1480" s="184">
        <v>1479</v>
      </c>
      <c r="B1480" s="184" t="s">
        <v>3559</v>
      </c>
      <c r="C1480" s="184" t="s">
        <v>598</v>
      </c>
      <c r="D1480" s="127">
        <v>42842</v>
      </c>
      <c r="E1480" s="127" t="s">
        <v>598</v>
      </c>
      <c r="F1480" s="184" t="s">
        <v>3560</v>
      </c>
      <c r="G1480" s="185">
        <v>0</v>
      </c>
      <c r="H1480" s="184" t="s">
        <v>598</v>
      </c>
      <c r="I1480" s="184" t="s">
        <v>134</v>
      </c>
      <c r="J1480" s="184" t="s">
        <v>92</v>
      </c>
      <c r="K1480" s="184" t="s">
        <v>377</v>
      </c>
      <c r="L1480" s="184" t="s">
        <v>598</v>
      </c>
      <c r="M1480" s="184" t="s">
        <v>598</v>
      </c>
      <c r="N1480" s="184" t="s">
        <v>79</v>
      </c>
      <c r="O1480" s="184" t="s">
        <v>79</v>
      </c>
      <c r="P1480" s="186" t="s">
        <v>44</v>
      </c>
      <c r="Q1480" s="184" t="s">
        <v>598</v>
      </c>
      <c r="R1480" s="184" t="s">
        <v>598</v>
      </c>
      <c r="S1480" s="127">
        <v>42867</v>
      </c>
      <c r="T1480" s="184" t="s">
        <v>10</v>
      </c>
      <c r="U1480" s="184" t="s">
        <v>598</v>
      </c>
      <c r="V1480" s="185">
        <v>5000</v>
      </c>
      <c r="W1480" s="184" t="s">
        <v>493</v>
      </c>
      <c r="X1480" s="184" t="s">
        <v>598</v>
      </c>
      <c r="Y1480" s="185">
        <v>0</v>
      </c>
      <c r="Z1480" s="184" t="s">
        <v>598</v>
      </c>
      <c r="AA1480" s="21" t="s">
        <v>610</v>
      </c>
      <c r="AB1480" s="176" t="s">
        <v>489</v>
      </c>
      <c r="AC1480" s="172">
        <v>42996.328472222223</v>
      </c>
      <c r="AD1480" s="32" t="s">
        <v>552</v>
      </c>
    </row>
    <row r="1481" spans="1:30">
      <c r="A1481" s="184">
        <v>1480</v>
      </c>
      <c r="B1481" s="184" t="s">
        <v>3561</v>
      </c>
      <c r="C1481" s="184" t="s">
        <v>598</v>
      </c>
      <c r="D1481" s="127">
        <v>42849</v>
      </c>
      <c r="E1481" s="127" t="s">
        <v>598</v>
      </c>
      <c r="F1481" s="184" t="s">
        <v>3562</v>
      </c>
      <c r="G1481" s="185">
        <v>0</v>
      </c>
      <c r="H1481" s="184" t="s">
        <v>598</v>
      </c>
      <c r="I1481" s="184" t="s">
        <v>134</v>
      </c>
      <c r="J1481" s="184" t="s">
        <v>92</v>
      </c>
      <c r="K1481" s="184" t="s">
        <v>598</v>
      </c>
      <c r="L1481" s="184" t="s">
        <v>598</v>
      </c>
      <c r="M1481" s="184" t="s">
        <v>29</v>
      </c>
      <c r="N1481" s="184" t="s">
        <v>79</v>
      </c>
      <c r="O1481" s="184" t="s">
        <v>112</v>
      </c>
      <c r="P1481" s="186" t="s">
        <v>67</v>
      </c>
      <c r="Q1481" s="184" t="s">
        <v>598</v>
      </c>
      <c r="R1481" s="184" t="s">
        <v>598</v>
      </c>
      <c r="S1481" s="127">
        <v>42866</v>
      </c>
      <c r="T1481" s="184" t="s">
        <v>34</v>
      </c>
      <c r="U1481" s="184" t="s">
        <v>598</v>
      </c>
      <c r="V1481" s="185">
        <v>2500</v>
      </c>
      <c r="W1481" s="184" t="s">
        <v>493</v>
      </c>
      <c r="X1481" s="184" t="s">
        <v>598</v>
      </c>
      <c r="Y1481" s="185">
        <v>0</v>
      </c>
      <c r="Z1481" s="184" t="s">
        <v>598</v>
      </c>
      <c r="AA1481" s="21" t="s">
        <v>610</v>
      </c>
      <c r="AB1481" s="176" t="s">
        <v>489</v>
      </c>
      <c r="AC1481" s="172">
        <v>42996.328472222223</v>
      </c>
      <c r="AD1481" s="32" t="s">
        <v>552</v>
      </c>
    </row>
    <row r="1482" spans="1:30">
      <c r="A1482" s="184">
        <v>1481</v>
      </c>
      <c r="B1482" s="184" t="s">
        <v>3563</v>
      </c>
      <c r="C1482" s="184" t="s">
        <v>598</v>
      </c>
      <c r="D1482" s="127">
        <v>42849</v>
      </c>
      <c r="E1482" s="127" t="s">
        <v>598</v>
      </c>
      <c r="F1482" s="184" t="s">
        <v>3564</v>
      </c>
      <c r="G1482" s="185">
        <v>0</v>
      </c>
      <c r="H1482" s="184" t="s">
        <v>598</v>
      </c>
      <c r="I1482" s="184" t="s">
        <v>134</v>
      </c>
      <c r="J1482" s="184" t="s">
        <v>92</v>
      </c>
      <c r="K1482" s="184" t="s">
        <v>316</v>
      </c>
      <c r="L1482" s="184" t="s">
        <v>598</v>
      </c>
      <c r="M1482" s="184" t="s">
        <v>598</v>
      </c>
      <c r="N1482" s="184" t="s">
        <v>79</v>
      </c>
      <c r="O1482" s="184" t="s">
        <v>112</v>
      </c>
      <c r="P1482" s="186" t="s">
        <v>602</v>
      </c>
      <c r="Q1482" s="184" t="s">
        <v>598</v>
      </c>
      <c r="R1482" s="184" t="s">
        <v>598</v>
      </c>
      <c r="S1482" s="127">
        <v>42858</v>
      </c>
      <c r="T1482" s="184" t="s">
        <v>34</v>
      </c>
      <c r="U1482" s="184" t="s">
        <v>598</v>
      </c>
      <c r="V1482" s="185">
        <v>5000</v>
      </c>
      <c r="W1482" s="184" t="s">
        <v>493</v>
      </c>
      <c r="X1482" s="184" t="s">
        <v>598</v>
      </c>
      <c r="Y1482" s="185">
        <v>0</v>
      </c>
      <c r="Z1482" s="184" t="s">
        <v>598</v>
      </c>
      <c r="AA1482" s="21" t="s">
        <v>610</v>
      </c>
      <c r="AB1482" s="176" t="s">
        <v>489</v>
      </c>
      <c r="AC1482" s="172">
        <v>42996.328472222223</v>
      </c>
      <c r="AD1482" s="32" t="s">
        <v>552</v>
      </c>
    </row>
    <row r="1483" spans="1:30">
      <c r="A1483" s="184">
        <v>1482</v>
      </c>
      <c r="B1483" s="184" t="s">
        <v>3565</v>
      </c>
      <c r="C1483" s="184" t="s">
        <v>598</v>
      </c>
      <c r="D1483" s="127">
        <v>42850</v>
      </c>
      <c r="E1483" s="127" t="s">
        <v>598</v>
      </c>
      <c r="F1483" s="184" t="s">
        <v>3566</v>
      </c>
      <c r="G1483" s="185">
        <v>0</v>
      </c>
      <c r="H1483" s="184" t="s">
        <v>598</v>
      </c>
      <c r="I1483" s="184" t="s">
        <v>115</v>
      </c>
      <c r="J1483" s="184" t="s">
        <v>92</v>
      </c>
      <c r="K1483" s="184" t="s">
        <v>3567</v>
      </c>
      <c r="L1483" s="184" t="s">
        <v>598</v>
      </c>
      <c r="M1483" s="184" t="s">
        <v>598</v>
      </c>
      <c r="N1483" s="184" t="s">
        <v>79</v>
      </c>
      <c r="O1483" s="184" t="s">
        <v>112</v>
      </c>
      <c r="P1483" s="186" t="s">
        <v>603</v>
      </c>
      <c r="Q1483" s="184" t="s">
        <v>598</v>
      </c>
      <c r="R1483" s="184" t="s">
        <v>598</v>
      </c>
      <c r="S1483" s="127">
        <v>42858</v>
      </c>
      <c r="T1483" s="184" t="s">
        <v>10</v>
      </c>
      <c r="U1483" s="184" t="s">
        <v>598</v>
      </c>
      <c r="V1483" s="185">
        <v>15000</v>
      </c>
      <c r="W1483" s="184" t="s">
        <v>493</v>
      </c>
      <c r="X1483" s="184" t="s">
        <v>598</v>
      </c>
      <c r="Y1483" s="185">
        <v>0</v>
      </c>
      <c r="Z1483" s="184" t="s">
        <v>598</v>
      </c>
      <c r="AA1483" s="21" t="s">
        <v>610</v>
      </c>
      <c r="AB1483" s="176" t="s">
        <v>489</v>
      </c>
      <c r="AC1483" s="172">
        <v>42996.328472222223</v>
      </c>
      <c r="AD1483" s="32" t="s">
        <v>552</v>
      </c>
    </row>
    <row r="1484" spans="1:30">
      <c r="A1484" s="184">
        <v>1483</v>
      </c>
      <c r="B1484" s="184" t="s">
        <v>3568</v>
      </c>
      <c r="C1484" s="184" t="s">
        <v>598</v>
      </c>
      <c r="D1484" s="127">
        <v>42852</v>
      </c>
      <c r="E1484" s="127" t="s">
        <v>598</v>
      </c>
      <c r="F1484" s="184" t="s">
        <v>3569</v>
      </c>
      <c r="G1484" s="185">
        <v>0</v>
      </c>
      <c r="H1484" s="184" t="s">
        <v>598</v>
      </c>
      <c r="I1484" s="184" t="s">
        <v>118</v>
      </c>
      <c r="J1484" s="184" t="s">
        <v>92</v>
      </c>
      <c r="K1484" s="184" t="s">
        <v>186</v>
      </c>
      <c r="L1484" s="184" t="s">
        <v>598</v>
      </c>
      <c r="M1484" s="184" t="s">
        <v>598</v>
      </c>
      <c r="N1484" s="184" t="s">
        <v>79</v>
      </c>
      <c r="O1484" s="184" t="s">
        <v>79</v>
      </c>
      <c r="P1484" s="186"/>
      <c r="Q1484" s="184" t="s">
        <v>598</v>
      </c>
      <c r="R1484" s="184" t="s">
        <v>598</v>
      </c>
      <c r="S1484" s="127">
        <v>42871</v>
      </c>
      <c r="T1484" s="184" t="s">
        <v>34</v>
      </c>
      <c r="U1484" s="184" t="s">
        <v>598</v>
      </c>
      <c r="V1484" s="185">
        <v>2000</v>
      </c>
      <c r="W1484" s="184" t="s">
        <v>493</v>
      </c>
      <c r="X1484" s="184" t="s">
        <v>598</v>
      </c>
      <c r="Y1484" s="185">
        <v>0</v>
      </c>
      <c r="Z1484" s="184" t="s">
        <v>598</v>
      </c>
      <c r="AA1484" s="21" t="s">
        <v>610</v>
      </c>
      <c r="AB1484" s="176" t="s">
        <v>489</v>
      </c>
      <c r="AC1484" s="172">
        <v>42996.328472222223</v>
      </c>
      <c r="AD1484" s="32" t="s">
        <v>552</v>
      </c>
    </row>
    <row r="1485" spans="1:30">
      <c r="A1485" s="184">
        <v>1484</v>
      </c>
      <c r="B1485" s="184" t="s">
        <v>3570</v>
      </c>
      <c r="C1485" s="184" t="s">
        <v>598</v>
      </c>
      <c r="D1485" s="127">
        <v>42852</v>
      </c>
      <c r="E1485" s="127" t="s">
        <v>598</v>
      </c>
      <c r="F1485" s="184" t="s">
        <v>3571</v>
      </c>
      <c r="G1485" s="185">
        <v>0</v>
      </c>
      <c r="H1485" s="184" t="s">
        <v>598</v>
      </c>
      <c r="I1485" s="184" t="s">
        <v>134</v>
      </c>
      <c r="J1485" s="184" t="s">
        <v>92</v>
      </c>
      <c r="K1485" s="184" t="s">
        <v>403</v>
      </c>
      <c r="L1485" s="184" t="s">
        <v>598</v>
      </c>
      <c r="M1485" s="184" t="s">
        <v>29</v>
      </c>
      <c r="N1485" s="184" t="s">
        <v>79</v>
      </c>
      <c r="O1485" s="184" t="s">
        <v>112</v>
      </c>
      <c r="P1485" s="186" t="s">
        <v>605</v>
      </c>
      <c r="Q1485" s="184" t="s">
        <v>598</v>
      </c>
      <c r="R1485" s="184" t="s">
        <v>598</v>
      </c>
      <c r="S1485" s="127">
        <v>42866</v>
      </c>
      <c r="T1485" s="184" t="s">
        <v>34</v>
      </c>
      <c r="U1485" s="184" t="s">
        <v>598</v>
      </c>
      <c r="V1485" s="185">
        <v>2500</v>
      </c>
      <c r="W1485" s="184" t="s">
        <v>493</v>
      </c>
      <c r="X1485" s="184" t="s">
        <v>598</v>
      </c>
      <c r="Y1485" s="185">
        <v>0</v>
      </c>
      <c r="Z1485" s="184" t="s">
        <v>598</v>
      </c>
      <c r="AA1485" s="21" t="s">
        <v>610</v>
      </c>
      <c r="AB1485" s="176" t="s">
        <v>489</v>
      </c>
      <c r="AC1485" s="172">
        <v>42996.328472222223</v>
      </c>
      <c r="AD1485" s="32" t="s">
        <v>552</v>
      </c>
    </row>
    <row r="1486" spans="1:30">
      <c r="A1486" s="184">
        <v>1485</v>
      </c>
      <c r="B1486" s="184" t="s">
        <v>3572</v>
      </c>
      <c r="C1486" s="184" t="s">
        <v>598</v>
      </c>
      <c r="D1486" s="127">
        <v>42853</v>
      </c>
      <c r="E1486" s="127" t="s">
        <v>598</v>
      </c>
      <c r="F1486" s="184" t="s">
        <v>3573</v>
      </c>
      <c r="G1486" s="185">
        <v>0</v>
      </c>
      <c r="H1486" s="184" t="s">
        <v>598</v>
      </c>
      <c r="I1486" s="184" t="s">
        <v>134</v>
      </c>
      <c r="J1486" s="184" t="s">
        <v>92</v>
      </c>
      <c r="K1486" s="184" t="s">
        <v>40</v>
      </c>
      <c r="L1486" s="184" t="s">
        <v>598</v>
      </c>
      <c r="M1486" s="184" t="s">
        <v>598</v>
      </c>
      <c r="N1486" s="184" t="s">
        <v>79</v>
      </c>
      <c r="O1486" s="184" t="s">
        <v>112</v>
      </c>
      <c r="P1486" s="186" t="s">
        <v>606</v>
      </c>
      <c r="Q1486" s="184" t="s">
        <v>598</v>
      </c>
      <c r="R1486" s="184" t="s">
        <v>598</v>
      </c>
      <c r="S1486" s="127">
        <v>42856</v>
      </c>
      <c r="T1486" s="184" t="s">
        <v>34</v>
      </c>
      <c r="U1486" s="184" t="s">
        <v>598</v>
      </c>
      <c r="V1486" s="185">
        <v>6000</v>
      </c>
      <c r="W1486" s="184" t="s">
        <v>493</v>
      </c>
      <c r="X1486" s="184" t="s">
        <v>598</v>
      </c>
      <c r="Y1486" s="185">
        <v>0</v>
      </c>
      <c r="Z1486" s="184" t="s">
        <v>598</v>
      </c>
      <c r="AA1486" s="21" t="s">
        <v>610</v>
      </c>
      <c r="AB1486" s="176" t="s">
        <v>489</v>
      </c>
      <c r="AC1486" s="172">
        <v>42996.328472222223</v>
      </c>
      <c r="AD1486" s="32" t="s">
        <v>552</v>
      </c>
    </row>
    <row r="1487" spans="1:30">
      <c r="A1487" s="184">
        <v>1486</v>
      </c>
      <c r="B1487" s="184" t="s">
        <v>3574</v>
      </c>
      <c r="C1487" s="184" t="s">
        <v>598</v>
      </c>
      <c r="D1487" s="127">
        <v>42854</v>
      </c>
      <c r="E1487" s="127" t="s">
        <v>598</v>
      </c>
      <c r="F1487" s="184" t="s">
        <v>3575</v>
      </c>
      <c r="G1487" s="185">
        <v>0</v>
      </c>
      <c r="H1487" s="184" t="s">
        <v>598</v>
      </c>
      <c r="I1487" s="184" t="s">
        <v>134</v>
      </c>
      <c r="J1487" s="184" t="s">
        <v>92</v>
      </c>
      <c r="K1487" s="184" t="s">
        <v>180</v>
      </c>
      <c r="L1487" s="184" t="s">
        <v>598</v>
      </c>
      <c r="M1487" s="184" t="s">
        <v>598</v>
      </c>
      <c r="N1487" s="184" t="s">
        <v>79</v>
      </c>
      <c r="O1487" s="184" t="s">
        <v>112</v>
      </c>
      <c r="P1487" s="186"/>
      <c r="Q1487" s="184" t="s">
        <v>598</v>
      </c>
      <c r="R1487" s="184" t="s">
        <v>598</v>
      </c>
      <c r="S1487" s="127">
        <v>42872</v>
      </c>
      <c r="T1487" s="184" t="s">
        <v>10</v>
      </c>
      <c r="U1487" s="184" t="s">
        <v>598</v>
      </c>
      <c r="V1487" s="185">
        <v>4000</v>
      </c>
      <c r="W1487" s="184" t="s">
        <v>493</v>
      </c>
      <c r="X1487" s="184" t="s">
        <v>598</v>
      </c>
      <c r="Y1487" s="185">
        <v>0</v>
      </c>
      <c r="Z1487" s="184" t="s">
        <v>598</v>
      </c>
      <c r="AA1487" s="21" t="s">
        <v>610</v>
      </c>
      <c r="AB1487" s="176" t="s">
        <v>489</v>
      </c>
      <c r="AC1487" s="172">
        <v>42996.328472222223</v>
      </c>
      <c r="AD1487" s="32" t="s">
        <v>552</v>
      </c>
    </row>
    <row r="1488" spans="1:30">
      <c r="A1488" s="184">
        <v>1487</v>
      </c>
      <c r="B1488" s="184" t="s">
        <v>3576</v>
      </c>
      <c r="C1488" s="184" t="s">
        <v>598</v>
      </c>
      <c r="D1488" s="127">
        <v>42854</v>
      </c>
      <c r="E1488" s="127" t="s">
        <v>598</v>
      </c>
      <c r="F1488" s="184" t="s">
        <v>3577</v>
      </c>
      <c r="G1488" s="185">
        <v>0</v>
      </c>
      <c r="H1488" s="184" t="s">
        <v>598</v>
      </c>
      <c r="I1488" s="184" t="s">
        <v>134</v>
      </c>
      <c r="J1488" s="184" t="s">
        <v>92</v>
      </c>
      <c r="K1488" s="184" t="s">
        <v>196</v>
      </c>
      <c r="L1488" s="184" t="s">
        <v>598</v>
      </c>
      <c r="M1488" s="184" t="s">
        <v>598</v>
      </c>
      <c r="N1488" s="184" t="s">
        <v>79</v>
      </c>
      <c r="O1488" s="184" t="s">
        <v>79</v>
      </c>
      <c r="P1488" s="186" t="s">
        <v>73</v>
      </c>
      <c r="Q1488" s="184" t="s">
        <v>598</v>
      </c>
      <c r="R1488" s="184" t="s">
        <v>598</v>
      </c>
      <c r="S1488" s="127">
        <v>42874</v>
      </c>
      <c r="T1488" s="184" t="s">
        <v>494</v>
      </c>
      <c r="U1488" s="184" t="s">
        <v>598</v>
      </c>
      <c r="V1488" s="185">
        <v>3000</v>
      </c>
      <c r="W1488" s="184" t="s">
        <v>493</v>
      </c>
      <c r="X1488" s="184" t="s">
        <v>598</v>
      </c>
      <c r="Y1488" s="185">
        <v>0</v>
      </c>
      <c r="Z1488" s="184" t="s">
        <v>598</v>
      </c>
      <c r="AA1488" s="21" t="s">
        <v>610</v>
      </c>
      <c r="AB1488" s="176" t="s">
        <v>489</v>
      </c>
      <c r="AC1488" s="172">
        <v>42996.328472222223</v>
      </c>
      <c r="AD1488" s="32" t="s">
        <v>552</v>
      </c>
    </row>
    <row r="1489" spans="1:30">
      <c r="A1489" s="184">
        <v>1488</v>
      </c>
      <c r="B1489" s="184" t="s">
        <v>3578</v>
      </c>
      <c r="C1489" s="184" t="s">
        <v>598</v>
      </c>
      <c r="D1489" s="127">
        <v>42854</v>
      </c>
      <c r="E1489" s="127" t="s">
        <v>598</v>
      </c>
      <c r="F1489" s="184" t="s">
        <v>3579</v>
      </c>
      <c r="G1489" s="185">
        <v>0</v>
      </c>
      <c r="H1489" s="184" t="s">
        <v>598</v>
      </c>
      <c r="I1489" s="184" t="s">
        <v>135</v>
      </c>
      <c r="J1489" s="184" t="s">
        <v>92</v>
      </c>
      <c r="K1489" s="184" t="s">
        <v>467</v>
      </c>
      <c r="L1489" s="184" t="s">
        <v>598</v>
      </c>
      <c r="M1489" s="184" t="s">
        <v>598</v>
      </c>
      <c r="N1489" s="184" t="s">
        <v>79</v>
      </c>
      <c r="O1489" s="184" t="s">
        <v>79</v>
      </c>
      <c r="P1489" s="186" t="s">
        <v>601</v>
      </c>
      <c r="Q1489" s="184" t="s">
        <v>598</v>
      </c>
      <c r="R1489" s="184" t="s">
        <v>598</v>
      </c>
      <c r="S1489" s="127">
        <v>42866</v>
      </c>
      <c r="T1489" s="184" t="s">
        <v>34</v>
      </c>
      <c r="U1489" s="184" t="s">
        <v>598</v>
      </c>
      <c r="V1489" s="185">
        <v>2500</v>
      </c>
      <c r="W1489" s="184" t="s">
        <v>493</v>
      </c>
      <c r="X1489" s="184" t="s">
        <v>598</v>
      </c>
      <c r="Y1489" s="185">
        <v>0</v>
      </c>
      <c r="Z1489" s="184" t="s">
        <v>598</v>
      </c>
      <c r="AA1489" s="21" t="s">
        <v>610</v>
      </c>
      <c r="AB1489" s="176" t="s">
        <v>489</v>
      </c>
      <c r="AC1489" s="172">
        <v>42996.328472222223</v>
      </c>
      <c r="AD1489" s="32" t="s">
        <v>552</v>
      </c>
    </row>
    <row r="1490" spans="1:30">
      <c r="A1490" s="184">
        <v>1489</v>
      </c>
      <c r="B1490" s="184" t="s">
        <v>3580</v>
      </c>
      <c r="C1490" s="184" t="s">
        <v>598</v>
      </c>
      <c r="D1490" s="127">
        <v>42859</v>
      </c>
      <c r="E1490" s="127" t="s">
        <v>598</v>
      </c>
      <c r="F1490" s="184" t="s">
        <v>3581</v>
      </c>
      <c r="G1490" s="185">
        <v>0</v>
      </c>
      <c r="H1490" s="184" t="s">
        <v>598</v>
      </c>
      <c r="I1490" s="184" t="s">
        <v>135</v>
      </c>
      <c r="J1490" s="184" t="s">
        <v>97</v>
      </c>
      <c r="K1490" s="184" t="s">
        <v>468</v>
      </c>
      <c r="L1490" s="184" t="s">
        <v>598</v>
      </c>
      <c r="M1490" s="184" t="s">
        <v>598</v>
      </c>
      <c r="N1490" s="184" t="s">
        <v>30</v>
      </c>
      <c r="O1490" s="184" t="s">
        <v>30</v>
      </c>
      <c r="P1490" s="186" t="s">
        <v>32</v>
      </c>
      <c r="Q1490" s="184" t="s">
        <v>598</v>
      </c>
      <c r="R1490" s="184" t="s">
        <v>598</v>
      </c>
      <c r="S1490" s="127">
        <v>42863</v>
      </c>
      <c r="T1490" s="184" t="s">
        <v>10</v>
      </c>
      <c r="U1490" s="184" t="s">
        <v>598</v>
      </c>
      <c r="V1490" s="185">
        <v>3500</v>
      </c>
      <c r="W1490" s="184" t="s">
        <v>493</v>
      </c>
      <c r="X1490" s="184" t="s">
        <v>598</v>
      </c>
      <c r="Y1490" s="185">
        <v>0</v>
      </c>
      <c r="Z1490" s="184" t="s">
        <v>598</v>
      </c>
      <c r="AA1490" s="21" t="s">
        <v>610</v>
      </c>
      <c r="AB1490" s="176" t="s">
        <v>489</v>
      </c>
      <c r="AC1490" s="172">
        <v>42996.328472222223</v>
      </c>
      <c r="AD1490" s="32" t="s">
        <v>552</v>
      </c>
    </row>
    <row r="1491" spans="1:30">
      <c r="A1491" s="184">
        <v>1490</v>
      </c>
      <c r="B1491" s="184" t="s">
        <v>3582</v>
      </c>
      <c r="C1491" s="184" t="s">
        <v>598</v>
      </c>
      <c r="D1491" s="127">
        <v>42856</v>
      </c>
      <c r="E1491" s="127" t="s">
        <v>598</v>
      </c>
      <c r="F1491" s="184" t="s">
        <v>3583</v>
      </c>
      <c r="G1491" s="185">
        <v>0</v>
      </c>
      <c r="H1491" s="184" t="s">
        <v>598</v>
      </c>
      <c r="I1491" s="184" t="s">
        <v>598</v>
      </c>
      <c r="J1491" s="184" t="s">
        <v>102</v>
      </c>
      <c r="K1491" s="184" t="s">
        <v>245</v>
      </c>
      <c r="L1491" s="184" t="s">
        <v>598</v>
      </c>
      <c r="M1491" s="184" t="s">
        <v>598</v>
      </c>
      <c r="N1491" s="184" t="s">
        <v>63</v>
      </c>
      <c r="O1491" s="184" t="s">
        <v>63</v>
      </c>
      <c r="P1491" s="186" t="s">
        <v>53</v>
      </c>
      <c r="Q1491" s="184" t="s">
        <v>598</v>
      </c>
      <c r="R1491" s="184" t="s">
        <v>598</v>
      </c>
      <c r="S1491" s="127">
        <v>42878</v>
      </c>
      <c r="T1491" s="184" t="s">
        <v>10</v>
      </c>
      <c r="U1491" s="184" t="s">
        <v>598</v>
      </c>
      <c r="V1491" s="185">
        <v>3000</v>
      </c>
      <c r="W1491" s="184" t="s">
        <v>493</v>
      </c>
      <c r="X1491" s="184" t="s">
        <v>598</v>
      </c>
      <c r="Y1491" s="185">
        <v>0</v>
      </c>
      <c r="Z1491" s="184" t="s">
        <v>598</v>
      </c>
      <c r="AA1491" s="21" t="s">
        <v>610</v>
      </c>
      <c r="AB1491" s="176" t="s">
        <v>489</v>
      </c>
      <c r="AC1491" s="172">
        <v>42996.328472222223</v>
      </c>
      <c r="AD1491" s="32" t="s">
        <v>552</v>
      </c>
    </row>
    <row r="1492" spans="1:30">
      <c r="A1492" s="184">
        <v>1491</v>
      </c>
      <c r="B1492" s="184" t="s">
        <v>3584</v>
      </c>
      <c r="C1492" s="184" t="s">
        <v>598</v>
      </c>
      <c r="D1492" s="127">
        <v>42856</v>
      </c>
      <c r="E1492" s="127" t="s">
        <v>598</v>
      </c>
      <c r="F1492" s="184" t="s">
        <v>3585</v>
      </c>
      <c r="G1492" s="185">
        <v>8002000</v>
      </c>
      <c r="H1492" s="184" t="s">
        <v>598</v>
      </c>
      <c r="I1492" s="184" t="s">
        <v>598</v>
      </c>
      <c r="J1492" s="184" t="s">
        <v>102</v>
      </c>
      <c r="K1492" s="184" t="s">
        <v>233</v>
      </c>
      <c r="L1492" s="184" t="s">
        <v>598</v>
      </c>
      <c r="M1492" s="184" t="s">
        <v>598</v>
      </c>
      <c r="N1492" s="184" t="s">
        <v>63</v>
      </c>
      <c r="O1492" s="184" t="s">
        <v>63</v>
      </c>
      <c r="P1492" s="186" t="s">
        <v>44</v>
      </c>
      <c r="Q1492" s="184" t="s">
        <v>598</v>
      </c>
      <c r="R1492" s="184" t="s">
        <v>598</v>
      </c>
      <c r="S1492" s="127">
        <v>42857</v>
      </c>
      <c r="T1492" s="184" t="s">
        <v>10</v>
      </c>
      <c r="U1492" s="184" t="s">
        <v>598</v>
      </c>
      <c r="V1492" s="185">
        <v>2000</v>
      </c>
      <c r="W1492" s="184" t="s">
        <v>493</v>
      </c>
      <c r="X1492" s="184" t="s">
        <v>598</v>
      </c>
      <c r="Y1492" s="185">
        <v>0</v>
      </c>
      <c r="Z1492" s="184" t="s">
        <v>598</v>
      </c>
      <c r="AA1492" s="21" t="s">
        <v>610</v>
      </c>
      <c r="AB1492" s="176" t="s">
        <v>489</v>
      </c>
      <c r="AC1492" s="172">
        <v>42996.328472222223</v>
      </c>
      <c r="AD1492" s="32" t="s">
        <v>552</v>
      </c>
    </row>
    <row r="1493" spans="1:30">
      <c r="A1493" s="184">
        <v>1492</v>
      </c>
      <c r="B1493" s="184" t="s">
        <v>3586</v>
      </c>
      <c r="C1493" s="184" t="s">
        <v>598</v>
      </c>
      <c r="D1493" s="127">
        <v>42856</v>
      </c>
      <c r="E1493" s="127" t="s">
        <v>598</v>
      </c>
      <c r="F1493" s="184" t="s">
        <v>3587</v>
      </c>
      <c r="G1493" s="185">
        <v>8010000</v>
      </c>
      <c r="H1493" s="184" t="s">
        <v>598</v>
      </c>
      <c r="I1493" s="184" t="s">
        <v>598</v>
      </c>
      <c r="J1493" s="184" t="s">
        <v>102</v>
      </c>
      <c r="K1493" s="184" t="s">
        <v>169</v>
      </c>
      <c r="L1493" s="184" t="s">
        <v>598</v>
      </c>
      <c r="M1493" s="184" t="s">
        <v>598</v>
      </c>
      <c r="N1493" s="184" t="s">
        <v>63</v>
      </c>
      <c r="O1493" s="184" t="s">
        <v>63</v>
      </c>
      <c r="P1493" s="186" t="s">
        <v>67</v>
      </c>
      <c r="Q1493" s="184" t="s">
        <v>598</v>
      </c>
      <c r="R1493" s="184" t="s">
        <v>598</v>
      </c>
      <c r="S1493" s="127">
        <v>42861</v>
      </c>
      <c r="T1493" s="184" t="s">
        <v>10</v>
      </c>
      <c r="U1493" s="184" t="s">
        <v>598</v>
      </c>
      <c r="V1493" s="185">
        <v>3000</v>
      </c>
      <c r="W1493" s="184" t="s">
        <v>493</v>
      </c>
      <c r="X1493" s="184" t="s">
        <v>598</v>
      </c>
      <c r="Y1493" s="185">
        <v>0</v>
      </c>
      <c r="Z1493" s="184" t="s">
        <v>598</v>
      </c>
      <c r="AA1493" s="21" t="s">
        <v>610</v>
      </c>
      <c r="AB1493" s="176" t="s">
        <v>489</v>
      </c>
      <c r="AC1493" s="172">
        <v>42996.328472222223</v>
      </c>
      <c r="AD1493" s="32" t="s">
        <v>552</v>
      </c>
    </row>
    <row r="1494" spans="1:30">
      <c r="A1494" s="184">
        <v>1493</v>
      </c>
      <c r="B1494" s="184" t="s">
        <v>3588</v>
      </c>
      <c r="C1494" s="184" t="s">
        <v>598</v>
      </c>
      <c r="D1494" s="127">
        <v>42856</v>
      </c>
      <c r="E1494" s="127" t="s">
        <v>598</v>
      </c>
      <c r="F1494" s="184" t="s">
        <v>3587</v>
      </c>
      <c r="G1494" s="185">
        <v>7740000</v>
      </c>
      <c r="H1494" s="184" t="s">
        <v>598</v>
      </c>
      <c r="I1494" s="184" t="s">
        <v>598</v>
      </c>
      <c r="J1494" s="184" t="s">
        <v>102</v>
      </c>
      <c r="K1494" s="184" t="s">
        <v>169</v>
      </c>
      <c r="L1494" s="184" t="s">
        <v>598</v>
      </c>
      <c r="M1494" s="184" t="s">
        <v>598</v>
      </c>
      <c r="N1494" s="184" t="s">
        <v>63</v>
      </c>
      <c r="O1494" s="184" t="s">
        <v>63</v>
      </c>
      <c r="P1494" s="186" t="s">
        <v>602</v>
      </c>
      <c r="Q1494" s="184" t="s">
        <v>598</v>
      </c>
      <c r="R1494" s="184" t="s">
        <v>598</v>
      </c>
      <c r="S1494" s="127">
        <v>42861</v>
      </c>
      <c r="T1494" s="184" t="s">
        <v>10</v>
      </c>
      <c r="U1494" s="184" t="s">
        <v>598</v>
      </c>
      <c r="V1494" s="185">
        <v>3000</v>
      </c>
      <c r="W1494" s="184" t="s">
        <v>493</v>
      </c>
      <c r="X1494" s="184" t="s">
        <v>598</v>
      </c>
      <c r="Y1494" s="185">
        <v>0</v>
      </c>
      <c r="Z1494" s="184" t="s">
        <v>598</v>
      </c>
      <c r="AA1494" s="21" t="s">
        <v>610</v>
      </c>
      <c r="AB1494" s="176" t="s">
        <v>489</v>
      </c>
      <c r="AC1494" s="172">
        <v>42996.328472222223</v>
      </c>
      <c r="AD1494" s="32" t="s">
        <v>552</v>
      </c>
    </row>
    <row r="1495" spans="1:30">
      <c r="A1495" s="184">
        <v>1494</v>
      </c>
      <c r="B1495" s="184" t="s">
        <v>3589</v>
      </c>
      <c r="C1495" s="184" t="s">
        <v>598</v>
      </c>
      <c r="D1495" s="127">
        <v>42856</v>
      </c>
      <c r="E1495" s="127" t="s">
        <v>598</v>
      </c>
      <c r="F1495" s="184" t="s">
        <v>3587</v>
      </c>
      <c r="G1495" s="185">
        <v>6660000</v>
      </c>
      <c r="H1495" s="184" t="s">
        <v>598</v>
      </c>
      <c r="I1495" s="184" t="s">
        <v>598</v>
      </c>
      <c r="J1495" s="184" t="s">
        <v>102</v>
      </c>
      <c r="K1495" s="184" t="s">
        <v>169</v>
      </c>
      <c r="L1495" s="184" t="s">
        <v>598</v>
      </c>
      <c r="M1495" s="184" t="s">
        <v>598</v>
      </c>
      <c r="N1495" s="184" t="s">
        <v>63</v>
      </c>
      <c r="O1495" s="184" t="s">
        <v>63</v>
      </c>
      <c r="P1495" s="186" t="s">
        <v>603</v>
      </c>
      <c r="Q1495" s="184" t="s">
        <v>598</v>
      </c>
      <c r="R1495" s="184" t="s">
        <v>598</v>
      </c>
      <c r="S1495" s="127">
        <v>42861</v>
      </c>
      <c r="T1495" s="184" t="s">
        <v>10</v>
      </c>
      <c r="U1495" s="184" t="s">
        <v>598</v>
      </c>
      <c r="V1495" s="185">
        <v>3000</v>
      </c>
      <c r="W1495" s="184" t="s">
        <v>493</v>
      </c>
      <c r="X1495" s="184" t="s">
        <v>598</v>
      </c>
      <c r="Y1495" s="185">
        <v>0</v>
      </c>
      <c r="Z1495" s="184" t="s">
        <v>598</v>
      </c>
      <c r="AA1495" s="21" t="s">
        <v>610</v>
      </c>
      <c r="AB1495" s="176" t="s">
        <v>489</v>
      </c>
      <c r="AC1495" s="172">
        <v>42996.328472222223</v>
      </c>
      <c r="AD1495" s="32" t="s">
        <v>552</v>
      </c>
    </row>
    <row r="1496" spans="1:30">
      <c r="A1496" s="184">
        <v>1495</v>
      </c>
      <c r="B1496" s="184" t="s">
        <v>3590</v>
      </c>
      <c r="C1496" s="184" t="s">
        <v>598</v>
      </c>
      <c r="D1496" s="127">
        <v>42856</v>
      </c>
      <c r="E1496" s="127" t="s">
        <v>598</v>
      </c>
      <c r="F1496" s="184" t="s">
        <v>3591</v>
      </c>
      <c r="G1496" s="185">
        <v>4242000</v>
      </c>
      <c r="H1496" s="184" t="s">
        <v>598</v>
      </c>
      <c r="I1496" s="184" t="s">
        <v>134</v>
      </c>
      <c r="J1496" s="184" t="s">
        <v>102</v>
      </c>
      <c r="K1496" s="184" t="s">
        <v>3592</v>
      </c>
      <c r="L1496" s="184" t="s">
        <v>598</v>
      </c>
      <c r="M1496" s="184" t="s">
        <v>598</v>
      </c>
      <c r="N1496" s="184" t="s">
        <v>63</v>
      </c>
      <c r="O1496" s="184" t="s">
        <v>86</v>
      </c>
      <c r="P1496" s="186"/>
      <c r="Q1496" s="184" t="s">
        <v>598</v>
      </c>
      <c r="R1496" s="184" t="s">
        <v>598</v>
      </c>
      <c r="S1496" s="127">
        <v>42859</v>
      </c>
      <c r="T1496" s="184" t="s">
        <v>34</v>
      </c>
      <c r="U1496" s="184" t="s">
        <v>598</v>
      </c>
      <c r="V1496" s="185">
        <v>3000</v>
      </c>
      <c r="W1496" s="184" t="s">
        <v>493</v>
      </c>
      <c r="X1496" s="184" t="s">
        <v>598</v>
      </c>
      <c r="Y1496" s="185">
        <v>0</v>
      </c>
      <c r="Z1496" s="184" t="s">
        <v>598</v>
      </c>
      <c r="AA1496" s="21" t="s">
        <v>610</v>
      </c>
      <c r="AB1496" s="176" t="s">
        <v>489</v>
      </c>
      <c r="AC1496" s="172">
        <v>42996.328472222223</v>
      </c>
      <c r="AD1496" s="32" t="s">
        <v>552</v>
      </c>
    </row>
    <row r="1497" spans="1:30">
      <c r="A1497" s="184">
        <v>1496</v>
      </c>
      <c r="B1497" s="184" t="s">
        <v>3593</v>
      </c>
      <c r="C1497" s="184" t="s">
        <v>598</v>
      </c>
      <c r="D1497" s="127">
        <v>42856</v>
      </c>
      <c r="E1497" s="127" t="s">
        <v>598</v>
      </c>
      <c r="F1497" s="184" t="s">
        <v>912</v>
      </c>
      <c r="G1497" s="185">
        <v>3858000</v>
      </c>
      <c r="H1497" s="184" t="s">
        <v>598</v>
      </c>
      <c r="I1497" s="184" t="s">
        <v>134</v>
      </c>
      <c r="J1497" s="184" t="s">
        <v>102</v>
      </c>
      <c r="K1497" s="184" t="s">
        <v>3592</v>
      </c>
      <c r="L1497" s="184" t="s">
        <v>598</v>
      </c>
      <c r="M1497" s="184" t="s">
        <v>598</v>
      </c>
      <c r="N1497" s="184" t="s">
        <v>63</v>
      </c>
      <c r="O1497" s="184" t="s">
        <v>86</v>
      </c>
      <c r="P1497" s="186" t="s">
        <v>605</v>
      </c>
      <c r="Q1497" s="184" t="s">
        <v>598</v>
      </c>
      <c r="R1497" s="184" t="s">
        <v>598</v>
      </c>
      <c r="S1497" s="127">
        <v>42859</v>
      </c>
      <c r="T1497" s="184" t="s">
        <v>34</v>
      </c>
      <c r="U1497" s="184" t="s">
        <v>598</v>
      </c>
      <c r="V1497" s="185">
        <v>5000</v>
      </c>
      <c r="W1497" s="184" t="s">
        <v>493</v>
      </c>
      <c r="X1497" s="184" t="s">
        <v>598</v>
      </c>
      <c r="Y1497" s="185">
        <v>0</v>
      </c>
      <c r="Z1497" s="184" t="s">
        <v>598</v>
      </c>
      <c r="AA1497" s="21" t="s">
        <v>610</v>
      </c>
      <c r="AB1497" s="176" t="s">
        <v>489</v>
      </c>
      <c r="AC1497" s="172">
        <v>42996.328472222223</v>
      </c>
      <c r="AD1497" s="32" t="s">
        <v>552</v>
      </c>
    </row>
    <row r="1498" spans="1:30">
      <c r="A1498" s="184">
        <v>1497</v>
      </c>
      <c r="B1498" s="184" t="s">
        <v>3594</v>
      </c>
      <c r="C1498" s="184" t="s">
        <v>598</v>
      </c>
      <c r="D1498" s="127">
        <v>42857</v>
      </c>
      <c r="E1498" s="127" t="s">
        <v>598</v>
      </c>
      <c r="F1498" s="184" t="s">
        <v>1288</v>
      </c>
      <c r="G1498" s="185">
        <v>9828000</v>
      </c>
      <c r="H1498" s="184" t="s">
        <v>598</v>
      </c>
      <c r="I1498" s="184" t="s">
        <v>134</v>
      </c>
      <c r="J1498" s="184" t="s">
        <v>102</v>
      </c>
      <c r="K1498" s="184" t="s">
        <v>598</v>
      </c>
      <c r="L1498" s="184" t="s">
        <v>598</v>
      </c>
      <c r="M1498" s="184" t="s">
        <v>598</v>
      </c>
      <c r="N1498" s="184" t="s">
        <v>63</v>
      </c>
      <c r="O1498" s="184" t="s">
        <v>86</v>
      </c>
      <c r="P1498" s="186" t="s">
        <v>606</v>
      </c>
      <c r="Q1498" s="184" t="s">
        <v>598</v>
      </c>
      <c r="R1498" s="184" t="s">
        <v>804</v>
      </c>
      <c r="S1498" s="127">
        <v>42857</v>
      </c>
      <c r="T1498" s="184" t="s">
        <v>34</v>
      </c>
      <c r="U1498" s="184" t="s">
        <v>598</v>
      </c>
      <c r="V1498" s="185">
        <v>1000</v>
      </c>
      <c r="W1498" s="184" t="s">
        <v>549</v>
      </c>
      <c r="X1498" s="184">
        <v>2806</v>
      </c>
      <c r="Y1498" s="185">
        <v>7500</v>
      </c>
      <c r="Z1498" s="184" t="s">
        <v>493</v>
      </c>
      <c r="AA1498" s="21" t="s">
        <v>822</v>
      </c>
      <c r="AB1498" s="176" t="s">
        <v>489</v>
      </c>
      <c r="AC1498" s="172">
        <v>42996.328472222223</v>
      </c>
      <c r="AD1498" s="32" t="s">
        <v>552</v>
      </c>
    </row>
    <row r="1499" spans="1:30">
      <c r="A1499" s="184">
        <v>1498</v>
      </c>
      <c r="B1499" s="184" t="s">
        <v>3595</v>
      </c>
      <c r="C1499" s="184" t="s">
        <v>598</v>
      </c>
      <c r="D1499" s="127">
        <v>42857</v>
      </c>
      <c r="E1499" s="127" t="s">
        <v>598</v>
      </c>
      <c r="F1499" s="184" t="s">
        <v>3596</v>
      </c>
      <c r="G1499" s="185">
        <v>20000000</v>
      </c>
      <c r="H1499" s="184" t="s">
        <v>598</v>
      </c>
      <c r="I1499" s="184" t="s">
        <v>598</v>
      </c>
      <c r="J1499" s="184" t="s">
        <v>102</v>
      </c>
      <c r="K1499" s="184" t="s">
        <v>232</v>
      </c>
      <c r="L1499" s="184" t="s">
        <v>598</v>
      </c>
      <c r="M1499" s="184" t="s">
        <v>598</v>
      </c>
      <c r="N1499" s="184" t="s">
        <v>63</v>
      </c>
      <c r="O1499" s="184" t="s">
        <v>3021</v>
      </c>
      <c r="P1499" s="186"/>
      <c r="Q1499" s="184" t="s">
        <v>598</v>
      </c>
      <c r="R1499" s="184" t="s">
        <v>598</v>
      </c>
      <c r="S1499" s="127">
        <v>42871</v>
      </c>
      <c r="T1499" s="184" t="s">
        <v>34</v>
      </c>
      <c r="U1499" s="184" t="s">
        <v>598</v>
      </c>
      <c r="V1499" s="185">
        <v>19000</v>
      </c>
      <c r="W1499" s="184" t="s">
        <v>493</v>
      </c>
      <c r="X1499" s="184" t="s">
        <v>598</v>
      </c>
      <c r="Y1499" s="185">
        <v>0</v>
      </c>
      <c r="Z1499" s="184" t="s">
        <v>598</v>
      </c>
      <c r="AA1499" s="21" t="s">
        <v>610</v>
      </c>
      <c r="AB1499" s="176" t="s">
        <v>489</v>
      </c>
      <c r="AC1499" s="172">
        <v>42996.328472222223</v>
      </c>
      <c r="AD1499" s="32" t="s">
        <v>552</v>
      </c>
    </row>
    <row r="1500" spans="1:30">
      <c r="A1500" s="184">
        <v>1499</v>
      </c>
      <c r="B1500" s="184" t="s">
        <v>3597</v>
      </c>
      <c r="C1500" s="184" t="s">
        <v>598</v>
      </c>
      <c r="D1500" s="127">
        <v>42859</v>
      </c>
      <c r="E1500" s="127" t="s">
        <v>598</v>
      </c>
      <c r="F1500" s="184" t="s">
        <v>3598</v>
      </c>
      <c r="G1500" s="185">
        <v>3151000</v>
      </c>
      <c r="H1500" s="184" t="s">
        <v>598</v>
      </c>
      <c r="I1500" s="184" t="s">
        <v>598</v>
      </c>
      <c r="J1500" s="184" t="s">
        <v>102</v>
      </c>
      <c r="K1500" s="184" t="s">
        <v>233</v>
      </c>
      <c r="L1500" s="184" t="s">
        <v>598</v>
      </c>
      <c r="M1500" s="184" t="s">
        <v>598</v>
      </c>
      <c r="N1500" s="184" t="s">
        <v>63</v>
      </c>
      <c r="O1500" s="184" t="s">
        <v>63</v>
      </c>
      <c r="P1500" s="186" t="s">
        <v>73</v>
      </c>
      <c r="Q1500" s="184" t="s">
        <v>598</v>
      </c>
      <c r="R1500" s="184" t="s">
        <v>598</v>
      </c>
      <c r="S1500" s="127">
        <v>42867</v>
      </c>
      <c r="T1500" s="184" t="s">
        <v>34</v>
      </c>
      <c r="U1500" s="184" t="s">
        <v>598</v>
      </c>
      <c r="V1500" s="185">
        <v>3000</v>
      </c>
      <c r="W1500" s="184" t="s">
        <v>493</v>
      </c>
      <c r="X1500" s="184" t="s">
        <v>598</v>
      </c>
      <c r="Y1500" s="185">
        <v>0</v>
      </c>
      <c r="Z1500" s="184" t="s">
        <v>598</v>
      </c>
      <c r="AA1500" s="21" t="s">
        <v>610</v>
      </c>
      <c r="AB1500" s="176" t="s">
        <v>489</v>
      </c>
      <c r="AC1500" s="172">
        <v>42996.328472222223</v>
      </c>
      <c r="AD1500" s="32" t="s">
        <v>552</v>
      </c>
    </row>
    <row r="1501" spans="1:30">
      <c r="A1501" s="184">
        <v>1500</v>
      </c>
      <c r="B1501" s="184" t="s">
        <v>3599</v>
      </c>
      <c r="C1501" s="184" t="s">
        <v>598</v>
      </c>
      <c r="D1501" s="127">
        <v>42859</v>
      </c>
      <c r="E1501" s="127" t="s">
        <v>598</v>
      </c>
      <c r="F1501" s="184" t="s">
        <v>3600</v>
      </c>
      <c r="G1501" s="185">
        <v>3151000</v>
      </c>
      <c r="H1501" s="184" t="s">
        <v>598</v>
      </c>
      <c r="I1501" s="184" t="s">
        <v>598</v>
      </c>
      <c r="J1501" s="184" t="s">
        <v>102</v>
      </c>
      <c r="K1501" s="184" t="s">
        <v>233</v>
      </c>
      <c r="L1501" s="184" t="s">
        <v>598</v>
      </c>
      <c r="M1501" s="184" t="s">
        <v>598</v>
      </c>
      <c r="N1501" s="184" t="s">
        <v>63</v>
      </c>
      <c r="O1501" s="184" t="s">
        <v>63</v>
      </c>
      <c r="P1501" s="186" t="s">
        <v>601</v>
      </c>
      <c r="Q1501" s="184" t="s">
        <v>598</v>
      </c>
      <c r="R1501" s="184" t="s">
        <v>598</v>
      </c>
      <c r="S1501" s="127">
        <v>42867</v>
      </c>
      <c r="T1501" s="184" t="s">
        <v>34</v>
      </c>
      <c r="U1501" s="184" t="s">
        <v>598</v>
      </c>
      <c r="V1501" s="185">
        <v>3000</v>
      </c>
      <c r="W1501" s="184" t="s">
        <v>493</v>
      </c>
      <c r="X1501" s="184" t="s">
        <v>598</v>
      </c>
      <c r="Y1501" s="185">
        <v>0</v>
      </c>
      <c r="Z1501" s="184" t="s">
        <v>598</v>
      </c>
      <c r="AA1501" s="21" t="s">
        <v>610</v>
      </c>
      <c r="AB1501" s="176" t="s">
        <v>489</v>
      </c>
      <c r="AC1501" s="172">
        <v>42996.328472222223</v>
      </c>
      <c r="AD1501" s="32" t="s">
        <v>552</v>
      </c>
    </row>
    <row r="1502" spans="1:30">
      <c r="A1502" s="184">
        <v>1501</v>
      </c>
      <c r="B1502" s="184" t="s">
        <v>3601</v>
      </c>
      <c r="C1502" s="184" t="s">
        <v>598</v>
      </c>
      <c r="D1502" s="127">
        <v>42860</v>
      </c>
      <c r="E1502" s="127" t="s">
        <v>598</v>
      </c>
      <c r="F1502" s="184" t="s">
        <v>3602</v>
      </c>
      <c r="G1502" s="185">
        <v>2871000</v>
      </c>
      <c r="H1502" s="184" t="s">
        <v>598</v>
      </c>
      <c r="I1502" s="184" t="s">
        <v>134</v>
      </c>
      <c r="J1502" s="184" t="s">
        <v>102</v>
      </c>
      <c r="K1502" s="184" t="s">
        <v>233</v>
      </c>
      <c r="L1502" s="184" t="s">
        <v>598</v>
      </c>
      <c r="M1502" s="184" t="s">
        <v>598</v>
      </c>
      <c r="N1502" s="184" t="s">
        <v>63</v>
      </c>
      <c r="O1502" s="184" t="s">
        <v>86</v>
      </c>
      <c r="P1502" s="186" t="s">
        <v>32</v>
      </c>
      <c r="Q1502" s="184" t="s">
        <v>598</v>
      </c>
      <c r="R1502" s="184" t="s">
        <v>598</v>
      </c>
      <c r="S1502" s="127">
        <v>42871</v>
      </c>
      <c r="T1502" s="184" t="s">
        <v>34</v>
      </c>
      <c r="U1502" s="184" t="s">
        <v>598</v>
      </c>
      <c r="V1502" s="185">
        <v>4000</v>
      </c>
      <c r="W1502" s="184" t="s">
        <v>493</v>
      </c>
      <c r="X1502" s="184" t="s">
        <v>598</v>
      </c>
      <c r="Y1502" s="185">
        <v>0</v>
      </c>
      <c r="Z1502" s="184" t="s">
        <v>598</v>
      </c>
      <c r="AA1502" s="21" t="s">
        <v>610</v>
      </c>
      <c r="AB1502" s="176" t="s">
        <v>489</v>
      </c>
      <c r="AC1502" s="172">
        <v>42996.328472222223</v>
      </c>
      <c r="AD1502" s="32" t="s">
        <v>552</v>
      </c>
    </row>
    <row r="1503" spans="1:30">
      <c r="A1503" s="184">
        <v>1502</v>
      </c>
      <c r="B1503" s="184" t="s">
        <v>3603</v>
      </c>
      <c r="C1503" s="184" t="s">
        <v>598</v>
      </c>
      <c r="D1503" s="127">
        <v>42860</v>
      </c>
      <c r="E1503" s="127" t="s">
        <v>598</v>
      </c>
      <c r="F1503" s="184" t="s">
        <v>3604</v>
      </c>
      <c r="G1503" s="185">
        <v>2871000</v>
      </c>
      <c r="H1503" s="184" t="s">
        <v>598</v>
      </c>
      <c r="I1503" s="184" t="s">
        <v>134</v>
      </c>
      <c r="J1503" s="184" t="s">
        <v>102</v>
      </c>
      <c r="K1503" s="184" t="s">
        <v>233</v>
      </c>
      <c r="L1503" s="184" t="s">
        <v>598</v>
      </c>
      <c r="M1503" s="184" t="s">
        <v>598</v>
      </c>
      <c r="N1503" s="184" t="s">
        <v>63</v>
      </c>
      <c r="O1503" s="184" t="s">
        <v>86</v>
      </c>
      <c r="P1503" s="186" t="s">
        <v>53</v>
      </c>
      <c r="Q1503" s="184" t="s">
        <v>598</v>
      </c>
      <c r="R1503" s="184" t="s">
        <v>598</v>
      </c>
      <c r="S1503" s="127">
        <v>42871</v>
      </c>
      <c r="T1503" s="184" t="s">
        <v>34</v>
      </c>
      <c r="U1503" s="184" t="s">
        <v>598</v>
      </c>
      <c r="V1503" s="185">
        <v>5000</v>
      </c>
      <c r="W1503" s="184" t="s">
        <v>493</v>
      </c>
      <c r="X1503" s="184" t="s">
        <v>598</v>
      </c>
      <c r="Y1503" s="185">
        <v>0</v>
      </c>
      <c r="Z1503" s="184" t="s">
        <v>598</v>
      </c>
      <c r="AA1503" s="21" t="s">
        <v>610</v>
      </c>
      <c r="AB1503" s="176" t="s">
        <v>489</v>
      </c>
      <c r="AC1503" s="172">
        <v>42996.328472222223</v>
      </c>
      <c r="AD1503" s="32" t="s">
        <v>552</v>
      </c>
    </row>
    <row r="1504" spans="1:30">
      <c r="A1504" s="184">
        <v>1503</v>
      </c>
      <c r="B1504" s="184" t="s">
        <v>3605</v>
      </c>
      <c r="C1504" s="184" t="s">
        <v>598</v>
      </c>
      <c r="D1504" s="127">
        <v>42861</v>
      </c>
      <c r="E1504" s="127" t="s">
        <v>598</v>
      </c>
      <c r="F1504" s="184" t="s">
        <v>3365</v>
      </c>
      <c r="G1504" s="185">
        <v>6894000</v>
      </c>
      <c r="H1504" s="184" t="s">
        <v>598</v>
      </c>
      <c r="I1504" s="184" t="s">
        <v>598</v>
      </c>
      <c r="J1504" s="184" t="s">
        <v>102</v>
      </c>
      <c r="K1504" s="184" t="s">
        <v>217</v>
      </c>
      <c r="L1504" s="184" t="s">
        <v>598</v>
      </c>
      <c r="M1504" s="184" t="s">
        <v>598</v>
      </c>
      <c r="N1504" s="184" t="s">
        <v>63</v>
      </c>
      <c r="O1504" s="184" t="s">
        <v>63</v>
      </c>
      <c r="P1504" s="186" t="s">
        <v>44</v>
      </c>
      <c r="Q1504" s="184" t="s">
        <v>598</v>
      </c>
      <c r="R1504" s="184" t="s">
        <v>598</v>
      </c>
      <c r="S1504" s="127">
        <v>42875</v>
      </c>
      <c r="T1504" s="184" t="s">
        <v>34</v>
      </c>
      <c r="U1504" s="184" t="s">
        <v>598</v>
      </c>
      <c r="V1504" s="185">
        <v>4000</v>
      </c>
      <c r="W1504" s="184" t="s">
        <v>493</v>
      </c>
      <c r="X1504" s="184" t="s">
        <v>598</v>
      </c>
      <c r="Y1504" s="185">
        <v>0</v>
      </c>
      <c r="Z1504" s="184" t="s">
        <v>598</v>
      </c>
      <c r="AA1504" s="21" t="s">
        <v>610</v>
      </c>
      <c r="AB1504" s="176" t="s">
        <v>489</v>
      </c>
      <c r="AC1504" s="172">
        <v>42996.328472222223</v>
      </c>
      <c r="AD1504" s="32" t="s">
        <v>552</v>
      </c>
    </row>
    <row r="1505" spans="1:30">
      <c r="A1505" s="184">
        <v>1504</v>
      </c>
      <c r="B1505" s="184" t="s">
        <v>3606</v>
      </c>
      <c r="C1505" s="184" t="s">
        <v>598</v>
      </c>
      <c r="D1505" s="127">
        <v>42861</v>
      </c>
      <c r="E1505" s="127" t="s">
        <v>598</v>
      </c>
      <c r="F1505" s="184" t="s">
        <v>3607</v>
      </c>
      <c r="G1505" s="185">
        <v>0</v>
      </c>
      <c r="H1505" s="184" t="s">
        <v>598</v>
      </c>
      <c r="I1505" s="184" t="s">
        <v>598</v>
      </c>
      <c r="J1505" s="184" t="s">
        <v>102</v>
      </c>
      <c r="K1505" s="184" t="s">
        <v>183</v>
      </c>
      <c r="L1505" s="184" t="s">
        <v>598</v>
      </c>
      <c r="M1505" s="184" t="s">
        <v>598</v>
      </c>
      <c r="N1505" s="184" t="s">
        <v>63</v>
      </c>
      <c r="O1505" s="184" t="s">
        <v>86</v>
      </c>
      <c r="P1505" s="186" t="s">
        <v>67</v>
      </c>
      <c r="Q1505" s="184" t="s">
        <v>598</v>
      </c>
      <c r="R1505" s="184" t="s">
        <v>598</v>
      </c>
      <c r="S1505" s="127">
        <v>42865</v>
      </c>
      <c r="T1505" s="184" t="s">
        <v>34</v>
      </c>
      <c r="U1505" s="184" t="s">
        <v>598</v>
      </c>
      <c r="V1505" s="185">
        <v>1000</v>
      </c>
      <c r="W1505" s="184" t="s">
        <v>493</v>
      </c>
      <c r="X1505" s="184" t="s">
        <v>598</v>
      </c>
      <c r="Y1505" s="185">
        <v>0</v>
      </c>
      <c r="Z1505" s="184" t="s">
        <v>598</v>
      </c>
      <c r="AA1505" s="21" t="s">
        <v>610</v>
      </c>
      <c r="AB1505" s="176" t="s">
        <v>489</v>
      </c>
      <c r="AC1505" s="172">
        <v>42996.328472222223</v>
      </c>
      <c r="AD1505" s="32" t="s">
        <v>552</v>
      </c>
    </row>
    <row r="1506" spans="1:30">
      <c r="A1506" s="184">
        <v>1505</v>
      </c>
      <c r="B1506" s="184" t="s">
        <v>3608</v>
      </c>
      <c r="C1506" s="184" t="s">
        <v>598</v>
      </c>
      <c r="D1506" s="127">
        <v>42861</v>
      </c>
      <c r="E1506" s="127" t="s">
        <v>598</v>
      </c>
      <c r="F1506" s="184" t="s">
        <v>3609</v>
      </c>
      <c r="G1506" s="185">
        <v>10767000</v>
      </c>
      <c r="H1506" s="184" t="s">
        <v>598</v>
      </c>
      <c r="I1506" s="184" t="s">
        <v>598</v>
      </c>
      <c r="J1506" s="184" t="s">
        <v>102</v>
      </c>
      <c r="K1506" s="184" t="s">
        <v>233</v>
      </c>
      <c r="L1506" s="184" t="s">
        <v>598</v>
      </c>
      <c r="M1506" s="184" t="s">
        <v>598</v>
      </c>
      <c r="N1506" s="184" t="s">
        <v>63</v>
      </c>
      <c r="O1506" s="184" t="s">
        <v>63</v>
      </c>
      <c r="P1506" s="186" t="s">
        <v>602</v>
      </c>
      <c r="Q1506" s="184" t="s">
        <v>598</v>
      </c>
      <c r="R1506" s="184" t="s">
        <v>598</v>
      </c>
      <c r="S1506" s="127">
        <v>42874</v>
      </c>
      <c r="T1506" s="184" t="s">
        <v>34</v>
      </c>
      <c r="U1506" s="184" t="s">
        <v>598</v>
      </c>
      <c r="V1506" s="185">
        <v>8000</v>
      </c>
      <c r="W1506" s="184" t="s">
        <v>493</v>
      </c>
      <c r="X1506" s="184" t="s">
        <v>598</v>
      </c>
      <c r="Y1506" s="185">
        <v>0</v>
      </c>
      <c r="Z1506" s="184" t="s">
        <v>598</v>
      </c>
      <c r="AA1506" s="21" t="s">
        <v>610</v>
      </c>
      <c r="AB1506" s="176" t="s">
        <v>489</v>
      </c>
      <c r="AC1506" s="172">
        <v>42996.328472222223</v>
      </c>
      <c r="AD1506" s="32" t="s">
        <v>552</v>
      </c>
    </row>
    <row r="1507" spans="1:30">
      <c r="A1507" s="184">
        <v>1506</v>
      </c>
      <c r="B1507" s="184" t="s">
        <v>3610</v>
      </c>
      <c r="C1507" s="184" t="s">
        <v>598</v>
      </c>
      <c r="D1507" s="127">
        <v>42863</v>
      </c>
      <c r="E1507" s="127" t="s">
        <v>598</v>
      </c>
      <c r="F1507" s="184" t="s">
        <v>3611</v>
      </c>
      <c r="G1507" s="185">
        <v>3080000</v>
      </c>
      <c r="H1507" s="184" t="s">
        <v>598</v>
      </c>
      <c r="I1507" s="184" t="s">
        <v>135</v>
      </c>
      <c r="J1507" s="184" t="s">
        <v>102</v>
      </c>
      <c r="K1507" s="184" t="s">
        <v>233</v>
      </c>
      <c r="L1507" s="184" t="s">
        <v>598</v>
      </c>
      <c r="M1507" s="184" t="s">
        <v>598</v>
      </c>
      <c r="N1507" s="184" t="s">
        <v>63</v>
      </c>
      <c r="O1507" s="184" t="s">
        <v>63</v>
      </c>
      <c r="P1507" s="186" t="s">
        <v>603</v>
      </c>
      <c r="Q1507" s="184" t="s">
        <v>598</v>
      </c>
      <c r="R1507" s="184" t="s">
        <v>598</v>
      </c>
      <c r="S1507" s="127">
        <v>42877</v>
      </c>
      <c r="T1507" s="184" t="s">
        <v>10</v>
      </c>
      <c r="U1507" s="184" t="s">
        <v>598</v>
      </c>
      <c r="V1507" s="185">
        <v>3500</v>
      </c>
      <c r="W1507" s="184" t="s">
        <v>493</v>
      </c>
      <c r="X1507" s="184" t="s">
        <v>598</v>
      </c>
      <c r="Y1507" s="185">
        <v>0</v>
      </c>
      <c r="Z1507" s="184" t="s">
        <v>598</v>
      </c>
      <c r="AA1507" s="21" t="s">
        <v>610</v>
      </c>
      <c r="AB1507" s="176" t="s">
        <v>489</v>
      </c>
      <c r="AC1507" s="172">
        <v>42996.328472222223</v>
      </c>
      <c r="AD1507" s="32" t="s">
        <v>552</v>
      </c>
    </row>
    <row r="1508" spans="1:30">
      <c r="A1508" s="184">
        <v>1507</v>
      </c>
      <c r="B1508" s="184" t="s">
        <v>3612</v>
      </c>
      <c r="C1508" s="184" t="s">
        <v>598</v>
      </c>
      <c r="D1508" s="127">
        <v>42863</v>
      </c>
      <c r="E1508" s="127" t="s">
        <v>598</v>
      </c>
      <c r="F1508" s="184" t="s">
        <v>3409</v>
      </c>
      <c r="G1508" s="185">
        <v>4324000</v>
      </c>
      <c r="H1508" s="184" t="s">
        <v>598</v>
      </c>
      <c r="I1508" s="184" t="s">
        <v>598</v>
      </c>
      <c r="J1508" s="184" t="s">
        <v>102</v>
      </c>
      <c r="K1508" s="184" t="s">
        <v>233</v>
      </c>
      <c r="L1508" s="184" t="s">
        <v>598</v>
      </c>
      <c r="M1508" s="184" t="s">
        <v>598</v>
      </c>
      <c r="N1508" s="184" t="s">
        <v>63</v>
      </c>
      <c r="O1508" s="184" t="s">
        <v>86</v>
      </c>
      <c r="P1508" s="186"/>
      <c r="Q1508" s="184" t="s">
        <v>598</v>
      </c>
      <c r="R1508" s="184" t="s">
        <v>598</v>
      </c>
      <c r="S1508" s="127">
        <v>42873</v>
      </c>
      <c r="T1508" s="184" t="s">
        <v>34</v>
      </c>
      <c r="U1508" s="184" t="s">
        <v>598</v>
      </c>
      <c r="V1508" s="185">
        <v>4500</v>
      </c>
      <c r="W1508" s="184" t="s">
        <v>493</v>
      </c>
      <c r="X1508" s="184" t="s">
        <v>598</v>
      </c>
      <c r="Y1508" s="185">
        <v>0</v>
      </c>
      <c r="Z1508" s="184" t="s">
        <v>598</v>
      </c>
      <c r="AA1508" s="21" t="s">
        <v>610</v>
      </c>
      <c r="AB1508" s="176" t="s">
        <v>489</v>
      </c>
      <c r="AC1508" s="172">
        <v>42996.328472222223</v>
      </c>
      <c r="AD1508" s="32" t="s">
        <v>552</v>
      </c>
    </row>
    <row r="1509" spans="1:30">
      <c r="A1509" s="184">
        <v>1508</v>
      </c>
      <c r="B1509" s="184" t="s">
        <v>3613</v>
      </c>
      <c r="C1509" s="184" t="s">
        <v>598</v>
      </c>
      <c r="D1509" s="127">
        <v>42863</v>
      </c>
      <c r="E1509" s="127" t="s">
        <v>598</v>
      </c>
      <c r="F1509" s="184" t="s">
        <v>3614</v>
      </c>
      <c r="G1509" s="185">
        <v>5140000</v>
      </c>
      <c r="H1509" s="184" t="s">
        <v>598</v>
      </c>
      <c r="I1509" s="184" t="s">
        <v>598</v>
      </c>
      <c r="J1509" s="184" t="s">
        <v>102</v>
      </c>
      <c r="K1509" s="184" t="s">
        <v>3615</v>
      </c>
      <c r="L1509" s="184" t="s">
        <v>598</v>
      </c>
      <c r="M1509" s="184" t="s">
        <v>598</v>
      </c>
      <c r="N1509" s="184" t="s">
        <v>63</v>
      </c>
      <c r="O1509" s="184" t="s">
        <v>63</v>
      </c>
      <c r="P1509" s="186" t="s">
        <v>605</v>
      </c>
      <c r="Q1509" s="184" t="s">
        <v>598</v>
      </c>
      <c r="R1509" s="184" t="s">
        <v>598</v>
      </c>
      <c r="S1509" s="127">
        <v>42867</v>
      </c>
      <c r="T1509" s="184" t="s">
        <v>34</v>
      </c>
      <c r="U1509" s="184" t="s">
        <v>598</v>
      </c>
      <c r="V1509" s="185">
        <v>3000</v>
      </c>
      <c r="W1509" s="184" t="s">
        <v>493</v>
      </c>
      <c r="X1509" s="184" t="s">
        <v>598</v>
      </c>
      <c r="Y1509" s="185">
        <v>0</v>
      </c>
      <c r="Z1509" s="184" t="s">
        <v>598</v>
      </c>
      <c r="AA1509" s="21" t="s">
        <v>610</v>
      </c>
      <c r="AB1509" s="176" t="s">
        <v>489</v>
      </c>
      <c r="AC1509" s="172">
        <v>42996.328472222223</v>
      </c>
      <c r="AD1509" s="32" t="s">
        <v>552</v>
      </c>
    </row>
    <row r="1510" spans="1:30">
      <c r="A1510" s="184">
        <v>1509</v>
      </c>
      <c r="B1510" s="184" t="s">
        <v>3616</v>
      </c>
      <c r="C1510" s="184" t="s">
        <v>598</v>
      </c>
      <c r="D1510" s="127">
        <v>42864</v>
      </c>
      <c r="E1510" s="127" t="s">
        <v>598</v>
      </c>
      <c r="F1510" s="184" t="s">
        <v>2658</v>
      </c>
      <c r="G1510" s="185">
        <v>223522000</v>
      </c>
      <c r="H1510" s="184" t="s">
        <v>598</v>
      </c>
      <c r="I1510" s="184" t="s">
        <v>598</v>
      </c>
      <c r="J1510" s="184" t="s">
        <v>102</v>
      </c>
      <c r="K1510" s="184" t="s">
        <v>469</v>
      </c>
      <c r="L1510" s="184" t="s">
        <v>598</v>
      </c>
      <c r="M1510" s="184" t="s">
        <v>598</v>
      </c>
      <c r="N1510" s="184" t="s">
        <v>63</v>
      </c>
      <c r="O1510" s="184" t="s">
        <v>86</v>
      </c>
      <c r="P1510" s="186" t="s">
        <v>606</v>
      </c>
      <c r="Q1510" s="184" t="s">
        <v>598</v>
      </c>
      <c r="R1510" s="184" t="s">
        <v>598</v>
      </c>
      <c r="S1510" s="127">
        <v>42868</v>
      </c>
      <c r="T1510" s="184" t="s">
        <v>34</v>
      </c>
      <c r="U1510" s="184" t="s">
        <v>598</v>
      </c>
      <c r="V1510" s="185">
        <v>77000</v>
      </c>
      <c r="W1510" s="184" t="s">
        <v>493</v>
      </c>
      <c r="X1510" s="184" t="s">
        <v>598</v>
      </c>
      <c r="Y1510" s="185">
        <v>0</v>
      </c>
      <c r="Z1510" s="184" t="s">
        <v>598</v>
      </c>
      <c r="AA1510" s="21" t="s">
        <v>610</v>
      </c>
      <c r="AB1510" s="176" t="s">
        <v>489</v>
      </c>
      <c r="AC1510" s="172">
        <v>42996.328472222223</v>
      </c>
      <c r="AD1510" s="32" t="s">
        <v>552</v>
      </c>
    </row>
    <row r="1511" spans="1:30">
      <c r="A1511" s="184">
        <v>1510</v>
      </c>
      <c r="B1511" s="184" t="s">
        <v>3617</v>
      </c>
      <c r="C1511" s="184" t="s">
        <v>598</v>
      </c>
      <c r="D1511" s="127">
        <v>42864</v>
      </c>
      <c r="E1511" s="127" t="s">
        <v>598</v>
      </c>
      <c r="F1511" s="184" t="s">
        <v>3618</v>
      </c>
      <c r="G1511" s="185">
        <v>3752000</v>
      </c>
      <c r="H1511" s="184" t="s">
        <v>598</v>
      </c>
      <c r="I1511" s="184" t="s">
        <v>132</v>
      </c>
      <c r="J1511" s="184" t="s">
        <v>102</v>
      </c>
      <c r="K1511" s="184" t="s">
        <v>3619</v>
      </c>
      <c r="L1511" s="184" t="s">
        <v>598</v>
      </c>
      <c r="M1511" s="184" t="s">
        <v>598</v>
      </c>
      <c r="N1511" s="184" t="s">
        <v>63</v>
      </c>
      <c r="O1511" s="184" t="s">
        <v>86</v>
      </c>
      <c r="P1511" s="186"/>
      <c r="Q1511" s="184" t="s">
        <v>598</v>
      </c>
      <c r="R1511" s="184" t="s">
        <v>598</v>
      </c>
      <c r="S1511" s="127">
        <v>42866</v>
      </c>
      <c r="T1511" s="184" t="s">
        <v>34</v>
      </c>
      <c r="U1511" s="184" t="s">
        <v>598</v>
      </c>
      <c r="V1511" s="185">
        <v>3500</v>
      </c>
      <c r="W1511" s="184" t="s">
        <v>493</v>
      </c>
      <c r="X1511" s="184" t="s">
        <v>598</v>
      </c>
      <c r="Y1511" s="185">
        <v>0</v>
      </c>
      <c r="Z1511" s="184" t="s">
        <v>598</v>
      </c>
      <c r="AA1511" s="21" t="s">
        <v>610</v>
      </c>
      <c r="AB1511" s="176" t="s">
        <v>489</v>
      </c>
      <c r="AC1511" s="172">
        <v>42996.328472222223</v>
      </c>
      <c r="AD1511" s="32" t="s">
        <v>552</v>
      </c>
    </row>
    <row r="1512" spans="1:30">
      <c r="A1512" s="184">
        <v>1511</v>
      </c>
      <c r="B1512" s="184" t="s">
        <v>3620</v>
      </c>
      <c r="C1512" s="184" t="s">
        <v>598</v>
      </c>
      <c r="D1512" s="127">
        <v>42865</v>
      </c>
      <c r="E1512" s="127" t="s">
        <v>598</v>
      </c>
      <c r="F1512" s="184" t="s">
        <v>3621</v>
      </c>
      <c r="G1512" s="185">
        <v>2890000</v>
      </c>
      <c r="H1512" s="184" t="s">
        <v>598</v>
      </c>
      <c r="I1512" s="184" t="s">
        <v>134</v>
      </c>
      <c r="J1512" s="184" t="s">
        <v>102</v>
      </c>
      <c r="K1512" s="184" t="s">
        <v>233</v>
      </c>
      <c r="L1512" s="184" t="s">
        <v>598</v>
      </c>
      <c r="M1512" s="184" t="s">
        <v>598</v>
      </c>
      <c r="N1512" s="184" t="s">
        <v>63</v>
      </c>
      <c r="O1512" s="184" t="s">
        <v>86</v>
      </c>
      <c r="P1512" s="186" t="s">
        <v>73</v>
      </c>
      <c r="Q1512" s="184" t="s">
        <v>598</v>
      </c>
      <c r="R1512" s="184" t="s">
        <v>598</v>
      </c>
      <c r="S1512" s="127">
        <v>42870</v>
      </c>
      <c r="T1512" s="184" t="s">
        <v>34</v>
      </c>
      <c r="U1512" s="184" t="s">
        <v>598</v>
      </c>
      <c r="V1512" s="185">
        <v>3000</v>
      </c>
      <c r="W1512" s="184" t="s">
        <v>493</v>
      </c>
      <c r="X1512" s="184" t="s">
        <v>598</v>
      </c>
      <c r="Y1512" s="185">
        <v>0</v>
      </c>
      <c r="Z1512" s="184" t="s">
        <v>598</v>
      </c>
      <c r="AA1512" s="21" t="s">
        <v>610</v>
      </c>
      <c r="AB1512" s="176" t="s">
        <v>489</v>
      </c>
      <c r="AC1512" s="172">
        <v>42996.328472222223</v>
      </c>
      <c r="AD1512" s="32" t="s">
        <v>552</v>
      </c>
    </row>
    <row r="1513" spans="1:30">
      <c r="A1513" s="184">
        <v>1512</v>
      </c>
      <c r="B1513" s="184" t="s">
        <v>3622</v>
      </c>
      <c r="C1513" s="184" t="s">
        <v>598</v>
      </c>
      <c r="D1513" s="127">
        <v>42865</v>
      </c>
      <c r="E1513" s="127" t="s">
        <v>598</v>
      </c>
      <c r="F1513" s="184" t="s">
        <v>871</v>
      </c>
      <c r="G1513" s="185">
        <v>0</v>
      </c>
      <c r="H1513" s="184" t="s">
        <v>598</v>
      </c>
      <c r="I1513" s="184" t="s">
        <v>134</v>
      </c>
      <c r="J1513" s="184" t="s">
        <v>102</v>
      </c>
      <c r="K1513" s="184" t="s">
        <v>233</v>
      </c>
      <c r="L1513" s="184" t="s">
        <v>598</v>
      </c>
      <c r="M1513" s="184" t="s">
        <v>598</v>
      </c>
      <c r="N1513" s="184" t="s">
        <v>63</v>
      </c>
      <c r="O1513" s="184" t="s">
        <v>63</v>
      </c>
      <c r="P1513" s="186" t="s">
        <v>601</v>
      </c>
      <c r="Q1513" s="184" t="s">
        <v>598</v>
      </c>
      <c r="R1513" s="184" t="s">
        <v>598</v>
      </c>
      <c r="S1513" s="127">
        <v>42877</v>
      </c>
      <c r="T1513" s="184" t="s">
        <v>10</v>
      </c>
      <c r="U1513" s="184" t="s">
        <v>598</v>
      </c>
      <c r="V1513" s="185">
        <v>2000</v>
      </c>
      <c r="W1513" s="184" t="s">
        <v>493</v>
      </c>
      <c r="X1513" s="184" t="s">
        <v>598</v>
      </c>
      <c r="Y1513" s="185">
        <v>0</v>
      </c>
      <c r="Z1513" s="184" t="s">
        <v>598</v>
      </c>
      <c r="AA1513" s="21" t="s">
        <v>610</v>
      </c>
      <c r="AB1513" s="176" t="s">
        <v>489</v>
      </c>
      <c r="AC1513" s="172">
        <v>42996.328472222223</v>
      </c>
      <c r="AD1513" s="32" t="s">
        <v>552</v>
      </c>
    </row>
    <row r="1514" spans="1:30">
      <c r="A1514" s="184">
        <v>1513</v>
      </c>
      <c r="B1514" s="184" t="s">
        <v>3623</v>
      </c>
      <c r="C1514" s="184" t="s">
        <v>598</v>
      </c>
      <c r="D1514" s="127">
        <v>42866</v>
      </c>
      <c r="E1514" s="127" t="s">
        <v>598</v>
      </c>
      <c r="F1514" s="184" t="s">
        <v>3624</v>
      </c>
      <c r="G1514" s="185">
        <v>0</v>
      </c>
      <c r="H1514" s="184" t="s">
        <v>598</v>
      </c>
      <c r="I1514" s="184" t="s">
        <v>598</v>
      </c>
      <c r="J1514" s="184" t="s">
        <v>102</v>
      </c>
      <c r="K1514" s="184" t="s">
        <v>470</v>
      </c>
      <c r="L1514" s="184" t="s">
        <v>598</v>
      </c>
      <c r="M1514" s="184" t="s">
        <v>598</v>
      </c>
      <c r="N1514" s="184" t="s">
        <v>63</v>
      </c>
      <c r="O1514" s="184" t="s">
        <v>3021</v>
      </c>
      <c r="P1514" s="186" t="s">
        <v>32</v>
      </c>
      <c r="Q1514" s="184" t="s">
        <v>598</v>
      </c>
      <c r="R1514" s="184" t="s">
        <v>598</v>
      </c>
      <c r="S1514" s="127">
        <v>42879</v>
      </c>
      <c r="T1514" s="184" t="s">
        <v>34</v>
      </c>
      <c r="U1514" s="184" t="s">
        <v>598</v>
      </c>
      <c r="V1514" s="185">
        <v>2000</v>
      </c>
      <c r="W1514" s="184" t="s">
        <v>493</v>
      </c>
      <c r="X1514" s="184" t="s">
        <v>598</v>
      </c>
      <c r="Y1514" s="185">
        <v>0</v>
      </c>
      <c r="Z1514" s="184" t="s">
        <v>598</v>
      </c>
      <c r="AA1514" s="21" t="s">
        <v>610</v>
      </c>
      <c r="AB1514" s="176" t="s">
        <v>489</v>
      </c>
      <c r="AC1514" s="172">
        <v>42996.328472222223</v>
      </c>
      <c r="AD1514" s="32" t="s">
        <v>552</v>
      </c>
    </row>
    <row r="1515" spans="1:30">
      <c r="A1515" s="184">
        <v>1514</v>
      </c>
      <c r="B1515" s="184" t="s">
        <v>3625</v>
      </c>
      <c r="C1515" s="184" t="s">
        <v>598</v>
      </c>
      <c r="D1515" s="127">
        <v>42866</v>
      </c>
      <c r="E1515" s="127" t="s">
        <v>598</v>
      </c>
      <c r="F1515" s="184" t="s">
        <v>3626</v>
      </c>
      <c r="G1515" s="185">
        <v>3977000</v>
      </c>
      <c r="H1515" s="184" t="s">
        <v>598</v>
      </c>
      <c r="I1515" s="184" t="s">
        <v>598</v>
      </c>
      <c r="J1515" s="184" t="s">
        <v>102</v>
      </c>
      <c r="K1515" s="184" t="s">
        <v>233</v>
      </c>
      <c r="L1515" s="184" t="s">
        <v>598</v>
      </c>
      <c r="M1515" s="184" t="s">
        <v>598</v>
      </c>
      <c r="N1515" s="184" t="s">
        <v>63</v>
      </c>
      <c r="O1515" s="184" t="s">
        <v>63</v>
      </c>
      <c r="P1515" s="186" t="s">
        <v>53</v>
      </c>
      <c r="Q1515" s="184" t="s">
        <v>598</v>
      </c>
      <c r="R1515" s="184" t="s">
        <v>598</v>
      </c>
      <c r="S1515" s="127">
        <v>42875</v>
      </c>
      <c r="T1515" s="184" t="s">
        <v>34</v>
      </c>
      <c r="U1515" s="184" t="s">
        <v>598</v>
      </c>
      <c r="V1515" s="185">
        <v>4000</v>
      </c>
      <c r="W1515" s="184" t="s">
        <v>493</v>
      </c>
      <c r="X1515" s="184" t="s">
        <v>598</v>
      </c>
      <c r="Y1515" s="185">
        <v>0</v>
      </c>
      <c r="Z1515" s="184" t="s">
        <v>598</v>
      </c>
      <c r="AA1515" s="21" t="s">
        <v>610</v>
      </c>
      <c r="AB1515" s="176" t="s">
        <v>489</v>
      </c>
      <c r="AC1515" s="172">
        <v>42996.328472222223</v>
      </c>
      <c r="AD1515" s="32" t="s">
        <v>552</v>
      </c>
    </row>
    <row r="1516" spans="1:30">
      <c r="A1516" s="184">
        <v>1515</v>
      </c>
      <c r="B1516" s="184" t="s">
        <v>3627</v>
      </c>
      <c r="C1516" s="184" t="s">
        <v>598</v>
      </c>
      <c r="D1516" s="127">
        <v>42868</v>
      </c>
      <c r="E1516" s="127" t="s">
        <v>598</v>
      </c>
      <c r="F1516" s="184" t="s">
        <v>3628</v>
      </c>
      <c r="G1516" s="185">
        <v>5380000</v>
      </c>
      <c r="H1516" s="184" t="s">
        <v>598</v>
      </c>
      <c r="I1516" s="184" t="s">
        <v>598</v>
      </c>
      <c r="J1516" s="184" t="s">
        <v>102</v>
      </c>
      <c r="K1516" s="184" t="s">
        <v>3619</v>
      </c>
      <c r="L1516" s="184" t="s">
        <v>598</v>
      </c>
      <c r="M1516" s="184" t="s">
        <v>598</v>
      </c>
      <c r="N1516" s="184" t="s">
        <v>63</v>
      </c>
      <c r="O1516" s="184" t="s">
        <v>63</v>
      </c>
      <c r="P1516" s="186" t="s">
        <v>44</v>
      </c>
      <c r="Q1516" s="184" t="s">
        <v>598</v>
      </c>
      <c r="R1516" s="184" t="s">
        <v>598</v>
      </c>
      <c r="S1516" s="127">
        <v>42878</v>
      </c>
      <c r="T1516" s="184" t="s">
        <v>10</v>
      </c>
      <c r="U1516" s="184" t="s">
        <v>598</v>
      </c>
      <c r="V1516" s="185">
        <v>3000</v>
      </c>
      <c r="W1516" s="184" t="s">
        <v>493</v>
      </c>
      <c r="X1516" s="184" t="s">
        <v>598</v>
      </c>
      <c r="Y1516" s="185">
        <v>0</v>
      </c>
      <c r="Z1516" s="184" t="s">
        <v>598</v>
      </c>
      <c r="AA1516" s="21" t="s">
        <v>610</v>
      </c>
      <c r="AB1516" s="176" t="s">
        <v>489</v>
      </c>
      <c r="AC1516" s="172">
        <v>42996.328472222223</v>
      </c>
      <c r="AD1516" s="32" t="s">
        <v>552</v>
      </c>
    </row>
    <row r="1517" spans="1:30">
      <c r="A1517" s="184">
        <v>1516</v>
      </c>
      <c r="B1517" s="184" t="s">
        <v>3629</v>
      </c>
      <c r="C1517" s="184" t="s">
        <v>598</v>
      </c>
      <c r="D1517" s="127">
        <v>42870</v>
      </c>
      <c r="E1517" s="127" t="s">
        <v>598</v>
      </c>
      <c r="F1517" s="184" t="s">
        <v>1303</v>
      </c>
      <c r="G1517" s="185">
        <v>0</v>
      </c>
      <c r="H1517" s="184" t="s">
        <v>598</v>
      </c>
      <c r="I1517" s="184" t="s">
        <v>598</v>
      </c>
      <c r="J1517" s="184" t="s">
        <v>102</v>
      </c>
      <c r="K1517" s="184" t="s">
        <v>233</v>
      </c>
      <c r="L1517" s="184" t="s">
        <v>598</v>
      </c>
      <c r="M1517" s="184" t="s">
        <v>598</v>
      </c>
      <c r="N1517" s="184" t="s">
        <v>63</v>
      </c>
      <c r="O1517" s="184" t="s">
        <v>86</v>
      </c>
      <c r="P1517" s="186" t="s">
        <v>67</v>
      </c>
      <c r="Q1517" s="184" t="s">
        <v>598</v>
      </c>
      <c r="R1517" s="184" t="s">
        <v>804</v>
      </c>
      <c r="S1517" s="127">
        <v>42870</v>
      </c>
      <c r="T1517" s="184" t="s">
        <v>34</v>
      </c>
      <c r="U1517" s="184" t="s">
        <v>598</v>
      </c>
      <c r="V1517" s="185">
        <v>2000</v>
      </c>
      <c r="W1517" s="184" t="s">
        <v>549</v>
      </c>
      <c r="X1517" s="184" t="s">
        <v>598</v>
      </c>
      <c r="Y1517" s="185">
        <v>0</v>
      </c>
      <c r="Z1517" s="184" t="s">
        <v>493</v>
      </c>
      <c r="AA1517" s="21" t="s">
        <v>822</v>
      </c>
      <c r="AB1517" s="176" t="s">
        <v>489</v>
      </c>
      <c r="AC1517" s="172">
        <v>42996.328472222223</v>
      </c>
      <c r="AD1517" s="32" t="s">
        <v>552</v>
      </c>
    </row>
    <row r="1518" spans="1:30">
      <c r="A1518" s="184">
        <v>1517</v>
      </c>
      <c r="B1518" s="184" t="s">
        <v>3630</v>
      </c>
      <c r="C1518" s="184" t="s">
        <v>598</v>
      </c>
      <c r="D1518" s="127">
        <v>42870</v>
      </c>
      <c r="E1518" s="127" t="s">
        <v>598</v>
      </c>
      <c r="F1518" s="184" t="s">
        <v>3631</v>
      </c>
      <c r="G1518" s="185">
        <v>2538000</v>
      </c>
      <c r="H1518" s="184" t="s">
        <v>598</v>
      </c>
      <c r="I1518" s="184" t="s">
        <v>598</v>
      </c>
      <c r="J1518" s="184" t="s">
        <v>102</v>
      </c>
      <c r="K1518" s="184" t="s">
        <v>598</v>
      </c>
      <c r="L1518" s="184" t="s">
        <v>598</v>
      </c>
      <c r="M1518" s="184" t="s">
        <v>598</v>
      </c>
      <c r="N1518" s="184" t="s">
        <v>63</v>
      </c>
      <c r="O1518" s="184" t="s">
        <v>3021</v>
      </c>
      <c r="P1518" s="186" t="s">
        <v>602</v>
      </c>
      <c r="Q1518" s="184" t="s">
        <v>598</v>
      </c>
      <c r="R1518" s="184" t="s">
        <v>598</v>
      </c>
      <c r="S1518" s="127">
        <v>42874</v>
      </c>
      <c r="T1518" s="184" t="s">
        <v>34</v>
      </c>
      <c r="U1518" s="184" t="s">
        <v>598</v>
      </c>
      <c r="V1518" s="185">
        <v>3000</v>
      </c>
      <c r="W1518" s="184" t="s">
        <v>493</v>
      </c>
      <c r="X1518" s="184" t="s">
        <v>598</v>
      </c>
      <c r="Y1518" s="185">
        <v>0</v>
      </c>
      <c r="Z1518" s="184" t="s">
        <v>598</v>
      </c>
      <c r="AA1518" s="21" t="s">
        <v>610</v>
      </c>
      <c r="AB1518" s="176" t="s">
        <v>489</v>
      </c>
      <c r="AC1518" s="172">
        <v>42996.328472222223</v>
      </c>
      <c r="AD1518" s="32" t="s">
        <v>552</v>
      </c>
    </row>
    <row r="1519" spans="1:30">
      <c r="A1519" s="184">
        <v>1518</v>
      </c>
      <c r="B1519" s="184" t="s">
        <v>3632</v>
      </c>
      <c r="C1519" s="184" t="s">
        <v>598</v>
      </c>
      <c r="D1519" s="127">
        <v>42871</v>
      </c>
      <c r="E1519" s="127" t="s">
        <v>598</v>
      </c>
      <c r="F1519" s="184" t="s">
        <v>1305</v>
      </c>
      <c r="G1519" s="185">
        <v>0</v>
      </c>
      <c r="H1519" s="184" t="s">
        <v>598</v>
      </c>
      <c r="I1519" s="184" t="s">
        <v>598</v>
      </c>
      <c r="J1519" s="184" t="s">
        <v>102</v>
      </c>
      <c r="K1519" s="184" t="s">
        <v>233</v>
      </c>
      <c r="L1519" s="184" t="s">
        <v>598</v>
      </c>
      <c r="M1519" s="184" t="s">
        <v>598</v>
      </c>
      <c r="N1519" s="184" t="s">
        <v>63</v>
      </c>
      <c r="O1519" s="184" t="s">
        <v>3021</v>
      </c>
      <c r="P1519" s="186" t="s">
        <v>603</v>
      </c>
      <c r="Q1519" s="184" t="s">
        <v>598</v>
      </c>
      <c r="R1519" s="184" t="s">
        <v>804</v>
      </c>
      <c r="S1519" s="127">
        <v>42873</v>
      </c>
      <c r="T1519" s="184" t="s">
        <v>34</v>
      </c>
      <c r="U1519" s="184" t="s">
        <v>598</v>
      </c>
      <c r="V1519" s="185">
        <v>1000</v>
      </c>
      <c r="W1519" s="184" t="s">
        <v>549</v>
      </c>
      <c r="X1519" s="184">
        <v>2823</v>
      </c>
      <c r="Y1519" s="185">
        <v>6000</v>
      </c>
      <c r="Z1519" s="184" t="s">
        <v>493</v>
      </c>
      <c r="AA1519" s="21" t="s">
        <v>822</v>
      </c>
      <c r="AB1519" s="176" t="s">
        <v>489</v>
      </c>
      <c r="AC1519" s="172">
        <v>42996.328472222223</v>
      </c>
      <c r="AD1519" s="32" t="s">
        <v>552</v>
      </c>
    </row>
    <row r="1520" spans="1:30">
      <c r="A1520" s="184">
        <v>1519</v>
      </c>
      <c r="B1520" s="184" t="s">
        <v>3633</v>
      </c>
      <c r="C1520" s="184" t="s">
        <v>598</v>
      </c>
      <c r="D1520" s="127">
        <v>42872</v>
      </c>
      <c r="E1520" s="127" t="s">
        <v>598</v>
      </c>
      <c r="F1520" s="184" t="s">
        <v>3634</v>
      </c>
      <c r="G1520" s="185">
        <v>0</v>
      </c>
      <c r="H1520" s="184" t="s">
        <v>598</v>
      </c>
      <c r="I1520" s="184" t="s">
        <v>598</v>
      </c>
      <c r="J1520" s="184" t="s">
        <v>102</v>
      </c>
      <c r="K1520" s="184" t="s">
        <v>244</v>
      </c>
      <c r="L1520" s="184" t="s">
        <v>598</v>
      </c>
      <c r="M1520" s="184" t="s">
        <v>598</v>
      </c>
      <c r="N1520" s="184" t="s">
        <v>63</v>
      </c>
      <c r="O1520" s="184" t="s">
        <v>86</v>
      </c>
      <c r="P1520" s="186"/>
      <c r="Q1520" s="184" t="s">
        <v>598</v>
      </c>
      <c r="R1520" s="184" t="s">
        <v>598</v>
      </c>
      <c r="S1520" s="127">
        <v>42884</v>
      </c>
      <c r="T1520" s="184" t="s">
        <v>10</v>
      </c>
      <c r="U1520" s="184" t="s">
        <v>598</v>
      </c>
      <c r="V1520" s="185">
        <v>2500</v>
      </c>
      <c r="W1520" s="184" t="s">
        <v>493</v>
      </c>
      <c r="X1520" s="184" t="s">
        <v>3021</v>
      </c>
      <c r="Y1520" s="185">
        <v>2500</v>
      </c>
      <c r="Z1520" s="184" t="s">
        <v>598</v>
      </c>
      <c r="AA1520" s="21" t="s">
        <v>610</v>
      </c>
      <c r="AB1520" s="176" t="s">
        <v>489</v>
      </c>
      <c r="AC1520" s="172">
        <v>42996.328472222223</v>
      </c>
      <c r="AD1520" s="32" t="s">
        <v>552</v>
      </c>
    </row>
    <row r="1521" spans="1:30">
      <c r="A1521" s="184">
        <v>1520</v>
      </c>
      <c r="B1521" s="184" t="s">
        <v>3635</v>
      </c>
      <c r="C1521" s="184" t="s">
        <v>598</v>
      </c>
      <c r="D1521" s="127">
        <v>42873</v>
      </c>
      <c r="E1521" s="127" t="s">
        <v>598</v>
      </c>
      <c r="F1521" s="184" t="s">
        <v>3636</v>
      </c>
      <c r="G1521" s="185">
        <v>2100000</v>
      </c>
      <c r="H1521" s="184" t="s">
        <v>598</v>
      </c>
      <c r="I1521" s="184" t="s">
        <v>135</v>
      </c>
      <c r="J1521" s="184" t="s">
        <v>102</v>
      </c>
      <c r="K1521" s="184" t="s">
        <v>233</v>
      </c>
      <c r="L1521" s="184" t="s">
        <v>598</v>
      </c>
      <c r="M1521" s="184" t="s">
        <v>598</v>
      </c>
      <c r="N1521" s="184" t="s">
        <v>63</v>
      </c>
      <c r="O1521" s="184" t="s">
        <v>86</v>
      </c>
      <c r="P1521" s="186" t="s">
        <v>605</v>
      </c>
      <c r="Q1521" s="184" t="s">
        <v>598</v>
      </c>
      <c r="R1521" s="184" t="s">
        <v>598</v>
      </c>
      <c r="S1521" s="127">
        <v>42882</v>
      </c>
      <c r="T1521" s="184" t="s">
        <v>34</v>
      </c>
      <c r="U1521" s="184" t="s">
        <v>598</v>
      </c>
      <c r="V1521" s="185">
        <v>2500</v>
      </c>
      <c r="W1521" s="184" t="s">
        <v>493</v>
      </c>
      <c r="X1521" s="184" t="s">
        <v>598</v>
      </c>
      <c r="Y1521" s="185">
        <v>0</v>
      </c>
      <c r="Z1521" s="184" t="s">
        <v>598</v>
      </c>
      <c r="AA1521" s="21" t="s">
        <v>610</v>
      </c>
      <c r="AB1521" s="176" t="s">
        <v>489</v>
      </c>
      <c r="AC1521" s="172">
        <v>42996.328472222223</v>
      </c>
      <c r="AD1521" s="32" t="s">
        <v>552</v>
      </c>
    </row>
    <row r="1522" spans="1:30">
      <c r="A1522" s="184">
        <v>1521</v>
      </c>
      <c r="B1522" s="184" t="s">
        <v>3637</v>
      </c>
      <c r="C1522" s="184" t="s">
        <v>598</v>
      </c>
      <c r="D1522" s="127">
        <v>42875</v>
      </c>
      <c r="E1522" s="127" t="s">
        <v>598</v>
      </c>
      <c r="F1522" s="184" t="s">
        <v>1309</v>
      </c>
      <c r="G1522" s="185">
        <v>0</v>
      </c>
      <c r="H1522" s="184" t="s">
        <v>598</v>
      </c>
      <c r="I1522" s="184" t="s">
        <v>598</v>
      </c>
      <c r="J1522" s="184" t="s">
        <v>102</v>
      </c>
      <c r="K1522" s="184" t="s">
        <v>233</v>
      </c>
      <c r="L1522" s="184" t="s">
        <v>598</v>
      </c>
      <c r="M1522" s="184" t="s">
        <v>598</v>
      </c>
      <c r="N1522" s="184" t="s">
        <v>63</v>
      </c>
      <c r="O1522" s="184" t="s">
        <v>86</v>
      </c>
      <c r="P1522" s="186" t="s">
        <v>606</v>
      </c>
      <c r="Q1522" s="184" t="s">
        <v>598</v>
      </c>
      <c r="R1522" s="184" t="s">
        <v>804</v>
      </c>
      <c r="S1522" s="127">
        <v>42875</v>
      </c>
      <c r="T1522" s="184" t="s">
        <v>34</v>
      </c>
      <c r="U1522" s="184" t="s">
        <v>598</v>
      </c>
      <c r="V1522" s="185">
        <v>2000</v>
      </c>
      <c r="W1522" s="184" t="s">
        <v>549</v>
      </c>
      <c r="X1522" s="184" t="s">
        <v>598</v>
      </c>
      <c r="Y1522" s="185">
        <v>0</v>
      </c>
      <c r="Z1522" s="184" t="s">
        <v>493</v>
      </c>
      <c r="AA1522" s="21" t="s">
        <v>822</v>
      </c>
      <c r="AB1522" s="176" t="s">
        <v>489</v>
      </c>
      <c r="AC1522" s="172">
        <v>42996.328472222223</v>
      </c>
      <c r="AD1522" s="32" t="s">
        <v>552</v>
      </c>
    </row>
    <row r="1523" spans="1:30">
      <c r="A1523" s="184">
        <v>1522</v>
      </c>
      <c r="B1523" s="184" t="s">
        <v>3638</v>
      </c>
      <c r="C1523" s="184" t="s">
        <v>598</v>
      </c>
      <c r="D1523" s="127">
        <v>42875</v>
      </c>
      <c r="E1523" s="127" t="s">
        <v>598</v>
      </c>
      <c r="F1523" s="184" t="s">
        <v>1311</v>
      </c>
      <c r="G1523" s="185">
        <v>0</v>
      </c>
      <c r="H1523" s="184" t="s">
        <v>598</v>
      </c>
      <c r="I1523" s="184" t="s">
        <v>598</v>
      </c>
      <c r="J1523" s="184" t="s">
        <v>102</v>
      </c>
      <c r="K1523" s="184" t="s">
        <v>233</v>
      </c>
      <c r="L1523" s="184" t="s">
        <v>598</v>
      </c>
      <c r="M1523" s="184" t="s">
        <v>598</v>
      </c>
      <c r="N1523" s="184" t="s">
        <v>63</v>
      </c>
      <c r="O1523" s="184" t="s">
        <v>86</v>
      </c>
      <c r="P1523" s="186"/>
      <c r="Q1523" s="184" t="s">
        <v>598</v>
      </c>
      <c r="R1523" s="184" t="s">
        <v>804</v>
      </c>
      <c r="S1523" s="127">
        <v>42875</v>
      </c>
      <c r="T1523" s="184" t="s">
        <v>34</v>
      </c>
      <c r="U1523" s="184" t="s">
        <v>598</v>
      </c>
      <c r="V1523" s="185">
        <v>2000</v>
      </c>
      <c r="W1523" s="184" t="s">
        <v>549</v>
      </c>
      <c r="X1523" s="184" t="s">
        <v>598</v>
      </c>
      <c r="Y1523" s="185">
        <v>0</v>
      </c>
      <c r="Z1523" s="184" t="s">
        <v>493</v>
      </c>
      <c r="AA1523" s="21" t="s">
        <v>822</v>
      </c>
      <c r="AB1523" s="176" t="s">
        <v>489</v>
      </c>
      <c r="AC1523" s="172">
        <v>42996.328472222223</v>
      </c>
      <c r="AD1523" s="32" t="s">
        <v>552</v>
      </c>
    </row>
    <row r="1524" spans="1:30">
      <c r="A1524" s="184">
        <v>1523</v>
      </c>
      <c r="B1524" s="184" t="s">
        <v>3639</v>
      </c>
      <c r="C1524" s="184" t="s">
        <v>598</v>
      </c>
      <c r="D1524" s="127">
        <v>42875</v>
      </c>
      <c r="E1524" s="127" t="s">
        <v>598</v>
      </c>
      <c r="F1524" s="184" t="s">
        <v>1313</v>
      </c>
      <c r="G1524" s="185">
        <v>0</v>
      </c>
      <c r="H1524" s="184" t="s">
        <v>598</v>
      </c>
      <c r="I1524" s="184" t="s">
        <v>134</v>
      </c>
      <c r="J1524" s="184" t="s">
        <v>102</v>
      </c>
      <c r="K1524" s="184" t="s">
        <v>233</v>
      </c>
      <c r="L1524" s="184" t="s">
        <v>598</v>
      </c>
      <c r="M1524" s="184" t="s">
        <v>598</v>
      </c>
      <c r="N1524" s="184" t="s">
        <v>63</v>
      </c>
      <c r="O1524" s="184" t="s">
        <v>63</v>
      </c>
      <c r="P1524" s="186" t="s">
        <v>73</v>
      </c>
      <c r="Q1524" s="184" t="s">
        <v>598</v>
      </c>
      <c r="R1524" s="184" t="s">
        <v>804</v>
      </c>
      <c r="S1524" s="127">
        <v>42875</v>
      </c>
      <c r="T1524" s="184" t="s">
        <v>34</v>
      </c>
      <c r="U1524" s="184" t="s">
        <v>598</v>
      </c>
      <c r="V1524" s="185">
        <v>2000</v>
      </c>
      <c r="W1524" s="184" t="s">
        <v>549</v>
      </c>
      <c r="X1524" s="184" t="s">
        <v>598</v>
      </c>
      <c r="Y1524" s="185">
        <v>0</v>
      </c>
      <c r="Z1524" s="184" t="s">
        <v>493</v>
      </c>
      <c r="AA1524" s="21" t="s">
        <v>822</v>
      </c>
      <c r="AB1524" s="176" t="s">
        <v>489</v>
      </c>
      <c r="AC1524" s="172">
        <v>42996.328472222223</v>
      </c>
      <c r="AD1524" s="32" t="s">
        <v>552</v>
      </c>
    </row>
    <row r="1525" spans="1:30">
      <c r="A1525" s="184">
        <v>1524</v>
      </c>
      <c r="B1525" s="184" t="s">
        <v>3640</v>
      </c>
      <c r="C1525" s="184" t="s">
        <v>598</v>
      </c>
      <c r="D1525" s="127">
        <v>42875</v>
      </c>
      <c r="E1525" s="127" t="s">
        <v>598</v>
      </c>
      <c r="F1525" s="184" t="s">
        <v>1315</v>
      </c>
      <c r="G1525" s="185">
        <v>0</v>
      </c>
      <c r="H1525" s="184" t="s">
        <v>598</v>
      </c>
      <c r="I1525" s="184" t="s">
        <v>134</v>
      </c>
      <c r="J1525" s="184" t="s">
        <v>102</v>
      </c>
      <c r="K1525" s="184" t="s">
        <v>233</v>
      </c>
      <c r="L1525" s="184" t="s">
        <v>598</v>
      </c>
      <c r="M1525" s="184" t="s">
        <v>598</v>
      </c>
      <c r="N1525" s="184" t="s">
        <v>63</v>
      </c>
      <c r="O1525" s="184" t="s">
        <v>63</v>
      </c>
      <c r="P1525" s="186" t="s">
        <v>601</v>
      </c>
      <c r="Q1525" s="184" t="s">
        <v>598</v>
      </c>
      <c r="R1525" s="184" t="s">
        <v>804</v>
      </c>
      <c r="S1525" s="127">
        <v>42875</v>
      </c>
      <c r="T1525" s="184" t="s">
        <v>34</v>
      </c>
      <c r="U1525" s="184" t="s">
        <v>598</v>
      </c>
      <c r="V1525" s="185">
        <v>2000</v>
      </c>
      <c r="W1525" s="184" t="s">
        <v>549</v>
      </c>
      <c r="X1525" s="184" t="s">
        <v>598</v>
      </c>
      <c r="Y1525" s="185">
        <v>0</v>
      </c>
      <c r="Z1525" s="184" t="s">
        <v>493</v>
      </c>
      <c r="AA1525" s="21" t="s">
        <v>822</v>
      </c>
      <c r="AB1525" s="176" t="s">
        <v>489</v>
      </c>
      <c r="AC1525" s="172">
        <v>42996.328472222223</v>
      </c>
      <c r="AD1525" s="32" t="s">
        <v>552</v>
      </c>
    </row>
    <row r="1526" spans="1:30">
      <c r="A1526" s="184">
        <v>1525</v>
      </c>
      <c r="B1526" s="184" t="s">
        <v>3641</v>
      </c>
      <c r="C1526" s="184" t="s">
        <v>598</v>
      </c>
      <c r="D1526" s="127">
        <v>42875</v>
      </c>
      <c r="E1526" s="127" t="s">
        <v>598</v>
      </c>
      <c r="F1526" s="184" t="s">
        <v>1317</v>
      </c>
      <c r="G1526" s="185">
        <v>0</v>
      </c>
      <c r="H1526" s="184" t="s">
        <v>598</v>
      </c>
      <c r="I1526" s="184" t="s">
        <v>134</v>
      </c>
      <c r="J1526" s="184" t="s">
        <v>102</v>
      </c>
      <c r="K1526" s="184" t="s">
        <v>233</v>
      </c>
      <c r="L1526" s="184" t="s">
        <v>598</v>
      </c>
      <c r="M1526" s="184" t="s">
        <v>598</v>
      </c>
      <c r="N1526" s="184" t="s">
        <v>63</v>
      </c>
      <c r="O1526" s="184" t="s">
        <v>63</v>
      </c>
      <c r="P1526" s="186" t="s">
        <v>601</v>
      </c>
      <c r="Q1526" s="184" t="s">
        <v>598</v>
      </c>
      <c r="R1526" s="184" t="s">
        <v>804</v>
      </c>
      <c r="S1526" s="127">
        <v>42875</v>
      </c>
      <c r="T1526" s="184" t="s">
        <v>34</v>
      </c>
      <c r="U1526" s="184" t="s">
        <v>598</v>
      </c>
      <c r="V1526" s="185">
        <v>2000</v>
      </c>
      <c r="W1526" s="184" t="s">
        <v>549</v>
      </c>
      <c r="X1526" s="184" t="s">
        <v>598</v>
      </c>
      <c r="Y1526" s="185">
        <v>0</v>
      </c>
      <c r="Z1526" s="184" t="s">
        <v>493</v>
      </c>
      <c r="AA1526" s="21" t="s">
        <v>822</v>
      </c>
      <c r="AB1526" s="176" t="s">
        <v>489</v>
      </c>
      <c r="AC1526" s="172">
        <v>42996.328472222223</v>
      </c>
      <c r="AD1526" s="32" t="s">
        <v>552</v>
      </c>
    </row>
    <row r="1527" spans="1:30">
      <c r="A1527" s="184">
        <v>1526</v>
      </c>
      <c r="B1527" s="184" t="s">
        <v>3642</v>
      </c>
      <c r="C1527" s="184" t="s">
        <v>598</v>
      </c>
      <c r="D1527" s="127">
        <v>42875</v>
      </c>
      <c r="E1527" s="127" t="s">
        <v>598</v>
      </c>
      <c r="F1527" s="184" t="s">
        <v>73</v>
      </c>
      <c r="G1527" s="185">
        <v>0</v>
      </c>
      <c r="H1527" s="184" t="s">
        <v>598</v>
      </c>
      <c r="I1527" s="184" t="s">
        <v>134</v>
      </c>
      <c r="J1527" s="184" t="s">
        <v>102</v>
      </c>
      <c r="K1527" s="184" t="s">
        <v>233</v>
      </c>
      <c r="L1527" s="184" t="s">
        <v>598</v>
      </c>
      <c r="M1527" s="184" t="s">
        <v>598</v>
      </c>
      <c r="N1527" s="184" t="s">
        <v>63</v>
      </c>
      <c r="O1527" s="184" t="s">
        <v>63</v>
      </c>
      <c r="P1527" s="186" t="s">
        <v>32</v>
      </c>
      <c r="Q1527" s="184" t="s">
        <v>598</v>
      </c>
      <c r="R1527" s="184" t="s">
        <v>804</v>
      </c>
      <c r="S1527" s="127">
        <v>42875</v>
      </c>
      <c r="T1527" s="184" t="s">
        <v>34</v>
      </c>
      <c r="U1527" s="184" t="s">
        <v>598</v>
      </c>
      <c r="V1527" s="185">
        <v>2000</v>
      </c>
      <c r="W1527" s="184" t="s">
        <v>549</v>
      </c>
      <c r="X1527" s="184" t="s">
        <v>598</v>
      </c>
      <c r="Y1527" s="185">
        <v>0</v>
      </c>
      <c r="Z1527" s="184" t="s">
        <v>493</v>
      </c>
      <c r="AA1527" s="21" t="s">
        <v>822</v>
      </c>
      <c r="AB1527" s="176" t="s">
        <v>489</v>
      </c>
      <c r="AC1527" s="172">
        <v>42996.328472222223</v>
      </c>
      <c r="AD1527" s="32" t="s">
        <v>552</v>
      </c>
    </row>
    <row r="1528" spans="1:30">
      <c r="A1528" s="184">
        <v>1527</v>
      </c>
      <c r="B1528" s="184" t="s">
        <v>3643</v>
      </c>
      <c r="C1528" s="184" t="s">
        <v>598</v>
      </c>
      <c r="D1528" s="127">
        <v>42877</v>
      </c>
      <c r="E1528" s="127" t="s">
        <v>598</v>
      </c>
      <c r="F1528" s="184" t="s">
        <v>1324</v>
      </c>
      <c r="G1528" s="185">
        <v>0</v>
      </c>
      <c r="H1528" s="184" t="s">
        <v>598</v>
      </c>
      <c r="I1528" s="184" t="s">
        <v>598</v>
      </c>
      <c r="J1528" s="184" t="s">
        <v>102</v>
      </c>
      <c r="K1528" s="184" t="s">
        <v>233</v>
      </c>
      <c r="L1528" s="184" t="s">
        <v>598</v>
      </c>
      <c r="M1528" s="184" t="s">
        <v>598</v>
      </c>
      <c r="N1528" s="184" t="s">
        <v>63</v>
      </c>
      <c r="O1528" s="184" t="s">
        <v>86</v>
      </c>
      <c r="P1528" s="186" t="s">
        <v>53</v>
      </c>
      <c r="Q1528" s="184" t="s">
        <v>598</v>
      </c>
      <c r="R1528" s="184" t="s">
        <v>804</v>
      </c>
      <c r="S1528" s="127">
        <v>42878</v>
      </c>
      <c r="T1528" s="184" t="s">
        <v>34</v>
      </c>
      <c r="U1528" s="184" t="s">
        <v>598</v>
      </c>
      <c r="V1528" s="185">
        <v>1000</v>
      </c>
      <c r="W1528" s="184" t="s">
        <v>573</v>
      </c>
      <c r="X1528" s="184" t="s">
        <v>598</v>
      </c>
      <c r="Y1528" s="185">
        <v>0</v>
      </c>
      <c r="Z1528" s="184" t="s">
        <v>598</v>
      </c>
      <c r="AA1528" s="21" t="s">
        <v>822</v>
      </c>
      <c r="AB1528" s="176" t="s">
        <v>489</v>
      </c>
      <c r="AC1528" s="172">
        <v>42996.328472222223</v>
      </c>
      <c r="AD1528" s="32" t="s">
        <v>552</v>
      </c>
    </row>
    <row r="1529" spans="1:30">
      <c r="A1529" s="184">
        <v>1528</v>
      </c>
      <c r="B1529" s="184" t="s">
        <v>3644</v>
      </c>
      <c r="C1529" s="184" t="s">
        <v>598</v>
      </c>
      <c r="D1529" s="127">
        <v>42878</v>
      </c>
      <c r="E1529" s="127" t="s">
        <v>598</v>
      </c>
      <c r="F1529" s="184" t="s">
        <v>1326</v>
      </c>
      <c r="G1529" s="185">
        <v>5904000</v>
      </c>
      <c r="H1529" s="184" t="s">
        <v>598</v>
      </c>
      <c r="I1529" s="184" t="s">
        <v>598</v>
      </c>
      <c r="J1529" s="184" t="s">
        <v>102</v>
      </c>
      <c r="K1529" s="184" t="s">
        <v>233</v>
      </c>
      <c r="L1529" s="184" t="s">
        <v>598</v>
      </c>
      <c r="M1529" s="184" t="s">
        <v>598</v>
      </c>
      <c r="N1529" s="184" t="s">
        <v>63</v>
      </c>
      <c r="O1529" s="184" t="s">
        <v>63</v>
      </c>
      <c r="P1529" s="186" t="s">
        <v>44</v>
      </c>
      <c r="Q1529" s="184" t="s">
        <v>598</v>
      </c>
      <c r="R1529" s="184" t="s">
        <v>804</v>
      </c>
      <c r="S1529" s="127">
        <v>42879</v>
      </c>
      <c r="T1529" s="184" t="s">
        <v>34</v>
      </c>
      <c r="U1529" s="184" t="s">
        <v>598</v>
      </c>
      <c r="V1529" s="185">
        <v>1000</v>
      </c>
      <c r="W1529" s="184" t="s">
        <v>485</v>
      </c>
      <c r="X1529" s="184">
        <v>2824</v>
      </c>
      <c r="Y1529" s="185">
        <v>4000</v>
      </c>
      <c r="Z1529" s="184" t="s">
        <v>598</v>
      </c>
      <c r="AA1529" s="21" t="s">
        <v>610</v>
      </c>
      <c r="AB1529" s="176" t="s">
        <v>489</v>
      </c>
      <c r="AC1529" s="172">
        <v>42996.328472222223</v>
      </c>
      <c r="AD1529" s="32" t="s">
        <v>552</v>
      </c>
    </row>
    <row r="1530" spans="1:30">
      <c r="A1530" s="184">
        <v>1529</v>
      </c>
      <c r="B1530" s="184" t="s">
        <v>3645</v>
      </c>
      <c r="C1530" s="184" t="s">
        <v>598</v>
      </c>
      <c r="D1530" s="127">
        <v>42878</v>
      </c>
      <c r="E1530" s="127" t="s">
        <v>598</v>
      </c>
      <c r="F1530" s="184" t="s">
        <v>3646</v>
      </c>
      <c r="G1530" s="185">
        <v>6773000</v>
      </c>
      <c r="H1530" s="184" t="s">
        <v>598</v>
      </c>
      <c r="I1530" s="184" t="s">
        <v>598</v>
      </c>
      <c r="J1530" s="184" t="s">
        <v>102</v>
      </c>
      <c r="K1530" s="184" t="s">
        <v>233</v>
      </c>
      <c r="L1530" s="184" t="s">
        <v>598</v>
      </c>
      <c r="M1530" s="184" t="s">
        <v>598</v>
      </c>
      <c r="N1530" s="184" t="s">
        <v>63</v>
      </c>
      <c r="O1530" s="184" t="s">
        <v>63</v>
      </c>
      <c r="P1530" s="186" t="s">
        <v>67</v>
      </c>
      <c r="Q1530" s="184" t="s">
        <v>598</v>
      </c>
      <c r="R1530" s="184" t="s">
        <v>598</v>
      </c>
      <c r="S1530" s="127">
        <v>42878</v>
      </c>
      <c r="T1530" s="184" t="s">
        <v>34</v>
      </c>
      <c r="U1530" s="184" t="s">
        <v>598</v>
      </c>
      <c r="V1530" s="185">
        <v>4000</v>
      </c>
      <c r="W1530" s="184" t="s">
        <v>493</v>
      </c>
      <c r="X1530" s="184" t="s">
        <v>598</v>
      </c>
      <c r="Y1530" s="185">
        <v>0</v>
      </c>
      <c r="Z1530" s="184" t="s">
        <v>598</v>
      </c>
      <c r="AA1530" s="21" t="s">
        <v>610</v>
      </c>
      <c r="AB1530" s="176" t="s">
        <v>489</v>
      </c>
      <c r="AC1530" s="172">
        <v>42996.328472222223</v>
      </c>
      <c r="AD1530" s="32" t="s">
        <v>552</v>
      </c>
    </row>
    <row r="1531" spans="1:30">
      <c r="A1531" s="184">
        <v>1530</v>
      </c>
      <c r="B1531" s="184" t="s">
        <v>3647</v>
      </c>
      <c r="C1531" s="184" t="s">
        <v>598</v>
      </c>
      <c r="D1531" s="127">
        <v>42879</v>
      </c>
      <c r="E1531" s="127" t="s">
        <v>598</v>
      </c>
      <c r="F1531" s="184" t="s">
        <v>3648</v>
      </c>
      <c r="G1531" s="185">
        <v>0</v>
      </c>
      <c r="H1531" s="184" t="s">
        <v>598</v>
      </c>
      <c r="I1531" s="184" t="s">
        <v>598</v>
      </c>
      <c r="J1531" s="184" t="s">
        <v>102</v>
      </c>
      <c r="K1531" s="184" t="s">
        <v>3619</v>
      </c>
      <c r="L1531" s="184" t="s">
        <v>598</v>
      </c>
      <c r="M1531" s="184" t="s">
        <v>598</v>
      </c>
      <c r="N1531" s="184" t="s">
        <v>63</v>
      </c>
      <c r="O1531" s="184" t="s">
        <v>86</v>
      </c>
      <c r="P1531" s="186" t="s">
        <v>602</v>
      </c>
      <c r="Q1531" s="184" t="s">
        <v>598</v>
      </c>
      <c r="R1531" s="184" t="s">
        <v>598</v>
      </c>
      <c r="S1531" s="127">
        <v>42882</v>
      </c>
      <c r="T1531" s="184" t="s">
        <v>34</v>
      </c>
      <c r="U1531" s="184" t="s">
        <v>598</v>
      </c>
      <c r="V1531" s="185">
        <v>5000</v>
      </c>
      <c r="W1531" s="184" t="s">
        <v>493</v>
      </c>
      <c r="X1531" s="184" t="s">
        <v>598</v>
      </c>
      <c r="Y1531" s="185">
        <v>0</v>
      </c>
      <c r="Z1531" s="184" t="s">
        <v>598</v>
      </c>
      <c r="AA1531" s="21" t="s">
        <v>610</v>
      </c>
      <c r="AB1531" s="176" t="s">
        <v>489</v>
      </c>
      <c r="AC1531" s="172">
        <v>42996.328472222223</v>
      </c>
      <c r="AD1531" s="32" t="s">
        <v>552</v>
      </c>
    </row>
    <row r="1532" spans="1:30">
      <c r="A1532" s="184">
        <v>1531</v>
      </c>
      <c r="B1532" s="184" t="s">
        <v>3649</v>
      </c>
      <c r="C1532" s="184" t="s">
        <v>598</v>
      </c>
      <c r="D1532" s="127">
        <v>42879</v>
      </c>
      <c r="E1532" s="127" t="s">
        <v>598</v>
      </c>
      <c r="F1532" s="184" t="s">
        <v>659</v>
      </c>
      <c r="G1532" s="185">
        <v>0</v>
      </c>
      <c r="H1532" s="184" t="s">
        <v>598</v>
      </c>
      <c r="I1532" s="184" t="s">
        <v>598</v>
      </c>
      <c r="J1532" s="184" t="s">
        <v>102</v>
      </c>
      <c r="K1532" s="184" t="s">
        <v>233</v>
      </c>
      <c r="L1532" s="184" t="s">
        <v>598</v>
      </c>
      <c r="M1532" s="184" t="s">
        <v>598</v>
      </c>
      <c r="N1532" s="184" t="s">
        <v>63</v>
      </c>
      <c r="O1532" s="184" t="s">
        <v>3021</v>
      </c>
      <c r="P1532" s="186" t="s">
        <v>603</v>
      </c>
      <c r="Q1532" s="184" t="s">
        <v>598</v>
      </c>
      <c r="R1532" s="184" t="s">
        <v>598</v>
      </c>
      <c r="S1532" s="127">
        <v>42885</v>
      </c>
      <c r="T1532" s="184" t="s">
        <v>34</v>
      </c>
      <c r="U1532" s="184" t="s">
        <v>598</v>
      </c>
      <c r="V1532" s="185">
        <v>5000</v>
      </c>
      <c r="W1532" s="184" t="s">
        <v>493</v>
      </c>
      <c r="X1532" s="184" t="s">
        <v>598</v>
      </c>
      <c r="Y1532" s="185">
        <v>0</v>
      </c>
      <c r="Z1532" s="184" t="s">
        <v>598</v>
      </c>
      <c r="AA1532" s="21" t="s">
        <v>610</v>
      </c>
      <c r="AB1532" s="176" t="s">
        <v>489</v>
      </c>
      <c r="AC1532" s="172">
        <v>42996.328472222223</v>
      </c>
      <c r="AD1532" s="32" t="s">
        <v>552</v>
      </c>
    </row>
    <row r="1533" spans="1:30">
      <c r="A1533" s="184">
        <v>1532</v>
      </c>
      <c r="B1533" s="184" t="s">
        <v>3650</v>
      </c>
      <c r="C1533" s="184" t="s">
        <v>598</v>
      </c>
      <c r="D1533" s="127">
        <v>42880</v>
      </c>
      <c r="E1533" s="127" t="s">
        <v>598</v>
      </c>
      <c r="F1533" s="184" t="s">
        <v>3651</v>
      </c>
      <c r="G1533" s="185">
        <v>0</v>
      </c>
      <c r="H1533" s="184" t="s">
        <v>598</v>
      </c>
      <c r="I1533" s="184" t="s">
        <v>598</v>
      </c>
      <c r="J1533" s="184" t="s">
        <v>102</v>
      </c>
      <c r="K1533" s="184" t="s">
        <v>233</v>
      </c>
      <c r="L1533" s="184" t="s">
        <v>598</v>
      </c>
      <c r="M1533" s="184" t="s">
        <v>598</v>
      </c>
      <c r="N1533" s="184" t="s">
        <v>63</v>
      </c>
      <c r="O1533" s="184" t="s">
        <v>3021</v>
      </c>
      <c r="P1533" s="186"/>
      <c r="Q1533" s="184" t="s">
        <v>598</v>
      </c>
      <c r="R1533" s="184" t="s">
        <v>598</v>
      </c>
      <c r="S1533" s="127">
        <v>42885</v>
      </c>
      <c r="T1533" s="184" t="s">
        <v>34</v>
      </c>
      <c r="U1533" s="184" t="s">
        <v>598</v>
      </c>
      <c r="V1533" s="185">
        <v>5000</v>
      </c>
      <c r="W1533" s="184" t="s">
        <v>493</v>
      </c>
      <c r="X1533" s="184" t="s">
        <v>598</v>
      </c>
      <c r="Y1533" s="185">
        <v>0</v>
      </c>
      <c r="Z1533" s="184" t="s">
        <v>598</v>
      </c>
      <c r="AA1533" s="21" t="s">
        <v>610</v>
      </c>
      <c r="AB1533" s="176" t="s">
        <v>489</v>
      </c>
      <c r="AC1533" s="172">
        <v>42996.328472222223</v>
      </c>
      <c r="AD1533" s="32" t="s">
        <v>552</v>
      </c>
    </row>
    <row r="1534" spans="1:30">
      <c r="A1534" s="184">
        <v>1533</v>
      </c>
      <c r="B1534" s="184" t="s">
        <v>3652</v>
      </c>
      <c r="C1534" s="184" t="s">
        <v>598</v>
      </c>
      <c r="D1534" s="127">
        <v>42882</v>
      </c>
      <c r="E1534" s="127" t="s">
        <v>598</v>
      </c>
      <c r="F1534" s="184" t="s">
        <v>1334</v>
      </c>
      <c r="G1534" s="185">
        <v>0</v>
      </c>
      <c r="H1534" s="184" t="s">
        <v>598</v>
      </c>
      <c r="I1534" s="184" t="s">
        <v>598</v>
      </c>
      <c r="J1534" s="184" t="s">
        <v>102</v>
      </c>
      <c r="K1534" s="184" t="s">
        <v>360</v>
      </c>
      <c r="L1534" s="184" t="s">
        <v>598</v>
      </c>
      <c r="M1534" s="184" t="s">
        <v>598</v>
      </c>
      <c r="N1534" s="184" t="s">
        <v>63</v>
      </c>
      <c r="O1534" s="184" t="s">
        <v>63</v>
      </c>
      <c r="P1534" s="186" t="s">
        <v>605</v>
      </c>
      <c r="Q1534" s="184" t="s">
        <v>598</v>
      </c>
      <c r="R1534" s="184" t="s">
        <v>804</v>
      </c>
      <c r="S1534" s="127">
        <v>42882</v>
      </c>
      <c r="T1534" s="184" t="s">
        <v>34</v>
      </c>
      <c r="U1534" s="184" t="s">
        <v>598</v>
      </c>
      <c r="V1534" s="185">
        <v>1000</v>
      </c>
      <c r="W1534" s="184" t="s">
        <v>549</v>
      </c>
      <c r="X1534" s="184" t="s">
        <v>598</v>
      </c>
      <c r="Y1534" s="185">
        <v>0</v>
      </c>
      <c r="Z1534" s="184" t="s">
        <v>493</v>
      </c>
      <c r="AA1534" s="21" t="s">
        <v>822</v>
      </c>
      <c r="AB1534" s="176" t="s">
        <v>489</v>
      </c>
      <c r="AC1534" s="172">
        <v>42996.328472222223</v>
      </c>
      <c r="AD1534" s="32" t="s">
        <v>552</v>
      </c>
    </row>
    <row r="1535" spans="1:30">
      <c r="A1535" s="184">
        <v>1534</v>
      </c>
      <c r="B1535" s="184" t="s">
        <v>3653</v>
      </c>
      <c r="C1535" s="184" t="s">
        <v>598</v>
      </c>
      <c r="D1535" s="127">
        <v>42885</v>
      </c>
      <c r="E1535" s="127" t="s">
        <v>598</v>
      </c>
      <c r="F1535" s="184" t="s">
        <v>1338</v>
      </c>
      <c r="G1535" s="185">
        <v>0</v>
      </c>
      <c r="H1535" s="184" t="s">
        <v>598</v>
      </c>
      <c r="I1535" s="184" t="s">
        <v>598</v>
      </c>
      <c r="J1535" s="184" t="s">
        <v>102</v>
      </c>
      <c r="K1535" s="184" t="s">
        <v>170</v>
      </c>
      <c r="L1535" s="184" t="s">
        <v>598</v>
      </c>
      <c r="M1535" s="184" t="s">
        <v>598</v>
      </c>
      <c r="N1535" s="184" t="s">
        <v>63</v>
      </c>
      <c r="O1535" s="184" t="s">
        <v>3021</v>
      </c>
      <c r="P1535" s="186" t="s">
        <v>606</v>
      </c>
      <c r="Q1535" s="184" t="s">
        <v>598</v>
      </c>
      <c r="R1535" s="184" t="s">
        <v>804</v>
      </c>
      <c r="S1535" s="127">
        <v>42885</v>
      </c>
      <c r="T1535" s="184" t="s">
        <v>34</v>
      </c>
      <c r="U1535" s="184" t="s">
        <v>598</v>
      </c>
      <c r="V1535" s="185">
        <v>2000</v>
      </c>
      <c r="W1535" s="184" t="s">
        <v>549</v>
      </c>
      <c r="X1535" s="184" t="s">
        <v>598</v>
      </c>
      <c r="Y1535" s="185">
        <v>0</v>
      </c>
      <c r="Z1535" s="184" t="s">
        <v>493</v>
      </c>
      <c r="AA1535" s="21" t="s">
        <v>822</v>
      </c>
      <c r="AB1535" s="176" t="s">
        <v>489</v>
      </c>
      <c r="AC1535" s="172">
        <v>42996.328472222223</v>
      </c>
      <c r="AD1535" s="32" t="s">
        <v>552</v>
      </c>
    </row>
    <row r="1536" spans="1:30">
      <c r="A1536" s="184">
        <v>1535</v>
      </c>
      <c r="B1536" s="184" t="s">
        <v>3654</v>
      </c>
      <c r="C1536" s="184" t="s">
        <v>598</v>
      </c>
      <c r="D1536" s="127">
        <v>42886</v>
      </c>
      <c r="E1536" s="127" t="s">
        <v>598</v>
      </c>
      <c r="F1536" s="184" t="s">
        <v>857</v>
      </c>
      <c r="G1536" s="185">
        <v>0</v>
      </c>
      <c r="H1536" s="184" t="s">
        <v>598</v>
      </c>
      <c r="I1536" s="184" t="s">
        <v>598</v>
      </c>
      <c r="J1536" s="184" t="s">
        <v>102</v>
      </c>
      <c r="K1536" s="184" t="s">
        <v>598</v>
      </c>
      <c r="L1536" s="184" t="s">
        <v>598</v>
      </c>
      <c r="M1536" s="184" t="s">
        <v>598</v>
      </c>
      <c r="N1536" s="184" t="s">
        <v>63</v>
      </c>
      <c r="O1536" s="184" t="s">
        <v>86</v>
      </c>
      <c r="P1536" s="186"/>
      <c r="Q1536" s="184" t="s">
        <v>598</v>
      </c>
      <c r="R1536" s="184" t="s">
        <v>804</v>
      </c>
      <c r="S1536" s="127">
        <v>42886</v>
      </c>
      <c r="T1536" s="184" t="s">
        <v>34</v>
      </c>
      <c r="U1536" s="184" t="s">
        <v>598</v>
      </c>
      <c r="V1536" s="185">
        <v>2000</v>
      </c>
      <c r="W1536" s="184" t="s">
        <v>573</v>
      </c>
      <c r="X1536" s="184" t="s">
        <v>598</v>
      </c>
      <c r="Y1536" s="185">
        <v>0</v>
      </c>
      <c r="Z1536" s="184" t="s">
        <v>89</v>
      </c>
      <c r="AA1536" s="21" t="s">
        <v>822</v>
      </c>
      <c r="AB1536" s="176" t="s">
        <v>489</v>
      </c>
      <c r="AC1536" s="172">
        <v>42996.328472222223</v>
      </c>
      <c r="AD1536" s="32" t="s">
        <v>552</v>
      </c>
    </row>
    <row r="1537" spans="1:30">
      <c r="A1537" s="184">
        <v>1536</v>
      </c>
      <c r="B1537" s="184" t="s">
        <v>3655</v>
      </c>
      <c r="C1537" s="184" t="s">
        <v>598</v>
      </c>
      <c r="D1537" s="127">
        <v>42833</v>
      </c>
      <c r="E1537" s="127" t="s">
        <v>598</v>
      </c>
      <c r="F1537" s="184" t="s">
        <v>3656</v>
      </c>
      <c r="G1537" s="185">
        <v>0</v>
      </c>
      <c r="H1537" s="184" t="s">
        <v>598</v>
      </c>
      <c r="I1537" s="184" t="s">
        <v>598</v>
      </c>
      <c r="J1537" s="184" t="s">
        <v>102</v>
      </c>
      <c r="K1537" s="184" t="s">
        <v>233</v>
      </c>
      <c r="L1537" s="184" t="s">
        <v>598</v>
      </c>
      <c r="M1537" s="184" t="s">
        <v>598</v>
      </c>
      <c r="N1537" s="184" t="s">
        <v>63</v>
      </c>
      <c r="O1537" s="184" t="s">
        <v>3021</v>
      </c>
      <c r="P1537" s="186" t="s">
        <v>73</v>
      </c>
      <c r="Q1537" s="184" t="s">
        <v>598</v>
      </c>
      <c r="R1537" s="184" t="s">
        <v>598</v>
      </c>
      <c r="S1537" s="127">
        <v>42857</v>
      </c>
      <c r="T1537" s="184" t="s">
        <v>10</v>
      </c>
      <c r="U1537" s="184" t="s">
        <v>598</v>
      </c>
      <c r="V1537" s="185">
        <v>2000</v>
      </c>
      <c r="W1537" s="184" t="s">
        <v>493</v>
      </c>
      <c r="X1537" s="184">
        <v>3894</v>
      </c>
      <c r="Y1537" s="185">
        <v>2000</v>
      </c>
      <c r="Z1537" s="184" t="s">
        <v>598</v>
      </c>
      <c r="AA1537" s="21" t="s">
        <v>610</v>
      </c>
      <c r="AB1537" s="176" t="s">
        <v>489</v>
      </c>
      <c r="AC1537" s="172">
        <v>42996.328472222223</v>
      </c>
      <c r="AD1537" s="32" t="s">
        <v>552</v>
      </c>
    </row>
    <row r="1538" spans="1:30">
      <c r="A1538" s="184">
        <v>1537</v>
      </c>
      <c r="B1538" s="184" t="s">
        <v>3657</v>
      </c>
      <c r="C1538" s="184" t="s">
        <v>598</v>
      </c>
      <c r="D1538" s="127">
        <v>42836</v>
      </c>
      <c r="E1538" s="127" t="s">
        <v>598</v>
      </c>
      <c r="F1538" s="184" t="s">
        <v>3658</v>
      </c>
      <c r="G1538" s="185">
        <v>0</v>
      </c>
      <c r="H1538" s="184" t="s">
        <v>598</v>
      </c>
      <c r="I1538" s="184" t="s">
        <v>598</v>
      </c>
      <c r="J1538" s="184" t="s">
        <v>102</v>
      </c>
      <c r="K1538" s="184" t="s">
        <v>1053</v>
      </c>
      <c r="L1538" s="184" t="s">
        <v>598</v>
      </c>
      <c r="M1538" s="184" t="s">
        <v>598</v>
      </c>
      <c r="N1538" s="184" t="s">
        <v>63</v>
      </c>
      <c r="O1538" s="184" t="s">
        <v>63</v>
      </c>
      <c r="P1538" s="186" t="s">
        <v>601</v>
      </c>
      <c r="Q1538" s="184" t="s">
        <v>598</v>
      </c>
      <c r="R1538" s="184" t="s">
        <v>598</v>
      </c>
      <c r="S1538" s="127">
        <v>42857</v>
      </c>
      <c r="T1538" s="184" t="s">
        <v>34</v>
      </c>
      <c r="U1538" s="184" t="s">
        <v>598</v>
      </c>
      <c r="V1538" s="185">
        <v>5000</v>
      </c>
      <c r="W1538" s="184" t="s">
        <v>493</v>
      </c>
      <c r="X1538" s="184" t="s">
        <v>598</v>
      </c>
      <c r="Y1538" s="185">
        <v>0</v>
      </c>
      <c r="Z1538" s="184" t="s">
        <v>598</v>
      </c>
      <c r="AA1538" s="21" t="s">
        <v>610</v>
      </c>
      <c r="AB1538" s="176" t="s">
        <v>489</v>
      </c>
      <c r="AC1538" s="172">
        <v>42996.328472222223</v>
      </c>
      <c r="AD1538" s="32" t="s">
        <v>552</v>
      </c>
    </row>
    <row r="1539" spans="1:30">
      <c r="A1539" s="184">
        <v>1538</v>
      </c>
      <c r="B1539" s="184" t="s">
        <v>3659</v>
      </c>
      <c r="C1539" s="184" t="s">
        <v>598</v>
      </c>
      <c r="D1539" s="127">
        <v>42837</v>
      </c>
      <c r="E1539" s="127" t="s">
        <v>598</v>
      </c>
      <c r="F1539" s="184" t="s">
        <v>3660</v>
      </c>
      <c r="G1539" s="185">
        <v>0</v>
      </c>
      <c r="H1539" s="184" t="s">
        <v>598</v>
      </c>
      <c r="I1539" s="184" t="s">
        <v>598</v>
      </c>
      <c r="J1539" s="184" t="s">
        <v>102</v>
      </c>
      <c r="K1539" s="184" t="s">
        <v>598</v>
      </c>
      <c r="L1539" s="184" t="s">
        <v>598</v>
      </c>
      <c r="M1539" s="184" t="s">
        <v>598</v>
      </c>
      <c r="N1539" s="184" t="s">
        <v>63</v>
      </c>
      <c r="O1539" s="184" t="s">
        <v>3021</v>
      </c>
      <c r="P1539" s="186" t="s">
        <v>32</v>
      </c>
      <c r="Q1539" s="184" t="s">
        <v>598</v>
      </c>
      <c r="R1539" s="184" t="s">
        <v>598</v>
      </c>
      <c r="S1539" s="127">
        <v>42864</v>
      </c>
      <c r="T1539" s="184" t="s">
        <v>34</v>
      </c>
      <c r="U1539" s="184" t="s">
        <v>598</v>
      </c>
      <c r="V1539" s="185">
        <v>3000</v>
      </c>
      <c r="W1539" s="184" t="s">
        <v>493</v>
      </c>
      <c r="X1539" s="184" t="s">
        <v>598</v>
      </c>
      <c r="Y1539" s="185">
        <v>0</v>
      </c>
      <c r="Z1539" s="184" t="s">
        <v>598</v>
      </c>
      <c r="AA1539" s="21" t="s">
        <v>610</v>
      </c>
      <c r="AB1539" s="176" t="s">
        <v>489</v>
      </c>
      <c r="AC1539" s="172">
        <v>42996.328472222223</v>
      </c>
      <c r="AD1539" s="32" t="s">
        <v>552</v>
      </c>
    </row>
    <row r="1540" spans="1:30">
      <c r="A1540" s="184">
        <v>1539</v>
      </c>
      <c r="B1540" s="184" t="s">
        <v>3661</v>
      </c>
      <c r="C1540" s="184" t="s">
        <v>598</v>
      </c>
      <c r="D1540" s="127">
        <v>42838</v>
      </c>
      <c r="E1540" s="127" t="s">
        <v>598</v>
      </c>
      <c r="F1540" s="184" t="s">
        <v>3662</v>
      </c>
      <c r="G1540" s="185">
        <v>0</v>
      </c>
      <c r="H1540" s="184" t="s">
        <v>598</v>
      </c>
      <c r="I1540" s="184" t="s">
        <v>118</v>
      </c>
      <c r="J1540" s="184" t="s">
        <v>102</v>
      </c>
      <c r="K1540" s="184" t="s">
        <v>241</v>
      </c>
      <c r="L1540" s="184" t="s">
        <v>598</v>
      </c>
      <c r="M1540" s="184" t="s">
        <v>598</v>
      </c>
      <c r="N1540" s="184" t="s">
        <v>63</v>
      </c>
      <c r="O1540" s="184" t="s">
        <v>3021</v>
      </c>
      <c r="P1540" s="186" t="s">
        <v>53</v>
      </c>
      <c r="Q1540" s="184" t="s">
        <v>598</v>
      </c>
      <c r="R1540" s="184" t="s">
        <v>598</v>
      </c>
      <c r="S1540" s="127">
        <v>42866</v>
      </c>
      <c r="T1540" s="184" t="s">
        <v>10</v>
      </c>
      <c r="U1540" s="184" t="s">
        <v>598</v>
      </c>
      <c r="V1540" s="185">
        <v>5000</v>
      </c>
      <c r="W1540" s="184" t="s">
        <v>493</v>
      </c>
      <c r="X1540" s="184">
        <v>3891</v>
      </c>
      <c r="Y1540" s="185">
        <v>5000</v>
      </c>
      <c r="Z1540" s="184" t="s">
        <v>598</v>
      </c>
      <c r="AA1540" s="21" t="s">
        <v>610</v>
      </c>
      <c r="AB1540" s="176" t="s">
        <v>489</v>
      </c>
      <c r="AC1540" s="172">
        <v>42996.328472222223</v>
      </c>
      <c r="AD1540" s="32" t="s">
        <v>552</v>
      </c>
    </row>
    <row r="1541" spans="1:30">
      <c r="A1541" s="184">
        <v>1540</v>
      </c>
      <c r="B1541" s="184" t="s">
        <v>3663</v>
      </c>
      <c r="C1541" s="184" t="s">
        <v>598</v>
      </c>
      <c r="D1541" s="127">
        <v>42838</v>
      </c>
      <c r="E1541" s="127" t="s">
        <v>598</v>
      </c>
      <c r="F1541" s="184" t="s">
        <v>3664</v>
      </c>
      <c r="G1541" s="185">
        <v>0</v>
      </c>
      <c r="H1541" s="184" t="s">
        <v>598</v>
      </c>
      <c r="I1541" s="184" t="s">
        <v>118</v>
      </c>
      <c r="J1541" s="184" t="s">
        <v>102</v>
      </c>
      <c r="K1541" s="184" t="s">
        <v>241</v>
      </c>
      <c r="L1541" s="184" t="s">
        <v>598</v>
      </c>
      <c r="M1541" s="184" t="s">
        <v>598</v>
      </c>
      <c r="N1541" s="184" t="s">
        <v>63</v>
      </c>
      <c r="O1541" s="184" t="s">
        <v>3021</v>
      </c>
      <c r="P1541" s="186" t="s">
        <v>44</v>
      </c>
      <c r="Q1541" s="184" t="s">
        <v>598</v>
      </c>
      <c r="R1541" s="184" t="s">
        <v>598</v>
      </c>
      <c r="S1541" s="127">
        <v>42866</v>
      </c>
      <c r="T1541" s="184" t="s">
        <v>10</v>
      </c>
      <c r="U1541" s="184" t="s">
        <v>598</v>
      </c>
      <c r="V1541" s="185">
        <v>5000</v>
      </c>
      <c r="W1541" s="184" t="s">
        <v>493</v>
      </c>
      <c r="X1541" s="184">
        <v>3890</v>
      </c>
      <c r="Y1541" s="185">
        <v>5000</v>
      </c>
      <c r="Z1541" s="184" t="s">
        <v>598</v>
      </c>
      <c r="AA1541" s="21" t="s">
        <v>610</v>
      </c>
      <c r="AB1541" s="176" t="s">
        <v>489</v>
      </c>
      <c r="AC1541" s="172">
        <v>42996.328472222223</v>
      </c>
      <c r="AD1541" s="32" t="s">
        <v>552</v>
      </c>
    </row>
    <row r="1542" spans="1:30">
      <c r="A1542" s="184">
        <v>1541</v>
      </c>
      <c r="B1542" s="184" t="s">
        <v>3665</v>
      </c>
      <c r="C1542" s="184" t="s">
        <v>598</v>
      </c>
      <c r="D1542" s="127">
        <v>42842</v>
      </c>
      <c r="E1542" s="127" t="s">
        <v>598</v>
      </c>
      <c r="F1542" s="184" t="s">
        <v>3666</v>
      </c>
      <c r="G1542" s="185">
        <v>0</v>
      </c>
      <c r="H1542" s="184" t="s">
        <v>598</v>
      </c>
      <c r="I1542" s="184" t="s">
        <v>134</v>
      </c>
      <c r="J1542" s="184" t="s">
        <v>102</v>
      </c>
      <c r="K1542" s="184" t="s">
        <v>233</v>
      </c>
      <c r="L1542" s="184" t="s">
        <v>598</v>
      </c>
      <c r="M1542" s="184" t="s">
        <v>598</v>
      </c>
      <c r="N1542" s="184" t="s">
        <v>63</v>
      </c>
      <c r="O1542" s="184" t="s">
        <v>63</v>
      </c>
      <c r="P1542" s="186" t="s">
        <v>67</v>
      </c>
      <c r="Q1542" s="184" t="s">
        <v>598</v>
      </c>
      <c r="R1542" s="184" t="s">
        <v>598</v>
      </c>
      <c r="S1542" s="127">
        <v>42857</v>
      </c>
      <c r="T1542" s="184" t="s">
        <v>34</v>
      </c>
      <c r="U1542" s="184" t="s">
        <v>598</v>
      </c>
      <c r="V1542" s="185">
        <v>5000</v>
      </c>
      <c r="W1542" s="184" t="s">
        <v>493</v>
      </c>
      <c r="X1542" s="184" t="s">
        <v>598</v>
      </c>
      <c r="Y1542" s="185">
        <v>0</v>
      </c>
      <c r="Z1542" s="184" t="s">
        <v>598</v>
      </c>
      <c r="AA1542" s="21" t="s">
        <v>610</v>
      </c>
      <c r="AB1542" s="176" t="s">
        <v>489</v>
      </c>
      <c r="AC1542" s="172">
        <v>42996.328472222223</v>
      </c>
      <c r="AD1542" s="32" t="s">
        <v>552</v>
      </c>
    </row>
    <row r="1543" spans="1:30">
      <c r="A1543" s="184">
        <v>1542</v>
      </c>
      <c r="B1543" s="184" t="s">
        <v>3667</v>
      </c>
      <c r="C1543" s="184" t="s">
        <v>598</v>
      </c>
      <c r="D1543" s="127">
        <v>42843</v>
      </c>
      <c r="E1543" s="127" t="s">
        <v>598</v>
      </c>
      <c r="F1543" s="184" t="s">
        <v>3668</v>
      </c>
      <c r="G1543" s="185">
        <v>0</v>
      </c>
      <c r="H1543" s="184" t="s">
        <v>598</v>
      </c>
      <c r="I1543" s="184" t="s">
        <v>598</v>
      </c>
      <c r="J1543" s="184" t="s">
        <v>102</v>
      </c>
      <c r="K1543" s="184" t="s">
        <v>471</v>
      </c>
      <c r="L1543" s="184" t="s">
        <v>598</v>
      </c>
      <c r="M1543" s="184" t="s">
        <v>598</v>
      </c>
      <c r="N1543" s="184" t="s">
        <v>63</v>
      </c>
      <c r="O1543" s="184" t="s">
        <v>86</v>
      </c>
      <c r="P1543" s="186" t="s">
        <v>602</v>
      </c>
      <c r="Q1543" s="184" t="s">
        <v>598</v>
      </c>
      <c r="R1543" s="184" t="s">
        <v>598</v>
      </c>
      <c r="S1543" s="127">
        <v>42858</v>
      </c>
      <c r="T1543" s="184" t="s">
        <v>34</v>
      </c>
      <c r="U1543" s="184" t="s">
        <v>598</v>
      </c>
      <c r="V1543" s="185">
        <v>2500</v>
      </c>
      <c r="W1543" s="184" t="s">
        <v>493</v>
      </c>
      <c r="X1543" s="184" t="s">
        <v>598</v>
      </c>
      <c r="Y1543" s="185">
        <v>0</v>
      </c>
      <c r="Z1543" s="184" t="s">
        <v>598</v>
      </c>
      <c r="AA1543" s="21" t="s">
        <v>610</v>
      </c>
      <c r="AB1543" s="176" t="s">
        <v>489</v>
      </c>
      <c r="AC1543" s="172">
        <v>42996.328472222223</v>
      </c>
      <c r="AD1543" s="32" t="s">
        <v>552</v>
      </c>
    </row>
    <row r="1544" spans="1:30">
      <c r="A1544" s="184">
        <v>1543</v>
      </c>
      <c r="B1544" s="184" t="s">
        <v>3669</v>
      </c>
      <c r="C1544" s="184" t="s">
        <v>598</v>
      </c>
      <c r="D1544" s="127">
        <v>42849</v>
      </c>
      <c r="E1544" s="127" t="s">
        <v>598</v>
      </c>
      <c r="F1544" s="184" t="s">
        <v>612</v>
      </c>
      <c r="G1544" s="185">
        <v>0</v>
      </c>
      <c r="H1544" s="184" t="s">
        <v>598</v>
      </c>
      <c r="I1544" s="184" t="s">
        <v>598</v>
      </c>
      <c r="J1544" s="184" t="s">
        <v>102</v>
      </c>
      <c r="K1544" s="184" t="s">
        <v>216</v>
      </c>
      <c r="L1544" s="184" t="s">
        <v>598</v>
      </c>
      <c r="M1544" s="184" t="s">
        <v>598</v>
      </c>
      <c r="N1544" s="184" t="s">
        <v>63</v>
      </c>
      <c r="O1544" s="184" t="s">
        <v>86</v>
      </c>
      <c r="P1544" s="186" t="s">
        <v>603</v>
      </c>
      <c r="Q1544" s="184" t="s">
        <v>598</v>
      </c>
      <c r="R1544" s="184" t="s">
        <v>598</v>
      </c>
      <c r="S1544" s="127">
        <v>42865</v>
      </c>
      <c r="T1544" s="184" t="s">
        <v>10</v>
      </c>
      <c r="U1544" s="184" t="s">
        <v>598</v>
      </c>
      <c r="V1544" s="185">
        <v>1000</v>
      </c>
      <c r="W1544" s="184" t="s">
        <v>493</v>
      </c>
      <c r="X1544" s="184">
        <v>3898</v>
      </c>
      <c r="Y1544" s="185">
        <v>1000</v>
      </c>
      <c r="Z1544" s="184" t="s">
        <v>598</v>
      </c>
      <c r="AA1544" s="21" t="s">
        <v>610</v>
      </c>
      <c r="AB1544" s="176" t="s">
        <v>489</v>
      </c>
      <c r="AC1544" s="172">
        <v>42996.328472222223</v>
      </c>
      <c r="AD1544" s="32" t="s">
        <v>552</v>
      </c>
    </row>
    <row r="1545" spans="1:30">
      <c r="A1545" s="184">
        <v>1544</v>
      </c>
      <c r="B1545" s="184" t="s">
        <v>3670</v>
      </c>
      <c r="C1545" s="184" t="s">
        <v>598</v>
      </c>
      <c r="D1545" s="127">
        <v>42849</v>
      </c>
      <c r="E1545" s="127" t="s">
        <v>598</v>
      </c>
      <c r="F1545" s="184" t="s">
        <v>3671</v>
      </c>
      <c r="G1545" s="185">
        <v>0</v>
      </c>
      <c r="H1545" s="184" t="s">
        <v>598</v>
      </c>
      <c r="I1545" s="184" t="s">
        <v>598</v>
      </c>
      <c r="J1545" s="184" t="s">
        <v>102</v>
      </c>
      <c r="K1545" s="184" t="s">
        <v>169</v>
      </c>
      <c r="L1545" s="184" t="s">
        <v>598</v>
      </c>
      <c r="M1545" s="184" t="s">
        <v>598</v>
      </c>
      <c r="N1545" s="184" t="s">
        <v>63</v>
      </c>
      <c r="O1545" s="184" t="s">
        <v>63</v>
      </c>
      <c r="P1545" s="186"/>
      <c r="Q1545" s="184" t="s">
        <v>598</v>
      </c>
      <c r="R1545" s="184" t="s">
        <v>598</v>
      </c>
      <c r="S1545" s="127">
        <v>42859</v>
      </c>
      <c r="T1545" s="184" t="s">
        <v>34</v>
      </c>
      <c r="U1545" s="184" t="s">
        <v>598</v>
      </c>
      <c r="V1545" s="185">
        <v>20000</v>
      </c>
      <c r="W1545" s="184" t="s">
        <v>493</v>
      </c>
      <c r="X1545" s="184" t="s">
        <v>598</v>
      </c>
      <c r="Y1545" s="185">
        <v>0</v>
      </c>
      <c r="Z1545" s="184" t="s">
        <v>598</v>
      </c>
      <c r="AA1545" s="21" t="s">
        <v>610</v>
      </c>
      <c r="AB1545" s="176" t="s">
        <v>489</v>
      </c>
      <c r="AC1545" s="172">
        <v>42996.328472222223</v>
      </c>
      <c r="AD1545" s="32" t="s">
        <v>552</v>
      </c>
    </row>
    <row r="1546" spans="1:30">
      <c r="A1546" s="184">
        <v>1545</v>
      </c>
      <c r="B1546" s="184" t="s">
        <v>3672</v>
      </c>
      <c r="C1546" s="184" t="s">
        <v>598</v>
      </c>
      <c r="D1546" s="127">
        <v>42851</v>
      </c>
      <c r="E1546" s="127" t="s">
        <v>598</v>
      </c>
      <c r="F1546" s="184" t="s">
        <v>3587</v>
      </c>
      <c r="G1546" s="185">
        <v>0</v>
      </c>
      <c r="H1546" s="184" t="s">
        <v>598</v>
      </c>
      <c r="I1546" s="184" t="s">
        <v>598</v>
      </c>
      <c r="J1546" s="184" t="s">
        <v>102</v>
      </c>
      <c r="K1546" s="184" t="s">
        <v>169</v>
      </c>
      <c r="L1546" s="184" t="s">
        <v>598</v>
      </c>
      <c r="M1546" s="184" t="s">
        <v>598</v>
      </c>
      <c r="N1546" s="184" t="s">
        <v>63</v>
      </c>
      <c r="O1546" s="184" t="s">
        <v>63</v>
      </c>
      <c r="P1546" s="186" t="s">
        <v>605</v>
      </c>
      <c r="Q1546" s="184" t="s">
        <v>598</v>
      </c>
      <c r="R1546" s="184" t="s">
        <v>598</v>
      </c>
      <c r="S1546" s="127">
        <v>42861</v>
      </c>
      <c r="T1546" s="184" t="s">
        <v>10</v>
      </c>
      <c r="U1546" s="184" t="s">
        <v>598</v>
      </c>
      <c r="V1546" s="185">
        <v>3000</v>
      </c>
      <c r="W1546" s="184" t="s">
        <v>493</v>
      </c>
      <c r="X1546" s="184" t="s">
        <v>598</v>
      </c>
      <c r="Y1546" s="185">
        <v>0</v>
      </c>
      <c r="Z1546" s="184" t="s">
        <v>598</v>
      </c>
      <c r="AA1546" s="21" t="s">
        <v>610</v>
      </c>
      <c r="AB1546" s="176" t="s">
        <v>489</v>
      </c>
      <c r="AC1546" s="172">
        <v>42996.328472222223</v>
      </c>
      <c r="AD1546" s="32" t="s">
        <v>552</v>
      </c>
    </row>
    <row r="1547" spans="1:30">
      <c r="A1547" s="184">
        <v>1546</v>
      </c>
      <c r="B1547" s="184" t="s">
        <v>3673</v>
      </c>
      <c r="C1547" s="184" t="s">
        <v>598</v>
      </c>
      <c r="D1547" s="127">
        <v>42852</v>
      </c>
      <c r="E1547" s="127" t="s">
        <v>598</v>
      </c>
      <c r="F1547" s="184" t="s">
        <v>1023</v>
      </c>
      <c r="G1547" s="185">
        <v>0</v>
      </c>
      <c r="H1547" s="184" t="s">
        <v>598</v>
      </c>
      <c r="I1547" s="184" t="s">
        <v>598</v>
      </c>
      <c r="J1547" s="184" t="s">
        <v>102</v>
      </c>
      <c r="K1547" s="184" t="s">
        <v>232</v>
      </c>
      <c r="L1547" s="184" t="s">
        <v>598</v>
      </c>
      <c r="M1547" s="184" t="s">
        <v>598</v>
      </c>
      <c r="N1547" s="184" t="s">
        <v>63</v>
      </c>
      <c r="O1547" s="184" t="s">
        <v>86</v>
      </c>
      <c r="P1547" s="186" t="s">
        <v>606</v>
      </c>
      <c r="Q1547" s="184" t="s">
        <v>598</v>
      </c>
      <c r="R1547" s="184" t="s">
        <v>598</v>
      </c>
      <c r="S1547" s="127">
        <v>42871</v>
      </c>
      <c r="T1547" s="184" t="s">
        <v>34</v>
      </c>
      <c r="U1547" s="184" t="s">
        <v>598</v>
      </c>
      <c r="V1547" s="185">
        <v>19000</v>
      </c>
      <c r="W1547" s="184" t="s">
        <v>493</v>
      </c>
      <c r="X1547" s="184" t="s">
        <v>598</v>
      </c>
      <c r="Y1547" s="185">
        <v>0</v>
      </c>
      <c r="Z1547" s="184" t="s">
        <v>598</v>
      </c>
      <c r="AA1547" s="21" t="s">
        <v>610</v>
      </c>
      <c r="AB1547" s="176" t="s">
        <v>489</v>
      </c>
      <c r="AC1547" s="172">
        <v>42996.328472222223</v>
      </c>
      <c r="AD1547" s="32" t="s">
        <v>552</v>
      </c>
    </row>
    <row r="1548" spans="1:30">
      <c r="A1548" s="184">
        <v>1547</v>
      </c>
      <c r="B1548" s="184" t="s">
        <v>3674</v>
      </c>
      <c r="C1548" s="184" t="s">
        <v>598</v>
      </c>
      <c r="D1548" s="127">
        <v>42852</v>
      </c>
      <c r="E1548" s="127" t="s">
        <v>598</v>
      </c>
      <c r="F1548" s="184" t="s">
        <v>3675</v>
      </c>
      <c r="G1548" s="185">
        <v>0</v>
      </c>
      <c r="H1548" s="184" t="s">
        <v>598</v>
      </c>
      <c r="I1548" s="184" t="s">
        <v>598</v>
      </c>
      <c r="J1548" s="184" t="s">
        <v>102</v>
      </c>
      <c r="K1548" s="184" t="s">
        <v>169</v>
      </c>
      <c r="L1548" s="184" t="s">
        <v>598</v>
      </c>
      <c r="M1548" s="184" t="s">
        <v>598</v>
      </c>
      <c r="N1548" s="184" t="s">
        <v>63</v>
      </c>
      <c r="O1548" s="184" t="s">
        <v>63</v>
      </c>
      <c r="P1548" s="186"/>
      <c r="Q1548" s="184" t="s">
        <v>598</v>
      </c>
      <c r="R1548" s="184" t="s">
        <v>598</v>
      </c>
      <c r="S1548" s="127">
        <v>42861</v>
      </c>
      <c r="T1548" s="184" t="s">
        <v>10</v>
      </c>
      <c r="U1548" s="184" t="s">
        <v>598</v>
      </c>
      <c r="V1548" s="185">
        <v>3000</v>
      </c>
      <c r="W1548" s="184" t="s">
        <v>493</v>
      </c>
      <c r="X1548" s="184" t="s">
        <v>598</v>
      </c>
      <c r="Y1548" s="185">
        <v>0</v>
      </c>
      <c r="Z1548" s="184" t="s">
        <v>598</v>
      </c>
      <c r="AA1548" s="21" t="s">
        <v>610</v>
      </c>
      <c r="AB1548" s="176" t="s">
        <v>489</v>
      </c>
      <c r="AC1548" s="172">
        <v>42996.328472222223</v>
      </c>
      <c r="AD1548" s="32" t="s">
        <v>552</v>
      </c>
    </row>
    <row r="1549" spans="1:30">
      <c r="A1549" s="184">
        <v>1548</v>
      </c>
      <c r="B1549" s="184" t="s">
        <v>3676</v>
      </c>
      <c r="C1549" s="184" t="s">
        <v>598</v>
      </c>
      <c r="D1549" s="127">
        <v>42852</v>
      </c>
      <c r="E1549" s="127" t="s">
        <v>598</v>
      </c>
      <c r="F1549" s="184" t="s">
        <v>3677</v>
      </c>
      <c r="G1549" s="185">
        <v>0</v>
      </c>
      <c r="H1549" s="184" t="s">
        <v>598</v>
      </c>
      <c r="I1549" s="184" t="s">
        <v>598</v>
      </c>
      <c r="J1549" s="184" t="s">
        <v>102</v>
      </c>
      <c r="K1549" s="184" t="s">
        <v>232</v>
      </c>
      <c r="L1549" s="184" t="s">
        <v>598</v>
      </c>
      <c r="M1549" s="184" t="s">
        <v>598</v>
      </c>
      <c r="N1549" s="184" t="s">
        <v>63</v>
      </c>
      <c r="O1549" s="184" t="s">
        <v>3021</v>
      </c>
      <c r="P1549" s="186" t="s">
        <v>73</v>
      </c>
      <c r="Q1549" s="184" t="s">
        <v>598</v>
      </c>
      <c r="R1549" s="184" t="s">
        <v>598</v>
      </c>
      <c r="S1549" s="127">
        <v>42871</v>
      </c>
      <c r="T1549" s="184" t="s">
        <v>34</v>
      </c>
      <c r="U1549" s="184" t="s">
        <v>598</v>
      </c>
      <c r="V1549" s="185">
        <v>19000</v>
      </c>
      <c r="W1549" s="184" t="s">
        <v>493</v>
      </c>
      <c r="X1549" s="184" t="s">
        <v>598</v>
      </c>
      <c r="Y1549" s="185">
        <v>0</v>
      </c>
      <c r="Z1549" s="184" t="s">
        <v>598</v>
      </c>
      <c r="AA1549" s="21" t="s">
        <v>610</v>
      </c>
      <c r="AB1549" s="176" t="s">
        <v>489</v>
      </c>
      <c r="AC1549" s="172">
        <v>42996.328472222223</v>
      </c>
      <c r="AD1549" s="32" t="s">
        <v>552</v>
      </c>
    </row>
    <row r="1550" spans="1:30">
      <c r="A1550" s="184">
        <v>1549</v>
      </c>
      <c r="B1550" s="184" t="s">
        <v>3678</v>
      </c>
      <c r="C1550" s="184" t="s">
        <v>598</v>
      </c>
      <c r="D1550" s="127">
        <v>42852</v>
      </c>
      <c r="E1550" s="127" t="s">
        <v>598</v>
      </c>
      <c r="F1550" s="184" t="s">
        <v>3679</v>
      </c>
      <c r="G1550" s="185">
        <v>0</v>
      </c>
      <c r="H1550" s="184" t="s">
        <v>598</v>
      </c>
      <c r="I1550" s="184" t="s">
        <v>37</v>
      </c>
      <c r="J1550" s="184" t="s">
        <v>102</v>
      </c>
      <c r="K1550" s="184" t="s">
        <v>232</v>
      </c>
      <c r="L1550" s="184" t="s">
        <v>598</v>
      </c>
      <c r="M1550" s="184" t="s">
        <v>598</v>
      </c>
      <c r="N1550" s="184" t="s">
        <v>63</v>
      </c>
      <c r="O1550" s="184" t="s">
        <v>3021</v>
      </c>
      <c r="P1550" s="186" t="s">
        <v>601</v>
      </c>
      <c r="Q1550" s="184" t="s">
        <v>598</v>
      </c>
      <c r="R1550" s="184" t="s">
        <v>598</v>
      </c>
      <c r="S1550" s="127">
        <v>42871</v>
      </c>
      <c r="T1550" s="184" t="s">
        <v>34</v>
      </c>
      <c r="U1550" s="184" t="s">
        <v>598</v>
      </c>
      <c r="V1550" s="185">
        <v>19000</v>
      </c>
      <c r="W1550" s="184" t="s">
        <v>493</v>
      </c>
      <c r="X1550" s="184" t="s">
        <v>598</v>
      </c>
      <c r="Y1550" s="185">
        <v>0</v>
      </c>
      <c r="Z1550" s="184" t="s">
        <v>598</v>
      </c>
      <c r="AA1550" s="21" t="s">
        <v>610</v>
      </c>
      <c r="AB1550" s="176" t="s">
        <v>489</v>
      </c>
      <c r="AC1550" s="172">
        <v>42996.328472222223</v>
      </c>
      <c r="AD1550" s="32" t="s">
        <v>552</v>
      </c>
    </row>
    <row r="1551" spans="1:30">
      <c r="A1551" s="184">
        <v>1550</v>
      </c>
      <c r="B1551" s="184" t="s">
        <v>3680</v>
      </c>
      <c r="C1551" s="184" t="s">
        <v>598</v>
      </c>
      <c r="D1551" s="127">
        <v>42464</v>
      </c>
      <c r="E1551" s="127" t="s">
        <v>598</v>
      </c>
      <c r="F1551" s="184" t="s">
        <v>3681</v>
      </c>
      <c r="G1551" s="185">
        <v>0</v>
      </c>
      <c r="H1551" s="184" t="s">
        <v>598</v>
      </c>
      <c r="I1551" s="184" t="s">
        <v>118</v>
      </c>
      <c r="J1551" s="184" t="s">
        <v>102</v>
      </c>
      <c r="K1551" s="184" t="s">
        <v>169</v>
      </c>
      <c r="L1551" s="184" t="s">
        <v>598</v>
      </c>
      <c r="M1551" s="184" t="s">
        <v>598</v>
      </c>
      <c r="N1551" s="184" t="s">
        <v>63</v>
      </c>
      <c r="O1551" s="184" t="s">
        <v>63</v>
      </c>
      <c r="P1551" s="186" t="s">
        <v>32</v>
      </c>
      <c r="Q1551" s="184" t="s">
        <v>598</v>
      </c>
      <c r="R1551" s="184" t="s">
        <v>598</v>
      </c>
      <c r="S1551" s="127">
        <v>42861</v>
      </c>
      <c r="T1551" s="184" t="s">
        <v>10</v>
      </c>
      <c r="U1551" s="184" t="s">
        <v>598</v>
      </c>
      <c r="V1551" s="185">
        <v>7500</v>
      </c>
      <c r="W1551" s="184" t="s">
        <v>493</v>
      </c>
      <c r="X1551" s="184">
        <v>3875</v>
      </c>
      <c r="Y1551" s="185">
        <v>7500</v>
      </c>
      <c r="Z1551" s="184" t="s">
        <v>598</v>
      </c>
      <c r="AA1551" s="21" t="s">
        <v>610</v>
      </c>
      <c r="AB1551" s="176" t="s">
        <v>489</v>
      </c>
      <c r="AC1551" s="172">
        <v>42996.328472222223</v>
      </c>
      <c r="AD1551" s="32" t="s">
        <v>552</v>
      </c>
    </row>
    <row r="1552" spans="1:30">
      <c r="A1552" s="184">
        <v>1551</v>
      </c>
      <c r="B1552" s="184" t="s">
        <v>3682</v>
      </c>
      <c r="C1552" s="184" t="s">
        <v>598</v>
      </c>
      <c r="D1552" s="127">
        <v>42756</v>
      </c>
      <c r="E1552" s="127" t="s">
        <v>598</v>
      </c>
      <c r="F1552" s="184" t="s">
        <v>3683</v>
      </c>
      <c r="G1552" s="185">
        <v>0</v>
      </c>
      <c r="H1552" s="184" t="s">
        <v>598</v>
      </c>
      <c r="I1552" s="184" t="s">
        <v>598</v>
      </c>
      <c r="J1552" s="184" t="s">
        <v>102</v>
      </c>
      <c r="K1552" s="184" t="s">
        <v>233</v>
      </c>
      <c r="L1552" s="184" t="s">
        <v>598</v>
      </c>
      <c r="M1552" s="184" t="s">
        <v>598</v>
      </c>
      <c r="N1552" s="184" t="s">
        <v>63</v>
      </c>
      <c r="O1552" s="184" t="s">
        <v>86</v>
      </c>
      <c r="P1552" s="186" t="s">
        <v>53</v>
      </c>
      <c r="Q1552" s="184" t="s">
        <v>598</v>
      </c>
      <c r="R1552" s="184" t="s">
        <v>598</v>
      </c>
      <c r="S1552" s="127">
        <v>42863</v>
      </c>
      <c r="T1552" s="184" t="s">
        <v>10</v>
      </c>
      <c r="U1552" s="184" t="s">
        <v>598</v>
      </c>
      <c r="V1552" s="185">
        <v>5000</v>
      </c>
      <c r="W1552" s="184" t="s">
        <v>493</v>
      </c>
      <c r="X1552" s="184">
        <v>3832</v>
      </c>
      <c r="Y1552" s="185">
        <v>40000</v>
      </c>
      <c r="Z1552" s="184" t="s">
        <v>598</v>
      </c>
      <c r="AA1552" s="21" t="s">
        <v>610</v>
      </c>
      <c r="AB1552" s="176" t="s">
        <v>489</v>
      </c>
      <c r="AC1552" s="172">
        <v>42996.328472222223</v>
      </c>
      <c r="AD1552" s="32" t="s">
        <v>552</v>
      </c>
    </row>
    <row r="1553" spans="1:30">
      <c r="A1553" s="184">
        <v>1552</v>
      </c>
      <c r="B1553" s="184" t="s">
        <v>3684</v>
      </c>
      <c r="C1553" s="184" t="s">
        <v>598</v>
      </c>
      <c r="D1553" s="127">
        <v>42789</v>
      </c>
      <c r="E1553" s="127" t="s">
        <v>598</v>
      </c>
      <c r="F1553" s="184" t="s">
        <v>3685</v>
      </c>
      <c r="G1553" s="185">
        <v>0</v>
      </c>
      <c r="H1553" s="184" t="s">
        <v>598</v>
      </c>
      <c r="I1553" s="184" t="s">
        <v>115</v>
      </c>
      <c r="J1553" s="184" t="s">
        <v>102</v>
      </c>
      <c r="K1553" s="184" t="s">
        <v>316</v>
      </c>
      <c r="L1553" s="184" t="s">
        <v>598</v>
      </c>
      <c r="M1553" s="184" t="s">
        <v>598</v>
      </c>
      <c r="N1553" s="184" t="s">
        <v>63</v>
      </c>
      <c r="O1553" s="184" t="s">
        <v>63</v>
      </c>
      <c r="P1553" s="186" t="s">
        <v>44</v>
      </c>
      <c r="Q1553" s="184" t="s">
        <v>598</v>
      </c>
      <c r="R1553" s="184" t="s">
        <v>598</v>
      </c>
      <c r="S1553" s="127">
        <v>42859</v>
      </c>
      <c r="T1553" s="184" t="s">
        <v>10</v>
      </c>
      <c r="U1553" s="184" t="s">
        <v>598</v>
      </c>
      <c r="V1553" s="185">
        <v>15000</v>
      </c>
      <c r="W1553" s="184" t="s">
        <v>493</v>
      </c>
      <c r="X1553" s="184">
        <v>2870</v>
      </c>
      <c r="Y1553" s="185">
        <v>20000</v>
      </c>
      <c r="Z1553" s="184" t="s">
        <v>598</v>
      </c>
      <c r="AA1553" s="21" t="s">
        <v>610</v>
      </c>
      <c r="AB1553" s="176" t="s">
        <v>489</v>
      </c>
      <c r="AC1553" s="172">
        <v>42996.328472222223</v>
      </c>
      <c r="AD1553" s="32" t="s">
        <v>552</v>
      </c>
    </row>
    <row r="1554" spans="1:30">
      <c r="A1554" s="184">
        <v>1553</v>
      </c>
      <c r="B1554" s="184" t="s">
        <v>3686</v>
      </c>
      <c r="C1554" s="184" t="s">
        <v>598</v>
      </c>
      <c r="D1554" s="127">
        <v>42815</v>
      </c>
      <c r="E1554" s="127" t="s">
        <v>598</v>
      </c>
      <c r="F1554" s="184" t="s">
        <v>3687</v>
      </c>
      <c r="G1554" s="185">
        <v>0</v>
      </c>
      <c r="H1554" s="184" t="s">
        <v>598</v>
      </c>
      <c r="I1554" s="184" t="s">
        <v>598</v>
      </c>
      <c r="J1554" s="184" t="s">
        <v>102</v>
      </c>
      <c r="K1554" s="184" t="s">
        <v>233</v>
      </c>
      <c r="L1554" s="184" t="s">
        <v>598</v>
      </c>
      <c r="M1554" s="184" t="s">
        <v>598</v>
      </c>
      <c r="N1554" s="184" t="s">
        <v>63</v>
      </c>
      <c r="O1554" s="184" t="s">
        <v>86</v>
      </c>
      <c r="P1554" s="186" t="s">
        <v>67</v>
      </c>
      <c r="Q1554" s="184" t="s">
        <v>598</v>
      </c>
      <c r="R1554" s="184" t="s">
        <v>598</v>
      </c>
      <c r="S1554" s="127">
        <v>42859</v>
      </c>
      <c r="T1554" s="184" t="s">
        <v>10</v>
      </c>
      <c r="U1554" s="184" t="s">
        <v>598</v>
      </c>
      <c r="V1554" s="185">
        <v>10000</v>
      </c>
      <c r="W1554" s="184" t="s">
        <v>493</v>
      </c>
      <c r="X1554" s="184">
        <v>3845</v>
      </c>
      <c r="Y1554" s="185">
        <v>25000</v>
      </c>
      <c r="Z1554" s="184" t="s">
        <v>598</v>
      </c>
      <c r="AA1554" s="21" t="s">
        <v>610</v>
      </c>
      <c r="AB1554" s="176" t="s">
        <v>489</v>
      </c>
      <c r="AC1554" s="172">
        <v>42996.328472222223</v>
      </c>
      <c r="AD1554" s="32" t="s">
        <v>552</v>
      </c>
    </row>
    <row r="1555" spans="1:30">
      <c r="A1555" s="184">
        <v>1554</v>
      </c>
      <c r="B1555" s="184" t="s">
        <v>3688</v>
      </c>
      <c r="C1555" s="184" t="s">
        <v>598</v>
      </c>
      <c r="D1555" s="127">
        <v>42815</v>
      </c>
      <c r="E1555" s="127" t="s">
        <v>598</v>
      </c>
      <c r="F1555" s="184" t="s">
        <v>3689</v>
      </c>
      <c r="G1555" s="185">
        <v>0</v>
      </c>
      <c r="H1555" s="184" t="s">
        <v>598</v>
      </c>
      <c r="I1555" s="184" t="s">
        <v>598</v>
      </c>
      <c r="J1555" s="184" t="s">
        <v>102</v>
      </c>
      <c r="K1555" s="184" t="s">
        <v>233</v>
      </c>
      <c r="L1555" s="184" t="s">
        <v>598</v>
      </c>
      <c r="M1555" s="184" t="s">
        <v>598</v>
      </c>
      <c r="N1555" s="184" t="s">
        <v>63</v>
      </c>
      <c r="O1555" s="184" t="s">
        <v>86</v>
      </c>
      <c r="P1555" s="186" t="s">
        <v>602</v>
      </c>
      <c r="Q1555" s="184" t="s">
        <v>598</v>
      </c>
      <c r="R1555" s="184" t="s">
        <v>598</v>
      </c>
      <c r="S1555" s="127">
        <v>42859</v>
      </c>
      <c r="T1555" s="184" t="s">
        <v>10</v>
      </c>
      <c r="U1555" s="184" t="s">
        <v>598</v>
      </c>
      <c r="V1555" s="185">
        <v>10000</v>
      </c>
      <c r="W1555" s="184" t="s">
        <v>493</v>
      </c>
      <c r="X1555" s="184">
        <v>3846</v>
      </c>
      <c r="Y1555" s="185">
        <v>25000</v>
      </c>
      <c r="Z1555" s="184" t="s">
        <v>598</v>
      </c>
      <c r="AA1555" s="21" t="s">
        <v>610</v>
      </c>
      <c r="AB1555" s="176" t="s">
        <v>489</v>
      </c>
      <c r="AC1555" s="172">
        <v>42996.328472222223</v>
      </c>
      <c r="AD1555" s="32" t="s">
        <v>552</v>
      </c>
    </row>
    <row r="1556" spans="1:30">
      <c r="A1556" s="184">
        <v>1555</v>
      </c>
      <c r="B1556" s="184" t="s">
        <v>3690</v>
      </c>
      <c r="C1556" s="184" t="s">
        <v>598</v>
      </c>
      <c r="D1556" s="127">
        <v>42816</v>
      </c>
      <c r="E1556" s="127" t="s">
        <v>598</v>
      </c>
      <c r="F1556" s="184" t="s">
        <v>3689</v>
      </c>
      <c r="G1556" s="185">
        <v>0</v>
      </c>
      <c r="H1556" s="184" t="s">
        <v>598</v>
      </c>
      <c r="I1556" s="184" t="s">
        <v>37</v>
      </c>
      <c r="J1556" s="184" t="s">
        <v>102</v>
      </c>
      <c r="K1556" s="184" t="s">
        <v>244</v>
      </c>
      <c r="L1556" s="184" t="s">
        <v>598</v>
      </c>
      <c r="M1556" s="184" t="s">
        <v>598</v>
      </c>
      <c r="N1556" s="184" t="s">
        <v>63</v>
      </c>
      <c r="O1556" s="184" t="s">
        <v>86</v>
      </c>
      <c r="P1556" s="186" t="s">
        <v>603</v>
      </c>
      <c r="Q1556" s="184" t="s">
        <v>598</v>
      </c>
      <c r="R1556" s="184" t="s">
        <v>598</v>
      </c>
      <c r="S1556" s="127">
        <v>42859</v>
      </c>
      <c r="T1556" s="184" t="s">
        <v>10</v>
      </c>
      <c r="U1556" s="184" t="s">
        <v>598</v>
      </c>
      <c r="V1556" s="185">
        <v>10000</v>
      </c>
      <c r="W1556" s="184" t="s">
        <v>493</v>
      </c>
      <c r="X1556" s="184">
        <v>3847</v>
      </c>
      <c r="Y1556" s="185">
        <v>25000</v>
      </c>
      <c r="Z1556" s="184" t="s">
        <v>598</v>
      </c>
      <c r="AA1556" s="21" t="s">
        <v>610</v>
      </c>
      <c r="AB1556" s="176" t="s">
        <v>489</v>
      </c>
      <c r="AC1556" s="172">
        <v>42996.328472222223</v>
      </c>
      <c r="AD1556" s="32" t="s">
        <v>552</v>
      </c>
    </row>
    <row r="1557" spans="1:30">
      <c r="A1557" s="184">
        <v>1556</v>
      </c>
      <c r="B1557" s="184" t="s">
        <v>3691</v>
      </c>
      <c r="C1557" s="184" t="s">
        <v>598</v>
      </c>
      <c r="D1557" s="127">
        <v>42817</v>
      </c>
      <c r="E1557" s="127" t="s">
        <v>598</v>
      </c>
      <c r="F1557" s="184" t="s">
        <v>3692</v>
      </c>
      <c r="G1557" s="185">
        <v>0</v>
      </c>
      <c r="H1557" s="184" t="s">
        <v>598</v>
      </c>
      <c r="I1557" s="184" t="s">
        <v>598</v>
      </c>
      <c r="J1557" s="184" t="s">
        <v>102</v>
      </c>
      <c r="K1557" s="184" t="s">
        <v>216</v>
      </c>
      <c r="L1557" s="184" t="s">
        <v>598</v>
      </c>
      <c r="M1557" s="184" t="s">
        <v>598</v>
      </c>
      <c r="N1557" s="184" t="s">
        <v>63</v>
      </c>
      <c r="O1557" s="184" t="s">
        <v>63</v>
      </c>
      <c r="P1557" s="186"/>
      <c r="Q1557" s="184" t="s">
        <v>598</v>
      </c>
      <c r="R1557" s="184" t="s">
        <v>598</v>
      </c>
      <c r="S1557" s="127">
        <v>42885</v>
      </c>
      <c r="T1557" s="184" t="s">
        <v>10</v>
      </c>
      <c r="U1557" s="184" t="s">
        <v>598</v>
      </c>
      <c r="V1557" s="185">
        <v>5000</v>
      </c>
      <c r="W1557" s="184" t="s">
        <v>493</v>
      </c>
      <c r="X1557" s="184">
        <v>3897</v>
      </c>
      <c r="Y1557" s="185">
        <v>5000</v>
      </c>
      <c r="Z1557" s="184" t="s">
        <v>598</v>
      </c>
      <c r="AA1557" s="21" t="s">
        <v>610</v>
      </c>
      <c r="AB1557" s="176" t="s">
        <v>489</v>
      </c>
      <c r="AC1557" s="172">
        <v>42996.328472222223</v>
      </c>
      <c r="AD1557" s="32" t="s">
        <v>552</v>
      </c>
    </row>
    <row r="1558" spans="1:30">
      <c r="A1558" s="184">
        <v>1557</v>
      </c>
      <c r="B1558" s="184" t="s">
        <v>3693</v>
      </c>
      <c r="C1558" s="184" t="s">
        <v>598</v>
      </c>
      <c r="D1558" s="127">
        <v>42823</v>
      </c>
      <c r="E1558" s="127" t="s">
        <v>598</v>
      </c>
      <c r="F1558" s="184" t="s">
        <v>3694</v>
      </c>
      <c r="G1558" s="185">
        <v>0</v>
      </c>
      <c r="H1558" s="184" t="s">
        <v>598</v>
      </c>
      <c r="I1558" s="184" t="s">
        <v>37</v>
      </c>
      <c r="J1558" s="184" t="s">
        <v>102</v>
      </c>
      <c r="K1558" s="184" t="s">
        <v>232</v>
      </c>
      <c r="L1558" s="184" t="s">
        <v>598</v>
      </c>
      <c r="M1558" s="184" t="s">
        <v>598</v>
      </c>
      <c r="N1558" s="184" t="s">
        <v>63</v>
      </c>
      <c r="O1558" s="184" t="s">
        <v>63</v>
      </c>
      <c r="P1558" s="186" t="s">
        <v>605</v>
      </c>
      <c r="Q1558" s="184" t="s">
        <v>598</v>
      </c>
      <c r="R1558" s="184" t="s">
        <v>598</v>
      </c>
      <c r="S1558" s="127">
        <v>42871</v>
      </c>
      <c r="T1558" s="184" t="s">
        <v>34</v>
      </c>
      <c r="U1558" s="184" t="s">
        <v>598</v>
      </c>
      <c r="V1558" s="185">
        <v>19000</v>
      </c>
      <c r="W1558" s="184" t="s">
        <v>493</v>
      </c>
      <c r="X1558" s="184" t="s">
        <v>598</v>
      </c>
      <c r="Y1558" s="185">
        <v>0</v>
      </c>
      <c r="Z1558" s="184" t="s">
        <v>598</v>
      </c>
      <c r="AA1558" s="21" t="s">
        <v>610</v>
      </c>
      <c r="AB1558" s="176" t="s">
        <v>489</v>
      </c>
      <c r="AC1558" s="172">
        <v>42996.328472222223</v>
      </c>
      <c r="AD1558" s="32" t="s">
        <v>552</v>
      </c>
    </row>
    <row r="1559" spans="1:30">
      <c r="A1559" s="184">
        <v>1558</v>
      </c>
      <c r="B1559" s="184" t="s">
        <v>3695</v>
      </c>
      <c r="C1559" s="184" t="s">
        <v>598</v>
      </c>
      <c r="D1559" s="127">
        <v>42825</v>
      </c>
      <c r="E1559" s="127" t="s">
        <v>598</v>
      </c>
      <c r="F1559" s="184" t="s">
        <v>3696</v>
      </c>
      <c r="G1559" s="185">
        <v>0</v>
      </c>
      <c r="H1559" s="184" t="s">
        <v>598</v>
      </c>
      <c r="I1559" s="184" t="s">
        <v>598</v>
      </c>
      <c r="J1559" s="184" t="s">
        <v>102</v>
      </c>
      <c r="K1559" s="184" t="s">
        <v>232</v>
      </c>
      <c r="L1559" s="184" t="s">
        <v>598</v>
      </c>
      <c r="M1559" s="184" t="s">
        <v>598</v>
      </c>
      <c r="N1559" s="184" t="s">
        <v>63</v>
      </c>
      <c r="O1559" s="184" t="s">
        <v>63</v>
      </c>
      <c r="P1559" s="186" t="s">
        <v>606</v>
      </c>
      <c r="Q1559" s="184" t="s">
        <v>598</v>
      </c>
      <c r="R1559" s="184" t="s">
        <v>598</v>
      </c>
      <c r="S1559" s="127">
        <v>42857</v>
      </c>
      <c r="T1559" s="184" t="s">
        <v>10</v>
      </c>
      <c r="U1559" s="184" t="s">
        <v>598</v>
      </c>
      <c r="V1559" s="185">
        <v>10000</v>
      </c>
      <c r="W1559" s="184" t="s">
        <v>493</v>
      </c>
      <c r="X1559" s="184">
        <v>3867</v>
      </c>
      <c r="Y1559" s="185">
        <v>15000</v>
      </c>
      <c r="Z1559" s="184" t="s">
        <v>598</v>
      </c>
      <c r="AA1559" s="21" t="s">
        <v>610</v>
      </c>
      <c r="AB1559" s="176" t="s">
        <v>489</v>
      </c>
      <c r="AC1559" s="172">
        <v>42996.328472222223</v>
      </c>
      <c r="AD1559" s="32" t="s">
        <v>552</v>
      </c>
    </row>
    <row r="1560" spans="1:30">
      <c r="A1560" s="184">
        <v>1559</v>
      </c>
      <c r="B1560" s="184" t="s">
        <v>3697</v>
      </c>
      <c r="C1560" s="184" t="s">
        <v>598</v>
      </c>
      <c r="D1560" s="127">
        <v>42860</v>
      </c>
      <c r="E1560" s="127" t="s">
        <v>598</v>
      </c>
      <c r="F1560" s="184" t="s">
        <v>3698</v>
      </c>
      <c r="G1560" s="185">
        <v>0</v>
      </c>
      <c r="H1560" s="184" t="s">
        <v>598</v>
      </c>
      <c r="I1560" s="184" t="s">
        <v>118</v>
      </c>
      <c r="J1560" s="184" t="s">
        <v>108</v>
      </c>
      <c r="K1560" s="184" t="s">
        <v>341</v>
      </c>
      <c r="L1560" s="184" t="s">
        <v>598</v>
      </c>
      <c r="M1560" s="184" t="s">
        <v>598</v>
      </c>
      <c r="N1560" s="184" t="s">
        <v>30</v>
      </c>
      <c r="O1560" s="184" t="s">
        <v>30</v>
      </c>
      <c r="P1560" s="186"/>
      <c r="Q1560" s="184" t="s">
        <v>598</v>
      </c>
      <c r="R1560" s="184" t="s">
        <v>598</v>
      </c>
      <c r="S1560" s="127">
        <v>42861</v>
      </c>
      <c r="T1560" s="184" t="s">
        <v>10</v>
      </c>
      <c r="U1560" s="184" t="s">
        <v>598</v>
      </c>
      <c r="V1560" s="185">
        <v>2000</v>
      </c>
      <c r="W1560" s="184" t="s">
        <v>493</v>
      </c>
      <c r="X1560" s="184" t="s">
        <v>598</v>
      </c>
      <c r="Y1560" s="185">
        <v>0</v>
      </c>
      <c r="Z1560" s="184" t="s">
        <v>598</v>
      </c>
      <c r="AA1560" s="21" t="s">
        <v>610</v>
      </c>
      <c r="AB1560" s="176" t="s">
        <v>489</v>
      </c>
      <c r="AC1560" s="172">
        <v>42996.328472222223</v>
      </c>
      <c r="AD1560" s="32" t="s">
        <v>552</v>
      </c>
    </row>
    <row r="1561" spans="1:30">
      <c r="A1561" s="184">
        <v>1560</v>
      </c>
      <c r="B1561" s="184" t="s">
        <v>3699</v>
      </c>
      <c r="C1561" s="184" t="s">
        <v>598</v>
      </c>
      <c r="D1561" s="127">
        <v>42863</v>
      </c>
      <c r="E1561" s="127" t="s">
        <v>598</v>
      </c>
      <c r="F1561" s="184" t="s">
        <v>3700</v>
      </c>
      <c r="G1561" s="185">
        <v>0</v>
      </c>
      <c r="H1561" s="184" t="s">
        <v>598</v>
      </c>
      <c r="I1561" s="184" t="s">
        <v>598</v>
      </c>
      <c r="J1561" s="184" t="s">
        <v>108</v>
      </c>
      <c r="K1561" s="184" t="s">
        <v>185</v>
      </c>
      <c r="L1561" s="184" t="s">
        <v>598</v>
      </c>
      <c r="M1561" s="184" t="s">
        <v>598</v>
      </c>
      <c r="N1561" s="184" t="s">
        <v>30</v>
      </c>
      <c r="O1561" s="184" t="s">
        <v>30</v>
      </c>
      <c r="P1561" s="186" t="s">
        <v>73</v>
      </c>
      <c r="Q1561" s="184" t="s">
        <v>598</v>
      </c>
      <c r="R1561" s="184" t="s">
        <v>598</v>
      </c>
      <c r="S1561" s="127">
        <v>42865</v>
      </c>
      <c r="T1561" s="184" t="s">
        <v>10</v>
      </c>
      <c r="U1561" s="184" t="s">
        <v>598</v>
      </c>
      <c r="V1561" s="185">
        <v>1000</v>
      </c>
      <c r="W1561" s="184" t="s">
        <v>493</v>
      </c>
      <c r="X1561" s="184" t="s">
        <v>598</v>
      </c>
      <c r="Y1561" s="185">
        <v>0</v>
      </c>
      <c r="Z1561" s="184" t="s">
        <v>598</v>
      </c>
      <c r="AA1561" s="21" t="s">
        <v>610</v>
      </c>
      <c r="AB1561" s="176" t="s">
        <v>489</v>
      </c>
      <c r="AC1561" s="172">
        <v>42996.328472222223</v>
      </c>
      <c r="AD1561" s="32" t="s">
        <v>552</v>
      </c>
    </row>
    <row r="1562" spans="1:30">
      <c r="A1562" s="184">
        <v>1561</v>
      </c>
      <c r="B1562" s="184" t="s">
        <v>3701</v>
      </c>
      <c r="C1562" s="184" t="s">
        <v>598</v>
      </c>
      <c r="D1562" s="127">
        <v>42867</v>
      </c>
      <c r="E1562" s="127" t="s">
        <v>598</v>
      </c>
      <c r="F1562" s="184" t="s">
        <v>3702</v>
      </c>
      <c r="G1562" s="185">
        <v>0</v>
      </c>
      <c r="H1562" s="184" t="s">
        <v>598</v>
      </c>
      <c r="I1562" s="184" t="s">
        <v>122</v>
      </c>
      <c r="J1562" s="184" t="s">
        <v>108</v>
      </c>
      <c r="K1562" s="184" t="s">
        <v>3131</v>
      </c>
      <c r="L1562" s="184" t="s">
        <v>598</v>
      </c>
      <c r="M1562" s="184" t="s">
        <v>598</v>
      </c>
      <c r="N1562" s="184" t="s">
        <v>30</v>
      </c>
      <c r="O1562" s="184" t="s">
        <v>30</v>
      </c>
      <c r="P1562" s="186" t="s">
        <v>601</v>
      </c>
      <c r="Q1562" s="184" t="s">
        <v>598</v>
      </c>
      <c r="R1562" s="184" t="s">
        <v>598</v>
      </c>
      <c r="S1562" s="127">
        <v>42872</v>
      </c>
      <c r="T1562" s="184" t="s">
        <v>10</v>
      </c>
      <c r="U1562" s="184" t="s">
        <v>598</v>
      </c>
      <c r="V1562" s="185">
        <v>2000</v>
      </c>
      <c r="W1562" s="184" t="s">
        <v>493</v>
      </c>
      <c r="X1562" s="184" t="s">
        <v>598</v>
      </c>
      <c r="Y1562" s="185">
        <v>0</v>
      </c>
      <c r="Z1562" s="184" t="s">
        <v>598</v>
      </c>
      <c r="AA1562" s="21" t="s">
        <v>610</v>
      </c>
      <c r="AB1562" s="176" t="s">
        <v>489</v>
      </c>
      <c r="AC1562" s="172">
        <v>42996.328472222223</v>
      </c>
      <c r="AD1562" s="32" t="s">
        <v>552</v>
      </c>
    </row>
    <row r="1563" spans="1:30">
      <c r="A1563" s="184">
        <v>1562</v>
      </c>
      <c r="B1563" s="184" t="s">
        <v>3703</v>
      </c>
      <c r="C1563" s="184" t="s">
        <v>598</v>
      </c>
      <c r="D1563" s="127">
        <v>42868</v>
      </c>
      <c r="E1563" s="127" t="s">
        <v>598</v>
      </c>
      <c r="F1563" s="184" t="s">
        <v>3704</v>
      </c>
      <c r="G1563" s="185">
        <v>0</v>
      </c>
      <c r="H1563" s="184" t="s">
        <v>598</v>
      </c>
      <c r="I1563" s="184" t="s">
        <v>120</v>
      </c>
      <c r="J1563" s="184" t="s">
        <v>108</v>
      </c>
      <c r="K1563" s="184" t="s">
        <v>598</v>
      </c>
      <c r="L1563" s="184" t="s">
        <v>598</v>
      </c>
      <c r="M1563" s="184" t="s">
        <v>598</v>
      </c>
      <c r="N1563" s="184" t="s">
        <v>30</v>
      </c>
      <c r="O1563" s="184" t="s">
        <v>30</v>
      </c>
      <c r="P1563" s="186" t="s">
        <v>32</v>
      </c>
      <c r="Q1563" s="184" t="s">
        <v>598</v>
      </c>
      <c r="R1563" s="184" t="s">
        <v>598</v>
      </c>
      <c r="S1563" s="127">
        <v>42870</v>
      </c>
      <c r="T1563" s="184" t="s">
        <v>34</v>
      </c>
      <c r="U1563" s="184" t="s">
        <v>598</v>
      </c>
      <c r="V1563" s="185">
        <v>1000</v>
      </c>
      <c r="W1563" s="184" t="s">
        <v>493</v>
      </c>
      <c r="X1563" s="184" t="s">
        <v>598</v>
      </c>
      <c r="Y1563" s="185">
        <v>0</v>
      </c>
      <c r="Z1563" s="184" t="s">
        <v>598</v>
      </c>
      <c r="AA1563" s="21" t="s">
        <v>610</v>
      </c>
      <c r="AB1563" s="176" t="s">
        <v>489</v>
      </c>
      <c r="AC1563" s="172">
        <v>42996.328472222223</v>
      </c>
      <c r="AD1563" s="32" t="s">
        <v>552</v>
      </c>
    </row>
    <row r="1564" spans="1:30">
      <c r="A1564" s="184">
        <v>1563</v>
      </c>
      <c r="B1564" s="184" t="s">
        <v>3705</v>
      </c>
      <c r="C1564" s="184" t="s">
        <v>598</v>
      </c>
      <c r="D1564" s="127">
        <v>42871</v>
      </c>
      <c r="E1564" s="127" t="s">
        <v>598</v>
      </c>
      <c r="F1564" s="184" t="s">
        <v>3706</v>
      </c>
      <c r="G1564" s="185">
        <v>0</v>
      </c>
      <c r="H1564" s="184" t="s">
        <v>598</v>
      </c>
      <c r="I1564" s="184" t="s">
        <v>598</v>
      </c>
      <c r="J1564" s="184" t="s">
        <v>108</v>
      </c>
      <c r="K1564" s="184" t="s">
        <v>337</v>
      </c>
      <c r="L1564" s="184" t="s">
        <v>598</v>
      </c>
      <c r="M1564" s="184" t="s">
        <v>598</v>
      </c>
      <c r="N1564" s="184" t="s">
        <v>30</v>
      </c>
      <c r="O1564" s="184" t="s">
        <v>30</v>
      </c>
      <c r="P1564" s="186" t="s">
        <v>53</v>
      </c>
      <c r="Q1564" s="184" t="s">
        <v>598</v>
      </c>
      <c r="R1564" s="184" t="s">
        <v>598</v>
      </c>
      <c r="S1564" s="127">
        <v>42878</v>
      </c>
      <c r="T1564" s="184" t="s">
        <v>10</v>
      </c>
      <c r="U1564" s="184" t="s">
        <v>598</v>
      </c>
      <c r="V1564" s="185">
        <v>1000</v>
      </c>
      <c r="W1564" s="184" t="s">
        <v>493</v>
      </c>
      <c r="X1564" s="184" t="s">
        <v>598</v>
      </c>
      <c r="Y1564" s="185">
        <v>0</v>
      </c>
      <c r="Z1564" s="184" t="s">
        <v>598</v>
      </c>
      <c r="AA1564" s="21" t="s">
        <v>610</v>
      </c>
      <c r="AB1564" s="176" t="s">
        <v>489</v>
      </c>
      <c r="AC1564" s="172">
        <v>42996.328472222223</v>
      </c>
      <c r="AD1564" s="32" t="s">
        <v>552</v>
      </c>
    </row>
    <row r="1565" spans="1:30">
      <c r="A1565" s="184">
        <v>1564</v>
      </c>
      <c r="B1565" s="184" t="s">
        <v>3707</v>
      </c>
      <c r="C1565" s="184" t="s">
        <v>598</v>
      </c>
      <c r="D1565" s="127">
        <v>42873</v>
      </c>
      <c r="E1565" s="127" t="s">
        <v>598</v>
      </c>
      <c r="F1565" s="184" t="s">
        <v>3708</v>
      </c>
      <c r="G1565" s="185">
        <v>0</v>
      </c>
      <c r="H1565" s="184" t="s">
        <v>598</v>
      </c>
      <c r="I1565" s="184" t="s">
        <v>134</v>
      </c>
      <c r="J1565" s="184" t="s">
        <v>108</v>
      </c>
      <c r="K1565" s="184" t="s">
        <v>163</v>
      </c>
      <c r="L1565" s="184" t="s">
        <v>598</v>
      </c>
      <c r="M1565" s="184" t="s">
        <v>598</v>
      </c>
      <c r="N1565" s="184" t="s">
        <v>30</v>
      </c>
      <c r="O1565" s="184" t="s">
        <v>30</v>
      </c>
      <c r="P1565" s="186" t="s">
        <v>44</v>
      </c>
      <c r="Q1565" s="184" t="s">
        <v>598</v>
      </c>
      <c r="R1565" s="184" t="s">
        <v>598</v>
      </c>
      <c r="S1565" s="127">
        <v>42877</v>
      </c>
      <c r="T1565" s="184" t="s">
        <v>10</v>
      </c>
      <c r="U1565" s="184" t="s">
        <v>598</v>
      </c>
      <c r="V1565" s="185">
        <v>5000</v>
      </c>
      <c r="W1565" s="184" t="s">
        <v>493</v>
      </c>
      <c r="X1565" s="184" t="s">
        <v>598</v>
      </c>
      <c r="Y1565" s="185">
        <v>0</v>
      </c>
      <c r="Z1565" s="184" t="s">
        <v>598</v>
      </c>
      <c r="AA1565" s="21" t="s">
        <v>610</v>
      </c>
      <c r="AB1565" s="176" t="s">
        <v>489</v>
      </c>
      <c r="AC1565" s="172">
        <v>42996.328472222223</v>
      </c>
      <c r="AD1565" s="32" t="s">
        <v>552</v>
      </c>
    </row>
    <row r="1566" spans="1:30">
      <c r="A1566" s="184">
        <v>1565</v>
      </c>
      <c r="B1566" s="184" t="s">
        <v>3709</v>
      </c>
      <c r="C1566" s="184" t="s">
        <v>598</v>
      </c>
      <c r="D1566" s="127">
        <v>42835</v>
      </c>
      <c r="E1566" s="127" t="s">
        <v>598</v>
      </c>
      <c r="F1566" s="184" t="s">
        <v>3710</v>
      </c>
      <c r="G1566" s="185">
        <v>0</v>
      </c>
      <c r="H1566" s="184" t="s">
        <v>598</v>
      </c>
      <c r="I1566" s="184" t="s">
        <v>134</v>
      </c>
      <c r="J1566" s="184" t="s">
        <v>108</v>
      </c>
      <c r="K1566" s="184" t="s">
        <v>165</v>
      </c>
      <c r="L1566" s="184" t="s">
        <v>598</v>
      </c>
      <c r="M1566" s="184" t="s">
        <v>598</v>
      </c>
      <c r="N1566" s="184" t="s">
        <v>30</v>
      </c>
      <c r="O1566" s="184" t="s">
        <v>30</v>
      </c>
      <c r="P1566" s="186" t="s">
        <v>67</v>
      </c>
      <c r="Q1566" s="184" t="s">
        <v>598</v>
      </c>
      <c r="R1566" s="184" t="s">
        <v>598</v>
      </c>
      <c r="S1566" s="127">
        <v>42871</v>
      </c>
      <c r="T1566" s="184" t="s">
        <v>10</v>
      </c>
      <c r="U1566" s="184" t="s">
        <v>598</v>
      </c>
      <c r="V1566" s="185">
        <v>5000</v>
      </c>
      <c r="W1566" s="184" t="s">
        <v>493</v>
      </c>
      <c r="X1566" s="184" t="s">
        <v>598</v>
      </c>
      <c r="Y1566" s="185">
        <v>0</v>
      </c>
      <c r="Z1566" s="184" t="s">
        <v>598</v>
      </c>
      <c r="AA1566" s="21" t="s">
        <v>610</v>
      </c>
      <c r="AB1566" s="176" t="s">
        <v>489</v>
      </c>
      <c r="AC1566" s="172">
        <v>42996.328472222223</v>
      </c>
      <c r="AD1566" s="32" t="s">
        <v>552</v>
      </c>
    </row>
    <row r="1567" spans="1:30">
      <c r="A1567" s="184">
        <v>1566</v>
      </c>
      <c r="B1567" s="184" t="s">
        <v>3711</v>
      </c>
      <c r="C1567" s="184" t="s">
        <v>598</v>
      </c>
      <c r="D1567" s="127">
        <v>42837</v>
      </c>
      <c r="E1567" s="127" t="s">
        <v>598</v>
      </c>
      <c r="F1567" s="184" t="s">
        <v>3712</v>
      </c>
      <c r="G1567" s="185">
        <v>0</v>
      </c>
      <c r="H1567" s="184" t="s">
        <v>598</v>
      </c>
      <c r="I1567" s="184" t="s">
        <v>134</v>
      </c>
      <c r="J1567" s="184" t="s">
        <v>108</v>
      </c>
      <c r="K1567" s="184" t="s">
        <v>182</v>
      </c>
      <c r="L1567" s="184" t="s">
        <v>598</v>
      </c>
      <c r="M1567" s="184" t="s">
        <v>598</v>
      </c>
      <c r="N1567" s="184" t="s">
        <v>30</v>
      </c>
      <c r="O1567" s="184" t="s">
        <v>30</v>
      </c>
      <c r="P1567" s="186" t="s">
        <v>602</v>
      </c>
      <c r="Q1567" s="184" t="s">
        <v>598</v>
      </c>
      <c r="R1567" s="184" t="s">
        <v>598</v>
      </c>
      <c r="S1567" s="127">
        <v>42880</v>
      </c>
      <c r="T1567" s="184" t="s">
        <v>3077</v>
      </c>
      <c r="U1567" s="184" t="s">
        <v>598</v>
      </c>
      <c r="V1567" s="185">
        <v>5000</v>
      </c>
      <c r="W1567" s="184" t="s">
        <v>493</v>
      </c>
      <c r="X1567" s="184" t="s">
        <v>598</v>
      </c>
      <c r="Y1567" s="185">
        <v>0</v>
      </c>
      <c r="Z1567" s="184" t="s">
        <v>598</v>
      </c>
      <c r="AA1567" s="21" t="s">
        <v>610</v>
      </c>
      <c r="AB1567" s="176" t="s">
        <v>489</v>
      </c>
      <c r="AC1567" s="172">
        <v>42996.328472222223</v>
      </c>
      <c r="AD1567" s="32" t="s">
        <v>552</v>
      </c>
    </row>
    <row r="1568" spans="1:30">
      <c r="A1568" s="184">
        <v>1567</v>
      </c>
      <c r="B1568" s="184" t="s">
        <v>3713</v>
      </c>
      <c r="C1568" s="184" t="s">
        <v>598</v>
      </c>
      <c r="D1568" s="127">
        <v>42846</v>
      </c>
      <c r="E1568" s="127" t="s">
        <v>598</v>
      </c>
      <c r="F1568" s="184" t="s">
        <v>3714</v>
      </c>
      <c r="G1568" s="185">
        <v>0</v>
      </c>
      <c r="H1568" s="184" t="s">
        <v>598</v>
      </c>
      <c r="I1568" s="184" t="s">
        <v>134</v>
      </c>
      <c r="J1568" s="184" t="s">
        <v>108</v>
      </c>
      <c r="K1568" s="184" t="s">
        <v>3363</v>
      </c>
      <c r="L1568" s="184" t="s">
        <v>598</v>
      </c>
      <c r="M1568" s="184" t="s">
        <v>598</v>
      </c>
      <c r="N1568" s="184" t="s">
        <v>30</v>
      </c>
      <c r="O1568" s="184" t="s">
        <v>30</v>
      </c>
      <c r="P1568" s="186" t="s">
        <v>603</v>
      </c>
      <c r="Q1568" s="184" t="s">
        <v>598</v>
      </c>
      <c r="R1568" s="184" t="s">
        <v>598</v>
      </c>
      <c r="S1568" s="127">
        <v>42867</v>
      </c>
      <c r="T1568" s="184" t="s">
        <v>10</v>
      </c>
      <c r="U1568" s="184" t="s">
        <v>598</v>
      </c>
      <c r="V1568" s="185">
        <v>12000</v>
      </c>
      <c r="W1568" s="184" t="s">
        <v>493</v>
      </c>
      <c r="X1568" s="184" t="s">
        <v>598</v>
      </c>
      <c r="Y1568" s="185">
        <v>0</v>
      </c>
      <c r="Z1568" s="184" t="s">
        <v>598</v>
      </c>
      <c r="AA1568" s="21" t="s">
        <v>610</v>
      </c>
      <c r="AB1568" s="176" t="s">
        <v>489</v>
      </c>
      <c r="AC1568" s="172">
        <v>42996.328472222223</v>
      </c>
      <c r="AD1568" s="32" t="s">
        <v>552</v>
      </c>
    </row>
    <row r="1569" spans="1:30">
      <c r="A1569" s="184">
        <v>1568</v>
      </c>
      <c r="B1569" s="184" t="s">
        <v>3715</v>
      </c>
      <c r="C1569" s="184" t="s">
        <v>598</v>
      </c>
      <c r="D1569" s="127">
        <v>42850</v>
      </c>
      <c r="E1569" s="127" t="s">
        <v>598</v>
      </c>
      <c r="F1569" s="184" t="s">
        <v>3716</v>
      </c>
      <c r="G1569" s="185">
        <v>0</v>
      </c>
      <c r="H1569" s="184" t="s">
        <v>598</v>
      </c>
      <c r="I1569" s="184" t="s">
        <v>598</v>
      </c>
      <c r="J1569" s="184" t="s">
        <v>108</v>
      </c>
      <c r="K1569" s="184" t="s">
        <v>3363</v>
      </c>
      <c r="L1569" s="184" t="s">
        <v>598</v>
      </c>
      <c r="M1569" s="184" t="s">
        <v>598</v>
      </c>
      <c r="N1569" s="184" t="s">
        <v>30</v>
      </c>
      <c r="O1569" s="184" t="s">
        <v>30</v>
      </c>
      <c r="P1569" s="186"/>
      <c r="Q1569" s="184" t="s">
        <v>598</v>
      </c>
      <c r="R1569" s="184" t="s">
        <v>598</v>
      </c>
      <c r="S1569" s="127">
        <v>42858</v>
      </c>
      <c r="T1569" s="184" t="s">
        <v>10</v>
      </c>
      <c r="U1569" s="184" t="s">
        <v>598</v>
      </c>
      <c r="V1569" s="185">
        <v>1000</v>
      </c>
      <c r="W1569" s="184" t="s">
        <v>493</v>
      </c>
      <c r="X1569" s="184" t="s">
        <v>598</v>
      </c>
      <c r="Y1569" s="185">
        <v>0</v>
      </c>
      <c r="Z1569" s="184" t="s">
        <v>598</v>
      </c>
      <c r="AA1569" s="21" t="s">
        <v>610</v>
      </c>
      <c r="AB1569" s="176" t="s">
        <v>489</v>
      </c>
      <c r="AC1569" s="172">
        <v>42996.328472222223</v>
      </c>
      <c r="AD1569" s="32" t="s">
        <v>552</v>
      </c>
    </row>
    <row r="1570" spans="1:30">
      <c r="A1570" s="184">
        <v>1569</v>
      </c>
      <c r="B1570" s="184" t="s">
        <v>3717</v>
      </c>
      <c r="C1570" s="184" t="s">
        <v>598</v>
      </c>
      <c r="D1570" s="127">
        <v>42851</v>
      </c>
      <c r="E1570" s="127" t="s">
        <v>598</v>
      </c>
      <c r="F1570" s="184" t="s">
        <v>3718</v>
      </c>
      <c r="G1570" s="185">
        <v>0</v>
      </c>
      <c r="H1570" s="184" t="s">
        <v>598</v>
      </c>
      <c r="I1570" s="184" t="s">
        <v>598</v>
      </c>
      <c r="J1570" s="184" t="s">
        <v>108</v>
      </c>
      <c r="K1570" s="184" t="s">
        <v>165</v>
      </c>
      <c r="L1570" s="184" t="s">
        <v>598</v>
      </c>
      <c r="M1570" s="184" t="s">
        <v>598</v>
      </c>
      <c r="N1570" s="184" t="s">
        <v>30</v>
      </c>
      <c r="O1570" s="184" t="s">
        <v>30</v>
      </c>
      <c r="P1570" s="186" t="s">
        <v>605</v>
      </c>
      <c r="Q1570" s="184" t="s">
        <v>598</v>
      </c>
      <c r="R1570" s="184" t="s">
        <v>598</v>
      </c>
      <c r="S1570" s="127">
        <v>42871</v>
      </c>
      <c r="T1570" s="184" t="s">
        <v>10</v>
      </c>
      <c r="U1570" s="184" t="s">
        <v>598</v>
      </c>
      <c r="V1570" s="185">
        <v>5000</v>
      </c>
      <c r="W1570" s="184" t="s">
        <v>493</v>
      </c>
      <c r="X1570" s="184" t="s">
        <v>598</v>
      </c>
      <c r="Y1570" s="185">
        <v>0</v>
      </c>
      <c r="Z1570" s="184" t="s">
        <v>598</v>
      </c>
      <c r="AA1570" s="21" t="s">
        <v>610</v>
      </c>
      <c r="AB1570" s="176" t="s">
        <v>489</v>
      </c>
      <c r="AC1570" s="172">
        <v>42996.328472222223</v>
      </c>
      <c r="AD1570" s="32" t="s">
        <v>552</v>
      </c>
    </row>
    <row r="1571" spans="1:30">
      <c r="A1571" s="184">
        <v>1570</v>
      </c>
      <c r="B1571" s="184" t="s">
        <v>3719</v>
      </c>
      <c r="C1571" s="184" t="s">
        <v>598</v>
      </c>
      <c r="D1571" s="127">
        <v>42851</v>
      </c>
      <c r="E1571" s="127" t="s">
        <v>598</v>
      </c>
      <c r="F1571" s="184" t="s">
        <v>3720</v>
      </c>
      <c r="G1571" s="185">
        <v>0</v>
      </c>
      <c r="H1571" s="184" t="s">
        <v>598</v>
      </c>
      <c r="I1571" s="184" t="s">
        <v>134</v>
      </c>
      <c r="J1571" s="184" t="s">
        <v>108</v>
      </c>
      <c r="K1571" s="184" t="s">
        <v>179</v>
      </c>
      <c r="L1571" s="184" t="s">
        <v>598</v>
      </c>
      <c r="M1571" s="184" t="s">
        <v>598</v>
      </c>
      <c r="N1571" s="184" t="s">
        <v>30</v>
      </c>
      <c r="O1571" s="184" t="s">
        <v>30</v>
      </c>
      <c r="P1571" s="186" t="s">
        <v>606</v>
      </c>
      <c r="Q1571" s="184" t="s">
        <v>598</v>
      </c>
      <c r="R1571" s="184" t="s">
        <v>598</v>
      </c>
      <c r="S1571" s="127">
        <v>42872</v>
      </c>
      <c r="T1571" s="184" t="s">
        <v>10</v>
      </c>
      <c r="U1571" s="184" t="s">
        <v>598</v>
      </c>
      <c r="V1571" s="185">
        <v>5000</v>
      </c>
      <c r="W1571" s="184" t="s">
        <v>493</v>
      </c>
      <c r="X1571" s="184" t="s">
        <v>598</v>
      </c>
      <c r="Y1571" s="185">
        <v>0</v>
      </c>
      <c r="Z1571" s="184" t="s">
        <v>598</v>
      </c>
      <c r="AA1571" s="21" t="s">
        <v>610</v>
      </c>
      <c r="AB1571" s="176" t="s">
        <v>489</v>
      </c>
      <c r="AC1571" s="172">
        <v>42996.328472222223</v>
      </c>
      <c r="AD1571" s="32" t="s">
        <v>552</v>
      </c>
    </row>
    <row r="1572" spans="1:30">
      <c r="A1572" s="184">
        <v>1571</v>
      </c>
      <c r="B1572" s="184" t="s">
        <v>3721</v>
      </c>
      <c r="C1572" s="184" t="s">
        <v>598</v>
      </c>
      <c r="D1572" s="127">
        <v>42851</v>
      </c>
      <c r="E1572" s="127" t="s">
        <v>598</v>
      </c>
      <c r="F1572" s="184" t="s">
        <v>3722</v>
      </c>
      <c r="G1572" s="185">
        <v>0</v>
      </c>
      <c r="H1572" s="184" t="s">
        <v>598</v>
      </c>
      <c r="I1572" s="184" t="s">
        <v>118</v>
      </c>
      <c r="J1572" s="184" t="s">
        <v>108</v>
      </c>
      <c r="K1572" s="184" t="s">
        <v>165</v>
      </c>
      <c r="L1572" s="184" t="s">
        <v>598</v>
      </c>
      <c r="M1572" s="184" t="s">
        <v>598</v>
      </c>
      <c r="N1572" s="184" t="s">
        <v>30</v>
      </c>
      <c r="O1572" s="184" t="s">
        <v>30</v>
      </c>
      <c r="P1572" s="186"/>
      <c r="Q1572" s="184" t="s">
        <v>598</v>
      </c>
      <c r="R1572" s="184" t="s">
        <v>598</v>
      </c>
      <c r="S1572" s="127">
        <v>42857</v>
      </c>
      <c r="T1572" s="184" t="s">
        <v>10</v>
      </c>
      <c r="U1572" s="184" t="s">
        <v>598</v>
      </c>
      <c r="V1572" s="185">
        <v>1500</v>
      </c>
      <c r="W1572" s="184" t="s">
        <v>493</v>
      </c>
      <c r="X1572" s="184" t="s">
        <v>598</v>
      </c>
      <c r="Y1572" s="185">
        <v>0</v>
      </c>
      <c r="Z1572" s="184" t="s">
        <v>598</v>
      </c>
      <c r="AA1572" s="21" t="s">
        <v>610</v>
      </c>
      <c r="AB1572" s="176" t="s">
        <v>489</v>
      </c>
      <c r="AC1572" s="172">
        <v>42996.328472222223</v>
      </c>
      <c r="AD1572" s="32" t="s">
        <v>552</v>
      </c>
    </row>
    <row r="1573" spans="1:30">
      <c r="A1573" s="184">
        <v>1572</v>
      </c>
      <c r="B1573" s="184" t="s">
        <v>3723</v>
      </c>
      <c r="C1573" s="184" t="s">
        <v>598</v>
      </c>
      <c r="D1573" s="127">
        <v>42851</v>
      </c>
      <c r="E1573" s="127" t="s">
        <v>598</v>
      </c>
      <c r="F1573" s="184" t="s">
        <v>3724</v>
      </c>
      <c r="G1573" s="185">
        <v>0</v>
      </c>
      <c r="H1573" s="184" t="s">
        <v>598</v>
      </c>
      <c r="I1573" s="184" t="s">
        <v>134</v>
      </c>
      <c r="J1573" s="184" t="s">
        <v>108</v>
      </c>
      <c r="K1573" s="184" t="s">
        <v>337</v>
      </c>
      <c r="L1573" s="184" t="s">
        <v>598</v>
      </c>
      <c r="M1573" s="184" t="s">
        <v>598</v>
      </c>
      <c r="N1573" s="184" t="s">
        <v>30</v>
      </c>
      <c r="O1573" s="184" t="s">
        <v>30</v>
      </c>
      <c r="P1573" s="186" t="s">
        <v>73</v>
      </c>
      <c r="Q1573" s="184" t="s">
        <v>598</v>
      </c>
      <c r="R1573" s="184" t="s">
        <v>598</v>
      </c>
      <c r="S1573" s="127">
        <v>42866</v>
      </c>
      <c r="T1573" s="184" t="s">
        <v>10</v>
      </c>
      <c r="U1573" s="184" t="s">
        <v>598</v>
      </c>
      <c r="V1573" s="185">
        <v>3500</v>
      </c>
      <c r="W1573" s="184" t="s">
        <v>493</v>
      </c>
      <c r="X1573" s="184" t="s">
        <v>598</v>
      </c>
      <c r="Y1573" s="185">
        <v>0</v>
      </c>
      <c r="Z1573" s="184" t="s">
        <v>598</v>
      </c>
      <c r="AA1573" s="21" t="s">
        <v>610</v>
      </c>
      <c r="AB1573" s="176" t="s">
        <v>489</v>
      </c>
      <c r="AC1573" s="172">
        <v>42996.328472222223</v>
      </c>
      <c r="AD1573" s="32" t="s">
        <v>552</v>
      </c>
    </row>
    <row r="1574" spans="1:30">
      <c r="A1574" s="184">
        <v>1573</v>
      </c>
      <c r="B1574" s="184" t="s">
        <v>3725</v>
      </c>
      <c r="C1574" s="184" t="s">
        <v>598</v>
      </c>
      <c r="D1574" s="127">
        <v>42881</v>
      </c>
      <c r="E1574" s="127" t="s">
        <v>598</v>
      </c>
      <c r="F1574" s="184" t="s">
        <v>3726</v>
      </c>
      <c r="G1574" s="185">
        <v>0</v>
      </c>
      <c r="H1574" s="184" t="s">
        <v>598</v>
      </c>
      <c r="I1574" s="184" t="s">
        <v>134</v>
      </c>
      <c r="J1574" s="184" t="s">
        <v>108</v>
      </c>
      <c r="K1574" s="184" t="s">
        <v>170</v>
      </c>
      <c r="L1574" s="184" t="s">
        <v>598</v>
      </c>
      <c r="M1574" s="184" t="s">
        <v>598</v>
      </c>
      <c r="N1574" s="184" t="s">
        <v>30</v>
      </c>
      <c r="O1574" s="184" t="s">
        <v>30</v>
      </c>
      <c r="P1574" s="186" t="s">
        <v>601</v>
      </c>
      <c r="Q1574" s="184" t="s">
        <v>598</v>
      </c>
      <c r="R1574" s="184" t="s">
        <v>804</v>
      </c>
      <c r="S1574" s="127">
        <v>42859</v>
      </c>
      <c r="T1574" s="184" t="s">
        <v>10</v>
      </c>
      <c r="U1574" s="184" t="s">
        <v>598</v>
      </c>
      <c r="V1574" s="185">
        <v>5000</v>
      </c>
      <c r="W1574" s="184" t="s">
        <v>493</v>
      </c>
      <c r="X1574" s="184" t="s">
        <v>598</v>
      </c>
      <c r="Y1574" s="185">
        <v>0</v>
      </c>
      <c r="Z1574" s="184" t="s">
        <v>598</v>
      </c>
      <c r="AA1574" s="21" t="s">
        <v>610</v>
      </c>
      <c r="AB1574" s="176" t="s">
        <v>489</v>
      </c>
      <c r="AC1574" s="172">
        <v>42996.328472222223</v>
      </c>
      <c r="AD1574" s="32" t="s">
        <v>552</v>
      </c>
    </row>
    <row r="1575" spans="1:30">
      <c r="A1575" s="184">
        <v>1574</v>
      </c>
      <c r="B1575" s="184" t="s">
        <v>3727</v>
      </c>
      <c r="C1575" s="184" t="s">
        <v>598</v>
      </c>
      <c r="D1575" s="127">
        <v>42852</v>
      </c>
      <c r="E1575" s="127" t="s">
        <v>598</v>
      </c>
      <c r="F1575" s="184" t="s">
        <v>3728</v>
      </c>
      <c r="G1575" s="185">
        <v>0</v>
      </c>
      <c r="H1575" s="184" t="s">
        <v>598</v>
      </c>
      <c r="I1575" s="184" t="s">
        <v>134</v>
      </c>
      <c r="J1575" s="184" t="s">
        <v>108</v>
      </c>
      <c r="K1575" s="184" t="s">
        <v>472</v>
      </c>
      <c r="L1575" s="184" t="s">
        <v>598</v>
      </c>
      <c r="M1575" s="184" t="s">
        <v>598</v>
      </c>
      <c r="N1575" s="184" t="s">
        <v>30</v>
      </c>
      <c r="O1575" s="184" t="s">
        <v>30</v>
      </c>
      <c r="P1575" s="186" t="s">
        <v>32</v>
      </c>
      <c r="Q1575" s="184" t="s">
        <v>598</v>
      </c>
      <c r="R1575" s="184" t="s">
        <v>598</v>
      </c>
      <c r="S1575" s="127">
        <v>42858</v>
      </c>
      <c r="T1575" s="184" t="s">
        <v>10</v>
      </c>
      <c r="U1575" s="184" t="s">
        <v>598</v>
      </c>
      <c r="V1575" s="185">
        <v>5000</v>
      </c>
      <c r="W1575" s="184" t="s">
        <v>493</v>
      </c>
      <c r="X1575" s="184" t="s">
        <v>598</v>
      </c>
      <c r="Y1575" s="185">
        <v>0</v>
      </c>
      <c r="Z1575" s="184" t="s">
        <v>598</v>
      </c>
      <c r="AA1575" s="21" t="s">
        <v>610</v>
      </c>
      <c r="AB1575" s="176" t="s">
        <v>489</v>
      </c>
      <c r="AC1575" s="172">
        <v>42996.328472222223</v>
      </c>
      <c r="AD1575" s="32" t="s">
        <v>552</v>
      </c>
    </row>
    <row r="1577" spans="1:30">
      <c r="B1577" s="175"/>
    </row>
  </sheetData>
  <sortState ref="A2:AD1576">
    <sortCondition ref="A1"/>
  </sortState>
  <conditionalFormatting sqref="B1576:B1048576 B1">
    <cfRule type="duplicateValues" dxfId="17" priority="52"/>
  </conditionalFormatting>
  <conditionalFormatting sqref="B2:B1575">
    <cfRule type="duplicateValues" dxfId="16" priority="86"/>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sheetPr codeName="Sheet4"/>
  <dimension ref="A1:T697"/>
  <sheetViews>
    <sheetView zoomScaleNormal="100" workbookViewId="0">
      <pane ySplit="1" topLeftCell="A2" activePane="bottomLeft" state="frozen"/>
      <selection pane="bottomLeft" activeCell="A2" sqref="A2"/>
    </sheetView>
  </sheetViews>
  <sheetFormatPr defaultRowHeight="15"/>
  <cols>
    <col min="1" max="1" width="19.28515625" bestFit="1" customWidth="1"/>
    <col min="2" max="2" width="22.140625" bestFit="1" customWidth="1"/>
    <col min="3" max="3" width="12.140625" style="127" bestFit="1" customWidth="1"/>
    <col min="4" max="4" width="9.42578125" bestFit="1" customWidth="1"/>
    <col min="5" max="5" width="16.140625" bestFit="1" customWidth="1"/>
    <col min="6" max="6" width="9.42578125" style="177" bestFit="1" customWidth="1"/>
    <col min="7" max="7" width="10.5703125" bestFit="1" customWidth="1"/>
    <col min="8" max="8" width="13.5703125" bestFit="1" customWidth="1"/>
    <col min="9" max="9" width="9" style="177" bestFit="1" customWidth="1"/>
    <col min="10" max="10" width="12.7109375" bestFit="1" customWidth="1"/>
    <col min="11" max="11" width="13.28515625" style="127" bestFit="1" customWidth="1"/>
    <col min="12" max="12" width="17.140625" bestFit="1" customWidth="1"/>
    <col min="13" max="13" width="9.85546875" bestFit="1" customWidth="1"/>
    <col min="14" max="14" width="31.5703125" bestFit="1" customWidth="1"/>
    <col min="15" max="15" width="18.140625" customWidth="1"/>
    <col min="16" max="16" width="9.5703125" customWidth="1"/>
    <col min="17" max="17" width="16.85546875" customWidth="1"/>
    <col min="18" max="18" width="9" bestFit="1" customWidth="1"/>
    <col min="19" max="19" width="28.140625" style="172" bestFit="1" customWidth="1"/>
    <col min="20" max="20" width="13.42578125" style="32" bestFit="1" customWidth="1"/>
  </cols>
  <sheetData>
    <row r="1" spans="1:20">
      <c r="A1" s="14" t="s">
        <v>140</v>
      </c>
      <c r="B1" s="14" t="s">
        <v>332</v>
      </c>
      <c r="C1" s="128" t="s">
        <v>152</v>
      </c>
      <c r="D1" s="19" t="s">
        <v>153</v>
      </c>
      <c r="E1" s="19" t="s">
        <v>154</v>
      </c>
      <c r="F1" s="130" t="s">
        <v>155</v>
      </c>
      <c r="G1" s="19" t="s">
        <v>156</v>
      </c>
      <c r="H1" s="19" t="s">
        <v>157</v>
      </c>
      <c r="I1" s="130" t="s">
        <v>158</v>
      </c>
      <c r="J1" s="19" t="s">
        <v>160</v>
      </c>
      <c r="K1" s="128" t="s">
        <v>159</v>
      </c>
      <c r="L1" s="18" t="s">
        <v>147</v>
      </c>
      <c r="M1" s="18" t="s">
        <v>10</v>
      </c>
      <c r="N1" s="18" t="s">
        <v>12</v>
      </c>
      <c r="O1" s="18" t="s">
        <v>13</v>
      </c>
      <c r="P1" s="18" t="s">
        <v>149</v>
      </c>
      <c r="Q1" s="18" t="s">
        <v>16</v>
      </c>
      <c r="R1" s="18" t="s">
        <v>18</v>
      </c>
      <c r="S1" s="173" t="s">
        <v>334</v>
      </c>
      <c r="T1" s="29" t="s">
        <v>333</v>
      </c>
    </row>
    <row r="2" spans="1:20">
      <c r="A2" s="184" t="s">
        <v>608</v>
      </c>
      <c r="B2" s="184" t="s">
        <v>3729</v>
      </c>
      <c r="C2" s="127">
        <v>42893</v>
      </c>
      <c r="D2" s="184" t="s">
        <v>10</v>
      </c>
      <c r="E2" s="184" t="s">
        <v>598</v>
      </c>
      <c r="F2" s="185">
        <v>3000</v>
      </c>
      <c r="G2" s="184" t="s">
        <v>493</v>
      </c>
      <c r="H2" s="184" t="s">
        <v>598</v>
      </c>
      <c r="I2" s="185">
        <v>0</v>
      </c>
      <c r="J2" s="184" t="s">
        <v>598</v>
      </c>
      <c r="K2" s="127">
        <v>42891</v>
      </c>
      <c r="L2" s="184" t="s">
        <v>132</v>
      </c>
      <c r="M2" s="184" t="s">
        <v>108</v>
      </c>
      <c r="N2" s="184" t="s">
        <v>162</v>
      </c>
      <c r="O2" s="184" t="s">
        <v>598</v>
      </c>
      <c r="P2" s="184" t="s">
        <v>30</v>
      </c>
      <c r="Q2" s="184" t="s">
        <v>598</v>
      </c>
      <c r="R2" s="184" t="s">
        <v>598</v>
      </c>
      <c r="S2" s="172">
        <v>42996.326388888891</v>
      </c>
      <c r="T2" s="32" t="s">
        <v>552</v>
      </c>
    </row>
    <row r="3" spans="1:20">
      <c r="A3" s="184" t="s">
        <v>613</v>
      </c>
      <c r="B3" s="184" t="s">
        <v>3730</v>
      </c>
      <c r="C3" s="127">
        <v>42906</v>
      </c>
      <c r="D3" s="184" t="s">
        <v>10</v>
      </c>
      <c r="E3" s="184" t="s">
        <v>598</v>
      </c>
      <c r="F3" s="185">
        <v>2000</v>
      </c>
      <c r="G3" s="184" t="s">
        <v>493</v>
      </c>
      <c r="H3" s="184" t="s">
        <v>598</v>
      </c>
      <c r="I3" s="185">
        <v>0</v>
      </c>
      <c r="J3" s="184" t="s">
        <v>598</v>
      </c>
      <c r="K3" s="127">
        <v>42892</v>
      </c>
      <c r="L3" s="184" t="s">
        <v>118</v>
      </c>
      <c r="M3" s="184" t="s">
        <v>108</v>
      </c>
      <c r="N3" s="184" t="s">
        <v>164</v>
      </c>
      <c r="O3" s="184" t="s">
        <v>598</v>
      </c>
      <c r="P3" s="184" t="s">
        <v>30</v>
      </c>
      <c r="Q3" s="184" t="s">
        <v>598</v>
      </c>
      <c r="R3" s="184" t="s">
        <v>598</v>
      </c>
      <c r="S3" s="172">
        <v>42996.326388888891</v>
      </c>
      <c r="T3" s="32" t="s">
        <v>552</v>
      </c>
    </row>
    <row r="4" spans="1:20">
      <c r="A4" s="184" t="s">
        <v>615</v>
      </c>
      <c r="B4" s="184" t="s">
        <v>3731</v>
      </c>
      <c r="C4" s="127">
        <v>42906</v>
      </c>
      <c r="D4" s="184" t="s">
        <v>10</v>
      </c>
      <c r="E4" s="184" t="s">
        <v>598</v>
      </c>
      <c r="F4" s="185">
        <v>2000</v>
      </c>
      <c r="G4" s="184" t="s">
        <v>493</v>
      </c>
      <c r="H4" s="184" t="s">
        <v>598</v>
      </c>
      <c r="I4" s="185">
        <v>0</v>
      </c>
      <c r="J4" s="184" t="s">
        <v>598</v>
      </c>
      <c r="K4" s="127">
        <v>42892</v>
      </c>
      <c r="L4" s="184" t="s">
        <v>118</v>
      </c>
      <c r="M4" s="184" t="s">
        <v>108</v>
      </c>
      <c r="N4" s="184" t="s">
        <v>164</v>
      </c>
      <c r="O4" s="184" t="s">
        <v>598</v>
      </c>
      <c r="P4" s="184" t="s">
        <v>30</v>
      </c>
      <c r="Q4" s="184" t="s">
        <v>598</v>
      </c>
      <c r="R4" s="184" t="s">
        <v>598</v>
      </c>
      <c r="S4" s="172">
        <v>42996.326388888891</v>
      </c>
      <c r="T4" s="32" t="s">
        <v>552</v>
      </c>
    </row>
    <row r="5" spans="1:20">
      <c r="A5" s="184" t="s">
        <v>617</v>
      </c>
      <c r="B5" s="184" t="s">
        <v>3732</v>
      </c>
      <c r="C5" s="127">
        <v>42906</v>
      </c>
      <c r="D5" s="184" t="s">
        <v>10</v>
      </c>
      <c r="E5" s="184" t="s">
        <v>598</v>
      </c>
      <c r="F5" s="185">
        <v>2000</v>
      </c>
      <c r="G5" s="184" t="s">
        <v>493</v>
      </c>
      <c r="H5" s="184" t="s">
        <v>598</v>
      </c>
      <c r="I5" s="185">
        <v>0</v>
      </c>
      <c r="J5" s="184" t="s">
        <v>598</v>
      </c>
      <c r="K5" s="127">
        <v>42892</v>
      </c>
      <c r="L5" s="184" t="s">
        <v>118</v>
      </c>
      <c r="M5" s="184" t="s">
        <v>108</v>
      </c>
      <c r="N5" s="184" t="s">
        <v>164</v>
      </c>
      <c r="O5" s="184" t="s">
        <v>598</v>
      </c>
      <c r="P5" s="184" t="s">
        <v>30</v>
      </c>
      <c r="Q5" s="184" t="s">
        <v>598</v>
      </c>
      <c r="R5" s="184" t="s">
        <v>598</v>
      </c>
      <c r="S5" s="172">
        <v>42996.326388888891</v>
      </c>
      <c r="T5" s="32" t="s">
        <v>552</v>
      </c>
    </row>
    <row r="6" spans="1:20">
      <c r="A6" s="184" t="s">
        <v>623</v>
      </c>
      <c r="B6" s="184" t="s">
        <v>3733</v>
      </c>
      <c r="C6" s="127">
        <v>42916</v>
      </c>
      <c r="D6" s="184" t="s">
        <v>10</v>
      </c>
      <c r="E6" s="184" t="s">
        <v>598</v>
      </c>
      <c r="F6" s="185">
        <v>3000</v>
      </c>
      <c r="G6" s="184" t="s">
        <v>493</v>
      </c>
      <c r="H6" s="184" t="s">
        <v>598</v>
      </c>
      <c r="I6" s="185">
        <v>0</v>
      </c>
      <c r="J6" s="184" t="s">
        <v>598</v>
      </c>
      <c r="K6" s="127">
        <v>42891</v>
      </c>
      <c r="L6" s="184" t="s">
        <v>135</v>
      </c>
      <c r="M6" s="184" t="s">
        <v>108</v>
      </c>
      <c r="N6" s="184" t="s">
        <v>166</v>
      </c>
      <c r="O6" s="184" t="s">
        <v>598</v>
      </c>
      <c r="P6" s="184" t="s">
        <v>30</v>
      </c>
      <c r="Q6" s="184" t="s">
        <v>30</v>
      </c>
      <c r="R6" s="184" t="s">
        <v>598</v>
      </c>
      <c r="S6" s="172">
        <v>42996.326388888891</v>
      </c>
      <c r="T6" s="32" t="s">
        <v>552</v>
      </c>
    </row>
    <row r="7" spans="1:20">
      <c r="A7" s="184" t="s">
        <v>627</v>
      </c>
      <c r="B7" s="184" t="s">
        <v>3734</v>
      </c>
      <c r="C7" s="127">
        <v>42916</v>
      </c>
      <c r="D7" s="184" t="s">
        <v>10</v>
      </c>
      <c r="E7" s="184" t="s">
        <v>598</v>
      </c>
      <c r="F7" s="185">
        <v>6000</v>
      </c>
      <c r="G7" s="184" t="s">
        <v>493</v>
      </c>
      <c r="H7" s="184" t="s">
        <v>598</v>
      </c>
      <c r="I7" s="185">
        <v>0</v>
      </c>
      <c r="J7" s="184" t="s">
        <v>598</v>
      </c>
      <c r="K7" s="127">
        <v>42891</v>
      </c>
      <c r="L7" s="184" t="s">
        <v>134</v>
      </c>
      <c r="M7" s="184" t="s">
        <v>108</v>
      </c>
      <c r="N7" s="184" t="s">
        <v>166</v>
      </c>
      <c r="O7" s="184" t="s">
        <v>598</v>
      </c>
      <c r="P7" s="184" t="s">
        <v>30</v>
      </c>
      <c r="Q7" s="184" t="s">
        <v>30</v>
      </c>
      <c r="R7" s="184" t="s">
        <v>598</v>
      </c>
      <c r="S7" s="172">
        <v>42996.326388888891</v>
      </c>
      <c r="T7" s="32" t="s">
        <v>552</v>
      </c>
    </row>
    <row r="8" spans="1:20">
      <c r="A8" s="184" t="s">
        <v>629</v>
      </c>
      <c r="B8" s="184" t="s">
        <v>3735</v>
      </c>
      <c r="C8" s="127">
        <v>42909</v>
      </c>
      <c r="D8" s="184" t="s">
        <v>10</v>
      </c>
      <c r="E8" s="184" t="s">
        <v>598</v>
      </c>
      <c r="F8" s="185">
        <v>5000</v>
      </c>
      <c r="G8" s="184" t="s">
        <v>493</v>
      </c>
      <c r="H8" s="184" t="s">
        <v>598</v>
      </c>
      <c r="I8" s="185">
        <v>0</v>
      </c>
      <c r="J8" s="184" t="s">
        <v>598</v>
      </c>
      <c r="K8" s="127">
        <v>42894</v>
      </c>
      <c r="L8" s="184" t="s">
        <v>118</v>
      </c>
      <c r="M8" s="184" t="s">
        <v>108</v>
      </c>
      <c r="N8" s="184" t="s">
        <v>631</v>
      </c>
      <c r="O8" s="184" t="s">
        <v>598</v>
      </c>
      <c r="P8" s="184" t="s">
        <v>30</v>
      </c>
      <c r="Q8" s="184" t="s">
        <v>30</v>
      </c>
      <c r="R8" s="184" t="s">
        <v>598</v>
      </c>
      <c r="S8" s="172">
        <v>42996.326388888891</v>
      </c>
      <c r="T8" s="32" t="s">
        <v>552</v>
      </c>
    </row>
    <row r="9" spans="1:20">
      <c r="A9" s="184" t="s">
        <v>632</v>
      </c>
      <c r="B9" s="184" t="s">
        <v>3736</v>
      </c>
      <c r="C9" s="127">
        <v>42906</v>
      </c>
      <c r="D9" s="184" t="s">
        <v>10</v>
      </c>
      <c r="E9" s="184" t="s">
        <v>598</v>
      </c>
      <c r="F9" s="185">
        <v>4000</v>
      </c>
      <c r="G9" s="184" t="s">
        <v>493</v>
      </c>
      <c r="H9" s="184" t="s">
        <v>598</v>
      </c>
      <c r="I9" s="185">
        <v>0</v>
      </c>
      <c r="J9" s="184" t="s">
        <v>598</v>
      </c>
      <c r="K9" s="127">
        <v>42894</v>
      </c>
      <c r="L9" s="184" t="s">
        <v>132</v>
      </c>
      <c r="M9" s="184" t="s">
        <v>108</v>
      </c>
      <c r="N9" s="184" t="s">
        <v>165</v>
      </c>
      <c r="O9" s="184" t="s">
        <v>598</v>
      </c>
      <c r="P9" s="184" t="s">
        <v>30</v>
      </c>
      <c r="Q9" s="184" t="s">
        <v>30</v>
      </c>
      <c r="R9" s="184" t="s">
        <v>598</v>
      </c>
      <c r="S9" s="172">
        <v>42996.326388888891</v>
      </c>
      <c r="T9" s="32" t="s">
        <v>552</v>
      </c>
    </row>
    <row r="10" spans="1:20">
      <c r="A10" s="184" t="s">
        <v>636</v>
      </c>
      <c r="B10" s="184" t="s">
        <v>3737</v>
      </c>
      <c r="C10" s="127">
        <v>42898</v>
      </c>
      <c r="D10" s="184" t="s">
        <v>34</v>
      </c>
      <c r="E10" s="184" t="s">
        <v>598</v>
      </c>
      <c r="F10" s="185">
        <v>3500</v>
      </c>
      <c r="G10" s="184" t="s">
        <v>493</v>
      </c>
      <c r="H10" s="184" t="s">
        <v>598</v>
      </c>
      <c r="I10" s="185">
        <v>0</v>
      </c>
      <c r="J10" s="184" t="s">
        <v>598</v>
      </c>
      <c r="K10" s="127">
        <v>42894</v>
      </c>
      <c r="L10" s="184" t="s">
        <v>134</v>
      </c>
      <c r="M10" s="184" t="s">
        <v>108</v>
      </c>
      <c r="N10" s="184" t="s">
        <v>168</v>
      </c>
      <c r="O10" s="184" t="s">
        <v>598</v>
      </c>
      <c r="P10" s="184" t="s">
        <v>30</v>
      </c>
      <c r="Q10" s="184" t="s">
        <v>30</v>
      </c>
      <c r="R10" s="184" t="s">
        <v>598</v>
      </c>
      <c r="S10" s="172">
        <v>42996.326388888891</v>
      </c>
      <c r="T10" s="32" t="s">
        <v>552</v>
      </c>
    </row>
    <row r="11" spans="1:20">
      <c r="A11" s="184" t="s">
        <v>647</v>
      </c>
      <c r="B11" s="184" t="s">
        <v>3738</v>
      </c>
      <c r="C11" s="127">
        <v>42913</v>
      </c>
      <c r="D11" s="184" t="s">
        <v>10</v>
      </c>
      <c r="E11" s="184" t="s">
        <v>598</v>
      </c>
      <c r="F11" s="185">
        <v>1350</v>
      </c>
      <c r="G11" s="184" t="s">
        <v>493</v>
      </c>
      <c r="H11" s="184" t="s">
        <v>598</v>
      </c>
      <c r="I11" s="185">
        <v>0</v>
      </c>
      <c r="J11" s="184" t="s">
        <v>598</v>
      </c>
      <c r="K11" s="127">
        <v>42902</v>
      </c>
      <c r="L11" s="184" t="s">
        <v>598</v>
      </c>
      <c r="M11" s="184" t="s">
        <v>108</v>
      </c>
      <c r="N11" s="184" t="s">
        <v>172</v>
      </c>
      <c r="O11" s="184" t="s">
        <v>598</v>
      </c>
      <c r="P11" s="184" t="s">
        <v>30</v>
      </c>
      <c r="Q11" s="184" t="s">
        <v>30</v>
      </c>
      <c r="R11" s="184" t="s">
        <v>598</v>
      </c>
      <c r="S11" s="172">
        <v>42996.326388888891</v>
      </c>
      <c r="T11" s="32" t="s">
        <v>552</v>
      </c>
    </row>
    <row r="12" spans="1:20">
      <c r="A12" s="184" t="s">
        <v>649</v>
      </c>
      <c r="B12" s="184" t="s">
        <v>3739</v>
      </c>
      <c r="C12" s="127">
        <v>42913</v>
      </c>
      <c r="D12" s="184" t="s">
        <v>10</v>
      </c>
      <c r="E12" s="184" t="s">
        <v>598</v>
      </c>
      <c r="F12" s="185">
        <v>1350</v>
      </c>
      <c r="G12" s="184" t="s">
        <v>493</v>
      </c>
      <c r="H12" s="184" t="s">
        <v>598</v>
      </c>
      <c r="I12" s="185">
        <v>0</v>
      </c>
      <c r="J12" s="184" t="s">
        <v>598</v>
      </c>
      <c r="K12" s="127">
        <v>42902</v>
      </c>
      <c r="L12" s="184" t="s">
        <v>598</v>
      </c>
      <c r="M12" s="184" t="s">
        <v>108</v>
      </c>
      <c r="N12" s="184" t="s">
        <v>172</v>
      </c>
      <c r="O12" s="184" t="s">
        <v>598</v>
      </c>
      <c r="P12" s="184" t="s">
        <v>30</v>
      </c>
      <c r="Q12" s="184" t="s">
        <v>30</v>
      </c>
      <c r="R12" s="184" t="s">
        <v>598</v>
      </c>
      <c r="S12" s="172">
        <v>42996.326388888891</v>
      </c>
      <c r="T12" s="32" t="s">
        <v>552</v>
      </c>
    </row>
    <row r="13" spans="1:20">
      <c r="A13" s="184" t="s">
        <v>651</v>
      </c>
      <c r="B13" s="184" t="s">
        <v>3740</v>
      </c>
      <c r="C13" s="127">
        <v>42903</v>
      </c>
      <c r="D13" s="184" t="s">
        <v>10</v>
      </c>
      <c r="E13" s="184" t="s">
        <v>598</v>
      </c>
      <c r="F13" s="185">
        <v>1500</v>
      </c>
      <c r="G13" s="184" t="s">
        <v>493</v>
      </c>
      <c r="H13" s="184" t="s">
        <v>598</v>
      </c>
      <c r="I13" s="185">
        <v>0</v>
      </c>
      <c r="J13" s="184" t="s">
        <v>598</v>
      </c>
      <c r="K13" s="127">
        <v>42902</v>
      </c>
      <c r="L13" s="184" t="s">
        <v>127</v>
      </c>
      <c r="M13" s="184" t="s">
        <v>108</v>
      </c>
      <c r="N13" s="184" t="s">
        <v>653</v>
      </c>
      <c r="O13" s="184" t="s">
        <v>598</v>
      </c>
      <c r="P13" s="184" t="s">
        <v>30</v>
      </c>
      <c r="Q13" s="184" t="s">
        <v>30</v>
      </c>
      <c r="R13" s="184" t="s">
        <v>598</v>
      </c>
      <c r="S13" s="172">
        <v>42996.326388888891</v>
      </c>
      <c r="T13" s="32" t="s">
        <v>552</v>
      </c>
    </row>
    <row r="14" spans="1:20">
      <c r="A14" s="184" t="s">
        <v>658</v>
      </c>
      <c r="B14" s="184" t="s">
        <v>3741</v>
      </c>
      <c r="C14" s="127">
        <v>42913</v>
      </c>
      <c r="D14" s="184" t="s">
        <v>10</v>
      </c>
      <c r="E14" s="184" t="s">
        <v>598</v>
      </c>
      <c r="F14" s="185">
        <v>4500</v>
      </c>
      <c r="G14" s="184" t="s">
        <v>493</v>
      </c>
      <c r="H14" s="184" t="s">
        <v>598</v>
      </c>
      <c r="I14" s="185">
        <v>0</v>
      </c>
      <c r="J14" s="184" t="s">
        <v>598</v>
      </c>
      <c r="K14" s="127">
        <v>42906</v>
      </c>
      <c r="L14" s="184" t="s">
        <v>134</v>
      </c>
      <c r="M14" s="184" t="s">
        <v>108</v>
      </c>
      <c r="N14" s="184" t="s">
        <v>173</v>
      </c>
      <c r="O14" s="184" t="s">
        <v>598</v>
      </c>
      <c r="P14" s="184" t="s">
        <v>30</v>
      </c>
      <c r="Q14" s="184" t="s">
        <v>30</v>
      </c>
      <c r="R14" s="184" t="s">
        <v>598</v>
      </c>
      <c r="S14" s="172">
        <v>42996.326388888891</v>
      </c>
      <c r="T14" s="32" t="s">
        <v>552</v>
      </c>
    </row>
    <row r="15" spans="1:20">
      <c r="A15" s="184" t="s">
        <v>675</v>
      </c>
      <c r="B15" s="184" t="s">
        <v>3742</v>
      </c>
      <c r="C15" s="127">
        <v>42915</v>
      </c>
      <c r="D15" s="184" t="s">
        <v>10</v>
      </c>
      <c r="E15" s="184" t="s">
        <v>598</v>
      </c>
      <c r="F15" s="185">
        <v>2000</v>
      </c>
      <c r="G15" s="184" t="s">
        <v>493</v>
      </c>
      <c r="H15" s="184" t="s">
        <v>598</v>
      </c>
      <c r="I15" s="185">
        <v>0</v>
      </c>
      <c r="J15" s="184" t="s">
        <v>598</v>
      </c>
      <c r="K15" s="127">
        <v>42908</v>
      </c>
      <c r="L15" s="184" t="s">
        <v>118</v>
      </c>
      <c r="M15" s="184" t="s">
        <v>108</v>
      </c>
      <c r="N15" s="184" t="s">
        <v>171</v>
      </c>
      <c r="O15" s="184" t="s">
        <v>598</v>
      </c>
      <c r="P15" s="184" t="s">
        <v>30</v>
      </c>
      <c r="Q15" s="184" t="s">
        <v>178</v>
      </c>
      <c r="R15" s="184" t="s">
        <v>598</v>
      </c>
      <c r="S15" s="172">
        <v>42996.326388888891</v>
      </c>
      <c r="T15" s="32" t="s">
        <v>552</v>
      </c>
    </row>
    <row r="16" spans="1:20">
      <c r="A16" s="184" t="s">
        <v>681</v>
      </c>
      <c r="B16" s="184" t="s">
        <v>3743</v>
      </c>
      <c r="C16" s="127">
        <v>42916</v>
      </c>
      <c r="D16" s="184" t="s">
        <v>10</v>
      </c>
      <c r="E16" s="184" t="s">
        <v>598</v>
      </c>
      <c r="F16" s="185">
        <v>7000</v>
      </c>
      <c r="G16" s="184" t="s">
        <v>493</v>
      </c>
      <c r="H16" s="184" t="s">
        <v>598</v>
      </c>
      <c r="I16" s="185">
        <v>0</v>
      </c>
      <c r="J16" s="184" t="s">
        <v>598</v>
      </c>
      <c r="K16" s="127">
        <v>42913</v>
      </c>
      <c r="L16" s="184" t="s">
        <v>107</v>
      </c>
      <c r="M16" s="184" t="s">
        <v>108</v>
      </c>
      <c r="N16" s="184" t="s">
        <v>180</v>
      </c>
      <c r="O16" s="184" t="s">
        <v>598</v>
      </c>
      <c r="P16" s="184" t="s">
        <v>30</v>
      </c>
      <c r="Q16" s="184" t="s">
        <v>30</v>
      </c>
      <c r="R16" s="184" t="s">
        <v>598</v>
      </c>
      <c r="S16" s="172">
        <v>42996.326388888891</v>
      </c>
      <c r="T16" s="32" t="s">
        <v>552</v>
      </c>
    </row>
    <row r="17" spans="1:20">
      <c r="A17" s="184" t="s">
        <v>728</v>
      </c>
      <c r="B17" s="184" t="s">
        <v>3744</v>
      </c>
      <c r="C17" s="127">
        <v>42892</v>
      </c>
      <c r="D17" s="184" t="s">
        <v>10</v>
      </c>
      <c r="E17" s="184" t="s">
        <v>598</v>
      </c>
      <c r="F17" s="185">
        <v>6000</v>
      </c>
      <c r="G17" s="184" t="s">
        <v>493</v>
      </c>
      <c r="H17" s="184" t="s">
        <v>598</v>
      </c>
      <c r="I17" s="185">
        <v>0</v>
      </c>
      <c r="J17" s="184" t="s">
        <v>598</v>
      </c>
      <c r="K17" s="127">
        <v>42857</v>
      </c>
      <c r="L17" s="184" t="s">
        <v>134</v>
      </c>
      <c r="M17" s="184" t="s">
        <v>108</v>
      </c>
      <c r="N17" s="184" t="s">
        <v>179</v>
      </c>
      <c r="O17" s="184" t="s">
        <v>598</v>
      </c>
      <c r="P17" s="184" t="s">
        <v>30</v>
      </c>
      <c r="Q17" s="184" t="s">
        <v>30</v>
      </c>
      <c r="R17" s="184" t="s">
        <v>598</v>
      </c>
      <c r="S17" s="172">
        <v>42996.326388888891</v>
      </c>
      <c r="T17" s="32" t="s">
        <v>552</v>
      </c>
    </row>
    <row r="18" spans="1:20">
      <c r="A18" s="184" t="s">
        <v>738</v>
      </c>
      <c r="B18" s="184" t="s">
        <v>3745</v>
      </c>
      <c r="C18" s="127">
        <v>42902</v>
      </c>
      <c r="D18" s="184" t="s">
        <v>10</v>
      </c>
      <c r="E18" s="184" t="s">
        <v>598</v>
      </c>
      <c r="F18" s="185">
        <v>5000</v>
      </c>
      <c r="G18" s="184" t="s">
        <v>493</v>
      </c>
      <c r="H18" s="184" t="s">
        <v>598</v>
      </c>
      <c r="I18" s="185">
        <v>0</v>
      </c>
      <c r="J18" s="184" t="s">
        <v>598</v>
      </c>
      <c r="K18" s="127">
        <v>42860</v>
      </c>
      <c r="L18" s="184" t="s">
        <v>118</v>
      </c>
      <c r="M18" s="184" t="s">
        <v>108</v>
      </c>
      <c r="N18" s="184" t="s">
        <v>167</v>
      </c>
      <c r="O18" s="184" t="s">
        <v>598</v>
      </c>
      <c r="P18" s="184" t="s">
        <v>30</v>
      </c>
      <c r="Q18" s="184" t="s">
        <v>30</v>
      </c>
      <c r="R18" s="184" t="s">
        <v>598</v>
      </c>
      <c r="S18" s="172">
        <v>42996.326388888891</v>
      </c>
      <c r="T18" s="32" t="s">
        <v>552</v>
      </c>
    </row>
    <row r="19" spans="1:20">
      <c r="A19" s="184" t="s">
        <v>744</v>
      </c>
      <c r="B19" s="184" t="s">
        <v>3746</v>
      </c>
      <c r="C19" s="127">
        <v>42892</v>
      </c>
      <c r="D19" s="184" t="s">
        <v>10</v>
      </c>
      <c r="E19" s="184" t="s">
        <v>598</v>
      </c>
      <c r="F19" s="185">
        <v>4000</v>
      </c>
      <c r="G19" s="184" t="s">
        <v>493</v>
      </c>
      <c r="H19" s="184" t="s">
        <v>598</v>
      </c>
      <c r="I19" s="185">
        <v>0</v>
      </c>
      <c r="J19" s="184" t="s">
        <v>598</v>
      </c>
      <c r="K19" s="127">
        <v>42864</v>
      </c>
      <c r="L19" s="184" t="s">
        <v>132</v>
      </c>
      <c r="M19" s="184" t="s">
        <v>108</v>
      </c>
      <c r="N19" s="184" t="s">
        <v>181</v>
      </c>
      <c r="O19" s="184" t="s">
        <v>598</v>
      </c>
      <c r="P19" s="184" t="s">
        <v>30</v>
      </c>
      <c r="Q19" s="184" t="s">
        <v>30</v>
      </c>
      <c r="R19" s="184" t="s">
        <v>598</v>
      </c>
      <c r="S19" s="172">
        <v>42996.326388888891</v>
      </c>
      <c r="T19" s="32" t="s">
        <v>552</v>
      </c>
    </row>
    <row r="20" spans="1:20">
      <c r="A20" s="184" t="s">
        <v>746</v>
      </c>
      <c r="B20" s="184" t="s">
        <v>3747</v>
      </c>
      <c r="C20" s="127">
        <v>42893</v>
      </c>
      <c r="D20" s="184" t="s">
        <v>10</v>
      </c>
      <c r="E20" s="184" t="s">
        <v>598</v>
      </c>
      <c r="F20" s="185">
        <v>10000</v>
      </c>
      <c r="G20" s="184" t="s">
        <v>493</v>
      </c>
      <c r="H20" s="184" t="s">
        <v>598</v>
      </c>
      <c r="I20" s="185">
        <v>0</v>
      </c>
      <c r="J20" s="184" t="s">
        <v>598</v>
      </c>
      <c r="K20" s="127">
        <v>42864</v>
      </c>
      <c r="L20" s="184" t="s">
        <v>107</v>
      </c>
      <c r="M20" s="184" t="s">
        <v>108</v>
      </c>
      <c r="N20" s="184" t="s">
        <v>181</v>
      </c>
      <c r="O20" s="184" t="s">
        <v>598</v>
      </c>
      <c r="P20" s="184" t="s">
        <v>30</v>
      </c>
      <c r="Q20" s="184" t="s">
        <v>30</v>
      </c>
      <c r="R20" s="184" t="s">
        <v>598</v>
      </c>
      <c r="S20" s="172">
        <v>42996.326388888891</v>
      </c>
      <c r="T20" s="32" t="s">
        <v>552</v>
      </c>
    </row>
    <row r="21" spans="1:20">
      <c r="A21" s="184" t="s">
        <v>758</v>
      </c>
      <c r="B21" s="184" t="s">
        <v>3748</v>
      </c>
      <c r="C21" s="127">
        <v>42893</v>
      </c>
      <c r="D21" s="184" t="s">
        <v>10</v>
      </c>
      <c r="E21" s="184" t="s">
        <v>598</v>
      </c>
      <c r="F21" s="185">
        <v>4000</v>
      </c>
      <c r="G21" s="184" t="s">
        <v>493</v>
      </c>
      <c r="H21" s="184" t="s">
        <v>598</v>
      </c>
      <c r="I21" s="185">
        <v>0</v>
      </c>
      <c r="J21" s="184" t="s">
        <v>598</v>
      </c>
      <c r="K21" s="127">
        <v>42867</v>
      </c>
      <c r="L21" s="184" t="s">
        <v>134</v>
      </c>
      <c r="M21" s="184" t="s">
        <v>108</v>
      </c>
      <c r="N21" s="184" t="s">
        <v>175</v>
      </c>
      <c r="O21" s="184" t="s">
        <v>598</v>
      </c>
      <c r="P21" s="184" t="s">
        <v>30</v>
      </c>
      <c r="Q21" s="184" t="s">
        <v>30</v>
      </c>
      <c r="R21" s="184" t="s">
        <v>598</v>
      </c>
      <c r="S21" s="172">
        <v>42996.326388888891</v>
      </c>
      <c r="T21" s="32" t="s">
        <v>552</v>
      </c>
    </row>
    <row r="22" spans="1:20">
      <c r="A22" s="184" t="s">
        <v>762</v>
      </c>
      <c r="B22" s="184" t="s">
        <v>3749</v>
      </c>
      <c r="C22" s="127">
        <v>42895</v>
      </c>
      <c r="D22" s="184" t="s">
        <v>10</v>
      </c>
      <c r="E22" s="184" t="s">
        <v>598</v>
      </c>
      <c r="F22" s="185">
        <v>5000</v>
      </c>
      <c r="G22" s="184" t="s">
        <v>493</v>
      </c>
      <c r="H22" s="184" t="s">
        <v>598</v>
      </c>
      <c r="I22" s="185">
        <v>0</v>
      </c>
      <c r="J22" s="184" t="s">
        <v>598</v>
      </c>
      <c r="K22" s="127">
        <v>42871</v>
      </c>
      <c r="L22" s="184" t="s">
        <v>134</v>
      </c>
      <c r="M22" s="184" t="s">
        <v>108</v>
      </c>
      <c r="N22" s="184" t="s">
        <v>164</v>
      </c>
      <c r="O22" s="184" t="s">
        <v>598</v>
      </c>
      <c r="P22" s="184" t="s">
        <v>30</v>
      </c>
      <c r="Q22" s="184" t="s">
        <v>30</v>
      </c>
      <c r="R22" s="184" t="s">
        <v>598</v>
      </c>
      <c r="S22" s="172">
        <v>42996.326388888891</v>
      </c>
      <c r="T22" s="32" t="s">
        <v>552</v>
      </c>
    </row>
    <row r="23" spans="1:20">
      <c r="A23" s="184" t="s">
        <v>768</v>
      </c>
      <c r="B23" s="184" t="s">
        <v>3750</v>
      </c>
      <c r="C23" s="127">
        <v>42887</v>
      </c>
      <c r="D23" s="184" t="s">
        <v>10</v>
      </c>
      <c r="E23" s="184" t="s">
        <v>598</v>
      </c>
      <c r="F23" s="185">
        <v>4000</v>
      </c>
      <c r="G23" s="184" t="s">
        <v>493</v>
      </c>
      <c r="H23" s="184" t="s">
        <v>598</v>
      </c>
      <c r="I23" s="185">
        <v>0</v>
      </c>
      <c r="J23" s="184" t="s">
        <v>598</v>
      </c>
      <c r="K23" s="127">
        <v>42873</v>
      </c>
      <c r="L23" s="184" t="s">
        <v>134</v>
      </c>
      <c r="M23" s="184" t="s">
        <v>108</v>
      </c>
      <c r="N23" s="184" t="s">
        <v>185</v>
      </c>
      <c r="O23" s="184" t="s">
        <v>598</v>
      </c>
      <c r="P23" s="184" t="s">
        <v>30</v>
      </c>
      <c r="Q23" s="184" t="s">
        <v>30</v>
      </c>
      <c r="R23" s="184" t="s">
        <v>598</v>
      </c>
      <c r="S23" s="172">
        <v>42996.326388888891</v>
      </c>
      <c r="T23" s="32" t="s">
        <v>552</v>
      </c>
    </row>
    <row r="24" spans="1:20">
      <c r="A24" s="184" t="s">
        <v>772</v>
      </c>
      <c r="B24" s="184" t="s">
        <v>3751</v>
      </c>
      <c r="C24" s="127">
        <v>42902</v>
      </c>
      <c r="D24" s="184" t="s">
        <v>10</v>
      </c>
      <c r="E24" s="184" t="s">
        <v>598</v>
      </c>
      <c r="F24" s="185">
        <v>4000</v>
      </c>
      <c r="G24" s="184" t="s">
        <v>493</v>
      </c>
      <c r="H24" s="184" t="s">
        <v>598</v>
      </c>
      <c r="I24" s="185">
        <v>0</v>
      </c>
      <c r="J24" s="184" t="s">
        <v>598</v>
      </c>
      <c r="K24" s="127">
        <v>42875</v>
      </c>
      <c r="L24" s="184" t="s">
        <v>134</v>
      </c>
      <c r="M24" s="184" t="s">
        <v>108</v>
      </c>
      <c r="N24" s="184" t="s">
        <v>175</v>
      </c>
      <c r="O24" s="184" t="s">
        <v>598</v>
      </c>
      <c r="P24" s="184" t="s">
        <v>30</v>
      </c>
      <c r="Q24" s="184" t="s">
        <v>30</v>
      </c>
      <c r="R24" s="184" t="s">
        <v>598</v>
      </c>
      <c r="S24" s="172">
        <v>42996.326388888891</v>
      </c>
      <c r="T24" s="32" t="s">
        <v>552</v>
      </c>
    </row>
    <row r="25" spans="1:20">
      <c r="A25" s="184" t="s">
        <v>780</v>
      </c>
      <c r="B25" s="184" t="s">
        <v>3752</v>
      </c>
      <c r="C25" s="127">
        <v>42902</v>
      </c>
      <c r="D25" s="184" t="s">
        <v>10</v>
      </c>
      <c r="E25" s="184" t="s">
        <v>598</v>
      </c>
      <c r="F25" s="185">
        <v>3500</v>
      </c>
      <c r="G25" s="184" t="s">
        <v>493</v>
      </c>
      <c r="H25" s="184" t="s">
        <v>598</v>
      </c>
      <c r="I25" s="185">
        <v>0</v>
      </c>
      <c r="J25" s="184" t="s">
        <v>598</v>
      </c>
      <c r="K25" s="127">
        <v>42879</v>
      </c>
      <c r="L25" s="184" t="s">
        <v>134</v>
      </c>
      <c r="M25" s="184" t="s">
        <v>108</v>
      </c>
      <c r="N25" s="184" t="s">
        <v>187</v>
      </c>
      <c r="O25" s="184" t="s">
        <v>598</v>
      </c>
      <c r="P25" s="184" t="s">
        <v>30</v>
      </c>
      <c r="Q25" s="184" t="s">
        <v>30</v>
      </c>
      <c r="R25" s="184" t="s">
        <v>598</v>
      </c>
      <c r="S25" s="172">
        <v>42996.326388888891</v>
      </c>
      <c r="T25" s="32" t="s">
        <v>552</v>
      </c>
    </row>
    <row r="26" spans="1:20">
      <c r="A26" s="184" t="s">
        <v>784</v>
      </c>
      <c r="B26" s="184" t="s">
        <v>3753</v>
      </c>
      <c r="C26" s="127">
        <v>42887</v>
      </c>
      <c r="D26" s="184" t="s">
        <v>10</v>
      </c>
      <c r="E26" s="184" t="s">
        <v>598</v>
      </c>
      <c r="F26" s="185">
        <v>2000</v>
      </c>
      <c r="G26" s="184" t="s">
        <v>493</v>
      </c>
      <c r="H26" s="184" t="s">
        <v>598</v>
      </c>
      <c r="I26" s="185">
        <v>0</v>
      </c>
      <c r="J26" s="184" t="s">
        <v>598</v>
      </c>
      <c r="K26" s="127">
        <v>42880</v>
      </c>
      <c r="L26" s="184" t="s">
        <v>118</v>
      </c>
      <c r="M26" s="184" t="s">
        <v>108</v>
      </c>
      <c r="N26" s="184" t="s">
        <v>188</v>
      </c>
      <c r="O26" s="184" t="s">
        <v>598</v>
      </c>
      <c r="P26" s="184" t="s">
        <v>30</v>
      </c>
      <c r="Q26" s="184" t="s">
        <v>30</v>
      </c>
      <c r="R26" s="184" t="s">
        <v>598</v>
      </c>
      <c r="S26" s="172">
        <v>42996.326388888891</v>
      </c>
      <c r="T26" s="32" t="s">
        <v>552</v>
      </c>
    </row>
    <row r="27" spans="1:20">
      <c r="A27" s="184" t="s">
        <v>786</v>
      </c>
      <c r="B27" s="184" t="s">
        <v>3754</v>
      </c>
      <c r="C27" s="127">
        <v>42887</v>
      </c>
      <c r="D27" s="184" t="s">
        <v>10</v>
      </c>
      <c r="E27" s="184" t="s">
        <v>598</v>
      </c>
      <c r="F27" s="185">
        <v>2000</v>
      </c>
      <c r="G27" s="184" t="s">
        <v>493</v>
      </c>
      <c r="H27" s="184" t="s">
        <v>598</v>
      </c>
      <c r="I27" s="185">
        <v>0</v>
      </c>
      <c r="J27" s="184" t="s">
        <v>598</v>
      </c>
      <c r="K27" s="127">
        <v>42880</v>
      </c>
      <c r="L27" s="184" t="s">
        <v>118</v>
      </c>
      <c r="M27" s="184" t="s">
        <v>108</v>
      </c>
      <c r="N27" s="184" t="s">
        <v>188</v>
      </c>
      <c r="O27" s="184" t="s">
        <v>598</v>
      </c>
      <c r="P27" s="184" t="s">
        <v>30</v>
      </c>
      <c r="Q27" s="184" t="s">
        <v>30</v>
      </c>
      <c r="R27" s="184" t="s">
        <v>598</v>
      </c>
      <c r="S27" s="172">
        <v>42996.326388888891</v>
      </c>
      <c r="T27" s="32" t="s">
        <v>552</v>
      </c>
    </row>
    <row r="28" spans="1:20">
      <c r="A28" s="184" t="s">
        <v>790</v>
      </c>
      <c r="B28" s="184" t="s">
        <v>3755</v>
      </c>
      <c r="C28" s="127">
        <v>42891</v>
      </c>
      <c r="D28" s="184" t="s">
        <v>10</v>
      </c>
      <c r="E28" s="184" t="s">
        <v>598</v>
      </c>
      <c r="F28" s="185">
        <v>2000</v>
      </c>
      <c r="G28" s="184" t="s">
        <v>493</v>
      </c>
      <c r="H28" s="184" t="s">
        <v>598</v>
      </c>
      <c r="I28" s="185">
        <v>0</v>
      </c>
      <c r="J28" s="184" t="s">
        <v>598</v>
      </c>
      <c r="K28" s="127">
        <v>42881</v>
      </c>
      <c r="L28" s="184" t="s">
        <v>118</v>
      </c>
      <c r="M28" s="184" t="s">
        <v>108</v>
      </c>
      <c r="N28" s="184" t="s">
        <v>188</v>
      </c>
      <c r="O28" s="184" t="s">
        <v>598</v>
      </c>
      <c r="P28" s="184" t="s">
        <v>30</v>
      </c>
      <c r="Q28" s="184" t="s">
        <v>30</v>
      </c>
      <c r="R28" s="184" t="s">
        <v>598</v>
      </c>
      <c r="S28" s="172">
        <v>42996.326388888891</v>
      </c>
      <c r="T28" s="32" t="s">
        <v>552</v>
      </c>
    </row>
    <row r="29" spans="1:20">
      <c r="A29" s="184" t="s">
        <v>798</v>
      </c>
      <c r="B29" s="184" t="s">
        <v>3756</v>
      </c>
      <c r="C29" s="127">
        <v>42887</v>
      </c>
      <c r="D29" s="184" t="s">
        <v>10</v>
      </c>
      <c r="E29" s="184" t="s">
        <v>598</v>
      </c>
      <c r="F29" s="185">
        <v>2000</v>
      </c>
      <c r="G29" s="184" t="s">
        <v>493</v>
      </c>
      <c r="H29" s="184" t="s">
        <v>598</v>
      </c>
      <c r="I29" s="185">
        <v>0</v>
      </c>
      <c r="J29" s="184" t="s">
        <v>598</v>
      </c>
      <c r="K29" s="127">
        <v>42881</v>
      </c>
      <c r="L29" s="184" t="s">
        <v>118</v>
      </c>
      <c r="M29" s="184" t="s">
        <v>108</v>
      </c>
      <c r="N29" s="184" t="s">
        <v>171</v>
      </c>
      <c r="O29" s="184" t="s">
        <v>598</v>
      </c>
      <c r="P29" s="184" t="s">
        <v>30</v>
      </c>
      <c r="Q29" s="184" t="s">
        <v>30</v>
      </c>
      <c r="R29" s="184" t="s">
        <v>598</v>
      </c>
      <c r="S29" s="172">
        <v>42996.326388888891</v>
      </c>
      <c r="T29" s="32" t="s">
        <v>552</v>
      </c>
    </row>
    <row r="30" spans="1:20">
      <c r="A30" s="184" t="s">
        <v>802</v>
      </c>
      <c r="B30" s="184" t="s">
        <v>3757</v>
      </c>
      <c r="C30" s="127">
        <v>42888</v>
      </c>
      <c r="D30" s="184" t="s">
        <v>10</v>
      </c>
      <c r="E30" s="184" t="s">
        <v>598</v>
      </c>
      <c r="F30" s="185">
        <v>1500</v>
      </c>
      <c r="G30" s="184" t="s">
        <v>493</v>
      </c>
      <c r="H30" s="184" t="s">
        <v>598</v>
      </c>
      <c r="I30" s="185">
        <v>0</v>
      </c>
      <c r="J30" s="184" t="s">
        <v>598</v>
      </c>
      <c r="K30" s="127">
        <v>42882</v>
      </c>
      <c r="L30" s="184" t="s">
        <v>118</v>
      </c>
      <c r="M30" s="184" t="s">
        <v>108</v>
      </c>
      <c r="N30" s="184" t="s">
        <v>186</v>
      </c>
      <c r="O30" s="184" t="s">
        <v>598</v>
      </c>
      <c r="P30" s="184" t="s">
        <v>30</v>
      </c>
      <c r="Q30" s="184" t="s">
        <v>30</v>
      </c>
      <c r="R30" s="184" t="s">
        <v>598</v>
      </c>
      <c r="S30" s="172">
        <v>42996.326388888891</v>
      </c>
      <c r="T30" s="32" t="s">
        <v>552</v>
      </c>
    </row>
    <row r="31" spans="1:20">
      <c r="A31" s="184" t="s">
        <v>807</v>
      </c>
      <c r="B31" s="184" t="s">
        <v>3758</v>
      </c>
      <c r="C31" s="127">
        <v>42891</v>
      </c>
      <c r="D31" s="184" t="s">
        <v>10</v>
      </c>
      <c r="E31" s="184" t="s">
        <v>598</v>
      </c>
      <c r="F31" s="185">
        <v>2000</v>
      </c>
      <c r="G31" s="184" t="s">
        <v>493</v>
      </c>
      <c r="H31" s="184" t="s">
        <v>598</v>
      </c>
      <c r="I31" s="185">
        <v>0</v>
      </c>
      <c r="J31" s="184" t="s">
        <v>598</v>
      </c>
      <c r="K31" s="127">
        <v>42882</v>
      </c>
      <c r="L31" s="184" t="s">
        <v>118</v>
      </c>
      <c r="M31" s="184" t="s">
        <v>108</v>
      </c>
      <c r="N31" s="184" t="s">
        <v>188</v>
      </c>
      <c r="O31" s="184" t="s">
        <v>598</v>
      </c>
      <c r="P31" s="184" t="s">
        <v>30</v>
      </c>
      <c r="Q31" s="184" t="s">
        <v>30</v>
      </c>
      <c r="R31" s="184" t="s">
        <v>598</v>
      </c>
      <c r="S31" s="172">
        <v>42996.326388888891</v>
      </c>
      <c r="T31" s="32" t="s">
        <v>552</v>
      </c>
    </row>
    <row r="32" spans="1:20">
      <c r="A32" s="184" t="s">
        <v>813</v>
      </c>
      <c r="B32" s="184" t="s">
        <v>3759</v>
      </c>
      <c r="C32" s="127">
        <v>42888</v>
      </c>
      <c r="D32" s="184" t="s">
        <v>10</v>
      </c>
      <c r="E32" s="184" t="s">
        <v>598</v>
      </c>
      <c r="F32" s="185">
        <v>5000</v>
      </c>
      <c r="G32" s="184" t="s">
        <v>493</v>
      </c>
      <c r="H32" s="184" t="s">
        <v>598</v>
      </c>
      <c r="I32" s="185">
        <v>0</v>
      </c>
      <c r="J32" s="184" t="s">
        <v>598</v>
      </c>
      <c r="K32" s="127">
        <v>42887</v>
      </c>
      <c r="L32" s="184" t="s">
        <v>598</v>
      </c>
      <c r="M32" s="184" t="s">
        <v>84</v>
      </c>
      <c r="N32" s="184" t="s">
        <v>189</v>
      </c>
      <c r="O32" s="184" t="s">
        <v>598</v>
      </c>
      <c r="P32" s="184" t="s">
        <v>63</v>
      </c>
      <c r="Q32" s="184" t="s">
        <v>63</v>
      </c>
      <c r="R32" s="184" t="s">
        <v>598</v>
      </c>
      <c r="S32" s="172">
        <v>42996.326388888891</v>
      </c>
      <c r="T32" s="32" t="s">
        <v>552</v>
      </c>
    </row>
    <row r="33" spans="1:20">
      <c r="A33" s="184" t="s">
        <v>823</v>
      </c>
      <c r="B33" s="184" t="s">
        <v>3760</v>
      </c>
      <c r="C33" s="127">
        <v>42913</v>
      </c>
      <c r="D33" s="184" t="s">
        <v>34</v>
      </c>
      <c r="E33" s="184" t="s">
        <v>598</v>
      </c>
      <c r="F33" s="185">
        <v>4000</v>
      </c>
      <c r="G33" s="184" t="s">
        <v>493</v>
      </c>
      <c r="H33" s="184" t="s">
        <v>598</v>
      </c>
      <c r="I33" s="185">
        <v>0</v>
      </c>
      <c r="J33" s="184" t="s">
        <v>598</v>
      </c>
      <c r="K33" s="127">
        <v>42887</v>
      </c>
      <c r="L33" s="184" t="s">
        <v>598</v>
      </c>
      <c r="M33" s="184" t="s">
        <v>84</v>
      </c>
      <c r="N33" s="184" t="s">
        <v>598</v>
      </c>
      <c r="O33" s="184" t="s">
        <v>598</v>
      </c>
      <c r="P33" s="184" t="s">
        <v>63</v>
      </c>
      <c r="Q33" s="184" t="s">
        <v>63</v>
      </c>
      <c r="R33" s="184" t="s">
        <v>598</v>
      </c>
      <c r="S33" s="172">
        <v>42996.326388888891</v>
      </c>
      <c r="T33" s="32" t="s">
        <v>552</v>
      </c>
    </row>
    <row r="34" spans="1:20">
      <c r="A34" s="184" t="s">
        <v>837</v>
      </c>
      <c r="B34" s="184" t="s">
        <v>3761</v>
      </c>
      <c r="C34" s="127">
        <v>42892</v>
      </c>
      <c r="D34" s="184" t="s">
        <v>34</v>
      </c>
      <c r="E34" s="184" t="s">
        <v>598</v>
      </c>
      <c r="F34" s="185">
        <v>3000</v>
      </c>
      <c r="G34" s="184" t="s">
        <v>493</v>
      </c>
      <c r="H34" s="184" t="s">
        <v>598</v>
      </c>
      <c r="I34" s="185">
        <v>0</v>
      </c>
      <c r="J34" s="184" t="s">
        <v>598</v>
      </c>
      <c r="K34" s="127">
        <v>42891</v>
      </c>
      <c r="L34" s="184" t="s">
        <v>132</v>
      </c>
      <c r="M34" s="184" t="s">
        <v>84</v>
      </c>
      <c r="N34" s="184" t="s">
        <v>196</v>
      </c>
      <c r="O34" s="184" t="s">
        <v>598</v>
      </c>
      <c r="P34" s="184" t="s">
        <v>63</v>
      </c>
      <c r="Q34" s="184" t="s">
        <v>86</v>
      </c>
      <c r="R34" s="184" t="s">
        <v>598</v>
      </c>
      <c r="S34" s="172">
        <v>42996.326388888891</v>
      </c>
      <c r="T34" s="32" t="s">
        <v>552</v>
      </c>
    </row>
    <row r="35" spans="1:20">
      <c r="A35" s="184" t="s">
        <v>839</v>
      </c>
      <c r="B35" s="184" t="s">
        <v>3762</v>
      </c>
      <c r="C35" s="127">
        <v>42895</v>
      </c>
      <c r="D35" s="184" t="s">
        <v>34</v>
      </c>
      <c r="E35" s="184" t="s">
        <v>598</v>
      </c>
      <c r="F35" s="185">
        <v>3500</v>
      </c>
      <c r="G35" s="184" t="s">
        <v>493</v>
      </c>
      <c r="H35" s="184" t="s">
        <v>598</v>
      </c>
      <c r="I35" s="185">
        <v>0</v>
      </c>
      <c r="J35" s="184" t="s">
        <v>598</v>
      </c>
      <c r="K35" s="127">
        <v>42891</v>
      </c>
      <c r="L35" s="184" t="s">
        <v>134</v>
      </c>
      <c r="M35" s="184" t="s">
        <v>84</v>
      </c>
      <c r="N35" s="184" t="s">
        <v>195</v>
      </c>
      <c r="O35" s="184" t="s">
        <v>598</v>
      </c>
      <c r="P35" s="184" t="s">
        <v>63</v>
      </c>
      <c r="Q35" s="184" t="s">
        <v>63</v>
      </c>
      <c r="R35" s="184" t="s">
        <v>598</v>
      </c>
      <c r="S35" s="172">
        <v>42996.326388888891</v>
      </c>
      <c r="T35" s="32" t="s">
        <v>552</v>
      </c>
    </row>
    <row r="36" spans="1:20">
      <c r="A36" s="184" t="s">
        <v>844</v>
      </c>
      <c r="B36" s="184" t="s">
        <v>3763</v>
      </c>
      <c r="C36" s="127">
        <v>42892</v>
      </c>
      <c r="D36" s="184" t="s">
        <v>34</v>
      </c>
      <c r="E36" s="184" t="s">
        <v>598</v>
      </c>
      <c r="F36" s="185">
        <v>1000</v>
      </c>
      <c r="G36" s="184" t="s">
        <v>549</v>
      </c>
      <c r="H36" s="184" t="s">
        <v>598</v>
      </c>
      <c r="I36" s="185">
        <v>0</v>
      </c>
      <c r="J36" s="184" t="s">
        <v>493</v>
      </c>
      <c r="K36" s="127">
        <v>42892</v>
      </c>
      <c r="L36" s="184" t="s">
        <v>598</v>
      </c>
      <c r="M36" s="184" t="s">
        <v>84</v>
      </c>
      <c r="N36" s="184" t="s">
        <v>198</v>
      </c>
      <c r="O36" s="184" t="s">
        <v>598</v>
      </c>
      <c r="P36" s="184" t="s">
        <v>63</v>
      </c>
      <c r="Q36" s="184" t="s">
        <v>86</v>
      </c>
      <c r="R36" s="184" t="s">
        <v>598</v>
      </c>
      <c r="S36" s="172">
        <v>42996.326388888891</v>
      </c>
      <c r="T36" s="32" t="s">
        <v>552</v>
      </c>
    </row>
    <row r="37" spans="1:20">
      <c r="A37" s="184" t="s">
        <v>848</v>
      </c>
      <c r="B37" s="184" t="s">
        <v>3764</v>
      </c>
      <c r="C37" s="127">
        <v>42907</v>
      </c>
      <c r="D37" s="184" t="s">
        <v>34</v>
      </c>
      <c r="E37" s="184" t="s">
        <v>598</v>
      </c>
      <c r="F37" s="185">
        <v>6500</v>
      </c>
      <c r="G37" s="184" t="s">
        <v>493</v>
      </c>
      <c r="H37" s="184" t="s">
        <v>598</v>
      </c>
      <c r="I37" s="185">
        <v>0</v>
      </c>
      <c r="J37" s="184" t="s">
        <v>598</v>
      </c>
      <c r="K37" s="127">
        <v>42893</v>
      </c>
      <c r="L37" s="184" t="s">
        <v>598</v>
      </c>
      <c r="M37" s="184" t="s">
        <v>84</v>
      </c>
      <c r="N37" s="184" t="s">
        <v>200</v>
      </c>
      <c r="O37" s="184" t="s">
        <v>598</v>
      </c>
      <c r="P37" s="184" t="s">
        <v>63</v>
      </c>
      <c r="Q37" s="184" t="s">
        <v>63</v>
      </c>
      <c r="R37" s="184" t="s">
        <v>598</v>
      </c>
      <c r="S37" s="172">
        <v>42996.326388888891</v>
      </c>
      <c r="T37" s="32" t="s">
        <v>552</v>
      </c>
    </row>
    <row r="38" spans="1:20">
      <c r="A38" s="184" t="s">
        <v>850</v>
      </c>
      <c r="B38" s="184" t="s">
        <v>3765</v>
      </c>
      <c r="C38" s="127">
        <v>42902</v>
      </c>
      <c r="D38" s="184" t="s">
        <v>10</v>
      </c>
      <c r="E38" s="184" t="s">
        <v>598</v>
      </c>
      <c r="F38" s="185">
        <v>3000</v>
      </c>
      <c r="G38" s="184" t="s">
        <v>493</v>
      </c>
      <c r="H38" s="184" t="s">
        <v>598</v>
      </c>
      <c r="I38" s="185">
        <v>0</v>
      </c>
      <c r="J38" s="184" t="s">
        <v>598</v>
      </c>
      <c r="K38" s="127">
        <v>42893</v>
      </c>
      <c r="L38" s="184" t="s">
        <v>598</v>
      </c>
      <c r="M38" s="184" t="s">
        <v>84</v>
      </c>
      <c r="N38" s="184" t="s">
        <v>200</v>
      </c>
      <c r="O38" s="184" t="s">
        <v>598</v>
      </c>
      <c r="P38" s="184" t="s">
        <v>63</v>
      </c>
      <c r="Q38" s="184" t="s">
        <v>63</v>
      </c>
      <c r="R38" s="184" t="s">
        <v>598</v>
      </c>
      <c r="S38" s="172">
        <v>42996.326388888891</v>
      </c>
      <c r="T38" s="32" t="s">
        <v>552</v>
      </c>
    </row>
    <row r="39" spans="1:20">
      <c r="A39" s="184" t="s">
        <v>854</v>
      </c>
      <c r="B39" s="184" t="s">
        <v>3766</v>
      </c>
      <c r="C39" s="127">
        <v>42907</v>
      </c>
      <c r="D39" s="184" t="s">
        <v>34</v>
      </c>
      <c r="E39" s="184" t="s">
        <v>598</v>
      </c>
      <c r="F39" s="185">
        <v>4000</v>
      </c>
      <c r="G39" s="184" t="s">
        <v>493</v>
      </c>
      <c r="H39" s="184" t="s">
        <v>598</v>
      </c>
      <c r="I39" s="185">
        <v>0</v>
      </c>
      <c r="J39" s="184" t="s">
        <v>598</v>
      </c>
      <c r="K39" s="127">
        <v>42894</v>
      </c>
      <c r="L39" s="184" t="s">
        <v>598</v>
      </c>
      <c r="M39" s="184" t="s">
        <v>84</v>
      </c>
      <c r="N39" s="184" t="s">
        <v>202</v>
      </c>
      <c r="O39" s="184" t="s">
        <v>598</v>
      </c>
      <c r="P39" s="184" t="s">
        <v>63</v>
      </c>
      <c r="Q39" s="184" t="s">
        <v>63</v>
      </c>
      <c r="R39" s="184" t="s">
        <v>598</v>
      </c>
      <c r="S39" s="172">
        <v>42996.326388888891</v>
      </c>
      <c r="T39" s="32" t="s">
        <v>552</v>
      </c>
    </row>
    <row r="40" spans="1:20">
      <c r="A40" s="184" t="s">
        <v>860</v>
      </c>
      <c r="B40" s="184" t="s">
        <v>3767</v>
      </c>
      <c r="C40" s="127">
        <v>42901</v>
      </c>
      <c r="D40" s="184" t="s">
        <v>34</v>
      </c>
      <c r="E40" s="184" t="s">
        <v>598</v>
      </c>
      <c r="F40" s="185">
        <v>1500</v>
      </c>
      <c r="G40" s="184" t="s">
        <v>493</v>
      </c>
      <c r="H40" s="184" t="s">
        <v>598</v>
      </c>
      <c r="I40" s="185">
        <v>0</v>
      </c>
      <c r="J40" s="184" t="s">
        <v>598</v>
      </c>
      <c r="K40" s="127">
        <v>42894</v>
      </c>
      <c r="L40" s="184" t="s">
        <v>598</v>
      </c>
      <c r="M40" s="184" t="s">
        <v>84</v>
      </c>
      <c r="N40" s="184" t="s">
        <v>204</v>
      </c>
      <c r="O40" s="184" t="s">
        <v>598</v>
      </c>
      <c r="P40" s="184" t="s">
        <v>63</v>
      </c>
      <c r="Q40" s="184" t="s">
        <v>86</v>
      </c>
      <c r="R40" s="184" t="s">
        <v>598</v>
      </c>
      <c r="S40" s="172">
        <v>42996.326388888891</v>
      </c>
      <c r="T40" s="32" t="s">
        <v>552</v>
      </c>
    </row>
    <row r="41" spans="1:20">
      <c r="A41" s="184" t="s">
        <v>862</v>
      </c>
      <c r="B41" s="184" t="s">
        <v>3768</v>
      </c>
      <c r="C41" s="127">
        <v>42898</v>
      </c>
      <c r="D41" s="184" t="s">
        <v>34</v>
      </c>
      <c r="E41" s="184" t="s">
        <v>598</v>
      </c>
      <c r="F41" s="185">
        <v>2000</v>
      </c>
      <c r="G41" s="184" t="s">
        <v>493</v>
      </c>
      <c r="H41" s="184" t="s">
        <v>598</v>
      </c>
      <c r="I41" s="185">
        <v>0</v>
      </c>
      <c r="J41" s="184" t="s">
        <v>598</v>
      </c>
      <c r="K41" s="127">
        <v>42898</v>
      </c>
      <c r="L41" s="184" t="s">
        <v>864</v>
      </c>
      <c r="M41" s="184" t="s">
        <v>84</v>
      </c>
      <c r="N41" s="184" t="s">
        <v>598</v>
      </c>
      <c r="O41" s="184" t="s">
        <v>598</v>
      </c>
      <c r="P41" s="184" t="s">
        <v>63</v>
      </c>
      <c r="Q41" s="184" t="s">
        <v>598</v>
      </c>
      <c r="R41" s="184" t="s">
        <v>598</v>
      </c>
      <c r="S41" s="172">
        <v>42996.326388888891</v>
      </c>
      <c r="T41" s="32" t="s">
        <v>552</v>
      </c>
    </row>
    <row r="42" spans="1:20">
      <c r="A42" s="184" t="s">
        <v>865</v>
      </c>
      <c r="B42" s="184" t="s">
        <v>3769</v>
      </c>
      <c r="C42" s="127">
        <v>42900</v>
      </c>
      <c r="D42" s="184" t="s">
        <v>34</v>
      </c>
      <c r="E42" s="184" t="s">
        <v>598</v>
      </c>
      <c r="F42" s="185">
        <v>1000</v>
      </c>
      <c r="G42" s="184" t="s">
        <v>549</v>
      </c>
      <c r="H42" s="184" t="s">
        <v>598</v>
      </c>
      <c r="I42" s="185">
        <v>0</v>
      </c>
      <c r="J42" s="184" t="s">
        <v>493</v>
      </c>
      <c r="K42" s="127">
        <v>42898</v>
      </c>
      <c r="L42" s="184" t="s">
        <v>134</v>
      </c>
      <c r="M42" s="184" t="s">
        <v>84</v>
      </c>
      <c r="N42" s="184" t="s">
        <v>205</v>
      </c>
      <c r="O42" s="184" t="s">
        <v>598</v>
      </c>
      <c r="P42" s="184" t="s">
        <v>63</v>
      </c>
      <c r="Q42" s="184" t="s">
        <v>598</v>
      </c>
      <c r="R42" s="184" t="s">
        <v>598</v>
      </c>
      <c r="S42" s="172">
        <v>42996.326388888891</v>
      </c>
      <c r="T42" s="32" t="s">
        <v>552</v>
      </c>
    </row>
    <row r="43" spans="1:20">
      <c r="A43" s="184" t="s">
        <v>869</v>
      </c>
      <c r="B43" s="184" t="s">
        <v>3770</v>
      </c>
      <c r="C43" s="127">
        <v>42906</v>
      </c>
      <c r="D43" s="184" t="s">
        <v>34</v>
      </c>
      <c r="E43" s="184" t="s">
        <v>598</v>
      </c>
      <c r="F43" s="185">
        <v>5500</v>
      </c>
      <c r="G43" s="184" t="s">
        <v>493</v>
      </c>
      <c r="H43" s="184" t="s">
        <v>598</v>
      </c>
      <c r="I43" s="185">
        <v>0</v>
      </c>
      <c r="J43" s="184" t="s">
        <v>598</v>
      </c>
      <c r="K43" s="127">
        <v>42898</v>
      </c>
      <c r="L43" s="184" t="s">
        <v>134</v>
      </c>
      <c r="M43" s="184" t="s">
        <v>84</v>
      </c>
      <c r="N43" s="184" t="s">
        <v>174</v>
      </c>
      <c r="O43" s="184" t="s">
        <v>598</v>
      </c>
      <c r="P43" s="184" t="s">
        <v>63</v>
      </c>
      <c r="Q43" s="184" t="s">
        <v>598</v>
      </c>
      <c r="R43" s="184" t="s">
        <v>598</v>
      </c>
      <c r="S43" s="172">
        <v>42996.326388888891</v>
      </c>
      <c r="T43" s="32" t="s">
        <v>552</v>
      </c>
    </row>
    <row r="44" spans="1:20">
      <c r="A44" s="184" t="s">
        <v>874</v>
      </c>
      <c r="B44" s="184" t="s">
        <v>3771</v>
      </c>
      <c r="C44" s="127">
        <v>42900</v>
      </c>
      <c r="D44" s="184" t="s">
        <v>34</v>
      </c>
      <c r="E44" s="184" t="s">
        <v>598</v>
      </c>
      <c r="F44" s="185">
        <v>3000</v>
      </c>
      <c r="G44" s="184" t="s">
        <v>493</v>
      </c>
      <c r="H44" s="184" t="s">
        <v>598</v>
      </c>
      <c r="I44" s="185">
        <v>0</v>
      </c>
      <c r="J44" s="184" t="s">
        <v>598</v>
      </c>
      <c r="K44" s="127">
        <v>42899</v>
      </c>
      <c r="L44" s="184" t="s">
        <v>598</v>
      </c>
      <c r="M44" s="184" t="s">
        <v>84</v>
      </c>
      <c r="N44" s="184" t="s">
        <v>207</v>
      </c>
      <c r="O44" s="184" t="s">
        <v>598</v>
      </c>
      <c r="P44" s="184" t="s">
        <v>63</v>
      </c>
      <c r="Q44" s="184" t="s">
        <v>86</v>
      </c>
      <c r="R44" s="184" t="s">
        <v>598</v>
      </c>
      <c r="S44" s="172">
        <v>42996.326388888891</v>
      </c>
      <c r="T44" s="32" t="s">
        <v>552</v>
      </c>
    </row>
    <row r="45" spans="1:20">
      <c r="A45" s="184" t="s">
        <v>887</v>
      </c>
      <c r="B45" s="184" t="s">
        <v>3772</v>
      </c>
      <c r="C45" s="127">
        <v>42906</v>
      </c>
      <c r="D45" s="184" t="s">
        <v>10</v>
      </c>
      <c r="E45" s="184" t="s">
        <v>598</v>
      </c>
      <c r="F45" s="185">
        <v>3000</v>
      </c>
      <c r="G45" s="184" t="s">
        <v>493</v>
      </c>
      <c r="H45" s="184" t="s">
        <v>598</v>
      </c>
      <c r="I45" s="185">
        <v>0</v>
      </c>
      <c r="J45" s="184" t="s">
        <v>598</v>
      </c>
      <c r="K45" s="127">
        <v>42901</v>
      </c>
      <c r="L45" s="184" t="s">
        <v>134</v>
      </c>
      <c r="M45" s="184" t="s">
        <v>84</v>
      </c>
      <c r="N45" s="184" t="s">
        <v>209</v>
      </c>
      <c r="O45" s="184" t="s">
        <v>598</v>
      </c>
      <c r="P45" s="184" t="s">
        <v>63</v>
      </c>
      <c r="Q45" s="184" t="s">
        <v>63</v>
      </c>
      <c r="R45" s="184" t="s">
        <v>598</v>
      </c>
      <c r="S45" s="172">
        <v>42996.326388888891</v>
      </c>
      <c r="T45" s="32" t="s">
        <v>552</v>
      </c>
    </row>
    <row r="46" spans="1:20">
      <c r="A46" s="184" t="s">
        <v>889</v>
      </c>
      <c r="B46" s="184" t="s">
        <v>3773</v>
      </c>
      <c r="C46" s="127">
        <v>42908</v>
      </c>
      <c r="D46" s="184" t="s">
        <v>10</v>
      </c>
      <c r="E46" s="184" t="s">
        <v>598</v>
      </c>
      <c r="F46" s="185">
        <v>6000</v>
      </c>
      <c r="G46" s="184" t="s">
        <v>493</v>
      </c>
      <c r="H46" s="184" t="s">
        <v>598</v>
      </c>
      <c r="I46" s="185">
        <v>0</v>
      </c>
      <c r="J46" s="184" t="s">
        <v>598</v>
      </c>
      <c r="K46" s="127">
        <v>42901</v>
      </c>
      <c r="L46" s="184" t="s">
        <v>598</v>
      </c>
      <c r="M46" s="184" t="s">
        <v>84</v>
      </c>
      <c r="N46" s="184" t="s">
        <v>209</v>
      </c>
      <c r="O46" s="184" t="s">
        <v>598</v>
      </c>
      <c r="P46" s="184" t="s">
        <v>63</v>
      </c>
      <c r="Q46" s="184" t="s">
        <v>63</v>
      </c>
      <c r="R46" s="184" t="s">
        <v>598</v>
      </c>
      <c r="S46" s="172">
        <v>42996.326388888891</v>
      </c>
      <c r="T46" s="32" t="s">
        <v>552</v>
      </c>
    </row>
    <row r="47" spans="1:20">
      <c r="A47" s="184" t="s">
        <v>891</v>
      </c>
      <c r="B47" s="184" t="s">
        <v>3774</v>
      </c>
      <c r="C47" s="127">
        <v>42905</v>
      </c>
      <c r="D47" s="184" t="s">
        <v>34</v>
      </c>
      <c r="E47" s="184" t="s">
        <v>598</v>
      </c>
      <c r="F47" s="185">
        <v>1000</v>
      </c>
      <c r="G47" s="184" t="s">
        <v>549</v>
      </c>
      <c r="H47" s="184" t="s">
        <v>598</v>
      </c>
      <c r="I47" s="185">
        <v>0</v>
      </c>
      <c r="J47" s="184" t="s">
        <v>493</v>
      </c>
      <c r="K47" s="127">
        <v>42901</v>
      </c>
      <c r="L47" s="184" t="s">
        <v>598</v>
      </c>
      <c r="M47" s="184" t="s">
        <v>84</v>
      </c>
      <c r="N47" s="184" t="s">
        <v>210</v>
      </c>
      <c r="O47" s="184" t="s">
        <v>598</v>
      </c>
      <c r="P47" s="184" t="s">
        <v>63</v>
      </c>
      <c r="Q47" s="184" t="s">
        <v>86</v>
      </c>
      <c r="R47" s="184" t="s">
        <v>598</v>
      </c>
      <c r="S47" s="172">
        <v>42996.326388888891</v>
      </c>
      <c r="T47" s="32" t="s">
        <v>552</v>
      </c>
    </row>
    <row r="48" spans="1:20">
      <c r="A48" s="184" t="s">
        <v>903</v>
      </c>
      <c r="B48" s="184" t="s">
        <v>3775</v>
      </c>
      <c r="C48" s="127">
        <v>42905</v>
      </c>
      <c r="D48" s="184" t="s">
        <v>34</v>
      </c>
      <c r="E48" s="184" t="s">
        <v>598</v>
      </c>
      <c r="F48" s="185">
        <v>1000</v>
      </c>
      <c r="G48" s="184" t="s">
        <v>549</v>
      </c>
      <c r="H48" s="184" t="s">
        <v>598</v>
      </c>
      <c r="I48" s="185">
        <v>0</v>
      </c>
      <c r="J48" s="184" t="s">
        <v>493</v>
      </c>
      <c r="K48" s="127">
        <v>42903</v>
      </c>
      <c r="L48" s="184" t="s">
        <v>598</v>
      </c>
      <c r="M48" s="184" t="s">
        <v>84</v>
      </c>
      <c r="N48" s="184" t="s">
        <v>212</v>
      </c>
      <c r="O48" s="184" t="s">
        <v>598</v>
      </c>
      <c r="P48" s="184" t="s">
        <v>63</v>
      </c>
      <c r="Q48" s="184" t="s">
        <v>86</v>
      </c>
      <c r="R48" s="184" t="s">
        <v>598</v>
      </c>
      <c r="S48" s="172">
        <v>42996.326388888891</v>
      </c>
      <c r="T48" s="32" t="s">
        <v>552</v>
      </c>
    </row>
    <row r="49" spans="1:20">
      <c r="A49" s="184" t="s">
        <v>909</v>
      </c>
      <c r="B49" s="184" t="s">
        <v>3776</v>
      </c>
      <c r="C49" s="127">
        <v>42905</v>
      </c>
      <c r="D49" s="184" t="s">
        <v>34</v>
      </c>
      <c r="E49" s="184" t="s">
        <v>598</v>
      </c>
      <c r="F49" s="185">
        <v>3000</v>
      </c>
      <c r="G49" s="184" t="s">
        <v>493</v>
      </c>
      <c r="H49" s="184" t="s">
        <v>598</v>
      </c>
      <c r="I49" s="185">
        <v>0</v>
      </c>
      <c r="J49" s="184" t="s">
        <v>598</v>
      </c>
      <c r="K49" s="127">
        <v>42903</v>
      </c>
      <c r="L49" s="184" t="s">
        <v>598</v>
      </c>
      <c r="M49" s="184" t="s">
        <v>84</v>
      </c>
      <c r="N49" s="184" t="s">
        <v>215</v>
      </c>
      <c r="O49" s="184" t="s">
        <v>598</v>
      </c>
      <c r="P49" s="184" t="s">
        <v>63</v>
      </c>
      <c r="Q49" s="184" t="s">
        <v>86</v>
      </c>
      <c r="R49" s="184" t="s">
        <v>598</v>
      </c>
      <c r="S49" s="172">
        <v>42996.326388888891</v>
      </c>
      <c r="T49" s="32" t="s">
        <v>552</v>
      </c>
    </row>
    <row r="50" spans="1:20">
      <c r="A50" s="184" t="s">
        <v>919</v>
      </c>
      <c r="B50" s="184" t="s">
        <v>3778</v>
      </c>
      <c r="C50" s="127">
        <v>42906</v>
      </c>
      <c r="D50" s="184" t="s">
        <v>34</v>
      </c>
      <c r="E50" s="184" t="s">
        <v>598</v>
      </c>
      <c r="F50" s="185">
        <v>3500</v>
      </c>
      <c r="G50" s="184" t="s">
        <v>493</v>
      </c>
      <c r="H50" s="184" t="s">
        <v>598</v>
      </c>
      <c r="I50" s="185">
        <v>0</v>
      </c>
      <c r="J50" s="184" t="s">
        <v>598</v>
      </c>
      <c r="K50" s="127">
        <v>42905</v>
      </c>
      <c r="L50" s="184" t="s">
        <v>598</v>
      </c>
      <c r="M50" s="184" t="s">
        <v>84</v>
      </c>
      <c r="N50" s="184" t="s">
        <v>217</v>
      </c>
      <c r="O50" s="184" t="s">
        <v>598</v>
      </c>
      <c r="P50" s="184" t="s">
        <v>63</v>
      </c>
      <c r="Q50" s="184" t="s">
        <v>63</v>
      </c>
      <c r="R50" s="184" t="s">
        <v>598</v>
      </c>
      <c r="S50" s="172">
        <v>42996.326388888891</v>
      </c>
      <c r="T50" s="32" t="s">
        <v>552</v>
      </c>
    </row>
    <row r="51" spans="1:20">
      <c r="A51" s="184" t="s">
        <v>925</v>
      </c>
      <c r="B51" s="184" t="s">
        <v>3779</v>
      </c>
      <c r="C51" s="127">
        <v>42907</v>
      </c>
      <c r="D51" s="184" t="s">
        <v>34</v>
      </c>
      <c r="E51" s="184" t="s">
        <v>598</v>
      </c>
      <c r="F51" s="185">
        <v>1000</v>
      </c>
      <c r="G51" s="184" t="s">
        <v>549</v>
      </c>
      <c r="H51" s="184" t="s">
        <v>598</v>
      </c>
      <c r="I51" s="185">
        <v>0</v>
      </c>
      <c r="J51" s="184" t="s">
        <v>493</v>
      </c>
      <c r="K51" s="127">
        <v>42906</v>
      </c>
      <c r="L51" s="184" t="s">
        <v>598</v>
      </c>
      <c r="M51" s="184" t="s">
        <v>84</v>
      </c>
      <c r="N51" s="184" t="s">
        <v>218</v>
      </c>
      <c r="O51" s="184" t="s">
        <v>598</v>
      </c>
      <c r="P51" s="184" t="s">
        <v>63</v>
      </c>
      <c r="Q51" s="184" t="s">
        <v>598</v>
      </c>
      <c r="R51" s="184" t="s">
        <v>598</v>
      </c>
      <c r="S51" s="172">
        <v>42996.326388888891</v>
      </c>
      <c r="T51" s="32" t="s">
        <v>552</v>
      </c>
    </row>
    <row r="52" spans="1:20">
      <c r="A52" s="184" t="s">
        <v>927</v>
      </c>
      <c r="B52" s="184" t="s">
        <v>3780</v>
      </c>
      <c r="C52" s="127">
        <v>42909</v>
      </c>
      <c r="D52" s="184" t="s">
        <v>10</v>
      </c>
      <c r="E52" s="184" t="s">
        <v>598</v>
      </c>
      <c r="F52" s="185">
        <v>2000</v>
      </c>
      <c r="G52" s="184" t="s">
        <v>493</v>
      </c>
      <c r="H52" s="184" t="s">
        <v>598</v>
      </c>
      <c r="I52" s="185">
        <v>0</v>
      </c>
      <c r="J52" s="184" t="s">
        <v>598</v>
      </c>
      <c r="K52" s="127">
        <v>42906</v>
      </c>
      <c r="L52" s="184" t="s">
        <v>598</v>
      </c>
      <c r="M52" s="184" t="s">
        <v>84</v>
      </c>
      <c r="N52" s="184" t="s">
        <v>598</v>
      </c>
      <c r="O52" s="184" t="s">
        <v>598</v>
      </c>
      <c r="P52" s="184" t="s">
        <v>63</v>
      </c>
      <c r="Q52" s="184" t="s">
        <v>86</v>
      </c>
      <c r="R52" s="184" t="s">
        <v>598</v>
      </c>
      <c r="S52" s="172">
        <v>42996.326388888891</v>
      </c>
      <c r="T52" s="32" t="s">
        <v>552</v>
      </c>
    </row>
    <row r="53" spans="1:20">
      <c r="A53" s="184" t="s">
        <v>931</v>
      </c>
      <c r="B53" s="184" t="s">
        <v>3781</v>
      </c>
      <c r="C53" s="127">
        <v>42907</v>
      </c>
      <c r="D53" s="184" t="s">
        <v>34</v>
      </c>
      <c r="E53" s="184" t="s">
        <v>598</v>
      </c>
      <c r="F53" s="185">
        <v>2500</v>
      </c>
      <c r="G53" s="184" t="s">
        <v>493</v>
      </c>
      <c r="H53" s="184" t="s">
        <v>598</v>
      </c>
      <c r="I53" s="185">
        <v>0</v>
      </c>
      <c r="J53" s="184" t="s">
        <v>598</v>
      </c>
      <c r="K53" s="127">
        <v>42907</v>
      </c>
      <c r="L53" s="184" t="s">
        <v>900</v>
      </c>
      <c r="M53" s="184" t="s">
        <v>84</v>
      </c>
      <c r="N53" s="184" t="s">
        <v>598</v>
      </c>
      <c r="O53" s="184" t="s">
        <v>598</v>
      </c>
      <c r="P53" s="184" t="s">
        <v>63</v>
      </c>
      <c r="Q53" s="184" t="s">
        <v>598</v>
      </c>
      <c r="R53" s="184" t="s">
        <v>598</v>
      </c>
      <c r="S53" s="172">
        <v>42996.326388888891</v>
      </c>
      <c r="T53" s="32" t="s">
        <v>552</v>
      </c>
    </row>
    <row r="54" spans="1:20">
      <c r="A54" s="184" t="s">
        <v>940</v>
      </c>
      <c r="B54" s="184" t="s">
        <v>3782</v>
      </c>
      <c r="C54" s="127">
        <v>42907</v>
      </c>
      <c r="D54" s="184" t="s">
        <v>34</v>
      </c>
      <c r="E54" s="184" t="s">
        <v>598</v>
      </c>
      <c r="F54" s="185">
        <v>1000</v>
      </c>
      <c r="G54" s="184" t="s">
        <v>549</v>
      </c>
      <c r="H54" s="184" t="s">
        <v>598</v>
      </c>
      <c r="I54" s="185">
        <v>0</v>
      </c>
      <c r="J54" s="184" t="s">
        <v>493</v>
      </c>
      <c r="K54" s="127">
        <v>42907</v>
      </c>
      <c r="L54" s="184" t="s">
        <v>120</v>
      </c>
      <c r="M54" s="184" t="s">
        <v>84</v>
      </c>
      <c r="N54" s="184" t="s">
        <v>220</v>
      </c>
      <c r="O54" s="184" t="s">
        <v>598</v>
      </c>
      <c r="P54" s="184" t="s">
        <v>63</v>
      </c>
      <c r="Q54" s="184" t="s">
        <v>86</v>
      </c>
      <c r="R54" s="184" t="s">
        <v>598</v>
      </c>
      <c r="S54" s="172">
        <v>42996.326388888891</v>
      </c>
      <c r="T54" s="32" t="s">
        <v>552</v>
      </c>
    </row>
    <row r="55" spans="1:20">
      <c r="A55" s="184" t="s">
        <v>942</v>
      </c>
      <c r="B55" s="184" t="s">
        <v>3783</v>
      </c>
      <c r="C55" s="127">
        <v>42907</v>
      </c>
      <c r="D55" s="184" t="s">
        <v>34</v>
      </c>
      <c r="E55" s="184" t="s">
        <v>598</v>
      </c>
      <c r="F55" s="185">
        <v>4500</v>
      </c>
      <c r="G55" s="184" t="s">
        <v>493</v>
      </c>
      <c r="H55" s="184" t="s">
        <v>598</v>
      </c>
      <c r="I55" s="185">
        <v>0</v>
      </c>
      <c r="J55" s="184" t="s">
        <v>598</v>
      </c>
      <c r="K55" s="127">
        <v>42907</v>
      </c>
      <c r="L55" s="184" t="s">
        <v>134</v>
      </c>
      <c r="M55" s="184" t="s">
        <v>84</v>
      </c>
      <c r="N55" s="184" t="s">
        <v>944</v>
      </c>
      <c r="O55" s="184" t="s">
        <v>598</v>
      </c>
      <c r="P55" s="184" t="s">
        <v>63</v>
      </c>
      <c r="Q55" s="184" t="s">
        <v>86</v>
      </c>
      <c r="R55" s="184" t="s">
        <v>598</v>
      </c>
      <c r="S55" s="172">
        <v>42996.326388888891</v>
      </c>
      <c r="T55" s="32" t="s">
        <v>552</v>
      </c>
    </row>
    <row r="56" spans="1:20">
      <c r="A56" s="184" t="s">
        <v>945</v>
      </c>
      <c r="B56" s="184" t="s">
        <v>3784</v>
      </c>
      <c r="C56" s="127">
        <v>42908</v>
      </c>
      <c r="D56" s="184" t="s">
        <v>34</v>
      </c>
      <c r="E56" s="184" t="s">
        <v>598</v>
      </c>
      <c r="F56" s="185">
        <v>3000</v>
      </c>
      <c r="G56" s="184" t="s">
        <v>493</v>
      </c>
      <c r="H56" s="184" t="s">
        <v>598</v>
      </c>
      <c r="I56" s="185">
        <v>0</v>
      </c>
      <c r="J56" s="184" t="s">
        <v>598</v>
      </c>
      <c r="K56" s="127">
        <v>42908</v>
      </c>
      <c r="L56" s="184" t="s">
        <v>132</v>
      </c>
      <c r="M56" s="184" t="s">
        <v>84</v>
      </c>
      <c r="N56" s="184" t="s">
        <v>191</v>
      </c>
      <c r="O56" s="184" t="s">
        <v>598</v>
      </c>
      <c r="P56" s="184" t="s">
        <v>63</v>
      </c>
      <c r="Q56" s="184" t="s">
        <v>63</v>
      </c>
      <c r="R56" s="184" t="s">
        <v>598</v>
      </c>
      <c r="S56" s="172">
        <v>42996.326388888891</v>
      </c>
      <c r="T56" s="32" t="s">
        <v>552</v>
      </c>
    </row>
    <row r="57" spans="1:20">
      <c r="A57" s="184" t="s">
        <v>947</v>
      </c>
      <c r="B57" s="184" t="s">
        <v>3785</v>
      </c>
      <c r="C57" s="127">
        <v>42915</v>
      </c>
      <c r="D57" s="184" t="s">
        <v>34</v>
      </c>
      <c r="E57" s="184" t="s">
        <v>598</v>
      </c>
      <c r="F57" s="185">
        <v>3000</v>
      </c>
      <c r="G57" s="184" t="s">
        <v>493</v>
      </c>
      <c r="H57" s="184" t="s">
        <v>598</v>
      </c>
      <c r="I57" s="185">
        <v>0</v>
      </c>
      <c r="J57" s="184" t="s">
        <v>598</v>
      </c>
      <c r="K57" s="127">
        <v>42908</v>
      </c>
      <c r="L57" s="184" t="s">
        <v>134</v>
      </c>
      <c r="M57" s="184" t="s">
        <v>84</v>
      </c>
      <c r="N57" s="184" t="s">
        <v>218</v>
      </c>
      <c r="O57" s="184" t="s">
        <v>598</v>
      </c>
      <c r="P57" s="184" t="s">
        <v>63</v>
      </c>
      <c r="Q57" s="184" t="s">
        <v>86</v>
      </c>
      <c r="R57" s="184" t="s">
        <v>598</v>
      </c>
      <c r="S57" s="172">
        <v>42996.326388888891</v>
      </c>
      <c r="T57" s="32" t="s">
        <v>552</v>
      </c>
    </row>
    <row r="58" spans="1:20">
      <c r="A58" s="184" t="s">
        <v>949</v>
      </c>
      <c r="B58" s="184" t="s">
        <v>3786</v>
      </c>
      <c r="C58" s="127">
        <v>42910</v>
      </c>
      <c r="D58" s="184" t="s">
        <v>34</v>
      </c>
      <c r="E58" s="184" t="s">
        <v>598</v>
      </c>
      <c r="F58" s="185">
        <v>1000</v>
      </c>
      <c r="G58" s="184" t="s">
        <v>549</v>
      </c>
      <c r="H58" s="184" t="s">
        <v>598</v>
      </c>
      <c r="I58" s="185">
        <v>0</v>
      </c>
      <c r="J58" s="184" t="s">
        <v>493</v>
      </c>
      <c r="K58" s="127">
        <v>42908</v>
      </c>
      <c r="L58" s="184" t="s">
        <v>598</v>
      </c>
      <c r="M58" s="184" t="s">
        <v>84</v>
      </c>
      <c r="N58" s="184" t="s">
        <v>195</v>
      </c>
      <c r="O58" s="184" t="s">
        <v>598</v>
      </c>
      <c r="P58" s="184" t="s">
        <v>63</v>
      </c>
      <c r="Q58" s="184" t="s">
        <v>86</v>
      </c>
      <c r="R58" s="184" t="s">
        <v>598</v>
      </c>
      <c r="S58" s="172">
        <v>42996.326388888891</v>
      </c>
      <c r="T58" s="32" t="s">
        <v>552</v>
      </c>
    </row>
    <row r="59" spans="1:20">
      <c r="A59" s="184" t="s">
        <v>952</v>
      </c>
      <c r="B59" s="184" t="s">
        <v>3787</v>
      </c>
      <c r="C59" s="127">
        <v>42910</v>
      </c>
      <c r="D59" s="184" t="s">
        <v>34</v>
      </c>
      <c r="E59" s="184" t="s">
        <v>598</v>
      </c>
      <c r="F59" s="185">
        <v>3000</v>
      </c>
      <c r="G59" s="184" t="s">
        <v>493</v>
      </c>
      <c r="H59" s="184" t="s">
        <v>598</v>
      </c>
      <c r="I59" s="185">
        <v>0</v>
      </c>
      <c r="J59" s="184" t="s">
        <v>598</v>
      </c>
      <c r="K59" s="127">
        <v>42908</v>
      </c>
      <c r="L59" s="184" t="s">
        <v>132</v>
      </c>
      <c r="M59" s="184" t="s">
        <v>84</v>
      </c>
      <c r="N59" s="184" t="s">
        <v>222</v>
      </c>
      <c r="O59" s="184" t="s">
        <v>598</v>
      </c>
      <c r="P59" s="184" t="s">
        <v>63</v>
      </c>
      <c r="Q59" s="184" t="s">
        <v>63</v>
      </c>
      <c r="R59" s="184" t="s">
        <v>598</v>
      </c>
      <c r="S59" s="172">
        <v>42996.326388888891</v>
      </c>
      <c r="T59" s="32" t="s">
        <v>552</v>
      </c>
    </row>
    <row r="60" spans="1:20">
      <c r="A60" s="184" t="s">
        <v>960</v>
      </c>
      <c r="B60" s="184" t="s">
        <v>3788</v>
      </c>
      <c r="C60" s="127">
        <v>42910</v>
      </c>
      <c r="D60" s="184" t="s">
        <v>34</v>
      </c>
      <c r="E60" s="184" t="s">
        <v>598</v>
      </c>
      <c r="F60" s="185">
        <v>3000</v>
      </c>
      <c r="G60" s="184" t="s">
        <v>493</v>
      </c>
      <c r="H60" s="184" t="s">
        <v>598</v>
      </c>
      <c r="I60" s="185">
        <v>0</v>
      </c>
      <c r="J60" s="184" t="s">
        <v>598</v>
      </c>
      <c r="K60" s="127">
        <v>42909</v>
      </c>
      <c r="L60" s="184" t="s">
        <v>134</v>
      </c>
      <c r="M60" s="184" t="s">
        <v>84</v>
      </c>
      <c r="N60" s="184" t="s">
        <v>224</v>
      </c>
      <c r="O60" s="184" t="s">
        <v>598</v>
      </c>
      <c r="P60" s="184" t="s">
        <v>63</v>
      </c>
      <c r="Q60" s="184" t="s">
        <v>86</v>
      </c>
      <c r="R60" s="184" t="s">
        <v>598</v>
      </c>
      <c r="S60" s="172">
        <v>42996.326388888891</v>
      </c>
      <c r="T60" s="32" t="s">
        <v>552</v>
      </c>
    </row>
    <row r="61" spans="1:20">
      <c r="A61" s="184" t="s">
        <v>969</v>
      </c>
      <c r="B61" s="184" t="s">
        <v>3789</v>
      </c>
      <c r="C61" s="127">
        <v>42916</v>
      </c>
      <c r="D61" s="184" t="s">
        <v>10</v>
      </c>
      <c r="E61" s="184" t="s">
        <v>598</v>
      </c>
      <c r="F61" s="185">
        <v>4000</v>
      </c>
      <c r="G61" s="184" t="s">
        <v>493</v>
      </c>
      <c r="H61" s="184" t="s">
        <v>598</v>
      </c>
      <c r="I61" s="185">
        <v>0</v>
      </c>
      <c r="J61" s="184" t="s">
        <v>598</v>
      </c>
      <c r="K61" s="127">
        <v>42912</v>
      </c>
      <c r="L61" s="184" t="s">
        <v>598</v>
      </c>
      <c r="M61" s="184" t="s">
        <v>84</v>
      </c>
      <c r="N61" s="184" t="s">
        <v>195</v>
      </c>
      <c r="O61" s="184" t="s">
        <v>598</v>
      </c>
      <c r="P61" s="184" t="s">
        <v>63</v>
      </c>
      <c r="Q61" s="184" t="s">
        <v>86</v>
      </c>
      <c r="R61" s="184" t="s">
        <v>598</v>
      </c>
      <c r="S61" s="172">
        <v>42996.326388888891</v>
      </c>
      <c r="T61" s="32" t="s">
        <v>552</v>
      </c>
    </row>
    <row r="62" spans="1:20">
      <c r="A62" s="184" t="s">
        <v>976</v>
      </c>
      <c r="B62" s="184" t="s">
        <v>3790</v>
      </c>
      <c r="C62" s="127">
        <v>42915</v>
      </c>
      <c r="D62" s="184" t="s">
        <v>34</v>
      </c>
      <c r="E62" s="184" t="s">
        <v>598</v>
      </c>
      <c r="F62" s="185">
        <v>3000</v>
      </c>
      <c r="G62" s="184" t="s">
        <v>493</v>
      </c>
      <c r="H62" s="184" t="s">
        <v>598</v>
      </c>
      <c r="I62" s="185">
        <v>0</v>
      </c>
      <c r="J62" s="184" t="s">
        <v>598</v>
      </c>
      <c r="K62" s="127">
        <v>42914</v>
      </c>
      <c r="L62" s="184" t="s">
        <v>134</v>
      </c>
      <c r="M62" s="184" t="s">
        <v>84</v>
      </c>
      <c r="N62" s="184" t="s">
        <v>228</v>
      </c>
      <c r="O62" s="184" t="s">
        <v>598</v>
      </c>
      <c r="P62" s="184" t="s">
        <v>63</v>
      </c>
      <c r="Q62" s="184" t="s">
        <v>598</v>
      </c>
      <c r="R62" s="184" t="s">
        <v>598</v>
      </c>
      <c r="S62" s="172">
        <v>42996.326388888891</v>
      </c>
      <c r="T62" s="32" t="s">
        <v>552</v>
      </c>
    </row>
    <row r="63" spans="1:20">
      <c r="A63" s="184" t="s">
        <v>982</v>
      </c>
      <c r="B63" s="184" t="s">
        <v>3791</v>
      </c>
      <c r="C63" s="127">
        <v>42916</v>
      </c>
      <c r="D63" s="184" t="s">
        <v>34</v>
      </c>
      <c r="E63" s="184" t="s">
        <v>598</v>
      </c>
      <c r="F63" s="185">
        <v>3000</v>
      </c>
      <c r="G63" s="184" t="s">
        <v>493</v>
      </c>
      <c r="H63" s="184" t="s">
        <v>598</v>
      </c>
      <c r="I63" s="185">
        <v>0</v>
      </c>
      <c r="J63" s="184" t="s">
        <v>598</v>
      </c>
      <c r="K63" s="127">
        <v>42915</v>
      </c>
      <c r="L63" s="184" t="s">
        <v>598</v>
      </c>
      <c r="M63" s="184" t="s">
        <v>84</v>
      </c>
      <c r="N63" s="184" t="s">
        <v>196</v>
      </c>
      <c r="O63" s="184" t="s">
        <v>598</v>
      </c>
      <c r="P63" s="184" t="s">
        <v>63</v>
      </c>
      <c r="Q63" s="184" t="s">
        <v>598</v>
      </c>
      <c r="R63" s="184" t="s">
        <v>598</v>
      </c>
      <c r="S63" s="172">
        <v>42996.326388888891</v>
      </c>
      <c r="T63" s="32" t="s">
        <v>552</v>
      </c>
    </row>
    <row r="64" spans="1:20">
      <c r="A64" s="184" t="s">
        <v>988</v>
      </c>
      <c r="B64" s="184" t="s">
        <v>3792</v>
      </c>
      <c r="C64" s="127">
        <v>42916</v>
      </c>
      <c r="D64" s="184" t="s">
        <v>34</v>
      </c>
      <c r="E64" s="184" t="s">
        <v>598</v>
      </c>
      <c r="F64" s="185">
        <v>1000</v>
      </c>
      <c r="G64" s="184" t="s">
        <v>549</v>
      </c>
      <c r="H64" s="184" t="s">
        <v>598</v>
      </c>
      <c r="I64" s="185">
        <v>0</v>
      </c>
      <c r="J64" s="184" t="s">
        <v>598</v>
      </c>
      <c r="K64" s="127">
        <v>42916</v>
      </c>
      <c r="L64" s="184" t="s">
        <v>134</v>
      </c>
      <c r="M64" s="184" t="s">
        <v>84</v>
      </c>
      <c r="N64" s="184" t="s">
        <v>230</v>
      </c>
      <c r="O64" s="184" t="s">
        <v>598</v>
      </c>
      <c r="P64" s="184" t="s">
        <v>63</v>
      </c>
      <c r="Q64" s="184" t="s">
        <v>63</v>
      </c>
      <c r="R64" s="184" t="s">
        <v>598</v>
      </c>
      <c r="S64" s="172">
        <v>42996.326388888891</v>
      </c>
      <c r="T64" s="32" t="s">
        <v>552</v>
      </c>
    </row>
    <row r="65" spans="1:20">
      <c r="A65" s="184" t="s">
        <v>989</v>
      </c>
      <c r="B65" s="184" t="s">
        <v>3793</v>
      </c>
      <c r="C65" s="127">
        <v>42916</v>
      </c>
      <c r="D65" s="184" t="s">
        <v>34</v>
      </c>
      <c r="E65" s="184" t="s">
        <v>598</v>
      </c>
      <c r="F65" s="185">
        <v>4000</v>
      </c>
      <c r="G65" s="184" t="s">
        <v>493</v>
      </c>
      <c r="H65" s="184" t="s">
        <v>598</v>
      </c>
      <c r="I65" s="185">
        <v>0</v>
      </c>
      <c r="J65" s="184" t="s">
        <v>598</v>
      </c>
      <c r="K65" s="127">
        <v>42916</v>
      </c>
      <c r="L65" s="184" t="s">
        <v>134</v>
      </c>
      <c r="M65" s="184" t="s">
        <v>84</v>
      </c>
      <c r="N65" s="184" t="s">
        <v>230</v>
      </c>
      <c r="O65" s="184" t="s">
        <v>598</v>
      </c>
      <c r="P65" s="184" t="s">
        <v>63</v>
      </c>
      <c r="Q65" s="184" t="s">
        <v>598</v>
      </c>
      <c r="R65" s="184" t="s">
        <v>598</v>
      </c>
      <c r="S65" s="172">
        <v>42996.326388888891</v>
      </c>
      <c r="T65" s="32" t="s">
        <v>552</v>
      </c>
    </row>
    <row r="66" spans="1:20">
      <c r="A66" s="184" t="s">
        <v>991</v>
      </c>
      <c r="B66" s="184" t="s">
        <v>3794</v>
      </c>
      <c r="C66" s="127">
        <v>42889</v>
      </c>
      <c r="D66" s="184" t="s">
        <v>10</v>
      </c>
      <c r="E66" s="184" t="s">
        <v>598</v>
      </c>
      <c r="F66" s="185">
        <v>3000</v>
      </c>
      <c r="G66" s="184" t="s">
        <v>493</v>
      </c>
      <c r="H66" s="184" t="s">
        <v>598</v>
      </c>
      <c r="I66" s="185">
        <v>0</v>
      </c>
      <c r="J66" s="184" t="s">
        <v>598</v>
      </c>
      <c r="K66" s="127">
        <v>42887</v>
      </c>
      <c r="L66" s="184" t="s">
        <v>132</v>
      </c>
      <c r="M66" s="184" t="s">
        <v>102</v>
      </c>
      <c r="N66" s="184" t="s">
        <v>169</v>
      </c>
      <c r="O66" s="184" t="s">
        <v>598</v>
      </c>
      <c r="P66" s="184" t="s">
        <v>63</v>
      </c>
      <c r="Q66" s="184" t="s">
        <v>63</v>
      </c>
      <c r="R66" s="184" t="s">
        <v>598</v>
      </c>
      <c r="S66" s="172">
        <v>42996.326388888891</v>
      </c>
      <c r="T66" s="32" t="s">
        <v>552</v>
      </c>
    </row>
    <row r="67" spans="1:20">
      <c r="A67" s="184" t="s">
        <v>993</v>
      </c>
      <c r="B67" s="184" t="s">
        <v>3795</v>
      </c>
      <c r="C67" s="127">
        <v>42887</v>
      </c>
      <c r="D67" s="184" t="s">
        <v>34</v>
      </c>
      <c r="E67" s="184" t="s">
        <v>598</v>
      </c>
      <c r="F67" s="185">
        <v>1500</v>
      </c>
      <c r="G67" s="184" t="s">
        <v>493</v>
      </c>
      <c r="H67" s="184" t="s">
        <v>598</v>
      </c>
      <c r="I67" s="185">
        <v>0</v>
      </c>
      <c r="J67" s="184" t="s">
        <v>598</v>
      </c>
      <c r="K67" s="127">
        <v>42887</v>
      </c>
      <c r="L67" s="184" t="s">
        <v>126</v>
      </c>
      <c r="M67" s="184" t="s">
        <v>102</v>
      </c>
      <c r="N67" s="184" t="s">
        <v>598</v>
      </c>
      <c r="O67" s="184" t="s">
        <v>598</v>
      </c>
      <c r="P67" s="184" t="s">
        <v>63</v>
      </c>
      <c r="Q67" s="184" t="s">
        <v>86</v>
      </c>
      <c r="R67" s="184" t="s">
        <v>598</v>
      </c>
      <c r="S67" s="172">
        <v>42996.326388888891</v>
      </c>
      <c r="T67" s="32" t="s">
        <v>552</v>
      </c>
    </row>
    <row r="68" spans="1:20">
      <c r="A68" s="184" t="s">
        <v>995</v>
      </c>
      <c r="B68" s="184" t="s">
        <v>3796</v>
      </c>
      <c r="C68" s="127">
        <v>42887</v>
      </c>
      <c r="D68" s="184" t="s">
        <v>34</v>
      </c>
      <c r="E68" s="184" t="s">
        <v>598</v>
      </c>
      <c r="F68" s="185">
        <v>1000</v>
      </c>
      <c r="G68" s="184" t="s">
        <v>493</v>
      </c>
      <c r="H68" s="184" t="s">
        <v>598</v>
      </c>
      <c r="I68" s="185">
        <v>0</v>
      </c>
      <c r="J68" s="184" t="s">
        <v>598</v>
      </c>
      <c r="K68" s="127">
        <v>42887</v>
      </c>
      <c r="L68" s="184" t="s">
        <v>126</v>
      </c>
      <c r="M68" s="184" t="s">
        <v>102</v>
      </c>
      <c r="N68" s="184" t="s">
        <v>216</v>
      </c>
      <c r="O68" s="184" t="s">
        <v>598</v>
      </c>
      <c r="P68" s="184" t="s">
        <v>63</v>
      </c>
      <c r="Q68" s="184" t="s">
        <v>86</v>
      </c>
      <c r="R68" s="184" t="s">
        <v>598</v>
      </c>
      <c r="S68" s="172">
        <v>42996.326388888891</v>
      </c>
      <c r="T68" s="32" t="s">
        <v>552</v>
      </c>
    </row>
    <row r="69" spans="1:20">
      <c r="A69" s="184" t="s">
        <v>997</v>
      </c>
      <c r="B69" s="184" t="s">
        <v>3797</v>
      </c>
      <c r="C69" s="127">
        <v>42889</v>
      </c>
      <c r="D69" s="184" t="s">
        <v>34</v>
      </c>
      <c r="E69" s="184" t="s">
        <v>598</v>
      </c>
      <c r="F69" s="185">
        <v>4000</v>
      </c>
      <c r="G69" s="184" t="s">
        <v>493</v>
      </c>
      <c r="H69" s="184" t="s">
        <v>598</v>
      </c>
      <c r="I69" s="185">
        <v>0</v>
      </c>
      <c r="J69" s="184" t="s">
        <v>598</v>
      </c>
      <c r="K69" s="127">
        <v>42887</v>
      </c>
      <c r="L69" s="184" t="s">
        <v>135</v>
      </c>
      <c r="M69" s="184" t="s">
        <v>102</v>
      </c>
      <c r="N69" s="184" t="s">
        <v>231</v>
      </c>
      <c r="O69" s="184" t="s">
        <v>598</v>
      </c>
      <c r="P69" s="184" t="s">
        <v>63</v>
      </c>
      <c r="Q69" s="184" t="s">
        <v>86</v>
      </c>
      <c r="R69" s="184" t="s">
        <v>598</v>
      </c>
      <c r="S69" s="172">
        <v>42996.326388888891</v>
      </c>
      <c r="T69" s="32" t="s">
        <v>552</v>
      </c>
    </row>
    <row r="70" spans="1:20">
      <c r="A70" s="184" t="s">
        <v>1002</v>
      </c>
      <c r="B70" s="184" t="s">
        <v>3798</v>
      </c>
      <c r="C70" s="127">
        <v>42895</v>
      </c>
      <c r="D70" s="184" t="s">
        <v>10</v>
      </c>
      <c r="E70" s="184" t="s">
        <v>598</v>
      </c>
      <c r="F70" s="185">
        <v>2500</v>
      </c>
      <c r="G70" s="184" t="s">
        <v>493</v>
      </c>
      <c r="H70" s="184" t="s">
        <v>598</v>
      </c>
      <c r="I70" s="185">
        <v>0</v>
      </c>
      <c r="J70" s="184" t="s">
        <v>598</v>
      </c>
      <c r="K70" s="127">
        <v>42889</v>
      </c>
      <c r="L70" s="184" t="s">
        <v>598</v>
      </c>
      <c r="M70" s="184" t="s">
        <v>102</v>
      </c>
      <c r="N70" s="184" t="s">
        <v>217</v>
      </c>
      <c r="O70" s="184" t="s">
        <v>598</v>
      </c>
      <c r="P70" s="184" t="s">
        <v>63</v>
      </c>
      <c r="Q70" s="184" t="s">
        <v>86</v>
      </c>
      <c r="R70" s="184" t="s">
        <v>598</v>
      </c>
      <c r="S70" s="172">
        <v>42996.326388888891</v>
      </c>
      <c r="T70" s="32" t="s">
        <v>552</v>
      </c>
    </row>
    <row r="71" spans="1:20">
      <c r="A71" s="184" t="s">
        <v>1004</v>
      </c>
      <c r="B71" s="184" t="s">
        <v>3799</v>
      </c>
      <c r="C71" s="127">
        <v>42895</v>
      </c>
      <c r="D71" s="184" t="s">
        <v>10</v>
      </c>
      <c r="E71" s="184" t="s">
        <v>598</v>
      </c>
      <c r="F71" s="185">
        <v>2500</v>
      </c>
      <c r="G71" s="184" t="s">
        <v>493</v>
      </c>
      <c r="H71" s="184" t="s">
        <v>598</v>
      </c>
      <c r="I71" s="185">
        <v>0</v>
      </c>
      <c r="J71" s="184" t="s">
        <v>598</v>
      </c>
      <c r="K71" s="127">
        <v>42889</v>
      </c>
      <c r="L71" s="184" t="s">
        <v>598</v>
      </c>
      <c r="M71" s="184" t="s">
        <v>102</v>
      </c>
      <c r="N71" s="184" t="s">
        <v>217</v>
      </c>
      <c r="O71" s="184" t="s">
        <v>598</v>
      </c>
      <c r="P71" s="184" t="s">
        <v>63</v>
      </c>
      <c r="Q71" s="184" t="s">
        <v>86</v>
      </c>
      <c r="R71" s="184" t="s">
        <v>598</v>
      </c>
      <c r="S71" s="172">
        <v>42996.326388888891</v>
      </c>
      <c r="T71" s="32" t="s">
        <v>552</v>
      </c>
    </row>
    <row r="72" spans="1:20">
      <c r="A72" s="184" t="s">
        <v>1006</v>
      </c>
      <c r="B72" s="184" t="s">
        <v>3800</v>
      </c>
      <c r="C72" s="127">
        <v>42895</v>
      </c>
      <c r="D72" s="184" t="s">
        <v>10</v>
      </c>
      <c r="E72" s="184" t="s">
        <v>598</v>
      </c>
      <c r="F72" s="185">
        <v>2500</v>
      </c>
      <c r="G72" s="184" t="s">
        <v>493</v>
      </c>
      <c r="H72" s="184" t="s">
        <v>598</v>
      </c>
      <c r="I72" s="185">
        <v>0</v>
      </c>
      <c r="J72" s="184" t="s">
        <v>598</v>
      </c>
      <c r="K72" s="127">
        <v>42889</v>
      </c>
      <c r="L72" s="184" t="s">
        <v>598</v>
      </c>
      <c r="M72" s="184" t="s">
        <v>102</v>
      </c>
      <c r="N72" s="184" t="s">
        <v>217</v>
      </c>
      <c r="O72" s="184" t="s">
        <v>598</v>
      </c>
      <c r="P72" s="184" t="s">
        <v>63</v>
      </c>
      <c r="Q72" s="184" t="s">
        <v>86</v>
      </c>
      <c r="R72" s="184" t="s">
        <v>598</v>
      </c>
      <c r="S72" s="172">
        <v>42996.326388888891</v>
      </c>
      <c r="T72" s="32" t="s">
        <v>552</v>
      </c>
    </row>
    <row r="73" spans="1:20">
      <c r="A73" s="184" t="s">
        <v>1008</v>
      </c>
      <c r="B73" s="184" t="s">
        <v>3801</v>
      </c>
      <c r="C73" s="127">
        <v>42895</v>
      </c>
      <c r="D73" s="184" t="s">
        <v>10</v>
      </c>
      <c r="E73" s="184" t="s">
        <v>598</v>
      </c>
      <c r="F73" s="185">
        <v>2500</v>
      </c>
      <c r="G73" s="184" t="s">
        <v>493</v>
      </c>
      <c r="H73" s="184" t="s">
        <v>598</v>
      </c>
      <c r="I73" s="185">
        <v>0</v>
      </c>
      <c r="J73" s="184" t="s">
        <v>598</v>
      </c>
      <c r="K73" s="127">
        <v>42889</v>
      </c>
      <c r="L73" s="184" t="s">
        <v>598</v>
      </c>
      <c r="M73" s="184" t="s">
        <v>102</v>
      </c>
      <c r="N73" s="184" t="s">
        <v>217</v>
      </c>
      <c r="O73" s="184" t="s">
        <v>598</v>
      </c>
      <c r="P73" s="184" t="s">
        <v>63</v>
      </c>
      <c r="Q73" s="184" t="s">
        <v>86</v>
      </c>
      <c r="R73" s="184" t="s">
        <v>598</v>
      </c>
      <c r="S73" s="172">
        <v>42996.326388888891</v>
      </c>
      <c r="T73" s="32" t="s">
        <v>552</v>
      </c>
    </row>
    <row r="74" spans="1:20">
      <c r="A74" s="184" t="s">
        <v>1010</v>
      </c>
      <c r="B74" s="184" t="s">
        <v>3802</v>
      </c>
      <c r="C74" s="127">
        <v>42895</v>
      </c>
      <c r="D74" s="184" t="s">
        <v>10</v>
      </c>
      <c r="E74" s="184" t="s">
        <v>598</v>
      </c>
      <c r="F74" s="185">
        <v>2500</v>
      </c>
      <c r="G74" s="184" t="s">
        <v>493</v>
      </c>
      <c r="H74" s="184" t="s">
        <v>598</v>
      </c>
      <c r="I74" s="185">
        <v>0</v>
      </c>
      <c r="J74" s="184" t="s">
        <v>598</v>
      </c>
      <c r="K74" s="127">
        <v>42889</v>
      </c>
      <c r="L74" s="184" t="s">
        <v>598</v>
      </c>
      <c r="M74" s="184" t="s">
        <v>102</v>
      </c>
      <c r="N74" s="184" t="s">
        <v>217</v>
      </c>
      <c r="O74" s="184" t="s">
        <v>598</v>
      </c>
      <c r="P74" s="184" t="s">
        <v>63</v>
      </c>
      <c r="Q74" s="184" t="s">
        <v>86</v>
      </c>
      <c r="R74" s="184" t="s">
        <v>598</v>
      </c>
      <c r="S74" s="172">
        <v>42996.326388888891</v>
      </c>
      <c r="T74" s="32" t="s">
        <v>552</v>
      </c>
    </row>
    <row r="75" spans="1:20">
      <c r="A75" s="184" t="s">
        <v>1012</v>
      </c>
      <c r="B75" s="184" t="s">
        <v>3803</v>
      </c>
      <c r="C75" s="127">
        <v>42892</v>
      </c>
      <c r="D75" s="184" t="s">
        <v>34</v>
      </c>
      <c r="E75" s="184" t="s">
        <v>598</v>
      </c>
      <c r="F75" s="185">
        <v>3000</v>
      </c>
      <c r="G75" s="184" t="s">
        <v>493</v>
      </c>
      <c r="H75" s="184" t="s">
        <v>598</v>
      </c>
      <c r="I75" s="185">
        <v>0</v>
      </c>
      <c r="J75" s="184" t="s">
        <v>598</v>
      </c>
      <c r="K75" s="127">
        <v>42889</v>
      </c>
      <c r="L75" s="184" t="s">
        <v>598</v>
      </c>
      <c r="M75" s="184" t="s">
        <v>102</v>
      </c>
      <c r="N75" s="184" t="s">
        <v>233</v>
      </c>
      <c r="O75" s="184" t="s">
        <v>598</v>
      </c>
      <c r="P75" s="184" t="s">
        <v>63</v>
      </c>
      <c r="Q75" s="184" t="s">
        <v>63</v>
      </c>
      <c r="R75" s="184" t="s">
        <v>598</v>
      </c>
      <c r="S75" s="172">
        <v>42996.326388888891</v>
      </c>
      <c r="T75" s="32" t="s">
        <v>552</v>
      </c>
    </row>
    <row r="76" spans="1:20">
      <c r="A76" s="184" t="s">
        <v>1016</v>
      </c>
      <c r="B76" s="184" t="s">
        <v>3804</v>
      </c>
      <c r="C76" s="127">
        <v>42891</v>
      </c>
      <c r="D76" s="184" t="s">
        <v>10</v>
      </c>
      <c r="E76" s="184" t="s">
        <v>598</v>
      </c>
      <c r="F76" s="185">
        <v>4000</v>
      </c>
      <c r="G76" s="184" t="s">
        <v>493</v>
      </c>
      <c r="H76" s="184" t="s">
        <v>598</v>
      </c>
      <c r="I76" s="185">
        <v>0</v>
      </c>
      <c r="J76" s="184" t="s">
        <v>598</v>
      </c>
      <c r="K76" s="127">
        <v>42889</v>
      </c>
      <c r="L76" s="184" t="s">
        <v>598</v>
      </c>
      <c r="M76" s="184" t="s">
        <v>102</v>
      </c>
      <c r="N76" s="184" t="s">
        <v>234</v>
      </c>
      <c r="O76" s="184" t="s">
        <v>598</v>
      </c>
      <c r="P76" s="184" t="s">
        <v>63</v>
      </c>
      <c r="Q76" s="184" t="s">
        <v>63</v>
      </c>
      <c r="R76" s="184" t="s">
        <v>598</v>
      </c>
      <c r="S76" s="172">
        <v>42996.326388888891</v>
      </c>
      <c r="T76" s="32" t="s">
        <v>552</v>
      </c>
    </row>
    <row r="77" spans="1:20">
      <c r="A77" s="184" t="s">
        <v>1018</v>
      </c>
      <c r="B77" s="184" t="s">
        <v>3805</v>
      </c>
      <c r="C77" s="127">
        <v>42892</v>
      </c>
      <c r="D77" s="184" t="s">
        <v>34</v>
      </c>
      <c r="E77" s="184" t="s">
        <v>598</v>
      </c>
      <c r="F77" s="185">
        <v>1000</v>
      </c>
      <c r="G77" s="184" t="s">
        <v>572</v>
      </c>
      <c r="H77" s="184" t="s">
        <v>598</v>
      </c>
      <c r="I77" s="185">
        <v>0</v>
      </c>
      <c r="J77" s="184" t="s">
        <v>54</v>
      </c>
      <c r="K77" s="127">
        <v>42891</v>
      </c>
      <c r="L77" s="184" t="s">
        <v>598</v>
      </c>
      <c r="M77" s="184" t="s">
        <v>102</v>
      </c>
      <c r="N77" s="184" t="s">
        <v>234</v>
      </c>
      <c r="O77" s="184" t="s">
        <v>598</v>
      </c>
      <c r="P77" s="184" t="s">
        <v>63</v>
      </c>
      <c r="Q77" s="184" t="s">
        <v>63</v>
      </c>
      <c r="R77" s="184" t="s">
        <v>598</v>
      </c>
      <c r="S77" s="172">
        <v>42996.326388888891</v>
      </c>
      <c r="T77" s="32" t="s">
        <v>552</v>
      </c>
    </row>
    <row r="78" spans="1:20">
      <c r="A78" s="184" t="s">
        <v>1020</v>
      </c>
      <c r="B78" s="184" t="s">
        <v>3806</v>
      </c>
      <c r="C78" s="127">
        <v>42893</v>
      </c>
      <c r="D78" s="184" t="s">
        <v>34</v>
      </c>
      <c r="E78" s="184" t="s">
        <v>598</v>
      </c>
      <c r="F78" s="185">
        <v>1000</v>
      </c>
      <c r="G78" s="184" t="s">
        <v>493</v>
      </c>
      <c r="H78" s="184" t="s">
        <v>598</v>
      </c>
      <c r="I78" s="185">
        <v>0</v>
      </c>
      <c r="J78" s="184" t="s">
        <v>598</v>
      </c>
      <c r="K78" s="127">
        <v>42892</v>
      </c>
      <c r="L78" s="184" t="s">
        <v>598</v>
      </c>
      <c r="M78" s="184" t="s">
        <v>102</v>
      </c>
      <c r="N78" s="184" t="s">
        <v>233</v>
      </c>
      <c r="O78" s="184" t="s">
        <v>598</v>
      </c>
      <c r="P78" s="184" t="s">
        <v>63</v>
      </c>
      <c r="Q78" s="184" t="s">
        <v>86</v>
      </c>
      <c r="R78" s="184" t="s">
        <v>598</v>
      </c>
      <c r="S78" s="172">
        <v>42996.326388888891</v>
      </c>
      <c r="T78" s="32" t="s">
        <v>552</v>
      </c>
    </row>
    <row r="79" spans="1:20">
      <c r="A79" s="184" t="s">
        <v>1022</v>
      </c>
      <c r="B79" s="184" t="s">
        <v>3807</v>
      </c>
      <c r="C79" s="127">
        <v>42893</v>
      </c>
      <c r="D79" s="184" t="s">
        <v>34</v>
      </c>
      <c r="E79" s="184" t="s">
        <v>598</v>
      </c>
      <c r="F79" s="185">
        <v>1000</v>
      </c>
      <c r="G79" s="184" t="s">
        <v>493</v>
      </c>
      <c r="H79" s="184" t="s">
        <v>598</v>
      </c>
      <c r="I79" s="185">
        <v>0</v>
      </c>
      <c r="J79" s="184" t="s">
        <v>598</v>
      </c>
      <c r="K79" s="127">
        <v>42893</v>
      </c>
      <c r="L79" s="184" t="s">
        <v>134</v>
      </c>
      <c r="M79" s="184" t="s">
        <v>102</v>
      </c>
      <c r="N79" s="184" t="s">
        <v>235</v>
      </c>
      <c r="O79" s="184" t="s">
        <v>598</v>
      </c>
      <c r="P79" s="184" t="s">
        <v>63</v>
      </c>
      <c r="Q79" s="184" t="s">
        <v>86</v>
      </c>
      <c r="R79" s="184" t="s">
        <v>598</v>
      </c>
      <c r="S79" s="172">
        <v>42996.326388888891</v>
      </c>
      <c r="T79" s="32" t="s">
        <v>552</v>
      </c>
    </row>
    <row r="80" spans="1:20">
      <c r="A80" s="184" t="s">
        <v>1024</v>
      </c>
      <c r="B80" s="184" t="s">
        <v>3808</v>
      </c>
      <c r="C80" s="127">
        <v>42895</v>
      </c>
      <c r="D80" s="184" t="s">
        <v>34</v>
      </c>
      <c r="E80" s="184" t="s">
        <v>598</v>
      </c>
      <c r="F80" s="185">
        <v>5000</v>
      </c>
      <c r="G80" s="184" t="s">
        <v>493</v>
      </c>
      <c r="H80" s="184" t="s">
        <v>598</v>
      </c>
      <c r="I80" s="185">
        <v>0</v>
      </c>
      <c r="J80" s="184" t="s">
        <v>598</v>
      </c>
      <c r="K80" s="127">
        <v>42893</v>
      </c>
      <c r="L80" s="184" t="s">
        <v>134</v>
      </c>
      <c r="M80" s="184" t="s">
        <v>102</v>
      </c>
      <c r="N80" s="184" t="s">
        <v>235</v>
      </c>
      <c r="O80" s="184" t="s">
        <v>598</v>
      </c>
      <c r="P80" s="184" t="s">
        <v>63</v>
      </c>
      <c r="Q80" s="184" t="s">
        <v>86</v>
      </c>
      <c r="R80" s="184" t="s">
        <v>598</v>
      </c>
      <c r="S80" s="172">
        <v>42996.326388888891</v>
      </c>
      <c r="T80" s="32" t="s">
        <v>552</v>
      </c>
    </row>
    <row r="81" spans="1:20">
      <c r="A81" s="184" t="s">
        <v>1026</v>
      </c>
      <c r="B81" s="184" t="s">
        <v>3809</v>
      </c>
      <c r="C81" s="127">
        <v>42893</v>
      </c>
      <c r="D81" s="184" t="s">
        <v>34</v>
      </c>
      <c r="E81" s="184" t="s">
        <v>598</v>
      </c>
      <c r="F81" s="185">
        <v>1000</v>
      </c>
      <c r="G81" s="184" t="s">
        <v>493</v>
      </c>
      <c r="H81" s="184" t="s">
        <v>598</v>
      </c>
      <c r="I81" s="185">
        <v>0</v>
      </c>
      <c r="J81" s="184" t="s">
        <v>598</v>
      </c>
      <c r="K81" s="127">
        <v>42893</v>
      </c>
      <c r="L81" s="184" t="s">
        <v>598</v>
      </c>
      <c r="M81" s="184" t="s">
        <v>102</v>
      </c>
      <c r="N81" s="184" t="s">
        <v>235</v>
      </c>
      <c r="O81" s="184" t="s">
        <v>598</v>
      </c>
      <c r="P81" s="184" t="s">
        <v>63</v>
      </c>
      <c r="Q81" s="184" t="s">
        <v>598</v>
      </c>
      <c r="R81" s="184" t="s">
        <v>598</v>
      </c>
      <c r="S81" s="172">
        <v>42996.326388888891</v>
      </c>
      <c r="T81" s="32" t="s">
        <v>552</v>
      </c>
    </row>
    <row r="82" spans="1:20">
      <c r="A82" s="184" t="s">
        <v>1028</v>
      </c>
      <c r="B82" s="184" t="s">
        <v>3810</v>
      </c>
      <c r="C82" s="127">
        <v>42907</v>
      </c>
      <c r="D82" s="184" t="s">
        <v>10</v>
      </c>
      <c r="E82" s="184" t="s">
        <v>598</v>
      </c>
      <c r="F82" s="185">
        <v>7500</v>
      </c>
      <c r="G82" s="184" t="s">
        <v>493</v>
      </c>
      <c r="H82" s="184" t="s">
        <v>598</v>
      </c>
      <c r="I82" s="185">
        <v>0</v>
      </c>
      <c r="J82" s="184" t="s">
        <v>598</v>
      </c>
      <c r="K82" s="127">
        <v>42894</v>
      </c>
      <c r="L82" s="184" t="s">
        <v>598</v>
      </c>
      <c r="M82" s="184" t="s">
        <v>102</v>
      </c>
      <c r="N82" s="184" t="s">
        <v>236</v>
      </c>
      <c r="O82" s="184" t="s">
        <v>598</v>
      </c>
      <c r="P82" s="184" t="s">
        <v>63</v>
      </c>
      <c r="Q82" s="184" t="s">
        <v>63</v>
      </c>
      <c r="R82" s="184" t="s">
        <v>598</v>
      </c>
      <c r="S82" s="172">
        <v>42996.326388888891</v>
      </c>
      <c r="T82" s="32" t="s">
        <v>552</v>
      </c>
    </row>
    <row r="83" spans="1:20">
      <c r="A83" s="184" t="s">
        <v>1030</v>
      </c>
      <c r="B83" s="184" t="s">
        <v>3811</v>
      </c>
      <c r="C83" s="127">
        <v>42903</v>
      </c>
      <c r="D83" s="184" t="s">
        <v>34</v>
      </c>
      <c r="E83" s="184" t="s">
        <v>598</v>
      </c>
      <c r="F83" s="185">
        <v>6000</v>
      </c>
      <c r="G83" s="184" t="s">
        <v>493</v>
      </c>
      <c r="H83" s="184" t="s">
        <v>598</v>
      </c>
      <c r="I83" s="185">
        <v>0</v>
      </c>
      <c r="J83" s="184" t="s">
        <v>598</v>
      </c>
      <c r="K83" s="127">
        <v>42894</v>
      </c>
      <c r="L83" s="184" t="s">
        <v>598</v>
      </c>
      <c r="M83" s="184" t="s">
        <v>102</v>
      </c>
      <c r="N83" s="184" t="s">
        <v>233</v>
      </c>
      <c r="O83" s="184" t="s">
        <v>598</v>
      </c>
      <c r="P83" s="184" t="s">
        <v>63</v>
      </c>
      <c r="Q83" s="184" t="s">
        <v>63</v>
      </c>
      <c r="R83" s="184" t="s">
        <v>598</v>
      </c>
      <c r="S83" s="172">
        <v>42996.326388888891</v>
      </c>
      <c r="T83" s="32" t="s">
        <v>552</v>
      </c>
    </row>
    <row r="84" spans="1:20">
      <c r="A84" s="184" t="s">
        <v>1032</v>
      </c>
      <c r="B84" s="184" t="s">
        <v>3812</v>
      </c>
      <c r="C84" s="127">
        <v>42903</v>
      </c>
      <c r="D84" s="184" t="s">
        <v>10</v>
      </c>
      <c r="E84" s="184" t="s">
        <v>598</v>
      </c>
      <c r="F84" s="185">
        <v>5000</v>
      </c>
      <c r="G84" s="184" t="s">
        <v>493</v>
      </c>
      <c r="H84" s="184" t="s">
        <v>598</v>
      </c>
      <c r="I84" s="185">
        <v>0</v>
      </c>
      <c r="J84" s="184" t="s">
        <v>598</v>
      </c>
      <c r="K84" s="127">
        <v>42894</v>
      </c>
      <c r="L84" s="184" t="s">
        <v>598</v>
      </c>
      <c r="M84" s="184" t="s">
        <v>102</v>
      </c>
      <c r="N84" s="184" t="s">
        <v>236</v>
      </c>
      <c r="O84" s="184" t="s">
        <v>598</v>
      </c>
      <c r="P84" s="184" t="s">
        <v>63</v>
      </c>
      <c r="Q84" s="184" t="s">
        <v>63</v>
      </c>
      <c r="R84" s="184" t="s">
        <v>598</v>
      </c>
      <c r="S84" s="172">
        <v>42996.326388888891</v>
      </c>
      <c r="T84" s="32" t="s">
        <v>552</v>
      </c>
    </row>
    <row r="85" spans="1:20">
      <c r="A85" s="184" t="s">
        <v>1034</v>
      </c>
      <c r="B85" s="184" t="s">
        <v>3813</v>
      </c>
      <c r="C85" s="127">
        <v>42903</v>
      </c>
      <c r="D85" s="184" t="s">
        <v>10</v>
      </c>
      <c r="E85" s="184" t="s">
        <v>598</v>
      </c>
      <c r="F85" s="185">
        <v>4000</v>
      </c>
      <c r="G85" s="184" t="s">
        <v>493</v>
      </c>
      <c r="H85" s="184" t="s">
        <v>598</v>
      </c>
      <c r="I85" s="185">
        <v>0</v>
      </c>
      <c r="J85" s="184" t="s">
        <v>598</v>
      </c>
      <c r="K85" s="127">
        <v>42894</v>
      </c>
      <c r="L85" s="184" t="s">
        <v>598</v>
      </c>
      <c r="M85" s="184" t="s">
        <v>102</v>
      </c>
      <c r="N85" s="184" t="s">
        <v>236</v>
      </c>
      <c r="O85" s="184" t="s">
        <v>598</v>
      </c>
      <c r="P85" s="184" t="s">
        <v>63</v>
      </c>
      <c r="Q85" s="184" t="s">
        <v>63</v>
      </c>
      <c r="R85" s="184" t="s">
        <v>598</v>
      </c>
      <c r="S85" s="172">
        <v>42996.326388888891</v>
      </c>
      <c r="T85" s="32" t="s">
        <v>552</v>
      </c>
    </row>
    <row r="86" spans="1:20">
      <c r="A86" s="184" t="s">
        <v>1035</v>
      </c>
      <c r="B86" s="184" t="s">
        <v>3814</v>
      </c>
      <c r="C86" s="127">
        <v>42899</v>
      </c>
      <c r="D86" s="184" t="s">
        <v>34</v>
      </c>
      <c r="E86" s="184" t="s">
        <v>598</v>
      </c>
      <c r="F86" s="185">
        <v>5000</v>
      </c>
      <c r="G86" s="184" t="s">
        <v>493</v>
      </c>
      <c r="H86" s="184" t="s">
        <v>598</v>
      </c>
      <c r="I86" s="185">
        <v>0</v>
      </c>
      <c r="J86" s="184" t="s">
        <v>598</v>
      </c>
      <c r="K86" s="127">
        <v>42894</v>
      </c>
      <c r="L86" s="184" t="s">
        <v>598</v>
      </c>
      <c r="M86" s="184" t="s">
        <v>102</v>
      </c>
      <c r="N86" s="184" t="s">
        <v>236</v>
      </c>
      <c r="O86" s="184" t="s">
        <v>598</v>
      </c>
      <c r="P86" s="184" t="s">
        <v>63</v>
      </c>
      <c r="Q86" s="184" t="s">
        <v>63</v>
      </c>
      <c r="R86" s="184" t="s">
        <v>598</v>
      </c>
      <c r="S86" s="172">
        <v>42996.326388888891</v>
      </c>
      <c r="T86" s="32" t="s">
        <v>552</v>
      </c>
    </row>
    <row r="87" spans="1:20">
      <c r="A87" s="184" t="s">
        <v>1039</v>
      </c>
      <c r="B87" s="184" t="s">
        <v>3815</v>
      </c>
      <c r="C87" s="127">
        <v>42899</v>
      </c>
      <c r="D87" s="184" t="s">
        <v>34</v>
      </c>
      <c r="E87" s="184" t="s">
        <v>598</v>
      </c>
      <c r="F87" s="185">
        <v>1000</v>
      </c>
      <c r="G87" s="184" t="s">
        <v>493</v>
      </c>
      <c r="H87" s="184" t="s">
        <v>598</v>
      </c>
      <c r="I87" s="185">
        <v>0</v>
      </c>
      <c r="J87" s="184" t="s">
        <v>598</v>
      </c>
      <c r="K87" s="127">
        <v>42899</v>
      </c>
      <c r="L87" s="184" t="s">
        <v>134</v>
      </c>
      <c r="M87" s="184" t="s">
        <v>102</v>
      </c>
      <c r="N87" s="184" t="s">
        <v>232</v>
      </c>
      <c r="O87" s="184" t="s">
        <v>598</v>
      </c>
      <c r="P87" s="184" t="s">
        <v>63</v>
      </c>
      <c r="Q87" s="184" t="s">
        <v>86</v>
      </c>
      <c r="R87" s="184" t="s">
        <v>598</v>
      </c>
      <c r="S87" s="172">
        <v>42996.326388888891</v>
      </c>
      <c r="T87" s="32" t="s">
        <v>552</v>
      </c>
    </row>
    <row r="88" spans="1:20">
      <c r="A88" s="184" t="s">
        <v>1041</v>
      </c>
      <c r="B88" s="184" t="s">
        <v>3816</v>
      </c>
      <c r="C88" s="127">
        <v>42902</v>
      </c>
      <c r="D88" s="184" t="s">
        <v>34</v>
      </c>
      <c r="E88" s="184" t="s">
        <v>598</v>
      </c>
      <c r="F88" s="185">
        <v>3500</v>
      </c>
      <c r="G88" s="184" t="s">
        <v>493</v>
      </c>
      <c r="H88" s="184" t="s">
        <v>598</v>
      </c>
      <c r="I88" s="185">
        <v>0</v>
      </c>
      <c r="J88" s="184" t="s">
        <v>598</v>
      </c>
      <c r="K88" s="127">
        <v>42899</v>
      </c>
      <c r="L88" s="184" t="s">
        <v>598</v>
      </c>
      <c r="M88" s="184" t="s">
        <v>102</v>
      </c>
      <c r="N88" s="184" t="s">
        <v>169</v>
      </c>
      <c r="O88" s="184" t="s">
        <v>598</v>
      </c>
      <c r="P88" s="184" t="s">
        <v>63</v>
      </c>
      <c r="Q88" s="184" t="s">
        <v>86</v>
      </c>
      <c r="R88" s="184" t="s">
        <v>598</v>
      </c>
      <c r="S88" s="172">
        <v>42996.326388888891</v>
      </c>
      <c r="T88" s="32" t="s">
        <v>552</v>
      </c>
    </row>
    <row r="89" spans="1:20">
      <c r="A89" s="184" t="s">
        <v>1043</v>
      </c>
      <c r="B89" s="184" t="s">
        <v>3817</v>
      </c>
      <c r="C89" s="127">
        <v>42906</v>
      </c>
      <c r="D89" s="184" t="s">
        <v>34</v>
      </c>
      <c r="E89" s="184" t="s">
        <v>598</v>
      </c>
      <c r="F89" s="185">
        <v>3000</v>
      </c>
      <c r="G89" s="184" t="s">
        <v>493</v>
      </c>
      <c r="H89" s="184" t="s">
        <v>598</v>
      </c>
      <c r="I89" s="185">
        <v>0</v>
      </c>
      <c r="J89" s="184" t="s">
        <v>598</v>
      </c>
      <c r="K89" s="127">
        <v>42899</v>
      </c>
      <c r="L89" s="184" t="s">
        <v>598</v>
      </c>
      <c r="M89" s="184" t="s">
        <v>102</v>
      </c>
      <c r="N89" s="184" t="s">
        <v>169</v>
      </c>
      <c r="O89" s="184" t="s">
        <v>598</v>
      </c>
      <c r="P89" s="184" t="s">
        <v>63</v>
      </c>
      <c r="Q89" s="184" t="s">
        <v>86</v>
      </c>
      <c r="R89" s="184" t="s">
        <v>598</v>
      </c>
      <c r="S89" s="172">
        <v>42996.326388888891</v>
      </c>
      <c r="T89" s="32" t="s">
        <v>552</v>
      </c>
    </row>
    <row r="90" spans="1:20">
      <c r="A90" s="184" t="s">
        <v>1048</v>
      </c>
      <c r="B90" s="184" t="s">
        <v>3818</v>
      </c>
      <c r="C90" s="127">
        <v>42905</v>
      </c>
      <c r="D90" s="184" t="s">
        <v>34</v>
      </c>
      <c r="E90" s="184" t="s">
        <v>598</v>
      </c>
      <c r="F90" s="185">
        <v>3500</v>
      </c>
      <c r="G90" s="184" t="s">
        <v>493</v>
      </c>
      <c r="H90" s="184" t="s">
        <v>598</v>
      </c>
      <c r="I90" s="185">
        <v>0</v>
      </c>
      <c r="J90" s="184" t="s">
        <v>598</v>
      </c>
      <c r="K90" s="127">
        <v>42899</v>
      </c>
      <c r="L90" s="184" t="s">
        <v>598</v>
      </c>
      <c r="M90" s="184" t="s">
        <v>102</v>
      </c>
      <c r="N90" s="184" t="s">
        <v>1050</v>
      </c>
      <c r="O90" s="184" t="s">
        <v>598</v>
      </c>
      <c r="P90" s="184" t="s">
        <v>63</v>
      </c>
      <c r="Q90" s="184" t="s">
        <v>63</v>
      </c>
      <c r="R90" s="184" t="s">
        <v>598</v>
      </c>
      <c r="S90" s="172">
        <v>42996.326388888891</v>
      </c>
      <c r="T90" s="32" t="s">
        <v>552</v>
      </c>
    </row>
    <row r="91" spans="1:20">
      <c r="A91" s="184" t="s">
        <v>1051</v>
      </c>
      <c r="B91" s="184" t="s">
        <v>3819</v>
      </c>
      <c r="C91" s="127">
        <v>42900</v>
      </c>
      <c r="D91" s="184" t="s">
        <v>34</v>
      </c>
      <c r="E91" s="184" t="s">
        <v>598</v>
      </c>
      <c r="F91" s="185">
        <v>1000</v>
      </c>
      <c r="G91" s="184" t="s">
        <v>549</v>
      </c>
      <c r="H91" s="184" t="s">
        <v>598</v>
      </c>
      <c r="I91" s="185">
        <v>0</v>
      </c>
      <c r="J91" s="184" t="s">
        <v>493</v>
      </c>
      <c r="K91" s="127">
        <v>42900</v>
      </c>
      <c r="L91" s="184" t="s">
        <v>598</v>
      </c>
      <c r="M91" s="184" t="s">
        <v>102</v>
      </c>
      <c r="N91" s="184" t="s">
        <v>1053</v>
      </c>
      <c r="O91" s="184" t="s">
        <v>598</v>
      </c>
      <c r="P91" s="184" t="s">
        <v>63</v>
      </c>
      <c r="Q91" s="184" t="s">
        <v>63</v>
      </c>
      <c r="R91" s="184" t="s">
        <v>598</v>
      </c>
      <c r="S91" s="172">
        <v>42996.326388888891</v>
      </c>
      <c r="T91" s="32" t="s">
        <v>552</v>
      </c>
    </row>
    <row r="92" spans="1:20">
      <c r="A92" s="184" t="s">
        <v>1054</v>
      </c>
      <c r="B92" s="184" t="s">
        <v>3820</v>
      </c>
      <c r="C92" s="127">
        <v>42900</v>
      </c>
      <c r="D92" s="184" t="s">
        <v>34</v>
      </c>
      <c r="E92" s="184" t="s">
        <v>598</v>
      </c>
      <c r="F92" s="185">
        <v>1000</v>
      </c>
      <c r="G92" s="184" t="s">
        <v>549</v>
      </c>
      <c r="H92" s="184" t="s">
        <v>598</v>
      </c>
      <c r="I92" s="185">
        <v>0</v>
      </c>
      <c r="J92" s="184" t="s">
        <v>493</v>
      </c>
      <c r="K92" s="127">
        <v>42900</v>
      </c>
      <c r="L92" s="184" t="s">
        <v>598</v>
      </c>
      <c r="M92" s="184" t="s">
        <v>102</v>
      </c>
      <c r="N92" s="184" t="s">
        <v>1053</v>
      </c>
      <c r="O92" s="184" t="s">
        <v>598</v>
      </c>
      <c r="P92" s="184" t="s">
        <v>63</v>
      </c>
      <c r="Q92" s="184" t="s">
        <v>63</v>
      </c>
      <c r="R92" s="184" t="s">
        <v>598</v>
      </c>
      <c r="S92" s="172">
        <v>42996.326388888891</v>
      </c>
      <c r="T92" s="32" t="s">
        <v>552</v>
      </c>
    </row>
    <row r="93" spans="1:20">
      <c r="A93" s="184" t="s">
        <v>1056</v>
      </c>
      <c r="B93" s="184" t="s">
        <v>3821</v>
      </c>
      <c r="C93" s="127">
        <v>42901</v>
      </c>
      <c r="D93" s="184" t="s">
        <v>34</v>
      </c>
      <c r="E93" s="184" t="s">
        <v>598</v>
      </c>
      <c r="F93" s="185">
        <v>1000</v>
      </c>
      <c r="G93" s="184" t="s">
        <v>549</v>
      </c>
      <c r="H93" s="184" t="s">
        <v>598</v>
      </c>
      <c r="I93" s="185">
        <v>0</v>
      </c>
      <c r="J93" s="184" t="s">
        <v>493</v>
      </c>
      <c r="K93" s="127">
        <v>42901</v>
      </c>
      <c r="L93" s="184" t="s">
        <v>598</v>
      </c>
      <c r="M93" s="184" t="s">
        <v>102</v>
      </c>
      <c r="N93" s="184" t="s">
        <v>234</v>
      </c>
      <c r="O93" s="184" t="s">
        <v>598</v>
      </c>
      <c r="P93" s="184" t="s">
        <v>63</v>
      </c>
      <c r="Q93" s="184" t="s">
        <v>86</v>
      </c>
      <c r="R93" s="184" t="s">
        <v>598</v>
      </c>
      <c r="S93" s="172">
        <v>42996.326388888891</v>
      </c>
      <c r="T93" s="32" t="s">
        <v>552</v>
      </c>
    </row>
    <row r="94" spans="1:20">
      <c r="A94" s="184" t="s">
        <v>1067</v>
      </c>
      <c r="B94" s="184" t="s">
        <v>3822</v>
      </c>
      <c r="C94" s="127">
        <v>42906</v>
      </c>
      <c r="D94" s="184" t="s">
        <v>34</v>
      </c>
      <c r="E94" s="184" t="s">
        <v>598</v>
      </c>
      <c r="F94" s="185">
        <v>4000</v>
      </c>
      <c r="G94" s="184" t="s">
        <v>493</v>
      </c>
      <c r="H94" s="184" t="s">
        <v>598</v>
      </c>
      <c r="I94" s="185">
        <v>0</v>
      </c>
      <c r="J94" s="184" t="s">
        <v>598</v>
      </c>
      <c r="K94" s="127">
        <v>42905</v>
      </c>
      <c r="L94" s="184" t="s">
        <v>598</v>
      </c>
      <c r="M94" s="184" t="s">
        <v>102</v>
      </c>
      <c r="N94" s="184" t="s">
        <v>233</v>
      </c>
      <c r="O94" s="184" t="s">
        <v>598</v>
      </c>
      <c r="P94" s="184" t="s">
        <v>63</v>
      </c>
      <c r="Q94" s="184" t="s">
        <v>63</v>
      </c>
      <c r="R94" s="184" t="s">
        <v>598</v>
      </c>
      <c r="S94" s="172">
        <v>42996.326388888891</v>
      </c>
      <c r="T94" s="32" t="s">
        <v>552</v>
      </c>
    </row>
    <row r="95" spans="1:20">
      <c r="A95" s="184" t="s">
        <v>1075</v>
      </c>
      <c r="B95" s="184" t="s">
        <v>3823</v>
      </c>
      <c r="C95" s="127">
        <v>42906</v>
      </c>
      <c r="D95" s="184" t="s">
        <v>34</v>
      </c>
      <c r="E95" s="184" t="s">
        <v>598</v>
      </c>
      <c r="F95" s="185">
        <v>2000</v>
      </c>
      <c r="G95" s="184" t="s">
        <v>493</v>
      </c>
      <c r="H95" s="184" t="s">
        <v>598</v>
      </c>
      <c r="I95" s="185">
        <v>0</v>
      </c>
      <c r="J95" s="184" t="s">
        <v>598</v>
      </c>
      <c r="K95" s="127">
        <v>42905</v>
      </c>
      <c r="L95" s="184" t="s">
        <v>598</v>
      </c>
      <c r="M95" s="184" t="s">
        <v>102</v>
      </c>
      <c r="N95" s="184" t="s">
        <v>598</v>
      </c>
      <c r="O95" s="184" t="s">
        <v>598</v>
      </c>
      <c r="P95" s="184" t="s">
        <v>63</v>
      </c>
      <c r="Q95" s="184" t="s">
        <v>86</v>
      </c>
      <c r="R95" s="184" t="s">
        <v>598</v>
      </c>
      <c r="S95" s="172">
        <v>42996.326388888891</v>
      </c>
      <c r="T95" s="32" t="s">
        <v>552</v>
      </c>
    </row>
    <row r="96" spans="1:20">
      <c r="A96" s="184" t="s">
        <v>1079</v>
      </c>
      <c r="B96" s="184" t="s">
        <v>3824</v>
      </c>
      <c r="C96" s="127">
        <v>42913</v>
      </c>
      <c r="D96" s="184" t="s">
        <v>34</v>
      </c>
      <c r="E96" s="184" t="s">
        <v>598</v>
      </c>
      <c r="F96" s="185">
        <v>6000</v>
      </c>
      <c r="G96" s="184" t="s">
        <v>493</v>
      </c>
      <c r="H96" s="184" t="s">
        <v>598</v>
      </c>
      <c r="I96" s="185">
        <v>0</v>
      </c>
      <c r="J96" s="184" t="s">
        <v>598</v>
      </c>
      <c r="K96" s="127">
        <v>42906</v>
      </c>
      <c r="L96" s="184" t="s">
        <v>598</v>
      </c>
      <c r="M96" s="184" t="s">
        <v>102</v>
      </c>
      <c r="N96" s="184" t="s">
        <v>234</v>
      </c>
      <c r="O96" s="184" t="s">
        <v>598</v>
      </c>
      <c r="P96" s="184" t="s">
        <v>63</v>
      </c>
      <c r="Q96" s="184" t="s">
        <v>598</v>
      </c>
      <c r="R96" s="184" t="s">
        <v>598</v>
      </c>
      <c r="S96" s="172">
        <v>42996.326388888891</v>
      </c>
      <c r="T96" s="32" t="s">
        <v>552</v>
      </c>
    </row>
    <row r="97" spans="1:20">
      <c r="A97" s="184" t="s">
        <v>1083</v>
      </c>
      <c r="B97" s="184" t="s">
        <v>3825</v>
      </c>
      <c r="C97" s="127">
        <v>42915</v>
      </c>
      <c r="D97" s="184" t="s">
        <v>34</v>
      </c>
      <c r="E97" s="184" t="s">
        <v>598</v>
      </c>
      <c r="F97" s="185">
        <v>1000</v>
      </c>
      <c r="G97" s="184" t="s">
        <v>549</v>
      </c>
      <c r="H97" s="184" t="s">
        <v>598</v>
      </c>
      <c r="I97" s="185">
        <v>0</v>
      </c>
      <c r="J97" s="184" t="s">
        <v>493</v>
      </c>
      <c r="K97" s="127">
        <v>42906</v>
      </c>
      <c r="L97" s="184" t="s">
        <v>598</v>
      </c>
      <c r="M97" s="184" t="s">
        <v>102</v>
      </c>
      <c r="N97" s="184" t="s">
        <v>1053</v>
      </c>
      <c r="O97" s="184" t="s">
        <v>598</v>
      </c>
      <c r="P97" s="184" t="s">
        <v>63</v>
      </c>
      <c r="Q97" s="184" t="s">
        <v>598</v>
      </c>
      <c r="R97" s="184" t="s">
        <v>598</v>
      </c>
      <c r="S97" s="172">
        <v>42996.326388888891</v>
      </c>
      <c r="T97" s="32" t="s">
        <v>552</v>
      </c>
    </row>
    <row r="98" spans="1:20">
      <c r="A98" s="184" t="s">
        <v>1085</v>
      </c>
      <c r="B98" s="184" t="s">
        <v>3826</v>
      </c>
      <c r="C98" s="127">
        <v>42907</v>
      </c>
      <c r="D98" s="184" t="s">
        <v>34</v>
      </c>
      <c r="E98" s="184" t="s">
        <v>598</v>
      </c>
      <c r="F98" s="185">
        <v>1000</v>
      </c>
      <c r="G98" s="184" t="s">
        <v>572</v>
      </c>
      <c r="H98" s="184" t="s">
        <v>598</v>
      </c>
      <c r="I98" s="185">
        <v>0</v>
      </c>
      <c r="J98" s="184" t="s">
        <v>598</v>
      </c>
      <c r="K98" s="127">
        <v>42906</v>
      </c>
      <c r="L98" s="184" t="s">
        <v>132</v>
      </c>
      <c r="M98" s="184" t="s">
        <v>102</v>
      </c>
      <c r="N98" s="184" t="s">
        <v>237</v>
      </c>
      <c r="O98" s="184" t="s">
        <v>598</v>
      </c>
      <c r="P98" s="184" t="s">
        <v>63</v>
      </c>
      <c r="Q98" s="184" t="s">
        <v>598</v>
      </c>
      <c r="R98" s="184" t="s">
        <v>598</v>
      </c>
      <c r="S98" s="172">
        <v>42996.326388888891</v>
      </c>
      <c r="T98" s="32" t="s">
        <v>552</v>
      </c>
    </row>
    <row r="99" spans="1:20">
      <c r="A99" s="184" t="s">
        <v>1089</v>
      </c>
      <c r="B99" s="184" t="s">
        <v>3827</v>
      </c>
      <c r="C99" s="127">
        <v>42910</v>
      </c>
      <c r="D99" s="184" t="s">
        <v>34</v>
      </c>
      <c r="E99" s="184" t="s">
        <v>598</v>
      </c>
      <c r="F99" s="185">
        <v>1000</v>
      </c>
      <c r="G99" s="184" t="s">
        <v>549</v>
      </c>
      <c r="H99" s="184" t="s">
        <v>598</v>
      </c>
      <c r="I99" s="185">
        <v>0</v>
      </c>
      <c r="J99" s="184" t="s">
        <v>493</v>
      </c>
      <c r="K99" s="127">
        <v>42908</v>
      </c>
      <c r="L99" s="184" t="s">
        <v>132</v>
      </c>
      <c r="M99" s="184" t="s">
        <v>102</v>
      </c>
      <c r="N99" s="184" t="s">
        <v>234</v>
      </c>
      <c r="O99" s="184" t="s">
        <v>598</v>
      </c>
      <c r="P99" s="184" t="s">
        <v>63</v>
      </c>
      <c r="Q99" s="184" t="s">
        <v>86</v>
      </c>
      <c r="R99" s="184" t="s">
        <v>598</v>
      </c>
      <c r="S99" s="172">
        <v>42996.326388888891</v>
      </c>
      <c r="T99" s="32" t="s">
        <v>552</v>
      </c>
    </row>
    <row r="100" spans="1:20">
      <c r="A100" s="184" t="s">
        <v>1108</v>
      </c>
      <c r="B100" s="184" t="s">
        <v>3828</v>
      </c>
      <c r="C100" s="127">
        <v>42914</v>
      </c>
      <c r="D100" s="184" t="s">
        <v>34</v>
      </c>
      <c r="E100" s="184" t="s">
        <v>598</v>
      </c>
      <c r="F100" s="185">
        <v>5000</v>
      </c>
      <c r="G100" s="184" t="s">
        <v>493</v>
      </c>
      <c r="H100" s="184" t="s">
        <v>598</v>
      </c>
      <c r="I100" s="185">
        <v>0</v>
      </c>
      <c r="J100" s="184" t="s">
        <v>598</v>
      </c>
      <c r="K100" s="127">
        <v>42913</v>
      </c>
      <c r="L100" s="184" t="s">
        <v>598</v>
      </c>
      <c r="M100" s="184" t="s">
        <v>102</v>
      </c>
      <c r="N100" s="184" t="s">
        <v>1110</v>
      </c>
      <c r="O100" s="184" t="s">
        <v>598</v>
      </c>
      <c r="P100" s="184" t="s">
        <v>63</v>
      </c>
      <c r="Q100" s="184" t="s">
        <v>63</v>
      </c>
      <c r="R100" s="184" t="s">
        <v>598</v>
      </c>
      <c r="S100" s="172">
        <v>42996.326388888891</v>
      </c>
      <c r="T100" s="32" t="s">
        <v>552</v>
      </c>
    </row>
    <row r="101" spans="1:20">
      <c r="A101" s="184" t="s">
        <v>1116</v>
      </c>
      <c r="B101" s="184" t="s">
        <v>3829</v>
      </c>
      <c r="C101" s="127">
        <v>42914</v>
      </c>
      <c r="D101" s="184" t="s">
        <v>34</v>
      </c>
      <c r="E101" s="184" t="s">
        <v>598</v>
      </c>
      <c r="F101" s="185">
        <v>1000</v>
      </c>
      <c r="G101" s="184" t="s">
        <v>549</v>
      </c>
      <c r="H101" s="184" t="s">
        <v>598</v>
      </c>
      <c r="I101" s="185">
        <v>0</v>
      </c>
      <c r="J101" s="184" t="s">
        <v>493</v>
      </c>
      <c r="K101" s="127">
        <v>42913</v>
      </c>
      <c r="L101" s="184" t="s">
        <v>598</v>
      </c>
      <c r="M101" s="184" t="s">
        <v>102</v>
      </c>
      <c r="N101" s="184" t="s">
        <v>216</v>
      </c>
      <c r="O101" s="184" t="s">
        <v>598</v>
      </c>
      <c r="P101" s="184" t="s">
        <v>63</v>
      </c>
      <c r="Q101" s="184" t="s">
        <v>86</v>
      </c>
      <c r="R101" s="184" t="s">
        <v>598</v>
      </c>
      <c r="S101" s="172">
        <v>42996.326388888891</v>
      </c>
      <c r="T101" s="32" t="s">
        <v>552</v>
      </c>
    </row>
    <row r="102" spans="1:20">
      <c r="A102" s="184" t="s">
        <v>1118</v>
      </c>
      <c r="B102" s="184" t="s">
        <v>3830</v>
      </c>
      <c r="C102" s="127">
        <v>42914</v>
      </c>
      <c r="D102" s="184" t="s">
        <v>34</v>
      </c>
      <c r="E102" s="184" t="s">
        <v>598</v>
      </c>
      <c r="F102" s="185">
        <v>1000</v>
      </c>
      <c r="G102" s="184" t="s">
        <v>549</v>
      </c>
      <c r="H102" s="184" t="s">
        <v>598</v>
      </c>
      <c r="I102" s="185">
        <v>0</v>
      </c>
      <c r="J102" s="184" t="s">
        <v>493</v>
      </c>
      <c r="K102" s="127">
        <v>42913</v>
      </c>
      <c r="L102" s="184" t="s">
        <v>598</v>
      </c>
      <c r="M102" s="184" t="s">
        <v>102</v>
      </c>
      <c r="N102" s="184" t="s">
        <v>233</v>
      </c>
      <c r="O102" s="184" t="s">
        <v>598</v>
      </c>
      <c r="P102" s="184" t="s">
        <v>63</v>
      </c>
      <c r="Q102" s="184" t="s">
        <v>63</v>
      </c>
      <c r="R102" s="184" t="s">
        <v>598</v>
      </c>
      <c r="S102" s="172">
        <v>42996.326388888891</v>
      </c>
      <c r="T102" s="32" t="s">
        <v>552</v>
      </c>
    </row>
    <row r="103" spans="1:20">
      <c r="A103" s="184" t="s">
        <v>1120</v>
      </c>
      <c r="B103" s="184" t="s">
        <v>3831</v>
      </c>
      <c r="C103" s="127">
        <v>42915</v>
      </c>
      <c r="D103" s="184" t="s">
        <v>34</v>
      </c>
      <c r="E103" s="184" t="s">
        <v>598</v>
      </c>
      <c r="F103" s="185">
        <v>5000</v>
      </c>
      <c r="G103" s="184" t="s">
        <v>493</v>
      </c>
      <c r="H103" s="184" t="s">
        <v>598</v>
      </c>
      <c r="I103" s="185">
        <v>0</v>
      </c>
      <c r="J103" s="184" t="s">
        <v>598</v>
      </c>
      <c r="K103" s="127">
        <v>42914</v>
      </c>
      <c r="L103" s="184" t="s">
        <v>132</v>
      </c>
      <c r="M103" s="184" t="s">
        <v>102</v>
      </c>
      <c r="N103" s="184" t="s">
        <v>233</v>
      </c>
      <c r="O103" s="184" t="s">
        <v>598</v>
      </c>
      <c r="P103" s="184" t="s">
        <v>63</v>
      </c>
      <c r="Q103" s="184" t="s">
        <v>598</v>
      </c>
      <c r="R103" s="184" t="s">
        <v>598</v>
      </c>
      <c r="S103" s="172">
        <v>42996.326388888891</v>
      </c>
      <c r="T103" s="32" t="s">
        <v>552</v>
      </c>
    </row>
    <row r="104" spans="1:20">
      <c r="A104" s="184" t="s">
        <v>1121</v>
      </c>
      <c r="B104" s="184" t="s">
        <v>3832</v>
      </c>
      <c r="C104" s="127">
        <v>42914</v>
      </c>
      <c r="D104" s="184" t="s">
        <v>34</v>
      </c>
      <c r="E104" s="184" t="s">
        <v>598</v>
      </c>
      <c r="F104" s="185">
        <v>1000</v>
      </c>
      <c r="G104" s="184" t="s">
        <v>549</v>
      </c>
      <c r="H104" s="184" t="s">
        <v>598</v>
      </c>
      <c r="I104" s="185">
        <v>0</v>
      </c>
      <c r="J104" s="184" t="s">
        <v>493</v>
      </c>
      <c r="K104" s="127">
        <v>42914</v>
      </c>
      <c r="L104" s="184" t="s">
        <v>134</v>
      </c>
      <c r="M104" s="184" t="s">
        <v>102</v>
      </c>
      <c r="N104" s="184" t="s">
        <v>233</v>
      </c>
      <c r="O104" s="184" t="s">
        <v>598</v>
      </c>
      <c r="P104" s="184" t="s">
        <v>63</v>
      </c>
      <c r="Q104" s="184" t="s">
        <v>86</v>
      </c>
      <c r="R104" s="184" t="s">
        <v>598</v>
      </c>
      <c r="S104" s="172">
        <v>42996.326388888891</v>
      </c>
      <c r="T104" s="32" t="s">
        <v>552</v>
      </c>
    </row>
    <row r="105" spans="1:20">
      <c r="A105" s="184" t="s">
        <v>1123</v>
      </c>
      <c r="B105" s="184" t="s">
        <v>3833</v>
      </c>
      <c r="C105" s="127">
        <v>42914</v>
      </c>
      <c r="D105" s="184" t="s">
        <v>34</v>
      </c>
      <c r="E105" s="184" t="s">
        <v>598</v>
      </c>
      <c r="F105" s="185">
        <v>2000</v>
      </c>
      <c r="G105" s="184" t="s">
        <v>493</v>
      </c>
      <c r="H105" s="184" t="s">
        <v>598</v>
      </c>
      <c r="I105" s="185">
        <v>0</v>
      </c>
      <c r="J105" s="184" t="s">
        <v>598</v>
      </c>
      <c r="K105" s="127">
        <v>42914</v>
      </c>
      <c r="L105" s="184" t="s">
        <v>134</v>
      </c>
      <c r="M105" s="184" t="s">
        <v>102</v>
      </c>
      <c r="N105" s="184" t="s">
        <v>233</v>
      </c>
      <c r="O105" s="184" t="s">
        <v>598</v>
      </c>
      <c r="P105" s="184" t="s">
        <v>63</v>
      </c>
      <c r="Q105" s="184" t="s">
        <v>86</v>
      </c>
      <c r="R105" s="184" t="s">
        <v>598</v>
      </c>
      <c r="S105" s="172">
        <v>42996.326388888891</v>
      </c>
      <c r="T105" s="32" t="s">
        <v>552</v>
      </c>
    </row>
    <row r="106" spans="1:20">
      <c r="A106" s="184" t="s">
        <v>1125</v>
      </c>
      <c r="B106" s="184" t="s">
        <v>3834</v>
      </c>
      <c r="C106" s="127">
        <v>42914</v>
      </c>
      <c r="D106" s="184" t="s">
        <v>34</v>
      </c>
      <c r="E106" s="184" t="s">
        <v>598</v>
      </c>
      <c r="F106" s="185">
        <v>2000</v>
      </c>
      <c r="G106" s="184" t="s">
        <v>549</v>
      </c>
      <c r="H106" s="184" t="s">
        <v>598</v>
      </c>
      <c r="I106" s="185">
        <v>0</v>
      </c>
      <c r="J106" s="184" t="s">
        <v>493</v>
      </c>
      <c r="K106" s="127">
        <v>42914</v>
      </c>
      <c r="L106" s="184" t="s">
        <v>598</v>
      </c>
      <c r="M106" s="184" t="s">
        <v>102</v>
      </c>
      <c r="N106" s="184" t="s">
        <v>1127</v>
      </c>
      <c r="O106" s="184" t="s">
        <v>598</v>
      </c>
      <c r="P106" s="184" t="s">
        <v>63</v>
      </c>
      <c r="Q106" s="184" t="s">
        <v>63</v>
      </c>
      <c r="R106" s="184" t="s">
        <v>598</v>
      </c>
      <c r="S106" s="172">
        <v>42996.326388888891</v>
      </c>
      <c r="T106" s="32" t="s">
        <v>552</v>
      </c>
    </row>
    <row r="107" spans="1:20">
      <c r="A107" s="184" t="s">
        <v>1128</v>
      </c>
      <c r="B107" s="184" t="s">
        <v>3835</v>
      </c>
      <c r="C107" s="127">
        <v>42916</v>
      </c>
      <c r="D107" s="184" t="s">
        <v>34</v>
      </c>
      <c r="E107" s="184" t="s">
        <v>598</v>
      </c>
      <c r="F107" s="185">
        <v>1000</v>
      </c>
      <c r="G107" s="184" t="s">
        <v>549</v>
      </c>
      <c r="H107" s="184" t="s">
        <v>598</v>
      </c>
      <c r="I107" s="185">
        <v>0</v>
      </c>
      <c r="J107" s="184" t="s">
        <v>493</v>
      </c>
      <c r="K107" s="127">
        <v>42915</v>
      </c>
      <c r="L107" s="184" t="s">
        <v>598</v>
      </c>
      <c r="M107" s="184" t="s">
        <v>102</v>
      </c>
      <c r="N107" s="184" t="s">
        <v>1130</v>
      </c>
      <c r="O107" s="184" t="s">
        <v>598</v>
      </c>
      <c r="P107" s="184" t="s">
        <v>63</v>
      </c>
      <c r="Q107" s="184" t="s">
        <v>598</v>
      </c>
      <c r="R107" s="184" t="s">
        <v>598</v>
      </c>
      <c r="S107" s="172">
        <v>42996.326388888891</v>
      </c>
      <c r="T107" s="32" t="s">
        <v>552</v>
      </c>
    </row>
    <row r="108" spans="1:20">
      <c r="A108" s="184" t="s">
        <v>1136</v>
      </c>
      <c r="B108" s="184" t="s">
        <v>3836</v>
      </c>
      <c r="C108" s="127">
        <v>42916</v>
      </c>
      <c r="D108" s="184" t="s">
        <v>34</v>
      </c>
      <c r="E108" s="184" t="s">
        <v>598</v>
      </c>
      <c r="F108" s="185">
        <v>2000</v>
      </c>
      <c r="G108" s="184" t="s">
        <v>549</v>
      </c>
      <c r="H108" s="184" t="s">
        <v>598</v>
      </c>
      <c r="I108" s="185">
        <v>0</v>
      </c>
      <c r="J108" s="184" t="s">
        <v>493</v>
      </c>
      <c r="K108" s="127">
        <v>42916</v>
      </c>
      <c r="L108" s="184" t="s">
        <v>598</v>
      </c>
      <c r="M108" s="184" t="s">
        <v>102</v>
      </c>
      <c r="N108" s="184" t="s">
        <v>598</v>
      </c>
      <c r="O108" s="184" t="s">
        <v>598</v>
      </c>
      <c r="P108" s="184" t="s">
        <v>63</v>
      </c>
      <c r="Q108" s="184" t="s">
        <v>598</v>
      </c>
      <c r="R108" s="184" t="s">
        <v>598</v>
      </c>
      <c r="S108" s="172">
        <v>42996.326388888891</v>
      </c>
      <c r="T108" s="32" t="s">
        <v>552</v>
      </c>
    </row>
    <row r="109" spans="1:20">
      <c r="A109" s="184" t="s">
        <v>1211</v>
      </c>
      <c r="B109" s="184" t="s">
        <v>3837</v>
      </c>
      <c r="C109" s="127">
        <v>42895</v>
      </c>
      <c r="D109" s="184" t="s">
        <v>10</v>
      </c>
      <c r="E109" s="184" t="s">
        <v>598</v>
      </c>
      <c r="F109" s="185">
        <v>10000</v>
      </c>
      <c r="G109" s="184" t="s">
        <v>493</v>
      </c>
      <c r="H109" s="184">
        <v>4023</v>
      </c>
      <c r="I109" s="185">
        <v>10000</v>
      </c>
      <c r="J109" s="184" t="s">
        <v>598</v>
      </c>
      <c r="K109" s="127">
        <v>42860</v>
      </c>
      <c r="L109" s="184" t="s">
        <v>598</v>
      </c>
      <c r="M109" s="184" t="s">
        <v>84</v>
      </c>
      <c r="N109" s="184" t="s">
        <v>214</v>
      </c>
      <c r="O109" s="184" t="s">
        <v>598</v>
      </c>
      <c r="P109" s="184" t="s">
        <v>63</v>
      </c>
      <c r="Q109" s="184" t="s">
        <v>63</v>
      </c>
      <c r="R109" s="184" t="s">
        <v>598</v>
      </c>
      <c r="S109" s="172">
        <v>42996.326388888891</v>
      </c>
      <c r="T109" s="32" t="s">
        <v>552</v>
      </c>
    </row>
    <row r="110" spans="1:20">
      <c r="A110" s="184" t="s">
        <v>1213</v>
      </c>
      <c r="B110" s="184" t="s">
        <v>3838</v>
      </c>
      <c r="C110" s="127">
        <v>42895</v>
      </c>
      <c r="D110" s="184" t="s">
        <v>10</v>
      </c>
      <c r="E110" s="184" t="s">
        <v>598</v>
      </c>
      <c r="F110" s="185">
        <v>3000</v>
      </c>
      <c r="G110" s="184" t="s">
        <v>493</v>
      </c>
      <c r="H110" s="184">
        <v>4022</v>
      </c>
      <c r="I110" s="185">
        <v>3000</v>
      </c>
      <c r="J110" s="184" t="s">
        <v>598</v>
      </c>
      <c r="K110" s="127">
        <v>42860</v>
      </c>
      <c r="L110" s="184" t="s">
        <v>598</v>
      </c>
      <c r="M110" s="184" t="s">
        <v>84</v>
      </c>
      <c r="N110" s="184" t="s">
        <v>214</v>
      </c>
      <c r="O110" s="184" t="s">
        <v>598</v>
      </c>
      <c r="P110" s="184" t="s">
        <v>63</v>
      </c>
      <c r="Q110" s="184" t="s">
        <v>63</v>
      </c>
      <c r="R110" s="184" t="s">
        <v>598</v>
      </c>
      <c r="S110" s="172">
        <v>42996.326388888891</v>
      </c>
      <c r="T110" s="32" t="s">
        <v>552</v>
      </c>
    </row>
    <row r="111" spans="1:20">
      <c r="A111" s="184" t="s">
        <v>1215</v>
      </c>
      <c r="B111" s="184" t="s">
        <v>3839</v>
      </c>
      <c r="C111" s="127">
        <v>42895</v>
      </c>
      <c r="D111" s="184" t="s">
        <v>10</v>
      </c>
      <c r="E111" s="184" t="s">
        <v>598</v>
      </c>
      <c r="F111" s="185">
        <v>10000</v>
      </c>
      <c r="G111" s="184" t="s">
        <v>493</v>
      </c>
      <c r="H111" s="184">
        <v>4020</v>
      </c>
      <c r="I111" s="185">
        <v>10000</v>
      </c>
      <c r="J111" s="184" t="s">
        <v>598</v>
      </c>
      <c r="K111" s="127">
        <v>42860</v>
      </c>
      <c r="L111" s="184" t="s">
        <v>598</v>
      </c>
      <c r="M111" s="184" t="s">
        <v>84</v>
      </c>
      <c r="N111" s="184" t="s">
        <v>198</v>
      </c>
      <c r="O111" s="184" t="s">
        <v>598</v>
      </c>
      <c r="P111" s="184" t="s">
        <v>63</v>
      </c>
      <c r="Q111" s="184" t="s">
        <v>86</v>
      </c>
      <c r="R111" s="184" t="s">
        <v>598</v>
      </c>
      <c r="S111" s="172">
        <v>42996.326388888891</v>
      </c>
      <c r="T111" s="32" t="s">
        <v>552</v>
      </c>
    </row>
    <row r="112" spans="1:20">
      <c r="A112" s="184" t="s">
        <v>1221</v>
      </c>
      <c r="B112" s="184" t="s">
        <v>3840</v>
      </c>
      <c r="C112" s="127">
        <v>42899</v>
      </c>
      <c r="D112" s="184" t="s">
        <v>34</v>
      </c>
      <c r="E112" s="184" t="s">
        <v>598</v>
      </c>
      <c r="F112" s="185">
        <v>5000</v>
      </c>
      <c r="G112" s="184" t="s">
        <v>493</v>
      </c>
      <c r="H112" s="184" t="s">
        <v>598</v>
      </c>
      <c r="I112" s="185">
        <v>0</v>
      </c>
      <c r="J112" s="184" t="s">
        <v>598</v>
      </c>
      <c r="K112" s="127">
        <v>42863</v>
      </c>
      <c r="L112" s="184" t="s">
        <v>134</v>
      </c>
      <c r="M112" s="184" t="s">
        <v>84</v>
      </c>
      <c r="N112" s="184" t="s">
        <v>240</v>
      </c>
      <c r="O112" s="184" t="s">
        <v>598</v>
      </c>
      <c r="P112" s="184" t="s">
        <v>63</v>
      </c>
      <c r="Q112" s="184" t="s">
        <v>598</v>
      </c>
      <c r="R112" s="184" t="s">
        <v>598</v>
      </c>
      <c r="S112" s="172">
        <v>42996.326388888891</v>
      </c>
      <c r="T112" s="32" t="s">
        <v>552</v>
      </c>
    </row>
    <row r="113" spans="1:20">
      <c r="A113" s="184" t="s">
        <v>1237</v>
      </c>
      <c r="B113" s="184" t="s">
        <v>3841</v>
      </c>
      <c r="C113" s="127">
        <v>42893</v>
      </c>
      <c r="D113" s="184" t="s">
        <v>10</v>
      </c>
      <c r="E113" s="184" t="s">
        <v>598</v>
      </c>
      <c r="F113" s="185">
        <v>4000</v>
      </c>
      <c r="G113" s="184" t="s">
        <v>493</v>
      </c>
      <c r="H113" s="184">
        <v>4034</v>
      </c>
      <c r="I113" s="185">
        <v>3000</v>
      </c>
      <c r="J113" s="184" t="s">
        <v>598</v>
      </c>
      <c r="K113" s="127">
        <v>42867</v>
      </c>
      <c r="L113" s="184" t="s">
        <v>134</v>
      </c>
      <c r="M113" s="184" t="s">
        <v>84</v>
      </c>
      <c r="N113" s="184" t="s">
        <v>191</v>
      </c>
      <c r="O113" s="184" t="s">
        <v>598</v>
      </c>
      <c r="P113" s="184" t="s">
        <v>63</v>
      </c>
      <c r="Q113" s="184" t="s">
        <v>86</v>
      </c>
      <c r="R113" s="184" t="s">
        <v>598</v>
      </c>
      <c r="S113" s="172">
        <v>42996.326388888891</v>
      </c>
      <c r="T113" s="32" t="s">
        <v>552</v>
      </c>
    </row>
    <row r="114" spans="1:20">
      <c r="A114" s="184" t="s">
        <v>1241</v>
      </c>
      <c r="B114" s="184" t="s">
        <v>3842</v>
      </c>
      <c r="C114" s="127">
        <v>42903</v>
      </c>
      <c r="D114" s="184" t="s">
        <v>10</v>
      </c>
      <c r="E114" s="184" t="s">
        <v>598</v>
      </c>
      <c r="F114" s="185">
        <v>3500</v>
      </c>
      <c r="G114" s="184" t="s">
        <v>493</v>
      </c>
      <c r="H114" s="184" t="s">
        <v>598</v>
      </c>
      <c r="I114" s="185">
        <v>0</v>
      </c>
      <c r="J114" s="184" t="s">
        <v>598</v>
      </c>
      <c r="K114" s="127">
        <v>42875</v>
      </c>
      <c r="L114" s="184" t="s">
        <v>135</v>
      </c>
      <c r="M114" s="184" t="s">
        <v>84</v>
      </c>
      <c r="N114" s="184" t="s">
        <v>195</v>
      </c>
      <c r="O114" s="184" t="s">
        <v>598</v>
      </c>
      <c r="P114" s="184" t="s">
        <v>63</v>
      </c>
      <c r="Q114" s="184" t="s">
        <v>598</v>
      </c>
      <c r="R114" s="184" t="s">
        <v>598</v>
      </c>
      <c r="S114" s="172">
        <v>42996.326388888891</v>
      </c>
      <c r="T114" s="32" t="s">
        <v>552</v>
      </c>
    </row>
    <row r="115" spans="1:20">
      <c r="A115" s="184" t="s">
        <v>1243</v>
      </c>
      <c r="B115" s="184" t="s">
        <v>3843</v>
      </c>
      <c r="C115" s="127">
        <v>42891</v>
      </c>
      <c r="D115" s="184" t="s">
        <v>10</v>
      </c>
      <c r="E115" s="184" t="s">
        <v>598</v>
      </c>
      <c r="F115" s="185">
        <v>3500</v>
      </c>
      <c r="G115" s="184" t="s">
        <v>493</v>
      </c>
      <c r="H115" s="184">
        <v>4037</v>
      </c>
      <c r="I115" s="185">
        <v>4000</v>
      </c>
      <c r="J115" s="184" t="s">
        <v>598</v>
      </c>
      <c r="K115" s="127">
        <v>42877</v>
      </c>
      <c r="L115" s="184" t="s">
        <v>598</v>
      </c>
      <c r="M115" s="184" t="s">
        <v>84</v>
      </c>
      <c r="N115" s="184" t="s">
        <v>191</v>
      </c>
      <c r="O115" s="184" t="s">
        <v>598</v>
      </c>
      <c r="P115" s="184" t="s">
        <v>63</v>
      </c>
      <c r="Q115" s="184" t="s">
        <v>63</v>
      </c>
      <c r="R115" s="184" t="s">
        <v>598</v>
      </c>
      <c r="S115" s="172">
        <v>42996.326388888891</v>
      </c>
      <c r="T115" s="32" t="s">
        <v>552</v>
      </c>
    </row>
    <row r="116" spans="1:20">
      <c r="A116" s="184" t="s">
        <v>1245</v>
      </c>
      <c r="B116" s="184" t="s">
        <v>3844</v>
      </c>
      <c r="C116" s="127">
        <v>42913</v>
      </c>
      <c r="D116" s="184" t="s">
        <v>10</v>
      </c>
      <c r="E116" s="184" t="s">
        <v>598</v>
      </c>
      <c r="F116" s="185">
        <v>4000</v>
      </c>
      <c r="G116" s="184" t="s">
        <v>493</v>
      </c>
      <c r="H116" s="184" t="s">
        <v>598</v>
      </c>
      <c r="I116" s="185">
        <v>0</v>
      </c>
      <c r="J116" s="184" t="s">
        <v>598</v>
      </c>
      <c r="K116" s="127">
        <v>42877</v>
      </c>
      <c r="L116" s="184" t="s">
        <v>598</v>
      </c>
      <c r="M116" s="184" t="s">
        <v>84</v>
      </c>
      <c r="N116" s="184" t="s">
        <v>191</v>
      </c>
      <c r="O116" s="184" t="s">
        <v>598</v>
      </c>
      <c r="P116" s="184" t="s">
        <v>63</v>
      </c>
      <c r="Q116" s="184" t="s">
        <v>63</v>
      </c>
      <c r="R116" s="184" t="s">
        <v>598</v>
      </c>
      <c r="S116" s="172">
        <v>42996.326388888891</v>
      </c>
      <c r="T116" s="32" t="s">
        <v>552</v>
      </c>
    </row>
    <row r="117" spans="1:20">
      <c r="A117" s="184" t="s">
        <v>1256</v>
      </c>
      <c r="B117" s="184" t="s">
        <v>3845</v>
      </c>
      <c r="C117" s="127">
        <v>42892</v>
      </c>
      <c r="D117" s="184" t="s">
        <v>10</v>
      </c>
      <c r="E117" s="184" t="s">
        <v>598</v>
      </c>
      <c r="F117" s="185">
        <v>5000</v>
      </c>
      <c r="G117" s="184" t="s">
        <v>493</v>
      </c>
      <c r="H117" s="184">
        <v>4042</v>
      </c>
      <c r="I117" s="185">
        <v>5000</v>
      </c>
      <c r="J117" s="184" t="s">
        <v>598</v>
      </c>
      <c r="K117" s="127">
        <v>42880</v>
      </c>
      <c r="L117" s="184" t="s">
        <v>132</v>
      </c>
      <c r="M117" s="184" t="s">
        <v>84</v>
      </c>
      <c r="N117" s="184" t="s">
        <v>195</v>
      </c>
      <c r="O117" s="184" t="s">
        <v>598</v>
      </c>
      <c r="P117" s="184" t="s">
        <v>63</v>
      </c>
      <c r="Q117" s="184" t="s">
        <v>63</v>
      </c>
      <c r="R117" s="184" t="s">
        <v>598</v>
      </c>
      <c r="S117" s="172">
        <v>42996.326388888891</v>
      </c>
      <c r="T117" s="32" t="s">
        <v>552</v>
      </c>
    </row>
    <row r="118" spans="1:20">
      <c r="A118" s="184" t="s">
        <v>1258</v>
      </c>
      <c r="B118" s="184" t="s">
        <v>3846</v>
      </c>
      <c r="C118" s="127">
        <v>42895</v>
      </c>
      <c r="D118" s="184" t="s">
        <v>10</v>
      </c>
      <c r="E118" s="184" t="s">
        <v>598</v>
      </c>
      <c r="F118" s="185">
        <v>3000</v>
      </c>
      <c r="G118" s="184" t="s">
        <v>493</v>
      </c>
      <c r="H118" s="184">
        <v>4043</v>
      </c>
      <c r="I118" s="185">
        <v>3000</v>
      </c>
      <c r="J118" s="184" t="s">
        <v>598</v>
      </c>
      <c r="K118" s="127">
        <v>42880</v>
      </c>
      <c r="L118" s="184" t="s">
        <v>120</v>
      </c>
      <c r="M118" s="184" t="s">
        <v>84</v>
      </c>
      <c r="N118" s="184" t="s">
        <v>195</v>
      </c>
      <c r="O118" s="184" t="s">
        <v>598</v>
      </c>
      <c r="P118" s="184" t="s">
        <v>63</v>
      </c>
      <c r="Q118" s="184" t="s">
        <v>63</v>
      </c>
      <c r="R118" s="184" t="s">
        <v>598</v>
      </c>
      <c r="S118" s="172">
        <v>42996.326388888891</v>
      </c>
      <c r="T118" s="32" t="s">
        <v>552</v>
      </c>
    </row>
    <row r="119" spans="1:20">
      <c r="A119" s="184" t="s">
        <v>1260</v>
      </c>
      <c r="B119" s="184" t="s">
        <v>3847</v>
      </c>
      <c r="C119" s="127">
        <v>42894</v>
      </c>
      <c r="D119" s="184" t="s">
        <v>34</v>
      </c>
      <c r="E119" s="184" t="s">
        <v>598</v>
      </c>
      <c r="F119" s="185">
        <v>2000</v>
      </c>
      <c r="G119" s="184" t="s">
        <v>493</v>
      </c>
      <c r="H119" s="184" t="s">
        <v>598</v>
      </c>
      <c r="I119" s="185">
        <v>0</v>
      </c>
      <c r="J119" s="184" t="s">
        <v>598</v>
      </c>
      <c r="K119" s="127">
        <v>42881</v>
      </c>
      <c r="L119" s="184" t="s">
        <v>598</v>
      </c>
      <c r="M119" s="184" t="s">
        <v>84</v>
      </c>
      <c r="N119" s="184" t="s">
        <v>1262</v>
      </c>
      <c r="O119" s="184" t="s">
        <v>598</v>
      </c>
      <c r="P119" s="184" t="s">
        <v>63</v>
      </c>
      <c r="Q119" s="184" t="s">
        <v>63</v>
      </c>
      <c r="R119" s="184" t="s">
        <v>598</v>
      </c>
      <c r="S119" s="172">
        <v>42996.326388888891</v>
      </c>
      <c r="T119" s="32" t="s">
        <v>552</v>
      </c>
    </row>
    <row r="120" spans="1:20">
      <c r="A120" s="184" t="s">
        <v>1263</v>
      </c>
      <c r="B120" s="184" t="s">
        <v>3848</v>
      </c>
      <c r="C120" s="127">
        <v>42891</v>
      </c>
      <c r="D120" s="184" t="s">
        <v>10</v>
      </c>
      <c r="E120" s="184" t="s">
        <v>598</v>
      </c>
      <c r="F120" s="185">
        <v>3000</v>
      </c>
      <c r="G120" s="184" t="s">
        <v>493</v>
      </c>
      <c r="H120" s="184" t="s">
        <v>598</v>
      </c>
      <c r="I120" s="185">
        <v>0</v>
      </c>
      <c r="J120" s="184" t="s">
        <v>598</v>
      </c>
      <c r="K120" s="127">
        <v>42881</v>
      </c>
      <c r="L120" s="184" t="s">
        <v>134</v>
      </c>
      <c r="M120" s="184" t="s">
        <v>84</v>
      </c>
      <c r="N120" s="184" t="s">
        <v>1265</v>
      </c>
      <c r="O120" s="184" t="s">
        <v>598</v>
      </c>
      <c r="P120" s="184" t="s">
        <v>63</v>
      </c>
      <c r="Q120" s="184" t="s">
        <v>598</v>
      </c>
      <c r="R120" s="184" t="s">
        <v>598</v>
      </c>
      <c r="S120" s="172">
        <v>42996.326388888891</v>
      </c>
      <c r="T120" s="32" t="s">
        <v>552</v>
      </c>
    </row>
    <row r="121" spans="1:20">
      <c r="A121" s="184" t="s">
        <v>1268</v>
      </c>
      <c r="B121" s="184" t="s">
        <v>3849</v>
      </c>
      <c r="C121" s="127">
        <v>42913</v>
      </c>
      <c r="D121" s="184" t="s">
        <v>34</v>
      </c>
      <c r="E121" s="184" t="s">
        <v>598</v>
      </c>
      <c r="F121" s="185">
        <v>12000</v>
      </c>
      <c r="G121" s="184" t="s">
        <v>493</v>
      </c>
      <c r="H121" s="184">
        <v>4050</v>
      </c>
      <c r="I121" s="185">
        <v>12000</v>
      </c>
      <c r="J121" s="184" t="s">
        <v>598</v>
      </c>
      <c r="K121" s="127">
        <v>42884</v>
      </c>
      <c r="L121" s="184" t="s">
        <v>598</v>
      </c>
      <c r="M121" s="184" t="s">
        <v>119</v>
      </c>
      <c r="N121" s="184" t="s">
        <v>241</v>
      </c>
      <c r="O121" s="184" t="s">
        <v>598</v>
      </c>
      <c r="P121" s="184" t="s">
        <v>63</v>
      </c>
      <c r="Q121" s="184" t="s">
        <v>598</v>
      </c>
      <c r="R121" s="184" t="s">
        <v>598</v>
      </c>
      <c r="S121" s="172">
        <v>42996.326388888891</v>
      </c>
      <c r="T121" s="32" t="s">
        <v>552</v>
      </c>
    </row>
    <row r="122" spans="1:20">
      <c r="A122" s="184" t="s">
        <v>1270</v>
      </c>
      <c r="B122" s="184" t="s">
        <v>3850</v>
      </c>
      <c r="C122" s="127">
        <v>42888</v>
      </c>
      <c r="D122" s="184" t="s">
        <v>10</v>
      </c>
      <c r="E122" s="184" t="s">
        <v>598</v>
      </c>
      <c r="F122" s="185">
        <v>3000</v>
      </c>
      <c r="G122" s="184" t="s">
        <v>493</v>
      </c>
      <c r="H122" s="184" t="s">
        <v>598</v>
      </c>
      <c r="I122" s="185">
        <v>0</v>
      </c>
      <c r="J122" s="184" t="s">
        <v>598</v>
      </c>
      <c r="K122" s="127">
        <v>42881</v>
      </c>
      <c r="L122" s="184" t="s">
        <v>598</v>
      </c>
      <c r="M122" s="184" t="s">
        <v>84</v>
      </c>
      <c r="N122" s="184" t="s">
        <v>1262</v>
      </c>
      <c r="O122" s="184" t="s">
        <v>598</v>
      </c>
      <c r="P122" s="184" t="s">
        <v>63</v>
      </c>
      <c r="Q122" s="184" t="s">
        <v>86</v>
      </c>
      <c r="R122" s="184" t="s">
        <v>598</v>
      </c>
      <c r="S122" s="172">
        <v>42996.326388888891</v>
      </c>
      <c r="T122" s="32" t="s">
        <v>552</v>
      </c>
    </row>
    <row r="123" spans="1:20">
      <c r="A123" s="184" t="s">
        <v>1275</v>
      </c>
      <c r="B123" s="184" t="s">
        <v>3851</v>
      </c>
      <c r="C123" s="127">
        <v>42892</v>
      </c>
      <c r="D123" s="184" t="s">
        <v>34</v>
      </c>
      <c r="E123" s="184" t="s">
        <v>598</v>
      </c>
      <c r="F123" s="185">
        <v>3500</v>
      </c>
      <c r="G123" s="184" t="s">
        <v>493</v>
      </c>
      <c r="H123" s="184" t="s">
        <v>598</v>
      </c>
      <c r="I123" s="185">
        <v>0</v>
      </c>
      <c r="J123" s="184" t="s">
        <v>598</v>
      </c>
      <c r="K123" s="127">
        <v>42885</v>
      </c>
      <c r="L123" s="184" t="s">
        <v>598</v>
      </c>
      <c r="M123" s="184" t="s">
        <v>84</v>
      </c>
      <c r="N123" s="184" t="s">
        <v>242</v>
      </c>
      <c r="O123" s="184" t="s">
        <v>598</v>
      </c>
      <c r="P123" s="184" t="s">
        <v>63</v>
      </c>
      <c r="Q123" s="184" t="s">
        <v>86</v>
      </c>
      <c r="R123" s="184" t="s">
        <v>598</v>
      </c>
      <c r="S123" s="172">
        <v>42996.326388888891</v>
      </c>
      <c r="T123" s="32" t="s">
        <v>552</v>
      </c>
    </row>
    <row r="124" spans="1:20">
      <c r="A124" s="184" t="s">
        <v>1277</v>
      </c>
      <c r="B124" s="184" t="s">
        <v>3852</v>
      </c>
      <c r="C124" s="127">
        <v>42893</v>
      </c>
      <c r="D124" s="184" t="s">
        <v>10</v>
      </c>
      <c r="E124" s="184" t="s">
        <v>598</v>
      </c>
      <c r="F124" s="185">
        <v>3500</v>
      </c>
      <c r="G124" s="184" t="s">
        <v>493</v>
      </c>
      <c r="H124" s="184" t="s">
        <v>598</v>
      </c>
      <c r="I124" s="185">
        <v>0</v>
      </c>
      <c r="J124" s="184" t="s">
        <v>598</v>
      </c>
      <c r="K124" s="127">
        <v>42885</v>
      </c>
      <c r="L124" s="184" t="s">
        <v>598</v>
      </c>
      <c r="M124" s="184" t="s">
        <v>111</v>
      </c>
      <c r="N124" s="184" t="s">
        <v>243</v>
      </c>
      <c r="O124" s="184" t="s">
        <v>598</v>
      </c>
      <c r="P124" s="184" t="s">
        <v>63</v>
      </c>
      <c r="Q124" s="184" t="s">
        <v>86</v>
      </c>
      <c r="R124" s="184" t="s">
        <v>598</v>
      </c>
      <c r="S124" s="172">
        <v>42996.326388888891</v>
      </c>
      <c r="T124" s="32" t="s">
        <v>552</v>
      </c>
    </row>
    <row r="125" spans="1:20">
      <c r="A125" s="184" t="s">
        <v>1285</v>
      </c>
      <c r="B125" s="184" t="s">
        <v>3853</v>
      </c>
      <c r="C125" s="127">
        <v>42895</v>
      </c>
      <c r="D125" s="184" t="s">
        <v>10</v>
      </c>
      <c r="E125" s="184" t="s">
        <v>598</v>
      </c>
      <c r="F125" s="185">
        <v>3000</v>
      </c>
      <c r="G125" s="184" t="s">
        <v>493</v>
      </c>
      <c r="H125" s="184">
        <v>4049</v>
      </c>
      <c r="I125" s="185">
        <v>4000</v>
      </c>
      <c r="J125" s="184" t="s">
        <v>598</v>
      </c>
      <c r="K125" s="127">
        <v>42886</v>
      </c>
      <c r="L125" s="184" t="s">
        <v>598</v>
      </c>
      <c r="M125" s="184" t="s">
        <v>84</v>
      </c>
      <c r="N125" s="184" t="s">
        <v>598</v>
      </c>
      <c r="O125" s="184" t="s">
        <v>598</v>
      </c>
      <c r="P125" s="184" t="s">
        <v>63</v>
      </c>
      <c r="Q125" s="184" t="s">
        <v>598</v>
      </c>
      <c r="R125" s="184" t="s">
        <v>598</v>
      </c>
      <c r="S125" s="172">
        <v>42996.326388888891</v>
      </c>
      <c r="T125" s="32" t="s">
        <v>552</v>
      </c>
    </row>
    <row r="126" spans="1:20">
      <c r="A126" s="184" t="s">
        <v>1300</v>
      </c>
      <c r="B126" s="184" t="s">
        <v>3854</v>
      </c>
      <c r="C126" s="127">
        <v>42887</v>
      </c>
      <c r="D126" s="184" t="s">
        <v>10</v>
      </c>
      <c r="E126" s="184" t="s">
        <v>598</v>
      </c>
      <c r="F126" s="185">
        <v>1500</v>
      </c>
      <c r="G126" s="184" t="s">
        <v>493</v>
      </c>
      <c r="H126" s="184" t="s">
        <v>598</v>
      </c>
      <c r="I126" s="185">
        <v>0</v>
      </c>
      <c r="J126" s="184" t="s">
        <v>598</v>
      </c>
      <c r="K126" s="127">
        <v>42868</v>
      </c>
      <c r="L126" s="184" t="s">
        <v>598</v>
      </c>
      <c r="M126" s="184" t="s">
        <v>102</v>
      </c>
      <c r="N126" s="184" t="s">
        <v>598</v>
      </c>
      <c r="O126" s="184" t="s">
        <v>598</v>
      </c>
      <c r="P126" s="184" t="s">
        <v>63</v>
      </c>
      <c r="Q126" s="184" t="s">
        <v>86</v>
      </c>
      <c r="R126" s="184" t="s">
        <v>598</v>
      </c>
      <c r="S126" s="172">
        <v>42996.326388888891</v>
      </c>
      <c r="T126" s="32" t="s">
        <v>552</v>
      </c>
    </row>
    <row r="127" spans="1:20">
      <c r="A127" s="184" t="s">
        <v>1304</v>
      </c>
      <c r="B127" s="184" t="s">
        <v>3855</v>
      </c>
      <c r="C127" s="127">
        <v>42895</v>
      </c>
      <c r="D127" s="184" t="s">
        <v>10</v>
      </c>
      <c r="E127" s="184" t="s">
        <v>598</v>
      </c>
      <c r="F127" s="185">
        <v>5000</v>
      </c>
      <c r="G127" s="184" t="s">
        <v>493</v>
      </c>
      <c r="H127" s="184">
        <v>2823</v>
      </c>
      <c r="I127" s="185">
        <v>6000</v>
      </c>
      <c r="J127" s="184" t="s">
        <v>598</v>
      </c>
      <c r="K127" s="127">
        <v>42871</v>
      </c>
      <c r="L127" s="184" t="s">
        <v>598</v>
      </c>
      <c r="M127" s="184" t="s">
        <v>102</v>
      </c>
      <c r="N127" s="184" t="s">
        <v>233</v>
      </c>
      <c r="O127" s="184" t="s">
        <v>598</v>
      </c>
      <c r="P127" s="184" t="s">
        <v>63</v>
      </c>
      <c r="Q127" s="184" t="s">
        <v>598</v>
      </c>
      <c r="R127" s="184" t="s">
        <v>598</v>
      </c>
      <c r="S127" s="172">
        <v>42996.326388888891</v>
      </c>
      <c r="T127" s="32" t="s">
        <v>552</v>
      </c>
    </row>
    <row r="128" spans="1:20">
      <c r="A128" s="184" t="s">
        <v>1308</v>
      </c>
      <c r="B128" s="184" t="s">
        <v>3856</v>
      </c>
      <c r="C128" s="127">
        <v>42893</v>
      </c>
      <c r="D128" s="184" t="s">
        <v>34</v>
      </c>
      <c r="E128" s="184" t="s">
        <v>598</v>
      </c>
      <c r="F128" s="185">
        <v>4000</v>
      </c>
      <c r="G128" s="184" t="s">
        <v>493</v>
      </c>
      <c r="H128" s="184" t="s">
        <v>598</v>
      </c>
      <c r="I128" s="185">
        <v>0</v>
      </c>
      <c r="J128" s="184" t="s">
        <v>598</v>
      </c>
      <c r="K128" s="127">
        <v>42875</v>
      </c>
      <c r="L128" s="184" t="s">
        <v>598</v>
      </c>
      <c r="M128" s="184" t="s">
        <v>102</v>
      </c>
      <c r="N128" s="184" t="s">
        <v>233</v>
      </c>
      <c r="O128" s="184" t="s">
        <v>598</v>
      </c>
      <c r="P128" s="184" t="s">
        <v>63</v>
      </c>
      <c r="Q128" s="184" t="s">
        <v>86</v>
      </c>
      <c r="R128" s="184" t="s">
        <v>598</v>
      </c>
      <c r="S128" s="172">
        <v>42996.326388888891</v>
      </c>
      <c r="T128" s="32" t="s">
        <v>552</v>
      </c>
    </row>
    <row r="129" spans="1:20">
      <c r="A129" s="184" t="s">
        <v>1310</v>
      </c>
      <c r="B129" s="184" t="s">
        <v>3857</v>
      </c>
      <c r="C129" s="127">
        <v>42893</v>
      </c>
      <c r="D129" s="184" t="s">
        <v>34</v>
      </c>
      <c r="E129" s="184" t="s">
        <v>598</v>
      </c>
      <c r="F129" s="185">
        <v>4000</v>
      </c>
      <c r="G129" s="184" t="s">
        <v>493</v>
      </c>
      <c r="H129" s="184" t="s">
        <v>598</v>
      </c>
      <c r="I129" s="185">
        <v>0</v>
      </c>
      <c r="J129" s="184" t="s">
        <v>598</v>
      </c>
      <c r="K129" s="127">
        <v>42875</v>
      </c>
      <c r="L129" s="184" t="s">
        <v>598</v>
      </c>
      <c r="M129" s="184" t="s">
        <v>102</v>
      </c>
      <c r="N129" s="184" t="s">
        <v>233</v>
      </c>
      <c r="O129" s="184" t="s">
        <v>598</v>
      </c>
      <c r="P129" s="184" t="s">
        <v>63</v>
      </c>
      <c r="Q129" s="184" t="s">
        <v>86</v>
      </c>
      <c r="R129" s="184" t="s">
        <v>598</v>
      </c>
      <c r="S129" s="172">
        <v>42996.326388888891</v>
      </c>
      <c r="T129" s="32" t="s">
        <v>552</v>
      </c>
    </row>
    <row r="130" spans="1:20">
      <c r="A130" s="184" t="s">
        <v>1312</v>
      </c>
      <c r="B130" s="184" t="s">
        <v>3858</v>
      </c>
      <c r="C130" s="127">
        <v>42893</v>
      </c>
      <c r="D130" s="184" t="s">
        <v>34</v>
      </c>
      <c r="E130" s="184" t="s">
        <v>598</v>
      </c>
      <c r="F130" s="185">
        <v>4000</v>
      </c>
      <c r="G130" s="184" t="s">
        <v>493</v>
      </c>
      <c r="H130" s="184" t="s">
        <v>598</v>
      </c>
      <c r="I130" s="185">
        <v>0</v>
      </c>
      <c r="J130" s="184" t="s">
        <v>598</v>
      </c>
      <c r="K130" s="127">
        <v>42875</v>
      </c>
      <c r="L130" s="184" t="s">
        <v>134</v>
      </c>
      <c r="M130" s="184" t="s">
        <v>102</v>
      </c>
      <c r="N130" s="184" t="s">
        <v>233</v>
      </c>
      <c r="O130" s="184" t="s">
        <v>598</v>
      </c>
      <c r="P130" s="184" t="s">
        <v>63</v>
      </c>
      <c r="Q130" s="184" t="s">
        <v>63</v>
      </c>
      <c r="R130" s="184" t="s">
        <v>598</v>
      </c>
      <c r="S130" s="172">
        <v>42996.326388888891</v>
      </c>
      <c r="T130" s="32" t="s">
        <v>552</v>
      </c>
    </row>
    <row r="131" spans="1:20">
      <c r="A131" s="184" t="s">
        <v>1314</v>
      </c>
      <c r="B131" s="184" t="s">
        <v>3859</v>
      </c>
      <c r="C131" s="127">
        <v>42893</v>
      </c>
      <c r="D131" s="184" t="s">
        <v>34</v>
      </c>
      <c r="E131" s="184" t="s">
        <v>598</v>
      </c>
      <c r="F131" s="185">
        <v>4000</v>
      </c>
      <c r="G131" s="184" t="s">
        <v>493</v>
      </c>
      <c r="H131" s="184" t="s">
        <v>598</v>
      </c>
      <c r="I131" s="185">
        <v>0</v>
      </c>
      <c r="J131" s="184" t="s">
        <v>598</v>
      </c>
      <c r="K131" s="127">
        <v>42875</v>
      </c>
      <c r="L131" s="184" t="s">
        <v>134</v>
      </c>
      <c r="M131" s="184" t="s">
        <v>102</v>
      </c>
      <c r="N131" s="184" t="s">
        <v>233</v>
      </c>
      <c r="O131" s="184" t="s">
        <v>598</v>
      </c>
      <c r="P131" s="184" t="s">
        <v>63</v>
      </c>
      <c r="Q131" s="184" t="s">
        <v>63</v>
      </c>
      <c r="R131" s="184" t="s">
        <v>598</v>
      </c>
      <c r="S131" s="172">
        <v>42996.326388888891</v>
      </c>
      <c r="T131" s="32" t="s">
        <v>552</v>
      </c>
    </row>
    <row r="132" spans="1:20">
      <c r="A132" s="184" t="s">
        <v>1316</v>
      </c>
      <c r="B132" s="184" t="s">
        <v>3860</v>
      </c>
      <c r="C132" s="127">
        <v>42893</v>
      </c>
      <c r="D132" s="184" t="s">
        <v>34</v>
      </c>
      <c r="E132" s="184" t="s">
        <v>598</v>
      </c>
      <c r="F132" s="185">
        <v>4000</v>
      </c>
      <c r="G132" s="184" t="s">
        <v>493</v>
      </c>
      <c r="H132" s="184" t="s">
        <v>598</v>
      </c>
      <c r="I132" s="185">
        <v>0</v>
      </c>
      <c r="J132" s="184" t="s">
        <v>598</v>
      </c>
      <c r="K132" s="127">
        <v>42875</v>
      </c>
      <c r="L132" s="184" t="s">
        <v>134</v>
      </c>
      <c r="M132" s="184" t="s">
        <v>102</v>
      </c>
      <c r="N132" s="184" t="s">
        <v>233</v>
      </c>
      <c r="O132" s="184" t="s">
        <v>598</v>
      </c>
      <c r="P132" s="184" t="s">
        <v>63</v>
      </c>
      <c r="Q132" s="184" t="s">
        <v>63</v>
      </c>
      <c r="R132" s="184" t="s">
        <v>598</v>
      </c>
      <c r="S132" s="172">
        <v>42996.326388888891</v>
      </c>
      <c r="T132" s="32" t="s">
        <v>552</v>
      </c>
    </row>
    <row r="133" spans="1:20">
      <c r="A133" s="184" t="s">
        <v>1318</v>
      </c>
      <c r="B133" s="184" t="s">
        <v>3861</v>
      </c>
      <c r="C133" s="127">
        <v>42893</v>
      </c>
      <c r="D133" s="184" t="s">
        <v>34</v>
      </c>
      <c r="E133" s="184" t="s">
        <v>598</v>
      </c>
      <c r="F133" s="185">
        <v>4000</v>
      </c>
      <c r="G133" s="184" t="s">
        <v>493</v>
      </c>
      <c r="H133" s="184" t="s">
        <v>598</v>
      </c>
      <c r="I133" s="185">
        <v>0</v>
      </c>
      <c r="J133" s="184" t="s">
        <v>598</v>
      </c>
      <c r="K133" s="127">
        <v>42875</v>
      </c>
      <c r="L133" s="184" t="s">
        <v>134</v>
      </c>
      <c r="M133" s="184" t="s">
        <v>102</v>
      </c>
      <c r="N133" s="184" t="s">
        <v>233</v>
      </c>
      <c r="O133" s="184" t="s">
        <v>598</v>
      </c>
      <c r="P133" s="184" t="s">
        <v>63</v>
      </c>
      <c r="Q133" s="184" t="s">
        <v>63</v>
      </c>
      <c r="R133" s="184" t="s">
        <v>598</v>
      </c>
      <c r="S133" s="172">
        <v>42996.326388888891</v>
      </c>
      <c r="T133" s="32" t="s">
        <v>552</v>
      </c>
    </row>
    <row r="134" spans="1:20">
      <c r="A134" s="184" t="s">
        <v>1327</v>
      </c>
      <c r="B134" s="184" t="s">
        <v>3862</v>
      </c>
      <c r="C134" s="127">
        <v>42908</v>
      </c>
      <c r="D134" s="184" t="s">
        <v>10</v>
      </c>
      <c r="E134" s="184" t="s">
        <v>598</v>
      </c>
      <c r="F134" s="185">
        <v>4000</v>
      </c>
      <c r="G134" s="184" t="s">
        <v>493</v>
      </c>
      <c r="H134" s="184">
        <v>2829</v>
      </c>
      <c r="I134" s="185">
        <v>4000</v>
      </c>
      <c r="J134" s="184" t="s">
        <v>598</v>
      </c>
      <c r="K134" s="127">
        <v>42878</v>
      </c>
      <c r="L134" s="184" t="s">
        <v>598</v>
      </c>
      <c r="M134" s="184" t="s">
        <v>102</v>
      </c>
      <c r="N134" s="184" t="s">
        <v>245</v>
      </c>
      <c r="O134" s="184" t="s">
        <v>598</v>
      </c>
      <c r="P134" s="184" t="s">
        <v>63</v>
      </c>
      <c r="Q134" s="184" t="s">
        <v>63</v>
      </c>
      <c r="R134" s="184" t="s">
        <v>598</v>
      </c>
      <c r="S134" s="172">
        <v>42996.326388888891</v>
      </c>
      <c r="T134" s="32" t="s">
        <v>552</v>
      </c>
    </row>
    <row r="135" spans="1:20">
      <c r="A135" s="184" t="s">
        <v>1331</v>
      </c>
      <c r="B135" s="184" t="s">
        <v>3863</v>
      </c>
      <c r="C135" s="127">
        <v>42891</v>
      </c>
      <c r="D135" s="184" t="s">
        <v>34</v>
      </c>
      <c r="E135" s="184" t="s">
        <v>598</v>
      </c>
      <c r="F135" s="185">
        <v>3500</v>
      </c>
      <c r="G135" s="184" t="s">
        <v>493</v>
      </c>
      <c r="H135" s="184" t="s">
        <v>598</v>
      </c>
      <c r="I135" s="185">
        <v>0</v>
      </c>
      <c r="J135" s="184" t="s">
        <v>598</v>
      </c>
      <c r="K135" s="127">
        <v>42878</v>
      </c>
      <c r="L135" s="184" t="s">
        <v>598</v>
      </c>
      <c r="M135" s="184" t="s">
        <v>102</v>
      </c>
      <c r="N135" s="184" t="s">
        <v>233</v>
      </c>
      <c r="O135" s="184" t="s">
        <v>598</v>
      </c>
      <c r="P135" s="184" t="s">
        <v>63</v>
      </c>
      <c r="Q135" s="184" t="s">
        <v>63</v>
      </c>
      <c r="R135" s="184" t="s">
        <v>598</v>
      </c>
      <c r="S135" s="172">
        <v>42996.326388888891</v>
      </c>
      <c r="T135" s="32" t="s">
        <v>552</v>
      </c>
    </row>
    <row r="136" spans="1:20">
      <c r="A136" s="184" t="s">
        <v>1335</v>
      </c>
      <c r="B136" s="184" t="s">
        <v>3864</v>
      </c>
      <c r="C136" s="127">
        <v>42907</v>
      </c>
      <c r="D136" s="184" t="s">
        <v>10</v>
      </c>
      <c r="E136" s="184" t="s">
        <v>598</v>
      </c>
      <c r="F136" s="185">
        <v>2500</v>
      </c>
      <c r="G136" s="184" t="s">
        <v>493</v>
      </c>
      <c r="H136" s="184">
        <v>2828</v>
      </c>
      <c r="I136" s="185">
        <v>2500</v>
      </c>
      <c r="J136" s="184" t="s">
        <v>598</v>
      </c>
      <c r="K136" s="127">
        <v>42882</v>
      </c>
      <c r="L136" s="184" t="s">
        <v>598</v>
      </c>
      <c r="M136" s="184" t="s">
        <v>102</v>
      </c>
      <c r="N136" s="184" t="s">
        <v>241</v>
      </c>
      <c r="O136" s="184" t="s">
        <v>598</v>
      </c>
      <c r="P136" s="184" t="s">
        <v>63</v>
      </c>
      <c r="Q136" s="184" t="s">
        <v>63</v>
      </c>
      <c r="R136" s="184" t="s">
        <v>598</v>
      </c>
      <c r="S136" s="172">
        <v>42996.326388888891</v>
      </c>
      <c r="T136" s="32" t="s">
        <v>552</v>
      </c>
    </row>
    <row r="137" spans="1:20">
      <c r="A137" s="184" t="s">
        <v>1339</v>
      </c>
      <c r="B137" s="184" t="s">
        <v>3865</v>
      </c>
      <c r="C137" s="127">
        <v>42888</v>
      </c>
      <c r="D137" s="184" t="s">
        <v>34</v>
      </c>
      <c r="E137" s="184" t="s">
        <v>598</v>
      </c>
      <c r="F137" s="185">
        <v>1000</v>
      </c>
      <c r="G137" s="184" t="s">
        <v>573</v>
      </c>
      <c r="H137" s="184" t="s">
        <v>598</v>
      </c>
      <c r="I137" s="185">
        <v>0</v>
      </c>
      <c r="J137" s="184" t="s">
        <v>598</v>
      </c>
      <c r="K137" s="127">
        <v>42885</v>
      </c>
      <c r="L137" s="184" t="s">
        <v>598</v>
      </c>
      <c r="M137" s="184" t="s">
        <v>102</v>
      </c>
      <c r="N137" s="184" t="s">
        <v>598</v>
      </c>
      <c r="O137" s="184" t="s">
        <v>598</v>
      </c>
      <c r="P137" s="184" t="s">
        <v>63</v>
      </c>
      <c r="Q137" s="184" t="s">
        <v>63</v>
      </c>
      <c r="R137" s="184" t="s">
        <v>598</v>
      </c>
      <c r="S137" s="172">
        <v>42996.326388888891</v>
      </c>
      <c r="T137" s="32" t="s">
        <v>552</v>
      </c>
    </row>
    <row r="138" spans="1:20">
      <c r="A138" s="184" t="s">
        <v>1341</v>
      </c>
      <c r="B138" s="184" t="s">
        <v>3866</v>
      </c>
      <c r="C138" s="127">
        <v>42889</v>
      </c>
      <c r="D138" s="184" t="s">
        <v>34</v>
      </c>
      <c r="E138" s="184" t="s">
        <v>598</v>
      </c>
      <c r="F138" s="185">
        <v>3500</v>
      </c>
      <c r="G138" s="184" t="s">
        <v>493</v>
      </c>
      <c r="H138" s="184" t="s">
        <v>598</v>
      </c>
      <c r="I138" s="185">
        <v>0</v>
      </c>
      <c r="J138" s="184" t="s">
        <v>598</v>
      </c>
      <c r="K138" s="127">
        <v>42885</v>
      </c>
      <c r="L138" s="184" t="s">
        <v>598</v>
      </c>
      <c r="M138" s="184" t="s">
        <v>102</v>
      </c>
      <c r="N138" s="184" t="s">
        <v>598</v>
      </c>
      <c r="O138" s="184" t="s">
        <v>598</v>
      </c>
      <c r="P138" s="184" t="s">
        <v>63</v>
      </c>
      <c r="Q138" s="184" t="s">
        <v>63</v>
      </c>
      <c r="R138" s="184" t="s">
        <v>598</v>
      </c>
      <c r="S138" s="172">
        <v>42996.326388888891</v>
      </c>
      <c r="T138" s="32" t="s">
        <v>552</v>
      </c>
    </row>
    <row r="139" spans="1:20">
      <c r="A139" s="184" t="s">
        <v>1378</v>
      </c>
      <c r="B139" s="184" t="s">
        <v>3867</v>
      </c>
      <c r="C139" s="127">
        <v>42909</v>
      </c>
      <c r="D139" s="184" t="s">
        <v>10</v>
      </c>
      <c r="E139" s="184" t="s">
        <v>598</v>
      </c>
      <c r="F139" s="185">
        <v>5000</v>
      </c>
      <c r="G139" s="184" t="s">
        <v>493</v>
      </c>
      <c r="H139" s="184" t="s">
        <v>598</v>
      </c>
      <c r="I139" s="185">
        <v>0</v>
      </c>
      <c r="J139" s="184" t="s">
        <v>598</v>
      </c>
      <c r="K139" s="127">
        <v>42567</v>
      </c>
      <c r="L139" s="184" t="s">
        <v>134</v>
      </c>
      <c r="M139" s="184" t="s">
        <v>49</v>
      </c>
      <c r="N139" s="184" t="s">
        <v>246</v>
      </c>
      <c r="O139" s="184" t="s">
        <v>598</v>
      </c>
      <c r="P139" s="184" t="s">
        <v>79</v>
      </c>
      <c r="Q139" s="184" t="s">
        <v>112</v>
      </c>
      <c r="R139" s="184" t="s">
        <v>598</v>
      </c>
      <c r="S139" s="172">
        <v>42996.326388888891</v>
      </c>
      <c r="T139" s="32" t="s">
        <v>552</v>
      </c>
    </row>
    <row r="140" spans="1:20">
      <c r="A140" s="184" t="s">
        <v>1380</v>
      </c>
      <c r="B140" s="184" t="s">
        <v>3868</v>
      </c>
      <c r="C140" s="127">
        <v>42909</v>
      </c>
      <c r="D140" s="184" t="s">
        <v>10</v>
      </c>
      <c r="E140" s="184" t="s">
        <v>598</v>
      </c>
      <c r="F140" s="185">
        <v>5000</v>
      </c>
      <c r="G140" s="184" t="s">
        <v>493</v>
      </c>
      <c r="H140" s="184" t="s">
        <v>598</v>
      </c>
      <c r="I140" s="185">
        <v>0</v>
      </c>
      <c r="J140" s="184" t="s">
        <v>598</v>
      </c>
      <c r="K140" s="127">
        <v>42668</v>
      </c>
      <c r="L140" s="184" t="s">
        <v>134</v>
      </c>
      <c r="M140" s="184" t="s">
        <v>49</v>
      </c>
      <c r="N140" s="184" t="s">
        <v>1382</v>
      </c>
      <c r="O140" s="184" t="s">
        <v>598</v>
      </c>
      <c r="P140" s="184" t="s">
        <v>79</v>
      </c>
      <c r="Q140" s="184" t="s">
        <v>112</v>
      </c>
      <c r="R140" s="184" t="s">
        <v>598</v>
      </c>
      <c r="S140" s="172">
        <v>42996.326388888891</v>
      </c>
      <c r="T140" s="32" t="s">
        <v>552</v>
      </c>
    </row>
    <row r="141" spans="1:20">
      <c r="A141" s="184" t="s">
        <v>1383</v>
      </c>
      <c r="B141" s="184" t="s">
        <v>3869</v>
      </c>
      <c r="C141" s="127">
        <v>42888</v>
      </c>
      <c r="D141" s="184" t="s">
        <v>10</v>
      </c>
      <c r="E141" s="184" t="s">
        <v>598</v>
      </c>
      <c r="F141" s="185">
        <v>8000</v>
      </c>
      <c r="G141" s="184" t="s">
        <v>493</v>
      </c>
      <c r="H141" s="184" t="s">
        <v>598</v>
      </c>
      <c r="I141" s="185">
        <v>0</v>
      </c>
      <c r="J141" s="184" t="s">
        <v>598</v>
      </c>
      <c r="K141" s="127">
        <v>42681</v>
      </c>
      <c r="L141" s="184" t="s">
        <v>115</v>
      </c>
      <c r="M141" s="184" t="s">
        <v>49</v>
      </c>
      <c r="N141" s="184" t="s">
        <v>598</v>
      </c>
      <c r="O141" s="184" t="s">
        <v>598</v>
      </c>
      <c r="P141" s="184" t="s">
        <v>79</v>
      </c>
      <c r="Q141" s="184" t="s">
        <v>85</v>
      </c>
      <c r="R141" s="184" t="s">
        <v>598</v>
      </c>
      <c r="S141" s="172">
        <v>42996.326388888891</v>
      </c>
      <c r="T141" s="32" t="s">
        <v>552</v>
      </c>
    </row>
    <row r="142" spans="1:20">
      <c r="A142" s="184" t="s">
        <v>1387</v>
      </c>
      <c r="B142" s="184" t="s">
        <v>3870</v>
      </c>
      <c r="C142" s="127">
        <v>42888</v>
      </c>
      <c r="D142" s="184" t="s">
        <v>10</v>
      </c>
      <c r="E142" s="184" t="s">
        <v>598</v>
      </c>
      <c r="F142" s="185">
        <v>8000</v>
      </c>
      <c r="G142" s="184" t="s">
        <v>493</v>
      </c>
      <c r="H142" s="184" t="s">
        <v>598</v>
      </c>
      <c r="I142" s="185">
        <v>0</v>
      </c>
      <c r="J142" s="184" t="s">
        <v>598</v>
      </c>
      <c r="K142" s="127">
        <v>42754</v>
      </c>
      <c r="L142" s="184" t="s">
        <v>115</v>
      </c>
      <c r="M142" s="184" t="s">
        <v>49</v>
      </c>
      <c r="N142" s="184" t="s">
        <v>598</v>
      </c>
      <c r="O142" s="184" t="s">
        <v>598</v>
      </c>
      <c r="P142" s="184" t="s">
        <v>79</v>
      </c>
      <c r="Q142" s="184" t="s">
        <v>112</v>
      </c>
      <c r="R142" s="184" t="s">
        <v>598</v>
      </c>
      <c r="S142" s="172">
        <v>42996.326388888891</v>
      </c>
      <c r="T142" s="32" t="s">
        <v>552</v>
      </c>
    </row>
    <row r="143" spans="1:20">
      <c r="A143" s="184" t="s">
        <v>1393</v>
      </c>
      <c r="B143" s="184" t="s">
        <v>3871</v>
      </c>
      <c r="C143" s="127">
        <v>42901</v>
      </c>
      <c r="D143" s="184" t="s">
        <v>10</v>
      </c>
      <c r="E143" s="184" t="s">
        <v>598</v>
      </c>
      <c r="F143" s="185">
        <v>4000</v>
      </c>
      <c r="G143" s="184" t="s">
        <v>493</v>
      </c>
      <c r="H143" s="184" t="s">
        <v>598</v>
      </c>
      <c r="I143" s="185">
        <v>0</v>
      </c>
      <c r="J143" s="184" t="s">
        <v>598</v>
      </c>
      <c r="K143" s="127">
        <v>42845</v>
      </c>
      <c r="L143" s="184" t="s">
        <v>598</v>
      </c>
      <c r="M143" s="184" t="s">
        <v>49</v>
      </c>
      <c r="N143" s="184" t="s">
        <v>248</v>
      </c>
      <c r="O143" s="184" t="s">
        <v>598</v>
      </c>
      <c r="P143" s="184" t="s">
        <v>79</v>
      </c>
      <c r="Q143" s="184" t="s">
        <v>79</v>
      </c>
      <c r="R143" s="184" t="s">
        <v>598</v>
      </c>
      <c r="S143" s="172">
        <v>42996.326388888891</v>
      </c>
      <c r="T143" s="32" t="s">
        <v>552</v>
      </c>
    </row>
    <row r="144" spans="1:20">
      <c r="A144" s="184" t="s">
        <v>1395</v>
      </c>
      <c r="B144" s="184" t="s">
        <v>3872</v>
      </c>
      <c r="C144" s="127">
        <v>42901</v>
      </c>
      <c r="D144" s="184" t="s">
        <v>10</v>
      </c>
      <c r="E144" s="184" t="s">
        <v>598</v>
      </c>
      <c r="F144" s="185">
        <v>4000</v>
      </c>
      <c r="G144" s="184" t="s">
        <v>493</v>
      </c>
      <c r="H144" s="184" t="s">
        <v>598</v>
      </c>
      <c r="I144" s="185">
        <v>0</v>
      </c>
      <c r="J144" s="184" t="s">
        <v>598</v>
      </c>
      <c r="K144" s="127">
        <v>42856</v>
      </c>
      <c r="L144" s="184" t="s">
        <v>134</v>
      </c>
      <c r="M144" s="184" t="s">
        <v>49</v>
      </c>
      <c r="N144" s="184" t="s">
        <v>248</v>
      </c>
      <c r="O144" s="184" t="s">
        <v>598</v>
      </c>
      <c r="P144" s="184" t="s">
        <v>79</v>
      </c>
      <c r="Q144" s="184" t="s">
        <v>79</v>
      </c>
      <c r="R144" s="184" t="s">
        <v>598</v>
      </c>
      <c r="S144" s="172">
        <v>42996.326388888891</v>
      </c>
      <c r="T144" s="32" t="s">
        <v>552</v>
      </c>
    </row>
    <row r="145" spans="1:20">
      <c r="A145" s="184" t="s">
        <v>1396</v>
      </c>
      <c r="B145" s="184" t="s">
        <v>3873</v>
      </c>
      <c r="C145" s="127">
        <v>42901</v>
      </c>
      <c r="D145" s="184" t="s">
        <v>10</v>
      </c>
      <c r="E145" s="184" t="s">
        <v>598</v>
      </c>
      <c r="F145" s="185">
        <v>2500</v>
      </c>
      <c r="G145" s="184" t="s">
        <v>493</v>
      </c>
      <c r="H145" s="184" t="s">
        <v>598</v>
      </c>
      <c r="I145" s="185">
        <v>0</v>
      </c>
      <c r="J145" s="184" t="s">
        <v>598</v>
      </c>
      <c r="K145" s="127">
        <v>42856</v>
      </c>
      <c r="L145" s="184" t="s">
        <v>134</v>
      </c>
      <c r="M145" s="184" t="s">
        <v>49</v>
      </c>
      <c r="N145" s="184" t="s">
        <v>248</v>
      </c>
      <c r="O145" s="184" t="s">
        <v>598</v>
      </c>
      <c r="P145" s="184" t="s">
        <v>79</v>
      </c>
      <c r="Q145" s="184" t="s">
        <v>79</v>
      </c>
      <c r="R145" s="184" t="s">
        <v>598</v>
      </c>
      <c r="S145" s="172">
        <v>42996.326388888891</v>
      </c>
      <c r="T145" s="32" t="s">
        <v>552</v>
      </c>
    </row>
    <row r="146" spans="1:20">
      <c r="A146" s="184" t="s">
        <v>1398</v>
      </c>
      <c r="B146" s="184" t="s">
        <v>3874</v>
      </c>
      <c r="C146" s="127">
        <v>42901</v>
      </c>
      <c r="D146" s="184" t="s">
        <v>10</v>
      </c>
      <c r="E146" s="184" t="s">
        <v>598</v>
      </c>
      <c r="F146" s="185">
        <v>2500</v>
      </c>
      <c r="G146" s="184" t="s">
        <v>493</v>
      </c>
      <c r="H146" s="184" t="s">
        <v>598</v>
      </c>
      <c r="I146" s="185">
        <v>0</v>
      </c>
      <c r="J146" s="184" t="s">
        <v>598</v>
      </c>
      <c r="K146" s="127">
        <v>42868</v>
      </c>
      <c r="L146" s="184" t="s">
        <v>598</v>
      </c>
      <c r="M146" s="184" t="s">
        <v>49</v>
      </c>
      <c r="N146" s="184" t="s">
        <v>248</v>
      </c>
      <c r="O146" s="184" t="s">
        <v>598</v>
      </c>
      <c r="P146" s="184" t="s">
        <v>79</v>
      </c>
      <c r="Q146" s="184" t="s">
        <v>79</v>
      </c>
      <c r="R146" s="184" t="s">
        <v>598</v>
      </c>
      <c r="S146" s="172">
        <v>42996.326388888891</v>
      </c>
      <c r="T146" s="32" t="s">
        <v>552</v>
      </c>
    </row>
    <row r="147" spans="1:20">
      <c r="A147" s="184" t="s">
        <v>1400</v>
      </c>
      <c r="B147" s="184" t="s">
        <v>3875</v>
      </c>
      <c r="C147" s="127">
        <v>42894</v>
      </c>
      <c r="D147" s="184" t="s">
        <v>10</v>
      </c>
      <c r="E147" s="184" t="s">
        <v>598</v>
      </c>
      <c r="F147" s="185">
        <v>5000</v>
      </c>
      <c r="G147" s="184" t="s">
        <v>493</v>
      </c>
      <c r="H147" s="184" t="s">
        <v>598</v>
      </c>
      <c r="I147" s="185">
        <v>0</v>
      </c>
      <c r="J147" s="184" t="s">
        <v>598</v>
      </c>
      <c r="K147" s="127">
        <v>42872</v>
      </c>
      <c r="L147" s="184" t="s">
        <v>134</v>
      </c>
      <c r="M147" s="184" t="s">
        <v>49</v>
      </c>
      <c r="N147" s="184" t="s">
        <v>249</v>
      </c>
      <c r="O147" s="184" t="s">
        <v>598</v>
      </c>
      <c r="P147" s="184" t="s">
        <v>79</v>
      </c>
      <c r="Q147" s="184" t="s">
        <v>112</v>
      </c>
      <c r="R147" s="184" t="s">
        <v>598</v>
      </c>
      <c r="S147" s="172">
        <v>42996.326388888891</v>
      </c>
      <c r="T147" s="32" t="s">
        <v>552</v>
      </c>
    </row>
    <row r="148" spans="1:20">
      <c r="A148" s="184" t="s">
        <v>1402</v>
      </c>
      <c r="B148" s="184" t="s">
        <v>3876</v>
      </c>
      <c r="C148" s="127">
        <v>42893</v>
      </c>
      <c r="D148" s="184" t="s">
        <v>10</v>
      </c>
      <c r="E148" s="184" t="s">
        <v>598</v>
      </c>
      <c r="F148" s="185">
        <v>10000</v>
      </c>
      <c r="G148" s="184" t="s">
        <v>493</v>
      </c>
      <c r="H148" s="184" t="s">
        <v>598</v>
      </c>
      <c r="I148" s="185">
        <v>0</v>
      </c>
      <c r="J148" s="184" t="s">
        <v>598</v>
      </c>
      <c r="K148" s="127">
        <v>42888</v>
      </c>
      <c r="L148" s="184" t="s">
        <v>120</v>
      </c>
      <c r="M148" s="184" t="s">
        <v>49</v>
      </c>
      <c r="N148" s="184" t="s">
        <v>182</v>
      </c>
      <c r="O148" s="184" t="s">
        <v>598</v>
      </c>
      <c r="P148" s="184" t="s">
        <v>79</v>
      </c>
      <c r="Q148" s="184" t="s">
        <v>79</v>
      </c>
      <c r="R148" s="184" t="s">
        <v>598</v>
      </c>
      <c r="S148" s="172">
        <v>42996.326388888891</v>
      </c>
      <c r="T148" s="32" t="s">
        <v>552</v>
      </c>
    </row>
    <row r="149" spans="1:20">
      <c r="A149" s="184" t="s">
        <v>1404</v>
      </c>
      <c r="B149" s="184" t="s">
        <v>3877</v>
      </c>
      <c r="C149" s="127">
        <v>42893</v>
      </c>
      <c r="D149" s="184" t="s">
        <v>10</v>
      </c>
      <c r="E149" s="184" t="s">
        <v>598</v>
      </c>
      <c r="F149" s="185">
        <v>10000</v>
      </c>
      <c r="G149" s="184" t="s">
        <v>493</v>
      </c>
      <c r="H149" s="184" t="s">
        <v>598</v>
      </c>
      <c r="I149" s="185">
        <v>0</v>
      </c>
      <c r="J149" s="184" t="s">
        <v>598</v>
      </c>
      <c r="K149" s="127">
        <v>42888</v>
      </c>
      <c r="L149" s="184" t="s">
        <v>120</v>
      </c>
      <c r="M149" s="184" t="s">
        <v>49</v>
      </c>
      <c r="N149" s="184" t="s">
        <v>182</v>
      </c>
      <c r="O149" s="184" t="s">
        <v>598</v>
      </c>
      <c r="P149" s="184" t="s">
        <v>79</v>
      </c>
      <c r="Q149" s="184" t="s">
        <v>79</v>
      </c>
      <c r="R149" s="184" t="s">
        <v>598</v>
      </c>
      <c r="S149" s="172">
        <v>42996.326388888891</v>
      </c>
      <c r="T149" s="32" t="s">
        <v>552</v>
      </c>
    </row>
    <row r="150" spans="1:20">
      <c r="A150" s="184" t="s">
        <v>1406</v>
      </c>
      <c r="B150" s="184" t="s">
        <v>3878</v>
      </c>
      <c r="C150" s="127">
        <v>42893</v>
      </c>
      <c r="D150" s="184" t="s">
        <v>10</v>
      </c>
      <c r="E150" s="184" t="s">
        <v>598</v>
      </c>
      <c r="F150" s="185">
        <v>10000</v>
      </c>
      <c r="G150" s="184" t="s">
        <v>493</v>
      </c>
      <c r="H150" s="184" t="s">
        <v>598</v>
      </c>
      <c r="I150" s="185">
        <v>0</v>
      </c>
      <c r="J150" s="184" t="s">
        <v>598</v>
      </c>
      <c r="K150" s="127">
        <v>42888</v>
      </c>
      <c r="L150" s="184" t="s">
        <v>120</v>
      </c>
      <c r="M150" s="184" t="s">
        <v>49</v>
      </c>
      <c r="N150" s="184" t="s">
        <v>182</v>
      </c>
      <c r="O150" s="184" t="s">
        <v>598</v>
      </c>
      <c r="P150" s="184" t="s">
        <v>79</v>
      </c>
      <c r="Q150" s="184" t="s">
        <v>79</v>
      </c>
      <c r="R150" s="184" t="s">
        <v>598</v>
      </c>
      <c r="S150" s="172">
        <v>42996.326388888891</v>
      </c>
      <c r="T150" s="32" t="s">
        <v>552</v>
      </c>
    </row>
    <row r="151" spans="1:20">
      <c r="A151" s="184" t="s">
        <v>1407</v>
      </c>
      <c r="B151" s="184" t="s">
        <v>3879</v>
      </c>
      <c r="C151" s="127">
        <v>42914</v>
      </c>
      <c r="D151" s="184" t="s">
        <v>10</v>
      </c>
      <c r="E151" s="184" t="s">
        <v>598</v>
      </c>
      <c r="F151" s="185">
        <v>3000</v>
      </c>
      <c r="G151" s="184" t="s">
        <v>493</v>
      </c>
      <c r="H151" s="184" t="s">
        <v>598</v>
      </c>
      <c r="I151" s="185">
        <v>0</v>
      </c>
      <c r="J151" s="184" t="s">
        <v>598</v>
      </c>
      <c r="K151" s="127">
        <v>42896</v>
      </c>
      <c r="L151" s="184" t="s">
        <v>134</v>
      </c>
      <c r="M151" s="184" t="s">
        <v>49</v>
      </c>
      <c r="N151" s="184" t="s">
        <v>248</v>
      </c>
      <c r="O151" s="184" t="s">
        <v>598</v>
      </c>
      <c r="P151" s="184" t="s">
        <v>79</v>
      </c>
      <c r="Q151" s="184" t="s">
        <v>79</v>
      </c>
      <c r="R151" s="184" t="s">
        <v>598</v>
      </c>
      <c r="S151" s="172">
        <v>42996.326388888891</v>
      </c>
      <c r="T151" s="32" t="s">
        <v>552</v>
      </c>
    </row>
    <row r="152" spans="1:20">
      <c r="A152" s="184" t="s">
        <v>1409</v>
      </c>
      <c r="B152" s="184" t="s">
        <v>3880</v>
      </c>
      <c r="C152" s="127">
        <v>42914</v>
      </c>
      <c r="D152" s="184" t="s">
        <v>10</v>
      </c>
      <c r="E152" s="184" t="s">
        <v>598</v>
      </c>
      <c r="F152" s="185">
        <v>3000</v>
      </c>
      <c r="G152" s="184" t="s">
        <v>493</v>
      </c>
      <c r="H152" s="184" t="s">
        <v>598</v>
      </c>
      <c r="I152" s="185">
        <v>0</v>
      </c>
      <c r="J152" s="184" t="s">
        <v>598</v>
      </c>
      <c r="K152" s="127">
        <v>42898</v>
      </c>
      <c r="L152" s="184" t="s">
        <v>134</v>
      </c>
      <c r="M152" s="184" t="s">
        <v>49</v>
      </c>
      <c r="N152" s="184" t="s">
        <v>248</v>
      </c>
      <c r="O152" s="184" t="s">
        <v>598</v>
      </c>
      <c r="P152" s="184" t="s">
        <v>79</v>
      </c>
      <c r="Q152" s="184" t="s">
        <v>112</v>
      </c>
      <c r="R152" s="184" t="s">
        <v>598</v>
      </c>
      <c r="S152" s="172">
        <v>42996.326388888891</v>
      </c>
      <c r="T152" s="32" t="s">
        <v>552</v>
      </c>
    </row>
    <row r="153" spans="1:20">
      <c r="A153" s="184" t="s">
        <v>1413</v>
      </c>
      <c r="B153" s="184" t="s">
        <v>3881</v>
      </c>
      <c r="C153" s="127">
        <v>42909</v>
      </c>
      <c r="D153" s="184" t="s">
        <v>34</v>
      </c>
      <c r="E153" s="184" t="s">
        <v>598</v>
      </c>
      <c r="F153" s="185">
        <v>2000</v>
      </c>
      <c r="G153" s="184" t="s">
        <v>493</v>
      </c>
      <c r="H153" s="184" t="s">
        <v>598</v>
      </c>
      <c r="I153" s="185">
        <v>0</v>
      </c>
      <c r="J153" s="184" t="s">
        <v>598</v>
      </c>
      <c r="K153" s="127">
        <v>42908</v>
      </c>
      <c r="L153" s="184" t="s">
        <v>598</v>
      </c>
      <c r="M153" s="184" t="s">
        <v>49</v>
      </c>
      <c r="N153" s="184" t="s">
        <v>184</v>
      </c>
      <c r="O153" s="184" t="s">
        <v>598</v>
      </c>
      <c r="P153" s="184" t="s">
        <v>79</v>
      </c>
      <c r="Q153" s="184" t="s">
        <v>79</v>
      </c>
      <c r="R153" s="184" t="s">
        <v>598</v>
      </c>
      <c r="S153" s="172">
        <v>42996.326388888891</v>
      </c>
      <c r="T153" s="32" t="s">
        <v>552</v>
      </c>
    </row>
    <row r="154" spans="1:20">
      <c r="A154" s="184" t="s">
        <v>1417</v>
      </c>
      <c r="B154" s="184" t="s">
        <v>3882</v>
      </c>
      <c r="C154" s="127">
        <v>42908</v>
      </c>
      <c r="D154" s="184" t="s">
        <v>10</v>
      </c>
      <c r="E154" s="184" t="s">
        <v>598</v>
      </c>
      <c r="F154" s="185">
        <v>4000</v>
      </c>
      <c r="G154" s="184" t="s">
        <v>493</v>
      </c>
      <c r="H154" s="184" t="s">
        <v>598</v>
      </c>
      <c r="I154" s="185">
        <v>0</v>
      </c>
      <c r="J154" s="184" t="s">
        <v>598</v>
      </c>
      <c r="K154" s="127">
        <v>42887</v>
      </c>
      <c r="L154" s="184" t="s">
        <v>134</v>
      </c>
      <c r="M154" s="184" t="s">
        <v>84</v>
      </c>
      <c r="N154" s="184" t="s">
        <v>251</v>
      </c>
      <c r="O154" s="184" t="s">
        <v>50</v>
      </c>
      <c r="P154" s="184" t="s">
        <v>79</v>
      </c>
      <c r="Q154" s="184" t="s">
        <v>79</v>
      </c>
      <c r="R154" s="184" t="s">
        <v>598</v>
      </c>
      <c r="S154" s="172">
        <v>42996.326388888891</v>
      </c>
      <c r="T154" s="32" t="s">
        <v>552</v>
      </c>
    </row>
    <row r="155" spans="1:20">
      <c r="A155" s="184" t="s">
        <v>1419</v>
      </c>
      <c r="B155" s="184" t="s">
        <v>3883</v>
      </c>
      <c r="C155" s="127">
        <v>42892</v>
      </c>
      <c r="D155" s="184" t="s">
        <v>34</v>
      </c>
      <c r="E155" s="184" t="s">
        <v>598</v>
      </c>
      <c r="F155" s="185">
        <v>5000</v>
      </c>
      <c r="G155" s="184" t="s">
        <v>493</v>
      </c>
      <c r="H155" s="184" t="s">
        <v>598</v>
      </c>
      <c r="I155" s="185">
        <v>0</v>
      </c>
      <c r="J155" s="184" t="s">
        <v>598</v>
      </c>
      <c r="K155" s="127">
        <v>42889</v>
      </c>
      <c r="L155" s="184" t="s">
        <v>132</v>
      </c>
      <c r="M155" s="184" t="s">
        <v>84</v>
      </c>
      <c r="N155" s="184" t="s">
        <v>252</v>
      </c>
      <c r="O155" s="184" t="s">
        <v>598</v>
      </c>
      <c r="P155" s="184" t="s">
        <v>79</v>
      </c>
      <c r="Q155" s="184" t="s">
        <v>112</v>
      </c>
      <c r="R155" s="184" t="s">
        <v>598</v>
      </c>
      <c r="S155" s="172">
        <v>42996.326388888891</v>
      </c>
      <c r="T155" s="32" t="s">
        <v>552</v>
      </c>
    </row>
    <row r="156" spans="1:20">
      <c r="A156" s="184" t="s">
        <v>1421</v>
      </c>
      <c r="B156" s="184" t="s">
        <v>3884</v>
      </c>
      <c r="C156" s="127">
        <v>42893</v>
      </c>
      <c r="D156" s="184" t="s">
        <v>34</v>
      </c>
      <c r="E156" s="184" t="s">
        <v>598</v>
      </c>
      <c r="F156" s="185">
        <v>5000</v>
      </c>
      <c r="G156" s="184" t="s">
        <v>493</v>
      </c>
      <c r="H156" s="184" t="s">
        <v>598</v>
      </c>
      <c r="I156" s="185">
        <v>0</v>
      </c>
      <c r="J156" s="184" t="s">
        <v>598</v>
      </c>
      <c r="K156" s="127">
        <v>42889</v>
      </c>
      <c r="L156" s="184" t="s">
        <v>134</v>
      </c>
      <c r="M156" s="184" t="s">
        <v>84</v>
      </c>
      <c r="N156" s="184" t="s">
        <v>253</v>
      </c>
      <c r="O156" s="184" t="s">
        <v>598</v>
      </c>
      <c r="P156" s="184" t="s">
        <v>79</v>
      </c>
      <c r="Q156" s="184" t="s">
        <v>112</v>
      </c>
      <c r="R156" s="184" t="s">
        <v>598</v>
      </c>
      <c r="S156" s="172">
        <v>42996.326388888891</v>
      </c>
      <c r="T156" s="32" t="s">
        <v>552</v>
      </c>
    </row>
    <row r="157" spans="1:20">
      <c r="A157" s="184" t="s">
        <v>1425</v>
      </c>
      <c r="B157" s="184" t="s">
        <v>3885</v>
      </c>
      <c r="C157" s="127">
        <v>42905</v>
      </c>
      <c r="D157" s="184" t="s">
        <v>34</v>
      </c>
      <c r="E157" s="184" t="s">
        <v>598</v>
      </c>
      <c r="F157" s="185">
        <v>5000</v>
      </c>
      <c r="G157" s="184" t="s">
        <v>493</v>
      </c>
      <c r="H157" s="184" t="s">
        <v>598</v>
      </c>
      <c r="I157" s="185">
        <v>0</v>
      </c>
      <c r="J157" s="184" t="s">
        <v>598</v>
      </c>
      <c r="K157" s="127">
        <v>42891</v>
      </c>
      <c r="L157" s="184" t="s">
        <v>48</v>
      </c>
      <c r="M157" s="184" t="s">
        <v>84</v>
      </c>
      <c r="N157" s="184" t="s">
        <v>254</v>
      </c>
      <c r="O157" s="184" t="s">
        <v>598</v>
      </c>
      <c r="P157" s="184" t="s">
        <v>79</v>
      </c>
      <c r="Q157" s="184" t="s">
        <v>79</v>
      </c>
      <c r="R157" s="184" t="s">
        <v>598</v>
      </c>
      <c r="S157" s="172">
        <v>42996.326388888891</v>
      </c>
      <c r="T157" s="32" t="s">
        <v>552</v>
      </c>
    </row>
    <row r="158" spans="1:20">
      <c r="A158" s="184" t="s">
        <v>1427</v>
      </c>
      <c r="B158" s="184" t="s">
        <v>3886</v>
      </c>
      <c r="C158" s="127">
        <v>42896</v>
      </c>
      <c r="D158" s="184" t="s">
        <v>34</v>
      </c>
      <c r="E158" s="184" t="s">
        <v>598</v>
      </c>
      <c r="F158" s="185">
        <v>5000</v>
      </c>
      <c r="G158" s="184" t="s">
        <v>493</v>
      </c>
      <c r="H158" s="184" t="s">
        <v>598</v>
      </c>
      <c r="I158" s="185">
        <v>0</v>
      </c>
      <c r="J158" s="184" t="s">
        <v>598</v>
      </c>
      <c r="K158" s="127">
        <v>42891</v>
      </c>
      <c r="L158" s="184" t="s">
        <v>134</v>
      </c>
      <c r="M158" s="184" t="s">
        <v>84</v>
      </c>
      <c r="N158" s="184" t="s">
        <v>254</v>
      </c>
      <c r="O158" s="184" t="s">
        <v>598</v>
      </c>
      <c r="P158" s="184" t="s">
        <v>79</v>
      </c>
      <c r="Q158" s="184" t="s">
        <v>79</v>
      </c>
      <c r="R158" s="184" t="s">
        <v>598</v>
      </c>
      <c r="S158" s="172">
        <v>42996.326388888891</v>
      </c>
      <c r="T158" s="32" t="s">
        <v>552</v>
      </c>
    </row>
    <row r="159" spans="1:20">
      <c r="A159" s="184" t="s">
        <v>1429</v>
      </c>
      <c r="B159" s="184" t="s">
        <v>3887</v>
      </c>
      <c r="C159" s="127">
        <v>42896</v>
      </c>
      <c r="D159" s="184" t="s">
        <v>34</v>
      </c>
      <c r="E159" s="184" t="s">
        <v>598</v>
      </c>
      <c r="F159" s="185">
        <v>4000</v>
      </c>
      <c r="G159" s="184" t="s">
        <v>493</v>
      </c>
      <c r="H159" s="184" t="s">
        <v>598</v>
      </c>
      <c r="I159" s="185">
        <v>0</v>
      </c>
      <c r="J159" s="184" t="s">
        <v>598</v>
      </c>
      <c r="K159" s="127">
        <v>42891</v>
      </c>
      <c r="L159" s="184" t="s">
        <v>134</v>
      </c>
      <c r="M159" s="184" t="s">
        <v>84</v>
      </c>
      <c r="N159" s="184" t="s">
        <v>255</v>
      </c>
      <c r="O159" s="184" t="s">
        <v>598</v>
      </c>
      <c r="P159" s="184" t="s">
        <v>79</v>
      </c>
      <c r="Q159" s="184" t="s">
        <v>112</v>
      </c>
      <c r="R159" s="184" t="s">
        <v>598</v>
      </c>
      <c r="S159" s="172">
        <v>42996.326388888891</v>
      </c>
      <c r="T159" s="32" t="s">
        <v>552</v>
      </c>
    </row>
    <row r="160" spans="1:20">
      <c r="A160" s="184" t="s">
        <v>1437</v>
      </c>
      <c r="B160" s="184" t="s">
        <v>3888</v>
      </c>
      <c r="C160" s="127">
        <v>42892</v>
      </c>
      <c r="D160" s="184" t="s">
        <v>34</v>
      </c>
      <c r="E160" s="184" t="s">
        <v>598</v>
      </c>
      <c r="F160" s="185">
        <v>750</v>
      </c>
      <c r="G160" s="184" t="s">
        <v>558</v>
      </c>
      <c r="H160" s="184" t="s">
        <v>598</v>
      </c>
      <c r="I160" s="185">
        <v>0</v>
      </c>
      <c r="J160" s="184" t="s">
        <v>598</v>
      </c>
      <c r="K160" s="127">
        <v>42892</v>
      </c>
      <c r="L160" s="184" t="s">
        <v>132</v>
      </c>
      <c r="M160" s="184" t="s">
        <v>84</v>
      </c>
      <c r="N160" s="184" t="s">
        <v>257</v>
      </c>
      <c r="O160" s="184" t="s">
        <v>598</v>
      </c>
      <c r="P160" s="184" t="s">
        <v>79</v>
      </c>
      <c r="Q160" s="184" t="s">
        <v>65</v>
      </c>
      <c r="R160" s="184" t="s">
        <v>598</v>
      </c>
      <c r="S160" s="172">
        <v>42996.326388888891</v>
      </c>
      <c r="T160" s="32" t="s">
        <v>552</v>
      </c>
    </row>
    <row r="161" spans="1:20">
      <c r="A161" s="184" t="s">
        <v>1438</v>
      </c>
      <c r="B161" s="184" t="s">
        <v>3889</v>
      </c>
      <c r="C161" s="127">
        <v>42892</v>
      </c>
      <c r="D161" s="184" t="s">
        <v>34</v>
      </c>
      <c r="E161" s="184" t="s">
        <v>598</v>
      </c>
      <c r="F161" s="185">
        <v>1000</v>
      </c>
      <c r="G161" s="184" t="s">
        <v>493</v>
      </c>
      <c r="H161" s="184" t="s">
        <v>598</v>
      </c>
      <c r="I161" s="185">
        <v>0</v>
      </c>
      <c r="J161" s="184" t="s">
        <v>598</v>
      </c>
      <c r="K161" s="127">
        <v>42892</v>
      </c>
      <c r="L161" s="184" t="s">
        <v>126</v>
      </c>
      <c r="M161" s="184" t="s">
        <v>84</v>
      </c>
      <c r="N161" s="184" t="s">
        <v>598</v>
      </c>
      <c r="O161" s="184" t="s">
        <v>598</v>
      </c>
      <c r="P161" s="184" t="s">
        <v>79</v>
      </c>
      <c r="Q161" s="184" t="s">
        <v>598</v>
      </c>
      <c r="R161" s="184" t="s">
        <v>598</v>
      </c>
      <c r="S161" s="172">
        <v>42996.326388888891</v>
      </c>
      <c r="T161" s="32" t="s">
        <v>552</v>
      </c>
    </row>
    <row r="162" spans="1:20">
      <c r="A162" s="184" t="s">
        <v>1440</v>
      </c>
      <c r="B162" s="184" t="s">
        <v>3890</v>
      </c>
      <c r="C162" s="127">
        <v>42915</v>
      </c>
      <c r="D162" s="184" t="s">
        <v>34</v>
      </c>
      <c r="E162" s="184" t="s">
        <v>598</v>
      </c>
      <c r="F162" s="185">
        <v>1500</v>
      </c>
      <c r="G162" s="184" t="s">
        <v>493</v>
      </c>
      <c r="H162" s="184" t="s">
        <v>598</v>
      </c>
      <c r="I162" s="185">
        <v>0</v>
      </c>
      <c r="J162" s="184" t="s">
        <v>598</v>
      </c>
      <c r="K162" s="127">
        <v>42893</v>
      </c>
      <c r="L162" s="184" t="s">
        <v>122</v>
      </c>
      <c r="M162" s="184" t="s">
        <v>84</v>
      </c>
      <c r="N162" s="184" t="s">
        <v>244</v>
      </c>
      <c r="O162" s="184" t="s">
        <v>598</v>
      </c>
      <c r="P162" s="184" t="s">
        <v>79</v>
      </c>
      <c r="Q162" s="184" t="s">
        <v>79</v>
      </c>
      <c r="R162" s="184" t="s">
        <v>598</v>
      </c>
      <c r="S162" s="172">
        <v>42996.326388888891</v>
      </c>
      <c r="T162" s="32" t="s">
        <v>552</v>
      </c>
    </row>
    <row r="163" spans="1:20">
      <c r="A163" s="184" t="s">
        <v>1444</v>
      </c>
      <c r="B163" s="184" t="s">
        <v>3891</v>
      </c>
      <c r="C163" s="127">
        <v>42900</v>
      </c>
      <c r="D163" s="184" t="s">
        <v>34</v>
      </c>
      <c r="E163" s="184" t="s">
        <v>598</v>
      </c>
      <c r="F163" s="185">
        <v>3000</v>
      </c>
      <c r="G163" s="184" t="s">
        <v>493</v>
      </c>
      <c r="H163" s="184" t="s">
        <v>598</v>
      </c>
      <c r="I163" s="185">
        <v>0</v>
      </c>
      <c r="J163" s="184" t="s">
        <v>598</v>
      </c>
      <c r="K163" s="127">
        <v>42893</v>
      </c>
      <c r="L163" s="184" t="s">
        <v>598</v>
      </c>
      <c r="M163" s="184" t="s">
        <v>84</v>
      </c>
      <c r="N163" s="184" t="s">
        <v>254</v>
      </c>
      <c r="O163" s="184" t="s">
        <v>598</v>
      </c>
      <c r="P163" s="184" t="s">
        <v>79</v>
      </c>
      <c r="Q163" s="184" t="s">
        <v>79</v>
      </c>
      <c r="R163" s="184" t="s">
        <v>598</v>
      </c>
      <c r="S163" s="172">
        <v>42996.326388888891</v>
      </c>
      <c r="T163" s="32" t="s">
        <v>552</v>
      </c>
    </row>
    <row r="164" spans="1:20">
      <c r="A164" s="184" t="s">
        <v>1446</v>
      </c>
      <c r="B164" s="184" t="s">
        <v>3892</v>
      </c>
      <c r="C164" s="127">
        <v>42894</v>
      </c>
      <c r="D164" s="184" t="s">
        <v>34</v>
      </c>
      <c r="E164" s="184" t="s">
        <v>598</v>
      </c>
      <c r="F164" s="185">
        <v>4500</v>
      </c>
      <c r="G164" s="184" t="s">
        <v>493</v>
      </c>
      <c r="H164" s="184" t="s">
        <v>598</v>
      </c>
      <c r="I164" s="185">
        <v>0</v>
      </c>
      <c r="J164" s="184" t="s">
        <v>598</v>
      </c>
      <c r="K164" s="127">
        <v>42894</v>
      </c>
      <c r="L164" s="184" t="s">
        <v>135</v>
      </c>
      <c r="M164" s="184" t="s">
        <v>84</v>
      </c>
      <c r="N164" s="184" t="s">
        <v>258</v>
      </c>
      <c r="O164" s="184" t="s">
        <v>598</v>
      </c>
      <c r="P164" s="184" t="s">
        <v>79</v>
      </c>
      <c r="Q164" s="184" t="s">
        <v>112</v>
      </c>
      <c r="R164" s="184" t="s">
        <v>598</v>
      </c>
      <c r="S164" s="172">
        <v>42996.326388888891</v>
      </c>
      <c r="T164" s="32" t="s">
        <v>552</v>
      </c>
    </row>
    <row r="165" spans="1:20">
      <c r="A165" s="184" t="s">
        <v>1450</v>
      </c>
      <c r="B165" s="184" t="s">
        <v>3893</v>
      </c>
      <c r="C165" s="127">
        <v>42896</v>
      </c>
      <c r="D165" s="184" t="s">
        <v>34</v>
      </c>
      <c r="E165" s="184" t="s">
        <v>598</v>
      </c>
      <c r="F165" s="185">
        <v>1000</v>
      </c>
      <c r="G165" s="184" t="s">
        <v>493</v>
      </c>
      <c r="H165" s="184" t="s">
        <v>598</v>
      </c>
      <c r="I165" s="185">
        <v>0</v>
      </c>
      <c r="J165" s="184" t="s">
        <v>598</v>
      </c>
      <c r="K165" s="127">
        <v>42894</v>
      </c>
      <c r="L165" s="184" t="s">
        <v>126</v>
      </c>
      <c r="M165" s="184" t="s">
        <v>84</v>
      </c>
      <c r="N165" s="184" t="s">
        <v>598</v>
      </c>
      <c r="O165" s="184" t="s">
        <v>598</v>
      </c>
      <c r="P165" s="184" t="s">
        <v>79</v>
      </c>
      <c r="Q165" s="184" t="s">
        <v>598</v>
      </c>
      <c r="R165" s="184" t="s">
        <v>598</v>
      </c>
      <c r="S165" s="172">
        <v>42996.326388888891</v>
      </c>
      <c r="T165" s="32" t="s">
        <v>552</v>
      </c>
    </row>
    <row r="166" spans="1:20">
      <c r="A166" s="184" t="s">
        <v>1454</v>
      </c>
      <c r="B166" s="184" t="s">
        <v>3894</v>
      </c>
      <c r="C166" s="127">
        <v>42898</v>
      </c>
      <c r="D166" s="184" t="s">
        <v>34</v>
      </c>
      <c r="E166" s="184" t="s">
        <v>598</v>
      </c>
      <c r="F166" s="185">
        <v>3000</v>
      </c>
      <c r="G166" s="184" t="s">
        <v>493</v>
      </c>
      <c r="H166" s="184" t="s">
        <v>598</v>
      </c>
      <c r="I166" s="185">
        <v>0</v>
      </c>
      <c r="J166" s="184" t="s">
        <v>598</v>
      </c>
      <c r="K166" s="127">
        <v>42895</v>
      </c>
      <c r="L166" s="184" t="s">
        <v>864</v>
      </c>
      <c r="M166" s="184" t="s">
        <v>84</v>
      </c>
      <c r="N166" s="184" t="s">
        <v>598</v>
      </c>
      <c r="O166" s="184" t="s">
        <v>598</v>
      </c>
      <c r="P166" s="184" t="s">
        <v>79</v>
      </c>
      <c r="Q166" s="184" t="s">
        <v>598</v>
      </c>
      <c r="R166" s="184" t="s">
        <v>598</v>
      </c>
      <c r="S166" s="172">
        <v>42996.326388888891</v>
      </c>
      <c r="T166" s="32" t="s">
        <v>552</v>
      </c>
    </row>
    <row r="167" spans="1:20">
      <c r="A167" s="184" t="s">
        <v>1456</v>
      </c>
      <c r="B167" s="184" t="s">
        <v>3895</v>
      </c>
      <c r="C167" s="127">
        <v>42896</v>
      </c>
      <c r="D167" s="184" t="s">
        <v>34</v>
      </c>
      <c r="E167" s="184" t="s">
        <v>598</v>
      </c>
      <c r="F167" s="185">
        <v>1000</v>
      </c>
      <c r="G167" s="184" t="s">
        <v>493</v>
      </c>
      <c r="H167" s="184" t="s">
        <v>598</v>
      </c>
      <c r="I167" s="185">
        <v>0</v>
      </c>
      <c r="J167" s="184" t="s">
        <v>598</v>
      </c>
      <c r="K167" s="127">
        <v>42895</v>
      </c>
      <c r="L167" s="184" t="s">
        <v>126</v>
      </c>
      <c r="M167" s="184" t="s">
        <v>84</v>
      </c>
      <c r="N167" s="184" t="s">
        <v>598</v>
      </c>
      <c r="O167" s="184" t="s">
        <v>598</v>
      </c>
      <c r="P167" s="184" t="s">
        <v>79</v>
      </c>
      <c r="Q167" s="184" t="s">
        <v>598</v>
      </c>
      <c r="R167" s="184" t="s">
        <v>598</v>
      </c>
      <c r="S167" s="172">
        <v>42996.326388888891</v>
      </c>
      <c r="T167" s="32" t="s">
        <v>552</v>
      </c>
    </row>
    <row r="168" spans="1:20">
      <c r="A168" s="184" t="s">
        <v>1457</v>
      </c>
      <c r="B168" s="184" t="s">
        <v>3896</v>
      </c>
      <c r="C168" s="127">
        <v>42908</v>
      </c>
      <c r="D168" s="184" t="s">
        <v>34</v>
      </c>
      <c r="E168" s="184" t="s">
        <v>598</v>
      </c>
      <c r="F168" s="185">
        <v>3500</v>
      </c>
      <c r="G168" s="184" t="s">
        <v>493</v>
      </c>
      <c r="H168" s="184" t="s">
        <v>598</v>
      </c>
      <c r="I168" s="185">
        <v>0</v>
      </c>
      <c r="J168" s="184" t="s">
        <v>598</v>
      </c>
      <c r="K168" s="127">
        <v>42896</v>
      </c>
      <c r="L168" s="184" t="s">
        <v>134</v>
      </c>
      <c r="M168" s="184" t="s">
        <v>84</v>
      </c>
      <c r="N168" s="184" t="s">
        <v>260</v>
      </c>
      <c r="O168" s="184" t="s">
        <v>598</v>
      </c>
      <c r="P168" s="184" t="s">
        <v>79</v>
      </c>
      <c r="Q168" s="184" t="s">
        <v>79</v>
      </c>
      <c r="R168" s="184" t="s">
        <v>598</v>
      </c>
      <c r="S168" s="172">
        <v>42996.326388888891</v>
      </c>
      <c r="T168" s="32" t="s">
        <v>552</v>
      </c>
    </row>
    <row r="169" spans="1:20">
      <c r="A169" s="184" t="s">
        <v>1466</v>
      </c>
      <c r="B169" s="184" t="s">
        <v>3897</v>
      </c>
      <c r="C169" s="127">
        <v>42908</v>
      </c>
      <c r="D169" s="184" t="s">
        <v>10</v>
      </c>
      <c r="E169" s="184" t="s">
        <v>598</v>
      </c>
      <c r="F169" s="185">
        <v>3000</v>
      </c>
      <c r="G169" s="184" t="s">
        <v>493</v>
      </c>
      <c r="H169" s="184" t="s">
        <v>598</v>
      </c>
      <c r="I169" s="185">
        <v>0</v>
      </c>
      <c r="J169" s="184" t="s">
        <v>598</v>
      </c>
      <c r="K169" s="127">
        <v>42898</v>
      </c>
      <c r="L169" s="184" t="s">
        <v>134</v>
      </c>
      <c r="M169" s="184" t="s">
        <v>84</v>
      </c>
      <c r="N169" s="184" t="s">
        <v>264</v>
      </c>
      <c r="O169" s="184" t="s">
        <v>50</v>
      </c>
      <c r="P169" s="184" t="s">
        <v>79</v>
      </c>
      <c r="Q169" s="184" t="s">
        <v>65</v>
      </c>
      <c r="R169" s="184" t="s">
        <v>598</v>
      </c>
      <c r="S169" s="172">
        <v>42996.326388888891</v>
      </c>
      <c r="T169" s="32" t="s">
        <v>552</v>
      </c>
    </row>
    <row r="170" spans="1:20">
      <c r="A170" s="184" t="s">
        <v>1468</v>
      </c>
      <c r="B170" s="184" t="s">
        <v>3898</v>
      </c>
      <c r="C170" s="127">
        <v>42908</v>
      </c>
      <c r="D170" s="184" t="s">
        <v>10</v>
      </c>
      <c r="E170" s="184" t="s">
        <v>598</v>
      </c>
      <c r="F170" s="185">
        <v>3000</v>
      </c>
      <c r="G170" s="184" t="s">
        <v>493</v>
      </c>
      <c r="H170" s="184" t="s">
        <v>598</v>
      </c>
      <c r="I170" s="185">
        <v>0</v>
      </c>
      <c r="J170" s="184" t="s">
        <v>598</v>
      </c>
      <c r="K170" s="127">
        <v>42898</v>
      </c>
      <c r="L170" s="184" t="s">
        <v>598</v>
      </c>
      <c r="M170" s="184" t="s">
        <v>84</v>
      </c>
      <c r="N170" s="184" t="s">
        <v>264</v>
      </c>
      <c r="O170" s="184" t="s">
        <v>50</v>
      </c>
      <c r="P170" s="184" t="s">
        <v>79</v>
      </c>
      <c r="Q170" s="184" t="s">
        <v>79</v>
      </c>
      <c r="R170" s="184" t="s">
        <v>598</v>
      </c>
      <c r="S170" s="172">
        <v>42996.326388888891</v>
      </c>
      <c r="T170" s="32" t="s">
        <v>552</v>
      </c>
    </row>
    <row r="171" spans="1:20">
      <c r="A171" s="184" t="s">
        <v>1474</v>
      </c>
      <c r="B171" s="184" t="s">
        <v>3899</v>
      </c>
      <c r="C171" s="127">
        <v>42899</v>
      </c>
      <c r="D171" s="184" t="s">
        <v>34</v>
      </c>
      <c r="E171" s="184" t="s">
        <v>598</v>
      </c>
      <c r="F171" s="185">
        <v>1000</v>
      </c>
      <c r="G171" s="184" t="s">
        <v>493</v>
      </c>
      <c r="H171" s="184" t="s">
        <v>598</v>
      </c>
      <c r="I171" s="185">
        <v>0</v>
      </c>
      <c r="J171" s="184" t="s">
        <v>598</v>
      </c>
      <c r="K171" s="127">
        <v>42899</v>
      </c>
      <c r="L171" s="184" t="s">
        <v>126</v>
      </c>
      <c r="M171" s="184" t="s">
        <v>84</v>
      </c>
      <c r="N171" s="184" t="s">
        <v>598</v>
      </c>
      <c r="O171" s="184" t="s">
        <v>598</v>
      </c>
      <c r="P171" s="184" t="s">
        <v>79</v>
      </c>
      <c r="Q171" s="184" t="s">
        <v>598</v>
      </c>
      <c r="R171" s="184" t="s">
        <v>598</v>
      </c>
      <c r="S171" s="172">
        <v>42996.326388888891</v>
      </c>
      <c r="T171" s="32" t="s">
        <v>552</v>
      </c>
    </row>
    <row r="172" spans="1:20">
      <c r="A172" s="184" t="s">
        <v>1476</v>
      </c>
      <c r="B172" s="184" t="s">
        <v>3900</v>
      </c>
      <c r="C172" s="127">
        <v>42902</v>
      </c>
      <c r="D172" s="184" t="s">
        <v>34</v>
      </c>
      <c r="E172" s="184" t="s">
        <v>598</v>
      </c>
      <c r="F172" s="185">
        <v>5000</v>
      </c>
      <c r="G172" s="184" t="s">
        <v>493</v>
      </c>
      <c r="H172" s="184" t="s">
        <v>598</v>
      </c>
      <c r="I172" s="185">
        <v>0</v>
      </c>
      <c r="J172" s="184" t="s">
        <v>598</v>
      </c>
      <c r="K172" s="127">
        <v>42900</v>
      </c>
      <c r="L172" s="184" t="s">
        <v>132</v>
      </c>
      <c r="M172" s="184" t="s">
        <v>84</v>
      </c>
      <c r="N172" s="184" t="s">
        <v>254</v>
      </c>
      <c r="O172" s="184" t="s">
        <v>598</v>
      </c>
      <c r="P172" s="184" t="s">
        <v>79</v>
      </c>
      <c r="Q172" s="184" t="s">
        <v>79</v>
      </c>
      <c r="R172" s="184" t="s">
        <v>598</v>
      </c>
      <c r="S172" s="172">
        <v>42996.326388888891</v>
      </c>
      <c r="T172" s="32" t="s">
        <v>552</v>
      </c>
    </row>
    <row r="173" spans="1:20">
      <c r="A173" s="184" t="s">
        <v>1483</v>
      </c>
      <c r="B173" s="184" t="s">
        <v>3901</v>
      </c>
      <c r="C173" s="127">
        <v>42902</v>
      </c>
      <c r="D173" s="184" t="s">
        <v>34</v>
      </c>
      <c r="E173" s="184" t="s">
        <v>598</v>
      </c>
      <c r="F173" s="185">
        <v>8000</v>
      </c>
      <c r="G173" s="184" t="s">
        <v>493</v>
      </c>
      <c r="H173" s="184" t="s">
        <v>598</v>
      </c>
      <c r="I173" s="185">
        <v>0</v>
      </c>
      <c r="J173" s="184" t="s">
        <v>598</v>
      </c>
      <c r="K173" s="127">
        <v>42901</v>
      </c>
      <c r="L173" s="184" t="s">
        <v>132</v>
      </c>
      <c r="M173" s="184" t="s">
        <v>84</v>
      </c>
      <c r="N173" s="184" t="s">
        <v>257</v>
      </c>
      <c r="O173" s="184" t="s">
        <v>598</v>
      </c>
      <c r="P173" s="184" t="s">
        <v>79</v>
      </c>
      <c r="Q173" s="184" t="s">
        <v>79</v>
      </c>
      <c r="R173" s="184" t="s">
        <v>598</v>
      </c>
      <c r="S173" s="172">
        <v>42996.326388888891</v>
      </c>
      <c r="T173" s="32" t="s">
        <v>552</v>
      </c>
    </row>
    <row r="174" spans="1:20">
      <c r="A174" s="184" t="s">
        <v>1489</v>
      </c>
      <c r="B174" s="184" t="s">
        <v>3902</v>
      </c>
      <c r="C174" s="127">
        <v>42908</v>
      </c>
      <c r="D174" s="184" t="s">
        <v>10</v>
      </c>
      <c r="E174" s="184" t="s">
        <v>598</v>
      </c>
      <c r="F174" s="185">
        <v>3000</v>
      </c>
      <c r="G174" s="184" t="s">
        <v>493</v>
      </c>
      <c r="H174" s="184" t="s">
        <v>598</v>
      </c>
      <c r="I174" s="185">
        <v>0</v>
      </c>
      <c r="J174" s="184" t="s">
        <v>598</v>
      </c>
      <c r="K174" s="127">
        <v>42902</v>
      </c>
      <c r="L174" s="184" t="s">
        <v>134</v>
      </c>
      <c r="M174" s="184" t="s">
        <v>84</v>
      </c>
      <c r="N174" s="184" t="s">
        <v>184</v>
      </c>
      <c r="O174" s="184" t="s">
        <v>598</v>
      </c>
      <c r="P174" s="184" t="s">
        <v>79</v>
      </c>
      <c r="Q174" s="184" t="s">
        <v>79</v>
      </c>
      <c r="R174" s="184" t="s">
        <v>598</v>
      </c>
      <c r="S174" s="172">
        <v>42996.326388888891</v>
      </c>
      <c r="T174" s="32" t="s">
        <v>552</v>
      </c>
    </row>
    <row r="175" spans="1:20">
      <c r="A175" s="184" t="s">
        <v>1490</v>
      </c>
      <c r="B175" s="184" t="s">
        <v>3903</v>
      </c>
      <c r="C175" s="127">
        <v>42903</v>
      </c>
      <c r="D175" s="184" t="s">
        <v>10</v>
      </c>
      <c r="E175" s="184" t="s">
        <v>598</v>
      </c>
      <c r="F175" s="185">
        <v>1000</v>
      </c>
      <c r="G175" s="184" t="s">
        <v>493</v>
      </c>
      <c r="H175" s="184" t="s">
        <v>598</v>
      </c>
      <c r="I175" s="185">
        <v>0</v>
      </c>
      <c r="J175" s="184" t="s">
        <v>598</v>
      </c>
      <c r="K175" s="127">
        <v>42903</v>
      </c>
      <c r="L175" s="184" t="s">
        <v>864</v>
      </c>
      <c r="M175" s="184" t="s">
        <v>84</v>
      </c>
      <c r="N175" s="184" t="s">
        <v>598</v>
      </c>
      <c r="O175" s="184" t="s">
        <v>598</v>
      </c>
      <c r="P175" s="184" t="s">
        <v>79</v>
      </c>
      <c r="Q175" s="184" t="s">
        <v>598</v>
      </c>
      <c r="R175" s="184" t="s">
        <v>598</v>
      </c>
      <c r="S175" s="172">
        <v>42996.326388888891</v>
      </c>
      <c r="T175" s="32" t="s">
        <v>552</v>
      </c>
    </row>
    <row r="176" spans="1:20">
      <c r="A176" s="184" t="s">
        <v>1492</v>
      </c>
      <c r="B176" s="184" t="s">
        <v>3904</v>
      </c>
      <c r="C176" s="127">
        <v>42908</v>
      </c>
      <c r="D176" s="184" t="s">
        <v>10</v>
      </c>
      <c r="E176" s="184" t="s">
        <v>598</v>
      </c>
      <c r="F176" s="185">
        <v>10000</v>
      </c>
      <c r="G176" s="184" t="s">
        <v>493</v>
      </c>
      <c r="H176" s="184" t="s">
        <v>598</v>
      </c>
      <c r="I176" s="185">
        <v>0</v>
      </c>
      <c r="J176" s="184" t="s">
        <v>598</v>
      </c>
      <c r="K176" s="127">
        <v>42902</v>
      </c>
      <c r="L176" s="184" t="s">
        <v>598</v>
      </c>
      <c r="M176" s="184" t="s">
        <v>84</v>
      </c>
      <c r="N176" s="184" t="s">
        <v>267</v>
      </c>
      <c r="O176" s="184" t="s">
        <v>598</v>
      </c>
      <c r="P176" s="184" t="s">
        <v>79</v>
      </c>
      <c r="Q176" s="184" t="s">
        <v>112</v>
      </c>
      <c r="R176" s="184" t="s">
        <v>598</v>
      </c>
      <c r="S176" s="172">
        <v>42996.326388888891</v>
      </c>
      <c r="T176" s="32" t="s">
        <v>552</v>
      </c>
    </row>
    <row r="177" spans="1:20">
      <c r="A177" s="184" t="s">
        <v>1494</v>
      </c>
      <c r="B177" s="184" t="s">
        <v>3905</v>
      </c>
      <c r="C177" s="127">
        <v>42907</v>
      </c>
      <c r="D177" s="184" t="s">
        <v>34</v>
      </c>
      <c r="E177" s="184" t="s">
        <v>598</v>
      </c>
      <c r="F177" s="185">
        <v>3000</v>
      </c>
      <c r="G177" s="184" t="s">
        <v>493</v>
      </c>
      <c r="H177" s="184" t="s">
        <v>598</v>
      </c>
      <c r="I177" s="185">
        <v>0</v>
      </c>
      <c r="J177" s="184" t="s">
        <v>598</v>
      </c>
      <c r="K177" s="127">
        <v>42901</v>
      </c>
      <c r="L177" s="184" t="s">
        <v>96</v>
      </c>
      <c r="M177" s="184" t="s">
        <v>84</v>
      </c>
      <c r="N177" s="184" t="s">
        <v>241</v>
      </c>
      <c r="O177" s="184" t="s">
        <v>598</v>
      </c>
      <c r="P177" s="184" t="s">
        <v>79</v>
      </c>
      <c r="Q177" s="184" t="s">
        <v>112</v>
      </c>
      <c r="R177" s="184" t="s">
        <v>598</v>
      </c>
      <c r="S177" s="172">
        <v>42996.326388888891</v>
      </c>
      <c r="T177" s="32" t="s">
        <v>552</v>
      </c>
    </row>
    <row r="178" spans="1:20">
      <c r="A178" s="184" t="s">
        <v>1499</v>
      </c>
      <c r="B178" s="184" t="s">
        <v>3906</v>
      </c>
      <c r="C178" s="127">
        <v>42908</v>
      </c>
      <c r="D178" s="184" t="s">
        <v>10</v>
      </c>
      <c r="E178" s="184" t="s">
        <v>598</v>
      </c>
      <c r="F178" s="185">
        <v>8000</v>
      </c>
      <c r="G178" s="184" t="s">
        <v>493</v>
      </c>
      <c r="H178" s="184" t="s">
        <v>598</v>
      </c>
      <c r="I178" s="185">
        <v>0</v>
      </c>
      <c r="J178" s="184" t="s">
        <v>598</v>
      </c>
      <c r="K178" s="127">
        <v>42904</v>
      </c>
      <c r="L178" s="184" t="s">
        <v>134</v>
      </c>
      <c r="M178" s="184" t="s">
        <v>84</v>
      </c>
      <c r="N178" s="184" t="s">
        <v>184</v>
      </c>
      <c r="O178" s="184" t="s">
        <v>50</v>
      </c>
      <c r="P178" s="184" t="s">
        <v>79</v>
      </c>
      <c r="Q178" s="184" t="s">
        <v>79</v>
      </c>
      <c r="R178" s="184" t="s">
        <v>598</v>
      </c>
      <c r="S178" s="172">
        <v>42996.326388888891</v>
      </c>
      <c r="T178" s="32" t="s">
        <v>552</v>
      </c>
    </row>
    <row r="179" spans="1:20">
      <c r="A179" s="184" t="s">
        <v>1503</v>
      </c>
      <c r="B179" s="184" t="s">
        <v>3907</v>
      </c>
      <c r="C179" s="127">
        <v>42907</v>
      </c>
      <c r="D179" s="184" t="s">
        <v>34</v>
      </c>
      <c r="E179" s="184" t="s">
        <v>598</v>
      </c>
      <c r="F179" s="185">
        <v>3000</v>
      </c>
      <c r="G179" s="184" t="s">
        <v>493</v>
      </c>
      <c r="H179" s="184" t="s">
        <v>598</v>
      </c>
      <c r="I179" s="185">
        <v>0</v>
      </c>
      <c r="J179" s="184" t="s">
        <v>598</v>
      </c>
      <c r="K179" s="127">
        <v>42905</v>
      </c>
      <c r="L179" s="184" t="s">
        <v>132</v>
      </c>
      <c r="M179" s="184" t="s">
        <v>84</v>
      </c>
      <c r="N179" s="184" t="s">
        <v>257</v>
      </c>
      <c r="O179" s="184" t="s">
        <v>598</v>
      </c>
      <c r="P179" s="184" t="s">
        <v>79</v>
      </c>
      <c r="Q179" s="184" t="s">
        <v>65</v>
      </c>
      <c r="R179" s="184" t="s">
        <v>598</v>
      </c>
      <c r="S179" s="172">
        <v>42996.326388888891</v>
      </c>
      <c r="T179" s="32" t="s">
        <v>552</v>
      </c>
    </row>
    <row r="180" spans="1:20">
      <c r="A180" s="184" t="s">
        <v>1505</v>
      </c>
      <c r="B180" s="184" t="s">
        <v>3908</v>
      </c>
      <c r="C180" s="127">
        <v>42909</v>
      </c>
      <c r="D180" s="184" t="s">
        <v>10</v>
      </c>
      <c r="E180" s="184" t="s">
        <v>598</v>
      </c>
      <c r="F180" s="185">
        <v>5000</v>
      </c>
      <c r="G180" s="184" t="s">
        <v>493</v>
      </c>
      <c r="H180" s="184" t="s">
        <v>598</v>
      </c>
      <c r="I180" s="185">
        <v>0</v>
      </c>
      <c r="J180" s="184" t="s">
        <v>598</v>
      </c>
      <c r="K180" s="127">
        <v>42906</v>
      </c>
      <c r="L180" s="184" t="s">
        <v>134</v>
      </c>
      <c r="M180" s="184" t="s">
        <v>84</v>
      </c>
      <c r="N180" s="184" t="s">
        <v>192</v>
      </c>
      <c r="O180" s="184" t="s">
        <v>598</v>
      </c>
      <c r="P180" s="184" t="s">
        <v>79</v>
      </c>
      <c r="Q180" s="184" t="s">
        <v>79</v>
      </c>
      <c r="R180" s="184" t="s">
        <v>598</v>
      </c>
      <c r="S180" s="172">
        <v>42996.326388888891</v>
      </c>
      <c r="T180" s="32" t="s">
        <v>552</v>
      </c>
    </row>
    <row r="181" spans="1:20">
      <c r="A181" s="184" t="s">
        <v>1511</v>
      </c>
      <c r="B181" s="184" t="s">
        <v>3909</v>
      </c>
      <c r="C181" s="127">
        <v>42916</v>
      </c>
      <c r="D181" s="184" t="s">
        <v>10</v>
      </c>
      <c r="E181" s="184" t="s">
        <v>598</v>
      </c>
      <c r="F181" s="185">
        <v>3000</v>
      </c>
      <c r="G181" s="184" t="s">
        <v>493</v>
      </c>
      <c r="H181" s="184" t="s">
        <v>598</v>
      </c>
      <c r="I181" s="185">
        <v>0</v>
      </c>
      <c r="J181" s="184" t="s">
        <v>598</v>
      </c>
      <c r="K181" s="127">
        <v>42906</v>
      </c>
      <c r="L181" s="184" t="s">
        <v>120</v>
      </c>
      <c r="M181" s="184" t="s">
        <v>84</v>
      </c>
      <c r="N181" s="184" t="s">
        <v>269</v>
      </c>
      <c r="O181" s="184" t="s">
        <v>598</v>
      </c>
      <c r="P181" s="184" t="s">
        <v>79</v>
      </c>
      <c r="Q181" s="184" t="s">
        <v>112</v>
      </c>
      <c r="R181" s="184" t="s">
        <v>598</v>
      </c>
      <c r="S181" s="172">
        <v>42996.326388888891</v>
      </c>
      <c r="T181" s="32" t="s">
        <v>552</v>
      </c>
    </row>
    <row r="182" spans="1:20">
      <c r="A182" s="184" t="s">
        <v>1516</v>
      </c>
      <c r="B182" s="184" t="s">
        <v>3910</v>
      </c>
      <c r="C182" s="127">
        <v>42912</v>
      </c>
      <c r="D182" s="184" t="s">
        <v>34</v>
      </c>
      <c r="E182" s="184" t="s">
        <v>598</v>
      </c>
      <c r="F182" s="185">
        <v>5000</v>
      </c>
      <c r="G182" s="184" t="s">
        <v>493</v>
      </c>
      <c r="H182" s="184" t="s">
        <v>598</v>
      </c>
      <c r="I182" s="185">
        <v>0</v>
      </c>
      <c r="J182" s="184" t="s">
        <v>598</v>
      </c>
      <c r="K182" s="127">
        <v>42907</v>
      </c>
      <c r="L182" s="184" t="s">
        <v>134</v>
      </c>
      <c r="M182" s="184" t="s">
        <v>84</v>
      </c>
      <c r="N182" s="184" t="s">
        <v>270</v>
      </c>
      <c r="O182" s="184" t="s">
        <v>598</v>
      </c>
      <c r="P182" s="184" t="s">
        <v>79</v>
      </c>
      <c r="Q182" s="184" t="s">
        <v>112</v>
      </c>
      <c r="R182" s="184" t="s">
        <v>598</v>
      </c>
      <c r="S182" s="172">
        <v>42996.326388888891</v>
      </c>
      <c r="T182" s="32" t="s">
        <v>552</v>
      </c>
    </row>
    <row r="183" spans="1:20">
      <c r="A183" s="184" t="s">
        <v>1518</v>
      </c>
      <c r="B183" s="184" t="s">
        <v>3911</v>
      </c>
      <c r="C183" s="127">
        <v>42914</v>
      </c>
      <c r="D183" s="184" t="s">
        <v>34</v>
      </c>
      <c r="E183" s="184" t="s">
        <v>598</v>
      </c>
      <c r="F183" s="185">
        <v>4500</v>
      </c>
      <c r="G183" s="184" t="s">
        <v>493</v>
      </c>
      <c r="H183" s="184" t="s">
        <v>598</v>
      </c>
      <c r="I183" s="185">
        <v>0</v>
      </c>
      <c r="J183" s="184" t="s">
        <v>598</v>
      </c>
      <c r="K183" s="127">
        <v>42907</v>
      </c>
      <c r="L183" s="184" t="s">
        <v>134</v>
      </c>
      <c r="M183" s="184" t="s">
        <v>84</v>
      </c>
      <c r="N183" s="184" t="s">
        <v>1520</v>
      </c>
      <c r="O183" s="184" t="s">
        <v>1521</v>
      </c>
      <c r="P183" s="184" t="s">
        <v>79</v>
      </c>
      <c r="Q183" s="184" t="s">
        <v>112</v>
      </c>
      <c r="R183" s="184" t="s">
        <v>598</v>
      </c>
      <c r="S183" s="172">
        <v>42996.326388888891</v>
      </c>
      <c r="T183" s="32" t="s">
        <v>552</v>
      </c>
    </row>
    <row r="184" spans="1:20">
      <c r="A184" s="184" t="s">
        <v>1531</v>
      </c>
      <c r="B184" s="184" t="s">
        <v>3912</v>
      </c>
      <c r="C184" s="127">
        <v>42908</v>
      </c>
      <c r="D184" s="184" t="s">
        <v>34</v>
      </c>
      <c r="E184" s="184" t="s">
        <v>598</v>
      </c>
      <c r="F184" s="185">
        <v>500</v>
      </c>
      <c r="G184" s="184" t="s">
        <v>549</v>
      </c>
      <c r="H184" s="184" t="s">
        <v>598</v>
      </c>
      <c r="I184" s="185">
        <v>0</v>
      </c>
      <c r="J184" s="184" t="s">
        <v>493</v>
      </c>
      <c r="K184" s="127">
        <v>42908</v>
      </c>
      <c r="L184" s="184" t="s">
        <v>134</v>
      </c>
      <c r="M184" s="184" t="s">
        <v>84</v>
      </c>
      <c r="N184" s="184" t="s">
        <v>598</v>
      </c>
      <c r="O184" s="184" t="s">
        <v>598</v>
      </c>
      <c r="P184" s="184" t="s">
        <v>79</v>
      </c>
      <c r="Q184" s="184" t="s">
        <v>112</v>
      </c>
      <c r="R184" s="184" t="s">
        <v>598</v>
      </c>
      <c r="S184" s="172">
        <v>42996.326388888891</v>
      </c>
      <c r="T184" s="32" t="s">
        <v>552</v>
      </c>
    </row>
    <row r="185" spans="1:20">
      <c r="A185" s="184" t="s">
        <v>1533</v>
      </c>
      <c r="B185" s="184" t="s">
        <v>3913</v>
      </c>
      <c r="C185" s="127">
        <v>42910</v>
      </c>
      <c r="D185" s="184" t="s">
        <v>10</v>
      </c>
      <c r="E185" s="184" t="s">
        <v>598</v>
      </c>
      <c r="F185" s="185">
        <v>3000</v>
      </c>
      <c r="G185" s="184" t="s">
        <v>493</v>
      </c>
      <c r="H185" s="184" t="s">
        <v>598</v>
      </c>
      <c r="I185" s="185">
        <v>0</v>
      </c>
      <c r="J185" s="184" t="s">
        <v>598</v>
      </c>
      <c r="K185" s="127">
        <v>42908</v>
      </c>
      <c r="L185" s="184" t="s">
        <v>134</v>
      </c>
      <c r="M185" s="184" t="s">
        <v>84</v>
      </c>
      <c r="N185" s="184" t="s">
        <v>271</v>
      </c>
      <c r="O185" s="184" t="s">
        <v>598</v>
      </c>
      <c r="P185" s="184" t="s">
        <v>79</v>
      </c>
      <c r="Q185" s="184" t="s">
        <v>79</v>
      </c>
      <c r="R185" s="184" t="s">
        <v>598</v>
      </c>
      <c r="S185" s="172">
        <v>42996.326388888891</v>
      </c>
      <c r="T185" s="32" t="s">
        <v>552</v>
      </c>
    </row>
    <row r="186" spans="1:20">
      <c r="A186" s="184" t="s">
        <v>1537</v>
      </c>
      <c r="B186" s="184" t="s">
        <v>3914</v>
      </c>
      <c r="C186" s="127">
        <v>42909</v>
      </c>
      <c r="D186" s="184" t="s">
        <v>34</v>
      </c>
      <c r="E186" s="184" t="s">
        <v>598</v>
      </c>
      <c r="F186" s="185">
        <v>2500</v>
      </c>
      <c r="G186" s="184" t="s">
        <v>493</v>
      </c>
      <c r="H186" s="184" t="s">
        <v>598</v>
      </c>
      <c r="I186" s="185">
        <v>0</v>
      </c>
      <c r="J186" s="184" t="s">
        <v>598</v>
      </c>
      <c r="K186" s="127">
        <v>42908</v>
      </c>
      <c r="L186" s="184" t="s">
        <v>864</v>
      </c>
      <c r="M186" s="184" t="s">
        <v>84</v>
      </c>
      <c r="N186" s="184" t="s">
        <v>598</v>
      </c>
      <c r="O186" s="184" t="s">
        <v>598</v>
      </c>
      <c r="P186" s="184" t="s">
        <v>79</v>
      </c>
      <c r="Q186" s="184" t="s">
        <v>598</v>
      </c>
      <c r="R186" s="184" t="s">
        <v>598</v>
      </c>
      <c r="S186" s="172">
        <v>42996.326388888891</v>
      </c>
      <c r="T186" s="32" t="s">
        <v>552</v>
      </c>
    </row>
    <row r="187" spans="1:20">
      <c r="A187" s="184" t="s">
        <v>1541</v>
      </c>
      <c r="B187" s="184" t="s">
        <v>3915</v>
      </c>
      <c r="C187" s="127">
        <v>42915</v>
      </c>
      <c r="D187" s="184" t="s">
        <v>10</v>
      </c>
      <c r="E187" s="184" t="s">
        <v>598</v>
      </c>
      <c r="F187" s="185">
        <v>3000</v>
      </c>
      <c r="G187" s="184" t="s">
        <v>493</v>
      </c>
      <c r="H187" s="184" t="s">
        <v>598</v>
      </c>
      <c r="I187" s="185">
        <v>0</v>
      </c>
      <c r="J187" s="184" t="s">
        <v>598</v>
      </c>
      <c r="K187" s="127">
        <v>42910</v>
      </c>
      <c r="L187" s="184" t="s">
        <v>134</v>
      </c>
      <c r="M187" s="184" t="s">
        <v>84</v>
      </c>
      <c r="N187" s="184" t="s">
        <v>254</v>
      </c>
      <c r="O187" s="184" t="s">
        <v>598</v>
      </c>
      <c r="P187" s="184" t="s">
        <v>79</v>
      </c>
      <c r="Q187" s="184" t="s">
        <v>79</v>
      </c>
      <c r="R187" s="184" t="s">
        <v>598</v>
      </c>
      <c r="S187" s="172">
        <v>42996.326388888891</v>
      </c>
      <c r="T187" s="32" t="s">
        <v>552</v>
      </c>
    </row>
    <row r="188" spans="1:20">
      <c r="A188" s="184" t="s">
        <v>1543</v>
      </c>
      <c r="B188" s="184" t="s">
        <v>3916</v>
      </c>
      <c r="C188" s="127">
        <v>42910</v>
      </c>
      <c r="D188" s="184" t="s">
        <v>34</v>
      </c>
      <c r="E188" s="184" t="s">
        <v>598</v>
      </c>
      <c r="F188" s="185">
        <v>5000</v>
      </c>
      <c r="G188" s="184" t="s">
        <v>493</v>
      </c>
      <c r="H188" s="184" t="s">
        <v>598</v>
      </c>
      <c r="I188" s="185">
        <v>0</v>
      </c>
      <c r="J188" s="184" t="s">
        <v>598</v>
      </c>
      <c r="K188" s="127">
        <v>42910</v>
      </c>
      <c r="L188" s="184" t="s">
        <v>132</v>
      </c>
      <c r="M188" s="184" t="s">
        <v>84</v>
      </c>
      <c r="N188" s="184" t="s">
        <v>254</v>
      </c>
      <c r="O188" s="184" t="s">
        <v>598</v>
      </c>
      <c r="P188" s="184" t="s">
        <v>79</v>
      </c>
      <c r="Q188" s="184" t="s">
        <v>112</v>
      </c>
      <c r="R188" s="184" t="s">
        <v>598</v>
      </c>
      <c r="S188" s="172">
        <v>42996.326388888891</v>
      </c>
      <c r="T188" s="32" t="s">
        <v>552</v>
      </c>
    </row>
    <row r="189" spans="1:20">
      <c r="A189" s="184" t="s">
        <v>1545</v>
      </c>
      <c r="B189" s="184" t="s">
        <v>3917</v>
      </c>
      <c r="C189" s="127">
        <v>42910</v>
      </c>
      <c r="D189" s="184" t="s">
        <v>34</v>
      </c>
      <c r="E189" s="184" t="s">
        <v>598</v>
      </c>
      <c r="F189" s="185">
        <v>5000</v>
      </c>
      <c r="G189" s="184" t="s">
        <v>493</v>
      </c>
      <c r="H189" s="184" t="s">
        <v>598</v>
      </c>
      <c r="I189" s="185">
        <v>0</v>
      </c>
      <c r="J189" s="184" t="s">
        <v>598</v>
      </c>
      <c r="K189" s="127">
        <v>42910</v>
      </c>
      <c r="L189" s="184" t="s">
        <v>50</v>
      </c>
      <c r="M189" s="184" t="s">
        <v>84</v>
      </c>
      <c r="N189" s="184" t="s">
        <v>262</v>
      </c>
      <c r="O189" s="184" t="s">
        <v>598</v>
      </c>
      <c r="P189" s="184" t="s">
        <v>79</v>
      </c>
      <c r="Q189" s="184" t="s">
        <v>112</v>
      </c>
      <c r="R189" s="184" t="s">
        <v>598</v>
      </c>
      <c r="S189" s="172">
        <v>42996.326388888891</v>
      </c>
      <c r="T189" s="32" t="s">
        <v>552</v>
      </c>
    </row>
    <row r="190" spans="1:20">
      <c r="A190" s="184" t="s">
        <v>1549</v>
      </c>
      <c r="B190" s="184" t="s">
        <v>3918</v>
      </c>
      <c r="C190" s="127">
        <v>42912</v>
      </c>
      <c r="D190" s="184" t="s">
        <v>34</v>
      </c>
      <c r="E190" s="184" t="s">
        <v>598</v>
      </c>
      <c r="F190" s="185">
        <v>5000</v>
      </c>
      <c r="G190" s="184" t="s">
        <v>493</v>
      </c>
      <c r="H190" s="184" t="s">
        <v>598</v>
      </c>
      <c r="I190" s="185">
        <v>0</v>
      </c>
      <c r="J190" s="184" t="s">
        <v>598</v>
      </c>
      <c r="K190" s="127">
        <v>42910</v>
      </c>
      <c r="L190" s="184" t="s">
        <v>134</v>
      </c>
      <c r="M190" s="184" t="s">
        <v>84</v>
      </c>
      <c r="N190" s="184" t="s">
        <v>272</v>
      </c>
      <c r="O190" s="184" t="s">
        <v>598</v>
      </c>
      <c r="P190" s="184" t="s">
        <v>79</v>
      </c>
      <c r="Q190" s="184" t="s">
        <v>79</v>
      </c>
      <c r="R190" s="184" t="s">
        <v>598</v>
      </c>
      <c r="S190" s="172">
        <v>42996.326388888891</v>
      </c>
      <c r="T190" s="32" t="s">
        <v>552</v>
      </c>
    </row>
    <row r="191" spans="1:20">
      <c r="A191" s="184" t="s">
        <v>1554</v>
      </c>
      <c r="B191" s="184" t="s">
        <v>3919</v>
      </c>
      <c r="C191" s="127">
        <v>42913</v>
      </c>
      <c r="D191" s="184" t="s">
        <v>34</v>
      </c>
      <c r="E191" s="184" t="s">
        <v>598</v>
      </c>
      <c r="F191" s="185">
        <v>2500</v>
      </c>
      <c r="G191" s="184" t="s">
        <v>493</v>
      </c>
      <c r="H191" s="184" t="s">
        <v>598</v>
      </c>
      <c r="I191" s="185">
        <v>0</v>
      </c>
      <c r="J191" s="184" t="s">
        <v>598</v>
      </c>
      <c r="K191" s="127">
        <v>42912</v>
      </c>
      <c r="L191" s="184" t="s">
        <v>132</v>
      </c>
      <c r="M191" s="184" t="s">
        <v>84</v>
      </c>
      <c r="N191" s="184" t="s">
        <v>1520</v>
      </c>
      <c r="O191" s="184" t="s">
        <v>598</v>
      </c>
      <c r="P191" s="184" t="s">
        <v>79</v>
      </c>
      <c r="Q191" s="184" t="s">
        <v>79</v>
      </c>
      <c r="R191" s="184" t="s">
        <v>598</v>
      </c>
      <c r="S191" s="172">
        <v>42996.326388888891</v>
      </c>
      <c r="T191" s="32" t="s">
        <v>552</v>
      </c>
    </row>
    <row r="192" spans="1:20">
      <c r="A192" s="184" t="s">
        <v>1558</v>
      </c>
      <c r="B192" s="184" t="s">
        <v>3920</v>
      </c>
      <c r="C192" s="127">
        <v>42913</v>
      </c>
      <c r="D192" s="184" t="s">
        <v>34</v>
      </c>
      <c r="E192" s="184" t="s">
        <v>598</v>
      </c>
      <c r="F192" s="185">
        <v>2500</v>
      </c>
      <c r="G192" s="184" t="s">
        <v>493</v>
      </c>
      <c r="H192" s="184" t="s">
        <v>598</v>
      </c>
      <c r="I192" s="185">
        <v>0</v>
      </c>
      <c r="J192" s="184" t="s">
        <v>598</v>
      </c>
      <c r="K192" s="127">
        <v>42912</v>
      </c>
      <c r="L192" s="184" t="s">
        <v>598</v>
      </c>
      <c r="M192" s="184" t="s">
        <v>84</v>
      </c>
      <c r="N192" s="184" t="s">
        <v>598</v>
      </c>
      <c r="O192" s="184" t="s">
        <v>598</v>
      </c>
      <c r="P192" s="184" t="s">
        <v>79</v>
      </c>
      <c r="Q192" s="184" t="s">
        <v>598</v>
      </c>
      <c r="R192" s="184" t="s">
        <v>598</v>
      </c>
      <c r="S192" s="172">
        <v>42996.326388888891</v>
      </c>
      <c r="T192" s="32" t="s">
        <v>552</v>
      </c>
    </row>
    <row r="193" spans="1:20">
      <c r="A193" s="184" t="s">
        <v>1560</v>
      </c>
      <c r="B193" s="184" t="s">
        <v>3921</v>
      </c>
      <c r="C193" s="127">
        <v>42916</v>
      </c>
      <c r="D193" s="184" t="s">
        <v>10</v>
      </c>
      <c r="E193" s="184" t="s">
        <v>598</v>
      </c>
      <c r="F193" s="185">
        <v>3000</v>
      </c>
      <c r="G193" s="184" t="s">
        <v>493</v>
      </c>
      <c r="H193" s="184" t="s">
        <v>598</v>
      </c>
      <c r="I193" s="185">
        <v>0</v>
      </c>
      <c r="J193" s="184" t="s">
        <v>598</v>
      </c>
      <c r="K193" s="127">
        <v>42912</v>
      </c>
      <c r="L193" s="184" t="s">
        <v>134</v>
      </c>
      <c r="M193" s="184" t="s">
        <v>84</v>
      </c>
      <c r="N193" s="184" t="s">
        <v>1562</v>
      </c>
      <c r="O193" s="184" t="s">
        <v>50</v>
      </c>
      <c r="P193" s="184" t="s">
        <v>79</v>
      </c>
      <c r="Q193" s="184" t="s">
        <v>112</v>
      </c>
      <c r="R193" s="184" t="s">
        <v>598</v>
      </c>
      <c r="S193" s="172">
        <v>42996.326388888891</v>
      </c>
      <c r="T193" s="32" t="s">
        <v>552</v>
      </c>
    </row>
    <row r="194" spans="1:20">
      <c r="A194" s="184" t="s">
        <v>1563</v>
      </c>
      <c r="B194" s="184" t="s">
        <v>3922</v>
      </c>
      <c r="C194" s="127">
        <v>42915</v>
      </c>
      <c r="D194" s="184" t="s">
        <v>10</v>
      </c>
      <c r="E194" s="184" t="s">
        <v>598</v>
      </c>
      <c r="F194" s="185">
        <v>3000</v>
      </c>
      <c r="G194" s="184" t="s">
        <v>493</v>
      </c>
      <c r="H194" s="184" t="s">
        <v>598</v>
      </c>
      <c r="I194" s="185">
        <v>0</v>
      </c>
      <c r="J194" s="184" t="s">
        <v>598</v>
      </c>
      <c r="K194" s="127">
        <v>42912</v>
      </c>
      <c r="L194" s="184" t="s">
        <v>120</v>
      </c>
      <c r="M194" s="184" t="s">
        <v>84</v>
      </c>
      <c r="N194" s="184" t="s">
        <v>254</v>
      </c>
      <c r="O194" s="184" t="s">
        <v>598</v>
      </c>
      <c r="P194" s="184" t="s">
        <v>79</v>
      </c>
      <c r="Q194" s="184" t="s">
        <v>112</v>
      </c>
      <c r="R194" s="184" t="s">
        <v>598</v>
      </c>
      <c r="S194" s="172">
        <v>42996.326388888891</v>
      </c>
      <c r="T194" s="32" t="s">
        <v>552</v>
      </c>
    </row>
    <row r="195" spans="1:20">
      <c r="A195" s="184" t="s">
        <v>1571</v>
      </c>
      <c r="B195" s="184" t="s">
        <v>3923</v>
      </c>
      <c r="C195" s="127">
        <v>42916</v>
      </c>
      <c r="D195" s="184" t="s">
        <v>10</v>
      </c>
      <c r="E195" s="184" t="s">
        <v>598</v>
      </c>
      <c r="F195" s="185">
        <v>4000</v>
      </c>
      <c r="G195" s="184" t="s">
        <v>493</v>
      </c>
      <c r="H195" s="184" t="s">
        <v>598</v>
      </c>
      <c r="I195" s="185">
        <v>0</v>
      </c>
      <c r="J195" s="184" t="s">
        <v>598</v>
      </c>
      <c r="K195" s="127">
        <v>42913</v>
      </c>
      <c r="L195" s="184" t="s">
        <v>134</v>
      </c>
      <c r="M195" s="184" t="s">
        <v>84</v>
      </c>
      <c r="N195" s="184" t="s">
        <v>251</v>
      </c>
      <c r="O195" s="184" t="s">
        <v>50</v>
      </c>
      <c r="P195" s="184" t="s">
        <v>79</v>
      </c>
      <c r="Q195" s="184" t="s">
        <v>79</v>
      </c>
      <c r="R195" s="184" t="s">
        <v>598</v>
      </c>
      <c r="S195" s="172">
        <v>42996.326388888891</v>
      </c>
      <c r="T195" s="32" t="s">
        <v>552</v>
      </c>
    </row>
    <row r="196" spans="1:20">
      <c r="A196" s="184" t="s">
        <v>1573</v>
      </c>
      <c r="B196" s="184" t="s">
        <v>3924</v>
      </c>
      <c r="C196" s="127">
        <v>42916</v>
      </c>
      <c r="D196" s="184" t="s">
        <v>10</v>
      </c>
      <c r="E196" s="184" t="s">
        <v>598</v>
      </c>
      <c r="F196" s="185">
        <v>3000</v>
      </c>
      <c r="G196" s="184" t="s">
        <v>493</v>
      </c>
      <c r="H196" s="184" t="s">
        <v>598</v>
      </c>
      <c r="I196" s="185">
        <v>0</v>
      </c>
      <c r="J196" s="184" t="s">
        <v>598</v>
      </c>
      <c r="K196" s="127">
        <v>42913</v>
      </c>
      <c r="L196" s="184" t="s">
        <v>107</v>
      </c>
      <c r="M196" s="184" t="s">
        <v>84</v>
      </c>
      <c r="N196" s="184" t="s">
        <v>264</v>
      </c>
      <c r="O196" s="184" t="s">
        <v>50</v>
      </c>
      <c r="P196" s="184" t="s">
        <v>79</v>
      </c>
      <c r="Q196" s="184" t="s">
        <v>79</v>
      </c>
      <c r="R196" s="184" t="s">
        <v>598</v>
      </c>
      <c r="S196" s="172">
        <v>42996.326388888891</v>
      </c>
      <c r="T196" s="32" t="s">
        <v>552</v>
      </c>
    </row>
    <row r="197" spans="1:20">
      <c r="A197" s="184" t="s">
        <v>1583</v>
      </c>
      <c r="B197" s="184" t="s">
        <v>3925</v>
      </c>
      <c r="C197" s="127">
        <v>42915</v>
      </c>
      <c r="D197" s="184" t="s">
        <v>34</v>
      </c>
      <c r="E197" s="184" t="s">
        <v>598</v>
      </c>
      <c r="F197" s="185">
        <v>1000</v>
      </c>
      <c r="G197" s="184" t="s">
        <v>493</v>
      </c>
      <c r="H197" s="184" t="s">
        <v>598</v>
      </c>
      <c r="I197" s="185">
        <v>0</v>
      </c>
      <c r="J197" s="184" t="s">
        <v>598</v>
      </c>
      <c r="K197" s="127">
        <v>42915</v>
      </c>
      <c r="L197" s="184" t="s">
        <v>864</v>
      </c>
      <c r="M197" s="184" t="s">
        <v>84</v>
      </c>
      <c r="N197" s="184" t="s">
        <v>598</v>
      </c>
      <c r="O197" s="184" t="s">
        <v>598</v>
      </c>
      <c r="P197" s="184" t="s">
        <v>79</v>
      </c>
      <c r="Q197" s="184" t="s">
        <v>598</v>
      </c>
      <c r="R197" s="184" t="s">
        <v>598</v>
      </c>
      <c r="S197" s="172">
        <v>42996.326388888891</v>
      </c>
      <c r="T197" s="32" t="s">
        <v>552</v>
      </c>
    </row>
    <row r="198" spans="1:20">
      <c r="A198" s="184" t="s">
        <v>1591</v>
      </c>
      <c r="B198" s="184" t="s">
        <v>3926</v>
      </c>
      <c r="C198" s="127">
        <v>42895</v>
      </c>
      <c r="D198" s="184" t="s">
        <v>34</v>
      </c>
      <c r="E198" s="184" t="s">
        <v>598</v>
      </c>
      <c r="F198" s="185">
        <v>1000</v>
      </c>
      <c r="G198" s="184" t="s">
        <v>493</v>
      </c>
      <c r="H198" s="184" t="s">
        <v>598</v>
      </c>
      <c r="I198" s="185">
        <v>0</v>
      </c>
      <c r="J198" s="184" t="s">
        <v>598</v>
      </c>
      <c r="K198" s="127">
        <v>42895</v>
      </c>
      <c r="L198" s="184" t="s">
        <v>598</v>
      </c>
      <c r="M198" s="184" t="s">
        <v>84</v>
      </c>
      <c r="N198" s="184" t="s">
        <v>598</v>
      </c>
      <c r="O198" s="184" t="s">
        <v>275</v>
      </c>
      <c r="P198" s="184" t="s">
        <v>79</v>
      </c>
      <c r="Q198" s="184" t="s">
        <v>598</v>
      </c>
      <c r="R198" s="184" t="s">
        <v>598</v>
      </c>
      <c r="S198" s="172">
        <v>42996.326388888891</v>
      </c>
      <c r="T198" s="32" t="s">
        <v>552</v>
      </c>
    </row>
    <row r="199" spans="1:20">
      <c r="A199" s="184" t="s">
        <v>1592</v>
      </c>
      <c r="B199" s="184" t="s">
        <v>3927</v>
      </c>
      <c r="C199" s="127">
        <v>42900</v>
      </c>
      <c r="D199" s="184" t="s">
        <v>34</v>
      </c>
      <c r="E199" s="184" t="s">
        <v>598</v>
      </c>
      <c r="F199" s="185">
        <v>3000</v>
      </c>
      <c r="G199" s="184" t="s">
        <v>493</v>
      </c>
      <c r="H199" s="184" t="s">
        <v>598</v>
      </c>
      <c r="I199" s="185">
        <v>0</v>
      </c>
      <c r="J199" s="184" t="s">
        <v>598</v>
      </c>
      <c r="K199" s="127">
        <v>42900</v>
      </c>
      <c r="L199" s="184" t="s">
        <v>598</v>
      </c>
      <c r="M199" s="184" t="s">
        <v>84</v>
      </c>
      <c r="N199" s="184" t="s">
        <v>598</v>
      </c>
      <c r="O199" s="184" t="s">
        <v>275</v>
      </c>
      <c r="P199" s="184" t="s">
        <v>79</v>
      </c>
      <c r="Q199" s="184" t="s">
        <v>598</v>
      </c>
      <c r="R199" s="184" t="s">
        <v>598</v>
      </c>
      <c r="S199" s="172">
        <v>42996.326388888891</v>
      </c>
      <c r="T199" s="32" t="s">
        <v>552</v>
      </c>
    </row>
    <row r="200" spans="1:20">
      <c r="A200" s="184" t="s">
        <v>1593</v>
      </c>
      <c r="B200" s="184" t="s">
        <v>3928</v>
      </c>
      <c r="C200" s="127">
        <v>42902</v>
      </c>
      <c r="D200" s="184" t="s">
        <v>10</v>
      </c>
      <c r="E200" s="184" t="s">
        <v>598</v>
      </c>
      <c r="F200" s="185">
        <v>3000</v>
      </c>
      <c r="G200" s="184" t="s">
        <v>493</v>
      </c>
      <c r="H200" s="184" t="s">
        <v>598</v>
      </c>
      <c r="I200" s="185">
        <v>0</v>
      </c>
      <c r="J200" s="184" t="s">
        <v>598</v>
      </c>
      <c r="K200" s="127">
        <v>42902</v>
      </c>
      <c r="L200" s="184" t="s">
        <v>598</v>
      </c>
      <c r="M200" s="184" t="s">
        <v>84</v>
      </c>
      <c r="N200" s="184" t="s">
        <v>598</v>
      </c>
      <c r="O200" s="184" t="s">
        <v>275</v>
      </c>
      <c r="P200" s="184" t="s">
        <v>79</v>
      </c>
      <c r="Q200" s="184" t="s">
        <v>598</v>
      </c>
      <c r="R200" s="184" t="s">
        <v>598</v>
      </c>
      <c r="S200" s="172">
        <v>42996.326388888891</v>
      </c>
      <c r="T200" s="32" t="s">
        <v>552</v>
      </c>
    </row>
    <row r="201" spans="1:20">
      <c r="A201" s="184" t="s">
        <v>1595</v>
      </c>
      <c r="B201" s="184" t="s">
        <v>3929</v>
      </c>
      <c r="C201" s="127">
        <v>42902</v>
      </c>
      <c r="D201" s="184" t="s">
        <v>34</v>
      </c>
      <c r="E201" s="184" t="s">
        <v>598</v>
      </c>
      <c r="F201" s="185">
        <v>1500</v>
      </c>
      <c r="G201" s="184" t="s">
        <v>493</v>
      </c>
      <c r="H201" s="184" t="s">
        <v>598</v>
      </c>
      <c r="I201" s="185">
        <v>0</v>
      </c>
      <c r="J201" s="184" t="s">
        <v>598</v>
      </c>
      <c r="K201" s="127">
        <v>42902</v>
      </c>
      <c r="L201" s="184" t="s">
        <v>598</v>
      </c>
      <c r="M201" s="184" t="s">
        <v>84</v>
      </c>
      <c r="N201" s="184" t="s">
        <v>598</v>
      </c>
      <c r="O201" s="184" t="s">
        <v>275</v>
      </c>
      <c r="P201" s="184" t="s">
        <v>79</v>
      </c>
      <c r="Q201" s="184" t="s">
        <v>598</v>
      </c>
      <c r="R201" s="184" t="s">
        <v>598</v>
      </c>
      <c r="S201" s="172">
        <v>42996.326388888891</v>
      </c>
      <c r="T201" s="32" t="s">
        <v>552</v>
      </c>
    </row>
    <row r="202" spans="1:20">
      <c r="A202" s="184" t="s">
        <v>1605</v>
      </c>
      <c r="B202" s="184" t="s">
        <v>3930</v>
      </c>
      <c r="C202" s="127">
        <v>42915</v>
      </c>
      <c r="D202" s="184" t="s">
        <v>34</v>
      </c>
      <c r="E202" s="184" t="s">
        <v>598</v>
      </c>
      <c r="F202" s="185">
        <v>4000</v>
      </c>
      <c r="G202" s="184" t="s">
        <v>493</v>
      </c>
      <c r="H202" s="184" t="s">
        <v>598</v>
      </c>
      <c r="I202" s="185">
        <v>0</v>
      </c>
      <c r="J202" s="184" t="s">
        <v>598</v>
      </c>
      <c r="K202" s="127">
        <v>42758</v>
      </c>
      <c r="L202" s="184" t="s">
        <v>134</v>
      </c>
      <c r="M202" s="184" t="s">
        <v>84</v>
      </c>
      <c r="N202" s="184" t="s">
        <v>195</v>
      </c>
      <c r="O202" s="184" t="s">
        <v>62</v>
      </c>
      <c r="P202" s="184" t="s">
        <v>79</v>
      </c>
      <c r="Q202" s="184" t="s">
        <v>79</v>
      </c>
      <c r="R202" s="184" t="s">
        <v>598</v>
      </c>
      <c r="S202" s="172">
        <v>42996.326388888891</v>
      </c>
      <c r="T202" s="32" t="s">
        <v>552</v>
      </c>
    </row>
    <row r="203" spans="1:20">
      <c r="A203" s="184" t="s">
        <v>1607</v>
      </c>
      <c r="B203" s="184" t="s">
        <v>3931</v>
      </c>
      <c r="C203" s="127">
        <v>42915</v>
      </c>
      <c r="D203" s="184" t="s">
        <v>34</v>
      </c>
      <c r="E203" s="184" t="s">
        <v>598</v>
      </c>
      <c r="F203" s="185">
        <v>4000</v>
      </c>
      <c r="G203" s="184" t="s">
        <v>493</v>
      </c>
      <c r="H203" s="184" t="s">
        <v>598</v>
      </c>
      <c r="I203" s="185">
        <v>0</v>
      </c>
      <c r="J203" s="184" t="s">
        <v>598</v>
      </c>
      <c r="K203" s="127">
        <v>42758</v>
      </c>
      <c r="L203" s="184" t="s">
        <v>598</v>
      </c>
      <c r="M203" s="184" t="s">
        <v>84</v>
      </c>
      <c r="N203" s="184" t="s">
        <v>195</v>
      </c>
      <c r="O203" s="184" t="s">
        <v>62</v>
      </c>
      <c r="P203" s="184" t="s">
        <v>79</v>
      </c>
      <c r="Q203" s="184" t="s">
        <v>79</v>
      </c>
      <c r="R203" s="184" t="s">
        <v>598</v>
      </c>
      <c r="S203" s="172">
        <v>42996.326388888891</v>
      </c>
      <c r="T203" s="32" t="s">
        <v>552</v>
      </c>
    </row>
    <row r="204" spans="1:20">
      <c r="A204" s="184" t="s">
        <v>1609</v>
      </c>
      <c r="B204" s="184" t="s">
        <v>3932</v>
      </c>
      <c r="C204" s="127">
        <v>42915</v>
      </c>
      <c r="D204" s="184" t="s">
        <v>34</v>
      </c>
      <c r="E204" s="184" t="s">
        <v>598</v>
      </c>
      <c r="F204" s="185">
        <v>4000</v>
      </c>
      <c r="G204" s="184" t="s">
        <v>493</v>
      </c>
      <c r="H204" s="184" t="s">
        <v>598</v>
      </c>
      <c r="I204" s="185">
        <v>0</v>
      </c>
      <c r="J204" s="184" t="s">
        <v>598</v>
      </c>
      <c r="K204" s="127">
        <v>42758</v>
      </c>
      <c r="L204" s="184" t="s">
        <v>598</v>
      </c>
      <c r="M204" s="184" t="s">
        <v>84</v>
      </c>
      <c r="N204" s="184" t="s">
        <v>184</v>
      </c>
      <c r="O204" s="184" t="s">
        <v>62</v>
      </c>
      <c r="P204" s="184" t="s">
        <v>79</v>
      </c>
      <c r="Q204" s="184" t="s">
        <v>79</v>
      </c>
      <c r="R204" s="184" t="s">
        <v>598</v>
      </c>
      <c r="S204" s="172">
        <v>42996.326388888891</v>
      </c>
      <c r="T204" s="32" t="s">
        <v>552</v>
      </c>
    </row>
    <row r="205" spans="1:20">
      <c r="A205" s="184" t="s">
        <v>1611</v>
      </c>
      <c r="B205" s="184" t="s">
        <v>3933</v>
      </c>
      <c r="C205" s="127">
        <v>42915</v>
      </c>
      <c r="D205" s="184" t="s">
        <v>34</v>
      </c>
      <c r="E205" s="184" t="s">
        <v>598</v>
      </c>
      <c r="F205" s="185">
        <v>3000</v>
      </c>
      <c r="G205" s="184" t="s">
        <v>493</v>
      </c>
      <c r="H205" s="184" t="s">
        <v>598</v>
      </c>
      <c r="I205" s="185">
        <v>0</v>
      </c>
      <c r="J205" s="184" t="s">
        <v>598</v>
      </c>
      <c r="K205" s="127">
        <v>42758</v>
      </c>
      <c r="L205" s="184" t="s">
        <v>598</v>
      </c>
      <c r="M205" s="184" t="s">
        <v>84</v>
      </c>
      <c r="N205" s="184" t="s">
        <v>195</v>
      </c>
      <c r="O205" s="184" t="s">
        <v>62</v>
      </c>
      <c r="P205" s="184" t="s">
        <v>79</v>
      </c>
      <c r="Q205" s="184" t="s">
        <v>79</v>
      </c>
      <c r="R205" s="184" t="s">
        <v>598</v>
      </c>
      <c r="S205" s="172">
        <v>42996.326388888891</v>
      </c>
      <c r="T205" s="32" t="s">
        <v>552</v>
      </c>
    </row>
    <row r="206" spans="1:20">
      <c r="A206" s="184" t="s">
        <v>1613</v>
      </c>
      <c r="B206" s="184" t="s">
        <v>3934</v>
      </c>
      <c r="C206" s="127">
        <v>42915</v>
      </c>
      <c r="D206" s="184" t="s">
        <v>34</v>
      </c>
      <c r="E206" s="184" t="s">
        <v>598</v>
      </c>
      <c r="F206" s="185">
        <v>3000</v>
      </c>
      <c r="G206" s="184" t="s">
        <v>493</v>
      </c>
      <c r="H206" s="184" t="s">
        <v>598</v>
      </c>
      <c r="I206" s="185">
        <v>0</v>
      </c>
      <c r="J206" s="184" t="s">
        <v>598</v>
      </c>
      <c r="K206" s="127">
        <v>42760</v>
      </c>
      <c r="L206" s="184" t="s">
        <v>134</v>
      </c>
      <c r="M206" s="184" t="s">
        <v>84</v>
      </c>
      <c r="N206" s="184" t="s">
        <v>264</v>
      </c>
      <c r="O206" s="184" t="s">
        <v>62</v>
      </c>
      <c r="P206" s="184" t="s">
        <v>79</v>
      </c>
      <c r="Q206" s="184" t="s">
        <v>79</v>
      </c>
      <c r="R206" s="184" t="s">
        <v>598</v>
      </c>
      <c r="S206" s="172">
        <v>42996.326388888891</v>
      </c>
      <c r="T206" s="32" t="s">
        <v>552</v>
      </c>
    </row>
    <row r="207" spans="1:20">
      <c r="A207" s="184" t="s">
        <v>1615</v>
      </c>
      <c r="B207" s="184" t="s">
        <v>3935</v>
      </c>
      <c r="C207" s="127">
        <v>42915</v>
      </c>
      <c r="D207" s="184" t="s">
        <v>34</v>
      </c>
      <c r="E207" s="184" t="s">
        <v>598</v>
      </c>
      <c r="F207" s="185">
        <v>3000</v>
      </c>
      <c r="G207" s="184" t="s">
        <v>493</v>
      </c>
      <c r="H207" s="184" t="s">
        <v>598</v>
      </c>
      <c r="I207" s="185">
        <v>0</v>
      </c>
      <c r="J207" s="184" t="s">
        <v>598</v>
      </c>
      <c r="K207" s="127">
        <v>42763</v>
      </c>
      <c r="L207" s="184" t="s">
        <v>134</v>
      </c>
      <c r="M207" s="184" t="s">
        <v>84</v>
      </c>
      <c r="N207" s="184" t="s">
        <v>277</v>
      </c>
      <c r="O207" s="184" t="s">
        <v>62</v>
      </c>
      <c r="P207" s="184" t="s">
        <v>79</v>
      </c>
      <c r="Q207" s="184" t="s">
        <v>112</v>
      </c>
      <c r="R207" s="184" t="s">
        <v>598</v>
      </c>
      <c r="S207" s="172">
        <v>42996.326388888891</v>
      </c>
      <c r="T207" s="32" t="s">
        <v>552</v>
      </c>
    </row>
    <row r="208" spans="1:20">
      <c r="A208" s="184" t="s">
        <v>1617</v>
      </c>
      <c r="B208" s="184" t="s">
        <v>3936</v>
      </c>
      <c r="C208" s="127">
        <v>42915</v>
      </c>
      <c r="D208" s="184" t="s">
        <v>34</v>
      </c>
      <c r="E208" s="184" t="s">
        <v>598</v>
      </c>
      <c r="F208" s="185">
        <v>3000</v>
      </c>
      <c r="G208" s="184" t="s">
        <v>493</v>
      </c>
      <c r="H208" s="184" t="s">
        <v>598</v>
      </c>
      <c r="I208" s="185">
        <v>0</v>
      </c>
      <c r="J208" s="184" t="s">
        <v>598</v>
      </c>
      <c r="K208" s="127">
        <v>42763</v>
      </c>
      <c r="L208" s="184" t="s">
        <v>598</v>
      </c>
      <c r="M208" s="184" t="s">
        <v>84</v>
      </c>
      <c r="N208" s="184" t="s">
        <v>598</v>
      </c>
      <c r="O208" s="184" t="s">
        <v>62</v>
      </c>
      <c r="P208" s="184" t="s">
        <v>79</v>
      </c>
      <c r="Q208" s="184" t="s">
        <v>79</v>
      </c>
      <c r="R208" s="184" t="s">
        <v>598</v>
      </c>
      <c r="S208" s="172">
        <v>42996.326388888891</v>
      </c>
      <c r="T208" s="32" t="s">
        <v>552</v>
      </c>
    </row>
    <row r="209" spans="1:20">
      <c r="A209" s="184" t="s">
        <v>1619</v>
      </c>
      <c r="B209" s="184" t="s">
        <v>3937</v>
      </c>
      <c r="C209" s="127">
        <v>42915</v>
      </c>
      <c r="D209" s="184" t="s">
        <v>34</v>
      </c>
      <c r="E209" s="184" t="s">
        <v>598</v>
      </c>
      <c r="F209" s="185">
        <v>3000</v>
      </c>
      <c r="G209" s="184" t="s">
        <v>493</v>
      </c>
      <c r="H209" s="184" t="s">
        <v>598</v>
      </c>
      <c r="I209" s="185">
        <v>0</v>
      </c>
      <c r="J209" s="184" t="s">
        <v>598</v>
      </c>
      <c r="K209" s="127">
        <v>42774</v>
      </c>
      <c r="L209" s="184" t="s">
        <v>134</v>
      </c>
      <c r="M209" s="184" t="s">
        <v>84</v>
      </c>
      <c r="N209" s="184" t="s">
        <v>195</v>
      </c>
      <c r="O209" s="184" t="s">
        <v>62</v>
      </c>
      <c r="P209" s="184" t="s">
        <v>79</v>
      </c>
      <c r="Q209" s="184" t="s">
        <v>112</v>
      </c>
      <c r="R209" s="184" t="s">
        <v>598</v>
      </c>
      <c r="S209" s="172">
        <v>42996.326388888891</v>
      </c>
      <c r="T209" s="32" t="s">
        <v>552</v>
      </c>
    </row>
    <row r="210" spans="1:20">
      <c r="A210" s="184" t="s">
        <v>1621</v>
      </c>
      <c r="B210" s="184" t="s">
        <v>3938</v>
      </c>
      <c r="C210" s="127">
        <v>42915</v>
      </c>
      <c r="D210" s="184" t="s">
        <v>34</v>
      </c>
      <c r="E210" s="184" t="s">
        <v>598</v>
      </c>
      <c r="F210" s="185">
        <v>3000</v>
      </c>
      <c r="G210" s="184" t="s">
        <v>493</v>
      </c>
      <c r="H210" s="184" t="s">
        <v>598</v>
      </c>
      <c r="I210" s="185">
        <v>0</v>
      </c>
      <c r="J210" s="184" t="s">
        <v>598</v>
      </c>
      <c r="K210" s="127">
        <v>42780</v>
      </c>
      <c r="L210" s="184" t="s">
        <v>598</v>
      </c>
      <c r="M210" s="184" t="s">
        <v>84</v>
      </c>
      <c r="N210" s="184" t="s">
        <v>195</v>
      </c>
      <c r="O210" s="184" t="s">
        <v>62</v>
      </c>
      <c r="P210" s="184" t="s">
        <v>79</v>
      </c>
      <c r="Q210" s="184" t="s">
        <v>79</v>
      </c>
      <c r="R210" s="184" t="s">
        <v>598</v>
      </c>
      <c r="S210" s="172">
        <v>42996.326388888891</v>
      </c>
      <c r="T210" s="32" t="s">
        <v>552</v>
      </c>
    </row>
    <row r="211" spans="1:20">
      <c r="A211" s="184" t="s">
        <v>1623</v>
      </c>
      <c r="B211" s="184" t="s">
        <v>3939</v>
      </c>
      <c r="C211" s="127">
        <v>42915</v>
      </c>
      <c r="D211" s="184" t="s">
        <v>34</v>
      </c>
      <c r="E211" s="184" t="s">
        <v>598</v>
      </c>
      <c r="F211" s="185">
        <v>3000</v>
      </c>
      <c r="G211" s="184" t="s">
        <v>493</v>
      </c>
      <c r="H211" s="184" t="s">
        <v>598</v>
      </c>
      <c r="I211" s="185">
        <v>0</v>
      </c>
      <c r="J211" s="184" t="s">
        <v>598</v>
      </c>
      <c r="K211" s="127">
        <v>42781</v>
      </c>
      <c r="L211" s="184" t="s">
        <v>134</v>
      </c>
      <c r="M211" s="184" t="s">
        <v>84</v>
      </c>
      <c r="N211" s="184" t="s">
        <v>184</v>
      </c>
      <c r="O211" s="184" t="s">
        <v>62</v>
      </c>
      <c r="P211" s="184" t="s">
        <v>79</v>
      </c>
      <c r="Q211" s="184" t="s">
        <v>79</v>
      </c>
      <c r="R211" s="184" t="s">
        <v>598</v>
      </c>
      <c r="S211" s="172">
        <v>42996.326388888891</v>
      </c>
      <c r="T211" s="32" t="s">
        <v>552</v>
      </c>
    </row>
    <row r="212" spans="1:20">
      <c r="A212" s="184" t="s">
        <v>1624</v>
      </c>
      <c r="B212" s="184" t="s">
        <v>3940</v>
      </c>
      <c r="C212" s="127">
        <v>42915</v>
      </c>
      <c r="D212" s="184" t="s">
        <v>34</v>
      </c>
      <c r="E212" s="184" t="s">
        <v>598</v>
      </c>
      <c r="F212" s="185">
        <v>8000</v>
      </c>
      <c r="G212" s="184" t="s">
        <v>493</v>
      </c>
      <c r="H212" s="184" t="s">
        <v>598</v>
      </c>
      <c r="I212" s="185">
        <v>0</v>
      </c>
      <c r="J212" s="184" t="s">
        <v>598</v>
      </c>
      <c r="K212" s="127">
        <v>42781</v>
      </c>
      <c r="L212" s="184" t="s">
        <v>598</v>
      </c>
      <c r="M212" s="184" t="s">
        <v>84</v>
      </c>
      <c r="N212" s="184" t="s">
        <v>184</v>
      </c>
      <c r="O212" s="184" t="s">
        <v>62</v>
      </c>
      <c r="P212" s="184" t="s">
        <v>79</v>
      </c>
      <c r="Q212" s="184" t="s">
        <v>79</v>
      </c>
      <c r="R212" s="184" t="s">
        <v>598</v>
      </c>
      <c r="S212" s="172">
        <v>42996.326388888891</v>
      </c>
      <c r="T212" s="32" t="s">
        <v>552</v>
      </c>
    </row>
    <row r="213" spans="1:20">
      <c r="A213" s="184" t="s">
        <v>1626</v>
      </c>
      <c r="B213" s="184" t="s">
        <v>3941</v>
      </c>
      <c r="C213" s="127">
        <v>42915</v>
      </c>
      <c r="D213" s="184" t="s">
        <v>34</v>
      </c>
      <c r="E213" s="184" t="s">
        <v>598</v>
      </c>
      <c r="F213" s="185">
        <v>3000</v>
      </c>
      <c r="G213" s="184" t="s">
        <v>493</v>
      </c>
      <c r="H213" s="184" t="s">
        <v>598</v>
      </c>
      <c r="I213" s="185">
        <v>0</v>
      </c>
      <c r="J213" s="184" t="s">
        <v>598</v>
      </c>
      <c r="K213" s="127">
        <v>42782</v>
      </c>
      <c r="L213" s="184" t="s">
        <v>134</v>
      </c>
      <c r="M213" s="184" t="s">
        <v>84</v>
      </c>
      <c r="N213" s="184" t="s">
        <v>278</v>
      </c>
      <c r="O213" s="184" t="s">
        <v>62</v>
      </c>
      <c r="P213" s="184" t="s">
        <v>79</v>
      </c>
      <c r="Q213" s="184" t="s">
        <v>79</v>
      </c>
      <c r="R213" s="184" t="s">
        <v>598</v>
      </c>
      <c r="S213" s="172">
        <v>42996.326388888891</v>
      </c>
      <c r="T213" s="32" t="s">
        <v>552</v>
      </c>
    </row>
    <row r="214" spans="1:20">
      <c r="A214" s="184" t="s">
        <v>1628</v>
      </c>
      <c r="B214" s="184" t="s">
        <v>3942</v>
      </c>
      <c r="C214" s="127">
        <v>42915</v>
      </c>
      <c r="D214" s="184" t="s">
        <v>34</v>
      </c>
      <c r="E214" s="184" t="s">
        <v>598</v>
      </c>
      <c r="F214" s="185">
        <v>3000</v>
      </c>
      <c r="G214" s="184" t="s">
        <v>493</v>
      </c>
      <c r="H214" s="184" t="s">
        <v>598</v>
      </c>
      <c r="I214" s="185">
        <v>0</v>
      </c>
      <c r="J214" s="184" t="s">
        <v>598</v>
      </c>
      <c r="K214" s="127">
        <v>42782</v>
      </c>
      <c r="L214" s="184" t="s">
        <v>134</v>
      </c>
      <c r="M214" s="184" t="s">
        <v>84</v>
      </c>
      <c r="N214" s="184" t="s">
        <v>279</v>
      </c>
      <c r="O214" s="184" t="s">
        <v>62</v>
      </c>
      <c r="P214" s="184" t="s">
        <v>79</v>
      </c>
      <c r="Q214" s="184" t="s">
        <v>79</v>
      </c>
      <c r="R214" s="184" t="s">
        <v>598</v>
      </c>
      <c r="S214" s="172">
        <v>42996.326388888891</v>
      </c>
      <c r="T214" s="32" t="s">
        <v>552</v>
      </c>
    </row>
    <row r="215" spans="1:20">
      <c r="A215" s="184" t="s">
        <v>1634</v>
      </c>
      <c r="B215" s="184" t="s">
        <v>3943</v>
      </c>
      <c r="C215" s="127">
        <v>42915</v>
      </c>
      <c r="D215" s="184" t="s">
        <v>34</v>
      </c>
      <c r="E215" s="184" t="s">
        <v>598</v>
      </c>
      <c r="F215" s="185">
        <v>3000</v>
      </c>
      <c r="G215" s="184" t="s">
        <v>493</v>
      </c>
      <c r="H215" s="184" t="s">
        <v>598</v>
      </c>
      <c r="I215" s="185">
        <v>0</v>
      </c>
      <c r="J215" s="184" t="s">
        <v>598</v>
      </c>
      <c r="K215" s="127">
        <v>42790</v>
      </c>
      <c r="L215" s="184" t="s">
        <v>134</v>
      </c>
      <c r="M215" s="184" t="s">
        <v>84</v>
      </c>
      <c r="N215" s="184" t="s">
        <v>263</v>
      </c>
      <c r="O215" s="184" t="s">
        <v>62</v>
      </c>
      <c r="P215" s="184" t="s">
        <v>79</v>
      </c>
      <c r="Q215" s="184" t="s">
        <v>112</v>
      </c>
      <c r="R215" s="184" t="s">
        <v>598</v>
      </c>
      <c r="S215" s="172">
        <v>42996.326388888891</v>
      </c>
      <c r="T215" s="32" t="s">
        <v>552</v>
      </c>
    </row>
    <row r="216" spans="1:20">
      <c r="A216" s="184" t="s">
        <v>1655</v>
      </c>
      <c r="B216" s="184" t="s">
        <v>3944</v>
      </c>
      <c r="C216" s="127">
        <v>42916</v>
      </c>
      <c r="D216" s="184" t="s">
        <v>10</v>
      </c>
      <c r="E216" s="184" t="s">
        <v>598</v>
      </c>
      <c r="F216" s="185">
        <v>10000</v>
      </c>
      <c r="G216" s="184" t="s">
        <v>493</v>
      </c>
      <c r="H216" s="184" t="s">
        <v>598</v>
      </c>
      <c r="I216" s="185">
        <v>0</v>
      </c>
      <c r="J216" s="184" t="s">
        <v>598</v>
      </c>
      <c r="K216" s="127">
        <v>42805</v>
      </c>
      <c r="L216" s="184" t="s">
        <v>134</v>
      </c>
      <c r="M216" s="184" t="s">
        <v>84</v>
      </c>
      <c r="N216" s="184" t="s">
        <v>254</v>
      </c>
      <c r="O216" s="184" t="s">
        <v>598</v>
      </c>
      <c r="P216" s="184" t="s">
        <v>79</v>
      </c>
      <c r="Q216" s="184" t="s">
        <v>79</v>
      </c>
      <c r="R216" s="184" t="s">
        <v>598</v>
      </c>
      <c r="S216" s="172">
        <v>42996.326388888891</v>
      </c>
      <c r="T216" s="32" t="s">
        <v>552</v>
      </c>
    </row>
    <row r="217" spans="1:20">
      <c r="A217" s="184" t="s">
        <v>1677</v>
      </c>
      <c r="B217" s="184" t="s">
        <v>3945</v>
      </c>
      <c r="C217" s="127">
        <v>42903</v>
      </c>
      <c r="D217" s="184" t="s">
        <v>34</v>
      </c>
      <c r="E217" s="184" t="s">
        <v>598</v>
      </c>
      <c r="F217" s="185">
        <v>2500</v>
      </c>
      <c r="G217" s="184" t="s">
        <v>493</v>
      </c>
      <c r="H217" s="184" t="s">
        <v>598</v>
      </c>
      <c r="I217" s="185">
        <v>0</v>
      </c>
      <c r="J217" s="184" t="s">
        <v>598</v>
      </c>
      <c r="K217" s="127">
        <v>42818</v>
      </c>
      <c r="L217" s="184" t="s">
        <v>134</v>
      </c>
      <c r="M217" s="184" t="s">
        <v>84</v>
      </c>
      <c r="N217" s="184" t="s">
        <v>280</v>
      </c>
      <c r="O217" s="184" t="s">
        <v>598</v>
      </c>
      <c r="P217" s="184" t="s">
        <v>79</v>
      </c>
      <c r="Q217" s="184" t="s">
        <v>112</v>
      </c>
      <c r="R217" s="184" t="s">
        <v>598</v>
      </c>
      <c r="S217" s="172">
        <v>42996.326388888891</v>
      </c>
      <c r="T217" s="32" t="s">
        <v>552</v>
      </c>
    </row>
    <row r="218" spans="1:20">
      <c r="A218" s="184" t="s">
        <v>1710</v>
      </c>
      <c r="B218" s="184" t="s">
        <v>3946</v>
      </c>
      <c r="C218" s="127">
        <v>42891</v>
      </c>
      <c r="D218" s="184" t="s">
        <v>34</v>
      </c>
      <c r="E218" s="184" t="s">
        <v>598</v>
      </c>
      <c r="F218" s="185">
        <v>7500</v>
      </c>
      <c r="G218" s="184" t="s">
        <v>493</v>
      </c>
      <c r="H218" s="184" t="s">
        <v>598</v>
      </c>
      <c r="I218" s="185">
        <v>0</v>
      </c>
      <c r="J218" s="184" t="s">
        <v>598</v>
      </c>
      <c r="K218" s="127">
        <v>42837</v>
      </c>
      <c r="L218" s="184" t="s">
        <v>598</v>
      </c>
      <c r="M218" s="184" t="s">
        <v>84</v>
      </c>
      <c r="N218" s="184" t="s">
        <v>282</v>
      </c>
      <c r="O218" s="184" t="s">
        <v>62</v>
      </c>
      <c r="P218" s="184" t="s">
        <v>79</v>
      </c>
      <c r="Q218" s="184" t="s">
        <v>79</v>
      </c>
      <c r="R218" s="184" t="s">
        <v>598</v>
      </c>
      <c r="S218" s="172">
        <v>42996.326388888891</v>
      </c>
      <c r="T218" s="32" t="s">
        <v>552</v>
      </c>
    </row>
    <row r="219" spans="1:20">
      <c r="A219" s="184" t="s">
        <v>1712</v>
      </c>
      <c r="B219" s="184" t="s">
        <v>3947</v>
      </c>
      <c r="C219" s="127">
        <v>42891</v>
      </c>
      <c r="D219" s="184" t="s">
        <v>34</v>
      </c>
      <c r="E219" s="184" t="s">
        <v>598</v>
      </c>
      <c r="F219" s="185">
        <v>7500</v>
      </c>
      <c r="G219" s="184" t="s">
        <v>493</v>
      </c>
      <c r="H219" s="184" t="s">
        <v>598</v>
      </c>
      <c r="I219" s="185">
        <v>0</v>
      </c>
      <c r="J219" s="184" t="s">
        <v>598</v>
      </c>
      <c r="K219" s="127">
        <v>42837</v>
      </c>
      <c r="L219" s="184" t="s">
        <v>598</v>
      </c>
      <c r="M219" s="184" t="s">
        <v>84</v>
      </c>
      <c r="N219" s="184" t="s">
        <v>282</v>
      </c>
      <c r="O219" s="184" t="s">
        <v>62</v>
      </c>
      <c r="P219" s="184" t="s">
        <v>79</v>
      </c>
      <c r="Q219" s="184" t="s">
        <v>79</v>
      </c>
      <c r="R219" s="184" t="s">
        <v>598</v>
      </c>
      <c r="S219" s="172">
        <v>42996.326388888891</v>
      </c>
      <c r="T219" s="32" t="s">
        <v>552</v>
      </c>
    </row>
    <row r="220" spans="1:20">
      <c r="A220" s="184" t="s">
        <v>1719</v>
      </c>
      <c r="B220" s="184" t="s">
        <v>3948</v>
      </c>
      <c r="C220" s="127">
        <v>42894</v>
      </c>
      <c r="D220" s="184" t="s">
        <v>34</v>
      </c>
      <c r="E220" s="184" t="s">
        <v>598</v>
      </c>
      <c r="F220" s="185">
        <v>3000</v>
      </c>
      <c r="G220" s="184" t="s">
        <v>493</v>
      </c>
      <c r="H220" s="184" t="s">
        <v>598</v>
      </c>
      <c r="I220" s="185">
        <v>0</v>
      </c>
      <c r="J220" s="184" t="s">
        <v>598</v>
      </c>
      <c r="K220" s="127">
        <v>42846</v>
      </c>
      <c r="L220" s="184" t="s">
        <v>132</v>
      </c>
      <c r="M220" s="184" t="s">
        <v>84</v>
      </c>
      <c r="N220" s="184" t="s">
        <v>283</v>
      </c>
      <c r="O220" s="184" t="s">
        <v>598</v>
      </c>
      <c r="P220" s="184" t="s">
        <v>79</v>
      </c>
      <c r="Q220" s="184" t="s">
        <v>112</v>
      </c>
      <c r="R220" s="184" t="s">
        <v>598</v>
      </c>
      <c r="S220" s="172">
        <v>42996.326388888891</v>
      </c>
      <c r="T220" s="32" t="s">
        <v>552</v>
      </c>
    </row>
    <row r="221" spans="1:20">
      <c r="A221" s="184" t="s">
        <v>1721</v>
      </c>
      <c r="B221" s="184" t="s">
        <v>3949</v>
      </c>
      <c r="C221" s="127">
        <v>42914</v>
      </c>
      <c r="D221" s="184" t="s">
        <v>10</v>
      </c>
      <c r="E221" s="184" t="s">
        <v>598</v>
      </c>
      <c r="F221" s="185">
        <v>2000</v>
      </c>
      <c r="G221" s="184" t="s">
        <v>493</v>
      </c>
      <c r="H221" s="184" t="s">
        <v>598</v>
      </c>
      <c r="I221" s="185">
        <v>0</v>
      </c>
      <c r="J221" s="184" t="s">
        <v>598</v>
      </c>
      <c r="K221" s="127">
        <v>42847</v>
      </c>
      <c r="L221" s="184" t="s">
        <v>134</v>
      </c>
      <c r="M221" s="184" t="s">
        <v>84</v>
      </c>
      <c r="N221" s="184" t="s">
        <v>254</v>
      </c>
      <c r="O221" s="184" t="s">
        <v>598</v>
      </c>
      <c r="P221" s="184" t="s">
        <v>79</v>
      </c>
      <c r="Q221" s="184" t="s">
        <v>79</v>
      </c>
      <c r="R221" s="184" t="s">
        <v>598</v>
      </c>
      <c r="S221" s="172">
        <v>42996.326388888891</v>
      </c>
      <c r="T221" s="32" t="s">
        <v>552</v>
      </c>
    </row>
    <row r="222" spans="1:20">
      <c r="A222" s="184" t="s">
        <v>1745</v>
      </c>
      <c r="B222" s="184" t="s">
        <v>3950</v>
      </c>
      <c r="C222" s="127">
        <v>42894</v>
      </c>
      <c r="D222" s="184" t="s">
        <v>34</v>
      </c>
      <c r="E222" s="184" t="s">
        <v>598</v>
      </c>
      <c r="F222" s="185">
        <v>3000</v>
      </c>
      <c r="G222" s="184" t="s">
        <v>493</v>
      </c>
      <c r="H222" s="184" t="s">
        <v>598</v>
      </c>
      <c r="I222" s="185">
        <v>0</v>
      </c>
      <c r="J222" s="184" t="s">
        <v>598</v>
      </c>
      <c r="K222" s="127">
        <v>42859</v>
      </c>
      <c r="L222" s="184" t="s">
        <v>96</v>
      </c>
      <c r="M222" s="184" t="s">
        <v>84</v>
      </c>
      <c r="N222" s="184" t="s">
        <v>259</v>
      </c>
      <c r="O222" s="184" t="s">
        <v>598</v>
      </c>
      <c r="P222" s="184" t="s">
        <v>79</v>
      </c>
      <c r="Q222" s="184" t="s">
        <v>112</v>
      </c>
      <c r="R222" s="184" t="s">
        <v>598</v>
      </c>
      <c r="S222" s="172">
        <v>42996.326388888891</v>
      </c>
      <c r="T222" s="32" t="s">
        <v>552</v>
      </c>
    </row>
    <row r="223" spans="1:20">
      <c r="A223" s="184" t="s">
        <v>1755</v>
      </c>
      <c r="B223" s="184" t="s">
        <v>3951</v>
      </c>
      <c r="C223" s="127">
        <v>42891</v>
      </c>
      <c r="D223" s="184" t="s">
        <v>34</v>
      </c>
      <c r="E223" s="184" t="s">
        <v>598</v>
      </c>
      <c r="F223" s="185">
        <v>10000</v>
      </c>
      <c r="G223" s="184" t="s">
        <v>493</v>
      </c>
      <c r="H223" s="184" t="s">
        <v>598</v>
      </c>
      <c r="I223" s="185">
        <v>0</v>
      </c>
      <c r="J223" s="184" t="s">
        <v>598</v>
      </c>
      <c r="K223" s="127">
        <v>42865</v>
      </c>
      <c r="L223" s="184" t="s">
        <v>129</v>
      </c>
      <c r="M223" s="184" t="s">
        <v>84</v>
      </c>
      <c r="N223" s="184" t="s">
        <v>282</v>
      </c>
      <c r="O223" s="184" t="s">
        <v>598</v>
      </c>
      <c r="P223" s="184" t="s">
        <v>79</v>
      </c>
      <c r="Q223" s="184" t="s">
        <v>79</v>
      </c>
      <c r="R223" s="184" t="s">
        <v>598</v>
      </c>
      <c r="S223" s="172">
        <v>42996.326388888891</v>
      </c>
      <c r="T223" s="32" t="s">
        <v>552</v>
      </c>
    </row>
    <row r="224" spans="1:20">
      <c r="A224" s="184" t="s">
        <v>1770</v>
      </c>
      <c r="B224" s="184" t="s">
        <v>3952</v>
      </c>
      <c r="C224" s="127">
        <v>42891</v>
      </c>
      <c r="D224" s="184" t="s">
        <v>34</v>
      </c>
      <c r="E224" s="184" t="s">
        <v>598</v>
      </c>
      <c r="F224" s="185">
        <v>10000</v>
      </c>
      <c r="G224" s="184" t="s">
        <v>493</v>
      </c>
      <c r="H224" s="184" t="s">
        <v>598</v>
      </c>
      <c r="I224" s="185">
        <v>0</v>
      </c>
      <c r="J224" s="184" t="s">
        <v>598</v>
      </c>
      <c r="K224" s="127">
        <v>42872</v>
      </c>
      <c r="L224" s="184" t="s">
        <v>598</v>
      </c>
      <c r="M224" s="184" t="s">
        <v>84</v>
      </c>
      <c r="N224" s="184" t="s">
        <v>282</v>
      </c>
      <c r="O224" s="184" t="s">
        <v>598</v>
      </c>
      <c r="P224" s="184" t="s">
        <v>79</v>
      </c>
      <c r="Q224" s="184" t="s">
        <v>79</v>
      </c>
      <c r="R224" s="184" t="s">
        <v>598</v>
      </c>
      <c r="S224" s="172">
        <v>42996.326388888891</v>
      </c>
      <c r="T224" s="32" t="s">
        <v>552</v>
      </c>
    </row>
    <row r="225" spans="1:20">
      <c r="A225" s="184" t="s">
        <v>1773</v>
      </c>
      <c r="B225" s="184" t="s">
        <v>3953</v>
      </c>
      <c r="C225" s="127">
        <v>42898</v>
      </c>
      <c r="D225" s="184" t="s">
        <v>10</v>
      </c>
      <c r="E225" s="184" t="s">
        <v>598</v>
      </c>
      <c r="F225" s="185">
        <v>3000</v>
      </c>
      <c r="G225" s="184" t="s">
        <v>493</v>
      </c>
      <c r="H225" s="184" t="s">
        <v>598</v>
      </c>
      <c r="I225" s="185">
        <v>0</v>
      </c>
      <c r="J225" s="184" t="s">
        <v>598</v>
      </c>
      <c r="K225" s="127">
        <v>42874</v>
      </c>
      <c r="L225" s="184" t="s">
        <v>122</v>
      </c>
      <c r="M225" s="184" t="s">
        <v>84</v>
      </c>
      <c r="N225" s="184" t="s">
        <v>284</v>
      </c>
      <c r="O225" s="184" t="s">
        <v>598</v>
      </c>
      <c r="P225" s="184" t="s">
        <v>79</v>
      </c>
      <c r="Q225" s="184" t="s">
        <v>112</v>
      </c>
      <c r="R225" s="184" t="s">
        <v>598</v>
      </c>
      <c r="S225" s="172">
        <v>42996.326388888891</v>
      </c>
      <c r="T225" s="32" t="s">
        <v>552</v>
      </c>
    </row>
    <row r="226" spans="1:20">
      <c r="A226" s="184" t="s">
        <v>1776</v>
      </c>
      <c r="B226" s="184" t="s">
        <v>3954</v>
      </c>
      <c r="C226" s="127">
        <v>42888</v>
      </c>
      <c r="D226" s="184" t="s">
        <v>10</v>
      </c>
      <c r="E226" s="184" t="s">
        <v>598</v>
      </c>
      <c r="F226" s="185">
        <v>3000</v>
      </c>
      <c r="G226" s="184" t="s">
        <v>493</v>
      </c>
      <c r="H226" s="184" t="s">
        <v>598</v>
      </c>
      <c r="I226" s="185">
        <v>0</v>
      </c>
      <c r="J226" s="184" t="s">
        <v>598</v>
      </c>
      <c r="K226" s="127">
        <v>42877</v>
      </c>
      <c r="L226" s="184" t="s">
        <v>134</v>
      </c>
      <c r="M226" s="184" t="s">
        <v>84</v>
      </c>
      <c r="N226" s="184" t="s">
        <v>598</v>
      </c>
      <c r="O226" s="184" t="s">
        <v>50</v>
      </c>
      <c r="P226" s="184" t="s">
        <v>79</v>
      </c>
      <c r="Q226" s="184" t="s">
        <v>112</v>
      </c>
      <c r="R226" s="184" t="s">
        <v>598</v>
      </c>
      <c r="S226" s="172">
        <v>42996.326388888891</v>
      </c>
      <c r="T226" s="32" t="s">
        <v>552</v>
      </c>
    </row>
    <row r="227" spans="1:20">
      <c r="A227" s="184" t="s">
        <v>1789</v>
      </c>
      <c r="B227" s="184" t="s">
        <v>3955</v>
      </c>
      <c r="C227" s="127">
        <v>42887</v>
      </c>
      <c r="D227" s="184" t="s">
        <v>10</v>
      </c>
      <c r="E227" s="184" t="s">
        <v>598</v>
      </c>
      <c r="F227" s="185">
        <v>5000</v>
      </c>
      <c r="G227" s="184" t="s">
        <v>493</v>
      </c>
      <c r="H227" s="184" t="s">
        <v>598</v>
      </c>
      <c r="I227" s="185">
        <v>0</v>
      </c>
      <c r="J227" s="184" t="s">
        <v>598</v>
      </c>
      <c r="K227" s="127">
        <v>42880</v>
      </c>
      <c r="L227" s="184" t="s">
        <v>132</v>
      </c>
      <c r="M227" s="184" t="s">
        <v>84</v>
      </c>
      <c r="N227" s="184" t="s">
        <v>252</v>
      </c>
      <c r="O227" s="184" t="s">
        <v>598</v>
      </c>
      <c r="P227" s="184" t="s">
        <v>79</v>
      </c>
      <c r="Q227" s="184" t="s">
        <v>112</v>
      </c>
      <c r="R227" s="184" t="s">
        <v>598</v>
      </c>
      <c r="S227" s="172">
        <v>42996.326388888891</v>
      </c>
      <c r="T227" s="32" t="s">
        <v>552</v>
      </c>
    </row>
    <row r="228" spans="1:20">
      <c r="A228" s="184" t="s">
        <v>1791</v>
      </c>
      <c r="B228" s="184" t="s">
        <v>3956</v>
      </c>
      <c r="C228" s="127">
        <v>42888</v>
      </c>
      <c r="D228" s="184" t="s">
        <v>10</v>
      </c>
      <c r="E228" s="184" t="s">
        <v>598</v>
      </c>
      <c r="F228" s="185">
        <v>5000</v>
      </c>
      <c r="G228" s="184" t="s">
        <v>493</v>
      </c>
      <c r="H228" s="184" t="s">
        <v>598</v>
      </c>
      <c r="I228" s="185">
        <v>0</v>
      </c>
      <c r="J228" s="184" t="s">
        <v>598</v>
      </c>
      <c r="K228" s="127">
        <v>42881</v>
      </c>
      <c r="L228" s="184" t="s">
        <v>132</v>
      </c>
      <c r="M228" s="184" t="s">
        <v>84</v>
      </c>
      <c r="N228" s="184" t="s">
        <v>252</v>
      </c>
      <c r="O228" s="184" t="s">
        <v>598</v>
      </c>
      <c r="P228" s="184" t="s">
        <v>79</v>
      </c>
      <c r="Q228" s="184" t="s">
        <v>79</v>
      </c>
      <c r="R228" s="184" t="s">
        <v>598</v>
      </c>
      <c r="S228" s="172">
        <v>42996.326388888891</v>
      </c>
      <c r="T228" s="32" t="s">
        <v>552</v>
      </c>
    </row>
    <row r="229" spans="1:20">
      <c r="A229" s="184" t="s">
        <v>1799</v>
      </c>
      <c r="B229" s="184" t="s">
        <v>3957</v>
      </c>
      <c r="C229" s="127">
        <v>42907</v>
      </c>
      <c r="D229" s="184" t="s">
        <v>10</v>
      </c>
      <c r="E229" s="184" t="s">
        <v>598</v>
      </c>
      <c r="F229" s="185">
        <v>3000</v>
      </c>
      <c r="G229" s="184" t="s">
        <v>493</v>
      </c>
      <c r="H229" s="184" t="s">
        <v>598</v>
      </c>
      <c r="I229" s="185">
        <v>0</v>
      </c>
      <c r="J229" s="184" t="s">
        <v>598</v>
      </c>
      <c r="K229" s="127">
        <v>42882</v>
      </c>
      <c r="L229" s="184" t="s">
        <v>132</v>
      </c>
      <c r="M229" s="184" t="s">
        <v>84</v>
      </c>
      <c r="N229" s="184" t="s">
        <v>252</v>
      </c>
      <c r="O229" s="184" t="s">
        <v>598</v>
      </c>
      <c r="P229" s="184" t="s">
        <v>79</v>
      </c>
      <c r="Q229" s="184" t="s">
        <v>79</v>
      </c>
      <c r="R229" s="184" t="s">
        <v>598</v>
      </c>
      <c r="S229" s="172">
        <v>42996.326388888891</v>
      </c>
      <c r="T229" s="32" t="s">
        <v>552</v>
      </c>
    </row>
    <row r="230" spans="1:20">
      <c r="A230" s="184" t="s">
        <v>1805</v>
      </c>
      <c r="B230" s="184" t="s">
        <v>3958</v>
      </c>
      <c r="C230" s="127">
        <v>42889</v>
      </c>
      <c r="D230" s="184" t="s">
        <v>34</v>
      </c>
      <c r="E230" s="184" t="s">
        <v>598</v>
      </c>
      <c r="F230" s="185">
        <v>4500</v>
      </c>
      <c r="G230" s="184" t="s">
        <v>493</v>
      </c>
      <c r="H230" s="184" t="s">
        <v>598</v>
      </c>
      <c r="I230" s="185">
        <v>0</v>
      </c>
      <c r="J230" s="184" t="s">
        <v>598</v>
      </c>
      <c r="K230" s="127">
        <v>42886</v>
      </c>
      <c r="L230" s="184" t="s">
        <v>132</v>
      </c>
      <c r="M230" s="184" t="s">
        <v>84</v>
      </c>
      <c r="N230" s="184" t="s">
        <v>171</v>
      </c>
      <c r="O230" s="184" t="s">
        <v>598</v>
      </c>
      <c r="P230" s="184" t="s">
        <v>79</v>
      </c>
      <c r="Q230" s="184" t="s">
        <v>112</v>
      </c>
      <c r="R230" s="184" t="s">
        <v>598</v>
      </c>
      <c r="S230" s="172">
        <v>42996.326388888891</v>
      </c>
      <c r="T230" s="32" t="s">
        <v>552</v>
      </c>
    </row>
    <row r="231" spans="1:20">
      <c r="A231" s="184" t="s">
        <v>1807</v>
      </c>
      <c r="B231" s="184" t="s">
        <v>3959</v>
      </c>
      <c r="C231" s="127">
        <v>42909</v>
      </c>
      <c r="D231" s="184" t="s">
        <v>10</v>
      </c>
      <c r="E231" s="184" t="s">
        <v>598</v>
      </c>
      <c r="F231" s="185">
        <v>3000</v>
      </c>
      <c r="G231" s="184" t="s">
        <v>493</v>
      </c>
      <c r="H231" s="184" t="s">
        <v>598</v>
      </c>
      <c r="I231" s="185">
        <v>0</v>
      </c>
      <c r="J231" s="184" t="s">
        <v>598</v>
      </c>
      <c r="K231" s="127">
        <v>42886</v>
      </c>
      <c r="L231" s="184" t="s">
        <v>122</v>
      </c>
      <c r="M231" s="184" t="s">
        <v>84</v>
      </c>
      <c r="N231" s="184" t="s">
        <v>1809</v>
      </c>
      <c r="O231" s="184" t="s">
        <v>598</v>
      </c>
      <c r="P231" s="184" t="s">
        <v>79</v>
      </c>
      <c r="Q231" s="184" t="s">
        <v>79</v>
      </c>
      <c r="R231" s="184" t="s">
        <v>598</v>
      </c>
      <c r="S231" s="172">
        <v>42996.326388888891</v>
      </c>
      <c r="T231" s="32" t="s">
        <v>552</v>
      </c>
    </row>
    <row r="232" spans="1:20">
      <c r="A232" s="184" t="s">
        <v>1812</v>
      </c>
      <c r="B232" s="184" t="s">
        <v>3960</v>
      </c>
      <c r="C232" s="127">
        <v>42887</v>
      </c>
      <c r="D232" s="184" t="s">
        <v>34</v>
      </c>
      <c r="E232" s="184" t="s">
        <v>598</v>
      </c>
      <c r="F232" s="185">
        <v>2500</v>
      </c>
      <c r="G232" s="184" t="s">
        <v>493</v>
      </c>
      <c r="H232" s="184" t="s">
        <v>598</v>
      </c>
      <c r="I232" s="185">
        <v>0</v>
      </c>
      <c r="J232" s="184" t="s">
        <v>598</v>
      </c>
      <c r="K232" s="127">
        <v>42887</v>
      </c>
      <c r="L232" s="184" t="s">
        <v>134</v>
      </c>
      <c r="M232" s="184" t="s">
        <v>92</v>
      </c>
      <c r="N232" s="184" t="s">
        <v>285</v>
      </c>
      <c r="O232" s="184" t="s">
        <v>598</v>
      </c>
      <c r="P232" s="184" t="s">
        <v>79</v>
      </c>
      <c r="Q232" s="184" t="s">
        <v>112</v>
      </c>
      <c r="R232" s="184" t="s">
        <v>598</v>
      </c>
      <c r="S232" s="172">
        <v>42996.326388888891</v>
      </c>
      <c r="T232" s="32" t="s">
        <v>552</v>
      </c>
    </row>
    <row r="233" spans="1:20">
      <c r="A233" s="184" t="s">
        <v>1816</v>
      </c>
      <c r="B233" s="184" t="s">
        <v>3961</v>
      </c>
      <c r="C233" s="127">
        <v>42902</v>
      </c>
      <c r="D233" s="184" t="s">
        <v>34</v>
      </c>
      <c r="E233" s="184" t="s">
        <v>598</v>
      </c>
      <c r="F233" s="185">
        <v>2500</v>
      </c>
      <c r="G233" s="184" t="s">
        <v>493</v>
      </c>
      <c r="H233" s="184" t="s">
        <v>598</v>
      </c>
      <c r="I233" s="185">
        <v>0</v>
      </c>
      <c r="J233" s="184" t="s">
        <v>598</v>
      </c>
      <c r="K233" s="127">
        <v>42891</v>
      </c>
      <c r="L233" s="184" t="s">
        <v>598</v>
      </c>
      <c r="M233" s="184" t="s">
        <v>92</v>
      </c>
      <c r="N233" s="184" t="s">
        <v>286</v>
      </c>
      <c r="O233" s="184" t="s">
        <v>598</v>
      </c>
      <c r="P233" s="184" t="s">
        <v>79</v>
      </c>
      <c r="Q233" s="184" t="s">
        <v>112</v>
      </c>
      <c r="R233" s="184" t="s">
        <v>598</v>
      </c>
      <c r="S233" s="172">
        <v>42996.326388888891</v>
      </c>
      <c r="T233" s="32" t="s">
        <v>552</v>
      </c>
    </row>
    <row r="234" spans="1:20">
      <c r="A234" s="184" t="s">
        <v>1818</v>
      </c>
      <c r="B234" s="184" t="s">
        <v>3962</v>
      </c>
      <c r="C234" s="127">
        <v>42892</v>
      </c>
      <c r="D234" s="184" t="s">
        <v>34</v>
      </c>
      <c r="E234" s="184" t="s">
        <v>598</v>
      </c>
      <c r="F234" s="185">
        <v>2000</v>
      </c>
      <c r="G234" s="184" t="s">
        <v>493</v>
      </c>
      <c r="H234" s="184" t="s">
        <v>598</v>
      </c>
      <c r="I234" s="185">
        <v>0</v>
      </c>
      <c r="J234" s="184" t="s">
        <v>598</v>
      </c>
      <c r="K234" s="127">
        <v>42891</v>
      </c>
      <c r="L234" s="184" t="s">
        <v>118</v>
      </c>
      <c r="M234" s="184" t="s">
        <v>92</v>
      </c>
      <c r="N234" s="184" t="s">
        <v>186</v>
      </c>
      <c r="O234" s="184" t="s">
        <v>598</v>
      </c>
      <c r="P234" s="184" t="s">
        <v>79</v>
      </c>
      <c r="Q234" s="184" t="s">
        <v>79</v>
      </c>
      <c r="R234" s="184" t="s">
        <v>598</v>
      </c>
      <c r="S234" s="172">
        <v>42996.326388888891</v>
      </c>
      <c r="T234" s="32" t="s">
        <v>552</v>
      </c>
    </row>
    <row r="235" spans="1:20">
      <c r="A235" s="184" t="s">
        <v>1820</v>
      </c>
      <c r="B235" s="184" t="s">
        <v>3963</v>
      </c>
      <c r="C235" s="127">
        <v>42901</v>
      </c>
      <c r="D235" s="184" t="s">
        <v>34</v>
      </c>
      <c r="E235" s="184" t="s">
        <v>598</v>
      </c>
      <c r="F235" s="185">
        <v>8000</v>
      </c>
      <c r="G235" s="184" t="s">
        <v>493</v>
      </c>
      <c r="H235" s="184" t="s">
        <v>598</v>
      </c>
      <c r="I235" s="185">
        <v>0</v>
      </c>
      <c r="J235" s="184" t="s">
        <v>598</v>
      </c>
      <c r="K235" s="127">
        <v>42893</v>
      </c>
      <c r="L235" s="184" t="s">
        <v>107</v>
      </c>
      <c r="M235" s="184" t="s">
        <v>92</v>
      </c>
      <c r="N235" s="184" t="s">
        <v>287</v>
      </c>
      <c r="O235" s="184" t="s">
        <v>598</v>
      </c>
      <c r="P235" s="184" t="s">
        <v>79</v>
      </c>
      <c r="Q235" s="184" t="s">
        <v>112</v>
      </c>
      <c r="R235" s="184" t="s">
        <v>598</v>
      </c>
      <c r="S235" s="172">
        <v>42996.326388888891</v>
      </c>
      <c r="T235" s="32" t="s">
        <v>552</v>
      </c>
    </row>
    <row r="236" spans="1:20">
      <c r="A236" s="184" t="s">
        <v>1822</v>
      </c>
      <c r="B236" s="184" t="s">
        <v>3964</v>
      </c>
      <c r="C236" s="127">
        <v>42908</v>
      </c>
      <c r="D236" s="184" t="s">
        <v>34</v>
      </c>
      <c r="E236" s="184" t="s">
        <v>598</v>
      </c>
      <c r="F236" s="185">
        <v>1500</v>
      </c>
      <c r="G236" s="184" t="s">
        <v>493</v>
      </c>
      <c r="H236" s="184" t="s">
        <v>598</v>
      </c>
      <c r="I236" s="185">
        <v>0</v>
      </c>
      <c r="J236" s="184" t="s">
        <v>598</v>
      </c>
      <c r="K236" s="127">
        <v>42900</v>
      </c>
      <c r="L236" s="184" t="s">
        <v>598</v>
      </c>
      <c r="M236" s="184" t="s">
        <v>92</v>
      </c>
      <c r="N236" s="184" t="s">
        <v>285</v>
      </c>
      <c r="O236" s="184" t="s">
        <v>598</v>
      </c>
      <c r="P236" s="184" t="s">
        <v>79</v>
      </c>
      <c r="Q236" s="184" t="s">
        <v>112</v>
      </c>
      <c r="R236" s="184" t="s">
        <v>598</v>
      </c>
      <c r="S236" s="172">
        <v>42996.326388888891</v>
      </c>
      <c r="T236" s="32" t="s">
        <v>552</v>
      </c>
    </row>
    <row r="237" spans="1:20">
      <c r="A237" s="184" t="s">
        <v>1823</v>
      </c>
      <c r="B237" s="184" t="s">
        <v>3965</v>
      </c>
      <c r="C237" s="127">
        <v>42903</v>
      </c>
      <c r="D237" s="184" t="s">
        <v>34</v>
      </c>
      <c r="E237" s="184" t="s">
        <v>598</v>
      </c>
      <c r="F237" s="185">
        <v>25000</v>
      </c>
      <c r="G237" s="184" t="s">
        <v>493</v>
      </c>
      <c r="H237" s="184" t="s">
        <v>598</v>
      </c>
      <c r="I237" s="185">
        <v>0</v>
      </c>
      <c r="J237" s="184" t="s">
        <v>598</v>
      </c>
      <c r="K237" s="127">
        <v>42901</v>
      </c>
      <c r="L237" s="184" t="s">
        <v>131</v>
      </c>
      <c r="M237" s="184" t="s">
        <v>92</v>
      </c>
      <c r="N237" s="184" t="s">
        <v>249</v>
      </c>
      <c r="O237" s="184" t="s">
        <v>598</v>
      </c>
      <c r="P237" s="184" t="s">
        <v>79</v>
      </c>
      <c r="Q237" s="184" t="s">
        <v>79</v>
      </c>
      <c r="R237" s="184" t="s">
        <v>598</v>
      </c>
      <c r="S237" s="172">
        <v>42996.326388888891</v>
      </c>
      <c r="T237" s="32" t="s">
        <v>552</v>
      </c>
    </row>
    <row r="238" spans="1:20">
      <c r="A238" s="184" t="s">
        <v>1827</v>
      </c>
      <c r="B238" s="184" t="s">
        <v>3966</v>
      </c>
      <c r="C238" s="127">
        <v>42906</v>
      </c>
      <c r="D238" s="184" t="s">
        <v>34</v>
      </c>
      <c r="E238" s="184" t="s">
        <v>598</v>
      </c>
      <c r="F238" s="185">
        <v>4000</v>
      </c>
      <c r="G238" s="184" t="s">
        <v>493</v>
      </c>
      <c r="H238" s="184" t="s">
        <v>598</v>
      </c>
      <c r="I238" s="185">
        <v>0</v>
      </c>
      <c r="J238" s="184" t="s">
        <v>598</v>
      </c>
      <c r="K238" s="127">
        <v>42906</v>
      </c>
      <c r="L238" s="184" t="s">
        <v>132</v>
      </c>
      <c r="M238" s="184" t="s">
        <v>92</v>
      </c>
      <c r="N238" s="184" t="s">
        <v>285</v>
      </c>
      <c r="O238" s="184" t="s">
        <v>598</v>
      </c>
      <c r="P238" s="184" t="s">
        <v>79</v>
      </c>
      <c r="Q238" s="184" t="s">
        <v>79</v>
      </c>
      <c r="R238" s="184" t="s">
        <v>598</v>
      </c>
      <c r="S238" s="172">
        <v>42996.326388888891</v>
      </c>
      <c r="T238" s="32" t="s">
        <v>552</v>
      </c>
    </row>
    <row r="239" spans="1:20">
      <c r="A239" s="184" t="s">
        <v>1844</v>
      </c>
      <c r="B239" s="184" t="s">
        <v>3967</v>
      </c>
      <c r="C239" s="127">
        <v>42909</v>
      </c>
      <c r="D239" s="184" t="s">
        <v>10</v>
      </c>
      <c r="E239" s="184" t="s">
        <v>598</v>
      </c>
      <c r="F239" s="185">
        <v>6000</v>
      </c>
      <c r="G239" s="184" t="s">
        <v>493</v>
      </c>
      <c r="H239" s="184" t="s">
        <v>598</v>
      </c>
      <c r="I239" s="185">
        <v>0</v>
      </c>
      <c r="J239" s="184" t="s">
        <v>598</v>
      </c>
      <c r="K239" s="127">
        <v>42773</v>
      </c>
      <c r="L239" s="184" t="s">
        <v>118</v>
      </c>
      <c r="M239" s="184" t="s">
        <v>92</v>
      </c>
      <c r="N239" s="184" t="s">
        <v>1846</v>
      </c>
      <c r="O239" s="184" t="s">
        <v>598</v>
      </c>
      <c r="P239" s="184" t="s">
        <v>79</v>
      </c>
      <c r="Q239" s="184" t="s">
        <v>112</v>
      </c>
      <c r="R239" s="184" t="s">
        <v>598</v>
      </c>
      <c r="S239" s="172">
        <v>42996.326388888891</v>
      </c>
      <c r="T239" s="32" t="s">
        <v>552</v>
      </c>
    </row>
    <row r="240" spans="1:20">
      <c r="A240" s="184" t="s">
        <v>1849</v>
      </c>
      <c r="B240" s="184" t="s">
        <v>3968</v>
      </c>
      <c r="C240" s="127">
        <v>42888</v>
      </c>
      <c r="D240" s="184" t="s">
        <v>34</v>
      </c>
      <c r="E240" s="184" t="s">
        <v>598</v>
      </c>
      <c r="F240" s="185">
        <v>1500</v>
      </c>
      <c r="G240" s="184" t="s">
        <v>493</v>
      </c>
      <c r="H240" s="184" t="s">
        <v>598</v>
      </c>
      <c r="I240" s="185">
        <v>0</v>
      </c>
      <c r="J240" s="184" t="s">
        <v>598</v>
      </c>
      <c r="K240" s="127">
        <v>42814</v>
      </c>
      <c r="L240" s="184" t="s">
        <v>134</v>
      </c>
      <c r="M240" s="184" t="s">
        <v>92</v>
      </c>
      <c r="N240" s="184" t="s">
        <v>289</v>
      </c>
      <c r="O240" s="184" t="s">
        <v>598</v>
      </c>
      <c r="P240" s="184" t="s">
        <v>79</v>
      </c>
      <c r="Q240" s="184" t="s">
        <v>112</v>
      </c>
      <c r="R240" s="184" t="s">
        <v>598</v>
      </c>
      <c r="S240" s="172">
        <v>42996.326388888891</v>
      </c>
      <c r="T240" s="32" t="s">
        <v>552</v>
      </c>
    </row>
    <row r="241" spans="1:20">
      <c r="A241" s="184" t="s">
        <v>1852</v>
      </c>
      <c r="B241" s="184" t="s">
        <v>3969</v>
      </c>
      <c r="C241" s="127">
        <v>42903</v>
      </c>
      <c r="D241" s="184" t="s">
        <v>10</v>
      </c>
      <c r="E241" s="184" t="s">
        <v>598</v>
      </c>
      <c r="F241" s="185">
        <v>2000</v>
      </c>
      <c r="G241" s="184" t="s">
        <v>493</v>
      </c>
      <c r="H241" s="184" t="s">
        <v>598</v>
      </c>
      <c r="I241" s="185">
        <v>0</v>
      </c>
      <c r="J241" s="184" t="s">
        <v>598</v>
      </c>
      <c r="K241" s="127">
        <v>42824</v>
      </c>
      <c r="L241" s="184" t="s">
        <v>107</v>
      </c>
      <c r="M241" s="184" t="s">
        <v>92</v>
      </c>
      <c r="N241" s="184" t="s">
        <v>288</v>
      </c>
      <c r="O241" s="184" t="s">
        <v>598</v>
      </c>
      <c r="P241" s="184" t="s">
        <v>79</v>
      </c>
      <c r="Q241" s="184" t="s">
        <v>598</v>
      </c>
      <c r="R241" s="184" t="s">
        <v>598</v>
      </c>
      <c r="S241" s="172">
        <v>42996.326388888891</v>
      </c>
      <c r="T241" s="32" t="s">
        <v>552</v>
      </c>
    </row>
    <row r="242" spans="1:20">
      <c r="A242" s="184" t="s">
        <v>1858</v>
      </c>
      <c r="B242" s="184" t="s">
        <v>3970</v>
      </c>
      <c r="C242" s="127">
        <v>42887</v>
      </c>
      <c r="D242" s="184" t="s">
        <v>10</v>
      </c>
      <c r="E242" s="184" t="s">
        <v>598</v>
      </c>
      <c r="F242" s="185">
        <v>1500</v>
      </c>
      <c r="G242" s="184" t="s">
        <v>493</v>
      </c>
      <c r="H242" s="184" t="s">
        <v>598</v>
      </c>
      <c r="I242" s="185">
        <v>0</v>
      </c>
      <c r="J242" s="184" t="s">
        <v>598</v>
      </c>
      <c r="K242" s="127">
        <v>42831</v>
      </c>
      <c r="L242" s="184" t="s">
        <v>135</v>
      </c>
      <c r="M242" s="184" t="s">
        <v>92</v>
      </c>
      <c r="N242" s="184" t="s">
        <v>196</v>
      </c>
      <c r="O242" s="184" t="s">
        <v>598</v>
      </c>
      <c r="P242" s="184" t="s">
        <v>79</v>
      </c>
      <c r="Q242" s="184" t="s">
        <v>112</v>
      </c>
      <c r="R242" s="184" t="s">
        <v>598</v>
      </c>
      <c r="S242" s="172">
        <v>42996.326388888891</v>
      </c>
      <c r="T242" s="32" t="s">
        <v>552</v>
      </c>
    </row>
    <row r="243" spans="1:20">
      <c r="A243" s="184" t="s">
        <v>1866</v>
      </c>
      <c r="B243" s="184" t="s">
        <v>3971</v>
      </c>
      <c r="C243" s="127">
        <v>42893</v>
      </c>
      <c r="D243" s="184" t="s">
        <v>10</v>
      </c>
      <c r="E243" s="184" t="s">
        <v>598</v>
      </c>
      <c r="F243" s="185">
        <v>5000</v>
      </c>
      <c r="G243" s="184" t="s">
        <v>493</v>
      </c>
      <c r="H243" s="184" t="s">
        <v>598</v>
      </c>
      <c r="I243" s="185">
        <v>0</v>
      </c>
      <c r="J243" s="184" t="s">
        <v>598</v>
      </c>
      <c r="K243" s="127">
        <v>42843</v>
      </c>
      <c r="L243" s="184" t="s">
        <v>118</v>
      </c>
      <c r="M243" s="184" t="s">
        <v>92</v>
      </c>
      <c r="N243" s="184" t="s">
        <v>598</v>
      </c>
      <c r="O243" s="184" t="s">
        <v>598</v>
      </c>
      <c r="P243" s="184" t="s">
        <v>79</v>
      </c>
      <c r="Q243" s="184" t="s">
        <v>79</v>
      </c>
      <c r="R243" s="184" t="s">
        <v>598</v>
      </c>
      <c r="S243" s="172">
        <v>42996.326388888891</v>
      </c>
      <c r="T243" s="32" t="s">
        <v>552</v>
      </c>
    </row>
    <row r="244" spans="1:20">
      <c r="A244" s="184" t="s">
        <v>1877</v>
      </c>
      <c r="B244" s="184" t="s">
        <v>3972</v>
      </c>
      <c r="C244" s="127">
        <v>42899</v>
      </c>
      <c r="D244" s="184" t="s">
        <v>10</v>
      </c>
      <c r="E244" s="184" t="s">
        <v>598</v>
      </c>
      <c r="F244" s="185">
        <v>4000</v>
      </c>
      <c r="G244" s="184" t="s">
        <v>493</v>
      </c>
      <c r="H244" s="184" t="s">
        <v>598</v>
      </c>
      <c r="I244" s="185">
        <v>0</v>
      </c>
      <c r="J244" s="184" t="s">
        <v>598</v>
      </c>
      <c r="K244" s="127">
        <v>42867</v>
      </c>
      <c r="L244" s="184" t="s">
        <v>134</v>
      </c>
      <c r="M244" s="184" t="s">
        <v>92</v>
      </c>
      <c r="N244" s="184" t="s">
        <v>290</v>
      </c>
      <c r="O244" s="184" t="s">
        <v>598</v>
      </c>
      <c r="P244" s="184" t="s">
        <v>79</v>
      </c>
      <c r="Q244" s="184" t="s">
        <v>112</v>
      </c>
      <c r="R244" s="184" t="s">
        <v>598</v>
      </c>
      <c r="S244" s="172">
        <v>42996.326388888891</v>
      </c>
      <c r="T244" s="32" t="s">
        <v>552</v>
      </c>
    </row>
    <row r="245" spans="1:20">
      <c r="A245" s="184" t="s">
        <v>1883</v>
      </c>
      <c r="B245" s="184" t="s">
        <v>3973</v>
      </c>
      <c r="C245" s="127">
        <v>42887</v>
      </c>
      <c r="D245" s="184" t="s">
        <v>34</v>
      </c>
      <c r="E245" s="184" t="s">
        <v>598</v>
      </c>
      <c r="F245" s="185">
        <v>2300</v>
      </c>
      <c r="G245" s="184" t="s">
        <v>493</v>
      </c>
      <c r="H245" s="184" t="s">
        <v>598</v>
      </c>
      <c r="I245" s="185">
        <v>0</v>
      </c>
      <c r="J245" s="184" t="s">
        <v>598</v>
      </c>
      <c r="K245" s="127">
        <v>42878</v>
      </c>
      <c r="L245" s="184" t="s">
        <v>118</v>
      </c>
      <c r="M245" s="184" t="s">
        <v>92</v>
      </c>
      <c r="N245" s="184" t="s">
        <v>285</v>
      </c>
      <c r="O245" s="184" t="s">
        <v>598</v>
      </c>
      <c r="P245" s="184" t="s">
        <v>79</v>
      </c>
      <c r="Q245" s="184" t="s">
        <v>112</v>
      </c>
      <c r="R245" s="184" t="s">
        <v>598</v>
      </c>
      <c r="S245" s="172">
        <v>42996.326388888891</v>
      </c>
      <c r="T245" s="32" t="s">
        <v>552</v>
      </c>
    </row>
    <row r="246" spans="1:20">
      <c r="A246" s="184" t="s">
        <v>1889</v>
      </c>
      <c r="B246" s="184" t="s">
        <v>3974</v>
      </c>
      <c r="C246" s="127">
        <v>42916</v>
      </c>
      <c r="D246" s="184" t="s">
        <v>34</v>
      </c>
      <c r="E246" s="184" t="s">
        <v>598</v>
      </c>
      <c r="F246" s="185">
        <v>2500</v>
      </c>
      <c r="G246" s="184" t="s">
        <v>493</v>
      </c>
      <c r="H246" s="184" t="s">
        <v>598</v>
      </c>
      <c r="I246" s="185">
        <v>0</v>
      </c>
      <c r="J246" s="184" t="s">
        <v>598</v>
      </c>
      <c r="K246" s="127">
        <v>42882</v>
      </c>
      <c r="L246" s="184" t="s">
        <v>134</v>
      </c>
      <c r="M246" s="184" t="s">
        <v>92</v>
      </c>
      <c r="N246" s="184" t="s">
        <v>285</v>
      </c>
      <c r="O246" s="184" t="s">
        <v>598</v>
      </c>
      <c r="P246" s="184" t="s">
        <v>79</v>
      </c>
      <c r="Q246" s="184" t="s">
        <v>79</v>
      </c>
      <c r="R246" s="184" t="s">
        <v>598</v>
      </c>
      <c r="S246" s="172">
        <v>42996.326388888891</v>
      </c>
      <c r="T246" s="32" t="s">
        <v>552</v>
      </c>
    </row>
    <row r="247" spans="1:20">
      <c r="A247" s="184" t="s">
        <v>1891</v>
      </c>
      <c r="B247" s="184" t="s">
        <v>3975</v>
      </c>
      <c r="C247" s="127">
        <v>42891</v>
      </c>
      <c r="D247" s="184" t="s">
        <v>34</v>
      </c>
      <c r="E247" s="184" t="s">
        <v>598</v>
      </c>
      <c r="F247" s="185">
        <v>6000</v>
      </c>
      <c r="G247" s="184" t="s">
        <v>493</v>
      </c>
      <c r="H247" s="184" t="s">
        <v>598</v>
      </c>
      <c r="I247" s="185">
        <v>0</v>
      </c>
      <c r="J247" s="184" t="s">
        <v>598</v>
      </c>
      <c r="K247" s="127">
        <v>42884</v>
      </c>
      <c r="L247" s="184" t="s">
        <v>598</v>
      </c>
      <c r="M247" s="184" t="s">
        <v>92</v>
      </c>
      <c r="N247" s="184" t="s">
        <v>598</v>
      </c>
      <c r="O247" s="184" t="s">
        <v>598</v>
      </c>
      <c r="P247" s="184" t="s">
        <v>79</v>
      </c>
      <c r="Q247" s="184" t="s">
        <v>112</v>
      </c>
      <c r="R247" s="184" t="s">
        <v>598</v>
      </c>
      <c r="S247" s="172">
        <v>42996.326388888891</v>
      </c>
      <c r="T247" s="32" t="s">
        <v>552</v>
      </c>
    </row>
    <row r="248" spans="1:20">
      <c r="A248" s="184" t="s">
        <v>1915</v>
      </c>
      <c r="B248" s="184" t="s">
        <v>3976</v>
      </c>
      <c r="C248" s="127">
        <v>42910</v>
      </c>
      <c r="D248" s="184" t="s">
        <v>34</v>
      </c>
      <c r="E248" s="184" t="s">
        <v>598</v>
      </c>
      <c r="F248" s="185">
        <v>3000</v>
      </c>
      <c r="G248" s="184" t="s">
        <v>493</v>
      </c>
      <c r="H248" s="184" t="s">
        <v>598</v>
      </c>
      <c r="I248" s="185">
        <v>0</v>
      </c>
      <c r="J248" s="184" t="s">
        <v>598</v>
      </c>
      <c r="K248" s="127">
        <v>42908</v>
      </c>
      <c r="L248" s="184" t="s">
        <v>134</v>
      </c>
      <c r="M248" s="184" t="s">
        <v>84</v>
      </c>
      <c r="N248" s="184" t="s">
        <v>598</v>
      </c>
      <c r="O248" s="184" t="s">
        <v>1911</v>
      </c>
      <c r="P248" s="184" t="s">
        <v>42</v>
      </c>
      <c r="Q248" s="184" t="s">
        <v>598</v>
      </c>
      <c r="R248" s="184" t="s">
        <v>598</v>
      </c>
      <c r="S248" s="172">
        <v>42996.326388888891</v>
      </c>
      <c r="T248" s="32" t="s">
        <v>552</v>
      </c>
    </row>
    <row r="249" spans="1:20">
      <c r="A249" s="184" t="s">
        <v>1931</v>
      </c>
      <c r="B249" s="184" t="s">
        <v>3977</v>
      </c>
      <c r="C249" s="127">
        <v>42914</v>
      </c>
      <c r="D249" s="184" t="s">
        <v>10</v>
      </c>
      <c r="E249" s="184" t="s">
        <v>598</v>
      </c>
      <c r="F249" s="185">
        <v>10000</v>
      </c>
      <c r="G249" s="184" t="s">
        <v>493</v>
      </c>
      <c r="H249" s="184" t="s">
        <v>598</v>
      </c>
      <c r="I249" s="185">
        <v>0</v>
      </c>
      <c r="J249" s="184" t="s">
        <v>598</v>
      </c>
      <c r="K249" s="127">
        <v>42908</v>
      </c>
      <c r="L249" s="184" t="s">
        <v>134</v>
      </c>
      <c r="M249" s="184" t="s">
        <v>84</v>
      </c>
      <c r="N249" s="184" t="s">
        <v>281</v>
      </c>
      <c r="O249" s="184" t="s">
        <v>1933</v>
      </c>
      <c r="P249" s="184" t="s">
        <v>42</v>
      </c>
      <c r="Q249" s="184" t="s">
        <v>598</v>
      </c>
      <c r="R249" s="184" t="s">
        <v>598</v>
      </c>
      <c r="S249" s="172">
        <v>42996.326388888891</v>
      </c>
      <c r="T249" s="32" t="s">
        <v>552</v>
      </c>
    </row>
    <row r="250" spans="1:20">
      <c r="A250" s="184" t="s">
        <v>1945</v>
      </c>
      <c r="B250" s="184" t="s">
        <v>3978</v>
      </c>
      <c r="C250" s="127">
        <v>42910</v>
      </c>
      <c r="D250" s="184" t="s">
        <v>10</v>
      </c>
      <c r="E250" s="184" t="s">
        <v>598</v>
      </c>
      <c r="F250" s="185">
        <v>3000</v>
      </c>
      <c r="G250" s="184" t="s">
        <v>493</v>
      </c>
      <c r="H250" s="184" t="s">
        <v>598</v>
      </c>
      <c r="I250" s="185">
        <v>0</v>
      </c>
      <c r="J250" s="184" t="s">
        <v>598</v>
      </c>
      <c r="K250" s="127">
        <v>42905</v>
      </c>
      <c r="L250" s="184" t="s">
        <v>48</v>
      </c>
      <c r="M250" s="184" t="s">
        <v>84</v>
      </c>
      <c r="N250" s="184" t="s">
        <v>276</v>
      </c>
      <c r="O250" s="184" t="s">
        <v>1941</v>
      </c>
      <c r="P250" s="184" t="s">
        <v>42</v>
      </c>
      <c r="Q250" s="184" t="s">
        <v>598</v>
      </c>
      <c r="R250" s="184" t="s">
        <v>598</v>
      </c>
      <c r="S250" s="172">
        <v>42996.326388888891</v>
      </c>
      <c r="T250" s="32" t="s">
        <v>552</v>
      </c>
    </row>
    <row r="251" spans="1:20">
      <c r="A251" s="184" t="s">
        <v>1955</v>
      </c>
      <c r="B251" s="184" t="s">
        <v>3979</v>
      </c>
      <c r="C251" s="127">
        <v>42898</v>
      </c>
      <c r="D251" s="184" t="s">
        <v>34</v>
      </c>
      <c r="E251" s="184" t="s">
        <v>598</v>
      </c>
      <c r="F251" s="185">
        <v>3000</v>
      </c>
      <c r="G251" s="184" t="s">
        <v>493</v>
      </c>
      <c r="H251" s="184" t="s">
        <v>598</v>
      </c>
      <c r="I251" s="185">
        <v>0</v>
      </c>
      <c r="J251" s="184" t="s">
        <v>598</v>
      </c>
      <c r="K251" s="127">
        <v>42898</v>
      </c>
      <c r="L251" s="184" t="s">
        <v>134</v>
      </c>
      <c r="M251" s="184" t="s">
        <v>84</v>
      </c>
      <c r="N251" s="184" t="s">
        <v>293</v>
      </c>
      <c r="O251" s="184" t="s">
        <v>1957</v>
      </c>
      <c r="P251" s="184" t="s">
        <v>42</v>
      </c>
      <c r="Q251" s="184" t="s">
        <v>42</v>
      </c>
      <c r="R251" s="184" t="s">
        <v>598</v>
      </c>
      <c r="S251" s="172">
        <v>42996.326388888891</v>
      </c>
      <c r="T251" s="32" t="s">
        <v>552</v>
      </c>
    </row>
    <row r="252" spans="1:20">
      <c r="A252" s="184" t="s">
        <v>1958</v>
      </c>
      <c r="B252" s="184" t="s">
        <v>3980</v>
      </c>
      <c r="C252" s="127">
        <v>42903</v>
      </c>
      <c r="D252" s="184" t="s">
        <v>10</v>
      </c>
      <c r="E252" s="184" t="s">
        <v>598</v>
      </c>
      <c r="F252" s="185">
        <v>3000</v>
      </c>
      <c r="G252" s="184" t="s">
        <v>493</v>
      </c>
      <c r="H252" s="184" t="s">
        <v>598</v>
      </c>
      <c r="I252" s="185">
        <v>0</v>
      </c>
      <c r="J252" s="184" t="s">
        <v>598</v>
      </c>
      <c r="K252" s="127">
        <v>42898</v>
      </c>
      <c r="L252" s="184" t="s">
        <v>134</v>
      </c>
      <c r="M252" s="184" t="s">
        <v>84</v>
      </c>
      <c r="N252" s="184" t="s">
        <v>293</v>
      </c>
      <c r="O252" s="184" t="s">
        <v>1957</v>
      </c>
      <c r="P252" s="184" t="s">
        <v>42</v>
      </c>
      <c r="Q252" s="184" t="s">
        <v>51</v>
      </c>
      <c r="R252" s="184" t="s">
        <v>598</v>
      </c>
      <c r="S252" s="172">
        <v>42996.326388888891</v>
      </c>
      <c r="T252" s="32" t="s">
        <v>552</v>
      </c>
    </row>
    <row r="253" spans="1:20">
      <c r="A253" s="184" t="s">
        <v>1963</v>
      </c>
      <c r="B253" s="184" t="s">
        <v>3981</v>
      </c>
      <c r="C253" s="127">
        <v>42902</v>
      </c>
      <c r="D253" s="184" t="s">
        <v>10</v>
      </c>
      <c r="E253" s="184" t="s">
        <v>598</v>
      </c>
      <c r="F253" s="185">
        <v>3000</v>
      </c>
      <c r="G253" s="184" t="s">
        <v>493</v>
      </c>
      <c r="H253" s="184" t="s">
        <v>598</v>
      </c>
      <c r="I253" s="185">
        <v>0</v>
      </c>
      <c r="J253" s="184" t="s">
        <v>598</v>
      </c>
      <c r="K253" s="127">
        <v>42898</v>
      </c>
      <c r="L253" s="184" t="s">
        <v>122</v>
      </c>
      <c r="M253" s="184" t="s">
        <v>84</v>
      </c>
      <c r="N253" s="184" t="s">
        <v>276</v>
      </c>
      <c r="O253" s="184" t="s">
        <v>1965</v>
      </c>
      <c r="P253" s="184" t="s">
        <v>42</v>
      </c>
      <c r="Q253" s="184" t="s">
        <v>98</v>
      </c>
      <c r="R253" s="184" t="s">
        <v>598</v>
      </c>
      <c r="S253" s="172">
        <v>42996.326388888891</v>
      </c>
      <c r="T253" s="32" t="s">
        <v>552</v>
      </c>
    </row>
    <row r="254" spans="1:20">
      <c r="A254" s="184" t="s">
        <v>1966</v>
      </c>
      <c r="B254" s="184" t="s">
        <v>3982</v>
      </c>
      <c r="C254" s="127">
        <v>42896</v>
      </c>
      <c r="D254" s="184" t="s">
        <v>34</v>
      </c>
      <c r="E254" s="184" t="s">
        <v>598</v>
      </c>
      <c r="F254" s="185">
        <v>6000</v>
      </c>
      <c r="G254" s="184" t="s">
        <v>493</v>
      </c>
      <c r="H254" s="184" t="s">
        <v>598</v>
      </c>
      <c r="I254" s="185">
        <v>0</v>
      </c>
      <c r="J254" s="184" t="s">
        <v>598</v>
      </c>
      <c r="K254" s="127">
        <v>42896</v>
      </c>
      <c r="L254" s="184" t="s">
        <v>134</v>
      </c>
      <c r="M254" s="184" t="s">
        <v>84</v>
      </c>
      <c r="N254" s="184" t="s">
        <v>281</v>
      </c>
      <c r="O254" s="184" t="s">
        <v>598</v>
      </c>
      <c r="P254" s="184" t="s">
        <v>42</v>
      </c>
      <c r="Q254" s="184" t="s">
        <v>598</v>
      </c>
      <c r="R254" s="184" t="s">
        <v>598</v>
      </c>
      <c r="S254" s="172">
        <v>42996.326388888891</v>
      </c>
      <c r="T254" s="32" t="s">
        <v>552</v>
      </c>
    </row>
    <row r="255" spans="1:20">
      <c r="A255" s="184" t="s">
        <v>1972</v>
      </c>
      <c r="B255" s="184" t="s">
        <v>3983</v>
      </c>
      <c r="C255" s="127">
        <v>42908</v>
      </c>
      <c r="D255" s="184" t="s">
        <v>10</v>
      </c>
      <c r="E255" s="184" t="s">
        <v>598</v>
      </c>
      <c r="F255" s="185">
        <v>3000</v>
      </c>
      <c r="G255" s="184" t="s">
        <v>493</v>
      </c>
      <c r="H255" s="184" t="s">
        <v>598</v>
      </c>
      <c r="I255" s="185">
        <v>0</v>
      </c>
      <c r="J255" s="184" t="s">
        <v>598</v>
      </c>
      <c r="K255" s="127">
        <v>42895</v>
      </c>
      <c r="L255" s="184" t="s">
        <v>120</v>
      </c>
      <c r="M255" s="184" t="s">
        <v>84</v>
      </c>
      <c r="N255" s="184" t="s">
        <v>295</v>
      </c>
      <c r="O255" s="184" t="s">
        <v>72</v>
      </c>
      <c r="P255" s="184" t="s">
        <v>42</v>
      </c>
      <c r="Q255" s="184" t="s">
        <v>598</v>
      </c>
      <c r="R255" s="184" t="s">
        <v>598</v>
      </c>
      <c r="S255" s="172">
        <v>42996.326388888891</v>
      </c>
      <c r="T255" s="32" t="s">
        <v>552</v>
      </c>
    </row>
    <row r="256" spans="1:20">
      <c r="A256" s="184" t="s">
        <v>1987</v>
      </c>
      <c r="B256" s="184" t="s">
        <v>3984</v>
      </c>
      <c r="C256" s="127">
        <v>42898</v>
      </c>
      <c r="D256" s="184" t="s">
        <v>10</v>
      </c>
      <c r="E256" s="184" t="s">
        <v>598</v>
      </c>
      <c r="F256" s="185">
        <v>4000</v>
      </c>
      <c r="G256" s="184" t="s">
        <v>493</v>
      </c>
      <c r="H256" s="184" t="s">
        <v>598</v>
      </c>
      <c r="I256" s="185">
        <v>0</v>
      </c>
      <c r="J256" s="184" t="s">
        <v>598</v>
      </c>
      <c r="K256" s="127">
        <v>42893</v>
      </c>
      <c r="L256" s="184" t="s">
        <v>134</v>
      </c>
      <c r="M256" s="184" t="s">
        <v>84</v>
      </c>
      <c r="N256" s="184" t="s">
        <v>293</v>
      </c>
      <c r="O256" s="184" t="s">
        <v>598</v>
      </c>
      <c r="P256" s="184" t="s">
        <v>42</v>
      </c>
      <c r="Q256" s="184" t="s">
        <v>42</v>
      </c>
      <c r="R256" s="184" t="s">
        <v>598</v>
      </c>
      <c r="S256" s="172">
        <v>42996.326388888891</v>
      </c>
      <c r="T256" s="32" t="s">
        <v>552</v>
      </c>
    </row>
    <row r="257" spans="1:20">
      <c r="A257" s="184" t="s">
        <v>1989</v>
      </c>
      <c r="B257" s="184" t="s">
        <v>3985</v>
      </c>
      <c r="C257" s="127">
        <v>42895</v>
      </c>
      <c r="D257" s="184" t="s">
        <v>10</v>
      </c>
      <c r="E257" s="184" t="s">
        <v>598</v>
      </c>
      <c r="F257" s="185">
        <v>3000</v>
      </c>
      <c r="G257" s="184" t="s">
        <v>493</v>
      </c>
      <c r="H257" s="184" t="s">
        <v>598</v>
      </c>
      <c r="I257" s="185">
        <v>0</v>
      </c>
      <c r="J257" s="184" t="s">
        <v>598</v>
      </c>
      <c r="K257" s="127">
        <v>42893</v>
      </c>
      <c r="L257" s="184" t="s">
        <v>134</v>
      </c>
      <c r="M257" s="184" t="s">
        <v>84</v>
      </c>
      <c r="N257" s="184" t="s">
        <v>293</v>
      </c>
      <c r="O257" s="184" t="s">
        <v>598</v>
      </c>
      <c r="P257" s="184" t="s">
        <v>42</v>
      </c>
      <c r="Q257" s="184" t="s">
        <v>42</v>
      </c>
      <c r="R257" s="184" t="s">
        <v>598</v>
      </c>
      <c r="S257" s="172">
        <v>42996.326388888891</v>
      </c>
      <c r="T257" s="32" t="s">
        <v>552</v>
      </c>
    </row>
    <row r="258" spans="1:20">
      <c r="A258" s="184" t="s">
        <v>1993</v>
      </c>
      <c r="B258" s="184" t="s">
        <v>3986</v>
      </c>
      <c r="C258" s="127">
        <v>42898</v>
      </c>
      <c r="D258" s="184" t="s">
        <v>10</v>
      </c>
      <c r="E258" s="184" t="s">
        <v>598</v>
      </c>
      <c r="F258" s="185">
        <v>3000</v>
      </c>
      <c r="G258" s="184" t="s">
        <v>493</v>
      </c>
      <c r="H258" s="184" t="s">
        <v>598</v>
      </c>
      <c r="I258" s="185">
        <v>0</v>
      </c>
      <c r="J258" s="184" t="s">
        <v>598</v>
      </c>
      <c r="K258" s="127">
        <v>42891</v>
      </c>
      <c r="L258" s="184" t="s">
        <v>134</v>
      </c>
      <c r="M258" s="184" t="s">
        <v>84</v>
      </c>
      <c r="N258" s="184" t="s">
        <v>598</v>
      </c>
      <c r="O258" s="184" t="s">
        <v>598</v>
      </c>
      <c r="P258" s="184" t="s">
        <v>42</v>
      </c>
      <c r="Q258" s="184" t="s">
        <v>598</v>
      </c>
      <c r="R258" s="184" t="s">
        <v>598</v>
      </c>
      <c r="S258" s="172">
        <v>42996.326388888891</v>
      </c>
      <c r="T258" s="32" t="s">
        <v>552</v>
      </c>
    </row>
    <row r="259" spans="1:20">
      <c r="A259" s="184" t="s">
        <v>1994</v>
      </c>
      <c r="B259" s="184" t="s">
        <v>3987</v>
      </c>
      <c r="C259" s="127">
        <v>42892</v>
      </c>
      <c r="D259" s="184" t="s">
        <v>34</v>
      </c>
      <c r="E259" s="184" t="s">
        <v>598</v>
      </c>
      <c r="F259" s="185">
        <v>3000</v>
      </c>
      <c r="G259" s="184" t="s">
        <v>493</v>
      </c>
      <c r="H259" s="184" t="s">
        <v>598</v>
      </c>
      <c r="I259" s="185">
        <v>0</v>
      </c>
      <c r="J259" s="184" t="s">
        <v>598</v>
      </c>
      <c r="K259" s="127">
        <v>42889</v>
      </c>
      <c r="L259" s="184" t="s">
        <v>134</v>
      </c>
      <c r="M259" s="184" t="s">
        <v>84</v>
      </c>
      <c r="N259" s="184" t="s">
        <v>297</v>
      </c>
      <c r="O259" s="184" t="s">
        <v>73</v>
      </c>
      <c r="P259" s="184" t="s">
        <v>42</v>
      </c>
      <c r="Q259" s="184" t="s">
        <v>598</v>
      </c>
      <c r="R259" s="184" t="s">
        <v>598</v>
      </c>
      <c r="S259" s="172">
        <v>42996.326388888891</v>
      </c>
      <c r="T259" s="32" t="s">
        <v>552</v>
      </c>
    </row>
    <row r="260" spans="1:20">
      <c r="A260" s="184" t="s">
        <v>2011</v>
      </c>
      <c r="B260" s="184" t="s">
        <v>3988</v>
      </c>
      <c r="C260" s="127">
        <v>42915</v>
      </c>
      <c r="D260" s="184" t="s">
        <v>10</v>
      </c>
      <c r="E260" s="184" t="s">
        <v>598</v>
      </c>
      <c r="F260" s="185">
        <v>4000</v>
      </c>
      <c r="G260" s="184" t="s">
        <v>493</v>
      </c>
      <c r="H260" s="184" t="s">
        <v>598</v>
      </c>
      <c r="I260" s="185">
        <v>0</v>
      </c>
      <c r="J260" s="184" t="s">
        <v>598</v>
      </c>
      <c r="K260" s="127">
        <v>42886</v>
      </c>
      <c r="L260" s="184" t="s">
        <v>598</v>
      </c>
      <c r="M260" s="184" t="s">
        <v>84</v>
      </c>
      <c r="N260" s="184" t="s">
        <v>281</v>
      </c>
      <c r="O260" s="184" t="s">
        <v>2013</v>
      </c>
      <c r="P260" s="184" t="s">
        <v>42</v>
      </c>
      <c r="Q260" s="184" t="s">
        <v>42</v>
      </c>
      <c r="R260" s="184" t="s">
        <v>598</v>
      </c>
      <c r="S260" s="172">
        <v>42996.326388888891</v>
      </c>
      <c r="T260" s="32" t="s">
        <v>552</v>
      </c>
    </row>
    <row r="261" spans="1:20">
      <c r="A261" s="184" t="s">
        <v>2014</v>
      </c>
      <c r="B261" s="184" t="s">
        <v>3989</v>
      </c>
      <c r="C261" s="127">
        <v>42915</v>
      </c>
      <c r="D261" s="184" t="s">
        <v>10</v>
      </c>
      <c r="E261" s="184" t="s">
        <v>598</v>
      </c>
      <c r="F261" s="185">
        <v>4000</v>
      </c>
      <c r="G261" s="184" t="s">
        <v>493</v>
      </c>
      <c r="H261" s="184" t="s">
        <v>598</v>
      </c>
      <c r="I261" s="185">
        <v>0</v>
      </c>
      <c r="J261" s="184" t="s">
        <v>598</v>
      </c>
      <c r="K261" s="127">
        <v>42886</v>
      </c>
      <c r="L261" s="184" t="s">
        <v>598</v>
      </c>
      <c r="M261" s="184" t="s">
        <v>84</v>
      </c>
      <c r="N261" s="184" t="s">
        <v>281</v>
      </c>
      <c r="O261" s="184" t="s">
        <v>2013</v>
      </c>
      <c r="P261" s="184" t="s">
        <v>42</v>
      </c>
      <c r="Q261" s="184" t="s">
        <v>42</v>
      </c>
      <c r="R261" s="184" t="s">
        <v>598</v>
      </c>
      <c r="S261" s="172">
        <v>42996.326388888891</v>
      </c>
      <c r="T261" s="32" t="s">
        <v>552</v>
      </c>
    </row>
    <row r="262" spans="1:20">
      <c r="A262" s="184" t="s">
        <v>2025</v>
      </c>
      <c r="B262" s="184" t="s">
        <v>3990</v>
      </c>
      <c r="C262" s="127">
        <v>42906</v>
      </c>
      <c r="D262" s="184" t="s">
        <v>34</v>
      </c>
      <c r="E262" s="184" t="s">
        <v>598</v>
      </c>
      <c r="F262" s="185">
        <v>2500</v>
      </c>
      <c r="G262" s="184" t="s">
        <v>493</v>
      </c>
      <c r="H262" s="184" t="s">
        <v>598</v>
      </c>
      <c r="I262" s="185">
        <v>0</v>
      </c>
      <c r="J262" s="184" t="s">
        <v>598</v>
      </c>
      <c r="K262" s="127">
        <v>42886</v>
      </c>
      <c r="L262" s="184" t="s">
        <v>598</v>
      </c>
      <c r="M262" s="184" t="s">
        <v>84</v>
      </c>
      <c r="N262" s="184" t="s">
        <v>299</v>
      </c>
      <c r="O262" s="184" t="s">
        <v>1176</v>
      </c>
      <c r="P262" s="184" t="s">
        <v>42</v>
      </c>
      <c r="Q262" s="184" t="s">
        <v>42</v>
      </c>
      <c r="R262" s="184" t="s">
        <v>598</v>
      </c>
      <c r="S262" s="172">
        <v>42996.326388888891</v>
      </c>
      <c r="T262" s="32" t="s">
        <v>552</v>
      </c>
    </row>
    <row r="263" spans="1:20">
      <c r="A263" s="184" t="s">
        <v>2027</v>
      </c>
      <c r="B263" s="184" t="s">
        <v>3991</v>
      </c>
      <c r="C263" s="127">
        <v>42895</v>
      </c>
      <c r="D263" s="184" t="s">
        <v>10</v>
      </c>
      <c r="E263" s="184" t="s">
        <v>598</v>
      </c>
      <c r="F263" s="185">
        <v>5000</v>
      </c>
      <c r="G263" s="184" t="s">
        <v>493</v>
      </c>
      <c r="H263" s="184" t="s">
        <v>598</v>
      </c>
      <c r="I263" s="185">
        <v>0</v>
      </c>
      <c r="J263" s="184" t="s">
        <v>598</v>
      </c>
      <c r="K263" s="127">
        <v>42886</v>
      </c>
      <c r="L263" s="184" t="s">
        <v>598</v>
      </c>
      <c r="M263" s="184" t="s">
        <v>84</v>
      </c>
      <c r="N263" s="184" t="s">
        <v>192</v>
      </c>
      <c r="O263" s="184" t="s">
        <v>598</v>
      </c>
      <c r="P263" s="184" t="s">
        <v>42</v>
      </c>
      <c r="Q263" s="184" t="s">
        <v>42</v>
      </c>
      <c r="R263" s="184" t="s">
        <v>598</v>
      </c>
      <c r="S263" s="172">
        <v>42996.326388888891</v>
      </c>
      <c r="T263" s="32" t="s">
        <v>552</v>
      </c>
    </row>
    <row r="264" spans="1:20">
      <c r="A264" s="184" t="s">
        <v>2039</v>
      </c>
      <c r="B264" s="184" t="s">
        <v>3992</v>
      </c>
      <c r="C264" s="127">
        <v>42888</v>
      </c>
      <c r="D264" s="184" t="s">
        <v>10</v>
      </c>
      <c r="E264" s="184" t="s">
        <v>598</v>
      </c>
      <c r="F264" s="185">
        <v>10000</v>
      </c>
      <c r="G264" s="184" t="s">
        <v>493</v>
      </c>
      <c r="H264" s="184" t="s">
        <v>598</v>
      </c>
      <c r="I264" s="185">
        <v>0</v>
      </c>
      <c r="J264" s="184" t="s">
        <v>598</v>
      </c>
      <c r="K264" s="127">
        <v>42881</v>
      </c>
      <c r="L264" s="184" t="s">
        <v>118</v>
      </c>
      <c r="M264" s="184" t="s">
        <v>84</v>
      </c>
      <c r="N264" s="184" t="s">
        <v>300</v>
      </c>
      <c r="O264" s="184" t="s">
        <v>598</v>
      </c>
      <c r="P264" s="184" t="s">
        <v>42</v>
      </c>
      <c r="Q264" s="184" t="s">
        <v>598</v>
      </c>
      <c r="R264" s="184" t="s">
        <v>598</v>
      </c>
      <c r="S264" s="172">
        <v>42996.326388888891</v>
      </c>
      <c r="T264" s="32" t="s">
        <v>552</v>
      </c>
    </row>
    <row r="265" spans="1:20">
      <c r="A265" s="184" t="s">
        <v>2041</v>
      </c>
      <c r="B265" s="184" t="s">
        <v>3993</v>
      </c>
      <c r="C265" s="127">
        <v>42888</v>
      </c>
      <c r="D265" s="184" t="s">
        <v>10</v>
      </c>
      <c r="E265" s="184" t="s">
        <v>598</v>
      </c>
      <c r="F265" s="185">
        <v>10000</v>
      </c>
      <c r="G265" s="184" t="s">
        <v>493</v>
      </c>
      <c r="H265" s="184" t="s">
        <v>598</v>
      </c>
      <c r="I265" s="185">
        <v>0</v>
      </c>
      <c r="J265" s="184" t="s">
        <v>598</v>
      </c>
      <c r="K265" s="127">
        <v>42881</v>
      </c>
      <c r="L265" s="184" t="s">
        <v>118</v>
      </c>
      <c r="M265" s="184" t="s">
        <v>84</v>
      </c>
      <c r="N265" s="184" t="s">
        <v>300</v>
      </c>
      <c r="O265" s="184" t="s">
        <v>598</v>
      </c>
      <c r="P265" s="184" t="s">
        <v>42</v>
      </c>
      <c r="Q265" s="184" t="s">
        <v>598</v>
      </c>
      <c r="R265" s="184" t="s">
        <v>598</v>
      </c>
      <c r="S265" s="172">
        <v>42996.326388888891</v>
      </c>
      <c r="T265" s="32" t="s">
        <v>552</v>
      </c>
    </row>
    <row r="266" spans="1:20">
      <c r="A266" s="184" t="s">
        <v>2045</v>
      </c>
      <c r="B266" s="184" t="s">
        <v>3994</v>
      </c>
      <c r="C266" s="127">
        <v>42889</v>
      </c>
      <c r="D266" s="184" t="s">
        <v>10</v>
      </c>
      <c r="E266" s="184" t="s">
        <v>598</v>
      </c>
      <c r="F266" s="185">
        <v>3000</v>
      </c>
      <c r="G266" s="184" t="s">
        <v>493</v>
      </c>
      <c r="H266" s="184" t="s">
        <v>598</v>
      </c>
      <c r="I266" s="185">
        <v>0</v>
      </c>
      <c r="J266" s="184" t="s">
        <v>598</v>
      </c>
      <c r="K266" s="127">
        <v>42879</v>
      </c>
      <c r="L266" s="184" t="s">
        <v>134</v>
      </c>
      <c r="M266" s="184" t="s">
        <v>84</v>
      </c>
      <c r="N266" s="184" t="s">
        <v>276</v>
      </c>
      <c r="O266" s="184" t="s">
        <v>598</v>
      </c>
      <c r="P266" s="184" t="s">
        <v>42</v>
      </c>
      <c r="Q266" s="184" t="s">
        <v>598</v>
      </c>
      <c r="R266" s="184" t="s">
        <v>598</v>
      </c>
      <c r="S266" s="172">
        <v>42996.326388888891</v>
      </c>
      <c r="T266" s="32" t="s">
        <v>552</v>
      </c>
    </row>
    <row r="267" spans="1:20">
      <c r="A267" s="184" t="s">
        <v>2052</v>
      </c>
      <c r="B267" s="184" t="s">
        <v>3995</v>
      </c>
      <c r="C267" s="127">
        <v>42895</v>
      </c>
      <c r="D267" s="184" t="s">
        <v>10</v>
      </c>
      <c r="E267" s="184" t="s">
        <v>598</v>
      </c>
      <c r="F267" s="185">
        <v>10000</v>
      </c>
      <c r="G267" s="184" t="s">
        <v>493</v>
      </c>
      <c r="H267" s="184" t="s">
        <v>598</v>
      </c>
      <c r="I267" s="185">
        <v>0</v>
      </c>
      <c r="J267" s="184" t="s">
        <v>598</v>
      </c>
      <c r="K267" s="127">
        <v>42878</v>
      </c>
      <c r="L267" s="184" t="s">
        <v>120</v>
      </c>
      <c r="M267" s="184" t="s">
        <v>84</v>
      </c>
      <c r="N267" s="184" t="s">
        <v>276</v>
      </c>
      <c r="O267" s="184" t="s">
        <v>598</v>
      </c>
      <c r="P267" s="184" t="s">
        <v>42</v>
      </c>
      <c r="Q267" s="184" t="s">
        <v>42</v>
      </c>
      <c r="R267" s="184" t="s">
        <v>598</v>
      </c>
      <c r="S267" s="172">
        <v>42996.326388888891</v>
      </c>
      <c r="T267" s="32" t="s">
        <v>552</v>
      </c>
    </row>
    <row r="268" spans="1:20">
      <c r="A268" s="184" t="s">
        <v>2054</v>
      </c>
      <c r="B268" s="184" t="s">
        <v>3996</v>
      </c>
      <c r="C268" s="127">
        <v>42889</v>
      </c>
      <c r="D268" s="184" t="s">
        <v>10</v>
      </c>
      <c r="E268" s="184" t="s">
        <v>598</v>
      </c>
      <c r="F268" s="185">
        <v>3000</v>
      </c>
      <c r="G268" s="184" t="s">
        <v>493</v>
      </c>
      <c r="H268" s="184" t="s">
        <v>598</v>
      </c>
      <c r="I268" s="185">
        <v>0</v>
      </c>
      <c r="J268" s="184" t="s">
        <v>598</v>
      </c>
      <c r="K268" s="127">
        <v>42877</v>
      </c>
      <c r="L268" s="184" t="s">
        <v>598</v>
      </c>
      <c r="M268" s="184" t="s">
        <v>84</v>
      </c>
      <c r="N268" s="184" t="s">
        <v>598</v>
      </c>
      <c r="O268" s="184" t="s">
        <v>598</v>
      </c>
      <c r="P268" s="184" t="s">
        <v>42</v>
      </c>
      <c r="Q268" s="184" t="s">
        <v>598</v>
      </c>
      <c r="R268" s="184" t="s">
        <v>598</v>
      </c>
      <c r="S268" s="172">
        <v>42996.326388888891</v>
      </c>
      <c r="T268" s="32" t="s">
        <v>552</v>
      </c>
    </row>
    <row r="269" spans="1:20">
      <c r="A269" s="184" t="s">
        <v>2061</v>
      </c>
      <c r="B269" s="184" t="s">
        <v>3997</v>
      </c>
      <c r="C269" s="127">
        <v>42888</v>
      </c>
      <c r="D269" s="184" t="s">
        <v>10</v>
      </c>
      <c r="E269" s="184" t="s">
        <v>598</v>
      </c>
      <c r="F269" s="185">
        <v>3000</v>
      </c>
      <c r="G269" s="184" t="s">
        <v>493</v>
      </c>
      <c r="H269" s="184" t="s">
        <v>598</v>
      </c>
      <c r="I269" s="185">
        <v>0</v>
      </c>
      <c r="J269" s="184" t="s">
        <v>598</v>
      </c>
      <c r="K269" s="127">
        <v>42875</v>
      </c>
      <c r="L269" s="184" t="s">
        <v>122</v>
      </c>
      <c r="M269" s="184" t="s">
        <v>84</v>
      </c>
      <c r="N269" s="184" t="s">
        <v>598</v>
      </c>
      <c r="O269" s="184" t="s">
        <v>598</v>
      </c>
      <c r="P269" s="184" t="s">
        <v>42</v>
      </c>
      <c r="Q269" s="184" t="s">
        <v>598</v>
      </c>
      <c r="R269" s="184" t="s">
        <v>598</v>
      </c>
      <c r="S269" s="172">
        <v>42996.326388888891</v>
      </c>
      <c r="T269" s="32" t="s">
        <v>552</v>
      </c>
    </row>
    <row r="270" spans="1:20">
      <c r="A270" s="184" t="s">
        <v>2076</v>
      </c>
      <c r="B270" s="184" t="s">
        <v>3998</v>
      </c>
      <c r="C270" s="127">
        <v>42888</v>
      </c>
      <c r="D270" s="184" t="s">
        <v>10</v>
      </c>
      <c r="E270" s="184" t="s">
        <v>598</v>
      </c>
      <c r="F270" s="185">
        <v>3000</v>
      </c>
      <c r="G270" s="184" t="s">
        <v>493</v>
      </c>
      <c r="H270" s="184" t="s">
        <v>598</v>
      </c>
      <c r="I270" s="185">
        <v>0</v>
      </c>
      <c r="J270" s="184" t="s">
        <v>598</v>
      </c>
      <c r="K270" s="127">
        <v>42872</v>
      </c>
      <c r="L270" s="184" t="s">
        <v>598</v>
      </c>
      <c r="M270" s="184" t="s">
        <v>84</v>
      </c>
      <c r="N270" s="184" t="s">
        <v>598</v>
      </c>
      <c r="O270" s="184" t="s">
        <v>2078</v>
      </c>
      <c r="P270" s="184" t="s">
        <v>42</v>
      </c>
      <c r="Q270" s="184" t="s">
        <v>42</v>
      </c>
      <c r="R270" s="184" t="s">
        <v>598</v>
      </c>
      <c r="S270" s="172">
        <v>42996.326388888891</v>
      </c>
      <c r="T270" s="32" t="s">
        <v>552</v>
      </c>
    </row>
    <row r="271" spans="1:20">
      <c r="A271" s="184" t="s">
        <v>2079</v>
      </c>
      <c r="B271" s="184" t="s">
        <v>3999</v>
      </c>
      <c r="C271" s="127">
        <v>42888</v>
      </c>
      <c r="D271" s="184" t="s">
        <v>10</v>
      </c>
      <c r="E271" s="184" t="s">
        <v>598</v>
      </c>
      <c r="F271" s="185">
        <v>3000</v>
      </c>
      <c r="G271" s="184" t="s">
        <v>493</v>
      </c>
      <c r="H271" s="184" t="s">
        <v>598</v>
      </c>
      <c r="I271" s="185">
        <v>0</v>
      </c>
      <c r="J271" s="184" t="s">
        <v>598</v>
      </c>
      <c r="K271" s="127">
        <v>42871</v>
      </c>
      <c r="L271" s="184" t="s">
        <v>122</v>
      </c>
      <c r="M271" s="184" t="s">
        <v>84</v>
      </c>
      <c r="N271" s="184" t="s">
        <v>293</v>
      </c>
      <c r="O271" s="184" t="s">
        <v>598</v>
      </c>
      <c r="P271" s="184" t="s">
        <v>42</v>
      </c>
      <c r="Q271" s="184" t="s">
        <v>598</v>
      </c>
      <c r="R271" s="184" t="s">
        <v>598</v>
      </c>
      <c r="S271" s="172">
        <v>42996.326388888891</v>
      </c>
      <c r="T271" s="32" t="s">
        <v>552</v>
      </c>
    </row>
    <row r="272" spans="1:20">
      <c r="A272" s="184" t="s">
        <v>2089</v>
      </c>
      <c r="B272" s="184" t="s">
        <v>4000</v>
      </c>
      <c r="C272" s="127">
        <v>42888</v>
      </c>
      <c r="D272" s="184" t="s">
        <v>10</v>
      </c>
      <c r="E272" s="184" t="s">
        <v>598</v>
      </c>
      <c r="F272" s="185">
        <v>3000</v>
      </c>
      <c r="G272" s="184" t="s">
        <v>493</v>
      </c>
      <c r="H272" s="184" t="s">
        <v>598</v>
      </c>
      <c r="I272" s="185">
        <v>0</v>
      </c>
      <c r="J272" s="184" t="s">
        <v>598</v>
      </c>
      <c r="K272" s="127">
        <v>42865</v>
      </c>
      <c r="L272" s="184" t="s">
        <v>135</v>
      </c>
      <c r="M272" s="184" t="s">
        <v>84</v>
      </c>
      <c r="N272" s="184" t="s">
        <v>192</v>
      </c>
      <c r="O272" s="184" t="s">
        <v>598</v>
      </c>
      <c r="P272" s="184" t="s">
        <v>42</v>
      </c>
      <c r="Q272" s="184" t="s">
        <v>42</v>
      </c>
      <c r="R272" s="184" t="s">
        <v>598</v>
      </c>
      <c r="S272" s="172">
        <v>42996.326388888891</v>
      </c>
      <c r="T272" s="32" t="s">
        <v>552</v>
      </c>
    </row>
    <row r="273" spans="1:20">
      <c r="A273" s="184" t="s">
        <v>2119</v>
      </c>
      <c r="B273" s="184" t="s">
        <v>4001</v>
      </c>
      <c r="C273" s="127">
        <v>42888</v>
      </c>
      <c r="D273" s="184" t="s">
        <v>10</v>
      </c>
      <c r="E273" s="184" t="s">
        <v>598</v>
      </c>
      <c r="F273" s="185">
        <v>3000</v>
      </c>
      <c r="G273" s="184" t="s">
        <v>493</v>
      </c>
      <c r="H273" s="184" t="s">
        <v>598</v>
      </c>
      <c r="I273" s="185">
        <v>0</v>
      </c>
      <c r="J273" s="184" t="s">
        <v>598</v>
      </c>
      <c r="K273" s="127">
        <v>42850</v>
      </c>
      <c r="L273" s="184" t="s">
        <v>135</v>
      </c>
      <c r="M273" s="184" t="s">
        <v>84</v>
      </c>
      <c r="N273" s="184" t="s">
        <v>192</v>
      </c>
      <c r="O273" s="184" t="s">
        <v>1954</v>
      </c>
      <c r="P273" s="184" t="s">
        <v>42</v>
      </c>
      <c r="Q273" s="184" t="s">
        <v>598</v>
      </c>
      <c r="R273" s="184" t="s">
        <v>598</v>
      </c>
      <c r="S273" s="172">
        <v>42996.326388888891</v>
      </c>
      <c r="T273" s="32" t="s">
        <v>552</v>
      </c>
    </row>
    <row r="274" spans="1:20">
      <c r="A274" s="184" t="s">
        <v>2125</v>
      </c>
      <c r="B274" s="184" t="s">
        <v>4002</v>
      </c>
      <c r="C274" s="127">
        <v>42898</v>
      </c>
      <c r="D274" s="184" t="s">
        <v>10</v>
      </c>
      <c r="E274" s="184" t="s">
        <v>598</v>
      </c>
      <c r="F274" s="185">
        <v>3000</v>
      </c>
      <c r="G274" s="184" t="s">
        <v>493</v>
      </c>
      <c r="H274" s="184" t="s">
        <v>598</v>
      </c>
      <c r="I274" s="185">
        <v>0</v>
      </c>
      <c r="J274" s="184" t="s">
        <v>598</v>
      </c>
      <c r="K274" s="127">
        <v>42844</v>
      </c>
      <c r="L274" s="184" t="s">
        <v>134</v>
      </c>
      <c r="M274" s="184" t="s">
        <v>84</v>
      </c>
      <c r="N274" s="184" t="s">
        <v>303</v>
      </c>
      <c r="O274" s="184" t="s">
        <v>1944</v>
      </c>
      <c r="P274" s="184" t="s">
        <v>42</v>
      </c>
      <c r="Q274" s="184" t="s">
        <v>42</v>
      </c>
      <c r="R274" s="184" t="s">
        <v>598</v>
      </c>
      <c r="S274" s="172">
        <v>42996.326388888891</v>
      </c>
      <c r="T274" s="32" t="s">
        <v>552</v>
      </c>
    </row>
    <row r="275" spans="1:20">
      <c r="A275" s="184" t="s">
        <v>2131</v>
      </c>
      <c r="B275" s="184" t="s">
        <v>4003</v>
      </c>
      <c r="C275" s="127">
        <v>42903</v>
      </c>
      <c r="D275" s="184" t="s">
        <v>10</v>
      </c>
      <c r="E275" s="184" t="s">
        <v>598</v>
      </c>
      <c r="F275" s="185">
        <v>3000</v>
      </c>
      <c r="G275" s="184" t="s">
        <v>493</v>
      </c>
      <c r="H275" s="184" t="s">
        <v>598</v>
      </c>
      <c r="I275" s="185">
        <v>0</v>
      </c>
      <c r="J275" s="184" t="s">
        <v>598</v>
      </c>
      <c r="K275" s="127">
        <v>42843</v>
      </c>
      <c r="L275" s="184" t="s">
        <v>135</v>
      </c>
      <c r="M275" s="184" t="s">
        <v>84</v>
      </c>
      <c r="N275" s="184" t="s">
        <v>192</v>
      </c>
      <c r="O275" s="184" t="s">
        <v>1954</v>
      </c>
      <c r="P275" s="184" t="s">
        <v>42</v>
      </c>
      <c r="Q275" s="184" t="s">
        <v>98</v>
      </c>
      <c r="R275" s="184" t="s">
        <v>598</v>
      </c>
      <c r="S275" s="172">
        <v>42996.326388888891</v>
      </c>
      <c r="T275" s="32" t="s">
        <v>552</v>
      </c>
    </row>
    <row r="276" spans="1:20">
      <c r="A276" s="184" t="s">
        <v>2337</v>
      </c>
      <c r="B276" s="184" t="s">
        <v>4004</v>
      </c>
      <c r="C276" s="127">
        <v>42912</v>
      </c>
      <c r="D276" s="184" t="s">
        <v>34</v>
      </c>
      <c r="E276" s="184" t="s">
        <v>598</v>
      </c>
      <c r="F276" s="185">
        <v>10000</v>
      </c>
      <c r="G276" s="184" t="s">
        <v>493</v>
      </c>
      <c r="H276" s="184" t="s">
        <v>598</v>
      </c>
      <c r="I276" s="185">
        <v>0</v>
      </c>
      <c r="J276" s="184" t="s">
        <v>598</v>
      </c>
      <c r="K276" s="127">
        <v>42916</v>
      </c>
      <c r="L276" s="184" t="s">
        <v>598</v>
      </c>
      <c r="M276" s="184" t="s">
        <v>551</v>
      </c>
      <c r="N276" s="184" t="s">
        <v>302</v>
      </c>
      <c r="O276" s="184" t="s">
        <v>598</v>
      </c>
      <c r="P276" s="184" t="s">
        <v>85</v>
      </c>
      <c r="Q276" s="184" t="s">
        <v>598</v>
      </c>
      <c r="R276" s="184" t="s">
        <v>598</v>
      </c>
      <c r="S276" s="172">
        <v>42996.326388888891</v>
      </c>
      <c r="T276" s="32" t="s">
        <v>552</v>
      </c>
    </row>
    <row r="277" spans="1:20">
      <c r="A277" s="184" t="s">
        <v>2339</v>
      </c>
      <c r="B277" s="184" t="s">
        <v>4005</v>
      </c>
      <c r="C277" s="127">
        <v>42916</v>
      </c>
      <c r="D277" s="184" t="s">
        <v>34</v>
      </c>
      <c r="E277" s="184" t="s">
        <v>598</v>
      </c>
      <c r="F277" s="185">
        <v>500</v>
      </c>
      <c r="G277" s="184" t="s">
        <v>493</v>
      </c>
      <c r="H277" s="184" t="s">
        <v>598</v>
      </c>
      <c r="I277" s="185">
        <v>0</v>
      </c>
      <c r="J277" s="184" t="s">
        <v>598</v>
      </c>
      <c r="K277" s="127">
        <v>42916</v>
      </c>
      <c r="L277" s="184" t="s">
        <v>127</v>
      </c>
      <c r="M277" s="184" t="s">
        <v>551</v>
      </c>
      <c r="N277" s="184" t="s">
        <v>598</v>
      </c>
      <c r="O277" s="184" t="s">
        <v>598</v>
      </c>
      <c r="P277" s="184" t="s">
        <v>85</v>
      </c>
      <c r="Q277" s="184" t="s">
        <v>598</v>
      </c>
      <c r="R277" s="184" t="s">
        <v>598</v>
      </c>
      <c r="S277" s="172">
        <v>42996.326388888891</v>
      </c>
      <c r="T277" s="32" t="s">
        <v>552</v>
      </c>
    </row>
    <row r="278" spans="1:20">
      <c r="A278" s="184" t="s">
        <v>2343</v>
      </c>
      <c r="B278" s="184" t="s">
        <v>4006</v>
      </c>
      <c r="C278" s="127">
        <v>42916</v>
      </c>
      <c r="D278" s="184" t="s">
        <v>34</v>
      </c>
      <c r="E278" s="184" t="s">
        <v>598</v>
      </c>
      <c r="F278" s="185">
        <v>2000</v>
      </c>
      <c r="G278" s="184" t="s">
        <v>493</v>
      </c>
      <c r="H278" s="184" t="s">
        <v>598</v>
      </c>
      <c r="I278" s="185">
        <v>0</v>
      </c>
      <c r="J278" s="184" t="s">
        <v>598</v>
      </c>
      <c r="K278" s="127">
        <v>42915</v>
      </c>
      <c r="L278" s="184" t="s">
        <v>598</v>
      </c>
      <c r="M278" s="184" t="s">
        <v>551</v>
      </c>
      <c r="N278" s="184" t="s">
        <v>307</v>
      </c>
      <c r="O278" s="184" t="s">
        <v>598</v>
      </c>
      <c r="P278" s="184" t="s">
        <v>85</v>
      </c>
      <c r="Q278" s="184" t="s">
        <v>598</v>
      </c>
      <c r="R278" s="184" t="s">
        <v>598</v>
      </c>
      <c r="S278" s="172">
        <v>42996.326388888891</v>
      </c>
      <c r="T278" s="32" t="s">
        <v>552</v>
      </c>
    </row>
    <row r="279" spans="1:20">
      <c r="A279" s="184" t="s">
        <v>2345</v>
      </c>
      <c r="B279" s="184" t="s">
        <v>4007</v>
      </c>
      <c r="C279" s="127">
        <v>42915</v>
      </c>
      <c r="D279" s="184" t="s">
        <v>34</v>
      </c>
      <c r="E279" s="184" t="s">
        <v>598</v>
      </c>
      <c r="F279" s="185">
        <v>6000</v>
      </c>
      <c r="G279" s="184" t="s">
        <v>493</v>
      </c>
      <c r="H279" s="184" t="s">
        <v>598</v>
      </c>
      <c r="I279" s="185">
        <v>0</v>
      </c>
      <c r="J279" s="184" t="s">
        <v>598</v>
      </c>
      <c r="K279" s="127">
        <v>42913</v>
      </c>
      <c r="L279" s="184" t="s">
        <v>58</v>
      </c>
      <c r="M279" s="184" t="s">
        <v>551</v>
      </c>
      <c r="N279" s="184" t="s">
        <v>308</v>
      </c>
      <c r="O279" s="184" t="s">
        <v>598</v>
      </c>
      <c r="P279" s="184" t="s">
        <v>85</v>
      </c>
      <c r="Q279" s="184" t="s">
        <v>73</v>
      </c>
      <c r="R279" s="184" t="s">
        <v>598</v>
      </c>
      <c r="S279" s="172">
        <v>42996.326388888891</v>
      </c>
      <c r="T279" s="32" t="s">
        <v>552</v>
      </c>
    </row>
    <row r="280" spans="1:20">
      <c r="A280" s="184" t="s">
        <v>2363</v>
      </c>
      <c r="B280" s="184" t="s">
        <v>4008</v>
      </c>
      <c r="C280" s="127">
        <v>42907</v>
      </c>
      <c r="D280" s="184" t="s">
        <v>34</v>
      </c>
      <c r="E280" s="184" t="s">
        <v>598</v>
      </c>
      <c r="F280" s="185">
        <v>3000</v>
      </c>
      <c r="G280" s="184" t="s">
        <v>493</v>
      </c>
      <c r="H280" s="184" t="s">
        <v>598</v>
      </c>
      <c r="I280" s="185">
        <v>0</v>
      </c>
      <c r="J280" s="184" t="s">
        <v>598</v>
      </c>
      <c r="K280" s="127">
        <v>42906</v>
      </c>
      <c r="L280" s="184" t="s">
        <v>598</v>
      </c>
      <c r="M280" s="184" t="s">
        <v>551</v>
      </c>
      <c r="N280" s="184" t="s">
        <v>310</v>
      </c>
      <c r="O280" s="184" t="s">
        <v>598</v>
      </c>
      <c r="P280" s="184" t="s">
        <v>85</v>
      </c>
      <c r="Q280" s="184" t="s">
        <v>85</v>
      </c>
      <c r="R280" s="184" t="s">
        <v>598</v>
      </c>
      <c r="S280" s="172">
        <v>42996.326388888891</v>
      </c>
      <c r="T280" s="32" t="s">
        <v>552</v>
      </c>
    </row>
    <row r="281" spans="1:20">
      <c r="A281" s="184" t="s">
        <v>2364</v>
      </c>
      <c r="B281" s="184" t="s">
        <v>4009</v>
      </c>
      <c r="C281" s="127">
        <v>42909</v>
      </c>
      <c r="D281" s="184" t="s">
        <v>10</v>
      </c>
      <c r="E281" s="184" t="s">
        <v>598</v>
      </c>
      <c r="F281" s="185">
        <v>3000</v>
      </c>
      <c r="G281" s="184" t="s">
        <v>493</v>
      </c>
      <c r="H281" s="184" t="s">
        <v>598</v>
      </c>
      <c r="I281" s="185">
        <v>0</v>
      </c>
      <c r="J281" s="184" t="s">
        <v>598</v>
      </c>
      <c r="K281" s="127">
        <v>42905</v>
      </c>
      <c r="L281" s="184" t="s">
        <v>134</v>
      </c>
      <c r="M281" s="184" t="s">
        <v>551</v>
      </c>
      <c r="N281" s="184" t="s">
        <v>302</v>
      </c>
      <c r="O281" s="184" t="s">
        <v>598</v>
      </c>
      <c r="P281" s="184" t="s">
        <v>85</v>
      </c>
      <c r="Q281" s="184" t="s">
        <v>51</v>
      </c>
      <c r="R281" s="184" t="s">
        <v>598</v>
      </c>
      <c r="S281" s="172">
        <v>42996.326388888891</v>
      </c>
      <c r="T281" s="32" t="s">
        <v>552</v>
      </c>
    </row>
    <row r="282" spans="1:20">
      <c r="A282" s="184" t="s">
        <v>2366</v>
      </c>
      <c r="B282" s="184" t="s">
        <v>4010</v>
      </c>
      <c r="C282" s="127">
        <v>42916</v>
      </c>
      <c r="D282" s="184" t="s">
        <v>10</v>
      </c>
      <c r="E282" s="184" t="s">
        <v>598</v>
      </c>
      <c r="F282" s="185">
        <v>6000</v>
      </c>
      <c r="G282" s="184" t="s">
        <v>493</v>
      </c>
      <c r="H282" s="184" t="s">
        <v>598</v>
      </c>
      <c r="I282" s="185">
        <v>0</v>
      </c>
      <c r="J282" s="184" t="s">
        <v>598</v>
      </c>
      <c r="K282" s="127">
        <v>42901</v>
      </c>
      <c r="L282" s="184" t="s">
        <v>48</v>
      </c>
      <c r="M282" s="184" t="s">
        <v>551</v>
      </c>
      <c r="N282" s="184" t="s">
        <v>301</v>
      </c>
      <c r="O282" s="184" t="s">
        <v>598</v>
      </c>
      <c r="P282" s="184" t="s">
        <v>85</v>
      </c>
      <c r="Q282" s="184" t="s">
        <v>73</v>
      </c>
      <c r="R282" s="184" t="s">
        <v>598</v>
      </c>
      <c r="S282" s="172">
        <v>42996.326388888891</v>
      </c>
      <c r="T282" s="32" t="s">
        <v>552</v>
      </c>
    </row>
    <row r="283" spans="1:20">
      <c r="A283" s="184" t="s">
        <v>2376</v>
      </c>
      <c r="B283" s="184" t="s">
        <v>4011</v>
      </c>
      <c r="C283" s="127">
        <v>42898</v>
      </c>
      <c r="D283" s="184" t="s">
        <v>34</v>
      </c>
      <c r="E283" s="184" t="s">
        <v>598</v>
      </c>
      <c r="F283" s="185">
        <v>2000</v>
      </c>
      <c r="G283" s="184" t="s">
        <v>493</v>
      </c>
      <c r="H283" s="184" t="s">
        <v>598</v>
      </c>
      <c r="I283" s="185">
        <v>0</v>
      </c>
      <c r="J283" s="184" t="s">
        <v>598</v>
      </c>
      <c r="K283" s="127">
        <v>42896</v>
      </c>
      <c r="L283" s="184" t="s">
        <v>48</v>
      </c>
      <c r="M283" s="184" t="s">
        <v>551</v>
      </c>
      <c r="N283" s="184" t="s">
        <v>309</v>
      </c>
      <c r="O283" s="184" t="s">
        <v>598</v>
      </c>
      <c r="P283" s="184" t="s">
        <v>85</v>
      </c>
      <c r="Q283" s="184" t="s">
        <v>598</v>
      </c>
      <c r="R283" s="184" t="s">
        <v>598</v>
      </c>
      <c r="S283" s="172">
        <v>42996.326388888891</v>
      </c>
      <c r="T283" s="32" t="s">
        <v>552</v>
      </c>
    </row>
    <row r="284" spans="1:20">
      <c r="A284" s="184" t="s">
        <v>2380</v>
      </c>
      <c r="B284" s="184" t="s">
        <v>4012</v>
      </c>
      <c r="C284" s="127">
        <v>42894</v>
      </c>
      <c r="D284" s="184" t="s">
        <v>34</v>
      </c>
      <c r="E284" s="184" t="s">
        <v>598</v>
      </c>
      <c r="F284" s="185">
        <v>3000</v>
      </c>
      <c r="G284" s="184" t="s">
        <v>493</v>
      </c>
      <c r="H284" s="184" t="s">
        <v>598</v>
      </c>
      <c r="I284" s="185">
        <v>0</v>
      </c>
      <c r="J284" s="184" t="s">
        <v>598</v>
      </c>
      <c r="K284" s="127">
        <v>42894</v>
      </c>
      <c r="L284" s="184" t="s">
        <v>135</v>
      </c>
      <c r="M284" s="184" t="s">
        <v>551</v>
      </c>
      <c r="N284" s="184" t="s">
        <v>311</v>
      </c>
      <c r="O284" s="184" t="s">
        <v>598</v>
      </c>
      <c r="P284" s="184" t="s">
        <v>85</v>
      </c>
      <c r="Q284" s="184" t="s">
        <v>73</v>
      </c>
      <c r="R284" s="184" t="s">
        <v>598</v>
      </c>
      <c r="S284" s="172">
        <v>42996.326388888891</v>
      </c>
      <c r="T284" s="32" t="s">
        <v>552</v>
      </c>
    </row>
    <row r="285" spans="1:20">
      <c r="A285" s="184" t="s">
        <v>2382</v>
      </c>
      <c r="B285" s="184" t="s">
        <v>4013</v>
      </c>
      <c r="C285" s="127">
        <v>42901</v>
      </c>
      <c r="D285" s="184" t="s">
        <v>10</v>
      </c>
      <c r="E285" s="184" t="s">
        <v>598</v>
      </c>
      <c r="F285" s="185">
        <v>3000</v>
      </c>
      <c r="G285" s="184" t="s">
        <v>493</v>
      </c>
      <c r="H285" s="184" t="s">
        <v>598</v>
      </c>
      <c r="I285" s="185">
        <v>0</v>
      </c>
      <c r="J285" s="184" t="s">
        <v>598</v>
      </c>
      <c r="K285" s="127">
        <v>42894</v>
      </c>
      <c r="L285" s="184" t="s">
        <v>132</v>
      </c>
      <c r="M285" s="184" t="s">
        <v>551</v>
      </c>
      <c r="N285" s="184" t="s">
        <v>301</v>
      </c>
      <c r="O285" s="184" t="s">
        <v>598</v>
      </c>
      <c r="P285" s="184" t="s">
        <v>85</v>
      </c>
      <c r="Q285" s="184" t="s">
        <v>73</v>
      </c>
      <c r="R285" s="184" t="s">
        <v>598</v>
      </c>
      <c r="S285" s="172">
        <v>42996.326388888891</v>
      </c>
      <c r="T285" s="32" t="s">
        <v>552</v>
      </c>
    </row>
    <row r="286" spans="1:20">
      <c r="A286" s="184" t="s">
        <v>2386</v>
      </c>
      <c r="B286" s="184" t="s">
        <v>4014</v>
      </c>
      <c r="C286" s="127">
        <v>42896</v>
      </c>
      <c r="D286" s="184" t="s">
        <v>34</v>
      </c>
      <c r="E286" s="184" t="s">
        <v>598</v>
      </c>
      <c r="F286" s="185">
        <v>3000</v>
      </c>
      <c r="G286" s="184" t="s">
        <v>493</v>
      </c>
      <c r="H286" s="184" t="s">
        <v>598</v>
      </c>
      <c r="I286" s="185">
        <v>0</v>
      </c>
      <c r="J286" s="184" t="s">
        <v>598</v>
      </c>
      <c r="K286" s="127">
        <v>42894</v>
      </c>
      <c r="L286" s="184" t="s">
        <v>134</v>
      </c>
      <c r="M286" s="184" t="s">
        <v>551</v>
      </c>
      <c r="N286" s="184" t="s">
        <v>262</v>
      </c>
      <c r="O286" s="184" t="s">
        <v>598</v>
      </c>
      <c r="P286" s="184" t="s">
        <v>85</v>
      </c>
      <c r="Q286" s="184" t="s">
        <v>51</v>
      </c>
      <c r="R286" s="184" t="s">
        <v>598</v>
      </c>
      <c r="S286" s="172">
        <v>42996.326388888891</v>
      </c>
      <c r="T286" s="32" t="s">
        <v>552</v>
      </c>
    </row>
    <row r="287" spans="1:20">
      <c r="A287" s="184" t="s">
        <v>2390</v>
      </c>
      <c r="B287" s="184" t="s">
        <v>4015</v>
      </c>
      <c r="C287" s="127">
        <v>42903</v>
      </c>
      <c r="D287" s="184" t="s">
        <v>10</v>
      </c>
      <c r="E287" s="184" t="s">
        <v>598</v>
      </c>
      <c r="F287" s="185">
        <v>7920</v>
      </c>
      <c r="G287" s="184" t="s">
        <v>493</v>
      </c>
      <c r="H287" s="184" t="s">
        <v>598</v>
      </c>
      <c r="I287" s="185">
        <v>0</v>
      </c>
      <c r="J287" s="184" t="s">
        <v>598</v>
      </c>
      <c r="K287" s="127">
        <v>42891</v>
      </c>
      <c r="L287" s="184" t="s">
        <v>58</v>
      </c>
      <c r="M287" s="184" t="s">
        <v>70</v>
      </c>
      <c r="N287" s="184" t="s">
        <v>272</v>
      </c>
      <c r="O287" s="184" t="s">
        <v>598</v>
      </c>
      <c r="P287" s="184" t="s">
        <v>85</v>
      </c>
      <c r="Q287" s="184" t="s">
        <v>85</v>
      </c>
      <c r="R287" s="184" t="s">
        <v>598</v>
      </c>
      <c r="S287" s="172">
        <v>42996.326388888891</v>
      </c>
      <c r="T287" s="32" t="s">
        <v>552</v>
      </c>
    </row>
    <row r="288" spans="1:20">
      <c r="A288" s="184" t="s">
        <v>2396</v>
      </c>
      <c r="B288" s="184" t="s">
        <v>4016</v>
      </c>
      <c r="C288" s="127">
        <v>42903</v>
      </c>
      <c r="D288" s="184" t="s">
        <v>10</v>
      </c>
      <c r="E288" s="184" t="s">
        <v>598</v>
      </c>
      <c r="F288" s="185">
        <v>5400</v>
      </c>
      <c r="G288" s="184" t="s">
        <v>493</v>
      </c>
      <c r="H288" s="184" t="s">
        <v>598</v>
      </c>
      <c r="I288" s="185">
        <v>0</v>
      </c>
      <c r="J288" s="184" t="s">
        <v>598</v>
      </c>
      <c r="K288" s="127">
        <v>42893</v>
      </c>
      <c r="L288" s="184" t="s">
        <v>58</v>
      </c>
      <c r="M288" s="184" t="s">
        <v>70</v>
      </c>
      <c r="N288" s="184" t="s">
        <v>272</v>
      </c>
      <c r="O288" s="184" t="s">
        <v>598</v>
      </c>
      <c r="P288" s="184" t="s">
        <v>85</v>
      </c>
      <c r="Q288" s="184" t="s">
        <v>73</v>
      </c>
      <c r="R288" s="184" t="s">
        <v>598</v>
      </c>
      <c r="S288" s="172">
        <v>42996.326388888891</v>
      </c>
      <c r="T288" s="32" t="s">
        <v>552</v>
      </c>
    </row>
    <row r="289" spans="1:20">
      <c r="A289" s="184" t="s">
        <v>2397</v>
      </c>
      <c r="B289" s="184" t="s">
        <v>4017</v>
      </c>
      <c r="C289" s="127">
        <v>42909</v>
      </c>
      <c r="D289" s="184" t="s">
        <v>10</v>
      </c>
      <c r="E289" s="184" t="s">
        <v>598</v>
      </c>
      <c r="F289" s="185">
        <v>13500</v>
      </c>
      <c r="G289" s="184" t="s">
        <v>493</v>
      </c>
      <c r="H289" s="184" t="s">
        <v>598</v>
      </c>
      <c r="I289" s="185">
        <v>0</v>
      </c>
      <c r="J289" s="184" t="s">
        <v>598</v>
      </c>
      <c r="K289" s="127">
        <v>42900</v>
      </c>
      <c r="L289" s="184" t="s">
        <v>58</v>
      </c>
      <c r="M289" s="184" t="s">
        <v>70</v>
      </c>
      <c r="N289" s="184" t="s">
        <v>272</v>
      </c>
      <c r="O289" s="184" t="s">
        <v>598</v>
      </c>
      <c r="P289" s="184" t="s">
        <v>85</v>
      </c>
      <c r="Q289" s="184" t="s">
        <v>85</v>
      </c>
      <c r="R289" s="184" t="s">
        <v>598</v>
      </c>
      <c r="S289" s="172">
        <v>42996.326388888891</v>
      </c>
      <c r="T289" s="32" t="s">
        <v>552</v>
      </c>
    </row>
    <row r="290" spans="1:20">
      <c r="A290" s="184" t="s">
        <v>2409</v>
      </c>
      <c r="B290" s="184" t="s">
        <v>4018</v>
      </c>
      <c r="C290" s="127">
        <v>42908</v>
      </c>
      <c r="D290" s="184" t="s">
        <v>10</v>
      </c>
      <c r="E290" s="184" t="s">
        <v>598</v>
      </c>
      <c r="F290" s="185">
        <v>11025</v>
      </c>
      <c r="G290" s="184" t="s">
        <v>493</v>
      </c>
      <c r="H290" s="184" t="s">
        <v>598</v>
      </c>
      <c r="I290" s="185">
        <v>0</v>
      </c>
      <c r="J290" s="184" t="s">
        <v>598</v>
      </c>
      <c r="K290" s="127">
        <v>42908</v>
      </c>
      <c r="L290" s="184" t="s">
        <v>135</v>
      </c>
      <c r="M290" s="184" t="s">
        <v>70</v>
      </c>
      <c r="N290" s="184" t="s">
        <v>2411</v>
      </c>
      <c r="O290" s="184" t="s">
        <v>598</v>
      </c>
      <c r="P290" s="184" t="s">
        <v>85</v>
      </c>
      <c r="Q290" s="184" t="s">
        <v>85</v>
      </c>
      <c r="R290" s="184" t="s">
        <v>598</v>
      </c>
      <c r="S290" s="172">
        <v>42996.326388888891</v>
      </c>
      <c r="T290" s="32" t="s">
        <v>552</v>
      </c>
    </row>
    <row r="291" spans="1:20">
      <c r="A291" s="184" t="s">
        <v>2414</v>
      </c>
      <c r="B291" s="184" t="s">
        <v>4019</v>
      </c>
      <c r="C291" s="127">
        <v>42888</v>
      </c>
      <c r="D291" s="184" t="s">
        <v>10</v>
      </c>
      <c r="E291" s="184" t="s">
        <v>598</v>
      </c>
      <c r="F291" s="185">
        <v>1000</v>
      </c>
      <c r="G291" s="184" t="s">
        <v>493</v>
      </c>
      <c r="H291" s="184" t="s">
        <v>598</v>
      </c>
      <c r="I291" s="185">
        <v>0</v>
      </c>
      <c r="J291" s="184" t="s">
        <v>598</v>
      </c>
      <c r="K291" s="127">
        <v>42888</v>
      </c>
      <c r="L291" s="184" t="s">
        <v>126</v>
      </c>
      <c r="M291" s="184" t="s">
        <v>77</v>
      </c>
      <c r="N291" s="184" t="s">
        <v>162</v>
      </c>
      <c r="O291" s="184" t="s">
        <v>598</v>
      </c>
      <c r="P291" s="184" t="s">
        <v>85</v>
      </c>
      <c r="Q291" s="184" t="s">
        <v>598</v>
      </c>
      <c r="R291" s="184" t="s">
        <v>598</v>
      </c>
      <c r="S291" s="172">
        <v>42996.326388888891</v>
      </c>
      <c r="T291" s="32" t="s">
        <v>552</v>
      </c>
    </row>
    <row r="292" spans="1:20">
      <c r="A292" s="184" t="s">
        <v>2416</v>
      </c>
      <c r="B292" s="184" t="s">
        <v>4020</v>
      </c>
      <c r="C292" s="127">
        <v>42888</v>
      </c>
      <c r="D292" s="184" t="s">
        <v>10</v>
      </c>
      <c r="E292" s="184" t="s">
        <v>598</v>
      </c>
      <c r="F292" s="185">
        <v>1000</v>
      </c>
      <c r="G292" s="184" t="s">
        <v>493</v>
      </c>
      <c r="H292" s="184" t="s">
        <v>598</v>
      </c>
      <c r="I292" s="185">
        <v>0</v>
      </c>
      <c r="J292" s="184" t="s">
        <v>598</v>
      </c>
      <c r="K292" s="127">
        <v>42889</v>
      </c>
      <c r="L292" s="184" t="s">
        <v>126</v>
      </c>
      <c r="M292" s="184" t="s">
        <v>77</v>
      </c>
      <c r="N292" s="184" t="s">
        <v>162</v>
      </c>
      <c r="O292" s="184" t="s">
        <v>598</v>
      </c>
      <c r="P292" s="184" t="s">
        <v>85</v>
      </c>
      <c r="Q292" s="184" t="s">
        <v>598</v>
      </c>
      <c r="R292" s="184" t="s">
        <v>598</v>
      </c>
      <c r="S292" s="172">
        <v>42996.326388888891</v>
      </c>
      <c r="T292" s="32" t="s">
        <v>552</v>
      </c>
    </row>
    <row r="293" spans="1:20">
      <c r="A293" s="184" t="s">
        <v>2420</v>
      </c>
      <c r="B293" s="184" t="s">
        <v>4021</v>
      </c>
      <c r="C293" s="127">
        <v>42900</v>
      </c>
      <c r="D293" s="184" t="s">
        <v>10</v>
      </c>
      <c r="E293" s="184" t="s">
        <v>598</v>
      </c>
      <c r="F293" s="185">
        <v>5175</v>
      </c>
      <c r="G293" s="184" t="s">
        <v>493</v>
      </c>
      <c r="H293" s="184" t="s">
        <v>598</v>
      </c>
      <c r="I293" s="185">
        <v>0</v>
      </c>
      <c r="J293" s="184" t="s">
        <v>598</v>
      </c>
      <c r="K293" s="127">
        <v>42893</v>
      </c>
      <c r="L293" s="184" t="s">
        <v>130</v>
      </c>
      <c r="M293" s="184" t="s">
        <v>77</v>
      </c>
      <c r="N293" s="184" t="s">
        <v>183</v>
      </c>
      <c r="O293" s="184" t="s">
        <v>598</v>
      </c>
      <c r="P293" s="184" t="s">
        <v>85</v>
      </c>
      <c r="Q293" s="184" t="s">
        <v>98</v>
      </c>
      <c r="R293" s="184" t="s">
        <v>598</v>
      </c>
      <c r="S293" s="172">
        <v>42996.326388888891</v>
      </c>
      <c r="T293" s="32" t="s">
        <v>552</v>
      </c>
    </row>
    <row r="294" spans="1:20">
      <c r="A294" s="184" t="s">
        <v>2422</v>
      </c>
      <c r="B294" s="184" t="s">
        <v>4022</v>
      </c>
      <c r="C294" s="127">
        <v>42910</v>
      </c>
      <c r="D294" s="184" t="s">
        <v>34</v>
      </c>
      <c r="E294" s="184" t="s">
        <v>598</v>
      </c>
      <c r="F294" s="185">
        <v>4000</v>
      </c>
      <c r="G294" s="184" t="s">
        <v>493</v>
      </c>
      <c r="H294" s="184" t="s">
        <v>598</v>
      </c>
      <c r="I294" s="185">
        <v>0</v>
      </c>
      <c r="J294" s="184" t="s">
        <v>598</v>
      </c>
      <c r="K294" s="127">
        <v>42896</v>
      </c>
      <c r="L294" s="184" t="s">
        <v>134</v>
      </c>
      <c r="M294" s="184" t="s">
        <v>77</v>
      </c>
      <c r="N294" s="184" t="s">
        <v>183</v>
      </c>
      <c r="O294" s="184" t="s">
        <v>598</v>
      </c>
      <c r="P294" s="184" t="s">
        <v>85</v>
      </c>
      <c r="Q294" s="184" t="s">
        <v>598</v>
      </c>
      <c r="R294" s="184" t="s">
        <v>598</v>
      </c>
      <c r="S294" s="172">
        <v>42996.326388888891</v>
      </c>
      <c r="T294" s="32" t="s">
        <v>552</v>
      </c>
    </row>
    <row r="295" spans="1:20">
      <c r="A295" s="184" t="s">
        <v>2424</v>
      </c>
      <c r="B295" s="184" t="s">
        <v>4023</v>
      </c>
      <c r="C295" s="127">
        <v>42899</v>
      </c>
      <c r="D295" s="184" t="s">
        <v>34</v>
      </c>
      <c r="E295" s="184" t="s">
        <v>598</v>
      </c>
      <c r="F295" s="185">
        <v>4000</v>
      </c>
      <c r="G295" s="184" t="s">
        <v>493</v>
      </c>
      <c r="H295" s="184" t="s">
        <v>598</v>
      </c>
      <c r="I295" s="185">
        <v>0</v>
      </c>
      <c r="J295" s="184" t="s">
        <v>598</v>
      </c>
      <c r="K295" s="127">
        <v>42899</v>
      </c>
      <c r="L295" s="184" t="s">
        <v>134</v>
      </c>
      <c r="M295" s="184" t="s">
        <v>77</v>
      </c>
      <c r="N295" s="184" t="s">
        <v>242</v>
      </c>
      <c r="O295" s="184" t="s">
        <v>598</v>
      </c>
      <c r="P295" s="184" t="s">
        <v>85</v>
      </c>
      <c r="Q295" s="184" t="s">
        <v>98</v>
      </c>
      <c r="R295" s="184" t="s">
        <v>598</v>
      </c>
      <c r="S295" s="172">
        <v>42996.326388888891</v>
      </c>
      <c r="T295" s="32" t="s">
        <v>552</v>
      </c>
    </row>
    <row r="296" spans="1:20">
      <c r="A296" s="184" t="s">
        <v>2428</v>
      </c>
      <c r="B296" s="184" t="s">
        <v>4024</v>
      </c>
      <c r="C296" s="127">
        <v>42901</v>
      </c>
      <c r="D296" s="184" t="s">
        <v>34</v>
      </c>
      <c r="E296" s="184" t="s">
        <v>598</v>
      </c>
      <c r="F296" s="185">
        <v>2500</v>
      </c>
      <c r="G296" s="184" t="s">
        <v>493</v>
      </c>
      <c r="H296" s="184" t="s">
        <v>598</v>
      </c>
      <c r="I296" s="185">
        <v>0</v>
      </c>
      <c r="J296" s="184" t="s">
        <v>598</v>
      </c>
      <c r="K296" s="127">
        <v>42900</v>
      </c>
      <c r="L296" s="184" t="s">
        <v>118</v>
      </c>
      <c r="M296" s="184" t="s">
        <v>77</v>
      </c>
      <c r="N296" s="184" t="s">
        <v>242</v>
      </c>
      <c r="O296" s="184" t="s">
        <v>598</v>
      </c>
      <c r="P296" s="184" t="s">
        <v>85</v>
      </c>
      <c r="Q296" s="184" t="s">
        <v>98</v>
      </c>
      <c r="R296" s="184" t="s">
        <v>598</v>
      </c>
      <c r="S296" s="172">
        <v>42996.326388888891</v>
      </c>
      <c r="T296" s="32" t="s">
        <v>552</v>
      </c>
    </row>
    <row r="297" spans="1:20">
      <c r="A297" s="184" t="s">
        <v>2430</v>
      </c>
      <c r="B297" s="184" t="s">
        <v>4025</v>
      </c>
      <c r="C297" s="127">
        <v>42901</v>
      </c>
      <c r="D297" s="184" t="s">
        <v>34</v>
      </c>
      <c r="E297" s="184" t="s">
        <v>598</v>
      </c>
      <c r="F297" s="185">
        <v>2500</v>
      </c>
      <c r="G297" s="184" t="s">
        <v>493</v>
      </c>
      <c r="H297" s="184" t="s">
        <v>598</v>
      </c>
      <c r="I297" s="185">
        <v>0</v>
      </c>
      <c r="J297" s="184" t="s">
        <v>598</v>
      </c>
      <c r="K297" s="127">
        <v>42900</v>
      </c>
      <c r="L297" s="184" t="s">
        <v>122</v>
      </c>
      <c r="M297" s="184" t="s">
        <v>77</v>
      </c>
      <c r="N297" s="184" t="s">
        <v>242</v>
      </c>
      <c r="O297" s="184" t="s">
        <v>598</v>
      </c>
      <c r="P297" s="184" t="s">
        <v>85</v>
      </c>
      <c r="Q297" s="184" t="s">
        <v>98</v>
      </c>
      <c r="R297" s="184" t="s">
        <v>598</v>
      </c>
      <c r="S297" s="172">
        <v>42996.326388888891</v>
      </c>
      <c r="T297" s="32" t="s">
        <v>552</v>
      </c>
    </row>
    <row r="298" spans="1:20">
      <c r="A298" s="184" t="s">
        <v>2436</v>
      </c>
      <c r="B298" s="184" t="s">
        <v>4026</v>
      </c>
      <c r="C298" s="127">
        <v>42909</v>
      </c>
      <c r="D298" s="184" t="s">
        <v>10</v>
      </c>
      <c r="E298" s="184" t="s">
        <v>598</v>
      </c>
      <c r="F298" s="185">
        <v>3000</v>
      </c>
      <c r="G298" s="184" t="s">
        <v>493</v>
      </c>
      <c r="H298" s="184" t="s">
        <v>598</v>
      </c>
      <c r="I298" s="185">
        <v>0</v>
      </c>
      <c r="J298" s="184" t="s">
        <v>598</v>
      </c>
      <c r="K298" s="127">
        <v>42909</v>
      </c>
      <c r="L298" s="184" t="s">
        <v>135</v>
      </c>
      <c r="M298" s="184" t="s">
        <v>77</v>
      </c>
      <c r="N298" s="184" t="s">
        <v>183</v>
      </c>
      <c r="O298" s="184" t="s">
        <v>598</v>
      </c>
      <c r="P298" s="184" t="s">
        <v>85</v>
      </c>
      <c r="Q298" s="184" t="s">
        <v>98</v>
      </c>
      <c r="R298" s="184" t="s">
        <v>598</v>
      </c>
      <c r="S298" s="172">
        <v>42996.326388888891</v>
      </c>
      <c r="T298" s="32" t="s">
        <v>552</v>
      </c>
    </row>
    <row r="299" spans="1:20">
      <c r="A299" s="184" t="s">
        <v>2440</v>
      </c>
      <c r="B299" s="184" t="s">
        <v>4027</v>
      </c>
      <c r="C299" s="127">
        <v>42894</v>
      </c>
      <c r="D299" s="184" t="s">
        <v>34</v>
      </c>
      <c r="E299" s="184" t="s">
        <v>598</v>
      </c>
      <c r="F299" s="185">
        <v>3000</v>
      </c>
      <c r="G299" s="184" t="s">
        <v>493</v>
      </c>
      <c r="H299" s="184" t="s">
        <v>598</v>
      </c>
      <c r="I299" s="185">
        <v>0</v>
      </c>
      <c r="J299" s="184" t="s">
        <v>598</v>
      </c>
      <c r="K299" s="127">
        <v>42894</v>
      </c>
      <c r="L299" s="184" t="s">
        <v>134</v>
      </c>
      <c r="M299" s="184" t="s">
        <v>551</v>
      </c>
      <c r="N299" s="184" t="s">
        <v>301</v>
      </c>
      <c r="O299" s="184" t="s">
        <v>598</v>
      </c>
      <c r="P299" s="184" t="s">
        <v>85</v>
      </c>
      <c r="Q299" s="184" t="s">
        <v>73</v>
      </c>
      <c r="R299" s="184" t="s">
        <v>598</v>
      </c>
      <c r="S299" s="172">
        <v>42996.326388888891</v>
      </c>
      <c r="T299" s="32" t="s">
        <v>552</v>
      </c>
    </row>
    <row r="300" spans="1:20">
      <c r="A300" s="184" t="s">
        <v>2442</v>
      </c>
      <c r="B300" s="184" t="s">
        <v>4028</v>
      </c>
      <c r="C300" s="127">
        <v>42888</v>
      </c>
      <c r="D300" s="184" t="s">
        <v>34</v>
      </c>
      <c r="E300" s="184" t="s">
        <v>598</v>
      </c>
      <c r="F300" s="185">
        <v>3500</v>
      </c>
      <c r="G300" s="184" t="s">
        <v>493</v>
      </c>
      <c r="H300" s="184" t="s">
        <v>598</v>
      </c>
      <c r="I300" s="185">
        <v>0</v>
      </c>
      <c r="J300" s="184" t="s">
        <v>598</v>
      </c>
      <c r="K300" s="127">
        <v>42887</v>
      </c>
      <c r="L300" s="184" t="s">
        <v>58</v>
      </c>
      <c r="M300" s="184" t="s">
        <v>551</v>
      </c>
      <c r="N300" s="184" t="s">
        <v>306</v>
      </c>
      <c r="O300" s="184" t="s">
        <v>598</v>
      </c>
      <c r="P300" s="184" t="s">
        <v>85</v>
      </c>
      <c r="Q300" s="184" t="s">
        <v>98</v>
      </c>
      <c r="R300" s="184" t="s">
        <v>598</v>
      </c>
      <c r="S300" s="172">
        <v>42996.326388888891</v>
      </c>
      <c r="T300" s="32" t="s">
        <v>552</v>
      </c>
    </row>
    <row r="301" spans="1:20">
      <c r="A301" s="184" t="s">
        <v>2448</v>
      </c>
      <c r="B301" s="184" t="s">
        <v>4029</v>
      </c>
      <c r="C301" s="127">
        <v>42899</v>
      </c>
      <c r="D301" s="184" t="s">
        <v>10</v>
      </c>
      <c r="E301" s="184" t="s">
        <v>598</v>
      </c>
      <c r="F301" s="185">
        <v>2000</v>
      </c>
      <c r="G301" s="184" t="s">
        <v>493</v>
      </c>
      <c r="H301" s="184" t="s">
        <v>598</v>
      </c>
      <c r="I301" s="185">
        <v>0</v>
      </c>
      <c r="J301" s="184" t="s">
        <v>598</v>
      </c>
      <c r="K301" s="127">
        <v>42884</v>
      </c>
      <c r="L301" s="184" t="s">
        <v>118</v>
      </c>
      <c r="M301" s="184" t="s">
        <v>551</v>
      </c>
      <c r="N301" s="184" t="s">
        <v>306</v>
      </c>
      <c r="O301" s="184" t="s">
        <v>598</v>
      </c>
      <c r="P301" s="184" t="s">
        <v>85</v>
      </c>
      <c r="Q301" s="184" t="s">
        <v>598</v>
      </c>
      <c r="R301" s="184" t="s">
        <v>598</v>
      </c>
      <c r="S301" s="172">
        <v>42996.326388888891</v>
      </c>
      <c r="T301" s="32" t="s">
        <v>552</v>
      </c>
    </row>
    <row r="302" spans="1:20">
      <c r="A302" s="184" t="s">
        <v>2450</v>
      </c>
      <c r="B302" s="184" t="s">
        <v>4030</v>
      </c>
      <c r="C302" s="127">
        <v>42899</v>
      </c>
      <c r="D302" s="184" t="s">
        <v>10</v>
      </c>
      <c r="E302" s="184" t="s">
        <v>598</v>
      </c>
      <c r="F302" s="185">
        <v>10000</v>
      </c>
      <c r="G302" s="184" t="s">
        <v>493</v>
      </c>
      <c r="H302" s="184" t="s">
        <v>598</v>
      </c>
      <c r="I302" s="185">
        <v>0</v>
      </c>
      <c r="J302" s="184" t="s">
        <v>598</v>
      </c>
      <c r="K302" s="127">
        <v>42884</v>
      </c>
      <c r="L302" s="184" t="s">
        <v>118</v>
      </c>
      <c r="M302" s="184" t="s">
        <v>551</v>
      </c>
      <c r="N302" s="184" t="s">
        <v>306</v>
      </c>
      <c r="O302" s="184" t="s">
        <v>598</v>
      </c>
      <c r="P302" s="184" t="s">
        <v>85</v>
      </c>
      <c r="Q302" s="184" t="s">
        <v>598</v>
      </c>
      <c r="R302" s="184" t="s">
        <v>598</v>
      </c>
      <c r="S302" s="172">
        <v>42996.326388888891</v>
      </c>
      <c r="T302" s="32" t="s">
        <v>552</v>
      </c>
    </row>
    <row r="303" spans="1:20">
      <c r="A303" s="184" t="s">
        <v>2504</v>
      </c>
      <c r="B303" s="184" t="s">
        <v>4031</v>
      </c>
      <c r="C303" s="127">
        <v>42893</v>
      </c>
      <c r="D303" s="184" t="s">
        <v>10</v>
      </c>
      <c r="E303" s="184" t="s">
        <v>598</v>
      </c>
      <c r="F303" s="185">
        <v>2700</v>
      </c>
      <c r="G303" s="184" t="s">
        <v>493</v>
      </c>
      <c r="H303" s="184" t="s">
        <v>598</v>
      </c>
      <c r="I303" s="185">
        <v>0</v>
      </c>
      <c r="J303" s="184" t="s">
        <v>598</v>
      </c>
      <c r="K303" s="127">
        <v>42733</v>
      </c>
      <c r="L303" s="184" t="s">
        <v>118</v>
      </c>
      <c r="M303" s="184" t="s">
        <v>551</v>
      </c>
      <c r="N303" s="184" t="s">
        <v>314</v>
      </c>
      <c r="O303" s="184" t="s">
        <v>598</v>
      </c>
      <c r="P303" s="184" t="s">
        <v>85</v>
      </c>
      <c r="Q303" s="184" t="s">
        <v>85</v>
      </c>
      <c r="R303" s="184" t="s">
        <v>598</v>
      </c>
      <c r="S303" s="172">
        <v>42996.326388888891</v>
      </c>
      <c r="T303" s="32" t="s">
        <v>552</v>
      </c>
    </row>
    <row r="304" spans="1:20">
      <c r="A304" s="184" t="s">
        <v>2508</v>
      </c>
      <c r="B304" s="184" t="s">
        <v>4032</v>
      </c>
      <c r="C304" s="127">
        <v>42909</v>
      </c>
      <c r="D304" s="184" t="s">
        <v>10</v>
      </c>
      <c r="E304" s="184" t="s">
        <v>598</v>
      </c>
      <c r="F304" s="185">
        <v>2375</v>
      </c>
      <c r="G304" s="184" t="s">
        <v>493</v>
      </c>
      <c r="H304" s="184">
        <v>2375</v>
      </c>
      <c r="I304" s="185">
        <v>0</v>
      </c>
      <c r="J304" s="184" t="s">
        <v>598</v>
      </c>
      <c r="K304" s="127">
        <v>42598</v>
      </c>
      <c r="L304" s="184" t="s">
        <v>598</v>
      </c>
      <c r="M304" s="184" t="s">
        <v>77</v>
      </c>
      <c r="N304" s="184" t="s">
        <v>183</v>
      </c>
      <c r="O304" s="184" t="s">
        <v>598</v>
      </c>
      <c r="P304" s="184" t="s">
        <v>85</v>
      </c>
      <c r="Q304" s="184" t="s">
        <v>85</v>
      </c>
      <c r="R304" s="184" t="s">
        <v>598</v>
      </c>
      <c r="S304" s="172">
        <v>42996.326388888891</v>
      </c>
      <c r="T304" s="32" t="s">
        <v>552</v>
      </c>
    </row>
    <row r="305" spans="1:20">
      <c r="A305" s="184" t="s">
        <v>2538</v>
      </c>
      <c r="B305" s="184" t="s">
        <v>4033</v>
      </c>
      <c r="C305" s="127">
        <v>42909</v>
      </c>
      <c r="D305" s="184" t="s">
        <v>10</v>
      </c>
      <c r="E305" s="184" t="s">
        <v>598</v>
      </c>
      <c r="F305" s="185">
        <v>3125</v>
      </c>
      <c r="G305" s="184" t="s">
        <v>493</v>
      </c>
      <c r="H305" s="184">
        <v>3125</v>
      </c>
      <c r="I305" s="185">
        <v>0</v>
      </c>
      <c r="J305" s="184" t="s">
        <v>598</v>
      </c>
      <c r="K305" s="127">
        <v>42682</v>
      </c>
      <c r="L305" s="184" t="s">
        <v>134</v>
      </c>
      <c r="M305" s="184" t="s">
        <v>77</v>
      </c>
      <c r="N305" s="184" t="s">
        <v>183</v>
      </c>
      <c r="O305" s="184" t="s">
        <v>598</v>
      </c>
      <c r="P305" s="184" t="s">
        <v>85</v>
      </c>
      <c r="Q305" s="184" t="s">
        <v>85</v>
      </c>
      <c r="R305" s="184" t="s">
        <v>598</v>
      </c>
      <c r="S305" s="172">
        <v>42996.326388888891</v>
      </c>
      <c r="T305" s="32" t="s">
        <v>552</v>
      </c>
    </row>
    <row r="306" spans="1:20">
      <c r="A306" s="184" t="s">
        <v>2553</v>
      </c>
      <c r="B306" s="184" t="s">
        <v>4034</v>
      </c>
      <c r="C306" s="127">
        <v>42909</v>
      </c>
      <c r="D306" s="184" t="s">
        <v>10</v>
      </c>
      <c r="E306" s="184" t="s">
        <v>598</v>
      </c>
      <c r="F306" s="185">
        <v>3000</v>
      </c>
      <c r="G306" s="184" t="s">
        <v>493</v>
      </c>
      <c r="H306" s="184">
        <v>3000</v>
      </c>
      <c r="I306" s="185">
        <v>0</v>
      </c>
      <c r="J306" s="184" t="s">
        <v>598</v>
      </c>
      <c r="K306" s="127">
        <v>42707</v>
      </c>
      <c r="L306" s="184" t="s">
        <v>134</v>
      </c>
      <c r="M306" s="184" t="s">
        <v>77</v>
      </c>
      <c r="N306" s="184" t="s">
        <v>183</v>
      </c>
      <c r="O306" s="184" t="s">
        <v>598</v>
      </c>
      <c r="P306" s="184" t="s">
        <v>85</v>
      </c>
      <c r="Q306" s="184" t="s">
        <v>85</v>
      </c>
      <c r="R306" s="184" t="s">
        <v>598</v>
      </c>
      <c r="S306" s="172">
        <v>42996.326388888891</v>
      </c>
      <c r="T306" s="32" t="s">
        <v>552</v>
      </c>
    </row>
    <row r="307" spans="1:20">
      <c r="A307" s="184" t="s">
        <v>2569</v>
      </c>
      <c r="B307" s="184" t="s">
        <v>4035</v>
      </c>
      <c r="C307" s="127">
        <v>42909</v>
      </c>
      <c r="D307" s="184" t="s">
        <v>10</v>
      </c>
      <c r="E307" s="184" t="s">
        <v>598</v>
      </c>
      <c r="F307" s="185">
        <v>3375</v>
      </c>
      <c r="G307" s="184" t="s">
        <v>493</v>
      </c>
      <c r="H307" s="184">
        <v>3375</v>
      </c>
      <c r="I307" s="185">
        <v>0</v>
      </c>
      <c r="J307" s="184" t="s">
        <v>598</v>
      </c>
      <c r="K307" s="127">
        <v>42741</v>
      </c>
      <c r="L307" s="184" t="s">
        <v>134</v>
      </c>
      <c r="M307" s="184" t="s">
        <v>77</v>
      </c>
      <c r="N307" s="184" t="s">
        <v>183</v>
      </c>
      <c r="O307" s="184" t="s">
        <v>598</v>
      </c>
      <c r="P307" s="184" t="s">
        <v>85</v>
      </c>
      <c r="Q307" s="184" t="s">
        <v>85</v>
      </c>
      <c r="R307" s="184" t="s">
        <v>598</v>
      </c>
      <c r="S307" s="172">
        <v>42996.326388888891</v>
      </c>
      <c r="T307" s="32" t="s">
        <v>552</v>
      </c>
    </row>
    <row r="308" spans="1:20">
      <c r="A308" s="184" t="s">
        <v>2571</v>
      </c>
      <c r="B308" s="184" t="s">
        <v>4036</v>
      </c>
      <c r="C308" s="127">
        <v>42909</v>
      </c>
      <c r="D308" s="184" t="s">
        <v>10</v>
      </c>
      <c r="E308" s="184" t="s">
        <v>598</v>
      </c>
      <c r="F308" s="185">
        <v>3875</v>
      </c>
      <c r="G308" s="184" t="s">
        <v>493</v>
      </c>
      <c r="H308" s="184">
        <v>3875</v>
      </c>
      <c r="I308" s="185">
        <v>0</v>
      </c>
      <c r="J308" s="184" t="s">
        <v>598</v>
      </c>
      <c r="K308" s="127">
        <v>42745</v>
      </c>
      <c r="L308" s="184" t="s">
        <v>118</v>
      </c>
      <c r="M308" s="184" t="s">
        <v>77</v>
      </c>
      <c r="N308" s="184" t="s">
        <v>183</v>
      </c>
      <c r="O308" s="184" t="s">
        <v>598</v>
      </c>
      <c r="P308" s="184" t="s">
        <v>85</v>
      </c>
      <c r="Q308" s="184" t="s">
        <v>85</v>
      </c>
      <c r="R308" s="184" t="s">
        <v>598</v>
      </c>
      <c r="S308" s="172">
        <v>42996.326388888891</v>
      </c>
      <c r="T308" s="32" t="s">
        <v>552</v>
      </c>
    </row>
    <row r="309" spans="1:20">
      <c r="A309" s="184" t="s">
        <v>2590</v>
      </c>
      <c r="B309" s="184" t="s">
        <v>4037</v>
      </c>
      <c r="C309" s="127">
        <v>42899</v>
      </c>
      <c r="D309" s="184" t="s">
        <v>10</v>
      </c>
      <c r="E309" s="184" t="s">
        <v>598</v>
      </c>
      <c r="F309" s="185">
        <v>6187</v>
      </c>
      <c r="G309" s="184" t="s">
        <v>493</v>
      </c>
      <c r="H309" s="184" t="s">
        <v>598</v>
      </c>
      <c r="I309" s="185">
        <v>0</v>
      </c>
      <c r="J309" s="184" t="s">
        <v>598</v>
      </c>
      <c r="K309" s="127">
        <v>42458</v>
      </c>
      <c r="L309" s="184" t="s">
        <v>48</v>
      </c>
      <c r="M309" s="184" t="s">
        <v>551</v>
      </c>
      <c r="N309" s="184" t="s">
        <v>315</v>
      </c>
      <c r="O309" s="184" t="s">
        <v>598</v>
      </c>
      <c r="P309" s="184" t="s">
        <v>85</v>
      </c>
      <c r="Q309" s="184" t="s">
        <v>73</v>
      </c>
      <c r="R309" s="184" t="s">
        <v>598</v>
      </c>
      <c r="S309" s="172">
        <v>42996.326388888891</v>
      </c>
      <c r="T309" s="32" t="s">
        <v>552</v>
      </c>
    </row>
    <row r="310" spans="1:20">
      <c r="A310" s="184" t="s">
        <v>2592</v>
      </c>
      <c r="B310" s="184" t="s">
        <v>4038</v>
      </c>
      <c r="C310" s="127">
        <v>42899</v>
      </c>
      <c r="D310" s="184" t="s">
        <v>10</v>
      </c>
      <c r="E310" s="184" t="s">
        <v>598</v>
      </c>
      <c r="F310" s="185">
        <v>9000</v>
      </c>
      <c r="G310" s="184" t="s">
        <v>493</v>
      </c>
      <c r="H310" s="184" t="s">
        <v>598</v>
      </c>
      <c r="I310" s="185">
        <v>0</v>
      </c>
      <c r="J310" s="184" t="s">
        <v>598</v>
      </c>
      <c r="K310" s="127">
        <v>42458</v>
      </c>
      <c r="L310" s="184" t="s">
        <v>48</v>
      </c>
      <c r="M310" s="184" t="s">
        <v>551</v>
      </c>
      <c r="N310" s="184" t="s">
        <v>315</v>
      </c>
      <c r="O310" s="184" t="s">
        <v>598</v>
      </c>
      <c r="P310" s="184" t="s">
        <v>85</v>
      </c>
      <c r="Q310" s="184" t="s">
        <v>85</v>
      </c>
      <c r="R310" s="184" t="s">
        <v>598</v>
      </c>
      <c r="S310" s="172">
        <v>42996.326388888891</v>
      </c>
      <c r="T310" s="32" t="s">
        <v>552</v>
      </c>
    </row>
    <row r="311" spans="1:20">
      <c r="A311" s="184" t="s">
        <v>2605</v>
      </c>
      <c r="B311" s="184" t="s">
        <v>4039</v>
      </c>
      <c r="C311" s="127">
        <v>42909</v>
      </c>
      <c r="D311" s="184" t="s">
        <v>10</v>
      </c>
      <c r="E311" s="184" t="s">
        <v>598</v>
      </c>
      <c r="F311" s="185">
        <v>3000</v>
      </c>
      <c r="G311" s="184" t="s">
        <v>493</v>
      </c>
      <c r="H311" s="184">
        <v>3000</v>
      </c>
      <c r="I311" s="185">
        <v>0</v>
      </c>
      <c r="J311" s="184" t="s">
        <v>598</v>
      </c>
      <c r="K311" s="127">
        <v>42556</v>
      </c>
      <c r="L311" s="184" t="s">
        <v>598</v>
      </c>
      <c r="M311" s="184" t="s">
        <v>77</v>
      </c>
      <c r="N311" s="184" t="s">
        <v>183</v>
      </c>
      <c r="O311" s="184" t="s">
        <v>598</v>
      </c>
      <c r="P311" s="184" t="s">
        <v>85</v>
      </c>
      <c r="Q311" s="184" t="s">
        <v>598</v>
      </c>
      <c r="R311" s="184" t="s">
        <v>598</v>
      </c>
      <c r="S311" s="172">
        <v>42996.326388888891</v>
      </c>
      <c r="T311" s="32" t="s">
        <v>552</v>
      </c>
    </row>
    <row r="312" spans="1:20">
      <c r="A312" s="184" t="s">
        <v>2607</v>
      </c>
      <c r="B312" s="184" t="s">
        <v>4040</v>
      </c>
      <c r="C312" s="127">
        <v>42909</v>
      </c>
      <c r="D312" s="184" t="s">
        <v>10</v>
      </c>
      <c r="E312" s="184" t="s">
        <v>598</v>
      </c>
      <c r="F312" s="185">
        <v>4625</v>
      </c>
      <c r="G312" s="184" t="s">
        <v>493</v>
      </c>
      <c r="H312" s="184">
        <v>4625</v>
      </c>
      <c r="I312" s="185">
        <v>0</v>
      </c>
      <c r="J312" s="184" t="s">
        <v>598</v>
      </c>
      <c r="K312" s="127">
        <v>42555</v>
      </c>
      <c r="L312" s="184" t="s">
        <v>134</v>
      </c>
      <c r="M312" s="184" t="s">
        <v>77</v>
      </c>
      <c r="N312" s="184" t="s">
        <v>183</v>
      </c>
      <c r="O312" s="184" t="s">
        <v>598</v>
      </c>
      <c r="P312" s="184" t="s">
        <v>85</v>
      </c>
      <c r="Q312" s="184" t="s">
        <v>598</v>
      </c>
      <c r="R312" s="184" t="s">
        <v>598</v>
      </c>
      <c r="S312" s="172">
        <v>42996.326388888891</v>
      </c>
      <c r="T312" s="32" t="s">
        <v>552</v>
      </c>
    </row>
    <row r="313" spans="1:20">
      <c r="A313" s="184" t="s">
        <v>2609</v>
      </c>
      <c r="B313" s="184" t="s">
        <v>4041</v>
      </c>
      <c r="C313" s="127">
        <v>42909</v>
      </c>
      <c r="D313" s="184" t="s">
        <v>10</v>
      </c>
      <c r="E313" s="184" t="s">
        <v>598</v>
      </c>
      <c r="F313" s="185">
        <v>2378</v>
      </c>
      <c r="G313" s="184" t="s">
        <v>493</v>
      </c>
      <c r="H313" s="184">
        <v>3000</v>
      </c>
      <c r="I313" s="185">
        <v>0</v>
      </c>
      <c r="J313" s="184" t="s">
        <v>598</v>
      </c>
      <c r="K313" s="127">
        <v>42545</v>
      </c>
      <c r="L313" s="184" t="s">
        <v>118</v>
      </c>
      <c r="M313" s="184" t="s">
        <v>77</v>
      </c>
      <c r="N313" s="184" t="s">
        <v>183</v>
      </c>
      <c r="O313" s="184" t="s">
        <v>598</v>
      </c>
      <c r="P313" s="184" t="s">
        <v>85</v>
      </c>
      <c r="Q313" s="184" t="s">
        <v>598</v>
      </c>
      <c r="R313" s="184" t="s">
        <v>598</v>
      </c>
      <c r="S313" s="172">
        <v>42996.326388888891</v>
      </c>
      <c r="T313" s="32" t="s">
        <v>552</v>
      </c>
    </row>
    <row r="314" spans="1:20">
      <c r="A314" s="184" t="s">
        <v>2636</v>
      </c>
      <c r="B314" s="184" t="s">
        <v>4042</v>
      </c>
      <c r="C314" s="127">
        <v>42903</v>
      </c>
      <c r="D314" s="184" t="s">
        <v>10</v>
      </c>
      <c r="E314" s="184" t="s">
        <v>598</v>
      </c>
      <c r="F314" s="185">
        <v>8325</v>
      </c>
      <c r="G314" s="184" t="s">
        <v>493</v>
      </c>
      <c r="H314" s="184" t="s">
        <v>598</v>
      </c>
      <c r="I314" s="185">
        <v>0</v>
      </c>
      <c r="J314" s="184" t="s">
        <v>598</v>
      </c>
      <c r="K314" s="127">
        <v>42871</v>
      </c>
      <c r="L314" s="184" t="s">
        <v>598</v>
      </c>
      <c r="M314" s="184" t="s">
        <v>70</v>
      </c>
      <c r="N314" s="184" t="s">
        <v>272</v>
      </c>
      <c r="O314" s="184" t="s">
        <v>598</v>
      </c>
      <c r="P314" s="184" t="s">
        <v>85</v>
      </c>
      <c r="Q314" s="184" t="s">
        <v>98</v>
      </c>
      <c r="R314" s="184" t="s">
        <v>598</v>
      </c>
      <c r="S314" s="172">
        <v>42996.326388888891</v>
      </c>
      <c r="T314" s="32" t="s">
        <v>552</v>
      </c>
    </row>
    <row r="315" spans="1:20">
      <c r="A315" s="184" t="s">
        <v>2638</v>
      </c>
      <c r="B315" s="184" t="s">
        <v>4043</v>
      </c>
      <c r="C315" s="127">
        <v>42903</v>
      </c>
      <c r="D315" s="184" t="s">
        <v>10</v>
      </c>
      <c r="E315" s="184" t="s">
        <v>598</v>
      </c>
      <c r="F315" s="185">
        <v>8775</v>
      </c>
      <c r="G315" s="184" t="s">
        <v>493</v>
      </c>
      <c r="H315" s="184" t="s">
        <v>598</v>
      </c>
      <c r="I315" s="185">
        <v>0</v>
      </c>
      <c r="J315" s="184" t="s">
        <v>598</v>
      </c>
      <c r="K315" s="127">
        <v>42871</v>
      </c>
      <c r="L315" s="184" t="s">
        <v>598</v>
      </c>
      <c r="M315" s="184" t="s">
        <v>70</v>
      </c>
      <c r="N315" s="184" t="s">
        <v>272</v>
      </c>
      <c r="O315" s="184" t="s">
        <v>598</v>
      </c>
      <c r="P315" s="184" t="s">
        <v>85</v>
      </c>
      <c r="Q315" s="184" t="s">
        <v>98</v>
      </c>
      <c r="R315" s="184" t="s">
        <v>598</v>
      </c>
      <c r="S315" s="172">
        <v>42996.326388888891</v>
      </c>
      <c r="T315" s="32" t="s">
        <v>552</v>
      </c>
    </row>
    <row r="316" spans="1:20">
      <c r="A316" s="184" t="s">
        <v>2642</v>
      </c>
      <c r="B316" s="184" t="s">
        <v>4044</v>
      </c>
      <c r="C316" s="127">
        <v>42903</v>
      </c>
      <c r="D316" s="184" t="s">
        <v>10</v>
      </c>
      <c r="E316" s="184" t="s">
        <v>598</v>
      </c>
      <c r="F316" s="185">
        <v>8775</v>
      </c>
      <c r="G316" s="184" t="s">
        <v>493</v>
      </c>
      <c r="H316" s="184" t="s">
        <v>598</v>
      </c>
      <c r="I316" s="185">
        <v>0</v>
      </c>
      <c r="J316" s="184" t="s">
        <v>598</v>
      </c>
      <c r="K316" s="127">
        <v>42871</v>
      </c>
      <c r="L316" s="184" t="s">
        <v>598</v>
      </c>
      <c r="M316" s="184" t="s">
        <v>70</v>
      </c>
      <c r="N316" s="184" t="s">
        <v>272</v>
      </c>
      <c r="O316" s="184" t="s">
        <v>598</v>
      </c>
      <c r="P316" s="184" t="s">
        <v>85</v>
      </c>
      <c r="Q316" s="184" t="s">
        <v>73</v>
      </c>
      <c r="R316" s="184" t="s">
        <v>598</v>
      </c>
      <c r="S316" s="172">
        <v>42996.326388888891</v>
      </c>
      <c r="T316" s="32" t="s">
        <v>552</v>
      </c>
    </row>
    <row r="317" spans="1:20">
      <c r="A317" s="184" t="s">
        <v>2644</v>
      </c>
      <c r="B317" s="184" t="s">
        <v>4045</v>
      </c>
      <c r="C317" s="127">
        <v>42903</v>
      </c>
      <c r="D317" s="184" t="s">
        <v>10</v>
      </c>
      <c r="E317" s="184" t="s">
        <v>598</v>
      </c>
      <c r="F317" s="185">
        <v>8775</v>
      </c>
      <c r="G317" s="184" t="s">
        <v>493</v>
      </c>
      <c r="H317" s="184" t="s">
        <v>598</v>
      </c>
      <c r="I317" s="185">
        <v>0</v>
      </c>
      <c r="J317" s="184" t="s">
        <v>598</v>
      </c>
      <c r="K317" s="127">
        <v>42871</v>
      </c>
      <c r="L317" s="184" t="s">
        <v>598</v>
      </c>
      <c r="M317" s="184" t="s">
        <v>70</v>
      </c>
      <c r="N317" s="184" t="s">
        <v>272</v>
      </c>
      <c r="O317" s="184" t="s">
        <v>598</v>
      </c>
      <c r="P317" s="184" t="s">
        <v>85</v>
      </c>
      <c r="Q317" s="184" t="s">
        <v>73</v>
      </c>
      <c r="R317" s="184" t="s">
        <v>598</v>
      </c>
      <c r="S317" s="172">
        <v>42996.326388888891</v>
      </c>
      <c r="T317" s="32" t="s">
        <v>552</v>
      </c>
    </row>
    <row r="318" spans="1:20">
      <c r="A318" s="184" t="s">
        <v>2648</v>
      </c>
      <c r="B318" s="184" t="s">
        <v>4046</v>
      </c>
      <c r="C318" s="127">
        <v>42909</v>
      </c>
      <c r="D318" s="184" t="s">
        <v>10</v>
      </c>
      <c r="E318" s="184" t="s">
        <v>598</v>
      </c>
      <c r="F318" s="185">
        <v>3000</v>
      </c>
      <c r="G318" s="184" t="s">
        <v>493</v>
      </c>
      <c r="H318" s="184">
        <v>3000</v>
      </c>
      <c r="I318" s="185">
        <v>0</v>
      </c>
      <c r="J318" s="184" t="s">
        <v>598</v>
      </c>
      <c r="K318" s="127">
        <v>42858</v>
      </c>
      <c r="L318" s="184" t="s">
        <v>132</v>
      </c>
      <c r="M318" s="184" t="s">
        <v>77</v>
      </c>
      <c r="N318" s="184" t="s">
        <v>183</v>
      </c>
      <c r="O318" s="184" t="s">
        <v>598</v>
      </c>
      <c r="P318" s="184" t="s">
        <v>85</v>
      </c>
      <c r="Q318" s="184" t="s">
        <v>98</v>
      </c>
      <c r="R318" s="184" t="s">
        <v>598</v>
      </c>
      <c r="S318" s="172">
        <v>42996.326388888891</v>
      </c>
      <c r="T318" s="32" t="s">
        <v>552</v>
      </c>
    </row>
    <row r="319" spans="1:20">
      <c r="A319" s="184" t="s">
        <v>2650</v>
      </c>
      <c r="B319" s="184" t="s">
        <v>4047</v>
      </c>
      <c r="C319" s="127">
        <v>42909</v>
      </c>
      <c r="D319" s="184" t="s">
        <v>10</v>
      </c>
      <c r="E319" s="184" t="s">
        <v>598</v>
      </c>
      <c r="F319" s="185">
        <v>3000</v>
      </c>
      <c r="G319" s="184" t="s">
        <v>493</v>
      </c>
      <c r="H319" s="184">
        <v>3000</v>
      </c>
      <c r="I319" s="185">
        <v>0</v>
      </c>
      <c r="J319" s="184" t="s">
        <v>598</v>
      </c>
      <c r="K319" s="127">
        <v>42858</v>
      </c>
      <c r="L319" s="184" t="s">
        <v>132</v>
      </c>
      <c r="M319" s="184" t="s">
        <v>77</v>
      </c>
      <c r="N319" s="184" t="s">
        <v>183</v>
      </c>
      <c r="O319" s="184" t="s">
        <v>598</v>
      </c>
      <c r="P319" s="184" t="s">
        <v>85</v>
      </c>
      <c r="Q319" s="184" t="s">
        <v>98</v>
      </c>
      <c r="R319" s="184" t="s">
        <v>598</v>
      </c>
      <c r="S319" s="172">
        <v>42996.326388888891</v>
      </c>
      <c r="T319" s="32" t="s">
        <v>552</v>
      </c>
    </row>
    <row r="320" spans="1:20">
      <c r="A320" s="184" t="s">
        <v>2653</v>
      </c>
      <c r="B320" s="184" t="s">
        <v>4048</v>
      </c>
      <c r="C320" s="127">
        <v>42909</v>
      </c>
      <c r="D320" s="184" t="s">
        <v>10</v>
      </c>
      <c r="E320" s="184" t="s">
        <v>598</v>
      </c>
      <c r="F320" s="185">
        <v>1000</v>
      </c>
      <c r="G320" s="184" t="s">
        <v>493</v>
      </c>
      <c r="H320" s="184">
        <v>1000</v>
      </c>
      <c r="I320" s="185">
        <v>0</v>
      </c>
      <c r="J320" s="184" t="s">
        <v>598</v>
      </c>
      <c r="K320" s="127">
        <v>42868</v>
      </c>
      <c r="L320" s="184" t="s">
        <v>83</v>
      </c>
      <c r="M320" s="184" t="s">
        <v>77</v>
      </c>
      <c r="N320" s="184" t="s">
        <v>183</v>
      </c>
      <c r="O320" s="184" t="s">
        <v>598</v>
      </c>
      <c r="P320" s="184" t="s">
        <v>85</v>
      </c>
      <c r="Q320" s="184" t="s">
        <v>85</v>
      </c>
      <c r="R320" s="184" t="s">
        <v>598</v>
      </c>
      <c r="S320" s="172">
        <v>42996.326388888891</v>
      </c>
      <c r="T320" s="32" t="s">
        <v>552</v>
      </c>
    </row>
    <row r="321" spans="1:20">
      <c r="A321" s="184" t="s">
        <v>2655</v>
      </c>
      <c r="B321" s="184" t="s">
        <v>4049</v>
      </c>
      <c r="C321" s="127">
        <v>42887</v>
      </c>
      <c r="D321" s="184" t="s">
        <v>10</v>
      </c>
      <c r="E321" s="184" t="s">
        <v>598</v>
      </c>
      <c r="F321" s="185">
        <v>2625</v>
      </c>
      <c r="G321" s="184" t="s">
        <v>493</v>
      </c>
      <c r="H321" s="184" t="s">
        <v>598</v>
      </c>
      <c r="I321" s="185">
        <v>0</v>
      </c>
      <c r="J321" s="184" t="s">
        <v>598</v>
      </c>
      <c r="K321" s="127">
        <v>42871</v>
      </c>
      <c r="L321" s="184" t="s">
        <v>598</v>
      </c>
      <c r="M321" s="184" t="s">
        <v>77</v>
      </c>
      <c r="N321" s="184" t="s">
        <v>183</v>
      </c>
      <c r="O321" s="184" t="s">
        <v>598</v>
      </c>
      <c r="P321" s="184" t="s">
        <v>85</v>
      </c>
      <c r="Q321" s="184" t="s">
        <v>85</v>
      </c>
      <c r="R321" s="184" t="s">
        <v>598</v>
      </c>
      <c r="S321" s="172">
        <v>42996.326388888891</v>
      </c>
      <c r="T321" s="32" t="s">
        <v>552</v>
      </c>
    </row>
    <row r="322" spans="1:20">
      <c r="A322" s="184" t="s">
        <v>2663</v>
      </c>
      <c r="B322" s="184" t="s">
        <v>4050</v>
      </c>
      <c r="C322" s="127">
        <v>42909</v>
      </c>
      <c r="D322" s="184" t="s">
        <v>10</v>
      </c>
      <c r="E322" s="184" t="s">
        <v>598</v>
      </c>
      <c r="F322" s="185">
        <v>2875</v>
      </c>
      <c r="G322" s="184" t="s">
        <v>493</v>
      </c>
      <c r="H322" s="184">
        <v>2875</v>
      </c>
      <c r="I322" s="185">
        <v>0</v>
      </c>
      <c r="J322" s="184" t="s">
        <v>598</v>
      </c>
      <c r="K322" s="127">
        <v>42874</v>
      </c>
      <c r="L322" s="184" t="s">
        <v>134</v>
      </c>
      <c r="M322" s="184" t="s">
        <v>77</v>
      </c>
      <c r="N322" s="184" t="s">
        <v>183</v>
      </c>
      <c r="O322" s="184" t="s">
        <v>598</v>
      </c>
      <c r="P322" s="184" t="s">
        <v>85</v>
      </c>
      <c r="Q322" s="184" t="s">
        <v>85</v>
      </c>
      <c r="R322" s="184" t="s">
        <v>598</v>
      </c>
      <c r="S322" s="172">
        <v>42996.326388888891</v>
      </c>
      <c r="T322" s="32" t="s">
        <v>552</v>
      </c>
    </row>
    <row r="323" spans="1:20">
      <c r="A323" s="184" t="s">
        <v>2990</v>
      </c>
      <c r="B323" s="184" t="s">
        <v>4051</v>
      </c>
      <c r="C323" s="127">
        <v>42895</v>
      </c>
      <c r="D323" s="184" t="s">
        <v>10</v>
      </c>
      <c r="E323" s="184" t="s">
        <v>598</v>
      </c>
      <c r="F323" s="185">
        <v>10000</v>
      </c>
      <c r="G323" s="184" t="s">
        <v>493</v>
      </c>
      <c r="H323" s="184">
        <v>3813</v>
      </c>
      <c r="I323" s="185">
        <v>17000</v>
      </c>
      <c r="J323" s="184" t="s">
        <v>598</v>
      </c>
      <c r="K323" s="127">
        <v>42802</v>
      </c>
      <c r="L323" s="184" t="s">
        <v>598</v>
      </c>
      <c r="M323" s="184" t="s">
        <v>102</v>
      </c>
      <c r="N323" s="184" t="s">
        <v>169</v>
      </c>
      <c r="O323" s="184" t="s">
        <v>598</v>
      </c>
      <c r="P323" s="184" t="s">
        <v>63</v>
      </c>
      <c r="Q323" s="184" t="s">
        <v>598</v>
      </c>
      <c r="R323" s="184" t="s">
        <v>598</v>
      </c>
      <c r="S323" s="172">
        <v>42996.326388888891</v>
      </c>
      <c r="T323" s="32" t="s">
        <v>552</v>
      </c>
    </row>
    <row r="324" spans="1:20">
      <c r="A324" s="184" t="s">
        <v>2992</v>
      </c>
      <c r="B324" s="184" t="s">
        <v>4052</v>
      </c>
      <c r="C324" s="127">
        <v>42895</v>
      </c>
      <c r="D324" s="184" t="s">
        <v>10</v>
      </c>
      <c r="E324" s="184" t="s">
        <v>598</v>
      </c>
      <c r="F324" s="185">
        <v>10000</v>
      </c>
      <c r="G324" s="184" t="s">
        <v>493</v>
      </c>
      <c r="H324" s="184">
        <v>3813</v>
      </c>
      <c r="I324" s="185">
        <v>17000</v>
      </c>
      <c r="J324" s="184" t="s">
        <v>598</v>
      </c>
      <c r="K324" s="127">
        <v>42802</v>
      </c>
      <c r="L324" s="184" t="s">
        <v>598</v>
      </c>
      <c r="M324" s="184" t="s">
        <v>102</v>
      </c>
      <c r="N324" s="184" t="s">
        <v>169</v>
      </c>
      <c r="O324" s="184" t="s">
        <v>598</v>
      </c>
      <c r="P324" s="184" t="s">
        <v>63</v>
      </c>
      <c r="Q324" s="184" t="s">
        <v>598</v>
      </c>
      <c r="R324" s="184" t="s">
        <v>598</v>
      </c>
      <c r="S324" s="172">
        <v>42996.326388888891</v>
      </c>
      <c r="T324" s="32" t="s">
        <v>552</v>
      </c>
    </row>
    <row r="325" spans="1:20">
      <c r="A325" s="184" t="s">
        <v>2993</v>
      </c>
      <c r="B325" s="184" t="s">
        <v>4053</v>
      </c>
      <c r="C325" s="127">
        <v>42895</v>
      </c>
      <c r="D325" s="184" t="s">
        <v>10</v>
      </c>
      <c r="E325" s="184" t="s">
        <v>598</v>
      </c>
      <c r="F325" s="185">
        <v>10000</v>
      </c>
      <c r="G325" s="184" t="s">
        <v>493</v>
      </c>
      <c r="H325" s="184">
        <v>3813</v>
      </c>
      <c r="I325" s="185">
        <v>16000</v>
      </c>
      <c r="J325" s="184" t="s">
        <v>598</v>
      </c>
      <c r="K325" s="127">
        <v>42802</v>
      </c>
      <c r="L325" s="184" t="s">
        <v>598</v>
      </c>
      <c r="M325" s="184" t="s">
        <v>102</v>
      </c>
      <c r="N325" s="184" t="s">
        <v>169</v>
      </c>
      <c r="O325" s="184" t="s">
        <v>598</v>
      </c>
      <c r="P325" s="184" t="s">
        <v>63</v>
      </c>
      <c r="Q325" s="184" t="s">
        <v>598</v>
      </c>
      <c r="R325" s="184" t="s">
        <v>598</v>
      </c>
      <c r="S325" s="172">
        <v>42996.326388888891</v>
      </c>
      <c r="T325" s="32" t="s">
        <v>552</v>
      </c>
    </row>
    <row r="326" spans="1:20">
      <c r="A326" s="184" t="s">
        <v>2994</v>
      </c>
      <c r="B326" s="184" t="s">
        <v>4054</v>
      </c>
      <c r="C326" s="127">
        <v>42895</v>
      </c>
      <c r="D326" s="184" t="s">
        <v>10</v>
      </c>
      <c r="E326" s="184" t="s">
        <v>598</v>
      </c>
      <c r="F326" s="185">
        <v>10000</v>
      </c>
      <c r="G326" s="184" t="s">
        <v>493</v>
      </c>
      <c r="H326" s="184">
        <v>3811</v>
      </c>
      <c r="I326" s="185">
        <v>15000</v>
      </c>
      <c r="J326" s="184" t="s">
        <v>598</v>
      </c>
      <c r="K326" s="127">
        <v>42805</v>
      </c>
      <c r="L326" s="184" t="s">
        <v>598</v>
      </c>
      <c r="M326" s="184" t="s">
        <v>102</v>
      </c>
      <c r="N326" s="184" t="s">
        <v>233</v>
      </c>
      <c r="O326" s="184" t="s">
        <v>598</v>
      </c>
      <c r="P326" s="184" t="s">
        <v>63</v>
      </c>
      <c r="Q326" s="184" t="s">
        <v>63</v>
      </c>
      <c r="R326" s="184" t="s">
        <v>598</v>
      </c>
      <c r="S326" s="172">
        <v>42996.326388888891</v>
      </c>
      <c r="T326" s="32" t="s">
        <v>552</v>
      </c>
    </row>
    <row r="327" spans="1:20">
      <c r="A327" s="184" t="s">
        <v>3017</v>
      </c>
      <c r="B327" s="184" t="s">
        <v>4055</v>
      </c>
      <c r="C327" s="127">
        <v>42877</v>
      </c>
      <c r="D327" s="184" t="s">
        <v>34</v>
      </c>
      <c r="E327" s="184" t="s">
        <v>598</v>
      </c>
      <c r="F327" s="185">
        <v>17500</v>
      </c>
      <c r="G327" s="184" t="s">
        <v>493</v>
      </c>
      <c r="H327" s="184" t="s">
        <v>598</v>
      </c>
      <c r="I327" s="185">
        <v>0</v>
      </c>
      <c r="J327" s="184" t="s">
        <v>598</v>
      </c>
      <c r="K327" s="127">
        <v>42872</v>
      </c>
      <c r="L327" s="184" t="s">
        <v>598</v>
      </c>
      <c r="M327" s="184" t="s">
        <v>38</v>
      </c>
      <c r="N327" s="184" t="s">
        <v>352</v>
      </c>
      <c r="O327" s="184" t="s">
        <v>598</v>
      </c>
      <c r="P327" s="184" t="s">
        <v>63</v>
      </c>
      <c r="Q327" s="184" t="s">
        <v>1479</v>
      </c>
      <c r="R327" s="184" t="s">
        <v>598</v>
      </c>
      <c r="S327" s="172">
        <v>42996.326388888891</v>
      </c>
      <c r="T327" s="32" t="s">
        <v>552</v>
      </c>
    </row>
    <row r="328" spans="1:20">
      <c r="A328" s="184" t="s">
        <v>3019</v>
      </c>
      <c r="B328" s="184" t="s">
        <v>4056</v>
      </c>
      <c r="C328" s="127">
        <v>42877</v>
      </c>
      <c r="D328" s="184" t="s">
        <v>34</v>
      </c>
      <c r="E328" s="184" t="s">
        <v>598</v>
      </c>
      <c r="F328" s="185">
        <v>17500</v>
      </c>
      <c r="G328" s="184" t="s">
        <v>493</v>
      </c>
      <c r="H328" s="184" t="s">
        <v>598</v>
      </c>
      <c r="I328" s="185">
        <v>0</v>
      </c>
      <c r="J328" s="184" t="s">
        <v>598</v>
      </c>
      <c r="K328" s="127">
        <v>42872</v>
      </c>
      <c r="L328" s="184" t="s">
        <v>598</v>
      </c>
      <c r="M328" s="184" t="s">
        <v>38</v>
      </c>
      <c r="N328" s="184" t="s">
        <v>352</v>
      </c>
      <c r="O328" s="184" t="s">
        <v>598</v>
      </c>
      <c r="P328" s="184" t="s">
        <v>63</v>
      </c>
      <c r="Q328" s="184" t="s">
        <v>3021</v>
      </c>
      <c r="R328" s="184" t="s">
        <v>598</v>
      </c>
      <c r="S328" s="172">
        <v>42996.326388888891</v>
      </c>
      <c r="T328" s="32" t="s">
        <v>552</v>
      </c>
    </row>
    <row r="329" spans="1:20">
      <c r="A329" s="184" t="s">
        <v>3022</v>
      </c>
      <c r="B329" s="184" t="s">
        <v>4057</v>
      </c>
      <c r="C329" s="127">
        <v>42858</v>
      </c>
      <c r="D329" s="184" t="s">
        <v>10</v>
      </c>
      <c r="E329" s="184" t="s">
        <v>598</v>
      </c>
      <c r="F329" s="185">
        <v>5000</v>
      </c>
      <c r="G329" s="184" t="s">
        <v>493</v>
      </c>
      <c r="H329" s="184" t="s">
        <v>598</v>
      </c>
      <c r="I329" s="185">
        <v>0</v>
      </c>
      <c r="J329" s="184" t="s">
        <v>598</v>
      </c>
      <c r="K329" s="127">
        <v>42839</v>
      </c>
      <c r="L329" s="184" t="s">
        <v>598</v>
      </c>
      <c r="M329" s="184" t="s">
        <v>38</v>
      </c>
      <c r="N329" s="184" t="s">
        <v>354</v>
      </c>
      <c r="O329" s="184" t="s">
        <v>598</v>
      </c>
      <c r="P329" s="184" t="s">
        <v>63</v>
      </c>
      <c r="Q329" s="184" t="s">
        <v>86</v>
      </c>
      <c r="R329" s="184" t="s">
        <v>598</v>
      </c>
      <c r="S329" s="172">
        <v>42996.326388888891</v>
      </c>
      <c r="T329" s="32" t="s">
        <v>552</v>
      </c>
    </row>
    <row r="330" spans="1:20">
      <c r="A330" s="184" t="s">
        <v>3024</v>
      </c>
      <c r="B330" s="184" t="s">
        <v>4058</v>
      </c>
      <c r="C330" s="127">
        <v>42858</v>
      </c>
      <c r="D330" s="184" t="s">
        <v>10</v>
      </c>
      <c r="E330" s="184" t="s">
        <v>598</v>
      </c>
      <c r="F330" s="185">
        <v>5000</v>
      </c>
      <c r="G330" s="184" t="s">
        <v>493</v>
      </c>
      <c r="H330" s="184" t="s">
        <v>598</v>
      </c>
      <c r="I330" s="185">
        <v>0</v>
      </c>
      <c r="J330" s="184" t="s">
        <v>598</v>
      </c>
      <c r="K330" s="127">
        <v>42839</v>
      </c>
      <c r="L330" s="184" t="s">
        <v>598</v>
      </c>
      <c r="M330" s="184" t="s">
        <v>38</v>
      </c>
      <c r="N330" s="184" t="s">
        <v>354</v>
      </c>
      <c r="O330" s="184" t="s">
        <v>598</v>
      </c>
      <c r="P330" s="184" t="s">
        <v>63</v>
      </c>
      <c r="Q330" s="184" t="s">
        <v>86</v>
      </c>
      <c r="R330" s="184" t="s">
        <v>598</v>
      </c>
      <c r="S330" s="172">
        <v>42996.326388888891</v>
      </c>
      <c r="T330" s="32" t="s">
        <v>552</v>
      </c>
    </row>
    <row r="331" spans="1:20">
      <c r="A331" s="184" t="s">
        <v>3026</v>
      </c>
      <c r="B331" s="184" t="s">
        <v>4059</v>
      </c>
      <c r="C331" s="127">
        <v>42858</v>
      </c>
      <c r="D331" s="184" t="s">
        <v>10</v>
      </c>
      <c r="E331" s="184" t="s">
        <v>598</v>
      </c>
      <c r="F331" s="185">
        <v>5000</v>
      </c>
      <c r="G331" s="184" t="s">
        <v>493</v>
      </c>
      <c r="H331" s="184" t="s">
        <v>598</v>
      </c>
      <c r="I331" s="185">
        <v>0</v>
      </c>
      <c r="J331" s="184" t="s">
        <v>598</v>
      </c>
      <c r="K331" s="127">
        <v>42839</v>
      </c>
      <c r="L331" s="184" t="s">
        <v>598</v>
      </c>
      <c r="M331" s="184" t="s">
        <v>38</v>
      </c>
      <c r="N331" s="184" t="s">
        <v>354</v>
      </c>
      <c r="O331" s="184" t="s">
        <v>598</v>
      </c>
      <c r="P331" s="184" t="s">
        <v>63</v>
      </c>
      <c r="Q331" s="184" t="s">
        <v>86</v>
      </c>
      <c r="R331" s="184" t="s">
        <v>598</v>
      </c>
      <c r="S331" s="172">
        <v>42996.326388888891</v>
      </c>
      <c r="T331" s="32" t="s">
        <v>552</v>
      </c>
    </row>
    <row r="332" spans="1:20">
      <c r="A332" s="184" t="s">
        <v>3028</v>
      </c>
      <c r="B332" s="184" t="s">
        <v>4060</v>
      </c>
      <c r="C332" s="127">
        <v>42877</v>
      </c>
      <c r="D332" s="184" t="s">
        <v>10</v>
      </c>
      <c r="E332" s="184" t="s">
        <v>598</v>
      </c>
      <c r="F332" s="185">
        <v>2700</v>
      </c>
      <c r="G332" s="184" t="s">
        <v>493</v>
      </c>
      <c r="H332" s="184" t="s">
        <v>598</v>
      </c>
      <c r="I332" s="185">
        <v>0</v>
      </c>
      <c r="J332" s="184" t="s">
        <v>598</v>
      </c>
      <c r="K332" s="127">
        <v>42856</v>
      </c>
      <c r="L332" s="184" t="s">
        <v>598</v>
      </c>
      <c r="M332" s="184" t="s">
        <v>38</v>
      </c>
      <c r="N332" s="184" t="s">
        <v>354</v>
      </c>
      <c r="O332" s="184" t="s">
        <v>598</v>
      </c>
      <c r="P332" s="184" t="s">
        <v>63</v>
      </c>
      <c r="Q332" s="184" t="s">
        <v>598</v>
      </c>
      <c r="R332" s="184" t="s">
        <v>598</v>
      </c>
      <c r="S332" s="172">
        <v>42996.326388888891</v>
      </c>
      <c r="T332" s="32" t="s">
        <v>552</v>
      </c>
    </row>
    <row r="333" spans="1:20">
      <c r="A333" s="184" t="s">
        <v>3030</v>
      </c>
      <c r="B333" s="184" t="s">
        <v>4061</v>
      </c>
      <c r="C333" s="127">
        <v>42863</v>
      </c>
      <c r="D333" s="184" t="s">
        <v>10</v>
      </c>
      <c r="E333" s="184" t="s">
        <v>598</v>
      </c>
      <c r="F333" s="185">
        <v>4500</v>
      </c>
      <c r="G333" s="184" t="s">
        <v>493</v>
      </c>
      <c r="H333" s="184" t="s">
        <v>3032</v>
      </c>
      <c r="I333" s="185">
        <v>4000</v>
      </c>
      <c r="J333" s="184" t="s">
        <v>598</v>
      </c>
      <c r="K333" s="127">
        <v>42739</v>
      </c>
      <c r="L333" s="184" t="s">
        <v>598</v>
      </c>
      <c r="M333" s="184" t="s">
        <v>38</v>
      </c>
      <c r="N333" s="184" t="s">
        <v>442</v>
      </c>
      <c r="O333" s="184" t="s">
        <v>598</v>
      </c>
      <c r="P333" s="184" t="s">
        <v>63</v>
      </c>
      <c r="Q333" s="184" t="s">
        <v>86</v>
      </c>
      <c r="R333" s="184" t="s">
        <v>598</v>
      </c>
      <c r="S333" s="172">
        <v>42996.326388888891</v>
      </c>
      <c r="T333" s="32" t="s">
        <v>552</v>
      </c>
    </row>
    <row r="334" spans="1:20">
      <c r="A334" s="184" t="s">
        <v>3033</v>
      </c>
      <c r="B334" s="184" t="s">
        <v>4062</v>
      </c>
      <c r="C334" s="127">
        <v>42860</v>
      </c>
      <c r="D334" s="184" t="s">
        <v>10</v>
      </c>
      <c r="E334" s="184" t="s">
        <v>598</v>
      </c>
      <c r="F334" s="185">
        <v>9000</v>
      </c>
      <c r="G334" s="184" t="s">
        <v>493</v>
      </c>
      <c r="H334" s="184" t="s">
        <v>598</v>
      </c>
      <c r="I334" s="185">
        <v>0</v>
      </c>
      <c r="J334" s="184" t="s">
        <v>598</v>
      </c>
      <c r="K334" s="127">
        <v>42738</v>
      </c>
      <c r="L334" s="184" t="s">
        <v>598</v>
      </c>
      <c r="M334" s="184" t="s">
        <v>38</v>
      </c>
      <c r="N334" s="184" t="s">
        <v>239</v>
      </c>
      <c r="O334" s="184" t="s">
        <v>598</v>
      </c>
      <c r="P334" s="184" t="s">
        <v>63</v>
      </c>
      <c r="Q334" s="184" t="s">
        <v>86</v>
      </c>
      <c r="R334" s="184" t="s">
        <v>598</v>
      </c>
      <c r="S334" s="172">
        <v>42996.326388888891</v>
      </c>
      <c r="T334" s="32" t="s">
        <v>552</v>
      </c>
    </row>
    <row r="335" spans="1:20">
      <c r="A335" s="184" t="s">
        <v>3035</v>
      </c>
      <c r="B335" s="184" t="s">
        <v>4063</v>
      </c>
      <c r="C335" s="127">
        <v>42860</v>
      </c>
      <c r="D335" s="184" t="s">
        <v>10</v>
      </c>
      <c r="E335" s="184" t="s">
        <v>598</v>
      </c>
      <c r="F335" s="185">
        <v>4500</v>
      </c>
      <c r="G335" s="184" t="s">
        <v>493</v>
      </c>
      <c r="H335" s="184" t="s">
        <v>598</v>
      </c>
      <c r="I335" s="185">
        <v>0</v>
      </c>
      <c r="J335" s="184" t="s">
        <v>598</v>
      </c>
      <c r="K335" s="127">
        <v>42738</v>
      </c>
      <c r="L335" s="184" t="s">
        <v>598</v>
      </c>
      <c r="M335" s="184" t="s">
        <v>38</v>
      </c>
      <c r="N335" s="184" t="s">
        <v>239</v>
      </c>
      <c r="O335" s="184" t="s">
        <v>598</v>
      </c>
      <c r="P335" s="184" t="s">
        <v>63</v>
      </c>
      <c r="Q335" s="184" t="s">
        <v>86</v>
      </c>
      <c r="R335" s="184" t="s">
        <v>598</v>
      </c>
      <c r="S335" s="172">
        <v>42996.326388888891</v>
      </c>
      <c r="T335" s="32" t="s">
        <v>552</v>
      </c>
    </row>
    <row r="336" spans="1:20">
      <c r="A336" s="184" t="s">
        <v>3037</v>
      </c>
      <c r="B336" s="184" t="s">
        <v>4064</v>
      </c>
      <c r="C336" s="127">
        <v>42860</v>
      </c>
      <c r="D336" s="184" t="s">
        <v>10</v>
      </c>
      <c r="E336" s="184" t="s">
        <v>598</v>
      </c>
      <c r="F336" s="185">
        <v>6750</v>
      </c>
      <c r="G336" s="184" t="s">
        <v>493</v>
      </c>
      <c r="H336" s="184" t="s">
        <v>598</v>
      </c>
      <c r="I336" s="185">
        <v>0</v>
      </c>
      <c r="J336" s="184" t="s">
        <v>598</v>
      </c>
      <c r="K336" s="127">
        <v>42738</v>
      </c>
      <c r="L336" s="184" t="s">
        <v>598</v>
      </c>
      <c r="M336" s="184" t="s">
        <v>38</v>
      </c>
      <c r="N336" s="184" t="s">
        <v>239</v>
      </c>
      <c r="O336" s="184" t="s">
        <v>598</v>
      </c>
      <c r="P336" s="184" t="s">
        <v>63</v>
      </c>
      <c r="Q336" s="184" t="s">
        <v>86</v>
      </c>
      <c r="R336" s="184" t="s">
        <v>598</v>
      </c>
      <c r="S336" s="172">
        <v>42996.326388888891</v>
      </c>
      <c r="T336" s="32" t="s">
        <v>552</v>
      </c>
    </row>
    <row r="337" spans="1:20">
      <c r="A337" s="184" t="s">
        <v>3039</v>
      </c>
      <c r="B337" s="184" t="s">
        <v>4065</v>
      </c>
      <c r="C337" s="127">
        <v>42860</v>
      </c>
      <c r="D337" s="184" t="s">
        <v>10</v>
      </c>
      <c r="E337" s="184" t="s">
        <v>598</v>
      </c>
      <c r="F337" s="185">
        <v>9000</v>
      </c>
      <c r="G337" s="184" t="s">
        <v>493</v>
      </c>
      <c r="H337" s="184" t="s">
        <v>598</v>
      </c>
      <c r="I337" s="185">
        <v>0</v>
      </c>
      <c r="J337" s="184" t="s">
        <v>598</v>
      </c>
      <c r="K337" s="127">
        <v>42738</v>
      </c>
      <c r="L337" s="184" t="s">
        <v>598</v>
      </c>
      <c r="M337" s="184" t="s">
        <v>38</v>
      </c>
      <c r="N337" s="184" t="s">
        <v>239</v>
      </c>
      <c r="O337" s="184" t="s">
        <v>598</v>
      </c>
      <c r="P337" s="184" t="s">
        <v>63</v>
      </c>
      <c r="Q337" s="184" t="s">
        <v>86</v>
      </c>
      <c r="R337" s="184" t="s">
        <v>598</v>
      </c>
      <c r="S337" s="172">
        <v>42996.326388888891</v>
      </c>
      <c r="T337" s="32" t="s">
        <v>552</v>
      </c>
    </row>
    <row r="338" spans="1:20">
      <c r="A338" s="184" t="s">
        <v>3041</v>
      </c>
      <c r="B338" s="184" t="s">
        <v>4066</v>
      </c>
      <c r="C338" s="127">
        <v>42873</v>
      </c>
      <c r="D338" s="184" t="s">
        <v>10</v>
      </c>
      <c r="E338" s="184" t="s">
        <v>598</v>
      </c>
      <c r="F338" s="185">
        <v>9000</v>
      </c>
      <c r="G338" s="184" t="s">
        <v>493</v>
      </c>
      <c r="H338" s="184" t="s">
        <v>598</v>
      </c>
      <c r="I338" s="185">
        <v>0</v>
      </c>
      <c r="J338" s="184" t="s">
        <v>598</v>
      </c>
      <c r="K338" s="127">
        <v>42762</v>
      </c>
      <c r="L338" s="184" t="s">
        <v>598</v>
      </c>
      <c r="M338" s="184" t="s">
        <v>38</v>
      </c>
      <c r="N338" s="184" t="s">
        <v>598</v>
      </c>
      <c r="O338" s="184" t="s">
        <v>598</v>
      </c>
      <c r="P338" s="184" t="s">
        <v>63</v>
      </c>
      <c r="Q338" s="184" t="s">
        <v>63</v>
      </c>
      <c r="R338" s="184" t="s">
        <v>598</v>
      </c>
      <c r="S338" s="172">
        <v>42996.326388888891</v>
      </c>
      <c r="T338" s="32" t="s">
        <v>552</v>
      </c>
    </row>
    <row r="339" spans="1:20">
      <c r="A339" s="184" t="s">
        <v>3043</v>
      </c>
      <c r="B339" s="184" t="s">
        <v>4067</v>
      </c>
      <c r="C339" s="127">
        <v>42860</v>
      </c>
      <c r="D339" s="184" t="s">
        <v>10</v>
      </c>
      <c r="E339" s="184" t="s">
        <v>598</v>
      </c>
      <c r="F339" s="185">
        <v>4500</v>
      </c>
      <c r="G339" s="184" t="s">
        <v>493</v>
      </c>
      <c r="H339" s="184" t="s">
        <v>598</v>
      </c>
      <c r="I339" s="185">
        <v>0</v>
      </c>
      <c r="J339" s="184" t="s">
        <v>598</v>
      </c>
      <c r="K339" s="127">
        <v>42802</v>
      </c>
      <c r="L339" s="184" t="s">
        <v>118</v>
      </c>
      <c r="M339" s="184" t="s">
        <v>38</v>
      </c>
      <c r="N339" s="184" t="s">
        <v>354</v>
      </c>
      <c r="O339" s="184" t="s">
        <v>598</v>
      </c>
      <c r="P339" s="184" t="s">
        <v>63</v>
      </c>
      <c r="Q339" s="184" t="s">
        <v>86</v>
      </c>
      <c r="R339" s="184" t="s">
        <v>598</v>
      </c>
      <c r="S339" s="172">
        <v>42996.326388888891</v>
      </c>
      <c r="T339" s="32" t="s">
        <v>552</v>
      </c>
    </row>
    <row r="340" spans="1:20">
      <c r="A340" s="184" t="s">
        <v>3045</v>
      </c>
      <c r="B340" s="184" t="s">
        <v>4068</v>
      </c>
      <c r="C340" s="127">
        <v>42860</v>
      </c>
      <c r="D340" s="184" t="s">
        <v>10</v>
      </c>
      <c r="E340" s="184" t="s">
        <v>598</v>
      </c>
      <c r="F340" s="185">
        <v>9000</v>
      </c>
      <c r="G340" s="184" t="s">
        <v>493</v>
      </c>
      <c r="H340" s="184" t="s">
        <v>598</v>
      </c>
      <c r="I340" s="185">
        <v>0</v>
      </c>
      <c r="J340" s="184" t="s">
        <v>598</v>
      </c>
      <c r="K340" s="127">
        <v>42802</v>
      </c>
      <c r="L340" s="184" t="s">
        <v>598</v>
      </c>
      <c r="M340" s="184" t="s">
        <v>38</v>
      </c>
      <c r="N340" s="184" t="s">
        <v>354</v>
      </c>
      <c r="O340" s="184" t="s">
        <v>598</v>
      </c>
      <c r="P340" s="184" t="s">
        <v>63</v>
      </c>
      <c r="Q340" s="184" t="s">
        <v>86</v>
      </c>
      <c r="R340" s="184" t="s">
        <v>598</v>
      </c>
      <c r="S340" s="172">
        <v>42996.326388888891</v>
      </c>
      <c r="T340" s="32" t="s">
        <v>552</v>
      </c>
    </row>
    <row r="341" spans="1:20">
      <c r="A341" s="184" t="s">
        <v>3047</v>
      </c>
      <c r="B341" s="184" t="s">
        <v>4069</v>
      </c>
      <c r="C341" s="127">
        <v>42860</v>
      </c>
      <c r="D341" s="184" t="s">
        <v>10</v>
      </c>
      <c r="E341" s="184" t="s">
        <v>598</v>
      </c>
      <c r="F341" s="185">
        <v>4500</v>
      </c>
      <c r="G341" s="184" t="s">
        <v>493</v>
      </c>
      <c r="H341" s="184" t="s">
        <v>598</v>
      </c>
      <c r="I341" s="185">
        <v>0</v>
      </c>
      <c r="J341" s="184" t="s">
        <v>598</v>
      </c>
      <c r="K341" s="127">
        <v>42802</v>
      </c>
      <c r="L341" s="184" t="s">
        <v>598</v>
      </c>
      <c r="M341" s="184" t="s">
        <v>38</v>
      </c>
      <c r="N341" s="184" t="s">
        <v>354</v>
      </c>
      <c r="O341" s="184" t="s">
        <v>598</v>
      </c>
      <c r="P341" s="184" t="s">
        <v>63</v>
      </c>
      <c r="Q341" s="184" t="s">
        <v>86</v>
      </c>
      <c r="R341" s="184" t="s">
        <v>598</v>
      </c>
      <c r="S341" s="172">
        <v>42996.326388888891</v>
      </c>
      <c r="T341" s="32" t="s">
        <v>552</v>
      </c>
    </row>
    <row r="342" spans="1:20">
      <c r="A342" s="184" t="s">
        <v>3049</v>
      </c>
      <c r="B342" s="184" t="s">
        <v>4070</v>
      </c>
      <c r="C342" s="127">
        <v>42860</v>
      </c>
      <c r="D342" s="184" t="s">
        <v>10</v>
      </c>
      <c r="E342" s="184" t="s">
        <v>598</v>
      </c>
      <c r="F342" s="185">
        <v>7200</v>
      </c>
      <c r="G342" s="184" t="s">
        <v>493</v>
      </c>
      <c r="H342" s="184" t="s">
        <v>598</v>
      </c>
      <c r="I342" s="185">
        <v>0</v>
      </c>
      <c r="J342" s="184" t="s">
        <v>598</v>
      </c>
      <c r="K342" s="127">
        <v>42802</v>
      </c>
      <c r="L342" s="184" t="s">
        <v>598</v>
      </c>
      <c r="M342" s="184" t="s">
        <v>38</v>
      </c>
      <c r="N342" s="184" t="s">
        <v>354</v>
      </c>
      <c r="O342" s="184" t="s">
        <v>598</v>
      </c>
      <c r="P342" s="184" t="s">
        <v>63</v>
      </c>
      <c r="Q342" s="184" t="s">
        <v>86</v>
      </c>
      <c r="R342" s="184" t="s">
        <v>598</v>
      </c>
      <c r="S342" s="172">
        <v>42996.326388888891</v>
      </c>
      <c r="T342" s="32" t="s">
        <v>552</v>
      </c>
    </row>
    <row r="343" spans="1:20">
      <c r="A343" s="184" t="s">
        <v>3050</v>
      </c>
      <c r="B343" s="184" t="s">
        <v>4071</v>
      </c>
      <c r="C343" s="127">
        <v>42860</v>
      </c>
      <c r="D343" s="184" t="s">
        <v>10</v>
      </c>
      <c r="E343" s="184" t="s">
        <v>598</v>
      </c>
      <c r="F343" s="185">
        <v>4500</v>
      </c>
      <c r="G343" s="184" t="s">
        <v>493</v>
      </c>
      <c r="H343" s="184" t="s">
        <v>598</v>
      </c>
      <c r="I343" s="185">
        <v>0</v>
      </c>
      <c r="J343" s="184" t="s">
        <v>598</v>
      </c>
      <c r="K343" s="127">
        <v>42802</v>
      </c>
      <c r="L343" s="184" t="s">
        <v>598</v>
      </c>
      <c r="M343" s="184" t="s">
        <v>38</v>
      </c>
      <c r="N343" s="184" t="s">
        <v>354</v>
      </c>
      <c r="O343" s="184" t="s">
        <v>598</v>
      </c>
      <c r="P343" s="184" t="s">
        <v>63</v>
      </c>
      <c r="Q343" s="184" t="s">
        <v>86</v>
      </c>
      <c r="R343" s="184" t="s">
        <v>598</v>
      </c>
      <c r="S343" s="172">
        <v>42996.326388888891</v>
      </c>
      <c r="T343" s="32" t="s">
        <v>552</v>
      </c>
    </row>
    <row r="344" spans="1:20">
      <c r="A344" s="184" t="s">
        <v>3052</v>
      </c>
      <c r="B344" s="184" t="s">
        <v>4072</v>
      </c>
      <c r="C344" s="127">
        <v>42859</v>
      </c>
      <c r="D344" s="184" t="s">
        <v>10</v>
      </c>
      <c r="E344" s="184" t="s">
        <v>598</v>
      </c>
      <c r="F344" s="185">
        <v>6000</v>
      </c>
      <c r="G344" s="184" t="s">
        <v>493</v>
      </c>
      <c r="H344" s="184" t="s">
        <v>3054</v>
      </c>
      <c r="I344" s="185">
        <v>10000</v>
      </c>
      <c r="J344" s="184" t="s">
        <v>598</v>
      </c>
      <c r="K344" s="127">
        <v>42804</v>
      </c>
      <c r="L344" s="184" t="s">
        <v>598</v>
      </c>
      <c r="M344" s="184" t="s">
        <v>38</v>
      </c>
      <c r="N344" s="184" t="s">
        <v>598</v>
      </c>
      <c r="O344" s="184" t="s">
        <v>598</v>
      </c>
      <c r="P344" s="184" t="s">
        <v>63</v>
      </c>
      <c r="Q344" s="184" t="s">
        <v>63</v>
      </c>
      <c r="R344" s="184" t="s">
        <v>598</v>
      </c>
      <c r="S344" s="172">
        <v>42996.326388888891</v>
      </c>
      <c r="T344" s="32" t="s">
        <v>552</v>
      </c>
    </row>
    <row r="345" spans="1:20">
      <c r="A345" s="184" t="s">
        <v>3055</v>
      </c>
      <c r="B345" s="184" t="s">
        <v>4073</v>
      </c>
      <c r="C345" s="127">
        <v>42859</v>
      </c>
      <c r="D345" s="184" t="s">
        <v>10</v>
      </c>
      <c r="E345" s="184" t="s">
        <v>598</v>
      </c>
      <c r="F345" s="185">
        <v>4500</v>
      </c>
      <c r="G345" s="184" t="s">
        <v>493</v>
      </c>
      <c r="H345" s="184" t="s">
        <v>598</v>
      </c>
      <c r="I345" s="185">
        <v>0</v>
      </c>
      <c r="J345" s="184" t="s">
        <v>598</v>
      </c>
      <c r="K345" s="127">
        <v>42807</v>
      </c>
      <c r="L345" s="184" t="s">
        <v>598</v>
      </c>
      <c r="M345" s="184" t="s">
        <v>38</v>
      </c>
      <c r="N345" s="184" t="s">
        <v>354</v>
      </c>
      <c r="O345" s="184" t="s">
        <v>598</v>
      </c>
      <c r="P345" s="184" t="s">
        <v>63</v>
      </c>
      <c r="Q345" s="184" t="s">
        <v>598</v>
      </c>
      <c r="R345" s="184" t="s">
        <v>598</v>
      </c>
      <c r="S345" s="172">
        <v>42996.326388888891</v>
      </c>
      <c r="T345" s="32" t="s">
        <v>552</v>
      </c>
    </row>
    <row r="346" spans="1:20">
      <c r="A346" s="184" t="s">
        <v>3057</v>
      </c>
      <c r="B346" s="184" t="s">
        <v>4074</v>
      </c>
      <c r="C346" s="127">
        <v>42859</v>
      </c>
      <c r="D346" s="184" t="s">
        <v>10</v>
      </c>
      <c r="E346" s="184" t="s">
        <v>598</v>
      </c>
      <c r="F346" s="185">
        <v>1500</v>
      </c>
      <c r="G346" s="184" t="s">
        <v>485</v>
      </c>
      <c r="H346" s="184" t="s">
        <v>598</v>
      </c>
      <c r="I346" s="185">
        <v>0</v>
      </c>
      <c r="J346" s="184" t="s">
        <v>598</v>
      </c>
      <c r="K346" s="127">
        <v>42807</v>
      </c>
      <c r="L346" s="184" t="s">
        <v>598</v>
      </c>
      <c r="M346" s="184" t="s">
        <v>38</v>
      </c>
      <c r="N346" s="184" t="s">
        <v>354</v>
      </c>
      <c r="O346" s="184" t="s">
        <v>598</v>
      </c>
      <c r="P346" s="184" t="s">
        <v>63</v>
      </c>
      <c r="Q346" s="184" t="s">
        <v>598</v>
      </c>
      <c r="R346" s="184" t="s">
        <v>598</v>
      </c>
      <c r="S346" s="172">
        <v>42996.326388888891</v>
      </c>
      <c r="T346" s="32" t="s">
        <v>552</v>
      </c>
    </row>
    <row r="347" spans="1:20">
      <c r="A347" s="184" t="s">
        <v>3059</v>
      </c>
      <c r="B347" s="184" t="s">
        <v>4075</v>
      </c>
      <c r="C347" s="127">
        <v>42860</v>
      </c>
      <c r="D347" s="184" t="s">
        <v>10</v>
      </c>
      <c r="E347" s="184" t="s">
        <v>598</v>
      </c>
      <c r="F347" s="185">
        <v>4500</v>
      </c>
      <c r="G347" s="184" t="s">
        <v>493</v>
      </c>
      <c r="H347" s="184" t="s">
        <v>3061</v>
      </c>
      <c r="I347" s="185">
        <v>5000</v>
      </c>
      <c r="J347" s="184" t="s">
        <v>598</v>
      </c>
      <c r="K347" s="127">
        <v>42808</v>
      </c>
      <c r="L347" s="184" t="s">
        <v>598</v>
      </c>
      <c r="M347" s="184" t="s">
        <v>38</v>
      </c>
      <c r="N347" s="184" t="s">
        <v>354</v>
      </c>
      <c r="O347" s="184" t="s">
        <v>598</v>
      </c>
      <c r="P347" s="184" t="s">
        <v>63</v>
      </c>
      <c r="Q347" s="184" t="s">
        <v>598</v>
      </c>
      <c r="R347" s="184" t="s">
        <v>598</v>
      </c>
      <c r="S347" s="172">
        <v>42996.326388888891</v>
      </c>
      <c r="T347" s="32" t="s">
        <v>552</v>
      </c>
    </row>
    <row r="348" spans="1:20">
      <c r="A348" s="184" t="s">
        <v>3062</v>
      </c>
      <c r="B348" s="184" t="s">
        <v>4076</v>
      </c>
      <c r="C348" s="127">
        <v>42864</v>
      </c>
      <c r="D348" s="184" t="s">
        <v>10</v>
      </c>
      <c r="E348" s="184" t="s">
        <v>598</v>
      </c>
      <c r="F348" s="185">
        <v>4500</v>
      </c>
      <c r="G348" s="184" t="s">
        <v>493</v>
      </c>
      <c r="H348" s="184" t="s">
        <v>598</v>
      </c>
      <c r="I348" s="185">
        <v>0</v>
      </c>
      <c r="J348" s="184" t="s">
        <v>598</v>
      </c>
      <c r="K348" s="127">
        <v>42813</v>
      </c>
      <c r="L348" s="184" t="s">
        <v>598</v>
      </c>
      <c r="M348" s="184" t="s">
        <v>38</v>
      </c>
      <c r="N348" s="184" t="s">
        <v>354</v>
      </c>
      <c r="O348" s="184" t="s">
        <v>598</v>
      </c>
      <c r="P348" s="184" t="s">
        <v>63</v>
      </c>
      <c r="Q348" s="184" t="s">
        <v>598</v>
      </c>
      <c r="R348" s="184" t="s">
        <v>598</v>
      </c>
      <c r="S348" s="172">
        <v>42996.326388888891</v>
      </c>
      <c r="T348" s="32" t="s">
        <v>552</v>
      </c>
    </row>
    <row r="349" spans="1:20">
      <c r="A349" s="184" t="s">
        <v>3064</v>
      </c>
      <c r="B349" s="184" t="s">
        <v>4077</v>
      </c>
      <c r="C349" s="127">
        <v>42864</v>
      </c>
      <c r="D349" s="184" t="s">
        <v>10</v>
      </c>
      <c r="E349" s="184" t="s">
        <v>598</v>
      </c>
      <c r="F349" s="185">
        <v>4500</v>
      </c>
      <c r="G349" s="184" t="s">
        <v>493</v>
      </c>
      <c r="H349" s="184" t="s">
        <v>598</v>
      </c>
      <c r="I349" s="185">
        <v>0</v>
      </c>
      <c r="J349" s="184" t="s">
        <v>598</v>
      </c>
      <c r="K349" s="127">
        <v>42813</v>
      </c>
      <c r="L349" s="184" t="s">
        <v>598</v>
      </c>
      <c r="M349" s="184" t="s">
        <v>38</v>
      </c>
      <c r="N349" s="184" t="s">
        <v>354</v>
      </c>
      <c r="O349" s="184" t="s">
        <v>598</v>
      </c>
      <c r="P349" s="184" t="s">
        <v>63</v>
      </c>
      <c r="Q349" s="184" t="s">
        <v>86</v>
      </c>
      <c r="R349" s="184" t="s">
        <v>598</v>
      </c>
      <c r="S349" s="172">
        <v>42996.326388888891</v>
      </c>
      <c r="T349" s="32" t="s">
        <v>552</v>
      </c>
    </row>
    <row r="350" spans="1:20">
      <c r="A350" s="184" t="s">
        <v>3066</v>
      </c>
      <c r="B350" s="184" t="s">
        <v>4078</v>
      </c>
      <c r="C350" s="127">
        <v>42860</v>
      </c>
      <c r="D350" s="184" t="s">
        <v>10</v>
      </c>
      <c r="E350" s="184" t="s">
        <v>598</v>
      </c>
      <c r="F350" s="185">
        <v>2250</v>
      </c>
      <c r="G350" s="184" t="s">
        <v>493</v>
      </c>
      <c r="H350" s="184" t="s">
        <v>598</v>
      </c>
      <c r="I350" s="185">
        <v>0</v>
      </c>
      <c r="J350" s="184" t="s">
        <v>598</v>
      </c>
      <c r="K350" s="127">
        <v>42813</v>
      </c>
      <c r="L350" s="184" t="s">
        <v>598</v>
      </c>
      <c r="M350" s="184" t="s">
        <v>38</v>
      </c>
      <c r="N350" s="184" t="s">
        <v>354</v>
      </c>
      <c r="O350" s="184" t="s">
        <v>598</v>
      </c>
      <c r="P350" s="184" t="s">
        <v>63</v>
      </c>
      <c r="Q350" s="184" t="s">
        <v>86</v>
      </c>
      <c r="R350" s="184" t="s">
        <v>598</v>
      </c>
      <c r="S350" s="172">
        <v>42996.326388888891</v>
      </c>
      <c r="T350" s="32" t="s">
        <v>552</v>
      </c>
    </row>
    <row r="351" spans="1:20">
      <c r="A351" s="184" t="s">
        <v>3068</v>
      </c>
      <c r="B351" s="184" t="s">
        <v>4079</v>
      </c>
      <c r="C351" s="127">
        <v>42860</v>
      </c>
      <c r="D351" s="184" t="s">
        <v>10</v>
      </c>
      <c r="E351" s="184" t="s">
        <v>598</v>
      </c>
      <c r="F351" s="185">
        <v>2250</v>
      </c>
      <c r="G351" s="184" t="s">
        <v>493</v>
      </c>
      <c r="H351" s="184" t="s">
        <v>598</v>
      </c>
      <c r="I351" s="185">
        <v>0</v>
      </c>
      <c r="J351" s="184" t="s">
        <v>598</v>
      </c>
      <c r="K351" s="127">
        <v>42813</v>
      </c>
      <c r="L351" s="184" t="s">
        <v>598</v>
      </c>
      <c r="M351" s="184" t="s">
        <v>38</v>
      </c>
      <c r="N351" s="184" t="s">
        <v>354</v>
      </c>
      <c r="O351" s="184" t="s">
        <v>598</v>
      </c>
      <c r="P351" s="184" t="s">
        <v>63</v>
      </c>
      <c r="Q351" s="184" t="s">
        <v>86</v>
      </c>
      <c r="R351" s="184" t="s">
        <v>598</v>
      </c>
      <c r="S351" s="172">
        <v>42996.326388888891</v>
      </c>
      <c r="T351" s="32" t="s">
        <v>552</v>
      </c>
    </row>
    <row r="352" spans="1:20">
      <c r="A352" s="184" t="s">
        <v>3070</v>
      </c>
      <c r="B352" s="184" t="s">
        <v>4080</v>
      </c>
      <c r="C352" s="127">
        <v>42860</v>
      </c>
      <c r="D352" s="184" t="s">
        <v>10</v>
      </c>
      <c r="E352" s="184" t="s">
        <v>598</v>
      </c>
      <c r="F352" s="185">
        <v>2250</v>
      </c>
      <c r="G352" s="184" t="s">
        <v>493</v>
      </c>
      <c r="H352" s="184" t="s">
        <v>598</v>
      </c>
      <c r="I352" s="185">
        <v>0</v>
      </c>
      <c r="J352" s="184" t="s">
        <v>598</v>
      </c>
      <c r="K352" s="127">
        <v>42813</v>
      </c>
      <c r="L352" s="184" t="s">
        <v>598</v>
      </c>
      <c r="M352" s="184" t="s">
        <v>38</v>
      </c>
      <c r="N352" s="184" t="s">
        <v>354</v>
      </c>
      <c r="O352" s="184" t="s">
        <v>598</v>
      </c>
      <c r="P352" s="184" t="s">
        <v>63</v>
      </c>
      <c r="Q352" s="184" t="s">
        <v>86</v>
      </c>
      <c r="R352" s="184" t="s">
        <v>598</v>
      </c>
      <c r="S352" s="172">
        <v>42996.326388888891</v>
      </c>
      <c r="T352" s="32" t="s">
        <v>552</v>
      </c>
    </row>
    <row r="353" spans="1:20">
      <c r="A353" s="184" t="s">
        <v>3071</v>
      </c>
      <c r="B353" s="184" t="s">
        <v>4081</v>
      </c>
      <c r="C353" s="127">
        <v>42864</v>
      </c>
      <c r="D353" s="184" t="s">
        <v>10</v>
      </c>
      <c r="E353" s="184" t="s">
        <v>598</v>
      </c>
      <c r="F353" s="185">
        <v>4500</v>
      </c>
      <c r="G353" s="184" t="s">
        <v>493</v>
      </c>
      <c r="H353" s="184" t="s">
        <v>598</v>
      </c>
      <c r="I353" s="185">
        <v>0</v>
      </c>
      <c r="J353" s="184" t="s">
        <v>598</v>
      </c>
      <c r="K353" s="127">
        <v>42818</v>
      </c>
      <c r="L353" s="184" t="s">
        <v>598</v>
      </c>
      <c r="M353" s="184" t="s">
        <v>38</v>
      </c>
      <c r="N353" s="184" t="s">
        <v>354</v>
      </c>
      <c r="O353" s="184" t="s">
        <v>598</v>
      </c>
      <c r="P353" s="184" t="s">
        <v>63</v>
      </c>
      <c r="Q353" s="184" t="s">
        <v>2984</v>
      </c>
      <c r="R353" s="184" t="s">
        <v>598</v>
      </c>
      <c r="S353" s="172">
        <v>42996.326388888891</v>
      </c>
      <c r="T353" s="32" t="s">
        <v>552</v>
      </c>
    </row>
    <row r="354" spans="1:20">
      <c r="A354" s="184" t="s">
        <v>3072</v>
      </c>
      <c r="B354" s="184" t="s">
        <v>4082</v>
      </c>
      <c r="C354" s="127">
        <v>42864</v>
      </c>
      <c r="D354" s="184" t="s">
        <v>10</v>
      </c>
      <c r="E354" s="184" t="s">
        <v>598</v>
      </c>
      <c r="F354" s="185">
        <v>9000</v>
      </c>
      <c r="G354" s="184" t="s">
        <v>493</v>
      </c>
      <c r="H354" s="184" t="s">
        <v>598</v>
      </c>
      <c r="I354" s="185">
        <v>0</v>
      </c>
      <c r="J354" s="184" t="s">
        <v>598</v>
      </c>
      <c r="K354" s="127">
        <v>42822</v>
      </c>
      <c r="L354" s="184" t="s">
        <v>598</v>
      </c>
      <c r="M354" s="184" t="s">
        <v>38</v>
      </c>
      <c r="N354" s="184" t="s">
        <v>354</v>
      </c>
      <c r="O354" s="184" t="s">
        <v>598</v>
      </c>
      <c r="P354" s="184" t="s">
        <v>63</v>
      </c>
      <c r="Q354" s="184" t="s">
        <v>598</v>
      </c>
      <c r="R354" s="184" t="s">
        <v>598</v>
      </c>
      <c r="S354" s="172">
        <v>42996.326388888891</v>
      </c>
      <c r="T354" s="32" t="s">
        <v>552</v>
      </c>
    </row>
    <row r="355" spans="1:20">
      <c r="A355" s="184" t="s">
        <v>3074</v>
      </c>
      <c r="B355" s="184" t="s">
        <v>4083</v>
      </c>
      <c r="C355" s="127">
        <v>42873</v>
      </c>
      <c r="D355" s="184" t="s">
        <v>3077</v>
      </c>
      <c r="E355" s="184" t="s">
        <v>598</v>
      </c>
      <c r="F355" s="185">
        <v>15000</v>
      </c>
      <c r="G355" s="184" t="s">
        <v>493</v>
      </c>
      <c r="H355" s="184" t="s">
        <v>598</v>
      </c>
      <c r="I355" s="185">
        <v>0</v>
      </c>
      <c r="J355" s="184" t="s">
        <v>598</v>
      </c>
      <c r="K355" s="127">
        <v>42868</v>
      </c>
      <c r="L355" s="184" t="s">
        <v>598</v>
      </c>
      <c r="M355" s="184" t="s">
        <v>49</v>
      </c>
      <c r="N355" s="184" t="s">
        <v>3076</v>
      </c>
      <c r="O355" s="184" t="s">
        <v>598</v>
      </c>
      <c r="P355" s="184" t="s">
        <v>79</v>
      </c>
      <c r="Q355" s="184" t="s">
        <v>112</v>
      </c>
      <c r="R355" s="184" t="s">
        <v>598</v>
      </c>
      <c r="S355" s="172">
        <v>42996.326388888891</v>
      </c>
      <c r="T355" s="32" t="s">
        <v>552</v>
      </c>
    </row>
    <row r="356" spans="1:20">
      <c r="A356" s="184" t="s">
        <v>3078</v>
      </c>
      <c r="B356" s="184" t="s">
        <v>4084</v>
      </c>
      <c r="C356" s="127">
        <v>42879</v>
      </c>
      <c r="D356" s="184" t="s">
        <v>10</v>
      </c>
      <c r="E356" s="184" t="s">
        <v>598</v>
      </c>
      <c r="F356" s="185">
        <v>2000</v>
      </c>
      <c r="G356" s="184" t="s">
        <v>493</v>
      </c>
      <c r="H356" s="184" t="s">
        <v>598</v>
      </c>
      <c r="I356" s="185">
        <v>0</v>
      </c>
      <c r="J356" s="184" t="s">
        <v>598</v>
      </c>
      <c r="K356" s="127">
        <v>42872</v>
      </c>
      <c r="L356" s="184" t="s">
        <v>134</v>
      </c>
      <c r="M356" s="184" t="s">
        <v>49</v>
      </c>
      <c r="N356" s="184" t="s">
        <v>1449</v>
      </c>
      <c r="O356" s="184" t="s">
        <v>29</v>
      </c>
      <c r="P356" s="184" t="s">
        <v>79</v>
      </c>
      <c r="Q356" s="184" t="s">
        <v>112</v>
      </c>
      <c r="R356" s="184" t="s">
        <v>598</v>
      </c>
      <c r="S356" s="172">
        <v>42996.326388888891</v>
      </c>
      <c r="T356" s="32" t="s">
        <v>552</v>
      </c>
    </row>
    <row r="357" spans="1:20">
      <c r="A357" s="184" t="s">
        <v>3080</v>
      </c>
      <c r="B357" s="184" t="s">
        <v>4085</v>
      </c>
      <c r="C357" s="127">
        <v>42885</v>
      </c>
      <c r="D357" s="184" t="s">
        <v>10</v>
      </c>
      <c r="E357" s="184" t="s">
        <v>598</v>
      </c>
      <c r="F357" s="185">
        <v>2500</v>
      </c>
      <c r="G357" s="184" t="s">
        <v>493</v>
      </c>
      <c r="H357" s="184" t="s">
        <v>598</v>
      </c>
      <c r="I357" s="185">
        <v>0</v>
      </c>
      <c r="J357" s="184" t="s">
        <v>598</v>
      </c>
      <c r="K357" s="127">
        <v>42878</v>
      </c>
      <c r="L357" s="184" t="s">
        <v>134</v>
      </c>
      <c r="M357" s="184" t="s">
        <v>49</v>
      </c>
      <c r="N357" s="184" t="s">
        <v>1449</v>
      </c>
      <c r="O357" s="184" t="s">
        <v>29</v>
      </c>
      <c r="P357" s="184" t="s">
        <v>79</v>
      </c>
      <c r="Q357" s="184" t="s">
        <v>112</v>
      </c>
      <c r="R357" s="184" t="s">
        <v>598</v>
      </c>
      <c r="S357" s="172">
        <v>42996.326388888891</v>
      </c>
      <c r="T357" s="32" t="s">
        <v>552</v>
      </c>
    </row>
    <row r="358" spans="1:20">
      <c r="A358" s="184" t="s">
        <v>3082</v>
      </c>
      <c r="B358" s="184" t="s">
        <v>4086</v>
      </c>
      <c r="C358" s="127">
        <v>42885</v>
      </c>
      <c r="D358" s="184" t="s">
        <v>10</v>
      </c>
      <c r="E358" s="184" t="s">
        <v>598</v>
      </c>
      <c r="F358" s="185">
        <v>2500</v>
      </c>
      <c r="G358" s="184" t="s">
        <v>493</v>
      </c>
      <c r="H358" s="184" t="s">
        <v>598</v>
      </c>
      <c r="I358" s="185">
        <v>0</v>
      </c>
      <c r="J358" s="184" t="s">
        <v>598</v>
      </c>
      <c r="K358" s="127">
        <v>42878</v>
      </c>
      <c r="L358" s="184" t="s">
        <v>134</v>
      </c>
      <c r="M358" s="184" t="s">
        <v>49</v>
      </c>
      <c r="N358" s="184" t="s">
        <v>1449</v>
      </c>
      <c r="O358" s="184" t="s">
        <v>29</v>
      </c>
      <c r="P358" s="184" t="s">
        <v>79</v>
      </c>
      <c r="Q358" s="184" t="s">
        <v>112</v>
      </c>
      <c r="R358" s="184" t="s">
        <v>598</v>
      </c>
      <c r="S358" s="172">
        <v>42996.326388888891</v>
      </c>
      <c r="T358" s="32" t="s">
        <v>552</v>
      </c>
    </row>
    <row r="359" spans="1:20">
      <c r="A359" s="184" t="s">
        <v>3084</v>
      </c>
      <c r="B359" s="184" t="s">
        <v>4087</v>
      </c>
      <c r="C359" s="127">
        <v>42885</v>
      </c>
      <c r="D359" s="184" t="s">
        <v>10</v>
      </c>
      <c r="E359" s="184" t="s">
        <v>598</v>
      </c>
      <c r="F359" s="185">
        <v>2500</v>
      </c>
      <c r="G359" s="184" t="s">
        <v>493</v>
      </c>
      <c r="H359" s="184" t="s">
        <v>598</v>
      </c>
      <c r="I359" s="185">
        <v>0</v>
      </c>
      <c r="J359" s="184" t="s">
        <v>598</v>
      </c>
      <c r="K359" s="127">
        <v>42880</v>
      </c>
      <c r="L359" s="184" t="s">
        <v>134</v>
      </c>
      <c r="M359" s="184" t="s">
        <v>49</v>
      </c>
      <c r="N359" s="184" t="s">
        <v>1449</v>
      </c>
      <c r="O359" s="184" t="s">
        <v>29</v>
      </c>
      <c r="P359" s="184" t="s">
        <v>79</v>
      </c>
      <c r="Q359" s="184" t="s">
        <v>65</v>
      </c>
      <c r="R359" s="184" t="s">
        <v>598</v>
      </c>
      <c r="S359" s="172">
        <v>42996.326388888891</v>
      </c>
      <c r="T359" s="32" t="s">
        <v>552</v>
      </c>
    </row>
    <row r="360" spans="1:20">
      <c r="A360" s="184" t="s">
        <v>3085</v>
      </c>
      <c r="B360" s="184" t="s">
        <v>4088</v>
      </c>
      <c r="C360" s="127">
        <v>42885</v>
      </c>
      <c r="D360" s="184" t="s">
        <v>10</v>
      </c>
      <c r="E360" s="184" t="s">
        <v>598</v>
      </c>
      <c r="F360" s="185">
        <v>2500</v>
      </c>
      <c r="G360" s="184" t="s">
        <v>493</v>
      </c>
      <c r="H360" s="184" t="s">
        <v>598</v>
      </c>
      <c r="I360" s="185">
        <v>0</v>
      </c>
      <c r="J360" s="184" t="s">
        <v>598</v>
      </c>
      <c r="K360" s="127">
        <v>42882</v>
      </c>
      <c r="L360" s="184" t="s">
        <v>134</v>
      </c>
      <c r="M360" s="184" t="s">
        <v>49</v>
      </c>
      <c r="N360" s="184" t="s">
        <v>1449</v>
      </c>
      <c r="O360" s="184" t="s">
        <v>29</v>
      </c>
      <c r="P360" s="184" t="s">
        <v>79</v>
      </c>
      <c r="Q360" s="184" t="s">
        <v>79</v>
      </c>
      <c r="R360" s="184" t="s">
        <v>598</v>
      </c>
      <c r="S360" s="172">
        <v>42996.326388888891</v>
      </c>
      <c r="T360" s="32" t="s">
        <v>552</v>
      </c>
    </row>
    <row r="361" spans="1:20">
      <c r="A361" s="184" t="s">
        <v>3087</v>
      </c>
      <c r="B361" s="184" t="s">
        <v>4089</v>
      </c>
      <c r="C361" s="127">
        <v>42864</v>
      </c>
      <c r="D361" s="184" t="s">
        <v>34</v>
      </c>
      <c r="E361" s="184" t="s">
        <v>598</v>
      </c>
      <c r="F361" s="185">
        <v>10000</v>
      </c>
      <c r="G361" s="184" t="s">
        <v>493</v>
      </c>
      <c r="H361" s="184" t="s">
        <v>598</v>
      </c>
      <c r="I361" s="185">
        <v>0</v>
      </c>
      <c r="J361" s="184" t="s">
        <v>598</v>
      </c>
      <c r="K361" s="127">
        <v>42847</v>
      </c>
      <c r="L361" s="184" t="s">
        <v>598</v>
      </c>
      <c r="M361" s="184" t="s">
        <v>49</v>
      </c>
      <c r="N361" s="184" t="s">
        <v>184</v>
      </c>
      <c r="O361" s="184" t="s">
        <v>598</v>
      </c>
      <c r="P361" s="184" t="s">
        <v>79</v>
      </c>
      <c r="Q361" s="184" t="s">
        <v>79</v>
      </c>
      <c r="R361" s="184" t="s">
        <v>598</v>
      </c>
      <c r="S361" s="172">
        <v>42996.326388888891</v>
      </c>
      <c r="T361" s="32" t="s">
        <v>552</v>
      </c>
    </row>
    <row r="362" spans="1:20">
      <c r="A362" s="184" t="s">
        <v>3088</v>
      </c>
      <c r="B362" s="184" t="s">
        <v>4090</v>
      </c>
      <c r="C362" s="127">
        <v>42861</v>
      </c>
      <c r="D362" s="184" t="s">
        <v>34</v>
      </c>
      <c r="E362" s="184" t="s">
        <v>598</v>
      </c>
      <c r="F362" s="185">
        <v>2500</v>
      </c>
      <c r="G362" s="184" t="s">
        <v>493</v>
      </c>
      <c r="H362" s="184" t="s">
        <v>598</v>
      </c>
      <c r="I362" s="185">
        <v>0</v>
      </c>
      <c r="J362" s="184" t="s">
        <v>598</v>
      </c>
      <c r="K362" s="127">
        <v>42851</v>
      </c>
      <c r="L362" s="184" t="s">
        <v>134</v>
      </c>
      <c r="M362" s="184" t="s">
        <v>49</v>
      </c>
      <c r="N362" s="184" t="s">
        <v>1392</v>
      </c>
      <c r="O362" s="184" t="s">
        <v>598</v>
      </c>
      <c r="P362" s="184" t="s">
        <v>79</v>
      </c>
      <c r="Q362" s="184" t="s">
        <v>112</v>
      </c>
      <c r="R362" s="184" t="s">
        <v>598</v>
      </c>
      <c r="S362" s="172">
        <v>42996.326388888891</v>
      </c>
      <c r="T362" s="32" t="s">
        <v>552</v>
      </c>
    </row>
    <row r="363" spans="1:20">
      <c r="A363" s="184" t="s">
        <v>3090</v>
      </c>
      <c r="B363" s="184" t="s">
        <v>4091</v>
      </c>
      <c r="C363" s="127">
        <v>42872</v>
      </c>
      <c r="D363" s="184" t="s">
        <v>34</v>
      </c>
      <c r="E363" s="184" t="s">
        <v>598</v>
      </c>
      <c r="F363" s="185">
        <v>8000</v>
      </c>
      <c r="G363" s="184" t="s">
        <v>493</v>
      </c>
      <c r="H363" s="184" t="s">
        <v>598</v>
      </c>
      <c r="I363" s="185">
        <v>0</v>
      </c>
      <c r="J363" s="184" t="s">
        <v>598</v>
      </c>
      <c r="K363" s="127">
        <v>42859</v>
      </c>
      <c r="L363" s="184" t="s">
        <v>58</v>
      </c>
      <c r="M363" s="184" t="s">
        <v>70</v>
      </c>
      <c r="N363" s="184" t="s">
        <v>272</v>
      </c>
      <c r="O363" s="184" t="s">
        <v>598</v>
      </c>
      <c r="P363" s="184" t="s">
        <v>42</v>
      </c>
      <c r="Q363" s="184" t="s">
        <v>85</v>
      </c>
      <c r="R363" s="184" t="s">
        <v>598</v>
      </c>
      <c r="S363" s="172">
        <v>42996.326388888891</v>
      </c>
      <c r="T363" s="32" t="s">
        <v>552</v>
      </c>
    </row>
    <row r="364" spans="1:20">
      <c r="A364" s="184" t="s">
        <v>3092</v>
      </c>
      <c r="B364" s="184" t="s">
        <v>4092</v>
      </c>
      <c r="C364" s="127">
        <v>42877</v>
      </c>
      <c r="D364" s="184" t="s">
        <v>10</v>
      </c>
      <c r="E364" s="184" t="s">
        <v>598</v>
      </c>
      <c r="F364" s="185">
        <v>11020</v>
      </c>
      <c r="G364" s="184" t="s">
        <v>493</v>
      </c>
      <c r="H364" s="184" t="s">
        <v>598</v>
      </c>
      <c r="I364" s="185">
        <v>0</v>
      </c>
      <c r="J364" s="184" t="s">
        <v>598</v>
      </c>
      <c r="K364" s="127">
        <v>42861</v>
      </c>
      <c r="L364" s="184" t="s">
        <v>598</v>
      </c>
      <c r="M364" s="184" t="s">
        <v>70</v>
      </c>
      <c r="N364" s="184" t="s">
        <v>272</v>
      </c>
      <c r="O364" s="184" t="s">
        <v>598</v>
      </c>
      <c r="P364" s="184" t="s">
        <v>42</v>
      </c>
      <c r="Q364" s="184" t="s">
        <v>98</v>
      </c>
      <c r="R364" s="184" t="s">
        <v>598</v>
      </c>
      <c r="S364" s="172">
        <v>42996.326388888891</v>
      </c>
      <c r="T364" s="32" t="s">
        <v>552</v>
      </c>
    </row>
    <row r="365" spans="1:20">
      <c r="A365" s="184" t="s">
        <v>3094</v>
      </c>
      <c r="B365" s="184" t="s">
        <v>4093</v>
      </c>
      <c r="C365" s="127">
        <v>42877</v>
      </c>
      <c r="D365" s="184" t="s">
        <v>10</v>
      </c>
      <c r="E365" s="184" t="s">
        <v>598</v>
      </c>
      <c r="F365" s="185">
        <v>13500</v>
      </c>
      <c r="G365" s="184" t="s">
        <v>493</v>
      </c>
      <c r="H365" s="184" t="s">
        <v>598</v>
      </c>
      <c r="I365" s="185">
        <v>0</v>
      </c>
      <c r="J365" s="184" t="s">
        <v>598</v>
      </c>
      <c r="K365" s="127">
        <v>42829</v>
      </c>
      <c r="L365" s="184" t="s">
        <v>598</v>
      </c>
      <c r="M365" s="184" t="s">
        <v>70</v>
      </c>
      <c r="N365" s="184" t="s">
        <v>272</v>
      </c>
      <c r="O365" s="184" t="s">
        <v>598</v>
      </c>
      <c r="P365" s="184" t="s">
        <v>42</v>
      </c>
      <c r="Q365" s="184" t="s">
        <v>85</v>
      </c>
      <c r="R365" s="184" t="s">
        <v>598</v>
      </c>
      <c r="S365" s="172">
        <v>42996.326388888891</v>
      </c>
      <c r="T365" s="32" t="s">
        <v>552</v>
      </c>
    </row>
    <row r="366" spans="1:20">
      <c r="A366" s="184" t="s">
        <v>3096</v>
      </c>
      <c r="B366" s="184" t="s">
        <v>4094</v>
      </c>
      <c r="C366" s="127">
        <v>42886</v>
      </c>
      <c r="D366" s="184" t="s">
        <v>10</v>
      </c>
      <c r="E366" s="184" t="s">
        <v>598</v>
      </c>
      <c r="F366" s="185">
        <v>4500</v>
      </c>
      <c r="G366" s="184" t="s">
        <v>493</v>
      </c>
      <c r="H366" s="184" t="s">
        <v>598</v>
      </c>
      <c r="I366" s="185">
        <v>0</v>
      </c>
      <c r="J366" s="184" t="s">
        <v>598</v>
      </c>
      <c r="K366" s="127">
        <v>42831</v>
      </c>
      <c r="L366" s="184" t="s">
        <v>134</v>
      </c>
      <c r="M366" s="184" t="s">
        <v>70</v>
      </c>
      <c r="N366" s="184" t="s">
        <v>313</v>
      </c>
      <c r="O366" s="184" t="s">
        <v>598</v>
      </c>
      <c r="P366" s="184" t="s">
        <v>42</v>
      </c>
      <c r="Q366" s="184" t="s">
        <v>73</v>
      </c>
      <c r="R366" s="184" t="s">
        <v>598</v>
      </c>
      <c r="S366" s="172">
        <v>42996.326388888891</v>
      </c>
      <c r="T366" s="32" t="s">
        <v>552</v>
      </c>
    </row>
    <row r="367" spans="1:20">
      <c r="A367" s="184" t="s">
        <v>3098</v>
      </c>
      <c r="B367" s="184" t="s">
        <v>4095</v>
      </c>
      <c r="C367" s="127">
        <v>42870</v>
      </c>
      <c r="D367" s="184" t="s">
        <v>10</v>
      </c>
      <c r="E367" s="184" t="s">
        <v>598</v>
      </c>
      <c r="F367" s="185">
        <v>4500</v>
      </c>
      <c r="G367" s="184" t="s">
        <v>493</v>
      </c>
      <c r="H367" s="184" t="s">
        <v>598</v>
      </c>
      <c r="I367" s="185">
        <v>0</v>
      </c>
      <c r="J367" s="184" t="s">
        <v>598</v>
      </c>
      <c r="K367" s="127">
        <v>42831</v>
      </c>
      <c r="L367" s="184" t="s">
        <v>134</v>
      </c>
      <c r="M367" s="184" t="s">
        <v>70</v>
      </c>
      <c r="N367" s="184" t="s">
        <v>313</v>
      </c>
      <c r="O367" s="184" t="s">
        <v>598</v>
      </c>
      <c r="P367" s="184" t="s">
        <v>42</v>
      </c>
      <c r="Q367" s="184" t="s">
        <v>73</v>
      </c>
      <c r="R367" s="184" t="s">
        <v>598</v>
      </c>
      <c r="S367" s="172">
        <v>42996.326388888891</v>
      </c>
      <c r="T367" s="32" t="s">
        <v>552</v>
      </c>
    </row>
    <row r="368" spans="1:20">
      <c r="A368" s="184" t="s">
        <v>3100</v>
      </c>
      <c r="B368" s="184" t="s">
        <v>4096</v>
      </c>
      <c r="C368" s="127">
        <v>42870</v>
      </c>
      <c r="D368" s="184" t="s">
        <v>10</v>
      </c>
      <c r="E368" s="184" t="s">
        <v>598</v>
      </c>
      <c r="F368" s="185">
        <v>4500</v>
      </c>
      <c r="G368" s="184" t="s">
        <v>493</v>
      </c>
      <c r="H368" s="184" t="s">
        <v>598</v>
      </c>
      <c r="I368" s="185">
        <v>0</v>
      </c>
      <c r="J368" s="184" t="s">
        <v>598</v>
      </c>
      <c r="K368" s="127">
        <v>42832</v>
      </c>
      <c r="L368" s="184" t="s">
        <v>134</v>
      </c>
      <c r="M368" s="184" t="s">
        <v>70</v>
      </c>
      <c r="N368" s="184" t="s">
        <v>313</v>
      </c>
      <c r="O368" s="184" t="s">
        <v>598</v>
      </c>
      <c r="P368" s="184" t="s">
        <v>42</v>
      </c>
      <c r="Q368" s="184" t="s">
        <v>73</v>
      </c>
      <c r="R368" s="184" t="s">
        <v>598</v>
      </c>
      <c r="S368" s="172">
        <v>42996.326388888891</v>
      </c>
      <c r="T368" s="32" t="s">
        <v>552</v>
      </c>
    </row>
    <row r="369" spans="1:20">
      <c r="A369" s="184" t="s">
        <v>3102</v>
      </c>
      <c r="B369" s="184" t="s">
        <v>4097</v>
      </c>
      <c r="C369" s="127">
        <v>42877</v>
      </c>
      <c r="D369" s="184" t="s">
        <v>10</v>
      </c>
      <c r="E369" s="184" t="s">
        <v>598</v>
      </c>
      <c r="F369" s="185">
        <v>15300</v>
      </c>
      <c r="G369" s="184" t="s">
        <v>493</v>
      </c>
      <c r="H369" s="184" t="s">
        <v>598</v>
      </c>
      <c r="I369" s="185">
        <v>0</v>
      </c>
      <c r="J369" s="184" t="s">
        <v>598</v>
      </c>
      <c r="K369" s="127">
        <v>42840</v>
      </c>
      <c r="L369" s="184" t="s">
        <v>58</v>
      </c>
      <c r="M369" s="184" t="s">
        <v>70</v>
      </c>
      <c r="N369" s="184" t="s">
        <v>272</v>
      </c>
      <c r="O369" s="184" t="s">
        <v>598</v>
      </c>
      <c r="P369" s="184" t="s">
        <v>42</v>
      </c>
      <c r="Q369" s="184" t="s">
        <v>73</v>
      </c>
      <c r="R369" s="184" t="s">
        <v>598</v>
      </c>
      <c r="S369" s="172">
        <v>42996.326388888891</v>
      </c>
      <c r="T369" s="32" t="s">
        <v>552</v>
      </c>
    </row>
    <row r="370" spans="1:20">
      <c r="A370" s="184" t="s">
        <v>3104</v>
      </c>
      <c r="B370" s="184" t="s">
        <v>4098</v>
      </c>
      <c r="C370" s="127">
        <v>42858</v>
      </c>
      <c r="D370" s="184" t="s">
        <v>34</v>
      </c>
      <c r="E370" s="184" t="s">
        <v>598</v>
      </c>
      <c r="F370" s="185">
        <v>5000</v>
      </c>
      <c r="G370" s="184" t="s">
        <v>493</v>
      </c>
      <c r="H370" s="184" t="s">
        <v>598</v>
      </c>
      <c r="I370" s="185">
        <v>0</v>
      </c>
      <c r="J370" s="184" t="s">
        <v>598</v>
      </c>
      <c r="K370" s="127">
        <v>42852</v>
      </c>
      <c r="L370" s="184" t="s">
        <v>58</v>
      </c>
      <c r="M370" s="184" t="s">
        <v>70</v>
      </c>
      <c r="N370" s="184" t="s">
        <v>272</v>
      </c>
      <c r="O370" s="184" t="s">
        <v>598</v>
      </c>
      <c r="P370" s="184" t="s">
        <v>42</v>
      </c>
      <c r="Q370" s="184" t="s">
        <v>85</v>
      </c>
      <c r="R370" s="184" t="s">
        <v>598</v>
      </c>
      <c r="S370" s="172">
        <v>42996.326388888891</v>
      </c>
      <c r="T370" s="32" t="s">
        <v>552</v>
      </c>
    </row>
    <row r="371" spans="1:20">
      <c r="A371" s="184" t="s">
        <v>3106</v>
      </c>
      <c r="B371" s="184" t="s">
        <v>4099</v>
      </c>
      <c r="C371" s="127">
        <v>42868</v>
      </c>
      <c r="D371" s="184" t="s">
        <v>34</v>
      </c>
      <c r="E371" s="184" t="s">
        <v>598</v>
      </c>
      <c r="F371" s="185">
        <v>2500</v>
      </c>
      <c r="G371" s="184" t="s">
        <v>493</v>
      </c>
      <c r="H371" s="184" t="s">
        <v>598</v>
      </c>
      <c r="I371" s="185">
        <v>0</v>
      </c>
      <c r="J371" s="184" t="s">
        <v>598</v>
      </c>
      <c r="K371" s="127">
        <v>42864</v>
      </c>
      <c r="L371" s="184" t="s">
        <v>132</v>
      </c>
      <c r="M371" s="184" t="s">
        <v>77</v>
      </c>
      <c r="N371" s="184" t="s">
        <v>183</v>
      </c>
      <c r="O371" s="184" t="s">
        <v>598</v>
      </c>
      <c r="P371" s="184" t="s">
        <v>42</v>
      </c>
      <c r="Q371" s="184" t="s">
        <v>98</v>
      </c>
      <c r="R371" s="184" t="s">
        <v>598</v>
      </c>
      <c r="S371" s="172">
        <v>42996.326388888891</v>
      </c>
      <c r="T371" s="32" t="s">
        <v>552</v>
      </c>
    </row>
    <row r="372" spans="1:20">
      <c r="A372" s="184" t="s">
        <v>3108</v>
      </c>
      <c r="B372" s="184" t="s">
        <v>4100</v>
      </c>
      <c r="C372" s="127">
        <v>42880</v>
      </c>
      <c r="D372" s="184" t="s">
        <v>10</v>
      </c>
      <c r="E372" s="184" t="s">
        <v>598</v>
      </c>
      <c r="F372" s="185">
        <v>3125</v>
      </c>
      <c r="G372" s="184" t="s">
        <v>493</v>
      </c>
      <c r="H372" s="184" t="s">
        <v>598</v>
      </c>
      <c r="I372" s="185">
        <v>0</v>
      </c>
      <c r="J372" s="184" t="s">
        <v>598</v>
      </c>
      <c r="K372" s="127">
        <v>42868</v>
      </c>
      <c r="L372" s="184" t="s">
        <v>598</v>
      </c>
      <c r="M372" s="184" t="s">
        <v>77</v>
      </c>
      <c r="N372" s="184" t="s">
        <v>598</v>
      </c>
      <c r="O372" s="184" t="s">
        <v>598</v>
      </c>
      <c r="P372" s="184" t="s">
        <v>42</v>
      </c>
      <c r="Q372" s="184" t="s">
        <v>98</v>
      </c>
      <c r="R372" s="184" t="s">
        <v>598</v>
      </c>
      <c r="S372" s="172">
        <v>42996.326388888891</v>
      </c>
      <c r="T372" s="32" t="s">
        <v>552</v>
      </c>
    </row>
    <row r="373" spans="1:20">
      <c r="A373" s="184" t="s">
        <v>3110</v>
      </c>
      <c r="B373" s="184" t="s">
        <v>4101</v>
      </c>
      <c r="C373" s="127">
        <v>42872</v>
      </c>
      <c r="D373" s="184" t="s">
        <v>34</v>
      </c>
      <c r="E373" s="184" t="s">
        <v>598</v>
      </c>
      <c r="F373" s="185">
        <v>3000</v>
      </c>
      <c r="G373" s="184" t="s">
        <v>493</v>
      </c>
      <c r="H373" s="184" t="s">
        <v>598</v>
      </c>
      <c r="I373" s="185">
        <v>0</v>
      </c>
      <c r="J373" s="184" t="s">
        <v>598</v>
      </c>
      <c r="K373" s="127">
        <v>42871</v>
      </c>
      <c r="L373" s="184" t="s">
        <v>134</v>
      </c>
      <c r="M373" s="184" t="s">
        <v>77</v>
      </c>
      <c r="N373" s="184" t="s">
        <v>183</v>
      </c>
      <c r="O373" s="184" t="s">
        <v>598</v>
      </c>
      <c r="P373" s="184" t="s">
        <v>42</v>
      </c>
      <c r="Q373" s="184" t="s">
        <v>85</v>
      </c>
      <c r="R373" s="184" t="s">
        <v>598</v>
      </c>
      <c r="S373" s="172">
        <v>42996.326388888891</v>
      </c>
      <c r="T373" s="32" t="s">
        <v>552</v>
      </c>
    </row>
    <row r="374" spans="1:20">
      <c r="A374" s="184" t="s">
        <v>3112</v>
      </c>
      <c r="B374" s="184" t="s">
        <v>4102</v>
      </c>
      <c r="C374" s="127">
        <v>42874</v>
      </c>
      <c r="D374" s="184" t="s">
        <v>10</v>
      </c>
      <c r="E374" s="184" t="s">
        <v>598</v>
      </c>
      <c r="F374" s="185">
        <v>1000</v>
      </c>
      <c r="G374" s="184" t="s">
        <v>493</v>
      </c>
      <c r="H374" s="184" t="s">
        <v>598</v>
      </c>
      <c r="I374" s="185">
        <v>0</v>
      </c>
      <c r="J374" s="184" t="s">
        <v>598</v>
      </c>
      <c r="K374" s="127">
        <v>42874</v>
      </c>
      <c r="L374" s="184" t="s">
        <v>126</v>
      </c>
      <c r="M374" s="184" t="s">
        <v>77</v>
      </c>
      <c r="N374" s="184" t="s">
        <v>3114</v>
      </c>
      <c r="O374" s="184" t="s">
        <v>598</v>
      </c>
      <c r="P374" s="184" t="s">
        <v>42</v>
      </c>
      <c r="Q374" s="184" t="s">
        <v>598</v>
      </c>
      <c r="R374" s="184" t="s">
        <v>598</v>
      </c>
      <c r="S374" s="172">
        <v>42996.326388888891</v>
      </c>
      <c r="T374" s="32" t="s">
        <v>552</v>
      </c>
    </row>
    <row r="375" spans="1:20">
      <c r="A375" s="184" t="s">
        <v>3115</v>
      </c>
      <c r="B375" s="184" t="s">
        <v>4103</v>
      </c>
      <c r="C375" s="127">
        <v>42877</v>
      </c>
      <c r="D375" s="184" t="s">
        <v>10</v>
      </c>
      <c r="E375" s="184" t="s">
        <v>598</v>
      </c>
      <c r="F375" s="185">
        <v>3200</v>
      </c>
      <c r="G375" s="184" t="s">
        <v>493</v>
      </c>
      <c r="H375" s="184" t="s">
        <v>598</v>
      </c>
      <c r="I375" s="185">
        <v>0</v>
      </c>
      <c r="J375" s="184" t="s">
        <v>598</v>
      </c>
      <c r="K375" s="127">
        <v>42875</v>
      </c>
      <c r="L375" s="184" t="s">
        <v>118</v>
      </c>
      <c r="M375" s="184" t="s">
        <v>77</v>
      </c>
      <c r="N375" s="184" t="s">
        <v>337</v>
      </c>
      <c r="O375" s="184" t="s">
        <v>598</v>
      </c>
      <c r="P375" s="184" t="s">
        <v>42</v>
      </c>
      <c r="Q375" s="184" t="s">
        <v>85</v>
      </c>
      <c r="R375" s="184" t="s">
        <v>598</v>
      </c>
      <c r="S375" s="172">
        <v>42996.326388888891</v>
      </c>
      <c r="T375" s="32" t="s">
        <v>552</v>
      </c>
    </row>
    <row r="376" spans="1:20">
      <c r="A376" s="184" t="s">
        <v>3117</v>
      </c>
      <c r="B376" s="184" t="s">
        <v>4104</v>
      </c>
      <c r="C376" s="127">
        <v>42877</v>
      </c>
      <c r="D376" s="184" t="s">
        <v>10</v>
      </c>
      <c r="E376" s="184" t="s">
        <v>598</v>
      </c>
      <c r="F376" s="185">
        <v>4625</v>
      </c>
      <c r="G376" s="184" t="s">
        <v>493</v>
      </c>
      <c r="H376" s="184" t="s">
        <v>598</v>
      </c>
      <c r="I376" s="185">
        <v>0</v>
      </c>
      <c r="J376" s="184" t="s">
        <v>598</v>
      </c>
      <c r="K376" s="127">
        <v>42877</v>
      </c>
      <c r="L376" s="184" t="s">
        <v>118</v>
      </c>
      <c r="M376" s="184" t="s">
        <v>77</v>
      </c>
      <c r="N376" s="184" t="s">
        <v>201</v>
      </c>
      <c r="O376" s="184" t="s">
        <v>598</v>
      </c>
      <c r="P376" s="184" t="s">
        <v>42</v>
      </c>
      <c r="Q376" s="184" t="s">
        <v>98</v>
      </c>
      <c r="R376" s="184" t="s">
        <v>598</v>
      </c>
      <c r="S376" s="172">
        <v>42996.326388888891</v>
      </c>
      <c r="T376" s="32" t="s">
        <v>552</v>
      </c>
    </row>
    <row r="377" spans="1:20">
      <c r="A377" s="184" t="s">
        <v>3119</v>
      </c>
      <c r="B377" s="184" t="s">
        <v>4105</v>
      </c>
      <c r="C377" s="127">
        <v>42885</v>
      </c>
      <c r="D377" s="184" t="s">
        <v>494</v>
      </c>
      <c r="E377" s="184" t="s">
        <v>598</v>
      </c>
      <c r="F377" s="185">
        <v>4500</v>
      </c>
      <c r="G377" s="184" t="s">
        <v>493</v>
      </c>
      <c r="H377" s="184" t="s">
        <v>598</v>
      </c>
      <c r="I377" s="185">
        <v>0</v>
      </c>
      <c r="J377" s="184" t="s">
        <v>598</v>
      </c>
      <c r="K377" s="127">
        <v>42880</v>
      </c>
      <c r="L377" s="184" t="s">
        <v>134</v>
      </c>
      <c r="M377" s="184" t="s">
        <v>77</v>
      </c>
      <c r="N377" s="184" t="s">
        <v>183</v>
      </c>
      <c r="O377" s="184" t="s">
        <v>598</v>
      </c>
      <c r="P377" s="184" t="s">
        <v>42</v>
      </c>
      <c r="Q377" s="184" t="s">
        <v>98</v>
      </c>
      <c r="R377" s="184" t="s">
        <v>598</v>
      </c>
      <c r="S377" s="172">
        <v>42996.326388888891</v>
      </c>
      <c r="T377" s="32" t="s">
        <v>552</v>
      </c>
    </row>
    <row r="378" spans="1:20">
      <c r="A378" s="184" t="s">
        <v>3121</v>
      </c>
      <c r="B378" s="184" t="s">
        <v>4106</v>
      </c>
      <c r="C378" s="127">
        <v>42882</v>
      </c>
      <c r="D378" s="184" t="s">
        <v>10</v>
      </c>
      <c r="E378" s="184" t="s">
        <v>598</v>
      </c>
      <c r="F378" s="185">
        <v>3000</v>
      </c>
      <c r="G378" s="184" t="s">
        <v>493</v>
      </c>
      <c r="H378" s="184" t="s">
        <v>598</v>
      </c>
      <c r="I378" s="185">
        <v>0</v>
      </c>
      <c r="J378" s="184" t="s">
        <v>598</v>
      </c>
      <c r="K378" s="127">
        <v>42880</v>
      </c>
      <c r="L378" s="184" t="s">
        <v>598</v>
      </c>
      <c r="M378" s="184" t="s">
        <v>77</v>
      </c>
      <c r="N378" s="184" t="s">
        <v>183</v>
      </c>
      <c r="O378" s="184" t="s">
        <v>598</v>
      </c>
      <c r="P378" s="184" t="s">
        <v>42</v>
      </c>
      <c r="Q378" s="184" t="s">
        <v>85</v>
      </c>
      <c r="R378" s="184" t="s">
        <v>598</v>
      </c>
      <c r="S378" s="172">
        <v>42996.326388888891</v>
      </c>
      <c r="T378" s="32" t="s">
        <v>552</v>
      </c>
    </row>
    <row r="379" spans="1:20">
      <c r="A379" s="184" t="s">
        <v>3123</v>
      </c>
      <c r="B379" s="184" t="s">
        <v>4107</v>
      </c>
      <c r="C379" s="127">
        <v>42882</v>
      </c>
      <c r="D379" s="184" t="s">
        <v>10</v>
      </c>
      <c r="E379" s="184" t="s">
        <v>598</v>
      </c>
      <c r="F379" s="185">
        <v>6500</v>
      </c>
      <c r="G379" s="184" t="s">
        <v>493</v>
      </c>
      <c r="H379" s="184" t="s">
        <v>598</v>
      </c>
      <c r="I379" s="185">
        <v>0</v>
      </c>
      <c r="J379" s="184" t="s">
        <v>598</v>
      </c>
      <c r="K379" s="127">
        <v>42882</v>
      </c>
      <c r="L379" s="184" t="s">
        <v>118</v>
      </c>
      <c r="M379" s="184" t="s">
        <v>77</v>
      </c>
      <c r="N379" s="184" t="s">
        <v>443</v>
      </c>
      <c r="O379" s="184" t="s">
        <v>598</v>
      </c>
      <c r="P379" s="184" t="s">
        <v>42</v>
      </c>
      <c r="Q379" s="184" t="s">
        <v>598</v>
      </c>
      <c r="R379" s="184" t="s">
        <v>598</v>
      </c>
      <c r="S379" s="172">
        <v>42996.326388888891</v>
      </c>
      <c r="T379" s="32" t="s">
        <v>552</v>
      </c>
    </row>
    <row r="380" spans="1:20">
      <c r="A380" s="184" t="s">
        <v>3125</v>
      </c>
      <c r="B380" s="184" t="s">
        <v>4108</v>
      </c>
      <c r="C380" s="127">
        <v>42884</v>
      </c>
      <c r="D380" s="184" t="s">
        <v>10</v>
      </c>
      <c r="E380" s="184" t="s">
        <v>598</v>
      </c>
      <c r="F380" s="185">
        <v>3000</v>
      </c>
      <c r="G380" s="184" t="s">
        <v>493</v>
      </c>
      <c r="H380" s="184" t="s">
        <v>598</v>
      </c>
      <c r="I380" s="185">
        <v>0</v>
      </c>
      <c r="J380" s="184" t="s">
        <v>598</v>
      </c>
      <c r="K380" s="127">
        <v>42573</v>
      </c>
      <c r="L380" s="184" t="s">
        <v>598</v>
      </c>
      <c r="M380" s="184" t="s">
        <v>77</v>
      </c>
      <c r="N380" s="184" t="s">
        <v>407</v>
      </c>
      <c r="O380" s="184" t="s">
        <v>598</v>
      </c>
      <c r="P380" s="184" t="s">
        <v>42</v>
      </c>
      <c r="Q380" s="184" t="s">
        <v>85</v>
      </c>
      <c r="R380" s="184" t="s">
        <v>598</v>
      </c>
      <c r="S380" s="172">
        <v>42996.326388888891</v>
      </c>
      <c r="T380" s="32" t="s">
        <v>552</v>
      </c>
    </row>
    <row r="381" spans="1:20">
      <c r="A381" s="184" t="s">
        <v>3127</v>
      </c>
      <c r="B381" s="184" t="s">
        <v>4109</v>
      </c>
      <c r="C381" s="127">
        <v>42885</v>
      </c>
      <c r="D381" s="184" t="s">
        <v>10</v>
      </c>
      <c r="E381" s="184" t="s">
        <v>598</v>
      </c>
      <c r="F381" s="185">
        <v>6000</v>
      </c>
      <c r="G381" s="184" t="s">
        <v>493</v>
      </c>
      <c r="H381" s="184" t="s">
        <v>598</v>
      </c>
      <c r="I381" s="185">
        <v>0</v>
      </c>
      <c r="J381" s="184" t="s">
        <v>598</v>
      </c>
      <c r="K381" s="127">
        <v>42747</v>
      </c>
      <c r="L381" s="184" t="s">
        <v>135</v>
      </c>
      <c r="M381" s="184" t="s">
        <v>77</v>
      </c>
      <c r="N381" s="184" t="s">
        <v>250</v>
      </c>
      <c r="O381" s="184" t="s">
        <v>598</v>
      </c>
      <c r="P381" s="184" t="s">
        <v>42</v>
      </c>
      <c r="Q381" s="184" t="s">
        <v>85</v>
      </c>
      <c r="R381" s="184" t="s">
        <v>598</v>
      </c>
      <c r="S381" s="172">
        <v>42996.326388888891</v>
      </c>
      <c r="T381" s="32" t="s">
        <v>552</v>
      </c>
    </row>
    <row r="382" spans="1:20">
      <c r="A382" s="184" t="s">
        <v>3129</v>
      </c>
      <c r="B382" s="184" t="s">
        <v>4110</v>
      </c>
      <c r="C382" s="127">
        <v>42880</v>
      </c>
      <c r="D382" s="184" t="s">
        <v>10</v>
      </c>
      <c r="E382" s="184" t="s">
        <v>598</v>
      </c>
      <c r="F382" s="185">
        <v>5000</v>
      </c>
      <c r="G382" s="184" t="s">
        <v>493</v>
      </c>
      <c r="H382" s="184" t="s">
        <v>598</v>
      </c>
      <c r="I382" s="185">
        <v>0</v>
      </c>
      <c r="J382" s="184" t="s">
        <v>598</v>
      </c>
      <c r="K382" s="127">
        <v>42765</v>
      </c>
      <c r="L382" s="184" t="s">
        <v>598</v>
      </c>
      <c r="M382" s="184" t="s">
        <v>77</v>
      </c>
      <c r="N382" s="184" t="s">
        <v>3131</v>
      </c>
      <c r="O382" s="184" t="s">
        <v>598</v>
      </c>
      <c r="P382" s="184" t="s">
        <v>42</v>
      </c>
      <c r="Q382" s="184" t="s">
        <v>85</v>
      </c>
      <c r="R382" s="184" t="s">
        <v>598</v>
      </c>
      <c r="S382" s="172">
        <v>42996.326388888891</v>
      </c>
      <c r="T382" s="32" t="s">
        <v>552</v>
      </c>
    </row>
    <row r="383" spans="1:20">
      <c r="A383" s="184" t="s">
        <v>3132</v>
      </c>
      <c r="B383" s="184" t="s">
        <v>4111</v>
      </c>
      <c r="C383" s="127">
        <v>42860</v>
      </c>
      <c r="D383" s="184" t="s">
        <v>10</v>
      </c>
      <c r="E383" s="184" t="s">
        <v>598</v>
      </c>
      <c r="F383" s="185">
        <v>5700</v>
      </c>
      <c r="G383" s="184" t="s">
        <v>493</v>
      </c>
      <c r="H383" s="184" t="s">
        <v>598</v>
      </c>
      <c r="I383" s="185">
        <v>0</v>
      </c>
      <c r="J383" s="184" t="s">
        <v>598</v>
      </c>
      <c r="K383" s="127">
        <v>42777</v>
      </c>
      <c r="L383" s="184" t="s">
        <v>598</v>
      </c>
      <c r="M383" s="184" t="s">
        <v>77</v>
      </c>
      <c r="N383" s="184" t="s">
        <v>165</v>
      </c>
      <c r="O383" s="184" t="s">
        <v>598</v>
      </c>
      <c r="P383" s="184" t="s">
        <v>42</v>
      </c>
      <c r="Q383" s="184" t="s">
        <v>85</v>
      </c>
      <c r="R383" s="184" t="s">
        <v>598</v>
      </c>
      <c r="S383" s="172">
        <v>42996.326388888891</v>
      </c>
      <c r="T383" s="32" t="s">
        <v>552</v>
      </c>
    </row>
    <row r="384" spans="1:20">
      <c r="A384" s="184" t="s">
        <v>3134</v>
      </c>
      <c r="B384" s="184" t="s">
        <v>4112</v>
      </c>
      <c r="C384" s="127">
        <v>42877</v>
      </c>
      <c r="D384" s="184" t="s">
        <v>10</v>
      </c>
      <c r="E384" s="184" t="s">
        <v>598</v>
      </c>
      <c r="F384" s="185">
        <v>3375</v>
      </c>
      <c r="G384" s="184" t="s">
        <v>493</v>
      </c>
      <c r="H384" s="184" t="s">
        <v>598</v>
      </c>
      <c r="I384" s="185">
        <v>0</v>
      </c>
      <c r="J384" s="184" t="s">
        <v>598</v>
      </c>
      <c r="K384" s="127">
        <v>42807</v>
      </c>
      <c r="L384" s="184" t="s">
        <v>134</v>
      </c>
      <c r="M384" s="184" t="s">
        <v>77</v>
      </c>
      <c r="N384" s="184" t="s">
        <v>3131</v>
      </c>
      <c r="O384" s="184" t="s">
        <v>598</v>
      </c>
      <c r="P384" s="184" t="s">
        <v>42</v>
      </c>
      <c r="Q384" s="184" t="s">
        <v>85</v>
      </c>
      <c r="R384" s="184" t="s">
        <v>598</v>
      </c>
      <c r="S384" s="172">
        <v>42996.326388888891</v>
      </c>
      <c r="T384" s="32" t="s">
        <v>552</v>
      </c>
    </row>
    <row r="385" spans="1:20">
      <c r="A385" s="184" t="s">
        <v>3136</v>
      </c>
      <c r="B385" s="184" t="s">
        <v>4113</v>
      </c>
      <c r="C385" s="127">
        <v>42858</v>
      </c>
      <c r="D385" s="184" t="s">
        <v>10</v>
      </c>
      <c r="E385" s="184" t="s">
        <v>598</v>
      </c>
      <c r="F385" s="185">
        <v>3000</v>
      </c>
      <c r="G385" s="184" t="s">
        <v>493</v>
      </c>
      <c r="H385" s="184" t="s">
        <v>598</v>
      </c>
      <c r="I385" s="185">
        <v>0</v>
      </c>
      <c r="J385" s="184" t="s">
        <v>598</v>
      </c>
      <c r="K385" s="127">
        <v>42817</v>
      </c>
      <c r="L385" s="184" t="s">
        <v>134</v>
      </c>
      <c r="M385" s="184" t="s">
        <v>77</v>
      </c>
      <c r="N385" s="184" t="s">
        <v>183</v>
      </c>
      <c r="O385" s="184" t="s">
        <v>598</v>
      </c>
      <c r="P385" s="184" t="s">
        <v>42</v>
      </c>
      <c r="Q385" s="184" t="s">
        <v>85</v>
      </c>
      <c r="R385" s="184" t="s">
        <v>598</v>
      </c>
      <c r="S385" s="172">
        <v>42996.326388888891</v>
      </c>
      <c r="T385" s="32" t="s">
        <v>552</v>
      </c>
    </row>
    <row r="386" spans="1:20">
      <c r="A386" s="184" t="s">
        <v>3138</v>
      </c>
      <c r="B386" s="184" t="s">
        <v>4114</v>
      </c>
      <c r="C386" s="127">
        <v>42860</v>
      </c>
      <c r="D386" s="184" t="s">
        <v>10</v>
      </c>
      <c r="E386" s="184" t="s">
        <v>598</v>
      </c>
      <c r="F386" s="185">
        <v>3000</v>
      </c>
      <c r="G386" s="184" t="s">
        <v>493</v>
      </c>
      <c r="H386" s="184" t="s">
        <v>598</v>
      </c>
      <c r="I386" s="185">
        <v>0</v>
      </c>
      <c r="J386" s="184" t="s">
        <v>598</v>
      </c>
      <c r="K386" s="127">
        <v>42849</v>
      </c>
      <c r="L386" s="184" t="s">
        <v>134</v>
      </c>
      <c r="M386" s="184" t="s">
        <v>77</v>
      </c>
      <c r="N386" s="184" t="s">
        <v>403</v>
      </c>
      <c r="O386" s="184" t="s">
        <v>598</v>
      </c>
      <c r="P386" s="184" t="s">
        <v>42</v>
      </c>
      <c r="Q386" s="184" t="s">
        <v>51</v>
      </c>
      <c r="R386" s="184" t="s">
        <v>598</v>
      </c>
      <c r="S386" s="172">
        <v>42996.326388888891</v>
      </c>
      <c r="T386" s="32" t="s">
        <v>552</v>
      </c>
    </row>
    <row r="387" spans="1:20">
      <c r="A387" s="184" t="s">
        <v>3140</v>
      </c>
      <c r="B387" s="184" t="s">
        <v>4115</v>
      </c>
      <c r="C387" s="127">
        <v>42871</v>
      </c>
      <c r="D387" s="184" t="s">
        <v>10</v>
      </c>
      <c r="E387" s="184" t="s">
        <v>598</v>
      </c>
      <c r="F387" s="185">
        <v>2500</v>
      </c>
      <c r="G387" s="184" t="s">
        <v>493</v>
      </c>
      <c r="H387" s="184">
        <v>2169</v>
      </c>
      <c r="I387" s="185">
        <v>3500</v>
      </c>
      <c r="J387" s="184" t="s">
        <v>598</v>
      </c>
      <c r="K387" s="127">
        <v>42614</v>
      </c>
      <c r="L387" s="184" t="s">
        <v>134</v>
      </c>
      <c r="M387" s="184" t="s">
        <v>121</v>
      </c>
      <c r="N387" s="184" t="s">
        <v>3142</v>
      </c>
      <c r="O387" s="184" t="s">
        <v>598</v>
      </c>
      <c r="P387" s="184" t="s">
        <v>63</v>
      </c>
      <c r="Q387" s="184" t="s">
        <v>30</v>
      </c>
      <c r="R387" s="184" t="s">
        <v>598</v>
      </c>
      <c r="S387" s="172">
        <v>42996.326388888891</v>
      </c>
      <c r="T387" s="32" t="s">
        <v>552</v>
      </c>
    </row>
    <row r="388" spans="1:20">
      <c r="A388" s="184" t="s">
        <v>3143</v>
      </c>
      <c r="B388" s="184" t="s">
        <v>4116</v>
      </c>
      <c r="C388" s="127">
        <v>42866</v>
      </c>
      <c r="D388" s="184" t="s">
        <v>10</v>
      </c>
      <c r="E388" s="184" t="s">
        <v>598</v>
      </c>
      <c r="F388" s="185">
        <v>1500</v>
      </c>
      <c r="G388" s="184" t="s">
        <v>493</v>
      </c>
      <c r="H388" s="184">
        <v>2236</v>
      </c>
      <c r="I388" s="185">
        <v>2000</v>
      </c>
      <c r="J388" s="184" t="s">
        <v>598</v>
      </c>
      <c r="K388" s="127">
        <v>42720</v>
      </c>
      <c r="L388" s="184" t="s">
        <v>134</v>
      </c>
      <c r="M388" s="184" t="s">
        <v>121</v>
      </c>
      <c r="N388" s="184" t="s">
        <v>444</v>
      </c>
      <c r="O388" s="184" t="s">
        <v>598</v>
      </c>
      <c r="P388" s="184" t="s">
        <v>63</v>
      </c>
      <c r="Q388" s="184" t="s">
        <v>63</v>
      </c>
      <c r="R388" s="184" t="s">
        <v>598</v>
      </c>
      <c r="S388" s="172">
        <v>42996.326388888891</v>
      </c>
      <c r="T388" s="32" t="s">
        <v>552</v>
      </c>
    </row>
    <row r="389" spans="1:20">
      <c r="A389" s="184" t="s">
        <v>3145</v>
      </c>
      <c r="B389" s="184" t="s">
        <v>4117</v>
      </c>
      <c r="C389" s="127">
        <v>42871</v>
      </c>
      <c r="D389" s="184" t="s">
        <v>10</v>
      </c>
      <c r="E389" s="184" t="s">
        <v>598</v>
      </c>
      <c r="F389" s="185">
        <v>2500</v>
      </c>
      <c r="G389" s="184" t="s">
        <v>493</v>
      </c>
      <c r="H389" s="184">
        <v>3827</v>
      </c>
      <c r="I389" s="185">
        <v>3000</v>
      </c>
      <c r="J389" s="184" t="s">
        <v>598</v>
      </c>
      <c r="K389" s="127">
        <v>42797</v>
      </c>
      <c r="L389" s="184" t="s">
        <v>134</v>
      </c>
      <c r="M389" s="184" t="s">
        <v>121</v>
      </c>
      <c r="N389" s="184" t="s">
        <v>219</v>
      </c>
      <c r="O389" s="184" t="s">
        <v>598</v>
      </c>
      <c r="P389" s="184" t="s">
        <v>63</v>
      </c>
      <c r="Q389" s="184" t="s">
        <v>63</v>
      </c>
      <c r="R389" s="184" t="s">
        <v>598</v>
      </c>
      <c r="S389" s="172">
        <v>42996.326388888891</v>
      </c>
      <c r="T389" s="32" t="s">
        <v>552</v>
      </c>
    </row>
    <row r="390" spans="1:20">
      <c r="A390" s="184" t="s">
        <v>3147</v>
      </c>
      <c r="B390" s="184" t="s">
        <v>4118</v>
      </c>
      <c r="C390" s="127">
        <v>42879</v>
      </c>
      <c r="D390" s="184" t="s">
        <v>10</v>
      </c>
      <c r="E390" s="184" t="s">
        <v>598</v>
      </c>
      <c r="F390" s="185">
        <v>2000</v>
      </c>
      <c r="G390" s="184" t="s">
        <v>493</v>
      </c>
      <c r="H390" s="184">
        <v>3859</v>
      </c>
      <c r="I390" s="185">
        <v>5000</v>
      </c>
      <c r="J390" s="184" t="s">
        <v>598</v>
      </c>
      <c r="K390" s="127">
        <v>42824</v>
      </c>
      <c r="L390" s="184" t="s">
        <v>118</v>
      </c>
      <c r="M390" s="184" t="s">
        <v>121</v>
      </c>
      <c r="N390" s="184" t="s">
        <v>261</v>
      </c>
      <c r="O390" s="184" t="s">
        <v>598</v>
      </c>
      <c r="P390" s="184" t="s">
        <v>63</v>
      </c>
      <c r="Q390" s="184" t="s">
        <v>63</v>
      </c>
      <c r="R390" s="184" t="s">
        <v>598</v>
      </c>
      <c r="S390" s="172">
        <v>42996.326388888891</v>
      </c>
      <c r="T390" s="32" t="s">
        <v>552</v>
      </c>
    </row>
    <row r="391" spans="1:20">
      <c r="A391" s="184" t="s">
        <v>3149</v>
      </c>
      <c r="B391" s="184" t="s">
        <v>4119</v>
      </c>
      <c r="C391" s="127">
        <v>42868</v>
      </c>
      <c r="D391" s="184" t="s">
        <v>10</v>
      </c>
      <c r="E391" s="184" t="s">
        <v>598</v>
      </c>
      <c r="F391" s="185">
        <v>3000</v>
      </c>
      <c r="G391" s="184" t="s">
        <v>493</v>
      </c>
      <c r="H391" s="184" t="s">
        <v>598</v>
      </c>
      <c r="I391" s="185">
        <v>0</v>
      </c>
      <c r="J391" s="184" t="s">
        <v>598</v>
      </c>
      <c r="K391" s="127">
        <v>42857</v>
      </c>
      <c r="L391" s="184" t="s">
        <v>120</v>
      </c>
      <c r="M391" s="184" t="s">
        <v>84</v>
      </c>
      <c r="N391" s="184" t="s">
        <v>445</v>
      </c>
      <c r="O391" s="184" t="s">
        <v>598</v>
      </c>
      <c r="P391" s="184" t="s">
        <v>42</v>
      </c>
      <c r="Q391" s="184" t="s">
        <v>73</v>
      </c>
      <c r="R391" s="184" t="s">
        <v>598</v>
      </c>
      <c r="S391" s="172">
        <v>42996.326388888891</v>
      </c>
      <c r="T391" s="32" t="s">
        <v>552</v>
      </c>
    </row>
    <row r="392" spans="1:20">
      <c r="A392" s="184" t="s">
        <v>3151</v>
      </c>
      <c r="B392" s="184" t="s">
        <v>4120</v>
      </c>
      <c r="C392" s="127">
        <v>42860</v>
      </c>
      <c r="D392" s="184" t="s">
        <v>34</v>
      </c>
      <c r="E392" s="184" t="s">
        <v>598</v>
      </c>
      <c r="F392" s="185">
        <v>1500</v>
      </c>
      <c r="G392" s="184" t="s">
        <v>493</v>
      </c>
      <c r="H392" s="184" t="s">
        <v>598</v>
      </c>
      <c r="I392" s="185">
        <v>0</v>
      </c>
      <c r="J392" s="184" t="s">
        <v>598</v>
      </c>
      <c r="K392" s="127">
        <v>42857</v>
      </c>
      <c r="L392" s="184" t="s">
        <v>134</v>
      </c>
      <c r="M392" s="184" t="s">
        <v>84</v>
      </c>
      <c r="N392" s="184" t="s">
        <v>261</v>
      </c>
      <c r="O392" s="184" t="s">
        <v>598</v>
      </c>
      <c r="P392" s="184" t="s">
        <v>42</v>
      </c>
      <c r="Q392" s="184" t="s">
        <v>73</v>
      </c>
      <c r="R392" s="184" t="s">
        <v>598</v>
      </c>
      <c r="S392" s="172">
        <v>42996.326388888891</v>
      </c>
      <c r="T392" s="32" t="s">
        <v>552</v>
      </c>
    </row>
    <row r="393" spans="1:20">
      <c r="A393" s="184" t="s">
        <v>3153</v>
      </c>
      <c r="B393" s="184" t="s">
        <v>4121</v>
      </c>
      <c r="C393" s="127">
        <v>42870</v>
      </c>
      <c r="D393" s="184" t="s">
        <v>10</v>
      </c>
      <c r="E393" s="184" t="s">
        <v>598</v>
      </c>
      <c r="F393" s="185">
        <v>3000</v>
      </c>
      <c r="G393" s="184" t="s">
        <v>493</v>
      </c>
      <c r="H393" s="184" t="s">
        <v>598</v>
      </c>
      <c r="I393" s="185">
        <v>0</v>
      </c>
      <c r="J393" s="184" t="s">
        <v>598</v>
      </c>
      <c r="K393" s="127">
        <v>42864</v>
      </c>
      <c r="L393" s="184" t="s">
        <v>132</v>
      </c>
      <c r="M393" s="184" t="s">
        <v>84</v>
      </c>
      <c r="N393" s="184" t="s">
        <v>384</v>
      </c>
      <c r="O393" s="184" t="s">
        <v>598</v>
      </c>
      <c r="P393" s="184" t="s">
        <v>42</v>
      </c>
      <c r="Q393" s="184" t="s">
        <v>598</v>
      </c>
      <c r="R393" s="184" t="s">
        <v>598</v>
      </c>
      <c r="S393" s="172">
        <v>42996.326388888891</v>
      </c>
      <c r="T393" s="32" t="s">
        <v>552</v>
      </c>
    </row>
    <row r="394" spans="1:20">
      <c r="A394" s="184" t="s">
        <v>3155</v>
      </c>
      <c r="B394" s="184" t="s">
        <v>4122</v>
      </c>
      <c r="C394" s="127">
        <v>42870</v>
      </c>
      <c r="D394" s="184" t="s">
        <v>10</v>
      </c>
      <c r="E394" s="184" t="s">
        <v>598</v>
      </c>
      <c r="F394" s="185">
        <v>3000</v>
      </c>
      <c r="G394" s="184" t="s">
        <v>493</v>
      </c>
      <c r="H394" s="184" t="s">
        <v>598</v>
      </c>
      <c r="I394" s="185">
        <v>0</v>
      </c>
      <c r="J394" s="184" t="s">
        <v>598</v>
      </c>
      <c r="K394" s="127">
        <v>42865</v>
      </c>
      <c r="L394" s="184" t="s">
        <v>120</v>
      </c>
      <c r="M394" s="184" t="s">
        <v>84</v>
      </c>
      <c r="N394" s="184" t="s">
        <v>192</v>
      </c>
      <c r="O394" s="184" t="s">
        <v>598</v>
      </c>
      <c r="P394" s="184" t="s">
        <v>42</v>
      </c>
      <c r="Q394" s="184" t="s">
        <v>42</v>
      </c>
      <c r="R394" s="184" t="s">
        <v>598</v>
      </c>
      <c r="S394" s="172">
        <v>42996.326388888891</v>
      </c>
      <c r="T394" s="32" t="s">
        <v>552</v>
      </c>
    </row>
    <row r="395" spans="1:20">
      <c r="A395" s="184" t="s">
        <v>3157</v>
      </c>
      <c r="B395" s="184" t="s">
        <v>4123</v>
      </c>
      <c r="C395" s="127">
        <v>42873</v>
      </c>
      <c r="D395" s="184" t="s">
        <v>10</v>
      </c>
      <c r="E395" s="184" t="s">
        <v>598</v>
      </c>
      <c r="F395" s="185">
        <v>3000</v>
      </c>
      <c r="G395" s="184" t="s">
        <v>493</v>
      </c>
      <c r="H395" s="184" t="s">
        <v>598</v>
      </c>
      <c r="I395" s="185">
        <v>0</v>
      </c>
      <c r="J395" s="184" t="s">
        <v>598</v>
      </c>
      <c r="K395" s="127">
        <v>42866</v>
      </c>
      <c r="L395" s="184" t="s">
        <v>122</v>
      </c>
      <c r="M395" s="184" t="s">
        <v>84</v>
      </c>
      <c r="N395" s="184" t="s">
        <v>293</v>
      </c>
      <c r="O395" s="184" t="s">
        <v>3159</v>
      </c>
      <c r="P395" s="184" t="s">
        <v>42</v>
      </c>
      <c r="Q395" s="184" t="s">
        <v>42</v>
      </c>
      <c r="R395" s="184" t="s">
        <v>598</v>
      </c>
      <c r="S395" s="172">
        <v>42996.326388888891</v>
      </c>
      <c r="T395" s="32" t="s">
        <v>552</v>
      </c>
    </row>
    <row r="396" spans="1:20">
      <c r="A396" s="184" t="s">
        <v>3160</v>
      </c>
      <c r="B396" s="184" t="s">
        <v>4124</v>
      </c>
      <c r="C396" s="127">
        <v>42870</v>
      </c>
      <c r="D396" s="184" t="s">
        <v>10</v>
      </c>
      <c r="E396" s="184" t="s">
        <v>598</v>
      </c>
      <c r="F396" s="185">
        <v>4000</v>
      </c>
      <c r="G396" s="184" t="s">
        <v>493</v>
      </c>
      <c r="H396" s="184" t="s">
        <v>598</v>
      </c>
      <c r="I396" s="185">
        <v>0</v>
      </c>
      <c r="J396" s="184" t="s">
        <v>598</v>
      </c>
      <c r="K396" s="127">
        <v>42866</v>
      </c>
      <c r="L396" s="184" t="s">
        <v>48</v>
      </c>
      <c r="M396" s="184" t="s">
        <v>84</v>
      </c>
      <c r="N396" s="184" t="s">
        <v>192</v>
      </c>
      <c r="O396" s="184" t="s">
        <v>1029</v>
      </c>
      <c r="P396" s="184" t="s">
        <v>42</v>
      </c>
      <c r="Q396" s="184" t="s">
        <v>598</v>
      </c>
      <c r="R396" s="184" t="s">
        <v>598</v>
      </c>
      <c r="S396" s="172">
        <v>42996.326388888891</v>
      </c>
      <c r="T396" s="32" t="s">
        <v>552</v>
      </c>
    </row>
    <row r="397" spans="1:20">
      <c r="A397" s="184" t="s">
        <v>3162</v>
      </c>
      <c r="B397" s="184" t="s">
        <v>4125</v>
      </c>
      <c r="C397" s="127">
        <v>42878</v>
      </c>
      <c r="D397" s="184" t="s">
        <v>10</v>
      </c>
      <c r="E397" s="184" t="s">
        <v>598</v>
      </c>
      <c r="F397" s="185">
        <v>5000</v>
      </c>
      <c r="G397" s="184" t="s">
        <v>493</v>
      </c>
      <c r="H397" s="184" t="s">
        <v>598</v>
      </c>
      <c r="I397" s="185">
        <v>0</v>
      </c>
      <c r="J397" s="184" t="s">
        <v>598</v>
      </c>
      <c r="K397" s="127">
        <v>42872</v>
      </c>
      <c r="L397" s="184" t="s">
        <v>122</v>
      </c>
      <c r="M397" s="184" t="s">
        <v>84</v>
      </c>
      <c r="N397" s="184" t="s">
        <v>192</v>
      </c>
      <c r="O397" s="184" t="s">
        <v>3164</v>
      </c>
      <c r="P397" s="184" t="s">
        <v>42</v>
      </c>
      <c r="Q397" s="184" t="s">
        <v>42</v>
      </c>
      <c r="R397" s="184" t="s">
        <v>598</v>
      </c>
      <c r="S397" s="172">
        <v>42996.326388888891</v>
      </c>
      <c r="T397" s="32" t="s">
        <v>552</v>
      </c>
    </row>
    <row r="398" spans="1:20">
      <c r="A398" s="184" t="s">
        <v>3165</v>
      </c>
      <c r="B398" s="184" t="s">
        <v>4126</v>
      </c>
      <c r="C398" s="127">
        <v>42879</v>
      </c>
      <c r="D398" s="184" t="s">
        <v>34</v>
      </c>
      <c r="E398" s="184" t="s">
        <v>598</v>
      </c>
      <c r="F398" s="185">
        <v>3000</v>
      </c>
      <c r="G398" s="184" t="s">
        <v>493</v>
      </c>
      <c r="H398" s="184" t="s">
        <v>598</v>
      </c>
      <c r="I398" s="185">
        <v>0</v>
      </c>
      <c r="J398" s="184" t="s">
        <v>598</v>
      </c>
      <c r="K398" s="127">
        <v>42875</v>
      </c>
      <c r="L398" s="184" t="s">
        <v>132</v>
      </c>
      <c r="M398" s="184" t="s">
        <v>84</v>
      </c>
      <c r="N398" s="184" t="s">
        <v>301</v>
      </c>
      <c r="O398" s="184" t="s">
        <v>598</v>
      </c>
      <c r="P398" s="184" t="s">
        <v>42</v>
      </c>
      <c r="Q398" s="184" t="s">
        <v>73</v>
      </c>
      <c r="R398" s="184" t="s">
        <v>598</v>
      </c>
      <c r="S398" s="172">
        <v>42996.326388888891</v>
      </c>
      <c r="T398" s="32" t="s">
        <v>552</v>
      </c>
    </row>
    <row r="399" spans="1:20">
      <c r="A399" s="184" t="s">
        <v>3167</v>
      </c>
      <c r="B399" s="184" t="s">
        <v>4127</v>
      </c>
      <c r="C399" s="127">
        <v>42868</v>
      </c>
      <c r="D399" s="184" t="s">
        <v>10</v>
      </c>
      <c r="E399" s="184" t="s">
        <v>598</v>
      </c>
      <c r="F399" s="185">
        <v>3000</v>
      </c>
      <c r="G399" s="184" t="s">
        <v>493</v>
      </c>
      <c r="H399" s="184" t="s">
        <v>598</v>
      </c>
      <c r="I399" s="185">
        <v>0</v>
      </c>
      <c r="J399" s="184" t="s">
        <v>598</v>
      </c>
      <c r="K399" s="127">
        <v>42875</v>
      </c>
      <c r="L399" s="184" t="s">
        <v>120</v>
      </c>
      <c r="M399" s="184" t="s">
        <v>84</v>
      </c>
      <c r="N399" s="184" t="s">
        <v>400</v>
      </c>
      <c r="O399" s="184" t="s">
        <v>598</v>
      </c>
      <c r="P399" s="184" t="s">
        <v>42</v>
      </c>
      <c r="Q399" s="184" t="s">
        <v>598</v>
      </c>
      <c r="R399" s="184" t="s">
        <v>598</v>
      </c>
      <c r="S399" s="172">
        <v>42996.326388888891</v>
      </c>
      <c r="T399" s="32" t="s">
        <v>552</v>
      </c>
    </row>
    <row r="400" spans="1:20">
      <c r="A400" s="184" t="s">
        <v>3168</v>
      </c>
      <c r="B400" s="184" t="s">
        <v>4128</v>
      </c>
      <c r="C400" s="127">
        <v>42879</v>
      </c>
      <c r="D400" s="184" t="s">
        <v>34</v>
      </c>
      <c r="E400" s="184" t="s">
        <v>598</v>
      </c>
      <c r="F400" s="185">
        <v>3000</v>
      </c>
      <c r="G400" s="184" t="s">
        <v>493</v>
      </c>
      <c r="H400" s="184" t="s">
        <v>598</v>
      </c>
      <c r="I400" s="185">
        <v>0</v>
      </c>
      <c r="J400" s="184" t="s">
        <v>598</v>
      </c>
      <c r="K400" s="127">
        <v>42877</v>
      </c>
      <c r="L400" s="184" t="s">
        <v>134</v>
      </c>
      <c r="M400" s="184" t="s">
        <v>84</v>
      </c>
      <c r="N400" s="184" t="s">
        <v>297</v>
      </c>
      <c r="O400" s="184" t="s">
        <v>598</v>
      </c>
      <c r="P400" s="184" t="s">
        <v>42</v>
      </c>
      <c r="Q400" s="184" t="s">
        <v>73</v>
      </c>
      <c r="R400" s="184" t="s">
        <v>598</v>
      </c>
      <c r="S400" s="172">
        <v>42996.326388888891</v>
      </c>
      <c r="T400" s="32" t="s">
        <v>552</v>
      </c>
    </row>
    <row r="401" spans="1:20">
      <c r="A401" s="184" t="s">
        <v>3170</v>
      </c>
      <c r="B401" s="184" t="s">
        <v>4129</v>
      </c>
      <c r="C401" s="127">
        <v>42880</v>
      </c>
      <c r="D401" s="184" t="s">
        <v>10</v>
      </c>
      <c r="E401" s="184" t="s">
        <v>598</v>
      </c>
      <c r="F401" s="185">
        <v>3000</v>
      </c>
      <c r="G401" s="184" t="s">
        <v>493</v>
      </c>
      <c r="H401" s="184" t="s">
        <v>598</v>
      </c>
      <c r="I401" s="185">
        <v>0</v>
      </c>
      <c r="J401" s="184" t="s">
        <v>598</v>
      </c>
      <c r="K401" s="127">
        <v>42877</v>
      </c>
      <c r="L401" s="184" t="s">
        <v>598</v>
      </c>
      <c r="M401" s="184" t="s">
        <v>84</v>
      </c>
      <c r="N401" s="184" t="s">
        <v>598</v>
      </c>
      <c r="O401" s="184" t="s">
        <v>598</v>
      </c>
      <c r="P401" s="184" t="s">
        <v>42</v>
      </c>
      <c r="Q401" s="184" t="s">
        <v>598</v>
      </c>
      <c r="R401" s="184" t="s">
        <v>598</v>
      </c>
      <c r="S401" s="172">
        <v>42996.326388888891</v>
      </c>
      <c r="T401" s="32" t="s">
        <v>552</v>
      </c>
    </row>
    <row r="402" spans="1:20">
      <c r="A402" s="184" t="s">
        <v>3172</v>
      </c>
      <c r="B402" s="184" t="s">
        <v>4130</v>
      </c>
      <c r="C402" s="127">
        <v>42881</v>
      </c>
      <c r="D402" s="184" t="s">
        <v>10</v>
      </c>
      <c r="E402" s="184" t="s">
        <v>598</v>
      </c>
      <c r="F402" s="185">
        <v>3000</v>
      </c>
      <c r="G402" s="184" t="s">
        <v>493</v>
      </c>
      <c r="H402" s="184" t="s">
        <v>598</v>
      </c>
      <c r="I402" s="185">
        <v>0</v>
      </c>
      <c r="J402" s="184" t="s">
        <v>598</v>
      </c>
      <c r="K402" s="127">
        <v>42877</v>
      </c>
      <c r="L402" s="184" t="s">
        <v>134</v>
      </c>
      <c r="M402" s="184" t="s">
        <v>84</v>
      </c>
      <c r="N402" s="184" t="s">
        <v>301</v>
      </c>
      <c r="O402" s="184" t="s">
        <v>598</v>
      </c>
      <c r="P402" s="184" t="s">
        <v>42</v>
      </c>
      <c r="Q402" s="184" t="s">
        <v>73</v>
      </c>
      <c r="R402" s="184" t="s">
        <v>598</v>
      </c>
      <c r="S402" s="172">
        <v>42996.326388888891</v>
      </c>
      <c r="T402" s="32" t="s">
        <v>552</v>
      </c>
    </row>
    <row r="403" spans="1:20">
      <c r="A403" s="184" t="s">
        <v>3174</v>
      </c>
      <c r="B403" s="184" t="s">
        <v>4131</v>
      </c>
      <c r="C403" s="127">
        <v>42880</v>
      </c>
      <c r="D403" s="184" t="s">
        <v>34</v>
      </c>
      <c r="E403" s="184" t="s">
        <v>598</v>
      </c>
      <c r="F403" s="185">
        <v>3000</v>
      </c>
      <c r="G403" s="184" t="s">
        <v>493</v>
      </c>
      <c r="H403" s="184" t="s">
        <v>598</v>
      </c>
      <c r="I403" s="185">
        <v>0</v>
      </c>
      <c r="J403" s="184" t="s">
        <v>598</v>
      </c>
      <c r="K403" s="127">
        <v>42880</v>
      </c>
      <c r="L403" s="184" t="s">
        <v>598</v>
      </c>
      <c r="M403" s="184" t="s">
        <v>84</v>
      </c>
      <c r="N403" s="184" t="s">
        <v>598</v>
      </c>
      <c r="O403" s="184" t="s">
        <v>1488</v>
      </c>
      <c r="P403" s="184" t="s">
        <v>42</v>
      </c>
      <c r="Q403" s="184" t="s">
        <v>598</v>
      </c>
      <c r="R403" s="184" t="s">
        <v>598</v>
      </c>
      <c r="S403" s="172">
        <v>42996.326388888891</v>
      </c>
      <c r="T403" s="32" t="s">
        <v>552</v>
      </c>
    </row>
    <row r="404" spans="1:20">
      <c r="A404" s="184" t="s">
        <v>3176</v>
      </c>
      <c r="B404" s="184" t="s">
        <v>4132</v>
      </c>
      <c r="C404" s="127">
        <v>42884</v>
      </c>
      <c r="D404" s="184" t="s">
        <v>34</v>
      </c>
      <c r="E404" s="184" t="s">
        <v>598</v>
      </c>
      <c r="F404" s="185">
        <v>2000</v>
      </c>
      <c r="G404" s="184" t="s">
        <v>493</v>
      </c>
      <c r="H404" s="184" t="s">
        <v>598</v>
      </c>
      <c r="I404" s="185">
        <v>0</v>
      </c>
      <c r="J404" s="184" t="s">
        <v>598</v>
      </c>
      <c r="K404" s="127">
        <v>42882</v>
      </c>
      <c r="L404" s="184" t="s">
        <v>120</v>
      </c>
      <c r="M404" s="184" t="s">
        <v>84</v>
      </c>
      <c r="N404" s="184" t="s">
        <v>293</v>
      </c>
      <c r="O404" s="184" t="s">
        <v>598</v>
      </c>
      <c r="P404" s="184" t="s">
        <v>42</v>
      </c>
      <c r="Q404" s="184" t="s">
        <v>598</v>
      </c>
      <c r="R404" s="184" t="s">
        <v>598</v>
      </c>
      <c r="S404" s="172">
        <v>42996.326388888891</v>
      </c>
      <c r="T404" s="32" t="s">
        <v>552</v>
      </c>
    </row>
    <row r="405" spans="1:20">
      <c r="A405" s="184" t="s">
        <v>3178</v>
      </c>
      <c r="B405" s="184" t="s">
        <v>4133</v>
      </c>
      <c r="C405" s="127">
        <v>42884</v>
      </c>
      <c r="D405" s="184" t="s">
        <v>34</v>
      </c>
      <c r="E405" s="184" t="s">
        <v>598</v>
      </c>
      <c r="F405" s="185">
        <v>3000</v>
      </c>
      <c r="G405" s="184" t="s">
        <v>493</v>
      </c>
      <c r="H405" s="184" t="s">
        <v>598</v>
      </c>
      <c r="I405" s="185">
        <v>0</v>
      </c>
      <c r="J405" s="184" t="s">
        <v>598</v>
      </c>
      <c r="K405" s="127">
        <v>42884</v>
      </c>
      <c r="L405" s="184" t="s">
        <v>134</v>
      </c>
      <c r="M405" s="184" t="s">
        <v>84</v>
      </c>
      <c r="N405" s="184" t="s">
        <v>192</v>
      </c>
      <c r="O405" s="184" t="s">
        <v>598</v>
      </c>
      <c r="P405" s="184" t="s">
        <v>42</v>
      </c>
      <c r="Q405" s="184" t="s">
        <v>42</v>
      </c>
      <c r="R405" s="184" t="s">
        <v>598</v>
      </c>
      <c r="S405" s="172">
        <v>42996.326388888891</v>
      </c>
      <c r="T405" s="32" t="s">
        <v>552</v>
      </c>
    </row>
    <row r="406" spans="1:20">
      <c r="A406" s="184" t="s">
        <v>3180</v>
      </c>
      <c r="B406" s="184" t="s">
        <v>4134</v>
      </c>
      <c r="C406" s="127">
        <v>42884</v>
      </c>
      <c r="D406" s="184" t="s">
        <v>34</v>
      </c>
      <c r="E406" s="184" t="s">
        <v>598</v>
      </c>
      <c r="F406" s="185">
        <v>2000</v>
      </c>
      <c r="G406" s="184" t="s">
        <v>493</v>
      </c>
      <c r="H406" s="184" t="s">
        <v>598</v>
      </c>
      <c r="I406" s="185">
        <v>0</v>
      </c>
      <c r="J406" s="184" t="s">
        <v>598</v>
      </c>
      <c r="K406" s="127">
        <v>42884</v>
      </c>
      <c r="L406" s="184" t="s">
        <v>134</v>
      </c>
      <c r="M406" s="184" t="s">
        <v>84</v>
      </c>
      <c r="N406" s="184" t="s">
        <v>291</v>
      </c>
      <c r="O406" s="184" t="s">
        <v>1911</v>
      </c>
      <c r="P406" s="184" t="s">
        <v>42</v>
      </c>
      <c r="Q406" s="184" t="s">
        <v>42</v>
      </c>
      <c r="R406" s="184" t="s">
        <v>598</v>
      </c>
      <c r="S406" s="172">
        <v>42996.326388888891</v>
      </c>
      <c r="T406" s="32" t="s">
        <v>552</v>
      </c>
    </row>
    <row r="407" spans="1:20">
      <c r="A407" s="184" t="s">
        <v>3182</v>
      </c>
      <c r="B407" s="184" t="s">
        <v>4135</v>
      </c>
      <c r="C407" s="127">
        <v>42878</v>
      </c>
      <c r="D407" s="184" t="s">
        <v>34</v>
      </c>
      <c r="E407" s="184" t="s">
        <v>598</v>
      </c>
      <c r="F407" s="185">
        <v>2000</v>
      </c>
      <c r="G407" s="184" t="s">
        <v>493</v>
      </c>
      <c r="H407" s="184" t="s">
        <v>598</v>
      </c>
      <c r="I407" s="185">
        <v>0</v>
      </c>
      <c r="J407" s="184" t="s">
        <v>598</v>
      </c>
      <c r="K407" s="127">
        <v>42665</v>
      </c>
      <c r="L407" s="184" t="s">
        <v>120</v>
      </c>
      <c r="M407" s="184" t="s">
        <v>84</v>
      </c>
      <c r="N407" s="184" t="s">
        <v>291</v>
      </c>
      <c r="O407" s="184" t="s">
        <v>3184</v>
      </c>
      <c r="P407" s="184" t="s">
        <v>42</v>
      </c>
      <c r="Q407" s="184" t="s">
        <v>73</v>
      </c>
      <c r="R407" s="184" t="s">
        <v>598</v>
      </c>
      <c r="S407" s="172">
        <v>42996.326388888891</v>
      </c>
      <c r="T407" s="32" t="s">
        <v>552</v>
      </c>
    </row>
    <row r="408" spans="1:20">
      <c r="A408" s="184" t="s">
        <v>3185</v>
      </c>
      <c r="B408" s="184" t="s">
        <v>4136</v>
      </c>
      <c r="C408" s="127">
        <v>42878</v>
      </c>
      <c r="D408" s="184" t="s">
        <v>3077</v>
      </c>
      <c r="E408" s="184" t="s">
        <v>598</v>
      </c>
      <c r="F408" s="185">
        <v>2000</v>
      </c>
      <c r="G408" s="184" t="s">
        <v>493</v>
      </c>
      <c r="H408" s="184" t="s">
        <v>598</v>
      </c>
      <c r="I408" s="185">
        <v>0</v>
      </c>
      <c r="J408" s="184" t="s">
        <v>598</v>
      </c>
      <c r="K408" s="127">
        <v>42665</v>
      </c>
      <c r="L408" s="184" t="s">
        <v>120</v>
      </c>
      <c r="M408" s="184" t="s">
        <v>84</v>
      </c>
      <c r="N408" s="184" t="s">
        <v>291</v>
      </c>
      <c r="O408" s="184" t="s">
        <v>3184</v>
      </c>
      <c r="P408" s="184" t="s">
        <v>42</v>
      </c>
      <c r="Q408" s="184" t="s">
        <v>73</v>
      </c>
      <c r="R408" s="184" t="s">
        <v>598</v>
      </c>
      <c r="S408" s="172">
        <v>42996.326388888891</v>
      </c>
      <c r="T408" s="32" t="s">
        <v>552</v>
      </c>
    </row>
    <row r="409" spans="1:20">
      <c r="A409" s="184" t="s">
        <v>3187</v>
      </c>
      <c r="B409" s="184" t="s">
        <v>4137</v>
      </c>
      <c r="C409" s="127">
        <v>42878</v>
      </c>
      <c r="D409" s="184" t="s">
        <v>3077</v>
      </c>
      <c r="E409" s="184" t="s">
        <v>598</v>
      </c>
      <c r="F409" s="185">
        <v>2000</v>
      </c>
      <c r="G409" s="184" t="s">
        <v>493</v>
      </c>
      <c r="H409" s="184" t="s">
        <v>598</v>
      </c>
      <c r="I409" s="185">
        <v>0</v>
      </c>
      <c r="J409" s="184" t="s">
        <v>598</v>
      </c>
      <c r="K409" s="127">
        <v>42665</v>
      </c>
      <c r="L409" s="184" t="s">
        <v>120</v>
      </c>
      <c r="M409" s="184" t="s">
        <v>84</v>
      </c>
      <c r="N409" s="184" t="s">
        <v>291</v>
      </c>
      <c r="O409" s="184" t="s">
        <v>3184</v>
      </c>
      <c r="P409" s="184" t="s">
        <v>42</v>
      </c>
      <c r="Q409" s="184" t="s">
        <v>73</v>
      </c>
      <c r="R409" s="184" t="s">
        <v>598</v>
      </c>
      <c r="S409" s="172">
        <v>42996.326388888891</v>
      </c>
      <c r="T409" s="32" t="s">
        <v>552</v>
      </c>
    </row>
    <row r="410" spans="1:20">
      <c r="A410" s="184" t="s">
        <v>3189</v>
      </c>
      <c r="B410" s="184" t="s">
        <v>4138</v>
      </c>
      <c r="C410" s="127">
        <v>42878</v>
      </c>
      <c r="D410" s="184" t="s">
        <v>3077</v>
      </c>
      <c r="E410" s="184" t="s">
        <v>598</v>
      </c>
      <c r="F410" s="185">
        <v>2000</v>
      </c>
      <c r="G410" s="184" t="s">
        <v>493</v>
      </c>
      <c r="H410" s="184" t="s">
        <v>598</v>
      </c>
      <c r="I410" s="185">
        <v>0</v>
      </c>
      <c r="J410" s="184" t="s">
        <v>598</v>
      </c>
      <c r="K410" s="127">
        <v>42665</v>
      </c>
      <c r="L410" s="184" t="s">
        <v>120</v>
      </c>
      <c r="M410" s="184" t="s">
        <v>84</v>
      </c>
      <c r="N410" s="184" t="s">
        <v>291</v>
      </c>
      <c r="O410" s="184" t="s">
        <v>3184</v>
      </c>
      <c r="P410" s="184" t="s">
        <v>42</v>
      </c>
      <c r="Q410" s="184" t="s">
        <v>73</v>
      </c>
      <c r="R410" s="184" t="s">
        <v>598</v>
      </c>
      <c r="S410" s="172">
        <v>42996.326388888891</v>
      </c>
      <c r="T410" s="32" t="s">
        <v>552</v>
      </c>
    </row>
    <row r="411" spans="1:20">
      <c r="A411" s="184" t="s">
        <v>3191</v>
      </c>
      <c r="B411" s="184" t="s">
        <v>4139</v>
      </c>
      <c r="C411" s="127">
        <v>42861</v>
      </c>
      <c r="D411" s="184" t="s">
        <v>10</v>
      </c>
      <c r="E411" s="184" t="s">
        <v>598</v>
      </c>
      <c r="F411" s="185">
        <v>2000</v>
      </c>
      <c r="G411" s="184" t="s">
        <v>493</v>
      </c>
      <c r="H411" s="184" t="s">
        <v>598</v>
      </c>
      <c r="I411" s="185">
        <v>0</v>
      </c>
      <c r="J411" s="184" t="s">
        <v>598</v>
      </c>
      <c r="K411" s="127">
        <v>42685</v>
      </c>
      <c r="L411" s="184" t="s">
        <v>598</v>
      </c>
      <c r="M411" s="184" t="s">
        <v>84</v>
      </c>
      <c r="N411" s="184" t="s">
        <v>244</v>
      </c>
      <c r="O411" s="184" t="s">
        <v>1919</v>
      </c>
      <c r="P411" s="184" t="s">
        <v>42</v>
      </c>
      <c r="Q411" s="184" t="s">
        <v>42</v>
      </c>
      <c r="R411" s="184" t="s">
        <v>598</v>
      </c>
      <c r="S411" s="172">
        <v>42996.326388888891</v>
      </c>
      <c r="T411" s="32" t="s">
        <v>552</v>
      </c>
    </row>
    <row r="412" spans="1:20">
      <c r="A412" s="184" t="s">
        <v>3193</v>
      </c>
      <c r="B412" s="184" t="s">
        <v>4140</v>
      </c>
      <c r="C412" s="127">
        <v>42861</v>
      </c>
      <c r="D412" s="184" t="s">
        <v>10</v>
      </c>
      <c r="E412" s="184" t="s">
        <v>598</v>
      </c>
      <c r="F412" s="185">
        <v>2000</v>
      </c>
      <c r="G412" s="184" t="s">
        <v>493</v>
      </c>
      <c r="H412" s="184" t="s">
        <v>598</v>
      </c>
      <c r="I412" s="185">
        <v>0</v>
      </c>
      <c r="J412" s="184" t="s">
        <v>598</v>
      </c>
      <c r="K412" s="127">
        <v>42685</v>
      </c>
      <c r="L412" s="184" t="s">
        <v>598</v>
      </c>
      <c r="M412" s="184" t="s">
        <v>84</v>
      </c>
      <c r="N412" s="184" t="s">
        <v>244</v>
      </c>
      <c r="O412" s="184" t="s">
        <v>1919</v>
      </c>
      <c r="P412" s="184" t="s">
        <v>42</v>
      </c>
      <c r="Q412" s="184" t="s">
        <v>42</v>
      </c>
      <c r="R412" s="184" t="s">
        <v>598</v>
      </c>
      <c r="S412" s="172">
        <v>42996.326388888891</v>
      </c>
      <c r="T412" s="32" t="s">
        <v>552</v>
      </c>
    </row>
    <row r="413" spans="1:20">
      <c r="A413" s="184" t="s">
        <v>3195</v>
      </c>
      <c r="B413" s="184" t="s">
        <v>4141</v>
      </c>
      <c r="C413" s="127">
        <v>42861</v>
      </c>
      <c r="D413" s="184" t="s">
        <v>10</v>
      </c>
      <c r="E413" s="184" t="s">
        <v>598</v>
      </c>
      <c r="F413" s="185">
        <v>2000</v>
      </c>
      <c r="G413" s="184" t="s">
        <v>493</v>
      </c>
      <c r="H413" s="184" t="s">
        <v>598</v>
      </c>
      <c r="I413" s="185">
        <v>0</v>
      </c>
      <c r="J413" s="184" t="s">
        <v>598</v>
      </c>
      <c r="K413" s="127">
        <v>42685</v>
      </c>
      <c r="L413" s="184" t="s">
        <v>598</v>
      </c>
      <c r="M413" s="184" t="s">
        <v>84</v>
      </c>
      <c r="N413" s="184" t="s">
        <v>244</v>
      </c>
      <c r="O413" s="184" t="s">
        <v>1919</v>
      </c>
      <c r="P413" s="184" t="s">
        <v>42</v>
      </c>
      <c r="Q413" s="184" t="s">
        <v>42</v>
      </c>
      <c r="R413" s="184" t="s">
        <v>598</v>
      </c>
      <c r="S413" s="172">
        <v>42996.326388888891</v>
      </c>
      <c r="T413" s="32" t="s">
        <v>552</v>
      </c>
    </row>
    <row r="414" spans="1:20">
      <c r="A414" s="184" t="s">
        <v>3197</v>
      </c>
      <c r="B414" s="184" t="s">
        <v>4142</v>
      </c>
      <c r="C414" s="127">
        <v>42861</v>
      </c>
      <c r="D414" s="184" t="s">
        <v>10</v>
      </c>
      <c r="E414" s="184" t="s">
        <v>598</v>
      </c>
      <c r="F414" s="185">
        <v>2000</v>
      </c>
      <c r="G414" s="184" t="s">
        <v>493</v>
      </c>
      <c r="H414" s="184" t="s">
        <v>598</v>
      </c>
      <c r="I414" s="185">
        <v>0</v>
      </c>
      <c r="J414" s="184" t="s">
        <v>598</v>
      </c>
      <c r="K414" s="127">
        <v>42685</v>
      </c>
      <c r="L414" s="184" t="s">
        <v>134</v>
      </c>
      <c r="M414" s="184" t="s">
        <v>84</v>
      </c>
      <c r="N414" s="184" t="s">
        <v>244</v>
      </c>
      <c r="O414" s="184" t="s">
        <v>1919</v>
      </c>
      <c r="P414" s="184" t="s">
        <v>42</v>
      </c>
      <c r="Q414" s="184" t="s">
        <v>42</v>
      </c>
      <c r="R414" s="184" t="s">
        <v>598</v>
      </c>
      <c r="S414" s="172">
        <v>42996.326388888891</v>
      </c>
      <c r="T414" s="32" t="s">
        <v>552</v>
      </c>
    </row>
    <row r="415" spans="1:20">
      <c r="A415" s="184" t="s">
        <v>3199</v>
      </c>
      <c r="B415" s="184" t="s">
        <v>4143</v>
      </c>
      <c r="C415" s="127">
        <v>42861</v>
      </c>
      <c r="D415" s="184" t="s">
        <v>10</v>
      </c>
      <c r="E415" s="184" t="s">
        <v>598</v>
      </c>
      <c r="F415" s="185">
        <v>2000</v>
      </c>
      <c r="G415" s="184" t="s">
        <v>493</v>
      </c>
      <c r="H415" s="184" t="s">
        <v>598</v>
      </c>
      <c r="I415" s="185">
        <v>0</v>
      </c>
      <c r="J415" s="184" t="s">
        <v>598</v>
      </c>
      <c r="K415" s="127">
        <v>42685</v>
      </c>
      <c r="L415" s="184" t="s">
        <v>134</v>
      </c>
      <c r="M415" s="184" t="s">
        <v>84</v>
      </c>
      <c r="N415" s="184" t="s">
        <v>244</v>
      </c>
      <c r="O415" s="184" t="s">
        <v>1919</v>
      </c>
      <c r="P415" s="184" t="s">
        <v>42</v>
      </c>
      <c r="Q415" s="184" t="s">
        <v>42</v>
      </c>
      <c r="R415" s="184" t="s">
        <v>598</v>
      </c>
      <c r="S415" s="172">
        <v>42996.326388888891</v>
      </c>
      <c r="T415" s="32" t="s">
        <v>552</v>
      </c>
    </row>
    <row r="416" spans="1:20">
      <c r="A416" s="184" t="s">
        <v>3201</v>
      </c>
      <c r="B416" s="184" t="s">
        <v>4144</v>
      </c>
      <c r="C416" s="127">
        <v>42861</v>
      </c>
      <c r="D416" s="184" t="s">
        <v>10</v>
      </c>
      <c r="E416" s="184" t="s">
        <v>598</v>
      </c>
      <c r="F416" s="185">
        <v>2000</v>
      </c>
      <c r="G416" s="184" t="s">
        <v>493</v>
      </c>
      <c r="H416" s="184" t="s">
        <v>598</v>
      </c>
      <c r="I416" s="185">
        <v>0</v>
      </c>
      <c r="J416" s="184" t="s">
        <v>598</v>
      </c>
      <c r="K416" s="127">
        <v>42686</v>
      </c>
      <c r="L416" s="184" t="s">
        <v>598</v>
      </c>
      <c r="M416" s="184" t="s">
        <v>84</v>
      </c>
      <c r="N416" s="184" t="s">
        <v>281</v>
      </c>
      <c r="O416" s="184" t="s">
        <v>1919</v>
      </c>
      <c r="P416" s="184" t="s">
        <v>42</v>
      </c>
      <c r="Q416" s="184" t="s">
        <v>42</v>
      </c>
      <c r="R416" s="184" t="s">
        <v>598</v>
      </c>
      <c r="S416" s="172">
        <v>42996.326388888891</v>
      </c>
      <c r="T416" s="32" t="s">
        <v>552</v>
      </c>
    </row>
    <row r="417" spans="1:20">
      <c r="A417" s="184" t="s">
        <v>3203</v>
      </c>
      <c r="B417" s="184" t="s">
        <v>4145</v>
      </c>
      <c r="C417" s="127">
        <v>42861</v>
      </c>
      <c r="D417" s="184" t="s">
        <v>10</v>
      </c>
      <c r="E417" s="184" t="s">
        <v>598</v>
      </c>
      <c r="F417" s="185">
        <v>2000</v>
      </c>
      <c r="G417" s="184" t="s">
        <v>493</v>
      </c>
      <c r="H417" s="184" t="s">
        <v>598</v>
      </c>
      <c r="I417" s="185">
        <v>0</v>
      </c>
      <c r="J417" s="184" t="s">
        <v>598</v>
      </c>
      <c r="K417" s="127">
        <v>42693</v>
      </c>
      <c r="L417" s="184" t="s">
        <v>134</v>
      </c>
      <c r="M417" s="184" t="s">
        <v>84</v>
      </c>
      <c r="N417" s="184" t="s">
        <v>244</v>
      </c>
      <c r="O417" s="184" t="s">
        <v>1919</v>
      </c>
      <c r="P417" s="184" t="s">
        <v>42</v>
      </c>
      <c r="Q417" s="184" t="s">
        <v>598</v>
      </c>
      <c r="R417" s="184" t="s">
        <v>598</v>
      </c>
      <c r="S417" s="172">
        <v>42996.326388888891</v>
      </c>
      <c r="T417" s="32" t="s">
        <v>552</v>
      </c>
    </row>
    <row r="418" spans="1:20">
      <c r="A418" s="184" t="s">
        <v>3205</v>
      </c>
      <c r="B418" s="184" t="s">
        <v>4146</v>
      </c>
      <c r="C418" s="127">
        <v>42861</v>
      </c>
      <c r="D418" s="184" t="s">
        <v>10</v>
      </c>
      <c r="E418" s="184" t="s">
        <v>598</v>
      </c>
      <c r="F418" s="185">
        <v>2000</v>
      </c>
      <c r="G418" s="184" t="s">
        <v>493</v>
      </c>
      <c r="H418" s="184" t="s">
        <v>598</v>
      </c>
      <c r="I418" s="185">
        <v>0</v>
      </c>
      <c r="J418" s="184" t="s">
        <v>598</v>
      </c>
      <c r="K418" s="127">
        <v>42693</v>
      </c>
      <c r="L418" s="184" t="s">
        <v>134</v>
      </c>
      <c r="M418" s="184" t="s">
        <v>84</v>
      </c>
      <c r="N418" s="184" t="s">
        <v>244</v>
      </c>
      <c r="O418" s="184" t="s">
        <v>1919</v>
      </c>
      <c r="P418" s="184" t="s">
        <v>42</v>
      </c>
      <c r="Q418" s="184" t="s">
        <v>598</v>
      </c>
      <c r="R418" s="184" t="s">
        <v>598</v>
      </c>
      <c r="S418" s="172">
        <v>42996.326388888891</v>
      </c>
      <c r="T418" s="32" t="s">
        <v>552</v>
      </c>
    </row>
    <row r="419" spans="1:20">
      <c r="A419" s="184" t="s">
        <v>3207</v>
      </c>
      <c r="B419" s="184" t="s">
        <v>4147</v>
      </c>
      <c r="C419" s="127">
        <v>42861</v>
      </c>
      <c r="D419" s="184" t="s">
        <v>10</v>
      </c>
      <c r="E419" s="184" t="s">
        <v>598</v>
      </c>
      <c r="F419" s="185">
        <v>2000</v>
      </c>
      <c r="G419" s="184" t="s">
        <v>493</v>
      </c>
      <c r="H419" s="184" t="s">
        <v>598</v>
      </c>
      <c r="I419" s="185">
        <v>0</v>
      </c>
      <c r="J419" s="184" t="s">
        <v>598</v>
      </c>
      <c r="K419" s="127">
        <v>42693</v>
      </c>
      <c r="L419" s="184" t="s">
        <v>134</v>
      </c>
      <c r="M419" s="184" t="s">
        <v>84</v>
      </c>
      <c r="N419" s="184" t="s">
        <v>244</v>
      </c>
      <c r="O419" s="184" t="s">
        <v>1919</v>
      </c>
      <c r="P419" s="184" t="s">
        <v>42</v>
      </c>
      <c r="Q419" s="184" t="s">
        <v>598</v>
      </c>
      <c r="R419" s="184" t="s">
        <v>598</v>
      </c>
      <c r="S419" s="172">
        <v>42996.326388888891</v>
      </c>
      <c r="T419" s="32" t="s">
        <v>552</v>
      </c>
    </row>
    <row r="420" spans="1:20">
      <c r="A420" s="184" t="s">
        <v>3209</v>
      </c>
      <c r="B420" s="184" t="s">
        <v>4148</v>
      </c>
      <c r="C420" s="127">
        <v>42867</v>
      </c>
      <c r="D420" s="184" t="s">
        <v>10</v>
      </c>
      <c r="E420" s="184" t="s">
        <v>598</v>
      </c>
      <c r="F420" s="185">
        <v>9000</v>
      </c>
      <c r="G420" s="184" t="s">
        <v>493</v>
      </c>
      <c r="H420" s="184" t="s">
        <v>598</v>
      </c>
      <c r="I420" s="185">
        <v>0</v>
      </c>
      <c r="J420" s="184" t="s">
        <v>598</v>
      </c>
      <c r="K420" s="127">
        <v>42745</v>
      </c>
      <c r="L420" s="184" t="s">
        <v>48</v>
      </c>
      <c r="M420" s="184" t="s">
        <v>84</v>
      </c>
      <c r="N420" s="184" t="s">
        <v>291</v>
      </c>
      <c r="O420" s="184" t="s">
        <v>1911</v>
      </c>
      <c r="P420" s="184" t="s">
        <v>42</v>
      </c>
      <c r="Q420" s="184" t="s">
        <v>42</v>
      </c>
      <c r="R420" s="184" t="s">
        <v>598</v>
      </c>
      <c r="S420" s="172">
        <v>42996.326388888891</v>
      </c>
      <c r="T420" s="32" t="s">
        <v>552</v>
      </c>
    </row>
    <row r="421" spans="1:20">
      <c r="A421" s="184" t="s">
        <v>3211</v>
      </c>
      <c r="B421" s="184" t="s">
        <v>4149</v>
      </c>
      <c r="C421" s="127">
        <v>42867</v>
      </c>
      <c r="D421" s="184" t="s">
        <v>10</v>
      </c>
      <c r="E421" s="184" t="s">
        <v>598</v>
      </c>
      <c r="F421" s="185">
        <v>9000</v>
      </c>
      <c r="G421" s="184" t="s">
        <v>493</v>
      </c>
      <c r="H421" s="184" t="s">
        <v>598</v>
      </c>
      <c r="I421" s="185">
        <v>0</v>
      </c>
      <c r="J421" s="184" t="s">
        <v>598</v>
      </c>
      <c r="K421" s="127">
        <v>42755</v>
      </c>
      <c r="L421" s="184" t="s">
        <v>122</v>
      </c>
      <c r="M421" s="184" t="s">
        <v>84</v>
      </c>
      <c r="N421" s="184" t="s">
        <v>291</v>
      </c>
      <c r="O421" s="184" t="s">
        <v>1911</v>
      </c>
      <c r="P421" s="184" t="s">
        <v>42</v>
      </c>
      <c r="Q421" s="184" t="s">
        <v>598</v>
      </c>
      <c r="R421" s="184" t="s">
        <v>598</v>
      </c>
      <c r="S421" s="172">
        <v>42996.326388888891</v>
      </c>
      <c r="T421" s="32" t="s">
        <v>552</v>
      </c>
    </row>
    <row r="422" spans="1:20">
      <c r="A422" s="184" t="s">
        <v>3213</v>
      </c>
      <c r="B422" s="184" t="s">
        <v>4150</v>
      </c>
      <c r="C422" s="127">
        <v>42861</v>
      </c>
      <c r="D422" s="184" t="s">
        <v>10</v>
      </c>
      <c r="E422" s="184" t="s">
        <v>598</v>
      </c>
      <c r="F422" s="185">
        <v>2000</v>
      </c>
      <c r="G422" s="184" t="s">
        <v>493</v>
      </c>
      <c r="H422" s="184" t="s">
        <v>598</v>
      </c>
      <c r="I422" s="185">
        <v>0</v>
      </c>
      <c r="J422" s="184" t="s">
        <v>598</v>
      </c>
      <c r="K422" s="127">
        <v>42763</v>
      </c>
      <c r="L422" s="184" t="s">
        <v>134</v>
      </c>
      <c r="M422" s="184" t="s">
        <v>84</v>
      </c>
      <c r="N422" s="184" t="s">
        <v>3215</v>
      </c>
      <c r="O422" s="184" t="s">
        <v>1919</v>
      </c>
      <c r="P422" s="184" t="s">
        <v>42</v>
      </c>
      <c r="Q422" s="184" t="s">
        <v>598</v>
      </c>
      <c r="R422" s="184" t="s">
        <v>598</v>
      </c>
      <c r="S422" s="172">
        <v>42996.326388888891</v>
      </c>
      <c r="T422" s="32" t="s">
        <v>552</v>
      </c>
    </row>
    <row r="423" spans="1:20">
      <c r="A423" s="184" t="s">
        <v>3216</v>
      </c>
      <c r="B423" s="184" t="s">
        <v>4151</v>
      </c>
      <c r="C423" s="127">
        <v>42874</v>
      </c>
      <c r="D423" s="184" t="s">
        <v>10</v>
      </c>
      <c r="E423" s="184" t="s">
        <v>598</v>
      </c>
      <c r="F423" s="185">
        <v>4000</v>
      </c>
      <c r="G423" s="184" t="s">
        <v>493</v>
      </c>
      <c r="H423" s="184" t="s">
        <v>598</v>
      </c>
      <c r="I423" s="185">
        <v>0</v>
      </c>
      <c r="J423" s="184" t="s">
        <v>598</v>
      </c>
      <c r="K423" s="127">
        <v>42769</v>
      </c>
      <c r="L423" s="184" t="s">
        <v>120</v>
      </c>
      <c r="M423" s="184" t="s">
        <v>84</v>
      </c>
      <c r="N423" s="184" t="s">
        <v>281</v>
      </c>
      <c r="O423" s="184" t="s">
        <v>2872</v>
      </c>
      <c r="P423" s="184" t="s">
        <v>42</v>
      </c>
      <c r="Q423" s="184" t="s">
        <v>73</v>
      </c>
      <c r="R423" s="184" t="s">
        <v>598</v>
      </c>
      <c r="S423" s="172">
        <v>42996.326388888891</v>
      </c>
      <c r="T423" s="32" t="s">
        <v>552</v>
      </c>
    </row>
    <row r="424" spans="1:20">
      <c r="A424" s="184" t="s">
        <v>3218</v>
      </c>
      <c r="B424" s="184" t="s">
        <v>4152</v>
      </c>
      <c r="C424" s="127">
        <v>42863</v>
      </c>
      <c r="D424" s="184" t="s">
        <v>10</v>
      </c>
      <c r="E424" s="184" t="s">
        <v>598</v>
      </c>
      <c r="F424" s="185">
        <v>7500</v>
      </c>
      <c r="G424" s="184" t="s">
        <v>493</v>
      </c>
      <c r="H424" s="184" t="s">
        <v>598</v>
      </c>
      <c r="I424" s="185">
        <v>0</v>
      </c>
      <c r="J424" s="184" t="s">
        <v>598</v>
      </c>
      <c r="K424" s="127">
        <v>42779</v>
      </c>
      <c r="L424" s="184" t="s">
        <v>58</v>
      </c>
      <c r="M424" s="184" t="s">
        <v>84</v>
      </c>
      <c r="N424" s="184" t="s">
        <v>189</v>
      </c>
      <c r="O424" s="184" t="s">
        <v>2060</v>
      </c>
      <c r="P424" s="184" t="s">
        <v>42</v>
      </c>
      <c r="Q424" s="184" t="s">
        <v>73</v>
      </c>
      <c r="R424" s="184" t="s">
        <v>598</v>
      </c>
      <c r="S424" s="172">
        <v>42996.326388888891</v>
      </c>
      <c r="T424" s="32" t="s">
        <v>552</v>
      </c>
    </row>
    <row r="425" spans="1:20">
      <c r="A425" s="184" t="s">
        <v>3220</v>
      </c>
      <c r="B425" s="184" t="s">
        <v>4153</v>
      </c>
      <c r="C425" s="127">
        <v>42873</v>
      </c>
      <c r="D425" s="184" t="s">
        <v>10</v>
      </c>
      <c r="E425" s="184" t="s">
        <v>598</v>
      </c>
      <c r="F425" s="185">
        <v>13500</v>
      </c>
      <c r="G425" s="184" t="s">
        <v>493</v>
      </c>
      <c r="H425" s="184" t="s">
        <v>598</v>
      </c>
      <c r="I425" s="185">
        <v>0</v>
      </c>
      <c r="J425" s="184" t="s">
        <v>598</v>
      </c>
      <c r="K425" s="127">
        <v>42800</v>
      </c>
      <c r="L425" s="184" t="s">
        <v>115</v>
      </c>
      <c r="M425" s="184" t="s">
        <v>84</v>
      </c>
      <c r="N425" s="184" t="s">
        <v>276</v>
      </c>
      <c r="O425" s="184" t="s">
        <v>1951</v>
      </c>
      <c r="P425" s="184" t="s">
        <v>42</v>
      </c>
      <c r="Q425" s="184" t="s">
        <v>598</v>
      </c>
      <c r="R425" s="184" t="s">
        <v>598</v>
      </c>
      <c r="S425" s="172">
        <v>42996.326388888891</v>
      </c>
      <c r="T425" s="32" t="s">
        <v>552</v>
      </c>
    </row>
    <row r="426" spans="1:20">
      <c r="A426" s="184" t="s">
        <v>3222</v>
      </c>
      <c r="B426" s="184" t="s">
        <v>4154</v>
      </c>
      <c r="C426" s="127">
        <v>42873</v>
      </c>
      <c r="D426" s="184" t="s">
        <v>10</v>
      </c>
      <c r="E426" s="184" t="s">
        <v>598</v>
      </c>
      <c r="F426" s="185">
        <v>13500</v>
      </c>
      <c r="G426" s="184" t="s">
        <v>493</v>
      </c>
      <c r="H426" s="184" t="s">
        <v>598</v>
      </c>
      <c r="I426" s="185">
        <v>0</v>
      </c>
      <c r="J426" s="184" t="s">
        <v>598</v>
      </c>
      <c r="K426" s="127">
        <v>42802</v>
      </c>
      <c r="L426" s="184" t="s">
        <v>115</v>
      </c>
      <c r="M426" s="184" t="s">
        <v>84</v>
      </c>
      <c r="N426" s="184" t="s">
        <v>446</v>
      </c>
      <c r="O426" s="184" t="s">
        <v>598</v>
      </c>
      <c r="P426" s="184" t="s">
        <v>42</v>
      </c>
      <c r="Q426" s="184" t="s">
        <v>598</v>
      </c>
      <c r="R426" s="184" t="s">
        <v>598</v>
      </c>
      <c r="S426" s="172">
        <v>42996.326388888891</v>
      </c>
      <c r="T426" s="32" t="s">
        <v>552</v>
      </c>
    </row>
    <row r="427" spans="1:20">
      <c r="A427" s="184" t="s">
        <v>3224</v>
      </c>
      <c r="B427" s="184" t="s">
        <v>4155</v>
      </c>
      <c r="C427" s="127">
        <v>42867</v>
      </c>
      <c r="D427" s="184" t="s">
        <v>10</v>
      </c>
      <c r="E427" s="184" t="s">
        <v>598</v>
      </c>
      <c r="F427" s="185">
        <v>13500</v>
      </c>
      <c r="G427" s="184" t="s">
        <v>493</v>
      </c>
      <c r="H427" s="184" t="s">
        <v>598</v>
      </c>
      <c r="I427" s="185">
        <v>0</v>
      </c>
      <c r="J427" s="184" t="s">
        <v>598</v>
      </c>
      <c r="K427" s="127">
        <v>42803</v>
      </c>
      <c r="L427" s="184" t="s">
        <v>115</v>
      </c>
      <c r="M427" s="184" t="s">
        <v>84</v>
      </c>
      <c r="N427" s="184" t="s">
        <v>281</v>
      </c>
      <c r="O427" s="184" t="s">
        <v>1962</v>
      </c>
      <c r="P427" s="184" t="s">
        <v>42</v>
      </c>
      <c r="Q427" s="184" t="s">
        <v>598</v>
      </c>
      <c r="R427" s="184" t="s">
        <v>598</v>
      </c>
      <c r="S427" s="172">
        <v>42996.326388888891</v>
      </c>
      <c r="T427" s="32" t="s">
        <v>552</v>
      </c>
    </row>
    <row r="428" spans="1:20">
      <c r="A428" s="184" t="s">
        <v>3226</v>
      </c>
      <c r="B428" s="184" t="s">
        <v>4156</v>
      </c>
      <c r="C428" s="127">
        <v>42867</v>
      </c>
      <c r="D428" s="184" t="s">
        <v>10</v>
      </c>
      <c r="E428" s="184" t="s">
        <v>598</v>
      </c>
      <c r="F428" s="185">
        <v>9000</v>
      </c>
      <c r="G428" s="184" t="s">
        <v>493</v>
      </c>
      <c r="H428" s="184" t="s">
        <v>598</v>
      </c>
      <c r="I428" s="185">
        <v>0</v>
      </c>
      <c r="J428" s="184" t="s">
        <v>598</v>
      </c>
      <c r="K428" s="127">
        <v>42808</v>
      </c>
      <c r="L428" s="184" t="s">
        <v>134</v>
      </c>
      <c r="M428" s="184" t="s">
        <v>84</v>
      </c>
      <c r="N428" s="184" t="s">
        <v>386</v>
      </c>
      <c r="O428" s="184" t="s">
        <v>1488</v>
      </c>
      <c r="P428" s="184" t="s">
        <v>42</v>
      </c>
      <c r="Q428" s="184" t="s">
        <v>42</v>
      </c>
      <c r="R428" s="184" t="s">
        <v>598</v>
      </c>
      <c r="S428" s="172">
        <v>42996.326388888891</v>
      </c>
      <c r="T428" s="32" t="s">
        <v>552</v>
      </c>
    </row>
    <row r="429" spans="1:20">
      <c r="A429" s="184" t="s">
        <v>3228</v>
      </c>
      <c r="B429" s="184" t="s">
        <v>4157</v>
      </c>
      <c r="C429" s="127">
        <v>42858</v>
      </c>
      <c r="D429" s="184" t="s">
        <v>10</v>
      </c>
      <c r="E429" s="184" t="s">
        <v>598</v>
      </c>
      <c r="F429" s="185">
        <v>4000</v>
      </c>
      <c r="G429" s="184" t="s">
        <v>493</v>
      </c>
      <c r="H429" s="184" t="s">
        <v>598</v>
      </c>
      <c r="I429" s="185">
        <v>0</v>
      </c>
      <c r="J429" s="184" t="s">
        <v>598</v>
      </c>
      <c r="K429" s="127">
        <v>42811</v>
      </c>
      <c r="L429" s="184" t="s">
        <v>134</v>
      </c>
      <c r="M429" s="184" t="s">
        <v>84</v>
      </c>
      <c r="N429" s="184" t="s">
        <v>301</v>
      </c>
      <c r="O429" s="184" t="s">
        <v>73</v>
      </c>
      <c r="P429" s="184" t="s">
        <v>42</v>
      </c>
      <c r="Q429" s="184" t="s">
        <v>51</v>
      </c>
      <c r="R429" s="184" t="s">
        <v>598</v>
      </c>
      <c r="S429" s="172">
        <v>42996.326388888891</v>
      </c>
      <c r="T429" s="32" t="s">
        <v>552</v>
      </c>
    </row>
    <row r="430" spans="1:20">
      <c r="A430" s="184" t="s">
        <v>3230</v>
      </c>
      <c r="B430" s="184" t="s">
        <v>4158</v>
      </c>
      <c r="C430" s="127">
        <v>42874</v>
      </c>
      <c r="D430" s="184" t="s">
        <v>10</v>
      </c>
      <c r="E430" s="184" t="s">
        <v>598</v>
      </c>
      <c r="F430" s="185">
        <v>4000</v>
      </c>
      <c r="G430" s="184" t="s">
        <v>493</v>
      </c>
      <c r="H430" s="184" t="s">
        <v>598</v>
      </c>
      <c r="I430" s="185">
        <v>0</v>
      </c>
      <c r="J430" s="184" t="s">
        <v>598</v>
      </c>
      <c r="K430" s="127">
        <v>42817</v>
      </c>
      <c r="L430" s="184" t="s">
        <v>120</v>
      </c>
      <c r="M430" s="184" t="s">
        <v>84</v>
      </c>
      <c r="N430" s="184" t="s">
        <v>3232</v>
      </c>
      <c r="O430" s="184" t="s">
        <v>3233</v>
      </c>
      <c r="P430" s="184" t="s">
        <v>42</v>
      </c>
      <c r="Q430" s="184" t="s">
        <v>598</v>
      </c>
      <c r="R430" s="184" t="s">
        <v>598</v>
      </c>
      <c r="S430" s="172">
        <v>42996.326388888891</v>
      </c>
      <c r="T430" s="32" t="s">
        <v>552</v>
      </c>
    </row>
    <row r="431" spans="1:20">
      <c r="A431" s="184" t="s">
        <v>3234</v>
      </c>
      <c r="B431" s="184" t="s">
        <v>4159</v>
      </c>
      <c r="C431" s="127">
        <v>42874</v>
      </c>
      <c r="D431" s="184" t="s">
        <v>10</v>
      </c>
      <c r="E431" s="184" t="s">
        <v>598</v>
      </c>
      <c r="F431" s="185">
        <v>4000</v>
      </c>
      <c r="G431" s="184" t="s">
        <v>493</v>
      </c>
      <c r="H431" s="184" t="s">
        <v>598</v>
      </c>
      <c r="I431" s="185">
        <v>0</v>
      </c>
      <c r="J431" s="184" t="s">
        <v>598</v>
      </c>
      <c r="K431" s="127">
        <v>42817</v>
      </c>
      <c r="L431" s="184" t="s">
        <v>120</v>
      </c>
      <c r="M431" s="184" t="s">
        <v>84</v>
      </c>
      <c r="N431" s="184" t="s">
        <v>281</v>
      </c>
      <c r="O431" s="184" t="s">
        <v>3233</v>
      </c>
      <c r="P431" s="184" t="s">
        <v>42</v>
      </c>
      <c r="Q431" s="184" t="s">
        <v>598</v>
      </c>
      <c r="R431" s="184" t="s">
        <v>598</v>
      </c>
      <c r="S431" s="172">
        <v>42996.326388888891</v>
      </c>
      <c r="T431" s="32" t="s">
        <v>552</v>
      </c>
    </row>
    <row r="432" spans="1:20">
      <c r="A432" s="184" t="s">
        <v>3236</v>
      </c>
      <c r="B432" s="184" t="s">
        <v>4160</v>
      </c>
      <c r="C432" s="127">
        <v>42867</v>
      </c>
      <c r="D432" s="184" t="s">
        <v>10</v>
      </c>
      <c r="E432" s="184" t="s">
        <v>598</v>
      </c>
      <c r="F432" s="185">
        <v>13500</v>
      </c>
      <c r="G432" s="184" t="s">
        <v>493</v>
      </c>
      <c r="H432" s="184" t="s">
        <v>598</v>
      </c>
      <c r="I432" s="185">
        <v>0</v>
      </c>
      <c r="J432" s="184" t="s">
        <v>598</v>
      </c>
      <c r="K432" s="127">
        <v>42822</v>
      </c>
      <c r="L432" s="184" t="s">
        <v>115</v>
      </c>
      <c r="M432" s="184" t="s">
        <v>84</v>
      </c>
      <c r="N432" s="184" t="s">
        <v>281</v>
      </c>
      <c r="O432" s="184" t="s">
        <v>85</v>
      </c>
      <c r="P432" s="184" t="s">
        <v>42</v>
      </c>
      <c r="Q432" s="184" t="s">
        <v>598</v>
      </c>
      <c r="R432" s="184" t="s">
        <v>598</v>
      </c>
      <c r="S432" s="172">
        <v>42996.326388888891</v>
      </c>
      <c r="T432" s="32" t="s">
        <v>552</v>
      </c>
    </row>
    <row r="433" spans="1:20">
      <c r="A433" s="184" t="s">
        <v>3238</v>
      </c>
      <c r="B433" s="184" t="s">
        <v>4161</v>
      </c>
      <c r="C433" s="127">
        <v>42874</v>
      </c>
      <c r="D433" s="184" t="s">
        <v>10</v>
      </c>
      <c r="E433" s="184" t="s">
        <v>598</v>
      </c>
      <c r="F433" s="185">
        <v>4000</v>
      </c>
      <c r="G433" s="184" t="s">
        <v>493</v>
      </c>
      <c r="H433" s="184" t="s">
        <v>598</v>
      </c>
      <c r="I433" s="185">
        <v>0</v>
      </c>
      <c r="J433" s="184" t="s">
        <v>598</v>
      </c>
      <c r="K433" s="127">
        <v>42830</v>
      </c>
      <c r="L433" s="184" t="s">
        <v>134</v>
      </c>
      <c r="M433" s="184" t="s">
        <v>84</v>
      </c>
      <c r="N433" s="184" t="s">
        <v>380</v>
      </c>
      <c r="O433" s="184" t="s">
        <v>598</v>
      </c>
      <c r="P433" s="184" t="s">
        <v>42</v>
      </c>
      <c r="Q433" s="184" t="s">
        <v>42</v>
      </c>
      <c r="R433" s="184" t="s">
        <v>598</v>
      </c>
      <c r="S433" s="172">
        <v>42996.326388888891</v>
      </c>
      <c r="T433" s="32" t="s">
        <v>552</v>
      </c>
    </row>
    <row r="434" spans="1:20">
      <c r="A434" s="184" t="s">
        <v>3240</v>
      </c>
      <c r="B434" s="184" t="s">
        <v>4162</v>
      </c>
      <c r="C434" s="127">
        <v>42873</v>
      </c>
      <c r="D434" s="184" t="s">
        <v>10</v>
      </c>
      <c r="E434" s="184" t="s">
        <v>598</v>
      </c>
      <c r="F434" s="185">
        <v>13500</v>
      </c>
      <c r="G434" s="184" t="s">
        <v>493</v>
      </c>
      <c r="H434" s="184" t="s">
        <v>598</v>
      </c>
      <c r="I434" s="185">
        <v>0</v>
      </c>
      <c r="J434" s="184" t="s">
        <v>598</v>
      </c>
      <c r="K434" s="127">
        <v>42836</v>
      </c>
      <c r="L434" s="184" t="s">
        <v>115</v>
      </c>
      <c r="M434" s="184" t="s">
        <v>84</v>
      </c>
      <c r="N434" s="184" t="s">
        <v>276</v>
      </c>
      <c r="O434" s="184" t="s">
        <v>1951</v>
      </c>
      <c r="P434" s="184" t="s">
        <v>42</v>
      </c>
      <c r="Q434" s="184" t="s">
        <v>73</v>
      </c>
      <c r="R434" s="184" t="s">
        <v>598</v>
      </c>
      <c r="S434" s="172">
        <v>42996.326388888891</v>
      </c>
      <c r="T434" s="32" t="s">
        <v>552</v>
      </c>
    </row>
    <row r="435" spans="1:20">
      <c r="A435" s="184" t="s">
        <v>3242</v>
      </c>
      <c r="B435" s="184" t="s">
        <v>4163</v>
      </c>
      <c r="C435" s="127">
        <v>42858</v>
      </c>
      <c r="D435" s="184" t="s">
        <v>10</v>
      </c>
      <c r="E435" s="184" t="s">
        <v>598</v>
      </c>
      <c r="F435" s="185">
        <v>2000</v>
      </c>
      <c r="G435" s="184" t="s">
        <v>493</v>
      </c>
      <c r="H435" s="184" t="s">
        <v>598</v>
      </c>
      <c r="I435" s="185">
        <v>0</v>
      </c>
      <c r="J435" s="184" t="s">
        <v>598</v>
      </c>
      <c r="K435" s="127">
        <v>42850</v>
      </c>
      <c r="L435" s="184" t="s">
        <v>598</v>
      </c>
      <c r="M435" s="184" t="s">
        <v>84</v>
      </c>
      <c r="N435" s="184" t="s">
        <v>281</v>
      </c>
      <c r="O435" s="184" t="s">
        <v>3244</v>
      </c>
      <c r="P435" s="184" t="s">
        <v>42</v>
      </c>
      <c r="Q435" s="184" t="s">
        <v>42</v>
      </c>
      <c r="R435" s="184" t="s">
        <v>598</v>
      </c>
      <c r="S435" s="172">
        <v>42996.326388888891</v>
      </c>
      <c r="T435" s="32" t="s">
        <v>552</v>
      </c>
    </row>
    <row r="436" spans="1:20">
      <c r="A436" s="184" t="s">
        <v>3245</v>
      </c>
      <c r="B436" s="184" t="s">
        <v>4164</v>
      </c>
      <c r="C436" s="127">
        <v>42859</v>
      </c>
      <c r="D436" s="184" t="s">
        <v>10</v>
      </c>
      <c r="E436" s="184" t="s">
        <v>598</v>
      </c>
      <c r="F436" s="185">
        <v>3000</v>
      </c>
      <c r="G436" s="184" t="s">
        <v>493</v>
      </c>
      <c r="H436" s="184" t="s">
        <v>598</v>
      </c>
      <c r="I436" s="185">
        <v>0</v>
      </c>
      <c r="J436" s="184" t="s">
        <v>598</v>
      </c>
      <c r="K436" s="127">
        <v>42853</v>
      </c>
      <c r="L436" s="184" t="s">
        <v>134</v>
      </c>
      <c r="M436" s="184" t="s">
        <v>84</v>
      </c>
      <c r="N436" s="184" t="s">
        <v>293</v>
      </c>
      <c r="O436" s="184" t="s">
        <v>1957</v>
      </c>
      <c r="P436" s="184" t="s">
        <v>42</v>
      </c>
      <c r="Q436" s="184" t="s">
        <v>51</v>
      </c>
      <c r="R436" s="184" t="s">
        <v>598</v>
      </c>
      <c r="S436" s="172">
        <v>42996.326388888891</v>
      </c>
      <c r="T436" s="32" t="s">
        <v>552</v>
      </c>
    </row>
    <row r="437" spans="1:20">
      <c r="A437" s="184" t="s">
        <v>3247</v>
      </c>
      <c r="B437" s="184" t="s">
        <v>4165</v>
      </c>
      <c r="C437" s="127">
        <v>42856</v>
      </c>
      <c r="D437" s="184" t="s">
        <v>10</v>
      </c>
      <c r="E437" s="184" t="s">
        <v>598</v>
      </c>
      <c r="F437" s="185">
        <v>3000</v>
      </c>
      <c r="G437" s="184" t="s">
        <v>493</v>
      </c>
      <c r="H437" s="184" t="s">
        <v>598</v>
      </c>
      <c r="I437" s="185">
        <v>0</v>
      </c>
      <c r="J437" s="184" t="s">
        <v>598</v>
      </c>
      <c r="K437" s="127">
        <v>42854</v>
      </c>
      <c r="L437" s="184" t="s">
        <v>122</v>
      </c>
      <c r="M437" s="184" t="s">
        <v>84</v>
      </c>
      <c r="N437" s="184" t="s">
        <v>297</v>
      </c>
      <c r="O437" s="184" t="s">
        <v>598</v>
      </c>
      <c r="P437" s="184" t="s">
        <v>42</v>
      </c>
      <c r="Q437" s="184" t="s">
        <v>98</v>
      </c>
      <c r="R437" s="184" t="s">
        <v>598</v>
      </c>
      <c r="S437" s="172">
        <v>42996.326388888891</v>
      </c>
      <c r="T437" s="32" t="s">
        <v>552</v>
      </c>
    </row>
    <row r="438" spans="1:20">
      <c r="A438" s="184" t="s">
        <v>3249</v>
      </c>
      <c r="B438" s="184" t="s">
        <v>4166</v>
      </c>
      <c r="C438" s="127">
        <v>42856</v>
      </c>
      <c r="D438" s="184" t="s">
        <v>10</v>
      </c>
      <c r="E438" s="184" t="s">
        <v>598</v>
      </c>
      <c r="F438" s="185">
        <v>7000</v>
      </c>
      <c r="G438" s="184" t="s">
        <v>493</v>
      </c>
      <c r="H438" s="184" t="s">
        <v>598</v>
      </c>
      <c r="I438" s="185">
        <v>0</v>
      </c>
      <c r="J438" s="184" t="s">
        <v>598</v>
      </c>
      <c r="K438" s="127">
        <v>42854</v>
      </c>
      <c r="L438" s="184" t="s">
        <v>134</v>
      </c>
      <c r="M438" s="184" t="s">
        <v>84</v>
      </c>
      <c r="N438" s="184" t="s">
        <v>297</v>
      </c>
      <c r="O438" s="184" t="s">
        <v>598</v>
      </c>
      <c r="P438" s="184" t="s">
        <v>42</v>
      </c>
      <c r="Q438" s="184" t="s">
        <v>73</v>
      </c>
      <c r="R438" s="184" t="s">
        <v>598</v>
      </c>
      <c r="S438" s="172">
        <v>42996.326388888891</v>
      </c>
      <c r="T438" s="32" t="s">
        <v>552</v>
      </c>
    </row>
    <row r="439" spans="1:20">
      <c r="A439" s="184" t="s">
        <v>3251</v>
      </c>
      <c r="B439" s="184" t="s">
        <v>4167</v>
      </c>
      <c r="C439" s="127">
        <v>42861</v>
      </c>
      <c r="D439" s="184" t="s">
        <v>34</v>
      </c>
      <c r="E439" s="184" t="s">
        <v>598</v>
      </c>
      <c r="F439" s="185">
        <v>4000</v>
      </c>
      <c r="G439" s="184" t="s">
        <v>493</v>
      </c>
      <c r="H439" s="184" t="s">
        <v>598</v>
      </c>
      <c r="I439" s="185">
        <v>0</v>
      </c>
      <c r="J439" s="184" t="s">
        <v>598</v>
      </c>
      <c r="K439" s="127">
        <v>42858</v>
      </c>
      <c r="L439" s="184" t="s">
        <v>134</v>
      </c>
      <c r="M439" s="184" t="s">
        <v>84</v>
      </c>
      <c r="N439" s="184" t="s">
        <v>415</v>
      </c>
      <c r="O439" s="184" t="s">
        <v>598</v>
      </c>
      <c r="P439" s="184" t="s">
        <v>63</v>
      </c>
      <c r="Q439" s="184" t="s">
        <v>86</v>
      </c>
      <c r="R439" s="184" t="s">
        <v>598</v>
      </c>
      <c r="S439" s="172">
        <v>42996.326388888891</v>
      </c>
      <c r="T439" s="32" t="s">
        <v>552</v>
      </c>
    </row>
    <row r="440" spans="1:20">
      <c r="A440" s="184" t="s">
        <v>3253</v>
      </c>
      <c r="B440" s="184" t="s">
        <v>4168</v>
      </c>
      <c r="C440" s="127">
        <v>42859</v>
      </c>
      <c r="D440" s="184" t="s">
        <v>34</v>
      </c>
      <c r="E440" s="184" t="s">
        <v>598</v>
      </c>
      <c r="F440" s="185">
        <v>3000</v>
      </c>
      <c r="G440" s="184" t="s">
        <v>493</v>
      </c>
      <c r="H440" s="184" t="s">
        <v>598</v>
      </c>
      <c r="I440" s="185">
        <v>0</v>
      </c>
      <c r="J440" s="184" t="s">
        <v>598</v>
      </c>
      <c r="K440" s="127">
        <v>42859</v>
      </c>
      <c r="L440" s="184" t="s">
        <v>135</v>
      </c>
      <c r="M440" s="184" t="s">
        <v>84</v>
      </c>
      <c r="N440" s="184" t="s">
        <v>229</v>
      </c>
      <c r="O440" s="184" t="s">
        <v>598</v>
      </c>
      <c r="P440" s="184" t="s">
        <v>63</v>
      </c>
      <c r="Q440" s="184" t="s">
        <v>86</v>
      </c>
      <c r="R440" s="184" t="s">
        <v>598</v>
      </c>
      <c r="S440" s="172">
        <v>42996.326388888891</v>
      </c>
      <c r="T440" s="32" t="s">
        <v>552</v>
      </c>
    </row>
    <row r="441" spans="1:20">
      <c r="A441" s="184" t="s">
        <v>3255</v>
      </c>
      <c r="B441" s="184" t="s">
        <v>4169</v>
      </c>
      <c r="C441" s="127">
        <v>42861</v>
      </c>
      <c r="D441" s="184" t="s">
        <v>34</v>
      </c>
      <c r="E441" s="184" t="s">
        <v>598</v>
      </c>
      <c r="F441" s="185">
        <v>1000</v>
      </c>
      <c r="G441" s="184" t="s">
        <v>549</v>
      </c>
      <c r="H441" s="184">
        <v>4020</v>
      </c>
      <c r="I441" s="185">
        <v>10000</v>
      </c>
      <c r="J441" s="184" t="s">
        <v>493</v>
      </c>
      <c r="K441" s="127">
        <v>42860</v>
      </c>
      <c r="L441" s="184" t="s">
        <v>598</v>
      </c>
      <c r="M441" s="184" t="s">
        <v>84</v>
      </c>
      <c r="N441" s="184" t="s">
        <v>198</v>
      </c>
      <c r="O441" s="184" t="s">
        <v>598</v>
      </c>
      <c r="P441" s="184" t="s">
        <v>63</v>
      </c>
      <c r="Q441" s="184" t="s">
        <v>86</v>
      </c>
      <c r="R441" s="184" t="s">
        <v>598</v>
      </c>
      <c r="S441" s="172">
        <v>42996.326388888891</v>
      </c>
      <c r="T441" s="32" t="s">
        <v>552</v>
      </c>
    </row>
    <row r="442" spans="1:20">
      <c r="A442" s="184" t="s">
        <v>3256</v>
      </c>
      <c r="B442" s="184" t="s">
        <v>4170</v>
      </c>
      <c r="C442" s="127">
        <v>42863</v>
      </c>
      <c r="D442" s="184" t="s">
        <v>34</v>
      </c>
      <c r="E442" s="184" t="s">
        <v>598</v>
      </c>
      <c r="F442" s="185">
        <v>3000</v>
      </c>
      <c r="G442" s="184" t="s">
        <v>493</v>
      </c>
      <c r="H442" s="184" t="s">
        <v>598</v>
      </c>
      <c r="I442" s="185">
        <v>0</v>
      </c>
      <c r="J442" s="184" t="s">
        <v>598</v>
      </c>
      <c r="K442" s="127">
        <v>42861</v>
      </c>
      <c r="L442" s="184" t="s">
        <v>598</v>
      </c>
      <c r="M442" s="184" t="s">
        <v>84</v>
      </c>
      <c r="N442" s="184" t="s">
        <v>198</v>
      </c>
      <c r="O442" s="184" t="s">
        <v>598</v>
      </c>
      <c r="P442" s="184" t="s">
        <v>63</v>
      </c>
      <c r="Q442" s="184" t="s">
        <v>63</v>
      </c>
      <c r="R442" s="184" t="s">
        <v>598</v>
      </c>
      <c r="S442" s="172">
        <v>42996.326388888891</v>
      </c>
      <c r="T442" s="32" t="s">
        <v>552</v>
      </c>
    </row>
    <row r="443" spans="1:20">
      <c r="A443" s="184" t="s">
        <v>3258</v>
      </c>
      <c r="B443" s="184" t="s">
        <v>4171</v>
      </c>
      <c r="C443" s="127">
        <v>42863</v>
      </c>
      <c r="D443" s="184" t="s">
        <v>34</v>
      </c>
      <c r="E443" s="184" t="s">
        <v>598</v>
      </c>
      <c r="F443" s="185">
        <v>1000</v>
      </c>
      <c r="G443" s="184" t="s">
        <v>550</v>
      </c>
      <c r="H443" s="184" t="s">
        <v>598</v>
      </c>
      <c r="I443" s="185">
        <v>0</v>
      </c>
      <c r="J443" s="184" t="s">
        <v>598</v>
      </c>
      <c r="K443" s="127">
        <v>42861</v>
      </c>
      <c r="L443" s="184" t="s">
        <v>598</v>
      </c>
      <c r="M443" s="184" t="s">
        <v>84</v>
      </c>
      <c r="N443" s="184" t="s">
        <v>214</v>
      </c>
      <c r="O443" s="184" t="s">
        <v>598</v>
      </c>
      <c r="P443" s="184" t="s">
        <v>63</v>
      </c>
      <c r="Q443" s="184" t="s">
        <v>86</v>
      </c>
      <c r="R443" s="184" t="s">
        <v>598</v>
      </c>
      <c r="S443" s="172">
        <v>42996.326388888891</v>
      </c>
      <c r="T443" s="32" t="s">
        <v>552</v>
      </c>
    </row>
    <row r="444" spans="1:20">
      <c r="A444" s="184" t="s">
        <v>3259</v>
      </c>
      <c r="B444" s="184" t="s">
        <v>4172</v>
      </c>
      <c r="C444" s="127">
        <v>42870</v>
      </c>
      <c r="D444" s="184" t="s">
        <v>34</v>
      </c>
      <c r="E444" s="184" t="s">
        <v>598</v>
      </c>
      <c r="F444" s="185">
        <v>3000</v>
      </c>
      <c r="G444" s="184" t="s">
        <v>493</v>
      </c>
      <c r="H444" s="184" t="s">
        <v>598</v>
      </c>
      <c r="I444" s="185">
        <v>0</v>
      </c>
      <c r="J444" s="184" t="s">
        <v>598</v>
      </c>
      <c r="K444" s="127">
        <v>42863</v>
      </c>
      <c r="L444" s="184" t="s">
        <v>134</v>
      </c>
      <c r="M444" s="184" t="s">
        <v>84</v>
      </c>
      <c r="N444" s="184" t="s">
        <v>240</v>
      </c>
      <c r="O444" s="184" t="s">
        <v>598</v>
      </c>
      <c r="P444" s="184" t="s">
        <v>63</v>
      </c>
      <c r="Q444" s="184" t="s">
        <v>86</v>
      </c>
      <c r="R444" s="184" t="s">
        <v>598</v>
      </c>
      <c r="S444" s="172">
        <v>42996.326388888891</v>
      </c>
      <c r="T444" s="32" t="s">
        <v>552</v>
      </c>
    </row>
    <row r="445" spans="1:20">
      <c r="A445" s="184" t="s">
        <v>3261</v>
      </c>
      <c r="B445" s="184" t="s">
        <v>4173</v>
      </c>
      <c r="C445" s="127">
        <v>42871</v>
      </c>
      <c r="D445" s="184" t="s">
        <v>10</v>
      </c>
      <c r="E445" s="184" t="s">
        <v>598</v>
      </c>
      <c r="F445" s="185">
        <v>22500</v>
      </c>
      <c r="G445" s="184" t="s">
        <v>493</v>
      </c>
      <c r="H445" s="184" t="s">
        <v>598</v>
      </c>
      <c r="I445" s="185">
        <v>0</v>
      </c>
      <c r="J445" s="184" t="s">
        <v>598</v>
      </c>
      <c r="K445" s="127">
        <v>42863</v>
      </c>
      <c r="L445" s="184" t="s">
        <v>3263</v>
      </c>
      <c r="M445" s="184" t="s">
        <v>84</v>
      </c>
      <c r="N445" s="184" t="s">
        <v>598</v>
      </c>
      <c r="O445" s="184" t="s">
        <v>598</v>
      </c>
      <c r="P445" s="184" t="s">
        <v>63</v>
      </c>
      <c r="Q445" s="184" t="s">
        <v>63</v>
      </c>
      <c r="R445" s="184" t="s">
        <v>598</v>
      </c>
      <c r="S445" s="172">
        <v>42996.326388888891</v>
      </c>
      <c r="T445" s="32" t="s">
        <v>552</v>
      </c>
    </row>
    <row r="446" spans="1:20">
      <c r="A446" s="184" t="s">
        <v>3264</v>
      </c>
      <c r="B446" s="184" t="s">
        <v>4174</v>
      </c>
      <c r="C446" s="127">
        <v>42871</v>
      </c>
      <c r="D446" s="184" t="s">
        <v>10</v>
      </c>
      <c r="E446" s="184" t="s">
        <v>598</v>
      </c>
      <c r="F446" s="185">
        <v>22500</v>
      </c>
      <c r="G446" s="184" t="s">
        <v>493</v>
      </c>
      <c r="H446" s="184" t="s">
        <v>598</v>
      </c>
      <c r="I446" s="185">
        <v>0</v>
      </c>
      <c r="J446" s="184" t="s">
        <v>598</v>
      </c>
      <c r="K446" s="127">
        <v>42863</v>
      </c>
      <c r="L446" s="184" t="s">
        <v>3263</v>
      </c>
      <c r="M446" s="184" t="s">
        <v>84</v>
      </c>
      <c r="N446" s="184" t="s">
        <v>598</v>
      </c>
      <c r="O446" s="184" t="s">
        <v>598</v>
      </c>
      <c r="P446" s="184" t="s">
        <v>63</v>
      </c>
      <c r="Q446" s="184" t="s">
        <v>63</v>
      </c>
      <c r="R446" s="184" t="s">
        <v>598</v>
      </c>
      <c r="S446" s="172">
        <v>42996.326388888891</v>
      </c>
      <c r="T446" s="32" t="s">
        <v>552</v>
      </c>
    </row>
    <row r="447" spans="1:20">
      <c r="A447" s="184" t="s">
        <v>3265</v>
      </c>
      <c r="B447" s="184" t="s">
        <v>4175</v>
      </c>
      <c r="C447" s="127">
        <v>42867</v>
      </c>
      <c r="D447" s="184" t="s">
        <v>34</v>
      </c>
      <c r="E447" s="184" t="s">
        <v>598</v>
      </c>
      <c r="F447" s="185">
        <v>3000</v>
      </c>
      <c r="G447" s="184" t="s">
        <v>493</v>
      </c>
      <c r="H447" s="184" t="s">
        <v>598</v>
      </c>
      <c r="I447" s="185">
        <v>0</v>
      </c>
      <c r="J447" s="184" t="s">
        <v>598</v>
      </c>
      <c r="K447" s="127">
        <v>42864</v>
      </c>
      <c r="L447" s="184" t="s">
        <v>132</v>
      </c>
      <c r="M447" s="184" t="s">
        <v>84</v>
      </c>
      <c r="N447" s="184" t="s">
        <v>357</v>
      </c>
      <c r="O447" s="184" t="s">
        <v>598</v>
      </c>
      <c r="P447" s="184" t="s">
        <v>63</v>
      </c>
      <c r="Q447" s="184" t="s">
        <v>63</v>
      </c>
      <c r="R447" s="184" t="s">
        <v>598</v>
      </c>
      <c r="S447" s="172">
        <v>42996.326388888891</v>
      </c>
      <c r="T447" s="32" t="s">
        <v>552</v>
      </c>
    </row>
    <row r="448" spans="1:20">
      <c r="A448" s="184" t="s">
        <v>3267</v>
      </c>
      <c r="B448" s="184" t="s">
        <v>4176</v>
      </c>
      <c r="C448" s="127">
        <v>42866</v>
      </c>
      <c r="D448" s="184" t="s">
        <v>34</v>
      </c>
      <c r="E448" s="184" t="s">
        <v>598</v>
      </c>
      <c r="F448" s="185">
        <v>3000</v>
      </c>
      <c r="G448" s="184" t="s">
        <v>493</v>
      </c>
      <c r="H448" s="184" t="s">
        <v>598</v>
      </c>
      <c r="I448" s="185">
        <v>0</v>
      </c>
      <c r="J448" s="184" t="s">
        <v>598</v>
      </c>
      <c r="K448" s="127">
        <v>42864</v>
      </c>
      <c r="L448" s="184" t="s">
        <v>598</v>
      </c>
      <c r="M448" s="184" t="s">
        <v>84</v>
      </c>
      <c r="N448" s="184" t="s">
        <v>447</v>
      </c>
      <c r="O448" s="184" t="s">
        <v>598</v>
      </c>
      <c r="P448" s="184" t="s">
        <v>63</v>
      </c>
      <c r="Q448" s="184" t="s">
        <v>63</v>
      </c>
      <c r="R448" s="184" t="s">
        <v>598</v>
      </c>
      <c r="S448" s="172">
        <v>42996.326388888891</v>
      </c>
      <c r="T448" s="32" t="s">
        <v>552</v>
      </c>
    </row>
    <row r="449" spans="1:20">
      <c r="A449" s="184" t="s">
        <v>3269</v>
      </c>
      <c r="B449" s="184" t="s">
        <v>4177</v>
      </c>
      <c r="C449" s="127">
        <v>42865</v>
      </c>
      <c r="D449" s="184" t="s">
        <v>34</v>
      </c>
      <c r="E449" s="184" t="s">
        <v>598</v>
      </c>
      <c r="F449" s="185">
        <v>3000</v>
      </c>
      <c r="G449" s="184" t="s">
        <v>493</v>
      </c>
      <c r="H449" s="184" t="s">
        <v>598</v>
      </c>
      <c r="I449" s="185">
        <v>0</v>
      </c>
      <c r="J449" s="184" t="s">
        <v>598</v>
      </c>
      <c r="K449" s="127">
        <v>42865</v>
      </c>
      <c r="L449" s="184" t="s">
        <v>134</v>
      </c>
      <c r="M449" s="184" t="s">
        <v>84</v>
      </c>
      <c r="N449" s="184" t="s">
        <v>3271</v>
      </c>
      <c r="O449" s="184" t="s">
        <v>598</v>
      </c>
      <c r="P449" s="184" t="s">
        <v>63</v>
      </c>
      <c r="Q449" s="184" t="s">
        <v>63</v>
      </c>
      <c r="R449" s="184" t="s">
        <v>598</v>
      </c>
      <c r="S449" s="172">
        <v>42996.326388888891</v>
      </c>
      <c r="T449" s="32" t="s">
        <v>552</v>
      </c>
    </row>
    <row r="450" spans="1:20">
      <c r="A450" s="184" t="s">
        <v>3272</v>
      </c>
      <c r="B450" s="184" t="s">
        <v>4178</v>
      </c>
      <c r="C450" s="127">
        <v>42878</v>
      </c>
      <c r="D450" s="184" t="s">
        <v>10</v>
      </c>
      <c r="E450" s="184" t="s">
        <v>598</v>
      </c>
      <c r="F450" s="185">
        <v>5000</v>
      </c>
      <c r="G450" s="184" t="s">
        <v>493</v>
      </c>
      <c r="H450" s="184" t="s">
        <v>598</v>
      </c>
      <c r="I450" s="185">
        <v>0</v>
      </c>
      <c r="J450" s="184" t="s">
        <v>598</v>
      </c>
      <c r="K450" s="127">
        <v>42870</v>
      </c>
      <c r="L450" s="184" t="s">
        <v>598</v>
      </c>
      <c r="M450" s="184" t="s">
        <v>84</v>
      </c>
      <c r="N450" s="184" t="s">
        <v>189</v>
      </c>
      <c r="O450" s="184" t="s">
        <v>598</v>
      </c>
      <c r="P450" s="184" t="s">
        <v>63</v>
      </c>
      <c r="Q450" s="184" t="s">
        <v>3021</v>
      </c>
      <c r="R450" s="184" t="s">
        <v>598</v>
      </c>
      <c r="S450" s="172">
        <v>42996.326388888891</v>
      </c>
      <c r="T450" s="32" t="s">
        <v>552</v>
      </c>
    </row>
    <row r="451" spans="1:20">
      <c r="A451" s="184" t="s">
        <v>3274</v>
      </c>
      <c r="B451" s="184" t="s">
        <v>4179</v>
      </c>
      <c r="C451" s="127">
        <v>42872</v>
      </c>
      <c r="D451" s="184" t="s">
        <v>34</v>
      </c>
      <c r="E451" s="184" t="s">
        <v>598</v>
      </c>
      <c r="F451" s="185">
        <v>4000</v>
      </c>
      <c r="G451" s="184" t="s">
        <v>493</v>
      </c>
      <c r="H451" s="184" t="s">
        <v>598</v>
      </c>
      <c r="I451" s="185">
        <v>0</v>
      </c>
      <c r="J451" s="184" t="s">
        <v>598</v>
      </c>
      <c r="K451" s="127">
        <v>42871</v>
      </c>
      <c r="L451" s="184" t="s">
        <v>598</v>
      </c>
      <c r="M451" s="184" t="s">
        <v>84</v>
      </c>
      <c r="N451" s="184" t="s">
        <v>219</v>
      </c>
      <c r="O451" s="184" t="s">
        <v>598</v>
      </c>
      <c r="P451" s="184" t="s">
        <v>63</v>
      </c>
      <c r="Q451" s="184" t="s">
        <v>86</v>
      </c>
      <c r="R451" s="184" t="s">
        <v>598</v>
      </c>
      <c r="S451" s="172">
        <v>42996.326388888891</v>
      </c>
      <c r="T451" s="32" t="s">
        <v>552</v>
      </c>
    </row>
    <row r="452" spans="1:20">
      <c r="A452" s="184" t="s">
        <v>3276</v>
      </c>
      <c r="B452" s="184" t="s">
        <v>4180</v>
      </c>
      <c r="C452" s="127">
        <v>42879</v>
      </c>
      <c r="D452" s="184" t="s">
        <v>10</v>
      </c>
      <c r="E452" s="184" t="s">
        <v>598</v>
      </c>
      <c r="F452" s="185">
        <v>3000</v>
      </c>
      <c r="G452" s="184" t="s">
        <v>493</v>
      </c>
      <c r="H452" s="184" t="s">
        <v>598</v>
      </c>
      <c r="I452" s="185">
        <v>0</v>
      </c>
      <c r="J452" s="184" t="s">
        <v>598</v>
      </c>
      <c r="K452" s="127">
        <v>42872</v>
      </c>
      <c r="L452" s="184" t="s">
        <v>598</v>
      </c>
      <c r="M452" s="184" t="s">
        <v>84</v>
      </c>
      <c r="N452" s="184" t="s">
        <v>209</v>
      </c>
      <c r="O452" s="184" t="s">
        <v>598</v>
      </c>
      <c r="P452" s="184" t="s">
        <v>63</v>
      </c>
      <c r="Q452" s="184" t="s">
        <v>86</v>
      </c>
      <c r="R452" s="184" t="s">
        <v>598</v>
      </c>
      <c r="S452" s="172">
        <v>42996.326388888891</v>
      </c>
      <c r="T452" s="32" t="s">
        <v>552</v>
      </c>
    </row>
    <row r="453" spans="1:20">
      <c r="A453" s="184" t="s">
        <v>3277</v>
      </c>
      <c r="B453" s="184" t="s">
        <v>4181</v>
      </c>
      <c r="C453" s="127">
        <v>42875</v>
      </c>
      <c r="D453" s="184" t="s">
        <v>34</v>
      </c>
      <c r="E453" s="184" t="s">
        <v>598</v>
      </c>
      <c r="F453" s="185">
        <v>4000</v>
      </c>
      <c r="G453" s="184" t="s">
        <v>493</v>
      </c>
      <c r="H453" s="184" t="s">
        <v>598</v>
      </c>
      <c r="I453" s="185">
        <v>0</v>
      </c>
      <c r="J453" s="184" t="s">
        <v>598</v>
      </c>
      <c r="K453" s="127">
        <v>42873</v>
      </c>
      <c r="L453" s="184" t="s">
        <v>3263</v>
      </c>
      <c r="M453" s="184" t="s">
        <v>84</v>
      </c>
      <c r="N453" s="184" t="s">
        <v>598</v>
      </c>
      <c r="O453" s="184" t="s">
        <v>598</v>
      </c>
      <c r="P453" s="184" t="s">
        <v>63</v>
      </c>
      <c r="Q453" s="184" t="s">
        <v>86</v>
      </c>
      <c r="R453" s="184" t="s">
        <v>598</v>
      </c>
      <c r="S453" s="172">
        <v>42996.326388888891</v>
      </c>
      <c r="T453" s="32" t="s">
        <v>552</v>
      </c>
    </row>
    <row r="454" spans="1:20">
      <c r="A454" s="184" t="s">
        <v>3279</v>
      </c>
      <c r="B454" s="184" t="s">
        <v>4182</v>
      </c>
      <c r="C454" s="127">
        <v>42878</v>
      </c>
      <c r="D454" s="184" t="s">
        <v>34</v>
      </c>
      <c r="E454" s="184" t="s">
        <v>598</v>
      </c>
      <c r="F454" s="185">
        <v>2000</v>
      </c>
      <c r="G454" s="184" t="s">
        <v>493</v>
      </c>
      <c r="H454" s="184" t="s">
        <v>598</v>
      </c>
      <c r="I454" s="185">
        <v>0</v>
      </c>
      <c r="J454" s="184" t="s">
        <v>598</v>
      </c>
      <c r="K454" s="127">
        <v>42873</v>
      </c>
      <c r="L454" s="184" t="s">
        <v>132</v>
      </c>
      <c r="M454" s="184" t="s">
        <v>84</v>
      </c>
      <c r="N454" s="184" t="s">
        <v>448</v>
      </c>
      <c r="O454" s="184" t="s">
        <v>598</v>
      </c>
      <c r="P454" s="184" t="s">
        <v>63</v>
      </c>
      <c r="Q454" s="184" t="s">
        <v>86</v>
      </c>
      <c r="R454" s="184" t="s">
        <v>598</v>
      </c>
      <c r="S454" s="172">
        <v>42996.326388888891</v>
      </c>
      <c r="T454" s="32" t="s">
        <v>552</v>
      </c>
    </row>
    <row r="455" spans="1:20">
      <c r="A455" s="184" t="s">
        <v>3281</v>
      </c>
      <c r="B455" s="184" t="s">
        <v>4183</v>
      </c>
      <c r="C455" s="127">
        <v>42880</v>
      </c>
      <c r="D455" s="184" t="s">
        <v>34</v>
      </c>
      <c r="E455" s="184" t="s">
        <v>598</v>
      </c>
      <c r="F455" s="185">
        <v>3000</v>
      </c>
      <c r="G455" s="184" t="s">
        <v>493</v>
      </c>
      <c r="H455" s="184" t="s">
        <v>598</v>
      </c>
      <c r="I455" s="185">
        <v>0</v>
      </c>
      <c r="J455" s="184" t="s">
        <v>598</v>
      </c>
      <c r="K455" s="127">
        <v>42873</v>
      </c>
      <c r="L455" s="184" t="s">
        <v>598</v>
      </c>
      <c r="M455" s="184" t="s">
        <v>84</v>
      </c>
      <c r="N455" s="184" t="s">
        <v>1265</v>
      </c>
      <c r="O455" s="184" t="s">
        <v>598</v>
      </c>
      <c r="P455" s="184" t="s">
        <v>63</v>
      </c>
      <c r="Q455" s="184" t="s">
        <v>3021</v>
      </c>
      <c r="R455" s="184" t="s">
        <v>598</v>
      </c>
      <c r="S455" s="172">
        <v>42996.326388888891</v>
      </c>
      <c r="T455" s="32" t="s">
        <v>552</v>
      </c>
    </row>
    <row r="456" spans="1:20">
      <c r="A456" s="184" t="s">
        <v>3283</v>
      </c>
      <c r="B456" s="184" t="s">
        <v>4184</v>
      </c>
      <c r="C456" s="127">
        <v>42878</v>
      </c>
      <c r="D456" s="184" t="s">
        <v>34</v>
      </c>
      <c r="E456" s="184" t="s">
        <v>598</v>
      </c>
      <c r="F456" s="185">
        <v>3000</v>
      </c>
      <c r="G456" s="184" t="s">
        <v>493</v>
      </c>
      <c r="H456" s="184" t="s">
        <v>598</v>
      </c>
      <c r="I456" s="185">
        <v>0</v>
      </c>
      <c r="J456" s="184" t="s">
        <v>598</v>
      </c>
      <c r="K456" s="127">
        <v>42873</v>
      </c>
      <c r="L456" s="184" t="s">
        <v>598</v>
      </c>
      <c r="M456" s="184" t="s">
        <v>84</v>
      </c>
      <c r="N456" s="184" t="s">
        <v>448</v>
      </c>
      <c r="O456" s="184" t="s">
        <v>598</v>
      </c>
      <c r="P456" s="184" t="s">
        <v>63</v>
      </c>
      <c r="Q456" s="184" t="s">
        <v>86</v>
      </c>
      <c r="R456" s="184" t="s">
        <v>598</v>
      </c>
      <c r="S456" s="172">
        <v>42996.326388888891</v>
      </c>
      <c r="T456" s="32" t="s">
        <v>552</v>
      </c>
    </row>
    <row r="457" spans="1:20">
      <c r="A457" s="184" t="s">
        <v>3285</v>
      </c>
      <c r="B457" s="184" t="s">
        <v>4185</v>
      </c>
      <c r="C457" s="127">
        <v>42877</v>
      </c>
      <c r="D457" s="184" t="s">
        <v>34</v>
      </c>
      <c r="E457" s="184" t="s">
        <v>598</v>
      </c>
      <c r="F457" s="185">
        <v>1000</v>
      </c>
      <c r="G457" s="184" t="s">
        <v>573</v>
      </c>
      <c r="H457" s="184" t="s">
        <v>598</v>
      </c>
      <c r="I457" s="185">
        <v>0</v>
      </c>
      <c r="J457" s="184" t="s">
        <v>89</v>
      </c>
      <c r="K457" s="127">
        <v>42877</v>
      </c>
      <c r="L457" s="184" t="s">
        <v>598</v>
      </c>
      <c r="M457" s="184" t="s">
        <v>84</v>
      </c>
      <c r="N457" s="184" t="s">
        <v>191</v>
      </c>
      <c r="O457" s="184" t="s">
        <v>598</v>
      </c>
      <c r="P457" s="184" t="s">
        <v>63</v>
      </c>
      <c r="Q457" s="184" t="s">
        <v>63</v>
      </c>
      <c r="R457" s="184" t="s">
        <v>598</v>
      </c>
      <c r="S457" s="172">
        <v>42996.326388888891</v>
      </c>
      <c r="T457" s="32" t="s">
        <v>552</v>
      </c>
    </row>
    <row r="458" spans="1:20">
      <c r="A458" s="184" t="s">
        <v>3286</v>
      </c>
      <c r="B458" s="184" t="s">
        <v>4186</v>
      </c>
      <c r="C458" s="127">
        <v>42881</v>
      </c>
      <c r="D458" s="184" t="s">
        <v>34</v>
      </c>
      <c r="E458" s="184" t="s">
        <v>598</v>
      </c>
      <c r="F458" s="185">
        <v>3000</v>
      </c>
      <c r="G458" s="184" t="s">
        <v>493</v>
      </c>
      <c r="H458" s="184" t="s">
        <v>598</v>
      </c>
      <c r="I458" s="185">
        <v>0</v>
      </c>
      <c r="J458" s="184" t="s">
        <v>598</v>
      </c>
      <c r="K458" s="127">
        <v>42877</v>
      </c>
      <c r="L458" s="184" t="s">
        <v>598</v>
      </c>
      <c r="M458" s="184" t="s">
        <v>84</v>
      </c>
      <c r="N458" s="184" t="s">
        <v>208</v>
      </c>
      <c r="O458" s="184" t="s">
        <v>598</v>
      </c>
      <c r="P458" s="184" t="s">
        <v>63</v>
      </c>
      <c r="Q458" s="184" t="s">
        <v>63</v>
      </c>
      <c r="R458" s="184" t="s">
        <v>598</v>
      </c>
      <c r="S458" s="172">
        <v>42996.326388888891</v>
      </c>
      <c r="T458" s="32" t="s">
        <v>552</v>
      </c>
    </row>
    <row r="459" spans="1:20">
      <c r="A459" s="184" t="s">
        <v>3288</v>
      </c>
      <c r="B459" s="184" t="s">
        <v>4187</v>
      </c>
      <c r="C459" s="127">
        <v>42878</v>
      </c>
      <c r="D459" s="184" t="s">
        <v>34</v>
      </c>
      <c r="E459" s="184" t="s">
        <v>598</v>
      </c>
      <c r="F459" s="185">
        <v>4000</v>
      </c>
      <c r="G459" s="184" t="s">
        <v>493</v>
      </c>
      <c r="H459" s="184" t="s">
        <v>598</v>
      </c>
      <c r="I459" s="185">
        <v>0</v>
      </c>
      <c r="J459" s="184" t="s">
        <v>598</v>
      </c>
      <c r="K459" s="127">
        <v>42878</v>
      </c>
      <c r="L459" s="184" t="s">
        <v>598</v>
      </c>
      <c r="M459" s="184" t="s">
        <v>84</v>
      </c>
      <c r="N459" s="184" t="s">
        <v>191</v>
      </c>
      <c r="O459" s="184" t="s">
        <v>598</v>
      </c>
      <c r="P459" s="184" t="s">
        <v>63</v>
      </c>
      <c r="Q459" s="184" t="s">
        <v>63</v>
      </c>
      <c r="R459" s="184" t="s">
        <v>598</v>
      </c>
      <c r="S459" s="172">
        <v>42996.326388888891</v>
      </c>
      <c r="T459" s="32" t="s">
        <v>552</v>
      </c>
    </row>
    <row r="460" spans="1:20">
      <c r="A460" s="184" t="s">
        <v>3290</v>
      </c>
      <c r="B460" s="184" t="s">
        <v>4188</v>
      </c>
      <c r="C460" s="127">
        <v>42879</v>
      </c>
      <c r="D460" s="184" t="s">
        <v>34</v>
      </c>
      <c r="E460" s="184" t="s">
        <v>598</v>
      </c>
      <c r="F460" s="185">
        <v>5000</v>
      </c>
      <c r="G460" s="184" t="s">
        <v>493</v>
      </c>
      <c r="H460" s="184" t="s">
        <v>598</v>
      </c>
      <c r="I460" s="185">
        <v>0</v>
      </c>
      <c r="J460" s="184" t="s">
        <v>598</v>
      </c>
      <c r="K460" s="127">
        <v>42878</v>
      </c>
      <c r="L460" s="184" t="s">
        <v>598</v>
      </c>
      <c r="M460" s="184" t="s">
        <v>84</v>
      </c>
      <c r="N460" s="184" t="s">
        <v>449</v>
      </c>
      <c r="O460" s="184" t="s">
        <v>598</v>
      </c>
      <c r="P460" s="184" t="s">
        <v>63</v>
      </c>
      <c r="Q460" s="184" t="s">
        <v>3021</v>
      </c>
      <c r="R460" s="184" t="s">
        <v>598</v>
      </c>
      <c r="S460" s="172">
        <v>42996.326388888891</v>
      </c>
      <c r="T460" s="32" t="s">
        <v>552</v>
      </c>
    </row>
    <row r="461" spans="1:20">
      <c r="A461" s="184" t="s">
        <v>3292</v>
      </c>
      <c r="B461" s="184" t="s">
        <v>4189</v>
      </c>
      <c r="C461" s="127">
        <v>42885</v>
      </c>
      <c r="D461" s="184" t="s">
        <v>10</v>
      </c>
      <c r="E461" s="184" t="s">
        <v>598</v>
      </c>
      <c r="F461" s="185">
        <v>3000</v>
      </c>
      <c r="G461" s="184" t="s">
        <v>493</v>
      </c>
      <c r="H461" s="184" t="s">
        <v>598</v>
      </c>
      <c r="I461" s="185">
        <v>0</v>
      </c>
      <c r="J461" s="184" t="s">
        <v>598</v>
      </c>
      <c r="K461" s="127">
        <v>42879</v>
      </c>
      <c r="L461" s="184" t="s">
        <v>598</v>
      </c>
      <c r="M461" s="184" t="s">
        <v>84</v>
      </c>
      <c r="N461" s="184" t="s">
        <v>222</v>
      </c>
      <c r="O461" s="184" t="s">
        <v>598</v>
      </c>
      <c r="P461" s="184" t="s">
        <v>63</v>
      </c>
      <c r="Q461" s="184" t="s">
        <v>63</v>
      </c>
      <c r="R461" s="184" t="s">
        <v>598</v>
      </c>
      <c r="S461" s="172">
        <v>42996.326388888891</v>
      </c>
      <c r="T461" s="32" t="s">
        <v>552</v>
      </c>
    </row>
    <row r="462" spans="1:20">
      <c r="A462" s="184" t="s">
        <v>3294</v>
      </c>
      <c r="B462" s="184" t="s">
        <v>4190</v>
      </c>
      <c r="C462" s="127">
        <v>42881</v>
      </c>
      <c r="D462" s="184" t="s">
        <v>34</v>
      </c>
      <c r="E462" s="184" t="s">
        <v>598</v>
      </c>
      <c r="F462" s="185">
        <v>3000</v>
      </c>
      <c r="G462" s="184" t="s">
        <v>493</v>
      </c>
      <c r="H462" s="184" t="s">
        <v>598</v>
      </c>
      <c r="I462" s="185">
        <v>0</v>
      </c>
      <c r="J462" s="184" t="s">
        <v>598</v>
      </c>
      <c r="K462" s="127">
        <v>42879</v>
      </c>
      <c r="L462" s="184" t="s">
        <v>598</v>
      </c>
      <c r="M462" s="184" t="s">
        <v>84</v>
      </c>
      <c r="N462" s="184" t="s">
        <v>357</v>
      </c>
      <c r="O462" s="184" t="s">
        <v>598</v>
      </c>
      <c r="P462" s="184" t="s">
        <v>63</v>
      </c>
      <c r="Q462" s="184" t="s">
        <v>86</v>
      </c>
      <c r="R462" s="184" t="s">
        <v>598</v>
      </c>
      <c r="S462" s="172">
        <v>42996.326388888891</v>
      </c>
      <c r="T462" s="32" t="s">
        <v>552</v>
      </c>
    </row>
    <row r="463" spans="1:20">
      <c r="A463" s="184" t="s">
        <v>3296</v>
      </c>
      <c r="B463" s="184" t="s">
        <v>4191</v>
      </c>
      <c r="C463" s="127">
        <v>42885</v>
      </c>
      <c r="D463" s="184" t="s">
        <v>34</v>
      </c>
      <c r="E463" s="184" t="s">
        <v>598</v>
      </c>
      <c r="F463" s="185">
        <v>10000</v>
      </c>
      <c r="G463" s="184" t="s">
        <v>493</v>
      </c>
      <c r="H463" s="184" t="s">
        <v>598</v>
      </c>
      <c r="I463" s="185">
        <v>0</v>
      </c>
      <c r="J463" s="184" t="s">
        <v>598</v>
      </c>
      <c r="K463" s="127">
        <v>42880</v>
      </c>
      <c r="L463" s="184" t="s">
        <v>134</v>
      </c>
      <c r="M463" s="184" t="s">
        <v>84</v>
      </c>
      <c r="N463" s="184" t="s">
        <v>358</v>
      </c>
      <c r="O463" s="184" t="s">
        <v>598</v>
      </c>
      <c r="P463" s="184" t="s">
        <v>63</v>
      </c>
      <c r="Q463" s="184" t="s">
        <v>86</v>
      </c>
      <c r="R463" s="184" t="s">
        <v>598</v>
      </c>
      <c r="S463" s="172">
        <v>42996.326388888891</v>
      </c>
      <c r="T463" s="32" t="s">
        <v>552</v>
      </c>
    </row>
    <row r="464" spans="1:20">
      <c r="A464" s="184" t="s">
        <v>3298</v>
      </c>
      <c r="B464" s="184" t="s">
        <v>4192</v>
      </c>
      <c r="C464" s="127">
        <v>42881</v>
      </c>
      <c r="D464" s="184" t="s">
        <v>34</v>
      </c>
      <c r="E464" s="184" t="s">
        <v>598</v>
      </c>
      <c r="F464" s="185">
        <v>1000</v>
      </c>
      <c r="G464" s="184" t="s">
        <v>573</v>
      </c>
      <c r="H464" s="184" t="s">
        <v>598</v>
      </c>
      <c r="I464" s="185">
        <v>0</v>
      </c>
      <c r="J464" s="184" t="s">
        <v>598</v>
      </c>
      <c r="K464" s="127">
        <v>42881</v>
      </c>
      <c r="L464" s="184" t="s">
        <v>598</v>
      </c>
      <c r="M464" s="184" t="s">
        <v>84</v>
      </c>
      <c r="N464" s="184" t="s">
        <v>1262</v>
      </c>
      <c r="O464" s="184" t="s">
        <v>598</v>
      </c>
      <c r="P464" s="184" t="s">
        <v>63</v>
      </c>
      <c r="Q464" s="184" t="s">
        <v>63</v>
      </c>
      <c r="R464" s="184" t="s">
        <v>598</v>
      </c>
      <c r="S464" s="172">
        <v>42996.326388888891</v>
      </c>
      <c r="T464" s="32" t="s">
        <v>552</v>
      </c>
    </row>
    <row r="465" spans="1:20">
      <c r="A465" s="184" t="s">
        <v>3299</v>
      </c>
      <c r="B465" s="184" t="s">
        <v>4193</v>
      </c>
      <c r="C465" s="127">
        <v>42881</v>
      </c>
      <c r="D465" s="184" t="s">
        <v>34</v>
      </c>
      <c r="E465" s="184" t="s">
        <v>598</v>
      </c>
      <c r="F465" s="185">
        <v>1000</v>
      </c>
      <c r="G465" s="184" t="s">
        <v>549</v>
      </c>
      <c r="H465" s="184" t="s">
        <v>598</v>
      </c>
      <c r="I465" s="185">
        <v>0</v>
      </c>
      <c r="J465" s="184" t="s">
        <v>493</v>
      </c>
      <c r="K465" s="127">
        <v>42881</v>
      </c>
      <c r="L465" s="184" t="s">
        <v>134</v>
      </c>
      <c r="M465" s="184" t="s">
        <v>84</v>
      </c>
      <c r="N465" s="184" t="s">
        <v>1265</v>
      </c>
      <c r="O465" s="184" t="s">
        <v>598</v>
      </c>
      <c r="P465" s="184" t="s">
        <v>63</v>
      </c>
      <c r="Q465" s="184" t="s">
        <v>3021</v>
      </c>
      <c r="R465" s="184" t="s">
        <v>598</v>
      </c>
      <c r="S465" s="172">
        <v>42996.326388888891</v>
      </c>
      <c r="T465" s="32" t="s">
        <v>552</v>
      </c>
    </row>
    <row r="466" spans="1:20">
      <c r="A466" s="184" t="s">
        <v>3300</v>
      </c>
      <c r="B466" s="184" t="s">
        <v>4194</v>
      </c>
      <c r="C466" s="127">
        <v>42881</v>
      </c>
      <c r="D466" s="184" t="s">
        <v>34</v>
      </c>
      <c r="E466" s="184" t="s">
        <v>598</v>
      </c>
      <c r="F466" s="185">
        <v>3000</v>
      </c>
      <c r="G466" s="184" t="s">
        <v>493</v>
      </c>
      <c r="H466" s="184" t="s">
        <v>598</v>
      </c>
      <c r="I466" s="185">
        <v>0</v>
      </c>
      <c r="J466" s="184" t="s">
        <v>598</v>
      </c>
      <c r="K466" s="127">
        <v>42881</v>
      </c>
      <c r="L466" s="184" t="s">
        <v>120</v>
      </c>
      <c r="M466" s="184" t="s">
        <v>84</v>
      </c>
      <c r="N466" s="184" t="s">
        <v>222</v>
      </c>
      <c r="O466" s="184" t="s">
        <v>598</v>
      </c>
      <c r="P466" s="184" t="s">
        <v>63</v>
      </c>
      <c r="Q466" s="184" t="s">
        <v>3021</v>
      </c>
      <c r="R466" s="184" t="s">
        <v>598</v>
      </c>
      <c r="S466" s="172">
        <v>42996.326388888891</v>
      </c>
      <c r="T466" s="32" t="s">
        <v>552</v>
      </c>
    </row>
    <row r="467" spans="1:20">
      <c r="A467" s="184" t="s">
        <v>3302</v>
      </c>
      <c r="B467" s="184" t="s">
        <v>4195</v>
      </c>
      <c r="C467" s="127">
        <v>42884</v>
      </c>
      <c r="D467" s="184" t="s">
        <v>10</v>
      </c>
      <c r="E467" s="184" t="s">
        <v>598</v>
      </c>
      <c r="F467" s="185">
        <v>2500</v>
      </c>
      <c r="G467" s="184" t="s">
        <v>493</v>
      </c>
      <c r="H467" s="184" t="s">
        <v>598</v>
      </c>
      <c r="I467" s="185">
        <v>0</v>
      </c>
      <c r="J467" s="184" t="s">
        <v>598</v>
      </c>
      <c r="K467" s="127">
        <v>42881</v>
      </c>
      <c r="L467" s="184" t="s">
        <v>598</v>
      </c>
      <c r="M467" s="184" t="s">
        <v>84</v>
      </c>
      <c r="N467" s="184" t="s">
        <v>189</v>
      </c>
      <c r="O467" s="184" t="s">
        <v>598</v>
      </c>
      <c r="P467" s="184" t="s">
        <v>63</v>
      </c>
      <c r="Q467" s="184" t="s">
        <v>3021</v>
      </c>
      <c r="R467" s="184" t="s">
        <v>598</v>
      </c>
      <c r="S467" s="172">
        <v>42996.326388888891</v>
      </c>
      <c r="T467" s="32" t="s">
        <v>552</v>
      </c>
    </row>
    <row r="468" spans="1:20">
      <c r="A468" s="184" t="s">
        <v>3304</v>
      </c>
      <c r="B468" s="184" t="s">
        <v>4196</v>
      </c>
      <c r="C468" s="127">
        <v>42885</v>
      </c>
      <c r="D468" s="184" t="s">
        <v>34</v>
      </c>
      <c r="E468" s="184" t="s">
        <v>598</v>
      </c>
      <c r="F468" s="185">
        <v>6000</v>
      </c>
      <c r="G468" s="184" t="s">
        <v>493</v>
      </c>
      <c r="H468" s="184" t="s">
        <v>598</v>
      </c>
      <c r="I468" s="185">
        <v>0</v>
      </c>
      <c r="J468" s="184" t="s">
        <v>598</v>
      </c>
      <c r="K468" s="127">
        <v>42881</v>
      </c>
      <c r="L468" s="184" t="s">
        <v>598</v>
      </c>
      <c r="M468" s="184" t="s">
        <v>84</v>
      </c>
      <c r="N468" s="184" t="s">
        <v>205</v>
      </c>
      <c r="O468" s="184" t="s">
        <v>598</v>
      </c>
      <c r="P468" s="184" t="s">
        <v>63</v>
      </c>
      <c r="Q468" s="184" t="s">
        <v>86</v>
      </c>
      <c r="R468" s="184" t="s">
        <v>598</v>
      </c>
      <c r="S468" s="172">
        <v>42996.326388888891</v>
      </c>
      <c r="T468" s="32" t="s">
        <v>552</v>
      </c>
    </row>
    <row r="469" spans="1:20">
      <c r="A469" s="184" t="s">
        <v>3305</v>
      </c>
      <c r="B469" s="184" t="s">
        <v>4197</v>
      </c>
      <c r="C469" s="127">
        <v>42885</v>
      </c>
      <c r="D469" s="184" t="s">
        <v>34</v>
      </c>
      <c r="E469" s="184" t="s">
        <v>598</v>
      </c>
      <c r="F469" s="185">
        <v>1000</v>
      </c>
      <c r="G469" s="184" t="s">
        <v>573</v>
      </c>
      <c r="H469" s="184" t="s">
        <v>598</v>
      </c>
      <c r="I469" s="185">
        <v>0</v>
      </c>
      <c r="J469" s="184" t="s">
        <v>598</v>
      </c>
      <c r="K469" s="127">
        <v>42884</v>
      </c>
      <c r="L469" s="184" t="s">
        <v>598</v>
      </c>
      <c r="M469" s="184" t="s">
        <v>84</v>
      </c>
      <c r="N469" s="184" t="s">
        <v>225</v>
      </c>
      <c r="O469" s="184" t="s">
        <v>598</v>
      </c>
      <c r="P469" s="184" t="s">
        <v>63</v>
      </c>
      <c r="Q469" s="184" t="s">
        <v>3021</v>
      </c>
      <c r="R469" s="184" t="s">
        <v>598</v>
      </c>
      <c r="S469" s="172">
        <v>42996.326388888891</v>
      </c>
      <c r="T469" s="32" t="s">
        <v>552</v>
      </c>
    </row>
    <row r="470" spans="1:20">
      <c r="A470" s="184" t="s">
        <v>3306</v>
      </c>
      <c r="B470" s="184" t="s">
        <v>4198</v>
      </c>
      <c r="C470" s="127">
        <v>42886</v>
      </c>
      <c r="D470" s="184" t="s">
        <v>34</v>
      </c>
      <c r="E470" s="184" t="s">
        <v>598</v>
      </c>
      <c r="F470" s="185">
        <v>5000</v>
      </c>
      <c r="G470" s="184" t="s">
        <v>493</v>
      </c>
      <c r="H470" s="184" t="s">
        <v>598</v>
      </c>
      <c r="I470" s="185">
        <v>0</v>
      </c>
      <c r="J470" s="184" t="s">
        <v>598</v>
      </c>
      <c r="K470" s="127">
        <v>42884</v>
      </c>
      <c r="L470" s="184" t="s">
        <v>598</v>
      </c>
      <c r="M470" s="184" t="s">
        <v>84</v>
      </c>
      <c r="N470" s="184" t="s">
        <v>214</v>
      </c>
      <c r="O470" s="184" t="s">
        <v>598</v>
      </c>
      <c r="P470" s="184" t="s">
        <v>63</v>
      </c>
      <c r="Q470" s="184" t="s">
        <v>3021</v>
      </c>
      <c r="R470" s="184" t="s">
        <v>598</v>
      </c>
      <c r="S470" s="172">
        <v>42996.326388888891</v>
      </c>
      <c r="T470" s="32" t="s">
        <v>552</v>
      </c>
    </row>
    <row r="471" spans="1:20">
      <c r="A471" s="184" t="s">
        <v>3308</v>
      </c>
      <c r="B471" s="184" t="s">
        <v>4199</v>
      </c>
      <c r="C471" s="127">
        <v>42886</v>
      </c>
      <c r="D471" s="184" t="s">
        <v>34</v>
      </c>
      <c r="E471" s="184" t="s">
        <v>598</v>
      </c>
      <c r="F471" s="185">
        <v>1000</v>
      </c>
      <c r="G471" s="184" t="s">
        <v>549</v>
      </c>
      <c r="H471" s="184" t="s">
        <v>598</v>
      </c>
      <c r="I471" s="185">
        <v>0</v>
      </c>
      <c r="J471" s="184" t="s">
        <v>493</v>
      </c>
      <c r="K471" s="127">
        <v>42885</v>
      </c>
      <c r="L471" s="184" t="s">
        <v>598</v>
      </c>
      <c r="M471" s="184" t="s">
        <v>84</v>
      </c>
      <c r="N471" s="184" t="s">
        <v>242</v>
      </c>
      <c r="O471" s="184" t="s">
        <v>598</v>
      </c>
      <c r="P471" s="184" t="s">
        <v>63</v>
      </c>
      <c r="Q471" s="184" t="s">
        <v>86</v>
      </c>
      <c r="R471" s="184" t="s">
        <v>598</v>
      </c>
      <c r="S471" s="172">
        <v>42996.326388888891</v>
      </c>
      <c r="T471" s="32" t="s">
        <v>552</v>
      </c>
    </row>
    <row r="472" spans="1:20">
      <c r="A472" s="184" t="s">
        <v>3309</v>
      </c>
      <c r="B472" s="184" t="s">
        <v>4200</v>
      </c>
      <c r="C472" s="127">
        <v>42873</v>
      </c>
      <c r="D472" s="184" t="s">
        <v>34</v>
      </c>
      <c r="E472" s="184" t="s">
        <v>598</v>
      </c>
      <c r="F472" s="185">
        <v>1000</v>
      </c>
      <c r="G472" s="184" t="s">
        <v>493</v>
      </c>
      <c r="H472" s="184" t="s">
        <v>598</v>
      </c>
      <c r="I472" s="185">
        <v>0</v>
      </c>
      <c r="J472" s="184" t="s">
        <v>598</v>
      </c>
      <c r="K472" s="127">
        <v>42837</v>
      </c>
      <c r="L472" s="184" t="s">
        <v>134</v>
      </c>
      <c r="M472" s="184" t="s">
        <v>84</v>
      </c>
      <c r="N472" s="184" t="s">
        <v>221</v>
      </c>
      <c r="O472" s="184" t="s">
        <v>598</v>
      </c>
      <c r="P472" s="184" t="s">
        <v>63</v>
      </c>
      <c r="Q472" s="184" t="s">
        <v>63</v>
      </c>
      <c r="R472" s="184" t="s">
        <v>598</v>
      </c>
      <c r="S472" s="172">
        <v>42996.326388888891</v>
      </c>
      <c r="T472" s="32" t="s">
        <v>552</v>
      </c>
    </row>
    <row r="473" spans="1:20">
      <c r="A473" s="184" t="s">
        <v>3311</v>
      </c>
      <c r="B473" s="184" t="s">
        <v>4201</v>
      </c>
      <c r="C473" s="127">
        <v>42857</v>
      </c>
      <c r="D473" s="184" t="s">
        <v>10</v>
      </c>
      <c r="E473" s="184" t="s">
        <v>598</v>
      </c>
      <c r="F473" s="185">
        <v>6000</v>
      </c>
      <c r="G473" s="184" t="s">
        <v>493</v>
      </c>
      <c r="H473" s="184" t="s">
        <v>598</v>
      </c>
      <c r="I473" s="185">
        <v>0</v>
      </c>
      <c r="J473" s="184" t="s">
        <v>598</v>
      </c>
      <c r="K473" s="127">
        <v>42849</v>
      </c>
      <c r="L473" s="184" t="s">
        <v>598</v>
      </c>
      <c r="M473" s="184" t="s">
        <v>84</v>
      </c>
      <c r="N473" s="184" t="s">
        <v>450</v>
      </c>
      <c r="O473" s="184" t="s">
        <v>598</v>
      </c>
      <c r="P473" s="184" t="s">
        <v>63</v>
      </c>
      <c r="Q473" s="184" t="s">
        <v>86</v>
      </c>
      <c r="R473" s="184" t="s">
        <v>598</v>
      </c>
      <c r="S473" s="172">
        <v>42996.326388888891</v>
      </c>
      <c r="T473" s="32" t="s">
        <v>552</v>
      </c>
    </row>
    <row r="474" spans="1:20">
      <c r="A474" s="184" t="s">
        <v>3313</v>
      </c>
      <c r="B474" s="184" t="s">
        <v>4202</v>
      </c>
      <c r="C474" s="127">
        <v>42861</v>
      </c>
      <c r="D474" s="184" t="s">
        <v>10</v>
      </c>
      <c r="E474" s="184" t="s">
        <v>598</v>
      </c>
      <c r="F474" s="185">
        <v>3000</v>
      </c>
      <c r="G474" s="184" t="s">
        <v>493</v>
      </c>
      <c r="H474" s="184">
        <v>4004</v>
      </c>
      <c r="I474" s="185">
        <v>3000</v>
      </c>
      <c r="J474" s="184" t="s">
        <v>598</v>
      </c>
      <c r="K474" s="127">
        <v>42849</v>
      </c>
      <c r="L474" s="184" t="s">
        <v>135</v>
      </c>
      <c r="M474" s="184" t="s">
        <v>84</v>
      </c>
      <c r="N474" s="184" t="s">
        <v>191</v>
      </c>
      <c r="O474" s="184" t="s">
        <v>598</v>
      </c>
      <c r="P474" s="184" t="s">
        <v>63</v>
      </c>
      <c r="Q474" s="184" t="s">
        <v>86</v>
      </c>
      <c r="R474" s="184" t="s">
        <v>598</v>
      </c>
      <c r="S474" s="172">
        <v>42996.326388888891</v>
      </c>
      <c r="T474" s="32" t="s">
        <v>552</v>
      </c>
    </row>
    <row r="475" spans="1:20">
      <c r="A475" s="184" t="s">
        <v>3315</v>
      </c>
      <c r="B475" s="184" t="s">
        <v>4203</v>
      </c>
      <c r="C475" s="127">
        <v>42870</v>
      </c>
      <c r="D475" s="184" t="s">
        <v>10</v>
      </c>
      <c r="E475" s="184" t="s">
        <v>598</v>
      </c>
      <c r="F475" s="185">
        <v>5000</v>
      </c>
      <c r="G475" s="184" t="s">
        <v>493</v>
      </c>
      <c r="H475" s="184">
        <v>3900</v>
      </c>
      <c r="I475" s="185">
        <v>5000</v>
      </c>
      <c r="J475" s="184" t="s">
        <v>598</v>
      </c>
      <c r="K475" s="127">
        <v>42849</v>
      </c>
      <c r="L475" s="184" t="s">
        <v>132</v>
      </c>
      <c r="M475" s="184" t="s">
        <v>84</v>
      </c>
      <c r="N475" s="184" t="s">
        <v>357</v>
      </c>
      <c r="O475" s="184" t="s">
        <v>598</v>
      </c>
      <c r="P475" s="184" t="s">
        <v>63</v>
      </c>
      <c r="Q475" s="184" t="s">
        <v>86</v>
      </c>
      <c r="R475" s="184" t="s">
        <v>598</v>
      </c>
      <c r="S475" s="172">
        <v>42996.326388888891</v>
      </c>
      <c r="T475" s="32" t="s">
        <v>552</v>
      </c>
    </row>
    <row r="476" spans="1:20">
      <c r="A476" s="184" t="s">
        <v>3317</v>
      </c>
      <c r="B476" s="184" t="s">
        <v>4204</v>
      </c>
      <c r="C476" s="127">
        <v>42858</v>
      </c>
      <c r="D476" s="184" t="s">
        <v>34</v>
      </c>
      <c r="E476" s="184" t="s">
        <v>598</v>
      </c>
      <c r="F476" s="185">
        <v>3000</v>
      </c>
      <c r="G476" s="184" t="s">
        <v>493</v>
      </c>
      <c r="H476" s="184" t="s">
        <v>598</v>
      </c>
      <c r="I476" s="185">
        <v>0</v>
      </c>
      <c r="J476" s="184" t="s">
        <v>598</v>
      </c>
      <c r="K476" s="127">
        <v>42850</v>
      </c>
      <c r="L476" s="184" t="s">
        <v>132</v>
      </c>
      <c r="M476" s="184" t="s">
        <v>84</v>
      </c>
      <c r="N476" s="184" t="s">
        <v>245</v>
      </c>
      <c r="O476" s="184" t="s">
        <v>598</v>
      </c>
      <c r="P476" s="184" t="s">
        <v>63</v>
      </c>
      <c r="Q476" s="184" t="s">
        <v>63</v>
      </c>
      <c r="R476" s="184" t="s">
        <v>598</v>
      </c>
      <c r="S476" s="172">
        <v>42996.326388888891</v>
      </c>
      <c r="T476" s="32" t="s">
        <v>552</v>
      </c>
    </row>
    <row r="477" spans="1:20">
      <c r="A477" s="184" t="s">
        <v>3319</v>
      </c>
      <c r="B477" s="184" t="s">
        <v>4205</v>
      </c>
      <c r="C477" s="127">
        <v>42860</v>
      </c>
      <c r="D477" s="184" t="s">
        <v>34</v>
      </c>
      <c r="E477" s="184" t="s">
        <v>598</v>
      </c>
      <c r="F477" s="185">
        <v>4500</v>
      </c>
      <c r="G477" s="184" t="s">
        <v>493</v>
      </c>
      <c r="H477" s="184" t="s">
        <v>598</v>
      </c>
      <c r="I477" s="185">
        <v>0</v>
      </c>
      <c r="J477" s="184" t="s">
        <v>598</v>
      </c>
      <c r="K477" s="127">
        <v>42850</v>
      </c>
      <c r="L477" s="184" t="s">
        <v>132</v>
      </c>
      <c r="M477" s="184" t="s">
        <v>84</v>
      </c>
      <c r="N477" s="184" t="s">
        <v>191</v>
      </c>
      <c r="O477" s="184" t="s">
        <v>598</v>
      </c>
      <c r="P477" s="184" t="s">
        <v>63</v>
      </c>
      <c r="Q477" s="184" t="s">
        <v>63</v>
      </c>
      <c r="R477" s="184" t="s">
        <v>598</v>
      </c>
      <c r="S477" s="172">
        <v>42996.326388888891</v>
      </c>
      <c r="T477" s="32" t="s">
        <v>552</v>
      </c>
    </row>
    <row r="478" spans="1:20">
      <c r="A478" s="184" t="s">
        <v>3321</v>
      </c>
      <c r="B478" s="184" t="s">
        <v>4206</v>
      </c>
      <c r="C478" s="127">
        <v>42861</v>
      </c>
      <c r="D478" s="184" t="s">
        <v>10</v>
      </c>
      <c r="E478" s="184" t="s">
        <v>598</v>
      </c>
      <c r="F478" s="185">
        <v>3000</v>
      </c>
      <c r="G478" s="184" t="s">
        <v>493</v>
      </c>
      <c r="H478" s="184">
        <v>4005</v>
      </c>
      <c r="I478" s="185">
        <v>5000</v>
      </c>
      <c r="J478" s="184" t="s">
        <v>598</v>
      </c>
      <c r="K478" s="127">
        <v>42853</v>
      </c>
      <c r="L478" s="184" t="s">
        <v>134</v>
      </c>
      <c r="M478" s="184" t="s">
        <v>84</v>
      </c>
      <c r="N478" s="184" t="s">
        <v>3323</v>
      </c>
      <c r="O478" s="184" t="s">
        <v>598</v>
      </c>
      <c r="P478" s="184" t="s">
        <v>63</v>
      </c>
      <c r="Q478" s="184" t="s">
        <v>86</v>
      </c>
      <c r="R478" s="184" t="s">
        <v>598</v>
      </c>
      <c r="S478" s="172">
        <v>42996.326388888891</v>
      </c>
      <c r="T478" s="32" t="s">
        <v>552</v>
      </c>
    </row>
    <row r="479" spans="1:20">
      <c r="A479" s="184" t="s">
        <v>3324</v>
      </c>
      <c r="B479" s="184" t="s">
        <v>4207</v>
      </c>
      <c r="C479" s="127">
        <v>42857</v>
      </c>
      <c r="D479" s="184" t="s">
        <v>10</v>
      </c>
      <c r="E479" s="184" t="s">
        <v>598</v>
      </c>
      <c r="F479" s="185">
        <v>3500</v>
      </c>
      <c r="G479" s="184" t="s">
        <v>493</v>
      </c>
      <c r="H479" s="184">
        <v>4006</v>
      </c>
      <c r="I479" s="185">
        <v>3500</v>
      </c>
      <c r="J479" s="184" t="s">
        <v>598</v>
      </c>
      <c r="K479" s="127">
        <v>42853</v>
      </c>
      <c r="L479" s="184" t="s">
        <v>134</v>
      </c>
      <c r="M479" s="184" t="s">
        <v>84</v>
      </c>
      <c r="N479" s="184" t="s">
        <v>3323</v>
      </c>
      <c r="O479" s="184" t="s">
        <v>598</v>
      </c>
      <c r="P479" s="184" t="s">
        <v>63</v>
      </c>
      <c r="Q479" s="184" t="s">
        <v>86</v>
      </c>
      <c r="R479" s="184" t="s">
        <v>598</v>
      </c>
      <c r="S479" s="172">
        <v>42996.326388888891</v>
      </c>
      <c r="T479" s="32" t="s">
        <v>552</v>
      </c>
    </row>
    <row r="480" spans="1:20">
      <c r="A480" s="184" t="s">
        <v>3326</v>
      </c>
      <c r="B480" s="184" t="s">
        <v>4208</v>
      </c>
      <c r="C480" s="127">
        <v>42856</v>
      </c>
      <c r="D480" s="184" t="s">
        <v>34</v>
      </c>
      <c r="E480" s="184" t="s">
        <v>598</v>
      </c>
      <c r="F480" s="185">
        <v>2000</v>
      </c>
      <c r="G480" s="184" t="s">
        <v>493</v>
      </c>
      <c r="H480" s="184" t="s">
        <v>598</v>
      </c>
      <c r="I480" s="185">
        <v>0</v>
      </c>
      <c r="J480" s="184" t="s">
        <v>598</v>
      </c>
      <c r="K480" s="127">
        <v>42856</v>
      </c>
      <c r="L480" s="184" t="s">
        <v>864</v>
      </c>
      <c r="M480" s="184" t="s">
        <v>84</v>
      </c>
      <c r="N480" s="184" t="s">
        <v>598</v>
      </c>
      <c r="O480" s="184" t="s">
        <v>598</v>
      </c>
      <c r="P480" s="184" t="s">
        <v>79</v>
      </c>
      <c r="Q480" s="184" t="s">
        <v>598</v>
      </c>
      <c r="R480" s="184" t="s">
        <v>598</v>
      </c>
      <c r="S480" s="172">
        <v>42996.326388888891</v>
      </c>
      <c r="T480" s="32" t="s">
        <v>552</v>
      </c>
    </row>
    <row r="481" spans="1:20">
      <c r="A481" s="184" t="s">
        <v>3327</v>
      </c>
      <c r="B481" s="184" t="s">
        <v>4209</v>
      </c>
      <c r="C481" s="127">
        <v>42865</v>
      </c>
      <c r="D481" s="184" t="s">
        <v>10</v>
      </c>
      <c r="E481" s="184" t="s">
        <v>598</v>
      </c>
      <c r="F481" s="185">
        <v>3000</v>
      </c>
      <c r="G481" s="184" t="s">
        <v>493</v>
      </c>
      <c r="H481" s="184" t="s">
        <v>598</v>
      </c>
      <c r="I481" s="185">
        <v>0</v>
      </c>
      <c r="J481" s="184" t="s">
        <v>598</v>
      </c>
      <c r="K481" s="127">
        <v>42856</v>
      </c>
      <c r="L481" s="184" t="s">
        <v>134</v>
      </c>
      <c r="M481" s="184" t="s">
        <v>84</v>
      </c>
      <c r="N481" s="184" t="s">
        <v>192</v>
      </c>
      <c r="O481" s="184" t="s">
        <v>50</v>
      </c>
      <c r="P481" s="184" t="s">
        <v>79</v>
      </c>
      <c r="Q481" s="184" t="s">
        <v>112</v>
      </c>
      <c r="R481" s="184" t="s">
        <v>598</v>
      </c>
      <c r="S481" s="172">
        <v>42996.326388888891</v>
      </c>
      <c r="T481" s="32" t="s">
        <v>552</v>
      </c>
    </row>
    <row r="482" spans="1:20">
      <c r="A482" s="184" t="s">
        <v>3329</v>
      </c>
      <c r="B482" s="184" t="s">
        <v>4210</v>
      </c>
      <c r="C482" s="127">
        <v>42858</v>
      </c>
      <c r="D482" s="184" t="s">
        <v>34</v>
      </c>
      <c r="E482" s="184" t="s">
        <v>598</v>
      </c>
      <c r="F482" s="185">
        <v>3000</v>
      </c>
      <c r="G482" s="184" t="s">
        <v>493</v>
      </c>
      <c r="H482" s="184" t="s">
        <v>598</v>
      </c>
      <c r="I482" s="185">
        <v>0</v>
      </c>
      <c r="J482" s="184" t="s">
        <v>598</v>
      </c>
      <c r="K482" s="127">
        <v>42856</v>
      </c>
      <c r="L482" s="184" t="s">
        <v>132</v>
      </c>
      <c r="M482" s="184" t="s">
        <v>84</v>
      </c>
      <c r="N482" s="184" t="s">
        <v>265</v>
      </c>
      <c r="O482" s="184" t="s">
        <v>598</v>
      </c>
      <c r="P482" s="184" t="s">
        <v>79</v>
      </c>
      <c r="Q482" s="184" t="s">
        <v>79</v>
      </c>
      <c r="R482" s="184" t="s">
        <v>598</v>
      </c>
      <c r="S482" s="172">
        <v>42996.326388888891</v>
      </c>
      <c r="T482" s="32" t="s">
        <v>552</v>
      </c>
    </row>
    <row r="483" spans="1:20">
      <c r="A483" s="184" t="s">
        <v>3331</v>
      </c>
      <c r="B483" s="184" t="s">
        <v>4211</v>
      </c>
      <c r="C483" s="127">
        <v>42865</v>
      </c>
      <c r="D483" s="184" t="s">
        <v>34</v>
      </c>
      <c r="E483" s="184" t="s">
        <v>598</v>
      </c>
      <c r="F483" s="185">
        <v>3000</v>
      </c>
      <c r="G483" s="184" t="s">
        <v>493</v>
      </c>
      <c r="H483" s="184" t="s">
        <v>598</v>
      </c>
      <c r="I483" s="185">
        <v>0</v>
      </c>
      <c r="J483" s="184" t="s">
        <v>598</v>
      </c>
      <c r="K483" s="127">
        <v>42856</v>
      </c>
      <c r="L483" s="184" t="s">
        <v>122</v>
      </c>
      <c r="M483" s="184" t="s">
        <v>84</v>
      </c>
      <c r="N483" s="184" t="s">
        <v>250</v>
      </c>
      <c r="O483" s="184" t="s">
        <v>598</v>
      </c>
      <c r="P483" s="184" t="s">
        <v>79</v>
      </c>
      <c r="Q483" s="184" t="s">
        <v>112</v>
      </c>
      <c r="R483" s="184" t="s">
        <v>598</v>
      </c>
      <c r="S483" s="172">
        <v>42996.326388888891</v>
      </c>
      <c r="T483" s="32" t="s">
        <v>552</v>
      </c>
    </row>
    <row r="484" spans="1:20">
      <c r="A484" s="184" t="s">
        <v>3333</v>
      </c>
      <c r="B484" s="184" t="s">
        <v>4212</v>
      </c>
      <c r="C484" s="127">
        <v>42860</v>
      </c>
      <c r="D484" s="184" t="s">
        <v>34</v>
      </c>
      <c r="E484" s="184" t="s">
        <v>598</v>
      </c>
      <c r="F484" s="185">
        <v>3000</v>
      </c>
      <c r="G484" s="184" t="s">
        <v>493</v>
      </c>
      <c r="H484" s="184" t="s">
        <v>598</v>
      </c>
      <c r="I484" s="185">
        <v>0</v>
      </c>
      <c r="J484" s="184" t="s">
        <v>598</v>
      </c>
      <c r="K484" s="127">
        <v>42856</v>
      </c>
      <c r="L484" s="184" t="s">
        <v>134</v>
      </c>
      <c r="M484" s="184" t="s">
        <v>84</v>
      </c>
      <c r="N484" s="184" t="s">
        <v>277</v>
      </c>
      <c r="O484" s="184" t="s">
        <v>598</v>
      </c>
      <c r="P484" s="184" t="s">
        <v>79</v>
      </c>
      <c r="Q484" s="184" t="s">
        <v>112</v>
      </c>
      <c r="R484" s="184" t="s">
        <v>598</v>
      </c>
      <c r="S484" s="172">
        <v>42996.326388888891</v>
      </c>
      <c r="T484" s="32" t="s">
        <v>552</v>
      </c>
    </row>
    <row r="485" spans="1:20">
      <c r="A485" s="184" t="s">
        <v>3335</v>
      </c>
      <c r="B485" s="184" t="s">
        <v>4213</v>
      </c>
      <c r="C485" s="127">
        <v>42858</v>
      </c>
      <c r="D485" s="184" t="s">
        <v>34</v>
      </c>
      <c r="E485" s="184" t="s">
        <v>598</v>
      </c>
      <c r="F485" s="185">
        <v>1000</v>
      </c>
      <c r="G485" s="184" t="s">
        <v>493</v>
      </c>
      <c r="H485" s="184" t="s">
        <v>598</v>
      </c>
      <c r="I485" s="185">
        <v>0</v>
      </c>
      <c r="J485" s="184" t="s">
        <v>598</v>
      </c>
      <c r="K485" s="127">
        <v>42858</v>
      </c>
      <c r="L485" s="184" t="s">
        <v>126</v>
      </c>
      <c r="M485" s="184" t="s">
        <v>84</v>
      </c>
      <c r="N485" s="184" t="s">
        <v>598</v>
      </c>
      <c r="O485" s="184" t="s">
        <v>598</v>
      </c>
      <c r="P485" s="184" t="s">
        <v>79</v>
      </c>
      <c r="Q485" s="184" t="s">
        <v>598</v>
      </c>
      <c r="R485" s="184" t="s">
        <v>598</v>
      </c>
      <c r="S485" s="172">
        <v>42996.326388888891</v>
      </c>
      <c r="T485" s="32" t="s">
        <v>552</v>
      </c>
    </row>
    <row r="486" spans="1:20">
      <c r="A486" s="184" t="s">
        <v>3337</v>
      </c>
      <c r="B486" s="184" t="s">
        <v>4214</v>
      </c>
      <c r="C486" s="127">
        <v>42864</v>
      </c>
      <c r="D486" s="184" t="s">
        <v>34</v>
      </c>
      <c r="E486" s="184" t="s">
        <v>598</v>
      </c>
      <c r="F486" s="185">
        <v>1500</v>
      </c>
      <c r="G486" s="184" t="s">
        <v>493</v>
      </c>
      <c r="H486" s="184" t="s">
        <v>598</v>
      </c>
      <c r="I486" s="185">
        <v>0</v>
      </c>
      <c r="J486" s="184" t="s">
        <v>598</v>
      </c>
      <c r="K486" s="127">
        <v>42858</v>
      </c>
      <c r="L486" s="184" t="s">
        <v>134</v>
      </c>
      <c r="M486" s="184" t="s">
        <v>84</v>
      </c>
      <c r="N486" s="184" t="s">
        <v>451</v>
      </c>
      <c r="O486" s="184" t="s">
        <v>598</v>
      </c>
      <c r="P486" s="184" t="s">
        <v>79</v>
      </c>
      <c r="Q486" s="184" t="s">
        <v>79</v>
      </c>
      <c r="R486" s="184" t="s">
        <v>598</v>
      </c>
      <c r="S486" s="172">
        <v>42996.326388888891</v>
      </c>
      <c r="T486" s="32" t="s">
        <v>552</v>
      </c>
    </row>
    <row r="487" spans="1:20">
      <c r="A487" s="184" t="s">
        <v>3339</v>
      </c>
      <c r="B487" s="184" t="s">
        <v>4215</v>
      </c>
      <c r="C487" s="127">
        <v>42865</v>
      </c>
      <c r="D487" s="184" t="s">
        <v>10</v>
      </c>
      <c r="E487" s="184" t="s">
        <v>598</v>
      </c>
      <c r="F487" s="185">
        <v>3000</v>
      </c>
      <c r="G487" s="184" t="s">
        <v>493</v>
      </c>
      <c r="H487" s="184" t="s">
        <v>598</v>
      </c>
      <c r="I487" s="185">
        <v>0</v>
      </c>
      <c r="J487" s="184" t="s">
        <v>598</v>
      </c>
      <c r="K487" s="127">
        <v>42858</v>
      </c>
      <c r="L487" s="184" t="s">
        <v>120</v>
      </c>
      <c r="M487" s="184" t="s">
        <v>84</v>
      </c>
      <c r="N487" s="184" t="s">
        <v>452</v>
      </c>
      <c r="O487" s="184" t="s">
        <v>50</v>
      </c>
      <c r="P487" s="184" t="s">
        <v>79</v>
      </c>
      <c r="Q487" s="184" t="s">
        <v>79</v>
      </c>
      <c r="R487" s="184" t="s">
        <v>598</v>
      </c>
      <c r="S487" s="172">
        <v>42996.326388888891</v>
      </c>
      <c r="T487" s="32" t="s">
        <v>552</v>
      </c>
    </row>
    <row r="488" spans="1:20">
      <c r="A488" s="184" t="s">
        <v>3341</v>
      </c>
      <c r="B488" s="184" t="s">
        <v>4216</v>
      </c>
      <c r="C488" s="127">
        <v>42859</v>
      </c>
      <c r="D488" s="184" t="s">
        <v>34</v>
      </c>
      <c r="E488" s="184" t="s">
        <v>598</v>
      </c>
      <c r="F488" s="185">
        <v>1000</v>
      </c>
      <c r="G488" s="184" t="s">
        <v>493</v>
      </c>
      <c r="H488" s="184" t="s">
        <v>598</v>
      </c>
      <c r="I488" s="185">
        <v>0</v>
      </c>
      <c r="J488" s="184" t="s">
        <v>598</v>
      </c>
      <c r="K488" s="127">
        <v>42859</v>
      </c>
      <c r="L488" s="184" t="s">
        <v>126</v>
      </c>
      <c r="M488" s="184" t="s">
        <v>84</v>
      </c>
      <c r="N488" s="184" t="s">
        <v>598</v>
      </c>
      <c r="O488" s="184" t="s">
        <v>598</v>
      </c>
      <c r="P488" s="184" t="s">
        <v>79</v>
      </c>
      <c r="Q488" s="184" t="s">
        <v>598</v>
      </c>
      <c r="R488" s="184" t="s">
        <v>598</v>
      </c>
      <c r="S488" s="172">
        <v>42996.326388888891</v>
      </c>
      <c r="T488" s="32" t="s">
        <v>552</v>
      </c>
    </row>
    <row r="489" spans="1:20">
      <c r="A489" s="184" t="s">
        <v>3343</v>
      </c>
      <c r="B489" s="184" t="s">
        <v>4217</v>
      </c>
      <c r="C489" s="127">
        <v>42861</v>
      </c>
      <c r="D489" s="184" t="s">
        <v>34</v>
      </c>
      <c r="E489" s="184" t="s">
        <v>598</v>
      </c>
      <c r="F489" s="185">
        <v>3500</v>
      </c>
      <c r="G489" s="184" t="s">
        <v>493</v>
      </c>
      <c r="H489" s="184" t="s">
        <v>598</v>
      </c>
      <c r="I489" s="185">
        <v>0</v>
      </c>
      <c r="J489" s="184" t="s">
        <v>598</v>
      </c>
      <c r="K489" s="127">
        <v>42859</v>
      </c>
      <c r="L489" s="184" t="s">
        <v>132</v>
      </c>
      <c r="M489" s="184" t="s">
        <v>84</v>
      </c>
      <c r="N489" s="184" t="s">
        <v>265</v>
      </c>
      <c r="O489" s="184" t="s">
        <v>598</v>
      </c>
      <c r="P489" s="184" t="s">
        <v>79</v>
      </c>
      <c r="Q489" s="184" t="s">
        <v>112</v>
      </c>
      <c r="R489" s="184" t="s">
        <v>598</v>
      </c>
      <c r="S489" s="172">
        <v>42996.326388888891</v>
      </c>
      <c r="T489" s="32" t="s">
        <v>552</v>
      </c>
    </row>
    <row r="490" spans="1:20">
      <c r="A490" s="184" t="s">
        <v>3345</v>
      </c>
      <c r="B490" s="184" t="s">
        <v>4218</v>
      </c>
      <c r="C490" s="127">
        <v>42861</v>
      </c>
      <c r="D490" s="184" t="s">
        <v>34</v>
      </c>
      <c r="E490" s="184" t="s">
        <v>598</v>
      </c>
      <c r="F490" s="185">
        <v>3000</v>
      </c>
      <c r="G490" s="184" t="s">
        <v>493</v>
      </c>
      <c r="H490" s="184" t="s">
        <v>598</v>
      </c>
      <c r="I490" s="185">
        <v>0</v>
      </c>
      <c r="J490" s="184" t="s">
        <v>598</v>
      </c>
      <c r="K490" s="127">
        <v>42859</v>
      </c>
      <c r="L490" s="184" t="s">
        <v>134</v>
      </c>
      <c r="M490" s="184" t="s">
        <v>84</v>
      </c>
      <c r="N490" s="184" t="s">
        <v>168</v>
      </c>
      <c r="O490" s="184" t="s">
        <v>598</v>
      </c>
      <c r="P490" s="184" t="s">
        <v>79</v>
      </c>
      <c r="Q490" s="184" t="s">
        <v>112</v>
      </c>
      <c r="R490" s="184" t="s">
        <v>598</v>
      </c>
      <c r="S490" s="172">
        <v>42996.326388888891</v>
      </c>
      <c r="T490" s="32" t="s">
        <v>552</v>
      </c>
    </row>
    <row r="491" spans="1:20">
      <c r="A491" s="184" t="s">
        <v>3347</v>
      </c>
      <c r="B491" s="184" t="s">
        <v>4219</v>
      </c>
      <c r="C491" s="127">
        <v>42880</v>
      </c>
      <c r="D491" s="184" t="s">
        <v>34</v>
      </c>
      <c r="E491" s="184" t="s">
        <v>598</v>
      </c>
      <c r="F491" s="185">
        <v>5000</v>
      </c>
      <c r="G491" s="184" t="s">
        <v>493</v>
      </c>
      <c r="H491" s="184" t="s">
        <v>598</v>
      </c>
      <c r="I491" s="185">
        <v>0</v>
      </c>
      <c r="J491" s="184" t="s">
        <v>598</v>
      </c>
      <c r="K491" s="127">
        <v>42860</v>
      </c>
      <c r="L491" s="184" t="s">
        <v>134</v>
      </c>
      <c r="M491" s="184" t="s">
        <v>84</v>
      </c>
      <c r="N491" s="184" t="s">
        <v>453</v>
      </c>
      <c r="O491" s="184" t="s">
        <v>598</v>
      </c>
      <c r="P491" s="184" t="s">
        <v>79</v>
      </c>
      <c r="Q491" s="184" t="s">
        <v>112</v>
      </c>
      <c r="R491" s="184" t="s">
        <v>598</v>
      </c>
      <c r="S491" s="172">
        <v>42996.326388888891</v>
      </c>
      <c r="T491" s="32" t="s">
        <v>552</v>
      </c>
    </row>
    <row r="492" spans="1:20">
      <c r="A492" s="184" t="s">
        <v>3349</v>
      </c>
      <c r="B492" s="184" t="s">
        <v>4220</v>
      </c>
      <c r="C492" s="127">
        <v>42865</v>
      </c>
      <c r="D492" s="184" t="s">
        <v>34</v>
      </c>
      <c r="E492" s="184" t="s">
        <v>598</v>
      </c>
      <c r="F492" s="185">
        <v>3000</v>
      </c>
      <c r="G492" s="184" t="s">
        <v>493</v>
      </c>
      <c r="H492" s="184" t="s">
        <v>598</v>
      </c>
      <c r="I492" s="185">
        <v>0</v>
      </c>
      <c r="J492" s="184" t="s">
        <v>598</v>
      </c>
      <c r="K492" s="127">
        <v>42864</v>
      </c>
      <c r="L492" s="184" t="s">
        <v>132</v>
      </c>
      <c r="M492" s="184" t="s">
        <v>84</v>
      </c>
      <c r="N492" s="184" t="s">
        <v>184</v>
      </c>
      <c r="O492" s="184" t="s">
        <v>598</v>
      </c>
      <c r="P492" s="184" t="s">
        <v>79</v>
      </c>
      <c r="Q492" s="184" t="s">
        <v>79</v>
      </c>
      <c r="R492" s="184" t="s">
        <v>598</v>
      </c>
      <c r="S492" s="172">
        <v>42996.326388888891</v>
      </c>
      <c r="T492" s="32" t="s">
        <v>552</v>
      </c>
    </row>
    <row r="493" spans="1:20">
      <c r="A493" s="184" t="s">
        <v>3351</v>
      </c>
      <c r="B493" s="184" t="s">
        <v>4221</v>
      </c>
      <c r="C493" s="127">
        <v>42865</v>
      </c>
      <c r="D493" s="184" t="s">
        <v>34</v>
      </c>
      <c r="E493" s="184" t="s">
        <v>598</v>
      </c>
      <c r="F493" s="185">
        <v>3000</v>
      </c>
      <c r="G493" s="184" t="s">
        <v>493</v>
      </c>
      <c r="H493" s="184" t="s">
        <v>598</v>
      </c>
      <c r="I493" s="185">
        <v>0</v>
      </c>
      <c r="J493" s="184" t="s">
        <v>598</v>
      </c>
      <c r="K493" s="127">
        <v>42864</v>
      </c>
      <c r="L493" s="184" t="s">
        <v>132</v>
      </c>
      <c r="M493" s="184" t="s">
        <v>3352</v>
      </c>
      <c r="N493" s="184" t="s">
        <v>184</v>
      </c>
      <c r="O493" s="184" t="s">
        <v>598</v>
      </c>
      <c r="P493" s="184" t="s">
        <v>79</v>
      </c>
      <c r="Q493" s="184" t="s">
        <v>79</v>
      </c>
      <c r="R493" s="184" t="s">
        <v>598</v>
      </c>
      <c r="S493" s="172">
        <v>42996.326388888891</v>
      </c>
      <c r="T493" s="32" t="s">
        <v>552</v>
      </c>
    </row>
    <row r="494" spans="1:20">
      <c r="A494" s="184" t="s">
        <v>3353</v>
      </c>
      <c r="B494" s="184" t="s">
        <v>4222</v>
      </c>
      <c r="C494" s="127">
        <v>42879</v>
      </c>
      <c r="D494" s="184" t="s">
        <v>34</v>
      </c>
      <c r="E494" s="184" t="s">
        <v>598</v>
      </c>
      <c r="F494" s="185">
        <v>5000</v>
      </c>
      <c r="G494" s="184" t="s">
        <v>493</v>
      </c>
      <c r="H494" s="184" t="s">
        <v>598</v>
      </c>
      <c r="I494" s="185">
        <v>0</v>
      </c>
      <c r="J494" s="184" t="s">
        <v>598</v>
      </c>
      <c r="K494" s="127">
        <v>42864</v>
      </c>
      <c r="L494" s="184" t="s">
        <v>134</v>
      </c>
      <c r="M494" s="184" t="s">
        <v>84</v>
      </c>
      <c r="N494" s="184" t="s">
        <v>254</v>
      </c>
      <c r="O494" s="184" t="s">
        <v>598</v>
      </c>
      <c r="P494" s="184" t="s">
        <v>79</v>
      </c>
      <c r="Q494" s="184" t="s">
        <v>79</v>
      </c>
      <c r="R494" s="184" t="s">
        <v>598</v>
      </c>
      <c r="S494" s="172">
        <v>42996.326388888891</v>
      </c>
      <c r="T494" s="32" t="s">
        <v>552</v>
      </c>
    </row>
    <row r="495" spans="1:20">
      <c r="A495" s="184" t="s">
        <v>3355</v>
      </c>
      <c r="B495" s="184" t="s">
        <v>4223</v>
      </c>
      <c r="C495" s="127">
        <v>42867</v>
      </c>
      <c r="D495" s="184" t="s">
        <v>34</v>
      </c>
      <c r="E495" s="184" t="s">
        <v>598</v>
      </c>
      <c r="F495" s="185">
        <v>4000</v>
      </c>
      <c r="G495" s="184" t="s">
        <v>493</v>
      </c>
      <c r="H495" s="184" t="s">
        <v>598</v>
      </c>
      <c r="I495" s="185">
        <v>0</v>
      </c>
      <c r="J495" s="184" t="s">
        <v>598</v>
      </c>
      <c r="K495" s="127">
        <v>42865</v>
      </c>
      <c r="L495" s="184" t="s">
        <v>134</v>
      </c>
      <c r="M495" s="184" t="s">
        <v>84</v>
      </c>
      <c r="N495" s="184" t="s">
        <v>370</v>
      </c>
      <c r="O495" s="184" t="s">
        <v>598</v>
      </c>
      <c r="P495" s="184" t="s">
        <v>79</v>
      </c>
      <c r="Q495" s="184" t="s">
        <v>112</v>
      </c>
      <c r="R495" s="184" t="s">
        <v>598</v>
      </c>
      <c r="S495" s="172">
        <v>42996.326388888891</v>
      </c>
      <c r="T495" s="32" t="s">
        <v>552</v>
      </c>
    </row>
    <row r="496" spans="1:20">
      <c r="A496" s="184" t="s">
        <v>3357</v>
      </c>
      <c r="B496" s="184" t="s">
        <v>4224</v>
      </c>
      <c r="C496" s="127">
        <v>42871</v>
      </c>
      <c r="D496" s="184" t="s">
        <v>10</v>
      </c>
      <c r="E496" s="184" t="s">
        <v>598</v>
      </c>
      <c r="F496" s="185">
        <v>10000</v>
      </c>
      <c r="G496" s="184" t="s">
        <v>493</v>
      </c>
      <c r="H496" s="184" t="s">
        <v>598</v>
      </c>
      <c r="I496" s="185">
        <v>0</v>
      </c>
      <c r="J496" s="184" t="s">
        <v>598</v>
      </c>
      <c r="K496" s="127">
        <v>42865</v>
      </c>
      <c r="L496" s="184" t="s">
        <v>132</v>
      </c>
      <c r="M496" s="184" t="s">
        <v>84</v>
      </c>
      <c r="N496" s="184" t="s">
        <v>192</v>
      </c>
      <c r="O496" s="184" t="s">
        <v>598</v>
      </c>
      <c r="P496" s="184" t="s">
        <v>79</v>
      </c>
      <c r="Q496" s="184" t="s">
        <v>112</v>
      </c>
      <c r="R496" s="184" t="s">
        <v>598</v>
      </c>
      <c r="S496" s="172">
        <v>42996.326388888891</v>
      </c>
      <c r="T496" s="32" t="s">
        <v>552</v>
      </c>
    </row>
    <row r="497" spans="1:20">
      <c r="A497" s="184" t="s">
        <v>3359</v>
      </c>
      <c r="B497" s="184" t="s">
        <v>4225</v>
      </c>
      <c r="C497" s="127">
        <v>42870</v>
      </c>
      <c r="D497" s="184" t="s">
        <v>34</v>
      </c>
      <c r="E497" s="184" t="s">
        <v>598</v>
      </c>
      <c r="F497" s="185">
        <v>5000</v>
      </c>
      <c r="G497" s="184" t="s">
        <v>493</v>
      </c>
      <c r="H497" s="184" t="s">
        <v>598</v>
      </c>
      <c r="I497" s="185">
        <v>0</v>
      </c>
      <c r="J497" s="184" t="s">
        <v>598</v>
      </c>
      <c r="K497" s="127">
        <v>42866</v>
      </c>
      <c r="L497" s="184" t="s">
        <v>134</v>
      </c>
      <c r="M497" s="184" t="s">
        <v>84</v>
      </c>
      <c r="N497" s="184" t="s">
        <v>370</v>
      </c>
      <c r="O497" s="184" t="s">
        <v>598</v>
      </c>
      <c r="P497" s="184" t="s">
        <v>79</v>
      </c>
      <c r="Q497" s="184" t="s">
        <v>112</v>
      </c>
      <c r="R497" s="184" t="s">
        <v>598</v>
      </c>
      <c r="S497" s="172">
        <v>42996.326388888891</v>
      </c>
      <c r="T497" s="32" t="s">
        <v>552</v>
      </c>
    </row>
    <row r="498" spans="1:20">
      <c r="A498" s="184" t="s">
        <v>3361</v>
      </c>
      <c r="B498" s="184" t="s">
        <v>4226</v>
      </c>
      <c r="C498" s="127">
        <v>42871</v>
      </c>
      <c r="D498" s="184" t="s">
        <v>34</v>
      </c>
      <c r="E498" s="184" t="s">
        <v>598</v>
      </c>
      <c r="F498" s="185">
        <v>5000</v>
      </c>
      <c r="G498" s="184" t="s">
        <v>493</v>
      </c>
      <c r="H498" s="184" t="s">
        <v>598</v>
      </c>
      <c r="I498" s="185">
        <v>0</v>
      </c>
      <c r="J498" s="184" t="s">
        <v>598</v>
      </c>
      <c r="K498" s="127">
        <v>42867</v>
      </c>
      <c r="L498" s="184" t="s">
        <v>134</v>
      </c>
      <c r="M498" s="184" t="s">
        <v>84</v>
      </c>
      <c r="N498" s="184" t="s">
        <v>3363</v>
      </c>
      <c r="O498" s="184" t="s">
        <v>598</v>
      </c>
      <c r="P498" s="184" t="s">
        <v>79</v>
      </c>
      <c r="Q498" s="184" t="s">
        <v>79</v>
      </c>
      <c r="R498" s="184" t="s">
        <v>598</v>
      </c>
      <c r="S498" s="172">
        <v>42996.326388888891</v>
      </c>
      <c r="T498" s="32" t="s">
        <v>552</v>
      </c>
    </row>
    <row r="499" spans="1:20">
      <c r="A499" s="184" t="s">
        <v>3364</v>
      </c>
      <c r="B499" s="184" t="s">
        <v>4227</v>
      </c>
      <c r="C499" s="127">
        <v>42873</v>
      </c>
      <c r="D499" s="184" t="s">
        <v>10</v>
      </c>
      <c r="E499" s="184" t="s">
        <v>598</v>
      </c>
      <c r="F499" s="185">
        <v>4000</v>
      </c>
      <c r="G499" s="184" t="s">
        <v>493</v>
      </c>
      <c r="H499" s="184" t="s">
        <v>598</v>
      </c>
      <c r="I499" s="185">
        <v>0</v>
      </c>
      <c r="J499" s="184" t="s">
        <v>598</v>
      </c>
      <c r="K499" s="127">
        <v>42867</v>
      </c>
      <c r="L499" s="184" t="s">
        <v>598</v>
      </c>
      <c r="M499" s="184" t="s">
        <v>84</v>
      </c>
      <c r="N499" s="184" t="s">
        <v>264</v>
      </c>
      <c r="O499" s="184" t="s">
        <v>50</v>
      </c>
      <c r="P499" s="184" t="s">
        <v>79</v>
      </c>
      <c r="Q499" s="184" t="s">
        <v>79</v>
      </c>
      <c r="R499" s="184" t="s">
        <v>598</v>
      </c>
      <c r="S499" s="172">
        <v>42996.326388888891</v>
      </c>
      <c r="T499" s="32" t="s">
        <v>552</v>
      </c>
    </row>
    <row r="500" spans="1:20">
      <c r="A500" s="184" t="s">
        <v>3366</v>
      </c>
      <c r="B500" s="184" t="s">
        <v>4228</v>
      </c>
      <c r="C500" s="127">
        <v>42870</v>
      </c>
      <c r="D500" s="184" t="s">
        <v>34</v>
      </c>
      <c r="E500" s="184" t="s">
        <v>598</v>
      </c>
      <c r="F500" s="185">
        <v>3000</v>
      </c>
      <c r="G500" s="184" t="s">
        <v>493</v>
      </c>
      <c r="H500" s="184" t="s">
        <v>598</v>
      </c>
      <c r="I500" s="185">
        <v>0</v>
      </c>
      <c r="J500" s="184" t="s">
        <v>598</v>
      </c>
      <c r="K500" s="127">
        <v>42867</v>
      </c>
      <c r="L500" s="184" t="s">
        <v>134</v>
      </c>
      <c r="M500" s="184" t="s">
        <v>84</v>
      </c>
      <c r="N500" s="184" t="s">
        <v>370</v>
      </c>
      <c r="O500" s="184" t="s">
        <v>598</v>
      </c>
      <c r="P500" s="184" t="s">
        <v>79</v>
      </c>
      <c r="Q500" s="184" t="s">
        <v>79</v>
      </c>
      <c r="R500" s="184" t="s">
        <v>598</v>
      </c>
      <c r="S500" s="172">
        <v>42996.326388888891</v>
      </c>
      <c r="T500" s="32" t="s">
        <v>552</v>
      </c>
    </row>
    <row r="501" spans="1:20">
      <c r="A501" s="184" t="s">
        <v>3368</v>
      </c>
      <c r="B501" s="184" t="s">
        <v>4229</v>
      </c>
      <c r="C501" s="127">
        <v>42871</v>
      </c>
      <c r="D501" s="184" t="s">
        <v>34</v>
      </c>
      <c r="E501" s="184" t="s">
        <v>598</v>
      </c>
      <c r="F501" s="185">
        <v>3000</v>
      </c>
      <c r="G501" s="184" t="s">
        <v>493</v>
      </c>
      <c r="H501" s="184" t="s">
        <v>598</v>
      </c>
      <c r="I501" s="185">
        <v>0</v>
      </c>
      <c r="J501" s="184" t="s">
        <v>598</v>
      </c>
      <c r="K501" s="127">
        <v>42867</v>
      </c>
      <c r="L501" s="184" t="s">
        <v>134</v>
      </c>
      <c r="M501" s="184" t="s">
        <v>84</v>
      </c>
      <c r="N501" s="184" t="s">
        <v>262</v>
      </c>
      <c r="O501" s="184" t="s">
        <v>598</v>
      </c>
      <c r="P501" s="184" t="s">
        <v>79</v>
      </c>
      <c r="Q501" s="184" t="s">
        <v>112</v>
      </c>
      <c r="R501" s="184" t="s">
        <v>598</v>
      </c>
      <c r="S501" s="172">
        <v>42996.326388888891</v>
      </c>
      <c r="T501" s="32" t="s">
        <v>552</v>
      </c>
    </row>
    <row r="502" spans="1:20">
      <c r="A502" s="184" t="s">
        <v>3370</v>
      </c>
      <c r="B502" s="184" t="s">
        <v>4230</v>
      </c>
      <c r="C502" s="127">
        <v>42873</v>
      </c>
      <c r="D502" s="184" t="s">
        <v>10</v>
      </c>
      <c r="E502" s="184" t="s">
        <v>598</v>
      </c>
      <c r="F502" s="185">
        <v>3000</v>
      </c>
      <c r="G502" s="184" t="s">
        <v>493</v>
      </c>
      <c r="H502" s="184" t="s">
        <v>598</v>
      </c>
      <c r="I502" s="185">
        <v>0</v>
      </c>
      <c r="J502" s="184" t="s">
        <v>598</v>
      </c>
      <c r="K502" s="127">
        <v>42868</v>
      </c>
      <c r="L502" s="184" t="s">
        <v>134</v>
      </c>
      <c r="M502" s="184" t="s">
        <v>84</v>
      </c>
      <c r="N502" s="184" t="s">
        <v>454</v>
      </c>
      <c r="O502" s="184" t="s">
        <v>50</v>
      </c>
      <c r="P502" s="184" t="s">
        <v>79</v>
      </c>
      <c r="Q502" s="184" t="s">
        <v>65</v>
      </c>
      <c r="R502" s="184" t="s">
        <v>598</v>
      </c>
      <c r="S502" s="172">
        <v>42996.326388888891</v>
      </c>
      <c r="T502" s="32" t="s">
        <v>552</v>
      </c>
    </row>
    <row r="503" spans="1:20">
      <c r="A503" s="184" t="s">
        <v>3372</v>
      </c>
      <c r="B503" s="184" t="s">
        <v>4231</v>
      </c>
      <c r="C503" s="127">
        <v>42868</v>
      </c>
      <c r="D503" s="184" t="s">
        <v>34</v>
      </c>
      <c r="E503" s="184" t="s">
        <v>598</v>
      </c>
      <c r="F503" s="185">
        <v>3000</v>
      </c>
      <c r="G503" s="184" t="s">
        <v>493</v>
      </c>
      <c r="H503" s="184" t="s">
        <v>598</v>
      </c>
      <c r="I503" s="185">
        <v>0</v>
      </c>
      <c r="J503" s="184" t="s">
        <v>598</v>
      </c>
      <c r="K503" s="127">
        <v>42868</v>
      </c>
      <c r="L503" s="184" t="s">
        <v>132</v>
      </c>
      <c r="M503" s="184" t="s">
        <v>84</v>
      </c>
      <c r="N503" s="184" t="s">
        <v>598</v>
      </c>
      <c r="O503" s="184" t="s">
        <v>598</v>
      </c>
      <c r="P503" s="184" t="s">
        <v>79</v>
      </c>
      <c r="Q503" s="184" t="s">
        <v>79</v>
      </c>
      <c r="R503" s="184" t="s">
        <v>598</v>
      </c>
      <c r="S503" s="172">
        <v>42996.326388888891</v>
      </c>
      <c r="T503" s="32" t="s">
        <v>552</v>
      </c>
    </row>
    <row r="504" spans="1:20">
      <c r="A504" s="184" t="s">
        <v>3374</v>
      </c>
      <c r="B504" s="184" t="s">
        <v>4232</v>
      </c>
      <c r="C504" s="127">
        <v>42871</v>
      </c>
      <c r="D504" s="184" t="s">
        <v>34</v>
      </c>
      <c r="E504" s="184" t="s">
        <v>598</v>
      </c>
      <c r="F504" s="185">
        <v>1000</v>
      </c>
      <c r="G504" s="184" t="s">
        <v>493</v>
      </c>
      <c r="H504" s="184" t="s">
        <v>598</v>
      </c>
      <c r="I504" s="185">
        <v>0</v>
      </c>
      <c r="J504" s="184" t="s">
        <v>598</v>
      </c>
      <c r="K504" s="127">
        <v>42870</v>
      </c>
      <c r="L504" s="184" t="s">
        <v>126</v>
      </c>
      <c r="M504" s="184" t="s">
        <v>84</v>
      </c>
      <c r="N504" s="184" t="s">
        <v>598</v>
      </c>
      <c r="O504" s="184" t="s">
        <v>598</v>
      </c>
      <c r="P504" s="184" t="s">
        <v>79</v>
      </c>
      <c r="Q504" s="184" t="s">
        <v>598</v>
      </c>
      <c r="R504" s="184" t="s">
        <v>598</v>
      </c>
      <c r="S504" s="172">
        <v>42996.326388888891</v>
      </c>
      <c r="T504" s="32" t="s">
        <v>552</v>
      </c>
    </row>
    <row r="505" spans="1:20">
      <c r="A505" s="184" t="s">
        <v>3376</v>
      </c>
      <c r="B505" s="184" t="s">
        <v>4233</v>
      </c>
      <c r="C505" s="127">
        <v>42871</v>
      </c>
      <c r="D505" s="184" t="s">
        <v>34</v>
      </c>
      <c r="E505" s="184" t="s">
        <v>598</v>
      </c>
      <c r="F505" s="185">
        <v>1000</v>
      </c>
      <c r="G505" s="184" t="s">
        <v>493</v>
      </c>
      <c r="H505" s="184" t="s">
        <v>598</v>
      </c>
      <c r="I505" s="185">
        <v>0</v>
      </c>
      <c r="J505" s="184" t="s">
        <v>598</v>
      </c>
      <c r="K505" s="127">
        <v>42871</v>
      </c>
      <c r="L505" s="184" t="s">
        <v>126</v>
      </c>
      <c r="M505" s="184" t="s">
        <v>84</v>
      </c>
      <c r="N505" s="184" t="s">
        <v>598</v>
      </c>
      <c r="O505" s="184" t="s">
        <v>598</v>
      </c>
      <c r="P505" s="184" t="s">
        <v>79</v>
      </c>
      <c r="Q505" s="184" t="s">
        <v>598</v>
      </c>
      <c r="R505" s="184" t="s">
        <v>598</v>
      </c>
      <c r="S505" s="172">
        <v>42996.326388888891</v>
      </c>
      <c r="T505" s="32" t="s">
        <v>552</v>
      </c>
    </row>
    <row r="506" spans="1:20">
      <c r="A506" s="184" t="s">
        <v>3377</v>
      </c>
      <c r="B506" s="184" t="s">
        <v>4234</v>
      </c>
      <c r="C506" s="127">
        <v>42872</v>
      </c>
      <c r="D506" s="184" t="s">
        <v>34</v>
      </c>
      <c r="E506" s="184" t="s">
        <v>598</v>
      </c>
      <c r="F506" s="185">
        <v>500</v>
      </c>
      <c r="G506" s="184" t="s">
        <v>493</v>
      </c>
      <c r="H506" s="184" t="s">
        <v>598</v>
      </c>
      <c r="I506" s="185">
        <v>0</v>
      </c>
      <c r="J506" s="184" t="s">
        <v>598</v>
      </c>
      <c r="K506" s="127">
        <v>42872</v>
      </c>
      <c r="L506" s="184" t="s">
        <v>83</v>
      </c>
      <c r="M506" s="184" t="s">
        <v>84</v>
      </c>
      <c r="N506" s="184" t="s">
        <v>598</v>
      </c>
      <c r="O506" s="184" t="s">
        <v>598</v>
      </c>
      <c r="P506" s="184" t="s">
        <v>79</v>
      </c>
      <c r="Q506" s="184" t="s">
        <v>598</v>
      </c>
      <c r="R506" s="184" t="s">
        <v>598</v>
      </c>
      <c r="S506" s="172">
        <v>42996.326388888891</v>
      </c>
      <c r="T506" s="32" t="s">
        <v>552</v>
      </c>
    </row>
    <row r="507" spans="1:20">
      <c r="A507" s="184" t="s">
        <v>3379</v>
      </c>
      <c r="B507" s="184" t="s">
        <v>4235</v>
      </c>
      <c r="C507" s="127">
        <v>42879</v>
      </c>
      <c r="D507" s="184" t="s">
        <v>494</v>
      </c>
      <c r="E507" s="184" t="s">
        <v>598</v>
      </c>
      <c r="F507" s="185">
        <v>5000</v>
      </c>
      <c r="G507" s="184" t="s">
        <v>493</v>
      </c>
      <c r="H507" s="184" t="s">
        <v>598</v>
      </c>
      <c r="I507" s="185">
        <v>0</v>
      </c>
      <c r="J507" s="184" t="s">
        <v>598</v>
      </c>
      <c r="K507" s="127">
        <v>42872</v>
      </c>
      <c r="L507" s="184" t="s">
        <v>132</v>
      </c>
      <c r="M507" s="184" t="s">
        <v>84</v>
      </c>
      <c r="N507" s="184" t="s">
        <v>186</v>
      </c>
      <c r="O507" s="184" t="s">
        <v>598</v>
      </c>
      <c r="P507" s="184" t="s">
        <v>79</v>
      </c>
      <c r="Q507" s="184" t="s">
        <v>112</v>
      </c>
      <c r="R507" s="184" t="s">
        <v>598</v>
      </c>
      <c r="S507" s="172">
        <v>42996.326388888891</v>
      </c>
      <c r="T507" s="32" t="s">
        <v>552</v>
      </c>
    </row>
    <row r="508" spans="1:20">
      <c r="A508" s="184" t="s">
        <v>3381</v>
      </c>
      <c r="B508" s="184" t="s">
        <v>4236</v>
      </c>
      <c r="C508" s="127">
        <v>42878</v>
      </c>
      <c r="D508" s="184" t="s">
        <v>10</v>
      </c>
      <c r="E508" s="184" t="s">
        <v>598</v>
      </c>
      <c r="F508" s="185">
        <v>3000</v>
      </c>
      <c r="G508" s="184" t="s">
        <v>493</v>
      </c>
      <c r="H508" s="184" t="s">
        <v>598</v>
      </c>
      <c r="I508" s="185">
        <v>0</v>
      </c>
      <c r="J508" s="184" t="s">
        <v>598</v>
      </c>
      <c r="K508" s="127">
        <v>42872</v>
      </c>
      <c r="L508" s="184" t="s">
        <v>132</v>
      </c>
      <c r="M508" s="184" t="s">
        <v>84</v>
      </c>
      <c r="N508" s="184" t="s">
        <v>192</v>
      </c>
      <c r="O508" s="184" t="s">
        <v>598</v>
      </c>
      <c r="P508" s="184" t="s">
        <v>79</v>
      </c>
      <c r="Q508" s="184" t="s">
        <v>79</v>
      </c>
      <c r="R508" s="184" t="s">
        <v>598</v>
      </c>
      <c r="S508" s="172">
        <v>42996.326388888891</v>
      </c>
      <c r="T508" s="32" t="s">
        <v>552</v>
      </c>
    </row>
    <row r="509" spans="1:20">
      <c r="A509" s="184" t="s">
        <v>3383</v>
      </c>
      <c r="B509" s="184" t="s">
        <v>4237</v>
      </c>
      <c r="C509" s="127">
        <v>42875</v>
      </c>
      <c r="D509" s="184" t="s">
        <v>494</v>
      </c>
      <c r="E509" s="184" t="s">
        <v>598</v>
      </c>
      <c r="F509" s="185">
        <v>3000</v>
      </c>
      <c r="G509" s="184" t="s">
        <v>493</v>
      </c>
      <c r="H509" s="184" t="s">
        <v>598</v>
      </c>
      <c r="I509" s="185">
        <v>0</v>
      </c>
      <c r="J509" s="184" t="s">
        <v>598</v>
      </c>
      <c r="K509" s="127">
        <v>42872</v>
      </c>
      <c r="L509" s="184" t="s">
        <v>598</v>
      </c>
      <c r="M509" s="184" t="s">
        <v>84</v>
      </c>
      <c r="N509" s="184" t="s">
        <v>455</v>
      </c>
      <c r="O509" s="184" t="s">
        <v>598</v>
      </c>
      <c r="P509" s="184" t="s">
        <v>79</v>
      </c>
      <c r="Q509" s="184" t="s">
        <v>65</v>
      </c>
      <c r="R509" s="184" t="s">
        <v>598</v>
      </c>
      <c r="S509" s="172">
        <v>42996.326388888891</v>
      </c>
      <c r="T509" s="32" t="s">
        <v>552</v>
      </c>
    </row>
    <row r="510" spans="1:20">
      <c r="A510" s="184" t="s">
        <v>3385</v>
      </c>
      <c r="B510" s="184" t="s">
        <v>4238</v>
      </c>
      <c r="C510" s="127">
        <v>42874</v>
      </c>
      <c r="D510" s="184" t="s">
        <v>34</v>
      </c>
      <c r="E510" s="184" t="s">
        <v>598</v>
      </c>
      <c r="F510" s="185">
        <v>1000</v>
      </c>
      <c r="G510" s="184" t="s">
        <v>549</v>
      </c>
      <c r="H510" s="184" t="s">
        <v>598</v>
      </c>
      <c r="I510" s="185">
        <v>0</v>
      </c>
      <c r="J510" s="184" t="s">
        <v>493</v>
      </c>
      <c r="K510" s="127">
        <v>42874</v>
      </c>
      <c r="L510" s="184" t="s">
        <v>96</v>
      </c>
      <c r="M510" s="184" t="s">
        <v>84</v>
      </c>
      <c r="N510" s="184" t="s">
        <v>196</v>
      </c>
      <c r="O510" s="184" t="s">
        <v>598</v>
      </c>
      <c r="P510" s="184" t="s">
        <v>79</v>
      </c>
      <c r="Q510" s="184" t="s">
        <v>79</v>
      </c>
      <c r="R510" s="184" t="s">
        <v>598</v>
      </c>
      <c r="S510" s="172">
        <v>42996.326388888891</v>
      </c>
      <c r="T510" s="32" t="s">
        <v>552</v>
      </c>
    </row>
    <row r="511" spans="1:20">
      <c r="A511" s="184" t="s">
        <v>3386</v>
      </c>
      <c r="B511" s="184" t="s">
        <v>4239</v>
      </c>
      <c r="C511" s="127">
        <v>42857</v>
      </c>
      <c r="D511" s="184" t="s">
        <v>10</v>
      </c>
      <c r="E511" s="184" t="s">
        <v>598</v>
      </c>
      <c r="F511" s="185">
        <v>3000</v>
      </c>
      <c r="G511" s="184" t="s">
        <v>493</v>
      </c>
      <c r="H511" s="184" t="s">
        <v>598</v>
      </c>
      <c r="I511" s="185">
        <v>0</v>
      </c>
      <c r="J511" s="184" t="s">
        <v>598</v>
      </c>
      <c r="K511" s="127">
        <v>42875</v>
      </c>
      <c r="L511" s="184" t="s">
        <v>132</v>
      </c>
      <c r="M511" s="184" t="s">
        <v>84</v>
      </c>
      <c r="N511" s="184" t="s">
        <v>3363</v>
      </c>
      <c r="O511" s="184" t="s">
        <v>598</v>
      </c>
      <c r="P511" s="184" t="s">
        <v>79</v>
      </c>
      <c r="Q511" s="184" t="s">
        <v>112</v>
      </c>
      <c r="R511" s="184" t="s">
        <v>598</v>
      </c>
      <c r="S511" s="172">
        <v>42996.326388888891</v>
      </c>
      <c r="T511" s="32" t="s">
        <v>552</v>
      </c>
    </row>
    <row r="512" spans="1:20">
      <c r="A512" s="184" t="s">
        <v>3388</v>
      </c>
      <c r="B512" s="184" t="s">
        <v>4240</v>
      </c>
      <c r="C512" s="127">
        <v>42881</v>
      </c>
      <c r="D512" s="184" t="s">
        <v>494</v>
      </c>
      <c r="E512" s="184" t="s">
        <v>598</v>
      </c>
      <c r="F512" s="185">
        <v>5000</v>
      </c>
      <c r="G512" s="184" t="s">
        <v>493</v>
      </c>
      <c r="H512" s="184" t="s">
        <v>598</v>
      </c>
      <c r="I512" s="185">
        <v>0</v>
      </c>
      <c r="J512" s="184" t="s">
        <v>598</v>
      </c>
      <c r="K512" s="127">
        <v>42875</v>
      </c>
      <c r="L512" s="184" t="s">
        <v>132</v>
      </c>
      <c r="M512" s="184" t="s">
        <v>84</v>
      </c>
      <c r="N512" s="184" t="s">
        <v>455</v>
      </c>
      <c r="O512" s="184" t="s">
        <v>598</v>
      </c>
      <c r="P512" s="184" t="s">
        <v>79</v>
      </c>
      <c r="Q512" s="184" t="s">
        <v>112</v>
      </c>
      <c r="R512" s="184" t="s">
        <v>598</v>
      </c>
      <c r="S512" s="172">
        <v>42996.326388888891</v>
      </c>
      <c r="T512" s="32" t="s">
        <v>552</v>
      </c>
    </row>
    <row r="513" spans="1:20">
      <c r="A513" s="184" t="s">
        <v>3390</v>
      </c>
      <c r="B513" s="184" t="s">
        <v>4241</v>
      </c>
      <c r="C513" s="127">
        <v>42881</v>
      </c>
      <c r="D513" s="184" t="s">
        <v>10</v>
      </c>
      <c r="E513" s="184" t="s">
        <v>598</v>
      </c>
      <c r="F513" s="185">
        <v>3000</v>
      </c>
      <c r="G513" s="184" t="s">
        <v>493</v>
      </c>
      <c r="H513" s="184" t="s">
        <v>598</v>
      </c>
      <c r="I513" s="185">
        <v>0</v>
      </c>
      <c r="J513" s="184" t="s">
        <v>598</v>
      </c>
      <c r="K513" s="127">
        <v>42877</v>
      </c>
      <c r="L513" s="184" t="s">
        <v>134</v>
      </c>
      <c r="M513" s="184" t="s">
        <v>84</v>
      </c>
      <c r="N513" s="184" t="s">
        <v>598</v>
      </c>
      <c r="O513" s="184" t="s">
        <v>41</v>
      </c>
      <c r="P513" s="184" t="s">
        <v>79</v>
      </c>
      <c r="Q513" s="184" t="s">
        <v>112</v>
      </c>
      <c r="R513" s="184" t="s">
        <v>598</v>
      </c>
      <c r="S513" s="172">
        <v>42996.326388888891</v>
      </c>
      <c r="T513" s="32" t="s">
        <v>552</v>
      </c>
    </row>
    <row r="514" spans="1:20">
      <c r="A514" s="184" t="s">
        <v>3391</v>
      </c>
      <c r="B514" s="184" t="s">
        <v>4242</v>
      </c>
      <c r="C514" s="127">
        <v>42884</v>
      </c>
      <c r="D514" s="184" t="s">
        <v>10</v>
      </c>
      <c r="E514" s="184" t="s">
        <v>598</v>
      </c>
      <c r="F514" s="185">
        <v>3000</v>
      </c>
      <c r="G514" s="184" t="s">
        <v>493</v>
      </c>
      <c r="H514" s="184" t="s">
        <v>598</v>
      </c>
      <c r="I514" s="185">
        <v>0</v>
      </c>
      <c r="J514" s="184" t="s">
        <v>598</v>
      </c>
      <c r="K514" s="127">
        <v>42877</v>
      </c>
      <c r="L514" s="184" t="s">
        <v>134</v>
      </c>
      <c r="M514" s="184" t="s">
        <v>84</v>
      </c>
      <c r="N514" s="184" t="s">
        <v>598</v>
      </c>
      <c r="O514" s="184" t="s">
        <v>41</v>
      </c>
      <c r="P514" s="184" t="s">
        <v>79</v>
      </c>
      <c r="Q514" s="184" t="s">
        <v>112</v>
      </c>
      <c r="R514" s="184" t="s">
        <v>598</v>
      </c>
      <c r="S514" s="172">
        <v>42996.326388888891</v>
      </c>
      <c r="T514" s="32" t="s">
        <v>552</v>
      </c>
    </row>
    <row r="515" spans="1:20">
      <c r="A515" s="184" t="s">
        <v>3392</v>
      </c>
      <c r="B515" s="184" t="s">
        <v>4243</v>
      </c>
      <c r="C515" s="127">
        <v>42880</v>
      </c>
      <c r="D515" s="184" t="s">
        <v>34</v>
      </c>
      <c r="E515" s="184" t="s">
        <v>598</v>
      </c>
      <c r="F515" s="185">
        <v>4000</v>
      </c>
      <c r="G515" s="184" t="s">
        <v>493</v>
      </c>
      <c r="H515" s="184" t="s">
        <v>598</v>
      </c>
      <c r="I515" s="185">
        <v>0</v>
      </c>
      <c r="J515" s="184" t="s">
        <v>598</v>
      </c>
      <c r="K515" s="127">
        <v>42877</v>
      </c>
      <c r="L515" s="184" t="s">
        <v>132</v>
      </c>
      <c r="M515" s="184" t="s">
        <v>84</v>
      </c>
      <c r="N515" s="184" t="s">
        <v>598</v>
      </c>
      <c r="O515" s="184" t="s">
        <v>50</v>
      </c>
      <c r="P515" s="184" t="s">
        <v>79</v>
      </c>
      <c r="Q515" s="184" t="s">
        <v>79</v>
      </c>
      <c r="R515" s="184" t="s">
        <v>598</v>
      </c>
      <c r="S515" s="172">
        <v>42996.326388888891</v>
      </c>
      <c r="T515" s="32" t="s">
        <v>552</v>
      </c>
    </row>
    <row r="516" spans="1:20">
      <c r="A516" s="184" t="s">
        <v>3393</v>
      </c>
      <c r="B516" s="184" t="s">
        <v>4244</v>
      </c>
      <c r="C516" s="127">
        <v>42880</v>
      </c>
      <c r="D516" s="184" t="s">
        <v>34</v>
      </c>
      <c r="E516" s="184" t="s">
        <v>598</v>
      </c>
      <c r="F516" s="185">
        <v>5000</v>
      </c>
      <c r="G516" s="184" t="s">
        <v>493</v>
      </c>
      <c r="H516" s="184" t="s">
        <v>598</v>
      </c>
      <c r="I516" s="185">
        <v>0</v>
      </c>
      <c r="J516" s="184" t="s">
        <v>598</v>
      </c>
      <c r="K516" s="127">
        <v>42878</v>
      </c>
      <c r="L516" s="184" t="s">
        <v>132</v>
      </c>
      <c r="M516" s="184" t="s">
        <v>84</v>
      </c>
      <c r="N516" s="184" t="s">
        <v>456</v>
      </c>
      <c r="O516" s="184" t="s">
        <v>598</v>
      </c>
      <c r="P516" s="184" t="s">
        <v>79</v>
      </c>
      <c r="Q516" s="184" t="s">
        <v>65</v>
      </c>
      <c r="R516" s="184" t="s">
        <v>598</v>
      </c>
      <c r="S516" s="172">
        <v>42996.326388888891</v>
      </c>
      <c r="T516" s="32" t="s">
        <v>552</v>
      </c>
    </row>
    <row r="517" spans="1:20">
      <c r="A517" s="184" t="s">
        <v>3395</v>
      </c>
      <c r="B517" s="184" t="s">
        <v>4245</v>
      </c>
      <c r="C517" s="127">
        <v>42878</v>
      </c>
      <c r="D517" s="184" t="s">
        <v>34</v>
      </c>
      <c r="E517" s="184" t="s">
        <v>598</v>
      </c>
      <c r="F517" s="185">
        <v>1500</v>
      </c>
      <c r="G517" s="184" t="s">
        <v>493</v>
      </c>
      <c r="H517" s="184" t="s">
        <v>598</v>
      </c>
      <c r="I517" s="185">
        <v>0</v>
      </c>
      <c r="J517" s="184" t="s">
        <v>598</v>
      </c>
      <c r="K517" s="127">
        <v>42878</v>
      </c>
      <c r="L517" s="184" t="s">
        <v>864</v>
      </c>
      <c r="M517" s="184" t="s">
        <v>84</v>
      </c>
      <c r="N517" s="184" t="s">
        <v>598</v>
      </c>
      <c r="O517" s="184" t="s">
        <v>598</v>
      </c>
      <c r="P517" s="184" t="s">
        <v>79</v>
      </c>
      <c r="Q517" s="184" t="s">
        <v>598</v>
      </c>
      <c r="R517" s="184" t="s">
        <v>598</v>
      </c>
      <c r="S517" s="172">
        <v>42996.326388888891</v>
      </c>
      <c r="T517" s="32" t="s">
        <v>552</v>
      </c>
    </row>
    <row r="518" spans="1:20">
      <c r="A518" s="184" t="s">
        <v>3397</v>
      </c>
      <c r="B518" s="184" t="s">
        <v>4246</v>
      </c>
      <c r="C518" s="127">
        <v>42885</v>
      </c>
      <c r="D518" s="184" t="s">
        <v>10</v>
      </c>
      <c r="E518" s="184" t="s">
        <v>598</v>
      </c>
      <c r="F518" s="185">
        <v>4000</v>
      </c>
      <c r="G518" s="184" t="s">
        <v>493</v>
      </c>
      <c r="H518" s="184" t="s">
        <v>598</v>
      </c>
      <c r="I518" s="185">
        <v>0</v>
      </c>
      <c r="J518" s="184" t="s">
        <v>598</v>
      </c>
      <c r="K518" s="127">
        <v>42878</v>
      </c>
      <c r="L518" s="184" t="s">
        <v>134</v>
      </c>
      <c r="M518" s="184" t="s">
        <v>84</v>
      </c>
      <c r="N518" s="184" t="s">
        <v>191</v>
      </c>
      <c r="O518" s="184" t="s">
        <v>41</v>
      </c>
      <c r="P518" s="184" t="s">
        <v>79</v>
      </c>
      <c r="Q518" s="184" t="s">
        <v>112</v>
      </c>
      <c r="R518" s="184" t="s">
        <v>598</v>
      </c>
      <c r="S518" s="172">
        <v>42996.326388888891</v>
      </c>
      <c r="T518" s="32" t="s">
        <v>552</v>
      </c>
    </row>
    <row r="519" spans="1:20">
      <c r="A519" s="184" t="s">
        <v>3398</v>
      </c>
      <c r="B519" s="184" t="s">
        <v>4247</v>
      </c>
      <c r="C519" s="127">
        <v>42880</v>
      </c>
      <c r="D519" s="184" t="s">
        <v>34</v>
      </c>
      <c r="E519" s="184" t="s">
        <v>598</v>
      </c>
      <c r="F519" s="185">
        <v>6000</v>
      </c>
      <c r="G519" s="184" t="s">
        <v>493</v>
      </c>
      <c r="H519" s="184" t="s">
        <v>598</v>
      </c>
      <c r="I519" s="185">
        <v>0</v>
      </c>
      <c r="J519" s="184" t="s">
        <v>598</v>
      </c>
      <c r="K519" s="127">
        <v>42878</v>
      </c>
      <c r="L519" s="184" t="s">
        <v>134</v>
      </c>
      <c r="M519" s="184" t="s">
        <v>84</v>
      </c>
      <c r="N519" s="184" t="s">
        <v>250</v>
      </c>
      <c r="O519" s="184" t="s">
        <v>598</v>
      </c>
      <c r="P519" s="184" t="s">
        <v>79</v>
      </c>
      <c r="Q519" s="184" t="s">
        <v>79</v>
      </c>
      <c r="R519" s="184" t="s">
        <v>598</v>
      </c>
      <c r="S519" s="172">
        <v>42996.326388888891</v>
      </c>
      <c r="T519" s="32" t="s">
        <v>552</v>
      </c>
    </row>
    <row r="520" spans="1:20">
      <c r="A520" s="184" t="s">
        <v>3400</v>
      </c>
      <c r="B520" s="184" t="s">
        <v>4248</v>
      </c>
      <c r="C520" s="127">
        <v>42878</v>
      </c>
      <c r="D520" s="184" t="s">
        <v>3077</v>
      </c>
      <c r="E520" s="184" t="s">
        <v>598</v>
      </c>
      <c r="F520" s="185">
        <v>5000</v>
      </c>
      <c r="G520" s="184" t="s">
        <v>493</v>
      </c>
      <c r="H520" s="184" t="s">
        <v>598</v>
      </c>
      <c r="I520" s="185">
        <v>0</v>
      </c>
      <c r="J520" s="184" t="s">
        <v>598</v>
      </c>
      <c r="K520" s="127">
        <v>42878</v>
      </c>
      <c r="L520" s="184" t="s">
        <v>864</v>
      </c>
      <c r="M520" s="184" t="s">
        <v>84</v>
      </c>
      <c r="N520" s="184" t="s">
        <v>598</v>
      </c>
      <c r="O520" s="184" t="s">
        <v>598</v>
      </c>
      <c r="P520" s="184" t="s">
        <v>79</v>
      </c>
      <c r="Q520" s="184" t="s">
        <v>598</v>
      </c>
      <c r="R520" s="184" t="s">
        <v>598</v>
      </c>
      <c r="S520" s="172">
        <v>42996.326388888891</v>
      </c>
      <c r="T520" s="32" t="s">
        <v>552</v>
      </c>
    </row>
    <row r="521" spans="1:20">
      <c r="A521" s="184" t="s">
        <v>3402</v>
      </c>
      <c r="B521" s="184" t="s">
        <v>4249</v>
      </c>
      <c r="C521" s="127">
        <v>42885</v>
      </c>
      <c r="D521" s="184" t="s">
        <v>10</v>
      </c>
      <c r="E521" s="184" t="s">
        <v>598</v>
      </c>
      <c r="F521" s="185">
        <v>10000</v>
      </c>
      <c r="G521" s="184" t="s">
        <v>493</v>
      </c>
      <c r="H521" s="184" t="s">
        <v>598</v>
      </c>
      <c r="I521" s="185">
        <v>0</v>
      </c>
      <c r="J521" s="184" t="s">
        <v>598</v>
      </c>
      <c r="K521" s="127">
        <v>42878</v>
      </c>
      <c r="L521" s="184" t="s">
        <v>134</v>
      </c>
      <c r="M521" s="184" t="s">
        <v>84</v>
      </c>
      <c r="N521" s="184" t="s">
        <v>252</v>
      </c>
      <c r="O521" s="184" t="s">
        <v>598</v>
      </c>
      <c r="P521" s="184" t="s">
        <v>79</v>
      </c>
      <c r="Q521" s="184" t="s">
        <v>112</v>
      </c>
      <c r="R521" s="184" t="s">
        <v>598</v>
      </c>
      <c r="S521" s="172">
        <v>42996.326388888891</v>
      </c>
      <c r="T521" s="32" t="s">
        <v>552</v>
      </c>
    </row>
    <row r="522" spans="1:20">
      <c r="A522" s="184" t="s">
        <v>3404</v>
      </c>
      <c r="B522" s="184" t="s">
        <v>4250</v>
      </c>
      <c r="C522" s="127">
        <v>42879</v>
      </c>
      <c r="D522" s="184" t="s">
        <v>34</v>
      </c>
      <c r="E522" s="184" t="s">
        <v>598</v>
      </c>
      <c r="F522" s="185">
        <v>3500</v>
      </c>
      <c r="G522" s="184" t="s">
        <v>493</v>
      </c>
      <c r="H522" s="184" t="s">
        <v>598</v>
      </c>
      <c r="I522" s="185">
        <v>0</v>
      </c>
      <c r="J522" s="184" t="s">
        <v>598</v>
      </c>
      <c r="K522" s="127">
        <v>42878</v>
      </c>
      <c r="L522" s="184" t="s">
        <v>132</v>
      </c>
      <c r="M522" s="184" t="s">
        <v>84</v>
      </c>
      <c r="N522" s="184" t="s">
        <v>299</v>
      </c>
      <c r="O522" s="184" t="s">
        <v>598</v>
      </c>
      <c r="P522" s="184" t="s">
        <v>79</v>
      </c>
      <c r="Q522" s="184" t="s">
        <v>79</v>
      </c>
      <c r="R522" s="184" t="s">
        <v>598</v>
      </c>
      <c r="S522" s="172">
        <v>42996.326388888891</v>
      </c>
      <c r="T522" s="32" t="s">
        <v>552</v>
      </c>
    </row>
    <row r="523" spans="1:20">
      <c r="A523" s="184" t="s">
        <v>3406</v>
      </c>
      <c r="B523" s="184" t="s">
        <v>4251</v>
      </c>
      <c r="C523" s="127">
        <v>42879</v>
      </c>
      <c r="D523" s="184" t="s">
        <v>494</v>
      </c>
      <c r="E523" s="184" t="s">
        <v>598</v>
      </c>
      <c r="F523" s="185">
        <v>750</v>
      </c>
      <c r="G523" s="184" t="s">
        <v>493</v>
      </c>
      <c r="H523" s="184" t="s">
        <v>598</v>
      </c>
      <c r="I523" s="185">
        <v>0</v>
      </c>
      <c r="J523" s="184" t="s">
        <v>598</v>
      </c>
      <c r="K523" s="127">
        <v>42879</v>
      </c>
      <c r="L523" s="184" t="s">
        <v>864</v>
      </c>
      <c r="M523" s="184" t="s">
        <v>84</v>
      </c>
      <c r="N523" s="184" t="s">
        <v>598</v>
      </c>
      <c r="O523" s="184" t="s">
        <v>598</v>
      </c>
      <c r="P523" s="184" t="s">
        <v>79</v>
      </c>
      <c r="Q523" s="184" t="s">
        <v>598</v>
      </c>
      <c r="R523" s="184" t="s">
        <v>598</v>
      </c>
      <c r="S523" s="172">
        <v>42996.326388888891</v>
      </c>
      <c r="T523" s="32" t="s">
        <v>552</v>
      </c>
    </row>
    <row r="524" spans="1:20">
      <c r="A524" s="184" t="s">
        <v>3408</v>
      </c>
      <c r="B524" s="184" t="s">
        <v>4252</v>
      </c>
      <c r="C524" s="127">
        <v>42880</v>
      </c>
      <c r="D524" s="184" t="s">
        <v>494</v>
      </c>
      <c r="E524" s="184" t="s">
        <v>598</v>
      </c>
      <c r="F524" s="185">
        <v>1000</v>
      </c>
      <c r="G524" s="184" t="s">
        <v>493</v>
      </c>
      <c r="H524" s="184" t="s">
        <v>598</v>
      </c>
      <c r="I524" s="185">
        <v>0</v>
      </c>
      <c r="J524" s="184" t="s">
        <v>598</v>
      </c>
      <c r="K524" s="127">
        <v>42880</v>
      </c>
      <c r="L524" s="184" t="s">
        <v>126</v>
      </c>
      <c r="M524" s="184" t="s">
        <v>84</v>
      </c>
      <c r="N524" s="184" t="s">
        <v>598</v>
      </c>
      <c r="O524" s="184" t="s">
        <v>598</v>
      </c>
      <c r="P524" s="184" t="s">
        <v>79</v>
      </c>
      <c r="Q524" s="184" t="s">
        <v>598</v>
      </c>
      <c r="R524" s="184" t="s">
        <v>598</v>
      </c>
      <c r="S524" s="172">
        <v>42996.326388888891</v>
      </c>
      <c r="T524" s="32" t="s">
        <v>552</v>
      </c>
    </row>
    <row r="525" spans="1:20">
      <c r="A525" s="184" t="s">
        <v>3410</v>
      </c>
      <c r="B525" s="184" t="s">
        <v>4253</v>
      </c>
      <c r="C525" s="127">
        <v>42880</v>
      </c>
      <c r="D525" s="184" t="s">
        <v>34</v>
      </c>
      <c r="E525" s="184" t="s">
        <v>598</v>
      </c>
      <c r="F525" s="185">
        <v>3000</v>
      </c>
      <c r="G525" s="184" t="s">
        <v>493</v>
      </c>
      <c r="H525" s="184" t="s">
        <v>598</v>
      </c>
      <c r="I525" s="185">
        <v>0</v>
      </c>
      <c r="J525" s="184" t="s">
        <v>598</v>
      </c>
      <c r="K525" s="127">
        <v>42880</v>
      </c>
      <c r="L525" s="184" t="s">
        <v>598</v>
      </c>
      <c r="M525" s="184" t="s">
        <v>84</v>
      </c>
      <c r="N525" s="184" t="s">
        <v>457</v>
      </c>
      <c r="O525" s="184" t="s">
        <v>598</v>
      </c>
      <c r="P525" s="184" t="s">
        <v>79</v>
      </c>
      <c r="Q525" s="184" t="s">
        <v>79</v>
      </c>
      <c r="R525" s="184" t="s">
        <v>598</v>
      </c>
      <c r="S525" s="172">
        <v>42996.326388888891</v>
      </c>
      <c r="T525" s="32" t="s">
        <v>552</v>
      </c>
    </row>
    <row r="526" spans="1:20">
      <c r="A526" s="184" t="s">
        <v>3412</v>
      </c>
      <c r="B526" s="184" t="s">
        <v>4254</v>
      </c>
      <c r="C526" s="127">
        <v>42881</v>
      </c>
      <c r="D526" s="184" t="s">
        <v>34</v>
      </c>
      <c r="E526" s="184" t="s">
        <v>598</v>
      </c>
      <c r="F526" s="185">
        <v>3000</v>
      </c>
      <c r="G526" s="184" t="s">
        <v>493</v>
      </c>
      <c r="H526" s="184" t="s">
        <v>598</v>
      </c>
      <c r="I526" s="185">
        <v>0</v>
      </c>
      <c r="J526" s="184" t="s">
        <v>598</v>
      </c>
      <c r="K526" s="127">
        <v>42880</v>
      </c>
      <c r="L526" s="184" t="s">
        <v>598</v>
      </c>
      <c r="M526" s="184" t="s">
        <v>84</v>
      </c>
      <c r="N526" s="184" t="s">
        <v>192</v>
      </c>
      <c r="O526" s="184" t="s">
        <v>598</v>
      </c>
      <c r="P526" s="184" t="s">
        <v>79</v>
      </c>
      <c r="Q526" s="184" t="s">
        <v>79</v>
      </c>
      <c r="R526" s="184" t="s">
        <v>598</v>
      </c>
      <c r="S526" s="172">
        <v>42996.326388888891</v>
      </c>
      <c r="T526" s="32" t="s">
        <v>552</v>
      </c>
    </row>
    <row r="527" spans="1:20">
      <c r="A527" s="184" t="s">
        <v>3414</v>
      </c>
      <c r="B527" s="184" t="s">
        <v>4255</v>
      </c>
      <c r="C527" s="127">
        <v>42880</v>
      </c>
      <c r="D527" s="184" t="s">
        <v>34</v>
      </c>
      <c r="E527" s="184" t="s">
        <v>598</v>
      </c>
      <c r="F527" s="185">
        <v>1500</v>
      </c>
      <c r="G527" s="184" t="s">
        <v>493</v>
      </c>
      <c r="H527" s="184" t="s">
        <v>598</v>
      </c>
      <c r="I527" s="185">
        <v>0</v>
      </c>
      <c r="J527" s="184" t="s">
        <v>598</v>
      </c>
      <c r="K527" s="127">
        <v>42880</v>
      </c>
      <c r="L527" s="184" t="s">
        <v>107</v>
      </c>
      <c r="M527" s="184" t="s">
        <v>84</v>
      </c>
      <c r="N527" s="184" t="s">
        <v>458</v>
      </c>
      <c r="O527" s="184" t="s">
        <v>598</v>
      </c>
      <c r="P527" s="184" t="s">
        <v>79</v>
      </c>
      <c r="Q527" s="184" t="s">
        <v>112</v>
      </c>
      <c r="R527" s="184" t="s">
        <v>598</v>
      </c>
      <c r="S527" s="172">
        <v>42996.326388888891</v>
      </c>
      <c r="T527" s="32" t="s">
        <v>552</v>
      </c>
    </row>
    <row r="528" spans="1:20">
      <c r="A528" s="184" t="s">
        <v>3416</v>
      </c>
      <c r="B528" s="184" t="s">
        <v>4256</v>
      </c>
      <c r="C528" s="127">
        <v>42881</v>
      </c>
      <c r="D528" s="184" t="s">
        <v>34</v>
      </c>
      <c r="E528" s="184" t="s">
        <v>598</v>
      </c>
      <c r="F528" s="185">
        <v>5000</v>
      </c>
      <c r="G528" s="184" t="s">
        <v>493</v>
      </c>
      <c r="H528" s="184" t="s">
        <v>598</v>
      </c>
      <c r="I528" s="185">
        <v>0</v>
      </c>
      <c r="J528" s="184" t="s">
        <v>598</v>
      </c>
      <c r="K528" s="127">
        <v>42880</v>
      </c>
      <c r="L528" s="184" t="s">
        <v>134</v>
      </c>
      <c r="M528" s="184" t="s">
        <v>84</v>
      </c>
      <c r="N528" s="184" t="s">
        <v>254</v>
      </c>
      <c r="O528" s="184" t="s">
        <v>598</v>
      </c>
      <c r="P528" s="184" t="s">
        <v>79</v>
      </c>
      <c r="Q528" s="184" t="s">
        <v>79</v>
      </c>
      <c r="R528" s="184" t="s">
        <v>598</v>
      </c>
      <c r="S528" s="172">
        <v>42996.326388888891</v>
      </c>
      <c r="T528" s="32" t="s">
        <v>552</v>
      </c>
    </row>
    <row r="529" spans="1:20">
      <c r="A529" s="184" t="s">
        <v>3418</v>
      </c>
      <c r="B529" s="184" t="s">
        <v>4257</v>
      </c>
      <c r="C529" s="127">
        <v>42885</v>
      </c>
      <c r="D529" s="184" t="s">
        <v>10</v>
      </c>
      <c r="E529" s="184" t="s">
        <v>598</v>
      </c>
      <c r="F529" s="185">
        <v>3000</v>
      </c>
      <c r="G529" s="184" t="s">
        <v>493</v>
      </c>
      <c r="H529" s="184" t="s">
        <v>598</v>
      </c>
      <c r="I529" s="185">
        <v>0</v>
      </c>
      <c r="J529" s="184" t="s">
        <v>598</v>
      </c>
      <c r="K529" s="127">
        <v>42881</v>
      </c>
      <c r="L529" s="184" t="s">
        <v>134</v>
      </c>
      <c r="M529" s="184" t="s">
        <v>84</v>
      </c>
      <c r="N529" s="184" t="s">
        <v>244</v>
      </c>
      <c r="O529" s="184" t="s">
        <v>598</v>
      </c>
      <c r="P529" s="184" t="s">
        <v>79</v>
      </c>
      <c r="Q529" s="184" t="s">
        <v>79</v>
      </c>
      <c r="R529" s="184" t="s">
        <v>598</v>
      </c>
      <c r="S529" s="172">
        <v>42996.326388888891</v>
      </c>
      <c r="T529" s="32" t="s">
        <v>552</v>
      </c>
    </row>
    <row r="530" spans="1:20">
      <c r="A530" s="184" t="s">
        <v>3420</v>
      </c>
      <c r="B530" s="184" t="s">
        <v>4258</v>
      </c>
      <c r="C530" s="127">
        <v>42881</v>
      </c>
      <c r="D530" s="184" t="s">
        <v>34</v>
      </c>
      <c r="E530" s="184" t="s">
        <v>598</v>
      </c>
      <c r="F530" s="185">
        <v>1000</v>
      </c>
      <c r="G530" s="184" t="s">
        <v>549</v>
      </c>
      <c r="H530" s="184" t="s">
        <v>598</v>
      </c>
      <c r="I530" s="185">
        <v>0</v>
      </c>
      <c r="J530" s="184" t="s">
        <v>493</v>
      </c>
      <c r="K530" s="127">
        <v>42881</v>
      </c>
      <c r="L530" s="184" t="s">
        <v>120</v>
      </c>
      <c r="M530" s="184" t="s">
        <v>84</v>
      </c>
      <c r="N530" s="184" t="s">
        <v>373</v>
      </c>
      <c r="O530" s="184" t="s">
        <v>598</v>
      </c>
      <c r="P530" s="184" t="s">
        <v>79</v>
      </c>
      <c r="Q530" s="184" t="s">
        <v>112</v>
      </c>
      <c r="R530" s="184" t="s">
        <v>598</v>
      </c>
      <c r="S530" s="172">
        <v>42996.326388888891</v>
      </c>
      <c r="T530" s="32" t="s">
        <v>552</v>
      </c>
    </row>
    <row r="531" spans="1:20">
      <c r="A531" s="184" t="s">
        <v>3421</v>
      </c>
      <c r="B531" s="184" t="s">
        <v>4259</v>
      </c>
      <c r="C531" s="127">
        <v>42885</v>
      </c>
      <c r="D531" s="184" t="s">
        <v>3077</v>
      </c>
      <c r="E531" s="184" t="s">
        <v>598</v>
      </c>
      <c r="F531" s="185">
        <v>1500</v>
      </c>
      <c r="G531" s="184" t="s">
        <v>493</v>
      </c>
      <c r="H531" s="184" t="s">
        <v>598</v>
      </c>
      <c r="I531" s="185">
        <v>0</v>
      </c>
      <c r="J531" s="184" t="s">
        <v>598</v>
      </c>
      <c r="K531" s="127">
        <v>42885</v>
      </c>
      <c r="L531" s="184" t="s">
        <v>598</v>
      </c>
      <c r="M531" s="184" t="s">
        <v>84</v>
      </c>
      <c r="N531" s="184" t="s">
        <v>598</v>
      </c>
      <c r="O531" s="184" t="s">
        <v>598</v>
      </c>
      <c r="P531" s="184" t="s">
        <v>79</v>
      </c>
      <c r="Q531" s="184" t="s">
        <v>79</v>
      </c>
      <c r="R531" s="184" t="s">
        <v>598</v>
      </c>
      <c r="S531" s="172">
        <v>42996.326388888891</v>
      </c>
      <c r="T531" s="32" t="s">
        <v>552</v>
      </c>
    </row>
    <row r="532" spans="1:20">
      <c r="A532" s="184" t="s">
        <v>3424</v>
      </c>
      <c r="B532" s="184" t="s">
        <v>4260</v>
      </c>
      <c r="C532" s="127">
        <v>42886</v>
      </c>
      <c r="D532" s="184" t="s">
        <v>34</v>
      </c>
      <c r="E532" s="184" t="s">
        <v>598</v>
      </c>
      <c r="F532" s="185">
        <v>4000</v>
      </c>
      <c r="G532" s="184" t="s">
        <v>493</v>
      </c>
      <c r="H532" s="184" t="s">
        <v>598</v>
      </c>
      <c r="I532" s="185">
        <v>0</v>
      </c>
      <c r="J532" s="184" t="s">
        <v>598</v>
      </c>
      <c r="K532" s="127">
        <v>42693</v>
      </c>
      <c r="L532" s="184" t="s">
        <v>134</v>
      </c>
      <c r="M532" s="184" t="s">
        <v>84</v>
      </c>
      <c r="N532" s="184" t="s">
        <v>184</v>
      </c>
      <c r="O532" s="184" t="s">
        <v>62</v>
      </c>
      <c r="P532" s="184" t="s">
        <v>79</v>
      </c>
      <c r="Q532" s="184" t="s">
        <v>79</v>
      </c>
      <c r="R532" s="184" t="s">
        <v>598</v>
      </c>
      <c r="S532" s="172">
        <v>42996.326388888891</v>
      </c>
      <c r="T532" s="32" t="s">
        <v>552</v>
      </c>
    </row>
    <row r="533" spans="1:20">
      <c r="A533" s="184" t="s">
        <v>3426</v>
      </c>
      <c r="B533" s="184" t="s">
        <v>4261</v>
      </c>
      <c r="C533" s="127">
        <v>42886</v>
      </c>
      <c r="D533" s="184" t="s">
        <v>34</v>
      </c>
      <c r="E533" s="184" t="s">
        <v>598</v>
      </c>
      <c r="F533" s="185">
        <v>4000</v>
      </c>
      <c r="G533" s="184" t="s">
        <v>493</v>
      </c>
      <c r="H533" s="184" t="s">
        <v>598</v>
      </c>
      <c r="I533" s="185">
        <v>0</v>
      </c>
      <c r="J533" s="184" t="s">
        <v>598</v>
      </c>
      <c r="K533" s="127">
        <v>42696</v>
      </c>
      <c r="L533" s="184" t="s">
        <v>134</v>
      </c>
      <c r="M533" s="184" t="s">
        <v>84</v>
      </c>
      <c r="N533" s="184" t="s">
        <v>3428</v>
      </c>
      <c r="O533" s="184" t="s">
        <v>62</v>
      </c>
      <c r="P533" s="184" t="s">
        <v>79</v>
      </c>
      <c r="Q533" s="184" t="s">
        <v>79</v>
      </c>
      <c r="R533" s="184" t="s">
        <v>598</v>
      </c>
      <c r="S533" s="172">
        <v>42996.326388888891</v>
      </c>
      <c r="T533" s="32" t="s">
        <v>552</v>
      </c>
    </row>
    <row r="534" spans="1:20">
      <c r="A534" s="184" t="s">
        <v>3429</v>
      </c>
      <c r="B534" s="184" t="s">
        <v>4262</v>
      </c>
      <c r="C534" s="127">
        <v>42886</v>
      </c>
      <c r="D534" s="184" t="s">
        <v>34</v>
      </c>
      <c r="E534" s="184" t="s">
        <v>598</v>
      </c>
      <c r="F534" s="185">
        <v>4000</v>
      </c>
      <c r="G534" s="184" t="s">
        <v>493</v>
      </c>
      <c r="H534" s="184" t="s">
        <v>598</v>
      </c>
      <c r="I534" s="185">
        <v>0</v>
      </c>
      <c r="J534" s="184" t="s">
        <v>598</v>
      </c>
      <c r="K534" s="127">
        <v>42704</v>
      </c>
      <c r="L534" s="184" t="s">
        <v>598</v>
      </c>
      <c r="M534" s="184" t="s">
        <v>84</v>
      </c>
      <c r="N534" s="184" t="s">
        <v>598</v>
      </c>
      <c r="O534" s="184" t="s">
        <v>62</v>
      </c>
      <c r="P534" s="184" t="s">
        <v>79</v>
      </c>
      <c r="Q534" s="184" t="s">
        <v>79</v>
      </c>
      <c r="R534" s="184" t="s">
        <v>598</v>
      </c>
      <c r="S534" s="172">
        <v>42996.326388888891</v>
      </c>
      <c r="T534" s="32" t="s">
        <v>552</v>
      </c>
    </row>
    <row r="535" spans="1:20">
      <c r="A535" s="184" t="s">
        <v>3431</v>
      </c>
      <c r="B535" s="184" t="s">
        <v>4263</v>
      </c>
      <c r="C535" s="127">
        <v>42886</v>
      </c>
      <c r="D535" s="184" t="s">
        <v>34</v>
      </c>
      <c r="E535" s="184" t="s">
        <v>598</v>
      </c>
      <c r="F535" s="185">
        <v>4000</v>
      </c>
      <c r="G535" s="184" t="s">
        <v>493</v>
      </c>
      <c r="H535" s="184" t="s">
        <v>598</v>
      </c>
      <c r="I535" s="185">
        <v>0</v>
      </c>
      <c r="J535" s="184" t="s">
        <v>598</v>
      </c>
      <c r="K535" s="127">
        <v>42713</v>
      </c>
      <c r="L535" s="184" t="s">
        <v>134</v>
      </c>
      <c r="M535" s="184" t="s">
        <v>84</v>
      </c>
      <c r="N535" s="184" t="s">
        <v>195</v>
      </c>
      <c r="O535" s="184" t="s">
        <v>62</v>
      </c>
      <c r="P535" s="184" t="s">
        <v>79</v>
      </c>
      <c r="Q535" s="184" t="s">
        <v>112</v>
      </c>
      <c r="R535" s="184" t="s">
        <v>598</v>
      </c>
      <c r="S535" s="172">
        <v>42996.326388888891</v>
      </c>
      <c r="T535" s="32" t="s">
        <v>552</v>
      </c>
    </row>
    <row r="536" spans="1:20">
      <c r="A536" s="184" t="s">
        <v>3433</v>
      </c>
      <c r="B536" s="184" t="s">
        <v>4264</v>
      </c>
      <c r="C536" s="127">
        <v>42886</v>
      </c>
      <c r="D536" s="184" t="s">
        <v>34</v>
      </c>
      <c r="E536" s="184" t="s">
        <v>598</v>
      </c>
      <c r="F536" s="185">
        <v>3000</v>
      </c>
      <c r="G536" s="184" t="s">
        <v>493</v>
      </c>
      <c r="H536" s="184" t="s">
        <v>598</v>
      </c>
      <c r="I536" s="185">
        <v>0</v>
      </c>
      <c r="J536" s="184" t="s">
        <v>598</v>
      </c>
      <c r="K536" s="127">
        <v>42713</v>
      </c>
      <c r="L536" s="184" t="s">
        <v>598</v>
      </c>
      <c r="M536" s="184" t="s">
        <v>84</v>
      </c>
      <c r="N536" s="184" t="s">
        <v>263</v>
      </c>
      <c r="O536" s="184" t="s">
        <v>62</v>
      </c>
      <c r="P536" s="184" t="s">
        <v>79</v>
      </c>
      <c r="Q536" s="184" t="s">
        <v>79</v>
      </c>
      <c r="R536" s="184" t="s">
        <v>598</v>
      </c>
      <c r="S536" s="172">
        <v>42996.326388888891</v>
      </c>
      <c r="T536" s="32" t="s">
        <v>552</v>
      </c>
    </row>
    <row r="537" spans="1:20">
      <c r="A537" s="184" t="s">
        <v>3435</v>
      </c>
      <c r="B537" s="184" t="s">
        <v>4265</v>
      </c>
      <c r="C537" s="127">
        <v>42886</v>
      </c>
      <c r="D537" s="184" t="s">
        <v>34</v>
      </c>
      <c r="E537" s="184" t="s">
        <v>598</v>
      </c>
      <c r="F537" s="185">
        <v>3000</v>
      </c>
      <c r="G537" s="184" t="s">
        <v>493</v>
      </c>
      <c r="H537" s="184" t="s">
        <v>598</v>
      </c>
      <c r="I537" s="185">
        <v>0</v>
      </c>
      <c r="J537" s="184" t="s">
        <v>598</v>
      </c>
      <c r="K537" s="127">
        <v>42720</v>
      </c>
      <c r="L537" s="184" t="s">
        <v>134</v>
      </c>
      <c r="M537" s="184" t="s">
        <v>84</v>
      </c>
      <c r="N537" s="184" t="s">
        <v>184</v>
      </c>
      <c r="O537" s="184" t="s">
        <v>62</v>
      </c>
      <c r="P537" s="184" t="s">
        <v>79</v>
      </c>
      <c r="Q537" s="184" t="s">
        <v>112</v>
      </c>
      <c r="R537" s="184" t="s">
        <v>598</v>
      </c>
      <c r="S537" s="172">
        <v>42996.326388888891</v>
      </c>
      <c r="T537" s="32" t="s">
        <v>552</v>
      </c>
    </row>
    <row r="538" spans="1:20">
      <c r="A538" s="184" t="s">
        <v>3437</v>
      </c>
      <c r="B538" s="184" t="s">
        <v>4266</v>
      </c>
      <c r="C538" s="127">
        <v>42886</v>
      </c>
      <c r="D538" s="184" t="s">
        <v>34</v>
      </c>
      <c r="E538" s="184" t="s">
        <v>598</v>
      </c>
      <c r="F538" s="185">
        <v>3000</v>
      </c>
      <c r="G538" s="184" t="s">
        <v>493</v>
      </c>
      <c r="H538" s="184" t="s">
        <v>598</v>
      </c>
      <c r="I538" s="185">
        <v>0</v>
      </c>
      <c r="J538" s="184" t="s">
        <v>598</v>
      </c>
      <c r="K538" s="127">
        <v>42731</v>
      </c>
      <c r="L538" s="184" t="s">
        <v>96</v>
      </c>
      <c r="M538" s="184" t="s">
        <v>84</v>
      </c>
      <c r="N538" s="184" t="s">
        <v>249</v>
      </c>
      <c r="O538" s="184" t="s">
        <v>62</v>
      </c>
      <c r="P538" s="184" t="s">
        <v>79</v>
      </c>
      <c r="Q538" s="184" t="s">
        <v>112</v>
      </c>
      <c r="R538" s="184" t="s">
        <v>598</v>
      </c>
      <c r="S538" s="172">
        <v>42996.326388888891</v>
      </c>
      <c r="T538" s="32" t="s">
        <v>552</v>
      </c>
    </row>
    <row r="539" spans="1:20">
      <c r="A539" s="184" t="s">
        <v>3439</v>
      </c>
      <c r="B539" s="184" t="s">
        <v>4267</v>
      </c>
      <c r="C539" s="127">
        <v>42886</v>
      </c>
      <c r="D539" s="184" t="s">
        <v>34</v>
      </c>
      <c r="E539" s="184" t="s">
        <v>598</v>
      </c>
      <c r="F539" s="185">
        <v>3000</v>
      </c>
      <c r="G539" s="184" t="s">
        <v>493</v>
      </c>
      <c r="H539" s="184" t="s">
        <v>598</v>
      </c>
      <c r="I539" s="185">
        <v>0</v>
      </c>
      <c r="J539" s="184" t="s">
        <v>598</v>
      </c>
      <c r="K539" s="127">
        <v>42731</v>
      </c>
      <c r="L539" s="184" t="s">
        <v>134</v>
      </c>
      <c r="M539" s="184" t="s">
        <v>84</v>
      </c>
      <c r="N539" s="184" t="s">
        <v>459</v>
      </c>
      <c r="O539" s="184" t="s">
        <v>62</v>
      </c>
      <c r="P539" s="184" t="s">
        <v>79</v>
      </c>
      <c r="Q539" s="184" t="s">
        <v>79</v>
      </c>
      <c r="R539" s="184" t="s">
        <v>598</v>
      </c>
      <c r="S539" s="172">
        <v>42996.326388888891</v>
      </c>
      <c r="T539" s="32" t="s">
        <v>552</v>
      </c>
    </row>
    <row r="540" spans="1:20">
      <c r="A540" s="184" t="s">
        <v>3441</v>
      </c>
      <c r="B540" s="184" t="s">
        <v>4268</v>
      </c>
      <c r="C540" s="127">
        <v>42886</v>
      </c>
      <c r="D540" s="184" t="s">
        <v>34</v>
      </c>
      <c r="E540" s="184" t="s">
        <v>598</v>
      </c>
      <c r="F540" s="185">
        <v>3000</v>
      </c>
      <c r="G540" s="184" t="s">
        <v>493</v>
      </c>
      <c r="H540" s="184" t="s">
        <v>598</v>
      </c>
      <c r="I540" s="185">
        <v>0</v>
      </c>
      <c r="J540" s="184" t="s">
        <v>598</v>
      </c>
      <c r="K540" s="127">
        <v>42732</v>
      </c>
      <c r="L540" s="184" t="s">
        <v>107</v>
      </c>
      <c r="M540" s="184" t="s">
        <v>84</v>
      </c>
      <c r="N540" s="184" t="s">
        <v>263</v>
      </c>
      <c r="O540" s="184" t="s">
        <v>62</v>
      </c>
      <c r="P540" s="184" t="s">
        <v>79</v>
      </c>
      <c r="Q540" s="184" t="s">
        <v>112</v>
      </c>
      <c r="R540" s="184" t="s">
        <v>598</v>
      </c>
      <c r="S540" s="172">
        <v>42996.326388888891</v>
      </c>
      <c r="T540" s="32" t="s">
        <v>552</v>
      </c>
    </row>
    <row r="541" spans="1:20">
      <c r="A541" s="184" t="s">
        <v>3443</v>
      </c>
      <c r="B541" s="184" t="s">
        <v>4269</v>
      </c>
      <c r="C541" s="127">
        <v>42886</v>
      </c>
      <c r="D541" s="184" t="s">
        <v>34</v>
      </c>
      <c r="E541" s="184" t="s">
        <v>598</v>
      </c>
      <c r="F541" s="185">
        <v>3000</v>
      </c>
      <c r="G541" s="184" t="s">
        <v>493</v>
      </c>
      <c r="H541" s="184" t="s">
        <v>598</v>
      </c>
      <c r="I541" s="185">
        <v>0</v>
      </c>
      <c r="J541" s="184" t="s">
        <v>598</v>
      </c>
      <c r="K541" s="127">
        <v>42734</v>
      </c>
      <c r="L541" s="184" t="s">
        <v>598</v>
      </c>
      <c r="M541" s="184" t="s">
        <v>84</v>
      </c>
      <c r="N541" s="184" t="s">
        <v>263</v>
      </c>
      <c r="O541" s="184" t="s">
        <v>62</v>
      </c>
      <c r="P541" s="184" t="s">
        <v>79</v>
      </c>
      <c r="Q541" s="184" t="s">
        <v>79</v>
      </c>
      <c r="R541" s="184" t="s">
        <v>598</v>
      </c>
      <c r="S541" s="172">
        <v>42996.326388888891</v>
      </c>
      <c r="T541" s="32" t="s">
        <v>552</v>
      </c>
    </row>
    <row r="542" spans="1:20">
      <c r="A542" s="184" t="s">
        <v>3445</v>
      </c>
      <c r="B542" s="184" t="s">
        <v>4270</v>
      </c>
      <c r="C542" s="127">
        <v>42886</v>
      </c>
      <c r="D542" s="184" t="s">
        <v>34</v>
      </c>
      <c r="E542" s="184" t="s">
        <v>598</v>
      </c>
      <c r="F542" s="185">
        <v>4000</v>
      </c>
      <c r="G542" s="184" t="s">
        <v>493</v>
      </c>
      <c r="H542" s="184" t="s">
        <v>598</v>
      </c>
      <c r="I542" s="185">
        <v>0</v>
      </c>
      <c r="J542" s="184" t="s">
        <v>598</v>
      </c>
      <c r="K542" s="127">
        <v>42734</v>
      </c>
      <c r="L542" s="184" t="s">
        <v>134</v>
      </c>
      <c r="M542" s="184" t="s">
        <v>84</v>
      </c>
      <c r="N542" s="184" t="s">
        <v>3076</v>
      </c>
      <c r="O542" s="184" t="s">
        <v>62</v>
      </c>
      <c r="P542" s="184" t="s">
        <v>79</v>
      </c>
      <c r="Q542" s="184" t="s">
        <v>112</v>
      </c>
      <c r="R542" s="184" t="s">
        <v>598</v>
      </c>
      <c r="S542" s="172">
        <v>42996.326388888891</v>
      </c>
      <c r="T542" s="32" t="s">
        <v>552</v>
      </c>
    </row>
    <row r="543" spans="1:20">
      <c r="A543" s="184" t="s">
        <v>3447</v>
      </c>
      <c r="B543" s="184" t="s">
        <v>4271</v>
      </c>
      <c r="C543" s="127">
        <v>42886</v>
      </c>
      <c r="D543" s="184" t="s">
        <v>34</v>
      </c>
      <c r="E543" s="184" t="s">
        <v>598</v>
      </c>
      <c r="F543" s="185">
        <v>3000</v>
      </c>
      <c r="G543" s="184" t="s">
        <v>493</v>
      </c>
      <c r="H543" s="184" t="s">
        <v>598</v>
      </c>
      <c r="I543" s="185">
        <v>0</v>
      </c>
      <c r="J543" s="184" t="s">
        <v>598</v>
      </c>
      <c r="K543" s="127">
        <v>42737</v>
      </c>
      <c r="L543" s="184" t="s">
        <v>120</v>
      </c>
      <c r="M543" s="184" t="s">
        <v>84</v>
      </c>
      <c r="N543" s="184" t="s">
        <v>3323</v>
      </c>
      <c r="O543" s="184" t="s">
        <v>62</v>
      </c>
      <c r="P543" s="184" t="s">
        <v>79</v>
      </c>
      <c r="Q543" s="184" t="s">
        <v>79</v>
      </c>
      <c r="R543" s="184" t="s">
        <v>598</v>
      </c>
      <c r="S543" s="172">
        <v>42996.326388888891</v>
      </c>
      <c r="T543" s="32" t="s">
        <v>552</v>
      </c>
    </row>
    <row r="544" spans="1:20">
      <c r="A544" s="184" t="s">
        <v>3449</v>
      </c>
      <c r="B544" s="184" t="s">
        <v>4272</v>
      </c>
      <c r="C544" s="127">
        <v>42886</v>
      </c>
      <c r="D544" s="184" t="s">
        <v>34</v>
      </c>
      <c r="E544" s="184" t="s">
        <v>598</v>
      </c>
      <c r="F544" s="185">
        <v>3000</v>
      </c>
      <c r="G544" s="184" t="s">
        <v>493</v>
      </c>
      <c r="H544" s="184" t="s">
        <v>598</v>
      </c>
      <c r="I544" s="185">
        <v>0</v>
      </c>
      <c r="J544" s="184" t="s">
        <v>598</v>
      </c>
      <c r="K544" s="127">
        <v>42742</v>
      </c>
      <c r="L544" s="184" t="s">
        <v>132</v>
      </c>
      <c r="M544" s="184" t="s">
        <v>84</v>
      </c>
      <c r="N544" s="184" t="s">
        <v>460</v>
      </c>
      <c r="O544" s="184" t="s">
        <v>62</v>
      </c>
      <c r="P544" s="184" t="s">
        <v>79</v>
      </c>
      <c r="Q544" s="184" t="s">
        <v>112</v>
      </c>
      <c r="R544" s="184" t="s">
        <v>598</v>
      </c>
      <c r="S544" s="172">
        <v>42996.326388888891</v>
      </c>
      <c r="T544" s="32" t="s">
        <v>552</v>
      </c>
    </row>
    <row r="545" spans="1:20">
      <c r="A545" s="184" t="s">
        <v>3451</v>
      </c>
      <c r="B545" s="184" t="s">
        <v>4273</v>
      </c>
      <c r="C545" s="127">
        <v>42886</v>
      </c>
      <c r="D545" s="184" t="s">
        <v>34</v>
      </c>
      <c r="E545" s="184" t="s">
        <v>598</v>
      </c>
      <c r="F545" s="185">
        <v>3000</v>
      </c>
      <c r="G545" s="184" t="s">
        <v>493</v>
      </c>
      <c r="H545" s="184" t="s">
        <v>598</v>
      </c>
      <c r="I545" s="185">
        <v>0</v>
      </c>
      <c r="J545" s="184" t="s">
        <v>598</v>
      </c>
      <c r="K545" s="127">
        <v>42742</v>
      </c>
      <c r="L545" s="184" t="s">
        <v>132</v>
      </c>
      <c r="M545" s="184" t="s">
        <v>84</v>
      </c>
      <c r="N545" s="184" t="s">
        <v>460</v>
      </c>
      <c r="O545" s="184" t="s">
        <v>62</v>
      </c>
      <c r="P545" s="184" t="s">
        <v>79</v>
      </c>
      <c r="Q545" s="184" t="s">
        <v>112</v>
      </c>
      <c r="R545" s="184" t="s">
        <v>598</v>
      </c>
      <c r="S545" s="172">
        <v>42996.326388888891</v>
      </c>
      <c r="T545" s="32" t="s">
        <v>552</v>
      </c>
    </row>
    <row r="546" spans="1:20">
      <c r="A546" s="184" t="s">
        <v>3452</v>
      </c>
      <c r="B546" s="184" t="s">
        <v>4274</v>
      </c>
      <c r="C546" s="127">
        <v>42886</v>
      </c>
      <c r="D546" s="184" t="s">
        <v>34</v>
      </c>
      <c r="E546" s="184" t="s">
        <v>598</v>
      </c>
      <c r="F546" s="185">
        <v>3000</v>
      </c>
      <c r="G546" s="184" t="s">
        <v>493</v>
      </c>
      <c r="H546" s="184" t="s">
        <v>598</v>
      </c>
      <c r="I546" s="185">
        <v>0</v>
      </c>
      <c r="J546" s="184" t="s">
        <v>598</v>
      </c>
      <c r="K546" s="127">
        <v>42754</v>
      </c>
      <c r="L546" s="184" t="s">
        <v>134</v>
      </c>
      <c r="M546" s="184" t="s">
        <v>84</v>
      </c>
      <c r="N546" s="184" t="s">
        <v>279</v>
      </c>
      <c r="O546" s="184" t="s">
        <v>62</v>
      </c>
      <c r="P546" s="184" t="s">
        <v>79</v>
      </c>
      <c r="Q546" s="184" t="s">
        <v>112</v>
      </c>
      <c r="R546" s="184" t="s">
        <v>598</v>
      </c>
      <c r="S546" s="172">
        <v>42996.326388888891</v>
      </c>
      <c r="T546" s="32" t="s">
        <v>552</v>
      </c>
    </row>
    <row r="547" spans="1:20">
      <c r="A547" s="184" t="s">
        <v>3454</v>
      </c>
      <c r="B547" s="184" t="s">
        <v>4275</v>
      </c>
      <c r="C547" s="127">
        <v>42874</v>
      </c>
      <c r="D547" s="184" t="s">
        <v>494</v>
      </c>
      <c r="E547" s="184" t="s">
        <v>598</v>
      </c>
      <c r="F547" s="185">
        <v>1500</v>
      </c>
      <c r="G547" s="184" t="s">
        <v>493</v>
      </c>
      <c r="H547" s="184" t="s">
        <v>598</v>
      </c>
      <c r="I547" s="185">
        <v>0</v>
      </c>
      <c r="J547" s="184" t="s">
        <v>598</v>
      </c>
      <c r="K547" s="127">
        <v>42798</v>
      </c>
      <c r="L547" s="184" t="s">
        <v>134</v>
      </c>
      <c r="M547" s="184" t="s">
        <v>84</v>
      </c>
      <c r="N547" s="184" t="s">
        <v>461</v>
      </c>
      <c r="O547" s="184" t="s">
        <v>598</v>
      </c>
      <c r="P547" s="184" t="s">
        <v>79</v>
      </c>
      <c r="Q547" s="184" t="s">
        <v>79</v>
      </c>
      <c r="R547" s="184" t="s">
        <v>598</v>
      </c>
      <c r="S547" s="172">
        <v>42996.326388888891</v>
      </c>
      <c r="T547" s="32" t="s">
        <v>552</v>
      </c>
    </row>
    <row r="548" spans="1:20">
      <c r="A548" s="184" t="s">
        <v>3456</v>
      </c>
      <c r="B548" s="184" t="s">
        <v>4276</v>
      </c>
      <c r="C548" s="127">
        <v>42856</v>
      </c>
      <c r="D548" s="184" t="s">
        <v>10</v>
      </c>
      <c r="E548" s="184" t="s">
        <v>598</v>
      </c>
      <c r="F548" s="185">
        <v>4000</v>
      </c>
      <c r="G548" s="184" t="s">
        <v>493</v>
      </c>
      <c r="H548" s="184" t="s">
        <v>598</v>
      </c>
      <c r="I548" s="185">
        <v>0</v>
      </c>
      <c r="J548" s="184" t="s">
        <v>598</v>
      </c>
      <c r="K548" s="127">
        <v>42837</v>
      </c>
      <c r="L548" s="184" t="s">
        <v>134</v>
      </c>
      <c r="M548" s="184" t="s">
        <v>84</v>
      </c>
      <c r="N548" s="184" t="s">
        <v>264</v>
      </c>
      <c r="O548" s="184" t="s">
        <v>50</v>
      </c>
      <c r="P548" s="184" t="s">
        <v>79</v>
      </c>
      <c r="Q548" s="184" t="s">
        <v>79</v>
      </c>
      <c r="R548" s="184" t="s">
        <v>598</v>
      </c>
      <c r="S548" s="172">
        <v>42996.326388888891</v>
      </c>
      <c r="T548" s="32" t="s">
        <v>552</v>
      </c>
    </row>
    <row r="549" spans="1:20">
      <c r="A549" s="184" t="s">
        <v>3458</v>
      </c>
      <c r="B549" s="184" t="s">
        <v>4277</v>
      </c>
      <c r="C549" s="127">
        <v>42871</v>
      </c>
      <c r="D549" s="184" t="s">
        <v>10</v>
      </c>
      <c r="E549" s="184" t="s">
        <v>598</v>
      </c>
      <c r="F549" s="185">
        <v>3000</v>
      </c>
      <c r="G549" s="184" t="s">
        <v>493</v>
      </c>
      <c r="H549" s="184" t="s">
        <v>598</v>
      </c>
      <c r="I549" s="185">
        <v>0</v>
      </c>
      <c r="J549" s="184" t="s">
        <v>598</v>
      </c>
      <c r="K549" s="127">
        <v>42838</v>
      </c>
      <c r="L549" s="184" t="s">
        <v>134</v>
      </c>
      <c r="M549" s="184" t="s">
        <v>84</v>
      </c>
      <c r="N549" s="184" t="s">
        <v>28</v>
      </c>
      <c r="O549" s="184" t="s">
        <v>598</v>
      </c>
      <c r="P549" s="184" t="s">
        <v>79</v>
      </c>
      <c r="Q549" s="184" t="s">
        <v>112</v>
      </c>
      <c r="R549" s="184" t="s">
        <v>598</v>
      </c>
      <c r="S549" s="172">
        <v>42996.326388888891</v>
      </c>
      <c r="T549" s="32" t="s">
        <v>552</v>
      </c>
    </row>
    <row r="550" spans="1:20">
      <c r="A550" s="184" t="s">
        <v>3460</v>
      </c>
      <c r="B550" s="184" t="s">
        <v>4278</v>
      </c>
      <c r="C550" s="127">
        <v>42856</v>
      </c>
      <c r="D550" s="184" t="s">
        <v>10</v>
      </c>
      <c r="E550" s="184" t="s">
        <v>598</v>
      </c>
      <c r="F550" s="185">
        <v>8000</v>
      </c>
      <c r="G550" s="184" t="s">
        <v>493</v>
      </c>
      <c r="H550" s="184" t="s">
        <v>598</v>
      </c>
      <c r="I550" s="185">
        <v>0</v>
      </c>
      <c r="J550" s="184" t="s">
        <v>598</v>
      </c>
      <c r="K550" s="127">
        <v>42843</v>
      </c>
      <c r="L550" s="184" t="s">
        <v>120</v>
      </c>
      <c r="M550" s="184" t="s">
        <v>84</v>
      </c>
      <c r="N550" s="184" t="s">
        <v>264</v>
      </c>
      <c r="O550" s="184" t="s">
        <v>50</v>
      </c>
      <c r="P550" s="184" t="s">
        <v>79</v>
      </c>
      <c r="Q550" s="184" t="s">
        <v>79</v>
      </c>
      <c r="R550" s="184" t="s">
        <v>598</v>
      </c>
      <c r="S550" s="172">
        <v>42996.326388888891</v>
      </c>
      <c r="T550" s="32" t="s">
        <v>552</v>
      </c>
    </row>
    <row r="551" spans="1:20">
      <c r="A551" s="184" t="s">
        <v>3462</v>
      </c>
      <c r="B551" s="184" t="s">
        <v>4279</v>
      </c>
      <c r="C551" s="127">
        <v>42856</v>
      </c>
      <c r="D551" s="184" t="s">
        <v>10</v>
      </c>
      <c r="E551" s="184" t="s">
        <v>598</v>
      </c>
      <c r="F551" s="185">
        <v>3000</v>
      </c>
      <c r="G551" s="184" t="s">
        <v>493</v>
      </c>
      <c r="H551" s="184" t="s">
        <v>598</v>
      </c>
      <c r="I551" s="185">
        <v>0</v>
      </c>
      <c r="J551" s="184" t="s">
        <v>598</v>
      </c>
      <c r="K551" s="127">
        <v>42843</v>
      </c>
      <c r="L551" s="184" t="s">
        <v>134</v>
      </c>
      <c r="M551" s="184" t="s">
        <v>84</v>
      </c>
      <c r="N551" s="184" t="s">
        <v>265</v>
      </c>
      <c r="O551" s="184" t="s">
        <v>50</v>
      </c>
      <c r="P551" s="184" t="s">
        <v>79</v>
      </c>
      <c r="Q551" s="184" t="s">
        <v>112</v>
      </c>
      <c r="R551" s="184" t="s">
        <v>598</v>
      </c>
      <c r="S551" s="172">
        <v>42996.326388888891</v>
      </c>
      <c r="T551" s="32" t="s">
        <v>552</v>
      </c>
    </row>
    <row r="552" spans="1:20">
      <c r="A552" s="184" t="s">
        <v>3464</v>
      </c>
      <c r="B552" s="184" t="s">
        <v>4280</v>
      </c>
      <c r="C552" s="127">
        <v>42859</v>
      </c>
      <c r="D552" s="184" t="s">
        <v>34</v>
      </c>
      <c r="E552" s="184" t="s">
        <v>598</v>
      </c>
      <c r="F552" s="185">
        <v>3000</v>
      </c>
      <c r="G552" s="184" t="s">
        <v>493</v>
      </c>
      <c r="H552" s="184" t="s">
        <v>598</v>
      </c>
      <c r="I552" s="185">
        <v>0</v>
      </c>
      <c r="J552" s="184" t="s">
        <v>598</v>
      </c>
      <c r="K552" s="127">
        <v>42847</v>
      </c>
      <c r="L552" s="184" t="s">
        <v>598</v>
      </c>
      <c r="M552" s="184" t="s">
        <v>84</v>
      </c>
      <c r="N552" s="184" t="s">
        <v>3363</v>
      </c>
      <c r="O552" s="184" t="s">
        <v>598</v>
      </c>
      <c r="P552" s="184" t="s">
        <v>79</v>
      </c>
      <c r="Q552" s="184" t="s">
        <v>79</v>
      </c>
      <c r="R552" s="184" t="s">
        <v>598</v>
      </c>
      <c r="S552" s="172">
        <v>42996.326388888891</v>
      </c>
      <c r="T552" s="32" t="s">
        <v>552</v>
      </c>
    </row>
    <row r="553" spans="1:20">
      <c r="A553" s="184" t="s">
        <v>3466</v>
      </c>
      <c r="B553" s="184" t="s">
        <v>4281</v>
      </c>
      <c r="C553" s="127">
        <v>42877</v>
      </c>
      <c r="D553" s="184" t="s">
        <v>494</v>
      </c>
      <c r="E553" s="184" t="s">
        <v>598</v>
      </c>
      <c r="F553" s="185">
        <v>3000</v>
      </c>
      <c r="G553" s="184" t="s">
        <v>493</v>
      </c>
      <c r="H553" s="184" t="s">
        <v>598</v>
      </c>
      <c r="I553" s="185">
        <v>0</v>
      </c>
      <c r="J553" s="184" t="s">
        <v>598</v>
      </c>
      <c r="K553" s="127">
        <v>42849</v>
      </c>
      <c r="L553" s="184" t="s">
        <v>132</v>
      </c>
      <c r="M553" s="184" t="s">
        <v>84</v>
      </c>
      <c r="N553" s="184" t="s">
        <v>186</v>
      </c>
      <c r="O553" s="184" t="s">
        <v>598</v>
      </c>
      <c r="P553" s="184" t="s">
        <v>79</v>
      </c>
      <c r="Q553" s="184" t="s">
        <v>112</v>
      </c>
      <c r="R553" s="184" t="s">
        <v>598</v>
      </c>
      <c r="S553" s="172">
        <v>42996.326388888891</v>
      </c>
      <c r="T553" s="32" t="s">
        <v>552</v>
      </c>
    </row>
    <row r="554" spans="1:20">
      <c r="A554" s="184" t="s">
        <v>3468</v>
      </c>
      <c r="B554" s="184" t="s">
        <v>4282</v>
      </c>
      <c r="C554" s="127">
        <v>42867</v>
      </c>
      <c r="D554" s="184" t="s">
        <v>34</v>
      </c>
      <c r="E554" s="184" t="s">
        <v>598</v>
      </c>
      <c r="F554" s="185">
        <v>3000</v>
      </c>
      <c r="G554" s="184" t="s">
        <v>493</v>
      </c>
      <c r="H554" s="184" t="s">
        <v>598</v>
      </c>
      <c r="I554" s="185">
        <v>0</v>
      </c>
      <c r="J554" s="184" t="s">
        <v>598</v>
      </c>
      <c r="K554" s="127">
        <v>42851</v>
      </c>
      <c r="L554" s="184" t="s">
        <v>134</v>
      </c>
      <c r="M554" s="184" t="s">
        <v>84</v>
      </c>
      <c r="N554" s="184" t="s">
        <v>1520</v>
      </c>
      <c r="O554" s="184" t="s">
        <v>598</v>
      </c>
      <c r="P554" s="184" t="s">
        <v>79</v>
      </c>
      <c r="Q554" s="184" t="s">
        <v>112</v>
      </c>
      <c r="R554" s="184" t="s">
        <v>598</v>
      </c>
      <c r="S554" s="172">
        <v>42996.326388888891</v>
      </c>
      <c r="T554" s="32" t="s">
        <v>552</v>
      </c>
    </row>
    <row r="555" spans="1:20">
      <c r="A555" s="184" t="s">
        <v>3470</v>
      </c>
      <c r="B555" s="184" t="s">
        <v>4283</v>
      </c>
      <c r="C555" s="127">
        <v>42856</v>
      </c>
      <c r="D555" s="184" t="s">
        <v>10</v>
      </c>
      <c r="E555" s="184" t="s">
        <v>598</v>
      </c>
      <c r="F555" s="185">
        <v>8000</v>
      </c>
      <c r="G555" s="184" t="s">
        <v>493</v>
      </c>
      <c r="H555" s="184" t="s">
        <v>598</v>
      </c>
      <c r="I555" s="185">
        <v>0</v>
      </c>
      <c r="J555" s="184" t="s">
        <v>598</v>
      </c>
      <c r="K555" s="127">
        <v>42851</v>
      </c>
      <c r="L555" s="184" t="s">
        <v>134</v>
      </c>
      <c r="M555" s="184" t="s">
        <v>84</v>
      </c>
      <c r="N555" s="184" t="s">
        <v>265</v>
      </c>
      <c r="O555" s="184" t="s">
        <v>50</v>
      </c>
      <c r="P555" s="184" t="s">
        <v>79</v>
      </c>
      <c r="Q555" s="184" t="s">
        <v>79</v>
      </c>
      <c r="R555" s="184" t="s">
        <v>598</v>
      </c>
      <c r="S555" s="172">
        <v>42996.326388888891</v>
      </c>
      <c r="T555" s="32" t="s">
        <v>552</v>
      </c>
    </row>
    <row r="556" spans="1:20">
      <c r="A556" s="184" t="s">
        <v>3472</v>
      </c>
      <c r="B556" s="184" t="s">
        <v>4284</v>
      </c>
      <c r="C556" s="127">
        <v>42867</v>
      </c>
      <c r="D556" s="184" t="s">
        <v>34</v>
      </c>
      <c r="E556" s="184" t="s">
        <v>598</v>
      </c>
      <c r="F556" s="185">
        <v>3000</v>
      </c>
      <c r="G556" s="184" t="s">
        <v>493</v>
      </c>
      <c r="H556" s="184" t="s">
        <v>598</v>
      </c>
      <c r="I556" s="185">
        <v>0</v>
      </c>
      <c r="J556" s="184" t="s">
        <v>598</v>
      </c>
      <c r="K556" s="127">
        <v>42853</v>
      </c>
      <c r="L556" s="184" t="s">
        <v>134</v>
      </c>
      <c r="M556" s="184" t="s">
        <v>84</v>
      </c>
      <c r="N556" s="184" t="s">
        <v>462</v>
      </c>
      <c r="O556" s="184" t="s">
        <v>598</v>
      </c>
      <c r="P556" s="184" t="s">
        <v>79</v>
      </c>
      <c r="Q556" s="184" t="s">
        <v>112</v>
      </c>
      <c r="R556" s="184" t="s">
        <v>598</v>
      </c>
      <c r="S556" s="172">
        <v>42996.326388888891</v>
      </c>
      <c r="T556" s="32" t="s">
        <v>552</v>
      </c>
    </row>
    <row r="557" spans="1:20">
      <c r="A557" s="184" t="s">
        <v>3474</v>
      </c>
      <c r="B557" s="184" t="s">
        <v>4285</v>
      </c>
      <c r="C557" s="127">
        <v>42857</v>
      </c>
      <c r="D557" s="184" t="s">
        <v>10</v>
      </c>
      <c r="E557" s="184" t="s">
        <v>598</v>
      </c>
      <c r="F557" s="185">
        <v>10000</v>
      </c>
      <c r="G557" s="184" t="s">
        <v>493</v>
      </c>
      <c r="H557" s="184" t="s">
        <v>598</v>
      </c>
      <c r="I557" s="185">
        <v>0</v>
      </c>
      <c r="J557" s="184" t="s">
        <v>598</v>
      </c>
      <c r="K557" s="127">
        <v>42856</v>
      </c>
      <c r="L557" s="184" t="s">
        <v>118</v>
      </c>
      <c r="M557" s="184" t="s">
        <v>551</v>
      </c>
      <c r="N557" s="184" t="s">
        <v>3475</v>
      </c>
      <c r="O557" s="184" t="s">
        <v>598</v>
      </c>
      <c r="P557" s="184" t="s">
        <v>42</v>
      </c>
      <c r="Q557" s="184" t="s">
        <v>98</v>
      </c>
      <c r="R557" s="184" t="s">
        <v>598</v>
      </c>
      <c r="S557" s="172">
        <v>42996.326388888891</v>
      </c>
      <c r="T557" s="32" t="s">
        <v>552</v>
      </c>
    </row>
    <row r="558" spans="1:20">
      <c r="A558" s="184" t="s">
        <v>3476</v>
      </c>
      <c r="B558" s="184" t="s">
        <v>4286</v>
      </c>
      <c r="C558" s="127">
        <v>42856</v>
      </c>
      <c r="D558" s="184" t="s">
        <v>34</v>
      </c>
      <c r="E558" s="184" t="s">
        <v>598</v>
      </c>
      <c r="F558" s="185">
        <v>3000</v>
      </c>
      <c r="G558" s="184" t="s">
        <v>493</v>
      </c>
      <c r="H558" s="184" t="s">
        <v>598</v>
      </c>
      <c r="I558" s="185">
        <v>0</v>
      </c>
      <c r="J558" s="184" t="s">
        <v>598</v>
      </c>
      <c r="K558" s="127">
        <v>42856</v>
      </c>
      <c r="L558" s="184" t="s">
        <v>598</v>
      </c>
      <c r="M558" s="184" t="s">
        <v>551</v>
      </c>
      <c r="N558" s="184" t="s">
        <v>3475</v>
      </c>
      <c r="O558" s="184" t="s">
        <v>598</v>
      </c>
      <c r="P558" s="184" t="s">
        <v>42</v>
      </c>
      <c r="Q558" s="184" t="s">
        <v>98</v>
      </c>
      <c r="R558" s="184" t="s">
        <v>598</v>
      </c>
      <c r="S558" s="172">
        <v>42996.326388888891</v>
      </c>
      <c r="T558" s="32" t="s">
        <v>552</v>
      </c>
    </row>
    <row r="559" spans="1:20">
      <c r="A559" s="184" t="s">
        <v>3478</v>
      </c>
      <c r="B559" s="184" t="s">
        <v>4287</v>
      </c>
      <c r="C559" s="127">
        <v>42864</v>
      </c>
      <c r="D559" s="184" t="s">
        <v>34</v>
      </c>
      <c r="E559" s="184" t="s">
        <v>598</v>
      </c>
      <c r="F559" s="185">
        <v>3000</v>
      </c>
      <c r="G559" s="184" t="s">
        <v>493</v>
      </c>
      <c r="H559" s="184" t="s">
        <v>598</v>
      </c>
      <c r="I559" s="185">
        <v>0</v>
      </c>
      <c r="J559" s="184" t="s">
        <v>598</v>
      </c>
      <c r="K559" s="127">
        <v>42860</v>
      </c>
      <c r="L559" s="184" t="s">
        <v>3480</v>
      </c>
      <c r="M559" s="184" t="s">
        <v>551</v>
      </c>
      <c r="N559" s="184" t="s">
        <v>293</v>
      </c>
      <c r="O559" s="184" t="s">
        <v>598</v>
      </c>
      <c r="P559" s="184" t="s">
        <v>42</v>
      </c>
      <c r="Q559" s="184" t="s">
        <v>85</v>
      </c>
      <c r="R559" s="184" t="s">
        <v>598</v>
      </c>
      <c r="S559" s="172">
        <v>42996.326388888891</v>
      </c>
      <c r="T559" s="32" t="s">
        <v>552</v>
      </c>
    </row>
    <row r="560" spans="1:20">
      <c r="A560" s="184" t="s">
        <v>3481</v>
      </c>
      <c r="B560" s="184" t="s">
        <v>4288</v>
      </c>
      <c r="C560" s="127">
        <v>42875</v>
      </c>
      <c r="D560" s="184" t="s">
        <v>34</v>
      </c>
      <c r="E560" s="184" t="s">
        <v>598</v>
      </c>
      <c r="F560" s="185">
        <v>5000</v>
      </c>
      <c r="G560" s="184" t="s">
        <v>493</v>
      </c>
      <c r="H560" s="184" t="s">
        <v>598</v>
      </c>
      <c r="I560" s="185">
        <v>0</v>
      </c>
      <c r="J560" s="184" t="s">
        <v>598</v>
      </c>
      <c r="K560" s="127">
        <v>42873</v>
      </c>
      <c r="L560" s="184" t="s">
        <v>58</v>
      </c>
      <c r="M560" s="184" t="s">
        <v>551</v>
      </c>
      <c r="N560" s="184" t="s">
        <v>398</v>
      </c>
      <c r="O560" s="184" t="s">
        <v>598</v>
      </c>
      <c r="P560" s="184" t="s">
        <v>42</v>
      </c>
      <c r="Q560" s="184" t="s">
        <v>73</v>
      </c>
      <c r="R560" s="184" t="s">
        <v>598</v>
      </c>
      <c r="S560" s="172">
        <v>42996.326388888891</v>
      </c>
      <c r="T560" s="32" t="s">
        <v>552</v>
      </c>
    </row>
    <row r="561" spans="1:20">
      <c r="A561" s="184" t="s">
        <v>3483</v>
      </c>
      <c r="B561" s="184" t="s">
        <v>4289</v>
      </c>
      <c r="C561" s="127">
        <v>42886</v>
      </c>
      <c r="D561" s="184" t="s">
        <v>34</v>
      </c>
      <c r="E561" s="184" t="s">
        <v>598</v>
      </c>
      <c r="F561" s="185">
        <v>3000</v>
      </c>
      <c r="G561" s="184" t="s">
        <v>493</v>
      </c>
      <c r="H561" s="184" t="s">
        <v>598</v>
      </c>
      <c r="I561" s="185">
        <v>0</v>
      </c>
      <c r="J561" s="184" t="s">
        <v>598</v>
      </c>
      <c r="K561" s="127">
        <v>42878</v>
      </c>
      <c r="L561" s="184" t="s">
        <v>598</v>
      </c>
      <c r="M561" s="184" t="s">
        <v>551</v>
      </c>
      <c r="N561" s="184" t="s">
        <v>598</v>
      </c>
      <c r="O561" s="184" t="s">
        <v>598</v>
      </c>
      <c r="P561" s="184" t="s">
        <v>42</v>
      </c>
      <c r="Q561" s="184" t="s">
        <v>598</v>
      </c>
      <c r="R561" s="184" t="s">
        <v>598</v>
      </c>
      <c r="S561" s="172">
        <v>42996.326388888891</v>
      </c>
      <c r="T561" s="32" t="s">
        <v>552</v>
      </c>
    </row>
    <row r="562" spans="1:20">
      <c r="A562" s="184" t="s">
        <v>3485</v>
      </c>
      <c r="B562" s="184" t="s">
        <v>4290</v>
      </c>
      <c r="C562" s="127">
        <v>42886</v>
      </c>
      <c r="D562" s="184" t="s">
        <v>34</v>
      </c>
      <c r="E562" s="184" t="s">
        <v>598</v>
      </c>
      <c r="F562" s="185">
        <v>3000</v>
      </c>
      <c r="G562" s="184" t="s">
        <v>493</v>
      </c>
      <c r="H562" s="184" t="s">
        <v>598</v>
      </c>
      <c r="I562" s="185">
        <v>0</v>
      </c>
      <c r="J562" s="184" t="s">
        <v>598</v>
      </c>
      <c r="K562" s="127">
        <v>42886</v>
      </c>
      <c r="L562" s="184" t="s">
        <v>598</v>
      </c>
      <c r="M562" s="184" t="s">
        <v>551</v>
      </c>
      <c r="N562" s="184" t="s">
        <v>307</v>
      </c>
      <c r="O562" s="184" t="s">
        <v>598</v>
      </c>
      <c r="P562" s="184" t="s">
        <v>42</v>
      </c>
      <c r="Q562" s="184" t="s">
        <v>598</v>
      </c>
      <c r="R562" s="184" t="s">
        <v>598</v>
      </c>
      <c r="S562" s="172">
        <v>42996.326388888891</v>
      </c>
      <c r="T562" s="32" t="s">
        <v>552</v>
      </c>
    </row>
    <row r="563" spans="1:20">
      <c r="A563" s="184" t="s">
        <v>3487</v>
      </c>
      <c r="B563" s="184" t="s">
        <v>4291</v>
      </c>
      <c r="C563" s="127">
        <v>42875</v>
      </c>
      <c r="D563" s="184" t="s">
        <v>34</v>
      </c>
      <c r="E563" s="184" t="s">
        <v>598</v>
      </c>
      <c r="F563" s="185">
        <v>3500</v>
      </c>
      <c r="G563" s="184" t="s">
        <v>493</v>
      </c>
      <c r="H563" s="184" t="s">
        <v>598</v>
      </c>
      <c r="I563" s="185">
        <v>0</v>
      </c>
      <c r="J563" s="184" t="s">
        <v>598</v>
      </c>
      <c r="K563" s="127">
        <v>42886</v>
      </c>
      <c r="L563" s="184" t="s">
        <v>598</v>
      </c>
      <c r="M563" s="184" t="s">
        <v>551</v>
      </c>
      <c r="N563" s="184" t="s">
        <v>311</v>
      </c>
      <c r="O563" s="184" t="s">
        <v>598</v>
      </c>
      <c r="P563" s="184" t="s">
        <v>42</v>
      </c>
      <c r="Q563" s="184" t="s">
        <v>598</v>
      </c>
      <c r="R563" s="184" t="s">
        <v>598</v>
      </c>
      <c r="S563" s="172">
        <v>42996.326388888891</v>
      </c>
      <c r="T563" s="32" t="s">
        <v>552</v>
      </c>
    </row>
    <row r="564" spans="1:20">
      <c r="A564" s="184" t="s">
        <v>3489</v>
      </c>
      <c r="B564" s="184" t="s">
        <v>4292</v>
      </c>
      <c r="C564" s="127">
        <v>42863</v>
      </c>
      <c r="D564" s="184" t="s">
        <v>10</v>
      </c>
      <c r="E564" s="184" t="s">
        <v>598</v>
      </c>
      <c r="F564" s="185">
        <v>10000</v>
      </c>
      <c r="G564" s="184" t="s">
        <v>493</v>
      </c>
      <c r="H564" s="184" t="s">
        <v>598</v>
      </c>
      <c r="I564" s="185">
        <v>0</v>
      </c>
      <c r="J564" s="184" t="s">
        <v>598</v>
      </c>
      <c r="K564" s="127">
        <v>42812</v>
      </c>
      <c r="L564" s="184" t="s">
        <v>118</v>
      </c>
      <c r="M564" s="184" t="s">
        <v>551</v>
      </c>
      <c r="N564" s="184" t="s">
        <v>308</v>
      </c>
      <c r="O564" s="184" t="s">
        <v>598</v>
      </c>
      <c r="P564" s="184" t="s">
        <v>42</v>
      </c>
      <c r="Q564" s="184" t="s">
        <v>73</v>
      </c>
      <c r="R564" s="184" t="s">
        <v>598</v>
      </c>
      <c r="S564" s="172">
        <v>42996.326388888891</v>
      </c>
      <c r="T564" s="32" t="s">
        <v>552</v>
      </c>
    </row>
    <row r="565" spans="1:20">
      <c r="A565" s="184" t="s">
        <v>3491</v>
      </c>
      <c r="B565" s="184" t="s">
        <v>4293</v>
      </c>
      <c r="C565" s="127">
        <v>42863</v>
      </c>
      <c r="D565" s="184" t="s">
        <v>10</v>
      </c>
      <c r="E565" s="184" t="s">
        <v>598</v>
      </c>
      <c r="F565" s="185">
        <v>10000</v>
      </c>
      <c r="G565" s="184" t="s">
        <v>493</v>
      </c>
      <c r="H565" s="184" t="s">
        <v>598</v>
      </c>
      <c r="I565" s="185">
        <v>0</v>
      </c>
      <c r="J565" s="184" t="s">
        <v>598</v>
      </c>
      <c r="K565" s="127">
        <v>42819</v>
      </c>
      <c r="L565" s="184" t="s">
        <v>58</v>
      </c>
      <c r="M565" s="184" t="s">
        <v>551</v>
      </c>
      <c r="N565" s="184" t="s">
        <v>311</v>
      </c>
      <c r="O565" s="184" t="s">
        <v>598</v>
      </c>
      <c r="P565" s="184" t="s">
        <v>42</v>
      </c>
      <c r="Q565" s="184" t="s">
        <v>73</v>
      </c>
      <c r="R565" s="184" t="s">
        <v>598</v>
      </c>
      <c r="S565" s="172">
        <v>42996.326388888891</v>
      </c>
      <c r="T565" s="32" t="s">
        <v>552</v>
      </c>
    </row>
    <row r="566" spans="1:20">
      <c r="A566" s="184" t="s">
        <v>3493</v>
      </c>
      <c r="B566" s="184" t="s">
        <v>4294</v>
      </c>
      <c r="C566" s="127">
        <v>42863</v>
      </c>
      <c r="D566" s="184" t="s">
        <v>10</v>
      </c>
      <c r="E566" s="184" t="s">
        <v>598</v>
      </c>
      <c r="F566" s="185">
        <v>10000</v>
      </c>
      <c r="G566" s="184" t="s">
        <v>493</v>
      </c>
      <c r="H566" s="184" t="s">
        <v>598</v>
      </c>
      <c r="I566" s="185">
        <v>0</v>
      </c>
      <c r="J566" s="184" t="s">
        <v>598</v>
      </c>
      <c r="K566" s="127">
        <v>42819</v>
      </c>
      <c r="L566" s="184" t="s">
        <v>58</v>
      </c>
      <c r="M566" s="184" t="s">
        <v>551</v>
      </c>
      <c r="N566" s="184" t="s">
        <v>311</v>
      </c>
      <c r="O566" s="184" t="s">
        <v>598</v>
      </c>
      <c r="P566" s="184" t="s">
        <v>42</v>
      </c>
      <c r="Q566" s="184" t="s">
        <v>73</v>
      </c>
      <c r="R566" s="184" t="s">
        <v>598</v>
      </c>
      <c r="S566" s="172">
        <v>42996.326388888891</v>
      </c>
      <c r="T566" s="32" t="s">
        <v>552</v>
      </c>
    </row>
    <row r="567" spans="1:20">
      <c r="A567" s="184" t="s">
        <v>3495</v>
      </c>
      <c r="B567" s="184" t="s">
        <v>4295</v>
      </c>
      <c r="C567" s="127">
        <v>42863</v>
      </c>
      <c r="D567" s="184" t="s">
        <v>10</v>
      </c>
      <c r="E567" s="184" t="s">
        <v>598</v>
      </c>
      <c r="F567" s="185">
        <v>6750</v>
      </c>
      <c r="G567" s="184" t="s">
        <v>493</v>
      </c>
      <c r="H567" s="184" t="s">
        <v>598</v>
      </c>
      <c r="I567" s="185">
        <v>0</v>
      </c>
      <c r="J567" s="184" t="s">
        <v>598</v>
      </c>
      <c r="K567" s="127">
        <v>42819</v>
      </c>
      <c r="L567" s="184" t="s">
        <v>58</v>
      </c>
      <c r="M567" s="184" t="s">
        <v>551</v>
      </c>
      <c r="N567" s="184" t="s">
        <v>189</v>
      </c>
      <c r="O567" s="184" t="s">
        <v>598</v>
      </c>
      <c r="P567" s="184" t="s">
        <v>42</v>
      </c>
      <c r="Q567" s="184" t="s">
        <v>598</v>
      </c>
      <c r="R567" s="184" t="s">
        <v>598</v>
      </c>
      <c r="S567" s="172">
        <v>42996.326388888891</v>
      </c>
      <c r="T567" s="32" t="s">
        <v>552</v>
      </c>
    </row>
    <row r="568" spans="1:20">
      <c r="A568" s="184" t="s">
        <v>3497</v>
      </c>
      <c r="B568" s="184" t="s">
        <v>4296</v>
      </c>
      <c r="C568" s="127">
        <v>42863</v>
      </c>
      <c r="D568" s="184" t="s">
        <v>10</v>
      </c>
      <c r="E568" s="184" t="s">
        <v>598</v>
      </c>
      <c r="F568" s="185">
        <v>6750</v>
      </c>
      <c r="G568" s="184" t="s">
        <v>493</v>
      </c>
      <c r="H568" s="184" t="s">
        <v>598</v>
      </c>
      <c r="I568" s="185">
        <v>0</v>
      </c>
      <c r="J568" s="184" t="s">
        <v>598</v>
      </c>
      <c r="K568" s="127">
        <v>42819</v>
      </c>
      <c r="L568" s="184" t="s">
        <v>58</v>
      </c>
      <c r="M568" s="184" t="s">
        <v>551</v>
      </c>
      <c r="N568" s="184" t="s">
        <v>189</v>
      </c>
      <c r="O568" s="184" t="s">
        <v>598</v>
      </c>
      <c r="P568" s="184" t="s">
        <v>42</v>
      </c>
      <c r="Q568" s="184" t="s">
        <v>598</v>
      </c>
      <c r="R568" s="184" t="s">
        <v>598</v>
      </c>
      <c r="S568" s="172">
        <v>42996.326388888891</v>
      </c>
      <c r="T568" s="32" t="s">
        <v>552</v>
      </c>
    </row>
    <row r="569" spans="1:20">
      <c r="A569" s="184" t="s">
        <v>3499</v>
      </c>
      <c r="B569" s="184" t="s">
        <v>4297</v>
      </c>
      <c r="C569" s="127">
        <v>42863</v>
      </c>
      <c r="D569" s="184" t="s">
        <v>10</v>
      </c>
      <c r="E569" s="184" t="s">
        <v>598</v>
      </c>
      <c r="F569" s="185">
        <v>6750</v>
      </c>
      <c r="G569" s="184" t="s">
        <v>493</v>
      </c>
      <c r="H569" s="184" t="s">
        <v>598</v>
      </c>
      <c r="I569" s="185">
        <v>0</v>
      </c>
      <c r="J569" s="184" t="s">
        <v>598</v>
      </c>
      <c r="K569" s="127">
        <v>42819</v>
      </c>
      <c r="L569" s="184" t="s">
        <v>58</v>
      </c>
      <c r="M569" s="184" t="s">
        <v>551</v>
      </c>
      <c r="N569" s="184" t="s">
        <v>189</v>
      </c>
      <c r="O569" s="184" t="s">
        <v>598</v>
      </c>
      <c r="P569" s="184" t="s">
        <v>42</v>
      </c>
      <c r="Q569" s="184" t="s">
        <v>598</v>
      </c>
      <c r="R569" s="184" t="s">
        <v>598</v>
      </c>
      <c r="S569" s="172">
        <v>42996.326388888891</v>
      </c>
      <c r="T569" s="32" t="s">
        <v>552</v>
      </c>
    </row>
    <row r="570" spans="1:20">
      <c r="A570" s="184" t="s">
        <v>3500</v>
      </c>
      <c r="B570" s="184" t="s">
        <v>4298</v>
      </c>
      <c r="C570" s="127">
        <v>42863</v>
      </c>
      <c r="D570" s="184" t="s">
        <v>10</v>
      </c>
      <c r="E570" s="184" t="s">
        <v>598</v>
      </c>
      <c r="F570" s="185">
        <v>6750</v>
      </c>
      <c r="G570" s="184" t="s">
        <v>493</v>
      </c>
      <c r="H570" s="184" t="s">
        <v>598</v>
      </c>
      <c r="I570" s="185">
        <v>0</v>
      </c>
      <c r="J570" s="184" t="s">
        <v>598</v>
      </c>
      <c r="K570" s="127">
        <v>42819</v>
      </c>
      <c r="L570" s="184" t="s">
        <v>58</v>
      </c>
      <c r="M570" s="184" t="s">
        <v>551</v>
      </c>
      <c r="N570" s="184" t="s">
        <v>189</v>
      </c>
      <c r="O570" s="184" t="s">
        <v>598</v>
      </c>
      <c r="P570" s="184" t="s">
        <v>42</v>
      </c>
      <c r="Q570" s="184" t="s">
        <v>598</v>
      </c>
      <c r="R570" s="184" t="s">
        <v>598</v>
      </c>
      <c r="S570" s="172">
        <v>42996.326388888891</v>
      </c>
      <c r="T570" s="32" t="s">
        <v>552</v>
      </c>
    </row>
    <row r="571" spans="1:20">
      <c r="A571" s="184" t="s">
        <v>3501</v>
      </c>
      <c r="B571" s="184" t="s">
        <v>4299</v>
      </c>
      <c r="C571" s="127">
        <v>42863</v>
      </c>
      <c r="D571" s="184" t="s">
        <v>10</v>
      </c>
      <c r="E571" s="184" t="s">
        <v>598</v>
      </c>
      <c r="F571" s="185">
        <v>10000</v>
      </c>
      <c r="G571" s="184" t="s">
        <v>493</v>
      </c>
      <c r="H571" s="184" t="s">
        <v>598</v>
      </c>
      <c r="I571" s="185">
        <v>0</v>
      </c>
      <c r="J571" s="184" t="s">
        <v>598</v>
      </c>
      <c r="K571" s="127">
        <v>42837</v>
      </c>
      <c r="L571" s="184" t="s">
        <v>58</v>
      </c>
      <c r="M571" s="184" t="s">
        <v>551</v>
      </c>
      <c r="N571" s="184" t="s">
        <v>311</v>
      </c>
      <c r="O571" s="184" t="s">
        <v>598</v>
      </c>
      <c r="P571" s="184" t="s">
        <v>42</v>
      </c>
      <c r="Q571" s="184" t="s">
        <v>73</v>
      </c>
      <c r="R571" s="184" t="s">
        <v>598</v>
      </c>
      <c r="S571" s="172">
        <v>42996.326388888891</v>
      </c>
      <c r="T571" s="32" t="s">
        <v>552</v>
      </c>
    </row>
    <row r="572" spans="1:20">
      <c r="A572" s="184" t="s">
        <v>3503</v>
      </c>
      <c r="B572" s="184" t="s">
        <v>4300</v>
      </c>
      <c r="C572" s="127">
        <v>42884</v>
      </c>
      <c r="D572" s="184" t="s">
        <v>10</v>
      </c>
      <c r="E572" s="184" t="s">
        <v>598</v>
      </c>
      <c r="F572" s="185">
        <v>7500</v>
      </c>
      <c r="G572" s="184" t="s">
        <v>493</v>
      </c>
      <c r="H572" s="184">
        <v>4026</v>
      </c>
      <c r="I572" s="185">
        <v>7500</v>
      </c>
      <c r="J572" s="184" t="s">
        <v>598</v>
      </c>
      <c r="K572" s="127">
        <v>42860</v>
      </c>
      <c r="L572" s="184" t="s">
        <v>598</v>
      </c>
      <c r="M572" s="184" t="s">
        <v>111</v>
      </c>
      <c r="N572" s="184" t="s">
        <v>598</v>
      </c>
      <c r="O572" s="184" t="s">
        <v>598</v>
      </c>
      <c r="P572" s="184" t="s">
        <v>63</v>
      </c>
      <c r="Q572" s="184" t="s">
        <v>63</v>
      </c>
      <c r="R572" s="184" t="s">
        <v>598</v>
      </c>
      <c r="S572" s="172">
        <v>42996.326388888891</v>
      </c>
      <c r="T572" s="32" t="s">
        <v>552</v>
      </c>
    </row>
    <row r="573" spans="1:20">
      <c r="A573" s="184" t="s">
        <v>3505</v>
      </c>
      <c r="B573" s="184" t="s">
        <v>4301</v>
      </c>
      <c r="C573" s="127">
        <v>42884</v>
      </c>
      <c r="D573" s="184" t="s">
        <v>10</v>
      </c>
      <c r="E573" s="184" t="s">
        <v>598</v>
      </c>
      <c r="F573" s="185">
        <v>7500</v>
      </c>
      <c r="G573" s="184" t="s">
        <v>493</v>
      </c>
      <c r="H573" s="184">
        <v>4026</v>
      </c>
      <c r="I573" s="185">
        <v>7500</v>
      </c>
      <c r="J573" s="184" t="s">
        <v>598</v>
      </c>
      <c r="K573" s="127">
        <v>42860</v>
      </c>
      <c r="L573" s="184" t="s">
        <v>598</v>
      </c>
      <c r="M573" s="184" t="s">
        <v>111</v>
      </c>
      <c r="N573" s="184" t="s">
        <v>598</v>
      </c>
      <c r="O573" s="184" t="s">
        <v>598</v>
      </c>
      <c r="P573" s="184" t="s">
        <v>63</v>
      </c>
      <c r="Q573" s="184" t="s">
        <v>63</v>
      </c>
      <c r="R573" s="184" t="s">
        <v>598</v>
      </c>
      <c r="S573" s="172">
        <v>42996.326388888891</v>
      </c>
      <c r="T573" s="32" t="s">
        <v>552</v>
      </c>
    </row>
    <row r="574" spans="1:20">
      <c r="A574" s="184" t="s">
        <v>3506</v>
      </c>
      <c r="B574" s="184" t="s">
        <v>4302</v>
      </c>
      <c r="C574" s="127">
        <v>42871</v>
      </c>
      <c r="D574" s="184" t="s">
        <v>34</v>
      </c>
      <c r="E574" s="184" t="s">
        <v>598</v>
      </c>
      <c r="F574" s="185">
        <v>4000</v>
      </c>
      <c r="G574" s="184" t="s">
        <v>493</v>
      </c>
      <c r="H574" s="184" t="s">
        <v>598</v>
      </c>
      <c r="I574" s="185">
        <v>0</v>
      </c>
      <c r="J574" s="184" t="s">
        <v>598</v>
      </c>
      <c r="K574" s="127">
        <v>42864</v>
      </c>
      <c r="L574" s="184" t="s">
        <v>598</v>
      </c>
      <c r="M574" s="184" t="s">
        <v>111</v>
      </c>
      <c r="N574" s="184" t="s">
        <v>222</v>
      </c>
      <c r="O574" s="184" t="s">
        <v>598</v>
      </c>
      <c r="P574" s="184" t="s">
        <v>63</v>
      </c>
      <c r="Q574" s="184" t="s">
        <v>63</v>
      </c>
      <c r="R574" s="184" t="s">
        <v>598</v>
      </c>
      <c r="S574" s="172">
        <v>42996.326388888891</v>
      </c>
      <c r="T574" s="32" t="s">
        <v>552</v>
      </c>
    </row>
    <row r="575" spans="1:20">
      <c r="A575" s="184" t="s">
        <v>3508</v>
      </c>
      <c r="B575" s="184" t="s">
        <v>4303</v>
      </c>
      <c r="C575" s="127">
        <v>42865</v>
      </c>
      <c r="D575" s="184" t="s">
        <v>34</v>
      </c>
      <c r="E575" s="184" t="s">
        <v>598</v>
      </c>
      <c r="F575" s="185">
        <v>3000</v>
      </c>
      <c r="G575" s="184" t="s">
        <v>493</v>
      </c>
      <c r="H575" s="184" t="s">
        <v>598</v>
      </c>
      <c r="I575" s="185">
        <v>0</v>
      </c>
      <c r="J575" s="184" t="s">
        <v>598</v>
      </c>
      <c r="K575" s="127">
        <v>42864</v>
      </c>
      <c r="L575" s="184" t="s">
        <v>598</v>
      </c>
      <c r="M575" s="184" t="s">
        <v>111</v>
      </c>
      <c r="N575" s="184" t="s">
        <v>598</v>
      </c>
      <c r="O575" s="184" t="s">
        <v>598</v>
      </c>
      <c r="P575" s="184" t="s">
        <v>63</v>
      </c>
      <c r="Q575" s="184" t="s">
        <v>86</v>
      </c>
      <c r="R575" s="184" t="s">
        <v>598</v>
      </c>
      <c r="S575" s="172">
        <v>42996.326388888891</v>
      </c>
      <c r="T575" s="32" t="s">
        <v>552</v>
      </c>
    </row>
    <row r="576" spans="1:20">
      <c r="A576" s="184" t="s">
        <v>3510</v>
      </c>
      <c r="B576" s="184" t="s">
        <v>4304</v>
      </c>
      <c r="C576" s="127">
        <v>42857</v>
      </c>
      <c r="D576" s="184" t="s">
        <v>10</v>
      </c>
      <c r="E576" s="184" t="s">
        <v>598</v>
      </c>
      <c r="F576" s="185">
        <v>5000</v>
      </c>
      <c r="G576" s="184" t="s">
        <v>493</v>
      </c>
      <c r="H576" s="184">
        <v>3871</v>
      </c>
      <c r="I576" s="185">
        <v>5000</v>
      </c>
      <c r="J576" s="184" t="s">
        <v>598</v>
      </c>
      <c r="K576" s="127">
        <v>42830</v>
      </c>
      <c r="L576" s="184" t="s">
        <v>598</v>
      </c>
      <c r="M576" s="184" t="s">
        <v>116</v>
      </c>
      <c r="N576" s="184" t="s">
        <v>299</v>
      </c>
      <c r="O576" s="184" t="s">
        <v>598</v>
      </c>
      <c r="P576" s="184" t="s">
        <v>63</v>
      </c>
      <c r="Q576" s="184" t="s">
        <v>63</v>
      </c>
      <c r="R576" s="184" t="s">
        <v>598</v>
      </c>
      <c r="S576" s="172">
        <v>42996.326388888891</v>
      </c>
      <c r="T576" s="32" t="s">
        <v>552</v>
      </c>
    </row>
    <row r="577" spans="1:20">
      <c r="A577" s="184" t="s">
        <v>3512</v>
      </c>
      <c r="B577" s="184" t="s">
        <v>4305</v>
      </c>
      <c r="C577" s="127">
        <v>42884</v>
      </c>
      <c r="D577" s="184" t="s">
        <v>10</v>
      </c>
      <c r="E577" s="184" t="s">
        <v>598</v>
      </c>
      <c r="F577" s="185">
        <v>5000</v>
      </c>
      <c r="G577" s="184" t="s">
        <v>493</v>
      </c>
      <c r="H577" s="184">
        <v>4035</v>
      </c>
      <c r="I577" s="185">
        <v>4000</v>
      </c>
      <c r="J577" s="184" t="s">
        <v>598</v>
      </c>
      <c r="K577" s="127">
        <v>42873</v>
      </c>
      <c r="L577" s="184" t="s">
        <v>598</v>
      </c>
      <c r="M577" s="184" t="s">
        <v>119</v>
      </c>
      <c r="N577" s="184" t="s">
        <v>299</v>
      </c>
      <c r="O577" s="184" t="s">
        <v>598</v>
      </c>
      <c r="P577" s="184" t="s">
        <v>63</v>
      </c>
      <c r="Q577" s="184" t="s">
        <v>86</v>
      </c>
      <c r="R577" s="184" t="s">
        <v>598</v>
      </c>
      <c r="S577" s="172">
        <v>42996.326388888891</v>
      </c>
      <c r="T577" s="32" t="s">
        <v>552</v>
      </c>
    </row>
    <row r="578" spans="1:20">
      <c r="A578" s="184" t="s">
        <v>3513</v>
      </c>
      <c r="B578" s="184" t="s">
        <v>4306</v>
      </c>
      <c r="C578" s="127">
        <v>42859</v>
      </c>
      <c r="D578" s="184" t="s">
        <v>10</v>
      </c>
      <c r="E578" s="184" t="s">
        <v>598</v>
      </c>
      <c r="F578" s="185">
        <v>2500</v>
      </c>
      <c r="G578" s="184" t="s">
        <v>493</v>
      </c>
      <c r="H578" s="184" t="s">
        <v>598</v>
      </c>
      <c r="I578" s="185">
        <v>0</v>
      </c>
      <c r="J578" s="184" t="s">
        <v>598</v>
      </c>
      <c r="K578" s="127">
        <v>42816</v>
      </c>
      <c r="L578" s="184" t="s">
        <v>598</v>
      </c>
      <c r="M578" s="184" t="s">
        <v>119</v>
      </c>
      <c r="N578" s="184" t="s">
        <v>435</v>
      </c>
      <c r="O578" s="184" t="s">
        <v>598</v>
      </c>
      <c r="P578" s="184" t="s">
        <v>63</v>
      </c>
      <c r="Q578" s="184" t="s">
        <v>63</v>
      </c>
      <c r="R578" s="184" t="s">
        <v>598</v>
      </c>
      <c r="S578" s="172">
        <v>42996.326388888891</v>
      </c>
      <c r="T578" s="32" t="s">
        <v>552</v>
      </c>
    </row>
    <row r="579" spans="1:20">
      <c r="A579" s="184" t="s">
        <v>3515</v>
      </c>
      <c r="B579" s="184" t="s">
        <v>4307</v>
      </c>
      <c r="C579" s="127">
        <v>42864</v>
      </c>
      <c r="D579" s="184" t="s">
        <v>34</v>
      </c>
      <c r="E579" s="184" t="s">
        <v>598</v>
      </c>
      <c r="F579" s="185">
        <v>2500</v>
      </c>
      <c r="G579" s="184" t="s">
        <v>493</v>
      </c>
      <c r="H579" s="184" t="s">
        <v>598</v>
      </c>
      <c r="I579" s="185">
        <v>0</v>
      </c>
      <c r="J579" s="184" t="s">
        <v>598</v>
      </c>
      <c r="K579" s="127">
        <v>42857</v>
      </c>
      <c r="L579" s="184" t="s">
        <v>135</v>
      </c>
      <c r="M579" s="184" t="s">
        <v>92</v>
      </c>
      <c r="N579" s="184" t="s">
        <v>377</v>
      </c>
      <c r="O579" s="184" t="s">
        <v>598</v>
      </c>
      <c r="P579" s="184" t="s">
        <v>79</v>
      </c>
      <c r="Q579" s="184" t="s">
        <v>112</v>
      </c>
      <c r="R579" s="184" t="s">
        <v>598</v>
      </c>
      <c r="S579" s="172">
        <v>42996.326388888891</v>
      </c>
      <c r="T579" s="32" t="s">
        <v>552</v>
      </c>
    </row>
    <row r="580" spans="1:20">
      <c r="A580" s="184" t="s">
        <v>3517</v>
      </c>
      <c r="B580" s="184" t="s">
        <v>4308</v>
      </c>
      <c r="C580" s="127">
        <v>42866</v>
      </c>
      <c r="D580" s="184" t="s">
        <v>34</v>
      </c>
      <c r="E580" s="184" t="s">
        <v>598</v>
      </c>
      <c r="F580" s="185">
        <v>2500</v>
      </c>
      <c r="G580" s="184" t="s">
        <v>493</v>
      </c>
      <c r="H580" s="184" t="s">
        <v>598</v>
      </c>
      <c r="I580" s="185">
        <v>0</v>
      </c>
      <c r="J580" s="184" t="s">
        <v>598</v>
      </c>
      <c r="K580" s="127">
        <v>42857</v>
      </c>
      <c r="L580" s="184" t="s">
        <v>134</v>
      </c>
      <c r="M580" s="184" t="s">
        <v>92</v>
      </c>
      <c r="N580" s="184" t="s">
        <v>598</v>
      </c>
      <c r="O580" s="184" t="s">
        <v>598</v>
      </c>
      <c r="P580" s="184" t="s">
        <v>79</v>
      </c>
      <c r="Q580" s="184" t="s">
        <v>112</v>
      </c>
      <c r="R580" s="184" t="s">
        <v>598</v>
      </c>
      <c r="S580" s="172">
        <v>42996.326388888891</v>
      </c>
      <c r="T580" s="32" t="s">
        <v>552</v>
      </c>
    </row>
    <row r="581" spans="1:20">
      <c r="A581" s="184" t="s">
        <v>3519</v>
      </c>
      <c r="B581" s="184" t="s">
        <v>4309</v>
      </c>
      <c r="C581" s="127">
        <v>42871</v>
      </c>
      <c r="D581" s="184" t="s">
        <v>34</v>
      </c>
      <c r="E581" s="184" t="s">
        <v>598</v>
      </c>
      <c r="F581" s="185">
        <v>4000</v>
      </c>
      <c r="G581" s="184" t="s">
        <v>493</v>
      </c>
      <c r="H581" s="184" t="s">
        <v>598</v>
      </c>
      <c r="I581" s="185">
        <v>0</v>
      </c>
      <c r="J581" s="184" t="s">
        <v>598</v>
      </c>
      <c r="K581" s="127">
        <v>42858</v>
      </c>
      <c r="L581" s="184" t="s">
        <v>120</v>
      </c>
      <c r="M581" s="184" t="s">
        <v>92</v>
      </c>
      <c r="N581" s="184" t="s">
        <v>205</v>
      </c>
      <c r="O581" s="184" t="s">
        <v>598</v>
      </c>
      <c r="P581" s="184" t="s">
        <v>79</v>
      </c>
      <c r="Q581" s="184" t="s">
        <v>112</v>
      </c>
      <c r="R581" s="184" t="s">
        <v>598</v>
      </c>
      <c r="S581" s="172">
        <v>42996.326388888891</v>
      </c>
      <c r="T581" s="32" t="s">
        <v>552</v>
      </c>
    </row>
    <row r="582" spans="1:20">
      <c r="A582" s="184" t="s">
        <v>3521</v>
      </c>
      <c r="B582" s="184" t="s">
        <v>4310</v>
      </c>
      <c r="C582" s="127">
        <v>42861</v>
      </c>
      <c r="D582" s="184" t="s">
        <v>34</v>
      </c>
      <c r="E582" s="184" t="s">
        <v>598</v>
      </c>
      <c r="F582" s="185">
        <v>4000</v>
      </c>
      <c r="G582" s="184" t="s">
        <v>493</v>
      </c>
      <c r="H582" s="184" t="s">
        <v>598</v>
      </c>
      <c r="I582" s="185">
        <v>0</v>
      </c>
      <c r="J582" s="184" t="s">
        <v>598</v>
      </c>
      <c r="K582" s="127">
        <v>42858</v>
      </c>
      <c r="L582" s="184" t="s">
        <v>134</v>
      </c>
      <c r="M582" s="184" t="s">
        <v>92</v>
      </c>
      <c r="N582" s="184" t="s">
        <v>205</v>
      </c>
      <c r="O582" s="184" t="s">
        <v>598</v>
      </c>
      <c r="P582" s="184" t="s">
        <v>79</v>
      </c>
      <c r="Q582" s="184" t="s">
        <v>112</v>
      </c>
      <c r="R582" s="184" t="s">
        <v>598</v>
      </c>
      <c r="S582" s="172">
        <v>42996.326388888891</v>
      </c>
      <c r="T582" s="32" t="s">
        <v>552</v>
      </c>
    </row>
    <row r="583" spans="1:20">
      <c r="A583" s="184" t="s">
        <v>3523</v>
      </c>
      <c r="B583" s="184" t="s">
        <v>4311</v>
      </c>
      <c r="C583" s="127">
        <v>42864</v>
      </c>
      <c r="D583" s="184" t="s">
        <v>10</v>
      </c>
      <c r="E583" s="184" t="s">
        <v>598</v>
      </c>
      <c r="F583" s="185">
        <v>3000</v>
      </c>
      <c r="G583" s="184" t="s">
        <v>493</v>
      </c>
      <c r="H583" s="184" t="s">
        <v>598</v>
      </c>
      <c r="I583" s="185">
        <v>0</v>
      </c>
      <c r="J583" s="184" t="s">
        <v>598</v>
      </c>
      <c r="K583" s="127">
        <v>42859</v>
      </c>
      <c r="L583" s="184" t="s">
        <v>115</v>
      </c>
      <c r="M583" s="184" t="s">
        <v>92</v>
      </c>
      <c r="N583" s="184" t="s">
        <v>463</v>
      </c>
      <c r="O583" s="184" t="s">
        <v>598</v>
      </c>
      <c r="P583" s="184" t="s">
        <v>79</v>
      </c>
      <c r="Q583" s="184" t="s">
        <v>79</v>
      </c>
      <c r="R583" s="184" t="s">
        <v>598</v>
      </c>
      <c r="S583" s="172">
        <v>42996.326388888891</v>
      </c>
      <c r="T583" s="32" t="s">
        <v>552</v>
      </c>
    </row>
    <row r="584" spans="1:20">
      <c r="A584" s="184" t="s">
        <v>3525</v>
      </c>
      <c r="B584" s="184" t="s">
        <v>4312</v>
      </c>
      <c r="C584" s="127">
        <v>42864</v>
      </c>
      <c r="D584" s="184" t="s">
        <v>34</v>
      </c>
      <c r="E584" s="184" t="s">
        <v>598</v>
      </c>
      <c r="F584" s="185">
        <v>3000</v>
      </c>
      <c r="G584" s="184" t="s">
        <v>493</v>
      </c>
      <c r="H584" s="184" t="s">
        <v>598</v>
      </c>
      <c r="I584" s="185">
        <v>0</v>
      </c>
      <c r="J584" s="184" t="s">
        <v>598</v>
      </c>
      <c r="K584" s="127">
        <v>42860</v>
      </c>
      <c r="L584" s="184" t="s">
        <v>135</v>
      </c>
      <c r="M584" s="184" t="s">
        <v>92</v>
      </c>
      <c r="N584" s="184" t="s">
        <v>289</v>
      </c>
      <c r="O584" s="184" t="s">
        <v>598</v>
      </c>
      <c r="P584" s="184" t="s">
        <v>79</v>
      </c>
      <c r="Q584" s="184" t="s">
        <v>112</v>
      </c>
      <c r="R584" s="184" t="s">
        <v>598</v>
      </c>
      <c r="S584" s="172">
        <v>42996.326388888891</v>
      </c>
      <c r="T584" s="32" t="s">
        <v>552</v>
      </c>
    </row>
    <row r="585" spans="1:20">
      <c r="A585" s="184" t="s">
        <v>3527</v>
      </c>
      <c r="B585" s="184" t="s">
        <v>4313</v>
      </c>
      <c r="C585" s="127">
        <v>42871</v>
      </c>
      <c r="D585" s="184" t="s">
        <v>34</v>
      </c>
      <c r="E585" s="184" t="s">
        <v>598</v>
      </c>
      <c r="F585" s="185">
        <v>5000</v>
      </c>
      <c r="G585" s="184" t="s">
        <v>493</v>
      </c>
      <c r="H585" s="184" t="s">
        <v>598</v>
      </c>
      <c r="I585" s="185">
        <v>0</v>
      </c>
      <c r="J585" s="184" t="s">
        <v>598</v>
      </c>
      <c r="K585" s="127">
        <v>42861</v>
      </c>
      <c r="L585" s="184" t="s">
        <v>134</v>
      </c>
      <c r="M585" s="184" t="s">
        <v>92</v>
      </c>
      <c r="N585" s="184" t="s">
        <v>205</v>
      </c>
      <c r="O585" s="184" t="s">
        <v>598</v>
      </c>
      <c r="P585" s="184" t="s">
        <v>79</v>
      </c>
      <c r="Q585" s="184" t="s">
        <v>112</v>
      </c>
      <c r="R585" s="184" t="s">
        <v>598</v>
      </c>
      <c r="S585" s="172">
        <v>42996.326388888891</v>
      </c>
      <c r="T585" s="32" t="s">
        <v>552</v>
      </c>
    </row>
    <row r="586" spans="1:20">
      <c r="A586" s="184" t="s">
        <v>3529</v>
      </c>
      <c r="B586" s="184" t="s">
        <v>4314</v>
      </c>
      <c r="C586" s="127">
        <v>42864</v>
      </c>
      <c r="D586" s="184" t="s">
        <v>34</v>
      </c>
      <c r="E586" s="184" t="s">
        <v>598</v>
      </c>
      <c r="F586" s="185">
        <v>5000</v>
      </c>
      <c r="G586" s="184" t="s">
        <v>493</v>
      </c>
      <c r="H586" s="184" t="s">
        <v>598</v>
      </c>
      <c r="I586" s="185">
        <v>0</v>
      </c>
      <c r="J586" s="184" t="s">
        <v>598</v>
      </c>
      <c r="K586" s="127">
        <v>42861</v>
      </c>
      <c r="L586" s="184" t="s">
        <v>134</v>
      </c>
      <c r="M586" s="184" t="s">
        <v>92</v>
      </c>
      <c r="N586" s="184" t="s">
        <v>250</v>
      </c>
      <c r="O586" s="184" t="s">
        <v>598</v>
      </c>
      <c r="P586" s="184" t="s">
        <v>79</v>
      </c>
      <c r="Q586" s="184" t="s">
        <v>79</v>
      </c>
      <c r="R586" s="184" t="s">
        <v>598</v>
      </c>
      <c r="S586" s="172">
        <v>42996.326388888891</v>
      </c>
      <c r="T586" s="32" t="s">
        <v>552</v>
      </c>
    </row>
    <row r="587" spans="1:20">
      <c r="A587" s="184" t="s">
        <v>3531</v>
      </c>
      <c r="B587" s="184" t="s">
        <v>4315</v>
      </c>
      <c r="C587" s="127">
        <v>42863</v>
      </c>
      <c r="D587" s="184" t="s">
        <v>10</v>
      </c>
      <c r="E587" s="184" t="s">
        <v>598</v>
      </c>
      <c r="F587" s="185">
        <v>12000</v>
      </c>
      <c r="G587" s="184" t="s">
        <v>493</v>
      </c>
      <c r="H587" s="184" t="s">
        <v>598</v>
      </c>
      <c r="I587" s="185">
        <v>0</v>
      </c>
      <c r="J587" s="184" t="s">
        <v>598</v>
      </c>
      <c r="K587" s="127">
        <v>42861</v>
      </c>
      <c r="L587" s="184" t="s">
        <v>107</v>
      </c>
      <c r="M587" s="184" t="s">
        <v>92</v>
      </c>
      <c r="N587" s="184" t="s">
        <v>464</v>
      </c>
      <c r="O587" s="184" t="s">
        <v>598</v>
      </c>
      <c r="P587" s="184" t="s">
        <v>79</v>
      </c>
      <c r="Q587" s="184" t="s">
        <v>65</v>
      </c>
      <c r="R587" s="184" t="s">
        <v>598</v>
      </c>
      <c r="S587" s="172">
        <v>42996.326388888891</v>
      </c>
      <c r="T587" s="32" t="s">
        <v>552</v>
      </c>
    </row>
    <row r="588" spans="1:20">
      <c r="A588" s="184" t="s">
        <v>3533</v>
      </c>
      <c r="B588" s="184" t="s">
        <v>4316</v>
      </c>
      <c r="C588" s="127">
        <v>42867</v>
      </c>
      <c r="D588" s="184" t="s">
        <v>34</v>
      </c>
      <c r="E588" s="184" t="s">
        <v>598</v>
      </c>
      <c r="F588" s="185">
        <v>4000</v>
      </c>
      <c r="G588" s="184" t="s">
        <v>493</v>
      </c>
      <c r="H588" s="184" t="s">
        <v>598</v>
      </c>
      <c r="I588" s="185">
        <v>0</v>
      </c>
      <c r="J588" s="184" t="s">
        <v>598</v>
      </c>
      <c r="K588" s="127">
        <v>42865</v>
      </c>
      <c r="L588" s="184" t="s">
        <v>134</v>
      </c>
      <c r="M588" s="184" t="s">
        <v>92</v>
      </c>
      <c r="N588" s="184" t="s">
        <v>465</v>
      </c>
      <c r="O588" s="184" t="s">
        <v>598</v>
      </c>
      <c r="P588" s="184" t="s">
        <v>79</v>
      </c>
      <c r="Q588" s="184" t="s">
        <v>112</v>
      </c>
      <c r="R588" s="184" t="s">
        <v>598</v>
      </c>
      <c r="S588" s="172">
        <v>42996.326388888891</v>
      </c>
      <c r="T588" s="32" t="s">
        <v>552</v>
      </c>
    </row>
    <row r="589" spans="1:20">
      <c r="A589" s="184" t="s">
        <v>3535</v>
      </c>
      <c r="B589" s="184" t="s">
        <v>4317</v>
      </c>
      <c r="C589" s="127">
        <v>42879</v>
      </c>
      <c r="D589" s="184" t="s">
        <v>10</v>
      </c>
      <c r="E589" s="184" t="s">
        <v>598</v>
      </c>
      <c r="F589" s="185">
        <v>2000</v>
      </c>
      <c r="G589" s="184" t="s">
        <v>493</v>
      </c>
      <c r="H589" s="184" t="s">
        <v>598</v>
      </c>
      <c r="I589" s="185">
        <v>0</v>
      </c>
      <c r="J589" s="184" t="s">
        <v>598</v>
      </c>
      <c r="K589" s="127">
        <v>42871</v>
      </c>
      <c r="L589" s="184" t="s">
        <v>134</v>
      </c>
      <c r="M589" s="184" t="s">
        <v>92</v>
      </c>
      <c r="N589" s="184" t="s">
        <v>403</v>
      </c>
      <c r="O589" s="184" t="s">
        <v>29</v>
      </c>
      <c r="P589" s="184" t="s">
        <v>79</v>
      </c>
      <c r="Q589" s="184" t="s">
        <v>112</v>
      </c>
      <c r="R589" s="184" t="s">
        <v>598</v>
      </c>
      <c r="S589" s="172">
        <v>42996.326388888891</v>
      </c>
      <c r="T589" s="32" t="s">
        <v>552</v>
      </c>
    </row>
    <row r="590" spans="1:20">
      <c r="A590" s="184" t="s">
        <v>3537</v>
      </c>
      <c r="B590" s="184" t="s">
        <v>4318</v>
      </c>
      <c r="C590" s="127">
        <v>42886</v>
      </c>
      <c r="D590" s="184" t="s">
        <v>10</v>
      </c>
      <c r="E590" s="184" t="s">
        <v>598</v>
      </c>
      <c r="F590" s="185">
        <v>12500</v>
      </c>
      <c r="G590" s="184" t="s">
        <v>493</v>
      </c>
      <c r="H590" s="184" t="s">
        <v>598</v>
      </c>
      <c r="I590" s="185">
        <v>0</v>
      </c>
      <c r="J590" s="184" t="s">
        <v>598</v>
      </c>
      <c r="K590" s="127">
        <v>42872</v>
      </c>
      <c r="L590" s="184" t="s">
        <v>598</v>
      </c>
      <c r="M590" s="184" t="s">
        <v>92</v>
      </c>
      <c r="N590" s="184" t="s">
        <v>403</v>
      </c>
      <c r="O590" s="184" t="s">
        <v>598</v>
      </c>
      <c r="P590" s="184" t="s">
        <v>79</v>
      </c>
      <c r="Q590" s="184" t="s">
        <v>79</v>
      </c>
      <c r="R590" s="184" t="s">
        <v>598</v>
      </c>
      <c r="S590" s="172">
        <v>42996.326388888891</v>
      </c>
      <c r="T590" s="32" t="s">
        <v>552</v>
      </c>
    </row>
    <row r="591" spans="1:20">
      <c r="A591" s="184" t="s">
        <v>3539</v>
      </c>
      <c r="B591" s="184" t="s">
        <v>4319</v>
      </c>
      <c r="C591" s="127">
        <v>42886</v>
      </c>
      <c r="D591" s="184" t="s">
        <v>10</v>
      </c>
      <c r="E591" s="184" t="s">
        <v>598</v>
      </c>
      <c r="F591" s="185">
        <v>12500</v>
      </c>
      <c r="G591" s="184" t="s">
        <v>493</v>
      </c>
      <c r="H591" s="184" t="s">
        <v>598</v>
      </c>
      <c r="I591" s="185">
        <v>0</v>
      </c>
      <c r="J591" s="184" t="s">
        <v>598</v>
      </c>
      <c r="K591" s="127">
        <v>42872</v>
      </c>
      <c r="L591" s="184" t="s">
        <v>598</v>
      </c>
      <c r="M591" s="184" t="s">
        <v>92</v>
      </c>
      <c r="N591" s="184" t="s">
        <v>403</v>
      </c>
      <c r="O591" s="184" t="s">
        <v>598</v>
      </c>
      <c r="P591" s="184" t="s">
        <v>79</v>
      </c>
      <c r="Q591" s="184" t="s">
        <v>79</v>
      </c>
      <c r="R591" s="184" t="s">
        <v>598</v>
      </c>
      <c r="S591" s="172">
        <v>42996.326388888891</v>
      </c>
      <c r="T591" s="32" t="s">
        <v>552</v>
      </c>
    </row>
    <row r="592" spans="1:20">
      <c r="A592" s="184" t="s">
        <v>3541</v>
      </c>
      <c r="B592" s="184" t="s">
        <v>4320</v>
      </c>
      <c r="C592" s="127">
        <v>42879</v>
      </c>
      <c r="D592" s="184" t="s">
        <v>10</v>
      </c>
      <c r="E592" s="184" t="s">
        <v>598</v>
      </c>
      <c r="F592" s="185">
        <v>4000</v>
      </c>
      <c r="G592" s="184" t="s">
        <v>493</v>
      </c>
      <c r="H592" s="184" t="s">
        <v>598</v>
      </c>
      <c r="I592" s="185">
        <v>0</v>
      </c>
      <c r="J592" s="184" t="s">
        <v>598</v>
      </c>
      <c r="K592" s="127">
        <v>42873</v>
      </c>
      <c r="L592" s="184" t="s">
        <v>135</v>
      </c>
      <c r="M592" s="184" t="s">
        <v>92</v>
      </c>
      <c r="N592" s="184" t="s">
        <v>403</v>
      </c>
      <c r="O592" s="184" t="s">
        <v>29</v>
      </c>
      <c r="P592" s="184" t="s">
        <v>79</v>
      </c>
      <c r="Q592" s="184" t="s">
        <v>112</v>
      </c>
      <c r="R592" s="184" t="s">
        <v>598</v>
      </c>
      <c r="S592" s="172">
        <v>42996.326388888891</v>
      </c>
      <c r="T592" s="32" t="s">
        <v>552</v>
      </c>
    </row>
    <row r="593" spans="1:20">
      <c r="A593" s="184" t="s">
        <v>3543</v>
      </c>
      <c r="B593" s="184" t="s">
        <v>4321</v>
      </c>
      <c r="C593" s="127">
        <v>42885</v>
      </c>
      <c r="D593" s="184" t="s">
        <v>34</v>
      </c>
      <c r="E593" s="184" t="s">
        <v>598</v>
      </c>
      <c r="F593" s="185">
        <v>4000</v>
      </c>
      <c r="G593" s="184" t="s">
        <v>493</v>
      </c>
      <c r="H593" s="184" t="s">
        <v>598</v>
      </c>
      <c r="I593" s="185">
        <v>0</v>
      </c>
      <c r="J593" s="184" t="s">
        <v>598</v>
      </c>
      <c r="K593" s="127">
        <v>42873</v>
      </c>
      <c r="L593" s="184" t="s">
        <v>135</v>
      </c>
      <c r="M593" s="184" t="s">
        <v>92</v>
      </c>
      <c r="N593" s="184" t="s">
        <v>205</v>
      </c>
      <c r="O593" s="184" t="s">
        <v>598</v>
      </c>
      <c r="P593" s="184" t="s">
        <v>79</v>
      </c>
      <c r="Q593" s="184" t="s">
        <v>112</v>
      </c>
      <c r="R593" s="184" t="s">
        <v>598</v>
      </c>
      <c r="S593" s="172">
        <v>42996.326388888891</v>
      </c>
      <c r="T593" s="32" t="s">
        <v>552</v>
      </c>
    </row>
    <row r="594" spans="1:20">
      <c r="A594" s="184" t="s">
        <v>3545</v>
      </c>
      <c r="B594" s="184" t="s">
        <v>4322</v>
      </c>
      <c r="C594" s="127">
        <v>42878</v>
      </c>
      <c r="D594" s="184" t="s">
        <v>10</v>
      </c>
      <c r="E594" s="184" t="s">
        <v>598</v>
      </c>
      <c r="F594" s="185">
        <v>10000</v>
      </c>
      <c r="G594" s="184" t="s">
        <v>493</v>
      </c>
      <c r="H594" s="184" t="s">
        <v>598</v>
      </c>
      <c r="I594" s="185">
        <v>0</v>
      </c>
      <c r="J594" s="184" t="s">
        <v>598</v>
      </c>
      <c r="K594" s="127">
        <v>42875</v>
      </c>
      <c r="L594" s="184" t="s">
        <v>3263</v>
      </c>
      <c r="M594" s="184" t="s">
        <v>92</v>
      </c>
      <c r="N594" s="184" t="s">
        <v>598</v>
      </c>
      <c r="O594" s="184" t="s">
        <v>598</v>
      </c>
      <c r="P594" s="184" t="s">
        <v>79</v>
      </c>
      <c r="Q594" s="184" t="s">
        <v>598</v>
      </c>
      <c r="R594" s="184" t="s">
        <v>598</v>
      </c>
      <c r="S594" s="172">
        <v>42996.326388888891</v>
      </c>
      <c r="T594" s="32" t="s">
        <v>552</v>
      </c>
    </row>
    <row r="595" spans="1:20">
      <c r="A595" s="184" t="s">
        <v>3547</v>
      </c>
      <c r="B595" s="184" t="s">
        <v>4323</v>
      </c>
      <c r="C595" s="127">
        <v>42880</v>
      </c>
      <c r="D595" s="184" t="s">
        <v>34</v>
      </c>
      <c r="E595" s="184" t="s">
        <v>598</v>
      </c>
      <c r="F595" s="185">
        <v>1500</v>
      </c>
      <c r="G595" s="184" t="s">
        <v>493</v>
      </c>
      <c r="H595" s="184" t="s">
        <v>598</v>
      </c>
      <c r="I595" s="185">
        <v>0</v>
      </c>
      <c r="J595" s="184" t="s">
        <v>598</v>
      </c>
      <c r="K595" s="127">
        <v>42878</v>
      </c>
      <c r="L595" s="184" t="s">
        <v>134</v>
      </c>
      <c r="M595" s="184" t="s">
        <v>92</v>
      </c>
      <c r="N595" s="184" t="s">
        <v>466</v>
      </c>
      <c r="O595" s="184" t="s">
        <v>598</v>
      </c>
      <c r="P595" s="184" t="s">
        <v>79</v>
      </c>
      <c r="Q595" s="184" t="s">
        <v>79</v>
      </c>
      <c r="R595" s="184" t="s">
        <v>598</v>
      </c>
      <c r="S595" s="172">
        <v>42996.326388888891</v>
      </c>
      <c r="T595" s="32" t="s">
        <v>552</v>
      </c>
    </row>
    <row r="596" spans="1:20">
      <c r="A596" s="184" t="s">
        <v>3549</v>
      </c>
      <c r="B596" s="184" t="s">
        <v>4324</v>
      </c>
      <c r="C596" s="127">
        <v>42886</v>
      </c>
      <c r="D596" s="184" t="s">
        <v>494</v>
      </c>
      <c r="E596" s="184" t="s">
        <v>598</v>
      </c>
      <c r="F596" s="185">
        <v>3000</v>
      </c>
      <c r="G596" s="184" t="s">
        <v>493</v>
      </c>
      <c r="H596" s="184" t="s">
        <v>598</v>
      </c>
      <c r="I596" s="185">
        <v>0</v>
      </c>
      <c r="J596" s="184" t="s">
        <v>598</v>
      </c>
      <c r="K596" s="127">
        <v>42879</v>
      </c>
      <c r="L596" s="184" t="s">
        <v>134</v>
      </c>
      <c r="M596" s="184" t="s">
        <v>92</v>
      </c>
      <c r="N596" s="184" t="s">
        <v>285</v>
      </c>
      <c r="O596" s="184" t="s">
        <v>598</v>
      </c>
      <c r="P596" s="184" t="s">
        <v>79</v>
      </c>
      <c r="Q596" s="184" t="s">
        <v>112</v>
      </c>
      <c r="R596" s="184" t="s">
        <v>598</v>
      </c>
      <c r="S596" s="172">
        <v>42996.326388888891</v>
      </c>
      <c r="T596" s="32" t="s">
        <v>552</v>
      </c>
    </row>
    <row r="597" spans="1:20">
      <c r="A597" s="184" t="s">
        <v>3551</v>
      </c>
      <c r="B597" s="184" t="s">
        <v>4325</v>
      </c>
      <c r="C597" s="127">
        <v>42882</v>
      </c>
      <c r="D597" s="184" t="s">
        <v>494</v>
      </c>
      <c r="E597" s="184" t="s">
        <v>598</v>
      </c>
      <c r="F597" s="185">
        <v>10000</v>
      </c>
      <c r="G597" s="184" t="s">
        <v>493</v>
      </c>
      <c r="H597" s="184" t="s">
        <v>598</v>
      </c>
      <c r="I597" s="185">
        <v>0</v>
      </c>
      <c r="J597" s="184" t="s">
        <v>598</v>
      </c>
      <c r="K597" s="127">
        <v>42882</v>
      </c>
      <c r="L597" s="184" t="s">
        <v>598</v>
      </c>
      <c r="M597" s="184" t="s">
        <v>92</v>
      </c>
      <c r="N597" s="184" t="s">
        <v>598</v>
      </c>
      <c r="O597" s="184" t="s">
        <v>598</v>
      </c>
      <c r="P597" s="184" t="s">
        <v>79</v>
      </c>
      <c r="Q597" s="184" t="s">
        <v>598</v>
      </c>
      <c r="R597" s="184" t="s">
        <v>598</v>
      </c>
      <c r="S597" s="172">
        <v>42996.326388888891</v>
      </c>
      <c r="T597" s="32" t="s">
        <v>552</v>
      </c>
    </row>
    <row r="598" spans="1:20">
      <c r="A598" s="184" t="s">
        <v>3553</v>
      </c>
      <c r="B598" s="184" t="s">
        <v>4326</v>
      </c>
      <c r="C598" s="127">
        <v>42885</v>
      </c>
      <c r="D598" s="184" t="s">
        <v>34</v>
      </c>
      <c r="E598" s="184" t="s">
        <v>598</v>
      </c>
      <c r="F598" s="185">
        <v>3500</v>
      </c>
      <c r="G598" s="184" t="s">
        <v>493</v>
      </c>
      <c r="H598" s="184" t="s">
        <v>598</v>
      </c>
      <c r="I598" s="185">
        <v>0</v>
      </c>
      <c r="J598" s="184" t="s">
        <v>598</v>
      </c>
      <c r="K598" s="127">
        <v>42884</v>
      </c>
      <c r="L598" s="184" t="s">
        <v>134</v>
      </c>
      <c r="M598" s="184" t="s">
        <v>92</v>
      </c>
      <c r="N598" s="184" t="s">
        <v>285</v>
      </c>
      <c r="O598" s="184" t="s">
        <v>598</v>
      </c>
      <c r="P598" s="184" t="s">
        <v>79</v>
      </c>
      <c r="Q598" s="184" t="s">
        <v>112</v>
      </c>
      <c r="R598" s="184" t="s">
        <v>598</v>
      </c>
      <c r="S598" s="172">
        <v>42996.326388888891</v>
      </c>
      <c r="T598" s="32" t="s">
        <v>552</v>
      </c>
    </row>
    <row r="599" spans="1:20">
      <c r="A599" s="184" t="s">
        <v>3555</v>
      </c>
      <c r="B599" s="184" t="s">
        <v>4327</v>
      </c>
      <c r="C599" s="127">
        <v>42858</v>
      </c>
      <c r="D599" s="184" t="s">
        <v>10</v>
      </c>
      <c r="E599" s="184" t="s">
        <v>598</v>
      </c>
      <c r="F599" s="185">
        <v>12000</v>
      </c>
      <c r="G599" s="184" t="s">
        <v>493</v>
      </c>
      <c r="H599" s="184" t="s">
        <v>598</v>
      </c>
      <c r="I599" s="185">
        <v>0</v>
      </c>
      <c r="J599" s="184" t="s">
        <v>598</v>
      </c>
      <c r="K599" s="127">
        <v>42683</v>
      </c>
      <c r="L599" s="184" t="s">
        <v>115</v>
      </c>
      <c r="M599" s="184" t="s">
        <v>92</v>
      </c>
      <c r="N599" s="184" t="s">
        <v>463</v>
      </c>
      <c r="O599" s="184" t="s">
        <v>598</v>
      </c>
      <c r="P599" s="184" t="s">
        <v>79</v>
      </c>
      <c r="Q599" s="184" t="s">
        <v>79</v>
      </c>
      <c r="R599" s="184" t="s">
        <v>598</v>
      </c>
      <c r="S599" s="172">
        <v>42996.326388888891</v>
      </c>
      <c r="T599" s="32" t="s">
        <v>552</v>
      </c>
    </row>
    <row r="600" spans="1:20">
      <c r="A600" s="184" t="s">
        <v>3556</v>
      </c>
      <c r="B600" s="184" t="s">
        <v>4328</v>
      </c>
      <c r="C600" s="127">
        <v>42885</v>
      </c>
      <c r="D600" s="184" t="s">
        <v>10</v>
      </c>
      <c r="E600" s="184" t="s">
        <v>598</v>
      </c>
      <c r="F600" s="185">
        <v>3000</v>
      </c>
      <c r="G600" s="184" t="s">
        <v>493</v>
      </c>
      <c r="H600" s="184" t="s">
        <v>598</v>
      </c>
      <c r="I600" s="185">
        <v>0</v>
      </c>
      <c r="J600" s="184" t="s">
        <v>598</v>
      </c>
      <c r="K600" s="127">
        <v>42802</v>
      </c>
      <c r="L600" s="184" t="s">
        <v>135</v>
      </c>
      <c r="M600" s="184" t="s">
        <v>92</v>
      </c>
      <c r="N600" s="184" t="s">
        <v>261</v>
      </c>
      <c r="O600" s="184" t="s">
        <v>598</v>
      </c>
      <c r="P600" s="184" t="s">
        <v>79</v>
      </c>
      <c r="Q600" s="184" t="s">
        <v>112</v>
      </c>
      <c r="R600" s="184" t="s">
        <v>598</v>
      </c>
      <c r="S600" s="172">
        <v>42996.326388888891</v>
      </c>
      <c r="T600" s="32" t="s">
        <v>552</v>
      </c>
    </row>
    <row r="601" spans="1:20">
      <c r="A601" s="184" t="s">
        <v>3557</v>
      </c>
      <c r="B601" s="184" t="s">
        <v>4329</v>
      </c>
      <c r="C601" s="127">
        <v>42860</v>
      </c>
      <c r="D601" s="184" t="s">
        <v>494</v>
      </c>
      <c r="E601" s="184" t="s">
        <v>598</v>
      </c>
      <c r="F601" s="185">
        <v>4000</v>
      </c>
      <c r="G601" s="184" t="s">
        <v>493</v>
      </c>
      <c r="H601" s="184" t="s">
        <v>598</v>
      </c>
      <c r="I601" s="185">
        <v>0</v>
      </c>
      <c r="J601" s="184" t="s">
        <v>598</v>
      </c>
      <c r="K601" s="127">
        <v>42842</v>
      </c>
      <c r="L601" s="184" t="s">
        <v>134</v>
      </c>
      <c r="M601" s="184" t="s">
        <v>92</v>
      </c>
      <c r="N601" s="184" t="s">
        <v>1870</v>
      </c>
      <c r="O601" s="184" t="s">
        <v>598</v>
      </c>
      <c r="P601" s="184" t="s">
        <v>79</v>
      </c>
      <c r="Q601" s="184" t="s">
        <v>79</v>
      </c>
      <c r="R601" s="184" t="s">
        <v>598</v>
      </c>
      <c r="S601" s="172">
        <v>42996.326388888891</v>
      </c>
      <c r="T601" s="32" t="s">
        <v>552</v>
      </c>
    </row>
    <row r="602" spans="1:20">
      <c r="A602" s="184" t="s">
        <v>3559</v>
      </c>
      <c r="B602" s="184" t="s">
        <v>4330</v>
      </c>
      <c r="C602" s="127">
        <v>42867</v>
      </c>
      <c r="D602" s="184" t="s">
        <v>10</v>
      </c>
      <c r="E602" s="184" t="s">
        <v>598</v>
      </c>
      <c r="F602" s="185">
        <v>5000</v>
      </c>
      <c r="G602" s="184" t="s">
        <v>493</v>
      </c>
      <c r="H602" s="184" t="s">
        <v>598</v>
      </c>
      <c r="I602" s="185">
        <v>0</v>
      </c>
      <c r="J602" s="184" t="s">
        <v>598</v>
      </c>
      <c r="K602" s="127">
        <v>42842</v>
      </c>
      <c r="L602" s="184" t="s">
        <v>134</v>
      </c>
      <c r="M602" s="184" t="s">
        <v>92</v>
      </c>
      <c r="N602" s="184" t="s">
        <v>377</v>
      </c>
      <c r="O602" s="184" t="s">
        <v>598</v>
      </c>
      <c r="P602" s="184" t="s">
        <v>79</v>
      </c>
      <c r="Q602" s="184" t="s">
        <v>79</v>
      </c>
      <c r="R602" s="184" t="s">
        <v>598</v>
      </c>
      <c r="S602" s="172">
        <v>42996.326388888891</v>
      </c>
      <c r="T602" s="32" t="s">
        <v>552</v>
      </c>
    </row>
    <row r="603" spans="1:20">
      <c r="A603" s="184" t="s">
        <v>3561</v>
      </c>
      <c r="B603" s="184" t="s">
        <v>4331</v>
      </c>
      <c r="C603" s="127">
        <v>42866</v>
      </c>
      <c r="D603" s="184" t="s">
        <v>34</v>
      </c>
      <c r="E603" s="184" t="s">
        <v>598</v>
      </c>
      <c r="F603" s="185">
        <v>2500</v>
      </c>
      <c r="G603" s="184" t="s">
        <v>493</v>
      </c>
      <c r="H603" s="184" t="s">
        <v>598</v>
      </c>
      <c r="I603" s="185">
        <v>0</v>
      </c>
      <c r="J603" s="184" t="s">
        <v>598</v>
      </c>
      <c r="K603" s="127">
        <v>42849</v>
      </c>
      <c r="L603" s="184" t="s">
        <v>134</v>
      </c>
      <c r="M603" s="184" t="s">
        <v>92</v>
      </c>
      <c r="N603" s="184" t="s">
        <v>598</v>
      </c>
      <c r="O603" s="184" t="s">
        <v>29</v>
      </c>
      <c r="P603" s="184" t="s">
        <v>79</v>
      </c>
      <c r="Q603" s="184" t="s">
        <v>112</v>
      </c>
      <c r="R603" s="184" t="s">
        <v>598</v>
      </c>
      <c r="S603" s="172">
        <v>42996.326388888891</v>
      </c>
      <c r="T603" s="32" t="s">
        <v>552</v>
      </c>
    </row>
    <row r="604" spans="1:20">
      <c r="A604" s="184" t="s">
        <v>3563</v>
      </c>
      <c r="B604" s="184" t="s">
        <v>4332</v>
      </c>
      <c r="C604" s="127">
        <v>42858</v>
      </c>
      <c r="D604" s="184" t="s">
        <v>34</v>
      </c>
      <c r="E604" s="184" t="s">
        <v>598</v>
      </c>
      <c r="F604" s="185">
        <v>5000</v>
      </c>
      <c r="G604" s="184" t="s">
        <v>493</v>
      </c>
      <c r="H604" s="184" t="s">
        <v>598</v>
      </c>
      <c r="I604" s="185">
        <v>0</v>
      </c>
      <c r="J604" s="184" t="s">
        <v>598</v>
      </c>
      <c r="K604" s="127">
        <v>42849</v>
      </c>
      <c r="L604" s="184" t="s">
        <v>134</v>
      </c>
      <c r="M604" s="184" t="s">
        <v>92</v>
      </c>
      <c r="N604" s="184" t="s">
        <v>316</v>
      </c>
      <c r="O604" s="184" t="s">
        <v>598</v>
      </c>
      <c r="P604" s="184" t="s">
        <v>79</v>
      </c>
      <c r="Q604" s="184" t="s">
        <v>112</v>
      </c>
      <c r="R604" s="184" t="s">
        <v>598</v>
      </c>
      <c r="S604" s="172">
        <v>42996.326388888891</v>
      </c>
      <c r="T604" s="32" t="s">
        <v>552</v>
      </c>
    </row>
    <row r="605" spans="1:20">
      <c r="A605" s="184" t="s">
        <v>3565</v>
      </c>
      <c r="B605" s="184" t="s">
        <v>4333</v>
      </c>
      <c r="C605" s="127">
        <v>42858</v>
      </c>
      <c r="D605" s="184" t="s">
        <v>10</v>
      </c>
      <c r="E605" s="184" t="s">
        <v>598</v>
      </c>
      <c r="F605" s="185">
        <v>15000</v>
      </c>
      <c r="G605" s="184" t="s">
        <v>493</v>
      </c>
      <c r="H605" s="184" t="s">
        <v>598</v>
      </c>
      <c r="I605" s="185">
        <v>0</v>
      </c>
      <c r="J605" s="184" t="s">
        <v>598</v>
      </c>
      <c r="K605" s="127">
        <v>42850</v>
      </c>
      <c r="L605" s="184" t="s">
        <v>115</v>
      </c>
      <c r="M605" s="184" t="s">
        <v>92</v>
      </c>
      <c r="N605" s="184" t="s">
        <v>3567</v>
      </c>
      <c r="O605" s="184" t="s">
        <v>598</v>
      </c>
      <c r="P605" s="184" t="s">
        <v>79</v>
      </c>
      <c r="Q605" s="184" t="s">
        <v>112</v>
      </c>
      <c r="R605" s="184" t="s">
        <v>598</v>
      </c>
      <c r="S605" s="172">
        <v>42996.326388888891</v>
      </c>
      <c r="T605" s="32" t="s">
        <v>552</v>
      </c>
    </row>
    <row r="606" spans="1:20">
      <c r="A606" s="184" t="s">
        <v>3568</v>
      </c>
      <c r="B606" s="184" t="s">
        <v>4334</v>
      </c>
      <c r="C606" s="127">
        <v>42871</v>
      </c>
      <c r="D606" s="184" t="s">
        <v>34</v>
      </c>
      <c r="E606" s="184" t="s">
        <v>598</v>
      </c>
      <c r="F606" s="185">
        <v>2000</v>
      </c>
      <c r="G606" s="184" t="s">
        <v>493</v>
      </c>
      <c r="H606" s="184" t="s">
        <v>598</v>
      </c>
      <c r="I606" s="185">
        <v>0</v>
      </c>
      <c r="J606" s="184" t="s">
        <v>598</v>
      </c>
      <c r="K606" s="127">
        <v>42852</v>
      </c>
      <c r="L606" s="184" t="s">
        <v>118</v>
      </c>
      <c r="M606" s="184" t="s">
        <v>92</v>
      </c>
      <c r="N606" s="184" t="s">
        <v>186</v>
      </c>
      <c r="O606" s="184" t="s">
        <v>598</v>
      </c>
      <c r="P606" s="184" t="s">
        <v>79</v>
      </c>
      <c r="Q606" s="184" t="s">
        <v>79</v>
      </c>
      <c r="R606" s="184" t="s">
        <v>598</v>
      </c>
      <c r="S606" s="172">
        <v>42996.326388888891</v>
      </c>
      <c r="T606" s="32" t="s">
        <v>552</v>
      </c>
    </row>
    <row r="607" spans="1:20">
      <c r="A607" s="184" t="s">
        <v>3570</v>
      </c>
      <c r="B607" s="184" t="s">
        <v>4335</v>
      </c>
      <c r="C607" s="127">
        <v>42866</v>
      </c>
      <c r="D607" s="184" t="s">
        <v>34</v>
      </c>
      <c r="E607" s="184" t="s">
        <v>598</v>
      </c>
      <c r="F607" s="185">
        <v>2500</v>
      </c>
      <c r="G607" s="184" t="s">
        <v>493</v>
      </c>
      <c r="H607" s="184" t="s">
        <v>598</v>
      </c>
      <c r="I607" s="185">
        <v>0</v>
      </c>
      <c r="J607" s="184" t="s">
        <v>598</v>
      </c>
      <c r="K607" s="127">
        <v>42852</v>
      </c>
      <c r="L607" s="184" t="s">
        <v>134</v>
      </c>
      <c r="M607" s="184" t="s">
        <v>92</v>
      </c>
      <c r="N607" s="184" t="s">
        <v>403</v>
      </c>
      <c r="O607" s="184" t="s">
        <v>29</v>
      </c>
      <c r="P607" s="184" t="s">
        <v>79</v>
      </c>
      <c r="Q607" s="184" t="s">
        <v>112</v>
      </c>
      <c r="R607" s="184" t="s">
        <v>598</v>
      </c>
      <c r="S607" s="172">
        <v>42996.326388888891</v>
      </c>
      <c r="T607" s="32" t="s">
        <v>552</v>
      </c>
    </row>
    <row r="608" spans="1:20">
      <c r="A608" s="184" t="s">
        <v>3572</v>
      </c>
      <c r="B608" s="184" t="s">
        <v>4336</v>
      </c>
      <c r="C608" s="127">
        <v>42856</v>
      </c>
      <c r="D608" s="184" t="s">
        <v>34</v>
      </c>
      <c r="E608" s="184" t="s">
        <v>598</v>
      </c>
      <c r="F608" s="185">
        <v>6000</v>
      </c>
      <c r="G608" s="184" t="s">
        <v>493</v>
      </c>
      <c r="H608" s="184" t="s">
        <v>598</v>
      </c>
      <c r="I608" s="185">
        <v>0</v>
      </c>
      <c r="J608" s="184" t="s">
        <v>598</v>
      </c>
      <c r="K608" s="127">
        <v>42853</v>
      </c>
      <c r="L608" s="184" t="s">
        <v>134</v>
      </c>
      <c r="M608" s="184" t="s">
        <v>92</v>
      </c>
      <c r="N608" s="184" t="s">
        <v>40</v>
      </c>
      <c r="O608" s="184" t="s">
        <v>598</v>
      </c>
      <c r="P608" s="184" t="s">
        <v>79</v>
      </c>
      <c r="Q608" s="184" t="s">
        <v>112</v>
      </c>
      <c r="R608" s="184" t="s">
        <v>598</v>
      </c>
      <c r="S608" s="172">
        <v>42996.326388888891</v>
      </c>
      <c r="T608" s="32" t="s">
        <v>552</v>
      </c>
    </row>
    <row r="609" spans="1:20">
      <c r="A609" s="184" t="s">
        <v>3574</v>
      </c>
      <c r="B609" s="184" t="s">
        <v>4337</v>
      </c>
      <c r="C609" s="127">
        <v>42872</v>
      </c>
      <c r="D609" s="184" t="s">
        <v>10</v>
      </c>
      <c r="E609" s="184" t="s">
        <v>598</v>
      </c>
      <c r="F609" s="185">
        <v>4000</v>
      </c>
      <c r="G609" s="184" t="s">
        <v>493</v>
      </c>
      <c r="H609" s="184" t="s">
        <v>598</v>
      </c>
      <c r="I609" s="185">
        <v>0</v>
      </c>
      <c r="J609" s="184" t="s">
        <v>598</v>
      </c>
      <c r="K609" s="127">
        <v>42854</v>
      </c>
      <c r="L609" s="184" t="s">
        <v>134</v>
      </c>
      <c r="M609" s="184" t="s">
        <v>92</v>
      </c>
      <c r="N609" s="184" t="s">
        <v>180</v>
      </c>
      <c r="O609" s="184" t="s">
        <v>598</v>
      </c>
      <c r="P609" s="184" t="s">
        <v>79</v>
      </c>
      <c r="Q609" s="184" t="s">
        <v>112</v>
      </c>
      <c r="R609" s="184" t="s">
        <v>598</v>
      </c>
      <c r="S609" s="172">
        <v>42996.326388888891</v>
      </c>
      <c r="T609" s="32" t="s">
        <v>552</v>
      </c>
    </row>
    <row r="610" spans="1:20">
      <c r="A610" s="184" t="s">
        <v>3576</v>
      </c>
      <c r="B610" s="184" t="s">
        <v>4338</v>
      </c>
      <c r="C610" s="127">
        <v>42874</v>
      </c>
      <c r="D610" s="184" t="s">
        <v>494</v>
      </c>
      <c r="E610" s="184" t="s">
        <v>598</v>
      </c>
      <c r="F610" s="185">
        <v>3000</v>
      </c>
      <c r="G610" s="184" t="s">
        <v>493</v>
      </c>
      <c r="H610" s="184" t="s">
        <v>598</v>
      </c>
      <c r="I610" s="185">
        <v>0</v>
      </c>
      <c r="J610" s="184" t="s">
        <v>598</v>
      </c>
      <c r="K610" s="127">
        <v>42854</v>
      </c>
      <c r="L610" s="184" t="s">
        <v>134</v>
      </c>
      <c r="M610" s="184" t="s">
        <v>92</v>
      </c>
      <c r="N610" s="184" t="s">
        <v>196</v>
      </c>
      <c r="O610" s="184" t="s">
        <v>598</v>
      </c>
      <c r="P610" s="184" t="s">
        <v>79</v>
      </c>
      <c r="Q610" s="184" t="s">
        <v>79</v>
      </c>
      <c r="R610" s="184" t="s">
        <v>598</v>
      </c>
      <c r="S610" s="172">
        <v>42996.326388888891</v>
      </c>
      <c r="T610" s="32" t="s">
        <v>552</v>
      </c>
    </row>
    <row r="611" spans="1:20">
      <c r="A611" s="184" t="s">
        <v>3578</v>
      </c>
      <c r="B611" s="184" t="s">
        <v>4339</v>
      </c>
      <c r="C611" s="127">
        <v>42866</v>
      </c>
      <c r="D611" s="184" t="s">
        <v>34</v>
      </c>
      <c r="E611" s="184" t="s">
        <v>598</v>
      </c>
      <c r="F611" s="185">
        <v>2500</v>
      </c>
      <c r="G611" s="184" t="s">
        <v>493</v>
      </c>
      <c r="H611" s="184" t="s">
        <v>598</v>
      </c>
      <c r="I611" s="185">
        <v>0</v>
      </c>
      <c r="J611" s="184" t="s">
        <v>598</v>
      </c>
      <c r="K611" s="127">
        <v>42854</v>
      </c>
      <c r="L611" s="184" t="s">
        <v>135</v>
      </c>
      <c r="M611" s="184" t="s">
        <v>92</v>
      </c>
      <c r="N611" s="184" t="s">
        <v>467</v>
      </c>
      <c r="O611" s="184" t="s">
        <v>598</v>
      </c>
      <c r="P611" s="184" t="s">
        <v>79</v>
      </c>
      <c r="Q611" s="184" t="s">
        <v>79</v>
      </c>
      <c r="R611" s="184" t="s">
        <v>598</v>
      </c>
      <c r="S611" s="172">
        <v>42996.326388888891</v>
      </c>
      <c r="T611" s="32" t="s">
        <v>552</v>
      </c>
    </row>
    <row r="612" spans="1:20">
      <c r="A612" s="184" t="s">
        <v>3580</v>
      </c>
      <c r="B612" s="184" t="s">
        <v>4340</v>
      </c>
      <c r="C612" s="127">
        <v>42863</v>
      </c>
      <c r="D612" s="184" t="s">
        <v>10</v>
      </c>
      <c r="E612" s="184" t="s">
        <v>598</v>
      </c>
      <c r="F612" s="185">
        <v>3500</v>
      </c>
      <c r="G612" s="184" t="s">
        <v>493</v>
      </c>
      <c r="H612" s="184" t="s">
        <v>598</v>
      </c>
      <c r="I612" s="185">
        <v>0</v>
      </c>
      <c r="J612" s="184" t="s">
        <v>598</v>
      </c>
      <c r="K612" s="127">
        <v>42859</v>
      </c>
      <c r="L612" s="184" t="s">
        <v>135</v>
      </c>
      <c r="M612" s="184" t="s">
        <v>97</v>
      </c>
      <c r="N612" s="184" t="s">
        <v>468</v>
      </c>
      <c r="O612" s="184" t="s">
        <v>598</v>
      </c>
      <c r="P612" s="184" t="s">
        <v>30</v>
      </c>
      <c r="Q612" s="184" t="s">
        <v>30</v>
      </c>
      <c r="R612" s="184" t="s">
        <v>598</v>
      </c>
      <c r="S612" s="172">
        <v>42996.326388888891</v>
      </c>
      <c r="T612" s="32" t="s">
        <v>552</v>
      </c>
    </row>
    <row r="613" spans="1:20">
      <c r="A613" s="184" t="s">
        <v>3582</v>
      </c>
      <c r="B613" s="184" t="s">
        <v>4341</v>
      </c>
      <c r="C613" s="127">
        <v>42878</v>
      </c>
      <c r="D613" s="184" t="s">
        <v>10</v>
      </c>
      <c r="E613" s="184" t="s">
        <v>598</v>
      </c>
      <c r="F613" s="185">
        <v>3000</v>
      </c>
      <c r="G613" s="184" t="s">
        <v>493</v>
      </c>
      <c r="H613" s="184" t="s">
        <v>598</v>
      </c>
      <c r="I613" s="185">
        <v>0</v>
      </c>
      <c r="J613" s="184" t="s">
        <v>598</v>
      </c>
      <c r="K613" s="127">
        <v>42856</v>
      </c>
      <c r="L613" s="184" t="s">
        <v>598</v>
      </c>
      <c r="M613" s="184" t="s">
        <v>102</v>
      </c>
      <c r="N613" s="184" t="s">
        <v>245</v>
      </c>
      <c r="O613" s="184" t="s">
        <v>598</v>
      </c>
      <c r="P613" s="184" t="s">
        <v>63</v>
      </c>
      <c r="Q613" s="184" t="s">
        <v>63</v>
      </c>
      <c r="R613" s="184" t="s">
        <v>598</v>
      </c>
      <c r="S613" s="172">
        <v>42996.326388888891</v>
      </c>
      <c r="T613" s="32" t="s">
        <v>552</v>
      </c>
    </row>
    <row r="614" spans="1:20">
      <c r="A614" s="184" t="s">
        <v>3584</v>
      </c>
      <c r="B614" s="184" t="s">
        <v>4342</v>
      </c>
      <c r="C614" s="127">
        <v>42857</v>
      </c>
      <c r="D614" s="184" t="s">
        <v>10</v>
      </c>
      <c r="E614" s="184" t="s">
        <v>598</v>
      </c>
      <c r="F614" s="185">
        <v>2000</v>
      </c>
      <c r="G614" s="184" t="s">
        <v>493</v>
      </c>
      <c r="H614" s="184" t="s">
        <v>598</v>
      </c>
      <c r="I614" s="185">
        <v>0</v>
      </c>
      <c r="J614" s="184" t="s">
        <v>598</v>
      </c>
      <c r="K614" s="127">
        <v>42856</v>
      </c>
      <c r="L614" s="184" t="s">
        <v>598</v>
      </c>
      <c r="M614" s="184" t="s">
        <v>102</v>
      </c>
      <c r="N614" s="184" t="s">
        <v>233</v>
      </c>
      <c r="O614" s="184" t="s">
        <v>598</v>
      </c>
      <c r="P614" s="184" t="s">
        <v>63</v>
      </c>
      <c r="Q614" s="184" t="s">
        <v>63</v>
      </c>
      <c r="R614" s="184" t="s">
        <v>598</v>
      </c>
      <c r="S614" s="172">
        <v>42996.326388888891</v>
      </c>
      <c r="T614" s="32" t="s">
        <v>552</v>
      </c>
    </row>
    <row r="615" spans="1:20">
      <c r="A615" s="184" t="s">
        <v>3586</v>
      </c>
      <c r="B615" s="184" t="s">
        <v>4343</v>
      </c>
      <c r="C615" s="127">
        <v>42861</v>
      </c>
      <c r="D615" s="184" t="s">
        <v>10</v>
      </c>
      <c r="E615" s="184" t="s">
        <v>598</v>
      </c>
      <c r="F615" s="185">
        <v>3000</v>
      </c>
      <c r="G615" s="184" t="s">
        <v>493</v>
      </c>
      <c r="H615" s="184" t="s">
        <v>598</v>
      </c>
      <c r="I615" s="185">
        <v>0</v>
      </c>
      <c r="J615" s="184" t="s">
        <v>598</v>
      </c>
      <c r="K615" s="127">
        <v>42856</v>
      </c>
      <c r="L615" s="184" t="s">
        <v>598</v>
      </c>
      <c r="M615" s="184" t="s">
        <v>102</v>
      </c>
      <c r="N615" s="184" t="s">
        <v>169</v>
      </c>
      <c r="O615" s="184" t="s">
        <v>598</v>
      </c>
      <c r="P615" s="184" t="s">
        <v>63</v>
      </c>
      <c r="Q615" s="184" t="s">
        <v>63</v>
      </c>
      <c r="R615" s="184" t="s">
        <v>598</v>
      </c>
      <c r="S615" s="172">
        <v>42996.326388888891</v>
      </c>
      <c r="T615" s="32" t="s">
        <v>552</v>
      </c>
    </row>
    <row r="616" spans="1:20">
      <c r="A616" s="184" t="s">
        <v>3588</v>
      </c>
      <c r="B616" s="184" t="s">
        <v>4344</v>
      </c>
      <c r="C616" s="127">
        <v>42861</v>
      </c>
      <c r="D616" s="184" t="s">
        <v>10</v>
      </c>
      <c r="E616" s="184" t="s">
        <v>598</v>
      </c>
      <c r="F616" s="185">
        <v>3000</v>
      </c>
      <c r="G616" s="184" t="s">
        <v>493</v>
      </c>
      <c r="H616" s="184" t="s">
        <v>598</v>
      </c>
      <c r="I616" s="185">
        <v>0</v>
      </c>
      <c r="J616" s="184" t="s">
        <v>598</v>
      </c>
      <c r="K616" s="127">
        <v>42856</v>
      </c>
      <c r="L616" s="184" t="s">
        <v>598</v>
      </c>
      <c r="M616" s="184" t="s">
        <v>102</v>
      </c>
      <c r="N616" s="184" t="s">
        <v>169</v>
      </c>
      <c r="O616" s="184" t="s">
        <v>598</v>
      </c>
      <c r="P616" s="184" t="s">
        <v>63</v>
      </c>
      <c r="Q616" s="184" t="s">
        <v>63</v>
      </c>
      <c r="R616" s="184" t="s">
        <v>598</v>
      </c>
      <c r="S616" s="172">
        <v>42996.326388888891</v>
      </c>
      <c r="T616" s="32" t="s">
        <v>552</v>
      </c>
    </row>
    <row r="617" spans="1:20">
      <c r="A617" s="184" t="s">
        <v>3589</v>
      </c>
      <c r="B617" s="184" t="s">
        <v>4345</v>
      </c>
      <c r="C617" s="127">
        <v>42861</v>
      </c>
      <c r="D617" s="184" t="s">
        <v>10</v>
      </c>
      <c r="E617" s="184" t="s">
        <v>598</v>
      </c>
      <c r="F617" s="185">
        <v>3000</v>
      </c>
      <c r="G617" s="184" t="s">
        <v>493</v>
      </c>
      <c r="H617" s="184" t="s">
        <v>598</v>
      </c>
      <c r="I617" s="185">
        <v>0</v>
      </c>
      <c r="J617" s="184" t="s">
        <v>598</v>
      </c>
      <c r="K617" s="127">
        <v>42856</v>
      </c>
      <c r="L617" s="184" t="s">
        <v>598</v>
      </c>
      <c r="M617" s="184" t="s">
        <v>102</v>
      </c>
      <c r="N617" s="184" t="s">
        <v>169</v>
      </c>
      <c r="O617" s="184" t="s">
        <v>598</v>
      </c>
      <c r="P617" s="184" t="s">
        <v>63</v>
      </c>
      <c r="Q617" s="184" t="s">
        <v>63</v>
      </c>
      <c r="R617" s="184" t="s">
        <v>598</v>
      </c>
      <c r="S617" s="172">
        <v>42996.326388888891</v>
      </c>
      <c r="T617" s="32" t="s">
        <v>552</v>
      </c>
    </row>
    <row r="618" spans="1:20">
      <c r="A618" s="184" t="s">
        <v>3590</v>
      </c>
      <c r="B618" s="184" t="s">
        <v>4346</v>
      </c>
      <c r="C618" s="127">
        <v>42859</v>
      </c>
      <c r="D618" s="184" t="s">
        <v>34</v>
      </c>
      <c r="E618" s="184" t="s">
        <v>598</v>
      </c>
      <c r="F618" s="185">
        <v>3000</v>
      </c>
      <c r="G618" s="184" t="s">
        <v>493</v>
      </c>
      <c r="H618" s="184" t="s">
        <v>598</v>
      </c>
      <c r="I618" s="185">
        <v>0</v>
      </c>
      <c r="J618" s="184" t="s">
        <v>598</v>
      </c>
      <c r="K618" s="127">
        <v>42856</v>
      </c>
      <c r="L618" s="184" t="s">
        <v>134</v>
      </c>
      <c r="M618" s="184" t="s">
        <v>102</v>
      </c>
      <c r="N618" s="184" t="s">
        <v>3592</v>
      </c>
      <c r="O618" s="184" t="s">
        <v>598</v>
      </c>
      <c r="P618" s="184" t="s">
        <v>63</v>
      </c>
      <c r="Q618" s="184" t="s">
        <v>86</v>
      </c>
      <c r="R618" s="184" t="s">
        <v>598</v>
      </c>
      <c r="S618" s="172">
        <v>42996.326388888891</v>
      </c>
      <c r="T618" s="32" t="s">
        <v>552</v>
      </c>
    </row>
    <row r="619" spans="1:20">
      <c r="A619" s="184" t="s">
        <v>3593</v>
      </c>
      <c r="B619" s="184" t="s">
        <v>4347</v>
      </c>
      <c r="C619" s="127">
        <v>42859</v>
      </c>
      <c r="D619" s="184" t="s">
        <v>34</v>
      </c>
      <c r="E619" s="184" t="s">
        <v>598</v>
      </c>
      <c r="F619" s="185">
        <v>5000</v>
      </c>
      <c r="G619" s="184" t="s">
        <v>493</v>
      </c>
      <c r="H619" s="184" t="s">
        <v>598</v>
      </c>
      <c r="I619" s="185">
        <v>0</v>
      </c>
      <c r="J619" s="184" t="s">
        <v>598</v>
      </c>
      <c r="K619" s="127">
        <v>42856</v>
      </c>
      <c r="L619" s="184" t="s">
        <v>134</v>
      </c>
      <c r="M619" s="184" t="s">
        <v>102</v>
      </c>
      <c r="N619" s="184" t="s">
        <v>3592</v>
      </c>
      <c r="O619" s="184" t="s">
        <v>598</v>
      </c>
      <c r="P619" s="184" t="s">
        <v>63</v>
      </c>
      <c r="Q619" s="184" t="s">
        <v>86</v>
      </c>
      <c r="R619" s="184" t="s">
        <v>598</v>
      </c>
      <c r="S619" s="172">
        <v>42996.326388888891</v>
      </c>
      <c r="T619" s="32" t="s">
        <v>552</v>
      </c>
    </row>
    <row r="620" spans="1:20">
      <c r="A620" s="184" t="s">
        <v>3594</v>
      </c>
      <c r="B620" s="184" t="s">
        <v>4348</v>
      </c>
      <c r="C620" s="127">
        <v>42857</v>
      </c>
      <c r="D620" s="184" t="s">
        <v>34</v>
      </c>
      <c r="E620" s="184" t="s">
        <v>598</v>
      </c>
      <c r="F620" s="185">
        <v>1000</v>
      </c>
      <c r="G620" s="184" t="s">
        <v>549</v>
      </c>
      <c r="H620" s="184">
        <v>2806</v>
      </c>
      <c r="I620" s="185">
        <v>7500</v>
      </c>
      <c r="J620" s="184" t="s">
        <v>493</v>
      </c>
      <c r="K620" s="127">
        <v>42857</v>
      </c>
      <c r="L620" s="184" t="s">
        <v>134</v>
      </c>
      <c r="M620" s="184" t="s">
        <v>102</v>
      </c>
      <c r="N620" s="184" t="s">
        <v>598</v>
      </c>
      <c r="O620" s="184" t="s">
        <v>598</v>
      </c>
      <c r="P620" s="184" t="s">
        <v>63</v>
      </c>
      <c r="Q620" s="184" t="s">
        <v>86</v>
      </c>
      <c r="R620" s="184" t="s">
        <v>598</v>
      </c>
      <c r="S620" s="172">
        <v>42996.326388888891</v>
      </c>
      <c r="T620" s="32" t="s">
        <v>552</v>
      </c>
    </row>
    <row r="621" spans="1:20">
      <c r="A621" s="184" t="s">
        <v>3595</v>
      </c>
      <c r="B621" s="184" t="s">
        <v>4349</v>
      </c>
      <c r="C621" s="127">
        <v>42871</v>
      </c>
      <c r="D621" s="184" t="s">
        <v>34</v>
      </c>
      <c r="E621" s="184" t="s">
        <v>598</v>
      </c>
      <c r="F621" s="185">
        <v>19000</v>
      </c>
      <c r="G621" s="184" t="s">
        <v>493</v>
      </c>
      <c r="H621" s="184" t="s">
        <v>598</v>
      </c>
      <c r="I621" s="185">
        <v>0</v>
      </c>
      <c r="J621" s="184" t="s">
        <v>598</v>
      </c>
      <c r="K621" s="127">
        <v>42857</v>
      </c>
      <c r="L621" s="184" t="s">
        <v>598</v>
      </c>
      <c r="M621" s="184" t="s">
        <v>102</v>
      </c>
      <c r="N621" s="184" t="s">
        <v>232</v>
      </c>
      <c r="O621" s="184" t="s">
        <v>598</v>
      </c>
      <c r="P621" s="184" t="s">
        <v>63</v>
      </c>
      <c r="Q621" s="184" t="s">
        <v>3021</v>
      </c>
      <c r="R621" s="184" t="s">
        <v>598</v>
      </c>
      <c r="S621" s="172">
        <v>42996.326388888891</v>
      </c>
      <c r="T621" s="32" t="s">
        <v>552</v>
      </c>
    </row>
    <row r="622" spans="1:20">
      <c r="A622" s="184" t="s">
        <v>3597</v>
      </c>
      <c r="B622" s="184" t="s">
        <v>4350</v>
      </c>
      <c r="C622" s="127">
        <v>42867</v>
      </c>
      <c r="D622" s="184" t="s">
        <v>34</v>
      </c>
      <c r="E622" s="184" t="s">
        <v>598</v>
      </c>
      <c r="F622" s="185">
        <v>3000</v>
      </c>
      <c r="G622" s="184" t="s">
        <v>493</v>
      </c>
      <c r="H622" s="184" t="s">
        <v>598</v>
      </c>
      <c r="I622" s="185">
        <v>0</v>
      </c>
      <c r="J622" s="184" t="s">
        <v>598</v>
      </c>
      <c r="K622" s="127">
        <v>42859</v>
      </c>
      <c r="L622" s="184" t="s">
        <v>598</v>
      </c>
      <c r="M622" s="184" t="s">
        <v>102</v>
      </c>
      <c r="N622" s="184" t="s">
        <v>233</v>
      </c>
      <c r="O622" s="184" t="s">
        <v>598</v>
      </c>
      <c r="P622" s="184" t="s">
        <v>63</v>
      </c>
      <c r="Q622" s="184" t="s">
        <v>63</v>
      </c>
      <c r="R622" s="184" t="s">
        <v>598</v>
      </c>
      <c r="S622" s="172">
        <v>42996.326388888891</v>
      </c>
      <c r="T622" s="32" t="s">
        <v>552</v>
      </c>
    </row>
    <row r="623" spans="1:20">
      <c r="A623" s="184" t="s">
        <v>3599</v>
      </c>
      <c r="B623" s="184" t="s">
        <v>4351</v>
      </c>
      <c r="C623" s="127">
        <v>42867</v>
      </c>
      <c r="D623" s="184" t="s">
        <v>34</v>
      </c>
      <c r="E623" s="184" t="s">
        <v>598</v>
      </c>
      <c r="F623" s="185">
        <v>3000</v>
      </c>
      <c r="G623" s="184" t="s">
        <v>493</v>
      </c>
      <c r="H623" s="184" t="s">
        <v>598</v>
      </c>
      <c r="I623" s="185">
        <v>0</v>
      </c>
      <c r="J623" s="184" t="s">
        <v>598</v>
      </c>
      <c r="K623" s="127">
        <v>42859</v>
      </c>
      <c r="L623" s="184" t="s">
        <v>598</v>
      </c>
      <c r="M623" s="184" t="s">
        <v>102</v>
      </c>
      <c r="N623" s="184" t="s">
        <v>233</v>
      </c>
      <c r="O623" s="184" t="s">
        <v>598</v>
      </c>
      <c r="P623" s="184" t="s">
        <v>63</v>
      </c>
      <c r="Q623" s="184" t="s">
        <v>63</v>
      </c>
      <c r="R623" s="184" t="s">
        <v>598</v>
      </c>
      <c r="S623" s="172">
        <v>42996.326388888891</v>
      </c>
      <c r="T623" s="32" t="s">
        <v>552</v>
      </c>
    </row>
    <row r="624" spans="1:20">
      <c r="A624" s="184" t="s">
        <v>3601</v>
      </c>
      <c r="B624" s="184" t="s">
        <v>4352</v>
      </c>
      <c r="C624" s="127">
        <v>42871</v>
      </c>
      <c r="D624" s="184" t="s">
        <v>34</v>
      </c>
      <c r="E624" s="184" t="s">
        <v>598</v>
      </c>
      <c r="F624" s="185">
        <v>4000</v>
      </c>
      <c r="G624" s="184" t="s">
        <v>493</v>
      </c>
      <c r="H624" s="184" t="s">
        <v>598</v>
      </c>
      <c r="I624" s="185">
        <v>0</v>
      </c>
      <c r="J624" s="184" t="s">
        <v>598</v>
      </c>
      <c r="K624" s="127">
        <v>42860</v>
      </c>
      <c r="L624" s="184" t="s">
        <v>134</v>
      </c>
      <c r="M624" s="184" t="s">
        <v>102</v>
      </c>
      <c r="N624" s="184" t="s">
        <v>233</v>
      </c>
      <c r="O624" s="184" t="s">
        <v>598</v>
      </c>
      <c r="P624" s="184" t="s">
        <v>63</v>
      </c>
      <c r="Q624" s="184" t="s">
        <v>86</v>
      </c>
      <c r="R624" s="184" t="s">
        <v>598</v>
      </c>
      <c r="S624" s="172">
        <v>42996.326388888891</v>
      </c>
      <c r="T624" s="32" t="s">
        <v>552</v>
      </c>
    </row>
    <row r="625" spans="1:20">
      <c r="A625" s="184" t="s">
        <v>3603</v>
      </c>
      <c r="B625" s="184" t="s">
        <v>4353</v>
      </c>
      <c r="C625" s="127">
        <v>42871</v>
      </c>
      <c r="D625" s="184" t="s">
        <v>34</v>
      </c>
      <c r="E625" s="184" t="s">
        <v>598</v>
      </c>
      <c r="F625" s="185">
        <v>5000</v>
      </c>
      <c r="G625" s="184" t="s">
        <v>493</v>
      </c>
      <c r="H625" s="184" t="s">
        <v>598</v>
      </c>
      <c r="I625" s="185">
        <v>0</v>
      </c>
      <c r="J625" s="184" t="s">
        <v>598</v>
      </c>
      <c r="K625" s="127">
        <v>42860</v>
      </c>
      <c r="L625" s="184" t="s">
        <v>134</v>
      </c>
      <c r="M625" s="184" t="s">
        <v>102</v>
      </c>
      <c r="N625" s="184" t="s">
        <v>233</v>
      </c>
      <c r="O625" s="184" t="s">
        <v>598</v>
      </c>
      <c r="P625" s="184" t="s">
        <v>63</v>
      </c>
      <c r="Q625" s="184" t="s">
        <v>86</v>
      </c>
      <c r="R625" s="184" t="s">
        <v>598</v>
      </c>
      <c r="S625" s="172">
        <v>42996.326388888891</v>
      </c>
      <c r="T625" s="32" t="s">
        <v>552</v>
      </c>
    </row>
    <row r="626" spans="1:20">
      <c r="A626" s="184" t="s">
        <v>3605</v>
      </c>
      <c r="B626" s="184" t="s">
        <v>4354</v>
      </c>
      <c r="C626" s="127">
        <v>42875</v>
      </c>
      <c r="D626" s="184" t="s">
        <v>34</v>
      </c>
      <c r="E626" s="184" t="s">
        <v>598</v>
      </c>
      <c r="F626" s="185">
        <v>4000</v>
      </c>
      <c r="G626" s="184" t="s">
        <v>493</v>
      </c>
      <c r="H626" s="184" t="s">
        <v>598</v>
      </c>
      <c r="I626" s="185">
        <v>0</v>
      </c>
      <c r="J626" s="184" t="s">
        <v>598</v>
      </c>
      <c r="K626" s="127">
        <v>42861</v>
      </c>
      <c r="L626" s="184" t="s">
        <v>598</v>
      </c>
      <c r="M626" s="184" t="s">
        <v>102</v>
      </c>
      <c r="N626" s="184" t="s">
        <v>217</v>
      </c>
      <c r="O626" s="184" t="s">
        <v>598</v>
      </c>
      <c r="P626" s="184" t="s">
        <v>63</v>
      </c>
      <c r="Q626" s="184" t="s">
        <v>63</v>
      </c>
      <c r="R626" s="184" t="s">
        <v>598</v>
      </c>
      <c r="S626" s="172">
        <v>42996.326388888891</v>
      </c>
      <c r="T626" s="32" t="s">
        <v>552</v>
      </c>
    </row>
    <row r="627" spans="1:20">
      <c r="A627" s="184" t="s">
        <v>3606</v>
      </c>
      <c r="B627" s="184" t="s">
        <v>4355</v>
      </c>
      <c r="C627" s="127">
        <v>42865</v>
      </c>
      <c r="D627" s="184" t="s">
        <v>34</v>
      </c>
      <c r="E627" s="184" t="s">
        <v>598</v>
      </c>
      <c r="F627" s="185">
        <v>1000</v>
      </c>
      <c r="G627" s="184" t="s">
        <v>493</v>
      </c>
      <c r="H627" s="184" t="s">
        <v>598</v>
      </c>
      <c r="I627" s="185">
        <v>0</v>
      </c>
      <c r="J627" s="184" t="s">
        <v>598</v>
      </c>
      <c r="K627" s="127">
        <v>42861</v>
      </c>
      <c r="L627" s="184" t="s">
        <v>598</v>
      </c>
      <c r="M627" s="184" t="s">
        <v>102</v>
      </c>
      <c r="N627" s="184" t="s">
        <v>183</v>
      </c>
      <c r="O627" s="184" t="s">
        <v>598</v>
      </c>
      <c r="P627" s="184" t="s">
        <v>63</v>
      </c>
      <c r="Q627" s="184" t="s">
        <v>86</v>
      </c>
      <c r="R627" s="184" t="s">
        <v>598</v>
      </c>
      <c r="S627" s="172">
        <v>42996.326388888891</v>
      </c>
      <c r="T627" s="32" t="s">
        <v>552</v>
      </c>
    </row>
    <row r="628" spans="1:20">
      <c r="A628" s="184" t="s">
        <v>3608</v>
      </c>
      <c r="B628" s="184" t="s">
        <v>4356</v>
      </c>
      <c r="C628" s="127">
        <v>42874</v>
      </c>
      <c r="D628" s="184" t="s">
        <v>34</v>
      </c>
      <c r="E628" s="184" t="s">
        <v>598</v>
      </c>
      <c r="F628" s="185">
        <v>8000</v>
      </c>
      <c r="G628" s="184" t="s">
        <v>493</v>
      </c>
      <c r="H628" s="184" t="s">
        <v>598</v>
      </c>
      <c r="I628" s="185">
        <v>0</v>
      </c>
      <c r="J628" s="184" t="s">
        <v>598</v>
      </c>
      <c r="K628" s="127">
        <v>42861</v>
      </c>
      <c r="L628" s="184" t="s">
        <v>598</v>
      </c>
      <c r="M628" s="184" t="s">
        <v>102</v>
      </c>
      <c r="N628" s="184" t="s">
        <v>233</v>
      </c>
      <c r="O628" s="184" t="s">
        <v>598</v>
      </c>
      <c r="P628" s="184" t="s">
        <v>63</v>
      </c>
      <c r="Q628" s="184" t="s">
        <v>63</v>
      </c>
      <c r="R628" s="184" t="s">
        <v>598</v>
      </c>
      <c r="S628" s="172">
        <v>42996.326388888891</v>
      </c>
      <c r="T628" s="32" t="s">
        <v>552</v>
      </c>
    </row>
    <row r="629" spans="1:20">
      <c r="A629" s="184" t="s">
        <v>3610</v>
      </c>
      <c r="B629" s="184" t="s">
        <v>4357</v>
      </c>
      <c r="C629" s="127">
        <v>42877</v>
      </c>
      <c r="D629" s="184" t="s">
        <v>10</v>
      </c>
      <c r="E629" s="184" t="s">
        <v>598</v>
      </c>
      <c r="F629" s="185">
        <v>3500</v>
      </c>
      <c r="G629" s="184" t="s">
        <v>493</v>
      </c>
      <c r="H629" s="184" t="s">
        <v>598</v>
      </c>
      <c r="I629" s="185">
        <v>0</v>
      </c>
      <c r="J629" s="184" t="s">
        <v>598</v>
      </c>
      <c r="K629" s="127">
        <v>42863</v>
      </c>
      <c r="L629" s="184" t="s">
        <v>135</v>
      </c>
      <c r="M629" s="184" t="s">
        <v>102</v>
      </c>
      <c r="N629" s="184" t="s">
        <v>233</v>
      </c>
      <c r="O629" s="184" t="s">
        <v>598</v>
      </c>
      <c r="P629" s="184" t="s">
        <v>63</v>
      </c>
      <c r="Q629" s="184" t="s">
        <v>63</v>
      </c>
      <c r="R629" s="184" t="s">
        <v>598</v>
      </c>
      <c r="S629" s="172">
        <v>42996.326388888891</v>
      </c>
      <c r="T629" s="32" t="s">
        <v>552</v>
      </c>
    </row>
    <row r="630" spans="1:20">
      <c r="A630" s="184" t="s">
        <v>3612</v>
      </c>
      <c r="B630" s="184" t="s">
        <v>4358</v>
      </c>
      <c r="C630" s="127">
        <v>42873</v>
      </c>
      <c r="D630" s="184" t="s">
        <v>34</v>
      </c>
      <c r="E630" s="184" t="s">
        <v>598</v>
      </c>
      <c r="F630" s="185">
        <v>4500</v>
      </c>
      <c r="G630" s="184" t="s">
        <v>493</v>
      </c>
      <c r="H630" s="184" t="s">
        <v>598</v>
      </c>
      <c r="I630" s="185">
        <v>0</v>
      </c>
      <c r="J630" s="184" t="s">
        <v>598</v>
      </c>
      <c r="K630" s="127">
        <v>42863</v>
      </c>
      <c r="L630" s="184" t="s">
        <v>598</v>
      </c>
      <c r="M630" s="184" t="s">
        <v>102</v>
      </c>
      <c r="N630" s="184" t="s">
        <v>233</v>
      </c>
      <c r="O630" s="184" t="s">
        <v>598</v>
      </c>
      <c r="P630" s="184" t="s">
        <v>63</v>
      </c>
      <c r="Q630" s="184" t="s">
        <v>86</v>
      </c>
      <c r="R630" s="184" t="s">
        <v>598</v>
      </c>
      <c r="S630" s="172">
        <v>42996.326388888891</v>
      </c>
      <c r="T630" s="32" t="s">
        <v>552</v>
      </c>
    </row>
    <row r="631" spans="1:20">
      <c r="A631" s="184" t="s">
        <v>3613</v>
      </c>
      <c r="B631" s="184" t="s">
        <v>4359</v>
      </c>
      <c r="C631" s="127">
        <v>42867</v>
      </c>
      <c r="D631" s="184" t="s">
        <v>34</v>
      </c>
      <c r="E631" s="184" t="s">
        <v>598</v>
      </c>
      <c r="F631" s="185">
        <v>3000</v>
      </c>
      <c r="G631" s="184" t="s">
        <v>493</v>
      </c>
      <c r="H631" s="184" t="s">
        <v>598</v>
      </c>
      <c r="I631" s="185">
        <v>0</v>
      </c>
      <c r="J631" s="184" t="s">
        <v>598</v>
      </c>
      <c r="K631" s="127">
        <v>42863</v>
      </c>
      <c r="L631" s="184" t="s">
        <v>598</v>
      </c>
      <c r="M631" s="184" t="s">
        <v>102</v>
      </c>
      <c r="N631" s="184" t="s">
        <v>3615</v>
      </c>
      <c r="O631" s="184" t="s">
        <v>598</v>
      </c>
      <c r="P631" s="184" t="s">
        <v>63</v>
      </c>
      <c r="Q631" s="184" t="s">
        <v>63</v>
      </c>
      <c r="R631" s="184" t="s">
        <v>598</v>
      </c>
      <c r="S631" s="172">
        <v>42996.326388888891</v>
      </c>
      <c r="T631" s="32" t="s">
        <v>552</v>
      </c>
    </row>
    <row r="632" spans="1:20">
      <c r="A632" s="184" t="s">
        <v>3616</v>
      </c>
      <c r="B632" s="184" t="s">
        <v>4360</v>
      </c>
      <c r="C632" s="127">
        <v>42868</v>
      </c>
      <c r="D632" s="184" t="s">
        <v>34</v>
      </c>
      <c r="E632" s="184" t="s">
        <v>598</v>
      </c>
      <c r="F632" s="185">
        <v>77000</v>
      </c>
      <c r="G632" s="184" t="s">
        <v>493</v>
      </c>
      <c r="H632" s="184" t="s">
        <v>598</v>
      </c>
      <c r="I632" s="185">
        <v>0</v>
      </c>
      <c r="J632" s="184" t="s">
        <v>598</v>
      </c>
      <c r="K632" s="127">
        <v>42864</v>
      </c>
      <c r="L632" s="184" t="s">
        <v>598</v>
      </c>
      <c r="M632" s="184" t="s">
        <v>102</v>
      </c>
      <c r="N632" s="184" t="s">
        <v>469</v>
      </c>
      <c r="O632" s="184" t="s">
        <v>598</v>
      </c>
      <c r="P632" s="184" t="s">
        <v>63</v>
      </c>
      <c r="Q632" s="184" t="s">
        <v>86</v>
      </c>
      <c r="R632" s="184" t="s">
        <v>598</v>
      </c>
      <c r="S632" s="172">
        <v>42996.326388888891</v>
      </c>
      <c r="T632" s="32" t="s">
        <v>552</v>
      </c>
    </row>
    <row r="633" spans="1:20">
      <c r="A633" s="184" t="s">
        <v>3617</v>
      </c>
      <c r="B633" s="184" t="s">
        <v>4361</v>
      </c>
      <c r="C633" s="127">
        <v>42866</v>
      </c>
      <c r="D633" s="184" t="s">
        <v>34</v>
      </c>
      <c r="E633" s="184" t="s">
        <v>598</v>
      </c>
      <c r="F633" s="185">
        <v>3500</v>
      </c>
      <c r="G633" s="184" t="s">
        <v>493</v>
      </c>
      <c r="H633" s="184" t="s">
        <v>598</v>
      </c>
      <c r="I633" s="185">
        <v>0</v>
      </c>
      <c r="J633" s="184" t="s">
        <v>598</v>
      </c>
      <c r="K633" s="127">
        <v>42864</v>
      </c>
      <c r="L633" s="184" t="s">
        <v>132</v>
      </c>
      <c r="M633" s="184" t="s">
        <v>102</v>
      </c>
      <c r="N633" s="184" t="s">
        <v>3619</v>
      </c>
      <c r="O633" s="184" t="s">
        <v>598</v>
      </c>
      <c r="P633" s="184" t="s">
        <v>63</v>
      </c>
      <c r="Q633" s="184" t="s">
        <v>86</v>
      </c>
      <c r="R633" s="184" t="s">
        <v>598</v>
      </c>
      <c r="S633" s="172">
        <v>42996.326388888891</v>
      </c>
      <c r="T633" s="32" t="s">
        <v>552</v>
      </c>
    </row>
    <row r="634" spans="1:20">
      <c r="A634" s="184" t="s">
        <v>3620</v>
      </c>
      <c r="B634" s="184" t="s">
        <v>4362</v>
      </c>
      <c r="C634" s="127">
        <v>42870</v>
      </c>
      <c r="D634" s="184" t="s">
        <v>34</v>
      </c>
      <c r="E634" s="184" t="s">
        <v>598</v>
      </c>
      <c r="F634" s="185">
        <v>3000</v>
      </c>
      <c r="G634" s="184" t="s">
        <v>493</v>
      </c>
      <c r="H634" s="184" t="s">
        <v>598</v>
      </c>
      <c r="I634" s="185">
        <v>0</v>
      </c>
      <c r="J634" s="184" t="s">
        <v>598</v>
      </c>
      <c r="K634" s="127">
        <v>42865</v>
      </c>
      <c r="L634" s="184" t="s">
        <v>134</v>
      </c>
      <c r="M634" s="184" t="s">
        <v>102</v>
      </c>
      <c r="N634" s="184" t="s">
        <v>233</v>
      </c>
      <c r="O634" s="184" t="s">
        <v>598</v>
      </c>
      <c r="P634" s="184" t="s">
        <v>63</v>
      </c>
      <c r="Q634" s="184" t="s">
        <v>86</v>
      </c>
      <c r="R634" s="184" t="s">
        <v>598</v>
      </c>
      <c r="S634" s="172">
        <v>42996.326388888891</v>
      </c>
      <c r="T634" s="32" t="s">
        <v>552</v>
      </c>
    </row>
    <row r="635" spans="1:20">
      <c r="A635" s="184" t="s">
        <v>3622</v>
      </c>
      <c r="B635" s="184" t="s">
        <v>4363</v>
      </c>
      <c r="C635" s="127">
        <v>42877</v>
      </c>
      <c r="D635" s="184" t="s">
        <v>10</v>
      </c>
      <c r="E635" s="184" t="s">
        <v>598</v>
      </c>
      <c r="F635" s="185">
        <v>2000</v>
      </c>
      <c r="G635" s="184" t="s">
        <v>493</v>
      </c>
      <c r="H635" s="184" t="s">
        <v>598</v>
      </c>
      <c r="I635" s="185">
        <v>0</v>
      </c>
      <c r="J635" s="184" t="s">
        <v>598</v>
      </c>
      <c r="K635" s="127">
        <v>42865</v>
      </c>
      <c r="L635" s="184" t="s">
        <v>134</v>
      </c>
      <c r="M635" s="184" t="s">
        <v>102</v>
      </c>
      <c r="N635" s="184" t="s">
        <v>233</v>
      </c>
      <c r="O635" s="184" t="s">
        <v>598</v>
      </c>
      <c r="P635" s="184" t="s">
        <v>63</v>
      </c>
      <c r="Q635" s="184" t="s">
        <v>63</v>
      </c>
      <c r="R635" s="184" t="s">
        <v>598</v>
      </c>
      <c r="S635" s="172">
        <v>42996.326388888891</v>
      </c>
      <c r="T635" s="32" t="s">
        <v>552</v>
      </c>
    </row>
    <row r="636" spans="1:20">
      <c r="A636" s="184" t="s">
        <v>3623</v>
      </c>
      <c r="B636" s="184" t="s">
        <v>4364</v>
      </c>
      <c r="C636" s="127">
        <v>42879</v>
      </c>
      <c r="D636" s="184" t="s">
        <v>34</v>
      </c>
      <c r="E636" s="184" t="s">
        <v>598</v>
      </c>
      <c r="F636" s="185">
        <v>2000</v>
      </c>
      <c r="G636" s="184" t="s">
        <v>493</v>
      </c>
      <c r="H636" s="184" t="s">
        <v>598</v>
      </c>
      <c r="I636" s="185">
        <v>0</v>
      </c>
      <c r="J636" s="184" t="s">
        <v>598</v>
      </c>
      <c r="K636" s="127">
        <v>42866</v>
      </c>
      <c r="L636" s="184" t="s">
        <v>598</v>
      </c>
      <c r="M636" s="184" t="s">
        <v>102</v>
      </c>
      <c r="N636" s="184" t="s">
        <v>470</v>
      </c>
      <c r="O636" s="184" t="s">
        <v>598</v>
      </c>
      <c r="P636" s="184" t="s">
        <v>63</v>
      </c>
      <c r="Q636" s="184" t="s">
        <v>3021</v>
      </c>
      <c r="R636" s="184" t="s">
        <v>598</v>
      </c>
      <c r="S636" s="172">
        <v>42996.326388888891</v>
      </c>
      <c r="T636" s="32" t="s">
        <v>552</v>
      </c>
    </row>
    <row r="637" spans="1:20">
      <c r="A637" s="184" t="s">
        <v>3625</v>
      </c>
      <c r="B637" s="184" t="s">
        <v>4365</v>
      </c>
      <c r="C637" s="127">
        <v>42875</v>
      </c>
      <c r="D637" s="184" t="s">
        <v>34</v>
      </c>
      <c r="E637" s="184" t="s">
        <v>598</v>
      </c>
      <c r="F637" s="185">
        <v>4000</v>
      </c>
      <c r="G637" s="184" t="s">
        <v>493</v>
      </c>
      <c r="H637" s="184" t="s">
        <v>598</v>
      </c>
      <c r="I637" s="185">
        <v>0</v>
      </c>
      <c r="J637" s="184" t="s">
        <v>598</v>
      </c>
      <c r="K637" s="127">
        <v>42866</v>
      </c>
      <c r="L637" s="184" t="s">
        <v>598</v>
      </c>
      <c r="M637" s="184" t="s">
        <v>102</v>
      </c>
      <c r="N637" s="184" t="s">
        <v>233</v>
      </c>
      <c r="O637" s="184" t="s">
        <v>598</v>
      </c>
      <c r="P637" s="184" t="s">
        <v>63</v>
      </c>
      <c r="Q637" s="184" t="s">
        <v>63</v>
      </c>
      <c r="R637" s="184" t="s">
        <v>598</v>
      </c>
      <c r="S637" s="172">
        <v>42996.326388888891</v>
      </c>
      <c r="T637" s="32" t="s">
        <v>552</v>
      </c>
    </row>
    <row r="638" spans="1:20">
      <c r="A638" s="184" t="s">
        <v>3627</v>
      </c>
      <c r="B638" s="184" t="s">
        <v>4366</v>
      </c>
      <c r="C638" s="127">
        <v>42878</v>
      </c>
      <c r="D638" s="184" t="s">
        <v>10</v>
      </c>
      <c r="E638" s="184" t="s">
        <v>598</v>
      </c>
      <c r="F638" s="185">
        <v>3000</v>
      </c>
      <c r="G638" s="184" t="s">
        <v>493</v>
      </c>
      <c r="H638" s="184" t="s">
        <v>598</v>
      </c>
      <c r="I638" s="185">
        <v>0</v>
      </c>
      <c r="J638" s="184" t="s">
        <v>598</v>
      </c>
      <c r="K638" s="127">
        <v>42868</v>
      </c>
      <c r="L638" s="184" t="s">
        <v>598</v>
      </c>
      <c r="M638" s="184" t="s">
        <v>102</v>
      </c>
      <c r="N638" s="184" t="s">
        <v>3619</v>
      </c>
      <c r="O638" s="184" t="s">
        <v>598</v>
      </c>
      <c r="P638" s="184" t="s">
        <v>63</v>
      </c>
      <c r="Q638" s="184" t="s">
        <v>63</v>
      </c>
      <c r="R638" s="184" t="s">
        <v>598</v>
      </c>
      <c r="S638" s="172">
        <v>42996.326388888891</v>
      </c>
      <c r="T638" s="32" t="s">
        <v>552</v>
      </c>
    </row>
    <row r="639" spans="1:20">
      <c r="A639" s="184" t="s">
        <v>3629</v>
      </c>
      <c r="B639" s="184" t="s">
        <v>4367</v>
      </c>
      <c r="C639" s="127">
        <v>42870</v>
      </c>
      <c r="D639" s="184" t="s">
        <v>34</v>
      </c>
      <c r="E639" s="184" t="s">
        <v>598</v>
      </c>
      <c r="F639" s="185">
        <v>2000</v>
      </c>
      <c r="G639" s="184" t="s">
        <v>549</v>
      </c>
      <c r="H639" s="184" t="s">
        <v>598</v>
      </c>
      <c r="I639" s="185">
        <v>0</v>
      </c>
      <c r="J639" s="184" t="s">
        <v>493</v>
      </c>
      <c r="K639" s="127">
        <v>42870</v>
      </c>
      <c r="L639" s="184" t="s">
        <v>598</v>
      </c>
      <c r="M639" s="184" t="s">
        <v>102</v>
      </c>
      <c r="N639" s="184" t="s">
        <v>233</v>
      </c>
      <c r="O639" s="184" t="s">
        <v>598</v>
      </c>
      <c r="P639" s="184" t="s">
        <v>63</v>
      </c>
      <c r="Q639" s="184" t="s">
        <v>86</v>
      </c>
      <c r="R639" s="184" t="s">
        <v>598</v>
      </c>
      <c r="S639" s="172">
        <v>42996.326388888891</v>
      </c>
      <c r="T639" s="32" t="s">
        <v>552</v>
      </c>
    </row>
    <row r="640" spans="1:20">
      <c r="A640" s="184" t="s">
        <v>3630</v>
      </c>
      <c r="B640" s="184" t="s">
        <v>4368</v>
      </c>
      <c r="C640" s="127">
        <v>42874</v>
      </c>
      <c r="D640" s="184" t="s">
        <v>34</v>
      </c>
      <c r="E640" s="184" t="s">
        <v>598</v>
      </c>
      <c r="F640" s="185">
        <v>3000</v>
      </c>
      <c r="G640" s="184" t="s">
        <v>493</v>
      </c>
      <c r="H640" s="184" t="s">
        <v>598</v>
      </c>
      <c r="I640" s="185">
        <v>0</v>
      </c>
      <c r="J640" s="184" t="s">
        <v>598</v>
      </c>
      <c r="K640" s="127">
        <v>42870</v>
      </c>
      <c r="L640" s="184" t="s">
        <v>598</v>
      </c>
      <c r="M640" s="184" t="s">
        <v>102</v>
      </c>
      <c r="N640" s="184" t="s">
        <v>598</v>
      </c>
      <c r="O640" s="184" t="s">
        <v>598</v>
      </c>
      <c r="P640" s="184" t="s">
        <v>63</v>
      </c>
      <c r="Q640" s="184" t="s">
        <v>3021</v>
      </c>
      <c r="R640" s="184" t="s">
        <v>598</v>
      </c>
      <c r="S640" s="172">
        <v>42996.326388888891</v>
      </c>
      <c r="T640" s="32" t="s">
        <v>552</v>
      </c>
    </row>
    <row r="641" spans="1:20">
      <c r="A641" s="184" t="s">
        <v>3632</v>
      </c>
      <c r="B641" s="184" t="s">
        <v>4369</v>
      </c>
      <c r="C641" s="127">
        <v>42873</v>
      </c>
      <c r="D641" s="184" t="s">
        <v>34</v>
      </c>
      <c r="E641" s="184" t="s">
        <v>598</v>
      </c>
      <c r="F641" s="185">
        <v>1000</v>
      </c>
      <c r="G641" s="184" t="s">
        <v>549</v>
      </c>
      <c r="H641" s="184">
        <v>2823</v>
      </c>
      <c r="I641" s="185">
        <v>6000</v>
      </c>
      <c r="J641" s="184" t="s">
        <v>493</v>
      </c>
      <c r="K641" s="127">
        <v>42871</v>
      </c>
      <c r="L641" s="184" t="s">
        <v>598</v>
      </c>
      <c r="M641" s="184" t="s">
        <v>102</v>
      </c>
      <c r="N641" s="184" t="s">
        <v>233</v>
      </c>
      <c r="O641" s="184" t="s">
        <v>598</v>
      </c>
      <c r="P641" s="184" t="s">
        <v>63</v>
      </c>
      <c r="Q641" s="184" t="s">
        <v>3021</v>
      </c>
      <c r="R641" s="184" t="s">
        <v>598</v>
      </c>
      <c r="S641" s="172">
        <v>42996.326388888891</v>
      </c>
      <c r="T641" s="32" t="s">
        <v>552</v>
      </c>
    </row>
    <row r="642" spans="1:20">
      <c r="A642" s="184" t="s">
        <v>3633</v>
      </c>
      <c r="B642" s="184" t="s">
        <v>4370</v>
      </c>
      <c r="C642" s="127">
        <v>42884</v>
      </c>
      <c r="D642" s="184" t="s">
        <v>10</v>
      </c>
      <c r="E642" s="184" t="s">
        <v>598</v>
      </c>
      <c r="F642" s="185">
        <v>2500</v>
      </c>
      <c r="G642" s="184" t="s">
        <v>493</v>
      </c>
      <c r="H642" s="184" t="s">
        <v>3021</v>
      </c>
      <c r="I642" s="185">
        <v>2500</v>
      </c>
      <c r="J642" s="184" t="s">
        <v>598</v>
      </c>
      <c r="K642" s="127">
        <v>42872</v>
      </c>
      <c r="L642" s="184" t="s">
        <v>598</v>
      </c>
      <c r="M642" s="184" t="s">
        <v>102</v>
      </c>
      <c r="N642" s="184" t="s">
        <v>244</v>
      </c>
      <c r="O642" s="184" t="s">
        <v>598</v>
      </c>
      <c r="P642" s="184" t="s">
        <v>63</v>
      </c>
      <c r="Q642" s="184" t="s">
        <v>86</v>
      </c>
      <c r="R642" s="184" t="s">
        <v>598</v>
      </c>
      <c r="S642" s="172">
        <v>42996.326388888891</v>
      </c>
      <c r="T642" s="32" t="s">
        <v>552</v>
      </c>
    </row>
    <row r="643" spans="1:20">
      <c r="A643" s="184" t="s">
        <v>3635</v>
      </c>
      <c r="B643" s="184" t="s">
        <v>4371</v>
      </c>
      <c r="C643" s="127">
        <v>42882</v>
      </c>
      <c r="D643" s="184" t="s">
        <v>34</v>
      </c>
      <c r="E643" s="184" t="s">
        <v>598</v>
      </c>
      <c r="F643" s="185">
        <v>2500</v>
      </c>
      <c r="G643" s="184" t="s">
        <v>493</v>
      </c>
      <c r="H643" s="184" t="s">
        <v>598</v>
      </c>
      <c r="I643" s="185">
        <v>0</v>
      </c>
      <c r="J643" s="184" t="s">
        <v>598</v>
      </c>
      <c r="K643" s="127">
        <v>42873</v>
      </c>
      <c r="L643" s="184" t="s">
        <v>135</v>
      </c>
      <c r="M643" s="184" t="s">
        <v>102</v>
      </c>
      <c r="N643" s="184" t="s">
        <v>233</v>
      </c>
      <c r="O643" s="184" t="s">
        <v>598</v>
      </c>
      <c r="P643" s="184" t="s">
        <v>63</v>
      </c>
      <c r="Q643" s="184" t="s">
        <v>86</v>
      </c>
      <c r="R643" s="184" t="s">
        <v>598</v>
      </c>
      <c r="S643" s="172">
        <v>42996.326388888891</v>
      </c>
      <c r="T643" s="32" t="s">
        <v>552</v>
      </c>
    </row>
    <row r="644" spans="1:20">
      <c r="A644" s="184" t="s">
        <v>3637</v>
      </c>
      <c r="B644" s="184" t="s">
        <v>4372</v>
      </c>
      <c r="C644" s="127">
        <v>42875</v>
      </c>
      <c r="D644" s="184" t="s">
        <v>34</v>
      </c>
      <c r="E644" s="184" t="s">
        <v>598</v>
      </c>
      <c r="F644" s="185">
        <v>2000</v>
      </c>
      <c r="G644" s="184" t="s">
        <v>549</v>
      </c>
      <c r="H644" s="184" t="s">
        <v>598</v>
      </c>
      <c r="I644" s="185">
        <v>0</v>
      </c>
      <c r="J644" s="184" t="s">
        <v>493</v>
      </c>
      <c r="K644" s="127">
        <v>42875</v>
      </c>
      <c r="L644" s="184" t="s">
        <v>598</v>
      </c>
      <c r="M644" s="184" t="s">
        <v>102</v>
      </c>
      <c r="N644" s="184" t="s">
        <v>233</v>
      </c>
      <c r="O644" s="184" t="s">
        <v>598</v>
      </c>
      <c r="P644" s="184" t="s">
        <v>63</v>
      </c>
      <c r="Q644" s="184" t="s">
        <v>86</v>
      </c>
      <c r="R644" s="184" t="s">
        <v>598</v>
      </c>
      <c r="S644" s="172">
        <v>42996.326388888891</v>
      </c>
      <c r="T644" s="32" t="s">
        <v>552</v>
      </c>
    </row>
    <row r="645" spans="1:20">
      <c r="A645" s="184" t="s">
        <v>3638</v>
      </c>
      <c r="B645" s="184" t="s">
        <v>4373</v>
      </c>
      <c r="C645" s="127">
        <v>42875</v>
      </c>
      <c r="D645" s="184" t="s">
        <v>34</v>
      </c>
      <c r="E645" s="184" t="s">
        <v>598</v>
      </c>
      <c r="F645" s="185">
        <v>2000</v>
      </c>
      <c r="G645" s="184" t="s">
        <v>549</v>
      </c>
      <c r="H645" s="184" t="s">
        <v>598</v>
      </c>
      <c r="I645" s="185">
        <v>0</v>
      </c>
      <c r="J645" s="184" t="s">
        <v>493</v>
      </c>
      <c r="K645" s="127">
        <v>42875</v>
      </c>
      <c r="L645" s="184" t="s">
        <v>598</v>
      </c>
      <c r="M645" s="184" t="s">
        <v>102</v>
      </c>
      <c r="N645" s="184" t="s">
        <v>233</v>
      </c>
      <c r="O645" s="184" t="s">
        <v>598</v>
      </c>
      <c r="P645" s="184" t="s">
        <v>63</v>
      </c>
      <c r="Q645" s="184" t="s">
        <v>86</v>
      </c>
      <c r="R645" s="184" t="s">
        <v>598</v>
      </c>
      <c r="S645" s="172">
        <v>42996.326388888891</v>
      </c>
      <c r="T645" s="32" t="s">
        <v>552</v>
      </c>
    </row>
    <row r="646" spans="1:20">
      <c r="A646" s="184" t="s">
        <v>3639</v>
      </c>
      <c r="B646" s="184" t="s">
        <v>4374</v>
      </c>
      <c r="C646" s="127">
        <v>42875</v>
      </c>
      <c r="D646" s="184" t="s">
        <v>34</v>
      </c>
      <c r="E646" s="184" t="s">
        <v>598</v>
      </c>
      <c r="F646" s="185">
        <v>2000</v>
      </c>
      <c r="G646" s="184" t="s">
        <v>549</v>
      </c>
      <c r="H646" s="184" t="s">
        <v>598</v>
      </c>
      <c r="I646" s="185">
        <v>0</v>
      </c>
      <c r="J646" s="184" t="s">
        <v>493</v>
      </c>
      <c r="K646" s="127">
        <v>42875</v>
      </c>
      <c r="L646" s="184" t="s">
        <v>134</v>
      </c>
      <c r="M646" s="184" t="s">
        <v>102</v>
      </c>
      <c r="N646" s="184" t="s">
        <v>233</v>
      </c>
      <c r="O646" s="184" t="s">
        <v>598</v>
      </c>
      <c r="P646" s="184" t="s">
        <v>63</v>
      </c>
      <c r="Q646" s="184" t="s">
        <v>63</v>
      </c>
      <c r="R646" s="184" t="s">
        <v>598</v>
      </c>
      <c r="S646" s="172">
        <v>42996.326388888891</v>
      </c>
      <c r="T646" s="32" t="s">
        <v>552</v>
      </c>
    </row>
    <row r="647" spans="1:20">
      <c r="A647" s="184" t="s">
        <v>3640</v>
      </c>
      <c r="B647" s="184" t="s">
        <v>4375</v>
      </c>
      <c r="C647" s="127">
        <v>42875</v>
      </c>
      <c r="D647" s="184" t="s">
        <v>34</v>
      </c>
      <c r="E647" s="184" t="s">
        <v>598</v>
      </c>
      <c r="F647" s="185">
        <v>2000</v>
      </c>
      <c r="G647" s="184" t="s">
        <v>549</v>
      </c>
      <c r="H647" s="184" t="s">
        <v>598</v>
      </c>
      <c r="I647" s="185">
        <v>0</v>
      </c>
      <c r="J647" s="184" t="s">
        <v>493</v>
      </c>
      <c r="K647" s="127">
        <v>42875</v>
      </c>
      <c r="L647" s="184" t="s">
        <v>134</v>
      </c>
      <c r="M647" s="184" t="s">
        <v>102</v>
      </c>
      <c r="N647" s="184" t="s">
        <v>233</v>
      </c>
      <c r="O647" s="184" t="s">
        <v>598</v>
      </c>
      <c r="P647" s="184" t="s">
        <v>63</v>
      </c>
      <c r="Q647" s="184" t="s">
        <v>63</v>
      </c>
      <c r="R647" s="184" t="s">
        <v>598</v>
      </c>
      <c r="S647" s="172">
        <v>42996.326388888891</v>
      </c>
      <c r="T647" s="32" t="s">
        <v>552</v>
      </c>
    </row>
    <row r="648" spans="1:20">
      <c r="A648" s="184" t="s">
        <v>3641</v>
      </c>
      <c r="B648" s="184" t="s">
        <v>4376</v>
      </c>
      <c r="C648" s="127">
        <v>42875</v>
      </c>
      <c r="D648" s="184" t="s">
        <v>34</v>
      </c>
      <c r="E648" s="184" t="s">
        <v>598</v>
      </c>
      <c r="F648" s="185">
        <v>2000</v>
      </c>
      <c r="G648" s="184" t="s">
        <v>549</v>
      </c>
      <c r="H648" s="184" t="s">
        <v>598</v>
      </c>
      <c r="I648" s="185">
        <v>0</v>
      </c>
      <c r="J648" s="184" t="s">
        <v>493</v>
      </c>
      <c r="K648" s="127">
        <v>42875</v>
      </c>
      <c r="L648" s="184" t="s">
        <v>134</v>
      </c>
      <c r="M648" s="184" t="s">
        <v>102</v>
      </c>
      <c r="N648" s="184" t="s">
        <v>233</v>
      </c>
      <c r="O648" s="184" t="s">
        <v>598</v>
      </c>
      <c r="P648" s="184" t="s">
        <v>63</v>
      </c>
      <c r="Q648" s="184" t="s">
        <v>63</v>
      </c>
      <c r="R648" s="184" t="s">
        <v>598</v>
      </c>
      <c r="S648" s="172">
        <v>42996.326388888891</v>
      </c>
      <c r="T648" s="32" t="s">
        <v>552</v>
      </c>
    </row>
    <row r="649" spans="1:20">
      <c r="A649" s="184" t="s">
        <v>3642</v>
      </c>
      <c r="B649" s="184" t="s">
        <v>4377</v>
      </c>
      <c r="C649" s="127">
        <v>42875</v>
      </c>
      <c r="D649" s="184" t="s">
        <v>34</v>
      </c>
      <c r="E649" s="184" t="s">
        <v>598</v>
      </c>
      <c r="F649" s="185">
        <v>2000</v>
      </c>
      <c r="G649" s="184" t="s">
        <v>549</v>
      </c>
      <c r="H649" s="184" t="s">
        <v>598</v>
      </c>
      <c r="I649" s="185">
        <v>0</v>
      </c>
      <c r="J649" s="184" t="s">
        <v>493</v>
      </c>
      <c r="K649" s="127">
        <v>42875</v>
      </c>
      <c r="L649" s="184" t="s">
        <v>134</v>
      </c>
      <c r="M649" s="184" t="s">
        <v>102</v>
      </c>
      <c r="N649" s="184" t="s">
        <v>233</v>
      </c>
      <c r="O649" s="184" t="s">
        <v>598</v>
      </c>
      <c r="P649" s="184" t="s">
        <v>63</v>
      </c>
      <c r="Q649" s="184" t="s">
        <v>63</v>
      </c>
      <c r="R649" s="184" t="s">
        <v>598</v>
      </c>
      <c r="S649" s="172">
        <v>42996.326388888891</v>
      </c>
      <c r="T649" s="32" t="s">
        <v>552</v>
      </c>
    </row>
    <row r="650" spans="1:20">
      <c r="A650" s="184" t="s">
        <v>3643</v>
      </c>
      <c r="B650" s="184" t="s">
        <v>4378</v>
      </c>
      <c r="C650" s="127">
        <v>42878</v>
      </c>
      <c r="D650" s="184" t="s">
        <v>34</v>
      </c>
      <c r="E650" s="184" t="s">
        <v>598</v>
      </c>
      <c r="F650" s="185">
        <v>1000</v>
      </c>
      <c r="G650" s="184" t="s">
        <v>573</v>
      </c>
      <c r="H650" s="184" t="s">
        <v>598</v>
      </c>
      <c r="I650" s="185">
        <v>0</v>
      </c>
      <c r="J650" s="184" t="s">
        <v>598</v>
      </c>
      <c r="K650" s="127">
        <v>42877</v>
      </c>
      <c r="L650" s="184" t="s">
        <v>598</v>
      </c>
      <c r="M650" s="184" t="s">
        <v>102</v>
      </c>
      <c r="N650" s="184" t="s">
        <v>233</v>
      </c>
      <c r="O650" s="184" t="s">
        <v>598</v>
      </c>
      <c r="P650" s="184" t="s">
        <v>63</v>
      </c>
      <c r="Q650" s="184" t="s">
        <v>86</v>
      </c>
      <c r="R650" s="184" t="s">
        <v>598</v>
      </c>
      <c r="S650" s="172">
        <v>42996.326388888891</v>
      </c>
      <c r="T650" s="32" t="s">
        <v>552</v>
      </c>
    </row>
    <row r="651" spans="1:20">
      <c r="A651" s="184" t="s">
        <v>3644</v>
      </c>
      <c r="B651" s="184" t="s">
        <v>4379</v>
      </c>
      <c r="C651" s="127">
        <v>42879</v>
      </c>
      <c r="D651" s="184" t="s">
        <v>34</v>
      </c>
      <c r="E651" s="184" t="s">
        <v>598</v>
      </c>
      <c r="F651" s="185">
        <v>1000</v>
      </c>
      <c r="G651" s="184" t="s">
        <v>485</v>
      </c>
      <c r="H651" s="184">
        <v>2824</v>
      </c>
      <c r="I651" s="185">
        <v>4000</v>
      </c>
      <c r="J651" s="184" t="s">
        <v>598</v>
      </c>
      <c r="K651" s="127">
        <v>42878</v>
      </c>
      <c r="L651" s="184" t="s">
        <v>598</v>
      </c>
      <c r="M651" s="184" t="s">
        <v>102</v>
      </c>
      <c r="N651" s="184" t="s">
        <v>233</v>
      </c>
      <c r="O651" s="184" t="s">
        <v>598</v>
      </c>
      <c r="P651" s="184" t="s">
        <v>63</v>
      </c>
      <c r="Q651" s="184" t="s">
        <v>63</v>
      </c>
      <c r="R651" s="184" t="s">
        <v>598</v>
      </c>
      <c r="S651" s="172">
        <v>42996.326388888891</v>
      </c>
      <c r="T651" s="32" t="s">
        <v>552</v>
      </c>
    </row>
    <row r="652" spans="1:20">
      <c r="A652" s="184" t="s">
        <v>3645</v>
      </c>
      <c r="B652" s="184" t="s">
        <v>4380</v>
      </c>
      <c r="C652" s="127">
        <v>42878</v>
      </c>
      <c r="D652" s="184" t="s">
        <v>34</v>
      </c>
      <c r="E652" s="184" t="s">
        <v>598</v>
      </c>
      <c r="F652" s="185">
        <v>4000</v>
      </c>
      <c r="G652" s="184" t="s">
        <v>493</v>
      </c>
      <c r="H652" s="184" t="s">
        <v>598</v>
      </c>
      <c r="I652" s="185">
        <v>0</v>
      </c>
      <c r="J652" s="184" t="s">
        <v>598</v>
      </c>
      <c r="K652" s="127">
        <v>42878</v>
      </c>
      <c r="L652" s="184" t="s">
        <v>598</v>
      </c>
      <c r="M652" s="184" t="s">
        <v>102</v>
      </c>
      <c r="N652" s="184" t="s">
        <v>233</v>
      </c>
      <c r="O652" s="184" t="s">
        <v>598</v>
      </c>
      <c r="P652" s="184" t="s">
        <v>63</v>
      </c>
      <c r="Q652" s="184" t="s">
        <v>63</v>
      </c>
      <c r="R652" s="184" t="s">
        <v>598</v>
      </c>
      <c r="S652" s="172">
        <v>42996.326388888891</v>
      </c>
      <c r="T652" s="32" t="s">
        <v>552</v>
      </c>
    </row>
    <row r="653" spans="1:20">
      <c r="A653" s="184" t="s">
        <v>3647</v>
      </c>
      <c r="B653" s="184" t="s">
        <v>4381</v>
      </c>
      <c r="C653" s="127">
        <v>42882</v>
      </c>
      <c r="D653" s="184" t="s">
        <v>34</v>
      </c>
      <c r="E653" s="184" t="s">
        <v>598</v>
      </c>
      <c r="F653" s="185">
        <v>5000</v>
      </c>
      <c r="G653" s="184" t="s">
        <v>493</v>
      </c>
      <c r="H653" s="184" t="s">
        <v>598</v>
      </c>
      <c r="I653" s="185">
        <v>0</v>
      </c>
      <c r="J653" s="184" t="s">
        <v>598</v>
      </c>
      <c r="K653" s="127">
        <v>42879</v>
      </c>
      <c r="L653" s="184" t="s">
        <v>598</v>
      </c>
      <c r="M653" s="184" t="s">
        <v>102</v>
      </c>
      <c r="N653" s="184" t="s">
        <v>3619</v>
      </c>
      <c r="O653" s="184" t="s">
        <v>598</v>
      </c>
      <c r="P653" s="184" t="s">
        <v>63</v>
      </c>
      <c r="Q653" s="184" t="s">
        <v>86</v>
      </c>
      <c r="R653" s="184" t="s">
        <v>598</v>
      </c>
      <c r="S653" s="172">
        <v>42996.326388888891</v>
      </c>
      <c r="T653" s="32" t="s">
        <v>552</v>
      </c>
    </row>
    <row r="654" spans="1:20">
      <c r="A654" s="184" t="s">
        <v>3649</v>
      </c>
      <c r="B654" s="184" t="s">
        <v>4382</v>
      </c>
      <c r="C654" s="127">
        <v>42885</v>
      </c>
      <c r="D654" s="184" t="s">
        <v>34</v>
      </c>
      <c r="E654" s="184" t="s">
        <v>598</v>
      </c>
      <c r="F654" s="185">
        <v>5000</v>
      </c>
      <c r="G654" s="184" t="s">
        <v>493</v>
      </c>
      <c r="H654" s="184" t="s">
        <v>598</v>
      </c>
      <c r="I654" s="185">
        <v>0</v>
      </c>
      <c r="J654" s="184" t="s">
        <v>598</v>
      </c>
      <c r="K654" s="127">
        <v>42879</v>
      </c>
      <c r="L654" s="184" t="s">
        <v>598</v>
      </c>
      <c r="M654" s="184" t="s">
        <v>102</v>
      </c>
      <c r="N654" s="184" t="s">
        <v>233</v>
      </c>
      <c r="O654" s="184" t="s">
        <v>598</v>
      </c>
      <c r="P654" s="184" t="s">
        <v>63</v>
      </c>
      <c r="Q654" s="184" t="s">
        <v>3021</v>
      </c>
      <c r="R654" s="184" t="s">
        <v>598</v>
      </c>
      <c r="S654" s="172">
        <v>42996.326388888891</v>
      </c>
      <c r="T654" s="32" t="s">
        <v>552</v>
      </c>
    </row>
    <row r="655" spans="1:20">
      <c r="A655" s="184" t="s">
        <v>3650</v>
      </c>
      <c r="B655" s="184" t="s">
        <v>4383</v>
      </c>
      <c r="C655" s="127">
        <v>42885</v>
      </c>
      <c r="D655" s="184" t="s">
        <v>34</v>
      </c>
      <c r="E655" s="184" t="s">
        <v>598</v>
      </c>
      <c r="F655" s="185">
        <v>5000</v>
      </c>
      <c r="G655" s="184" t="s">
        <v>493</v>
      </c>
      <c r="H655" s="184" t="s">
        <v>598</v>
      </c>
      <c r="I655" s="185">
        <v>0</v>
      </c>
      <c r="J655" s="184" t="s">
        <v>598</v>
      </c>
      <c r="K655" s="127">
        <v>42880</v>
      </c>
      <c r="L655" s="184" t="s">
        <v>598</v>
      </c>
      <c r="M655" s="184" t="s">
        <v>102</v>
      </c>
      <c r="N655" s="184" t="s">
        <v>233</v>
      </c>
      <c r="O655" s="184" t="s">
        <v>598</v>
      </c>
      <c r="P655" s="184" t="s">
        <v>63</v>
      </c>
      <c r="Q655" s="184" t="s">
        <v>3021</v>
      </c>
      <c r="R655" s="184" t="s">
        <v>598</v>
      </c>
      <c r="S655" s="172">
        <v>42996.326388888891</v>
      </c>
      <c r="T655" s="32" t="s">
        <v>552</v>
      </c>
    </row>
    <row r="656" spans="1:20">
      <c r="A656" s="184" t="s">
        <v>3652</v>
      </c>
      <c r="B656" s="184" t="s">
        <v>4384</v>
      </c>
      <c r="C656" s="127">
        <v>42882</v>
      </c>
      <c r="D656" s="184" t="s">
        <v>34</v>
      </c>
      <c r="E656" s="184" t="s">
        <v>598</v>
      </c>
      <c r="F656" s="185">
        <v>1000</v>
      </c>
      <c r="G656" s="184" t="s">
        <v>549</v>
      </c>
      <c r="H656" s="184" t="s">
        <v>598</v>
      </c>
      <c r="I656" s="185">
        <v>0</v>
      </c>
      <c r="J656" s="184" t="s">
        <v>493</v>
      </c>
      <c r="K656" s="127">
        <v>42882</v>
      </c>
      <c r="L656" s="184" t="s">
        <v>598</v>
      </c>
      <c r="M656" s="184" t="s">
        <v>102</v>
      </c>
      <c r="N656" s="184" t="s">
        <v>360</v>
      </c>
      <c r="O656" s="184" t="s">
        <v>598</v>
      </c>
      <c r="P656" s="184" t="s">
        <v>63</v>
      </c>
      <c r="Q656" s="184" t="s">
        <v>63</v>
      </c>
      <c r="R656" s="184" t="s">
        <v>598</v>
      </c>
      <c r="S656" s="172">
        <v>42996.326388888891</v>
      </c>
      <c r="T656" s="32" t="s">
        <v>552</v>
      </c>
    </row>
    <row r="657" spans="1:20">
      <c r="A657" s="184" t="s">
        <v>3653</v>
      </c>
      <c r="B657" s="184" t="s">
        <v>4385</v>
      </c>
      <c r="C657" s="127">
        <v>42885</v>
      </c>
      <c r="D657" s="184" t="s">
        <v>34</v>
      </c>
      <c r="E657" s="184" t="s">
        <v>598</v>
      </c>
      <c r="F657" s="185">
        <v>2000</v>
      </c>
      <c r="G657" s="184" t="s">
        <v>549</v>
      </c>
      <c r="H657" s="184" t="s">
        <v>598</v>
      </c>
      <c r="I657" s="185">
        <v>0</v>
      </c>
      <c r="J657" s="184" t="s">
        <v>493</v>
      </c>
      <c r="K657" s="127">
        <v>42885</v>
      </c>
      <c r="L657" s="184" t="s">
        <v>598</v>
      </c>
      <c r="M657" s="184" t="s">
        <v>102</v>
      </c>
      <c r="N657" s="184" t="s">
        <v>170</v>
      </c>
      <c r="O657" s="184" t="s">
        <v>598</v>
      </c>
      <c r="P657" s="184" t="s">
        <v>63</v>
      </c>
      <c r="Q657" s="184" t="s">
        <v>3021</v>
      </c>
      <c r="R657" s="184" t="s">
        <v>598</v>
      </c>
      <c r="S657" s="172">
        <v>42996.326388888891</v>
      </c>
      <c r="T657" s="32" t="s">
        <v>552</v>
      </c>
    </row>
    <row r="658" spans="1:20">
      <c r="A658" s="184" t="s">
        <v>3654</v>
      </c>
      <c r="B658" s="184" t="s">
        <v>4386</v>
      </c>
      <c r="C658" s="127">
        <v>42886</v>
      </c>
      <c r="D658" s="184" t="s">
        <v>34</v>
      </c>
      <c r="E658" s="184" t="s">
        <v>598</v>
      </c>
      <c r="F658" s="185">
        <v>2000</v>
      </c>
      <c r="G658" s="184" t="s">
        <v>573</v>
      </c>
      <c r="H658" s="184" t="s">
        <v>598</v>
      </c>
      <c r="I658" s="185">
        <v>0</v>
      </c>
      <c r="J658" s="184" t="s">
        <v>89</v>
      </c>
      <c r="K658" s="127">
        <v>42886</v>
      </c>
      <c r="L658" s="184" t="s">
        <v>598</v>
      </c>
      <c r="M658" s="184" t="s">
        <v>102</v>
      </c>
      <c r="N658" s="184" t="s">
        <v>598</v>
      </c>
      <c r="O658" s="184" t="s">
        <v>598</v>
      </c>
      <c r="P658" s="184" t="s">
        <v>63</v>
      </c>
      <c r="Q658" s="184" t="s">
        <v>86</v>
      </c>
      <c r="R658" s="184" t="s">
        <v>598</v>
      </c>
      <c r="S658" s="172">
        <v>42996.326388888891</v>
      </c>
      <c r="T658" s="32" t="s">
        <v>552</v>
      </c>
    </row>
    <row r="659" spans="1:20">
      <c r="A659" s="184" t="s">
        <v>3655</v>
      </c>
      <c r="B659" s="184" t="s">
        <v>4387</v>
      </c>
      <c r="C659" s="127">
        <v>42857</v>
      </c>
      <c r="D659" s="184" t="s">
        <v>10</v>
      </c>
      <c r="E659" s="184" t="s">
        <v>598</v>
      </c>
      <c r="F659" s="185">
        <v>2000</v>
      </c>
      <c r="G659" s="184" t="s">
        <v>493</v>
      </c>
      <c r="H659" s="184">
        <v>3894</v>
      </c>
      <c r="I659" s="185">
        <v>2000</v>
      </c>
      <c r="J659" s="184" t="s">
        <v>598</v>
      </c>
      <c r="K659" s="127">
        <v>42833</v>
      </c>
      <c r="L659" s="184" t="s">
        <v>598</v>
      </c>
      <c r="M659" s="184" t="s">
        <v>102</v>
      </c>
      <c r="N659" s="184" t="s">
        <v>233</v>
      </c>
      <c r="O659" s="184" t="s">
        <v>598</v>
      </c>
      <c r="P659" s="184" t="s">
        <v>63</v>
      </c>
      <c r="Q659" s="184" t="s">
        <v>3021</v>
      </c>
      <c r="R659" s="184" t="s">
        <v>598</v>
      </c>
      <c r="S659" s="172">
        <v>42996.326388888891</v>
      </c>
      <c r="T659" s="32" t="s">
        <v>552</v>
      </c>
    </row>
    <row r="660" spans="1:20">
      <c r="A660" s="184" t="s">
        <v>3657</v>
      </c>
      <c r="B660" s="184" t="s">
        <v>4388</v>
      </c>
      <c r="C660" s="127">
        <v>42857</v>
      </c>
      <c r="D660" s="184" t="s">
        <v>34</v>
      </c>
      <c r="E660" s="184" t="s">
        <v>598</v>
      </c>
      <c r="F660" s="185">
        <v>5000</v>
      </c>
      <c r="G660" s="184" t="s">
        <v>493</v>
      </c>
      <c r="H660" s="184" t="s">
        <v>598</v>
      </c>
      <c r="I660" s="185">
        <v>0</v>
      </c>
      <c r="J660" s="184" t="s">
        <v>598</v>
      </c>
      <c r="K660" s="127">
        <v>42836</v>
      </c>
      <c r="L660" s="184" t="s">
        <v>598</v>
      </c>
      <c r="M660" s="184" t="s">
        <v>102</v>
      </c>
      <c r="N660" s="184" t="s">
        <v>1053</v>
      </c>
      <c r="O660" s="184" t="s">
        <v>598</v>
      </c>
      <c r="P660" s="184" t="s">
        <v>63</v>
      </c>
      <c r="Q660" s="184" t="s">
        <v>63</v>
      </c>
      <c r="R660" s="184" t="s">
        <v>598</v>
      </c>
      <c r="S660" s="172">
        <v>42996.326388888891</v>
      </c>
      <c r="T660" s="32" t="s">
        <v>552</v>
      </c>
    </row>
    <row r="661" spans="1:20">
      <c r="A661" s="184" t="s">
        <v>3659</v>
      </c>
      <c r="B661" s="184" t="s">
        <v>4389</v>
      </c>
      <c r="C661" s="127">
        <v>42864</v>
      </c>
      <c r="D661" s="184" t="s">
        <v>34</v>
      </c>
      <c r="E661" s="184" t="s">
        <v>598</v>
      </c>
      <c r="F661" s="185">
        <v>3000</v>
      </c>
      <c r="G661" s="184" t="s">
        <v>493</v>
      </c>
      <c r="H661" s="184" t="s">
        <v>598</v>
      </c>
      <c r="I661" s="185">
        <v>0</v>
      </c>
      <c r="J661" s="184" t="s">
        <v>598</v>
      </c>
      <c r="K661" s="127">
        <v>42837</v>
      </c>
      <c r="L661" s="184" t="s">
        <v>598</v>
      </c>
      <c r="M661" s="184" t="s">
        <v>102</v>
      </c>
      <c r="N661" s="184" t="s">
        <v>598</v>
      </c>
      <c r="O661" s="184" t="s">
        <v>598</v>
      </c>
      <c r="P661" s="184" t="s">
        <v>63</v>
      </c>
      <c r="Q661" s="184" t="s">
        <v>3021</v>
      </c>
      <c r="R661" s="184" t="s">
        <v>598</v>
      </c>
      <c r="S661" s="172">
        <v>42996.326388888891</v>
      </c>
      <c r="T661" s="32" t="s">
        <v>552</v>
      </c>
    </row>
    <row r="662" spans="1:20">
      <c r="A662" s="184" t="s">
        <v>3661</v>
      </c>
      <c r="B662" s="184" t="s">
        <v>4390</v>
      </c>
      <c r="C662" s="127">
        <v>42866</v>
      </c>
      <c r="D662" s="184" t="s">
        <v>10</v>
      </c>
      <c r="E662" s="184" t="s">
        <v>598</v>
      </c>
      <c r="F662" s="185">
        <v>5000</v>
      </c>
      <c r="G662" s="184" t="s">
        <v>493</v>
      </c>
      <c r="H662" s="184">
        <v>3891</v>
      </c>
      <c r="I662" s="185">
        <v>5000</v>
      </c>
      <c r="J662" s="184" t="s">
        <v>598</v>
      </c>
      <c r="K662" s="127">
        <v>42838</v>
      </c>
      <c r="L662" s="184" t="s">
        <v>118</v>
      </c>
      <c r="M662" s="184" t="s">
        <v>102</v>
      </c>
      <c r="N662" s="184" t="s">
        <v>241</v>
      </c>
      <c r="O662" s="184" t="s">
        <v>598</v>
      </c>
      <c r="P662" s="184" t="s">
        <v>63</v>
      </c>
      <c r="Q662" s="184" t="s">
        <v>3021</v>
      </c>
      <c r="R662" s="184" t="s">
        <v>598</v>
      </c>
      <c r="S662" s="172">
        <v>42996.326388888891</v>
      </c>
      <c r="T662" s="32" t="s">
        <v>552</v>
      </c>
    </row>
    <row r="663" spans="1:20">
      <c r="A663" s="184" t="s">
        <v>3663</v>
      </c>
      <c r="B663" s="184" t="s">
        <v>4391</v>
      </c>
      <c r="C663" s="127">
        <v>42866</v>
      </c>
      <c r="D663" s="184" t="s">
        <v>10</v>
      </c>
      <c r="E663" s="184" t="s">
        <v>598</v>
      </c>
      <c r="F663" s="185">
        <v>5000</v>
      </c>
      <c r="G663" s="184" t="s">
        <v>493</v>
      </c>
      <c r="H663" s="184">
        <v>3890</v>
      </c>
      <c r="I663" s="185">
        <v>5000</v>
      </c>
      <c r="J663" s="184" t="s">
        <v>598</v>
      </c>
      <c r="K663" s="127">
        <v>42838</v>
      </c>
      <c r="L663" s="184" t="s">
        <v>118</v>
      </c>
      <c r="M663" s="184" t="s">
        <v>102</v>
      </c>
      <c r="N663" s="184" t="s">
        <v>241</v>
      </c>
      <c r="O663" s="184" t="s">
        <v>598</v>
      </c>
      <c r="P663" s="184" t="s">
        <v>63</v>
      </c>
      <c r="Q663" s="184" t="s">
        <v>3021</v>
      </c>
      <c r="R663" s="184" t="s">
        <v>598</v>
      </c>
      <c r="S663" s="172">
        <v>42996.326388888891</v>
      </c>
      <c r="T663" s="32" t="s">
        <v>552</v>
      </c>
    </row>
    <row r="664" spans="1:20">
      <c r="A664" s="184" t="s">
        <v>3665</v>
      </c>
      <c r="B664" s="184" t="s">
        <v>4392</v>
      </c>
      <c r="C664" s="127">
        <v>42857</v>
      </c>
      <c r="D664" s="184" t="s">
        <v>34</v>
      </c>
      <c r="E664" s="184" t="s">
        <v>598</v>
      </c>
      <c r="F664" s="185">
        <v>5000</v>
      </c>
      <c r="G664" s="184" t="s">
        <v>493</v>
      </c>
      <c r="H664" s="184" t="s">
        <v>598</v>
      </c>
      <c r="I664" s="185">
        <v>0</v>
      </c>
      <c r="J664" s="184" t="s">
        <v>598</v>
      </c>
      <c r="K664" s="127">
        <v>42842</v>
      </c>
      <c r="L664" s="184" t="s">
        <v>134</v>
      </c>
      <c r="M664" s="184" t="s">
        <v>102</v>
      </c>
      <c r="N664" s="184" t="s">
        <v>233</v>
      </c>
      <c r="O664" s="184" t="s">
        <v>598</v>
      </c>
      <c r="P664" s="184" t="s">
        <v>63</v>
      </c>
      <c r="Q664" s="184" t="s">
        <v>63</v>
      </c>
      <c r="R664" s="184" t="s">
        <v>598</v>
      </c>
      <c r="S664" s="172">
        <v>42996.326388888891</v>
      </c>
      <c r="T664" s="32" t="s">
        <v>552</v>
      </c>
    </row>
    <row r="665" spans="1:20">
      <c r="A665" s="184" t="s">
        <v>3667</v>
      </c>
      <c r="B665" s="184" t="s">
        <v>4393</v>
      </c>
      <c r="C665" s="127">
        <v>42858</v>
      </c>
      <c r="D665" s="184" t="s">
        <v>34</v>
      </c>
      <c r="E665" s="184" t="s">
        <v>598</v>
      </c>
      <c r="F665" s="185">
        <v>2500</v>
      </c>
      <c r="G665" s="184" t="s">
        <v>493</v>
      </c>
      <c r="H665" s="184" t="s">
        <v>598</v>
      </c>
      <c r="I665" s="185">
        <v>0</v>
      </c>
      <c r="J665" s="184" t="s">
        <v>598</v>
      </c>
      <c r="K665" s="127">
        <v>42843</v>
      </c>
      <c r="L665" s="184" t="s">
        <v>598</v>
      </c>
      <c r="M665" s="184" t="s">
        <v>102</v>
      </c>
      <c r="N665" s="184" t="s">
        <v>471</v>
      </c>
      <c r="O665" s="184" t="s">
        <v>598</v>
      </c>
      <c r="P665" s="184" t="s">
        <v>63</v>
      </c>
      <c r="Q665" s="184" t="s">
        <v>86</v>
      </c>
      <c r="R665" s="184" t="s">
        <v>598</v>
      </c>
      <c r="S665" s="172">
        <v>42996.326388888891</v>
      </c>
      <c r="T665" s="32" t="s">
        <v>552</v>
      </c>
    </row>
    <row r="666" spans="1:20">
      <c r="A666" s="184" t="s">
        <v>3669</v>
      </c>
      <c r="B666" s="184" t="s">
        <v>4394</v>
      </c>
      <c r="C666" s="127">
        <v>42865</v>
      </c>
      <c r="D666" s="184" t="s">
        <v>10</v>
      </c>
      <c r="E666" s="184" t="s">
        <v>598</v>
      </c>
      <c r="F666" s="185">
        <v>1000</v>
      </c>
      <c r="G666" s="184" t="s">
        <v>493</v>
      </c>
      <c r="H666" s="184">
        <v>3898</v>
      </c>
      <c r="I666" s="185">
        <v>1000</v>
      </c>
      <c r="J666" s="184" t="s">
        <v>598</v>
      </c>
      <c r="K666" s="127">
        <v>42849</v>
      </c>
      <c r="L666" s="184" t="s">
        <v>598</v>
      </c>
      <c r="M666" s="184" t="s">
        <v>102</v>
      </c>
      <c r="N666" s="184" t="s">
        <v>216</v>
      </c>
      <c r="O666" s="184" t="s">
        <v>598</v>
      </c>
      <c r="P666" s="184" t="s">
        <v>63</v>
      </c>
      <c r="Q666" s="184" t="s">
        <v>86</v>
      </c>
      <c r="R666" s="184" t="s">
        <v>598</v>
      </c>
      <c r="S666" s="172">
        <v>42996.326388888891</v>
      </c>
      <c r="T666" s="32" t="s">
        <v>552</v>
      </c>
    </row>
    <row r="667" spans="1:20">
      <c r="A667" s="184" t="s">
        <v>3670</v>
      </c>
      <c r="B667" s="184" t="s">
        <v>4395</v>
      </c>
      <c r="C667" s="127">
        <v>42859</v>
      </c>
      <c r="D667" s="184" t="s">
        <v>34</v>
      </c>
      <c r="E667" s="184" t="s">
        <v>598</v>
      </c>
      <c r="F667" s="185">
        <v>20000</v>
      </c>
      <c r="G667" s="184" t="s">
        <v>493</v>
      </c>
      <c r="H667" s="184" t="s">
        <v>598</v>
      </c>
      <c r="I667" s="185">
        <v>0</v>
      </c>
      <c r="J667" s="184" t="s">
        <v>598</v>
      </c>
      <c r="K667" s="127">
        <v>42849</v>
      </c>
      <c r="L667" s="184" t="s">
        <v>598</v>
      </c>
      <c r="M667" s="184" t="s">
        <v>102</v>
      </c>
      <c r="N667" s="184" t="s">
        <v>169</v>
      </c>
      <c r="O667" s="184" t="s">
        <v>598</v>
      </c>
      <c r="P667" s="184" t="s">
        <v>63</v>
      </c>
      <c r="Q667" s="184" t="s">
        <v>63</v>
      </c>
      <c r="R667" s="184" t="s">
        <v>598</v>
      </c>
      <c r="S667" s="172">
        <v>42996.326388888891</v>
      </c>
      <c r="T667" s="32" t="s">
        <v>552</v>
      </c>
    </row>
    <row r="668" spans="1:20">
      <c r="A668" s="184" t="s">
        <v>3672</v>
      </c>
      <c r="B668" s="184" t="s">
        <v>4396</v>
      </c>
      <c r="C668" s="127">
        <v>42861</v>
      </c>
      <c r="D668" s="184" t="s">
        <v>10</v>
      </c>
      <c r="E668" s="184" t="s">
        <v>598</v>
      </c>
      <c r="F668" s="185">
        <v>3000</v>
      </c>
      <c r="G668" s="184" t="s">
        <v>493</v>
      </c>
      <c r="H668" s="184" t="s">
        <v>598</v>
      </c>
      <c r="I668" s="185">
        <v>0</v>
      </c>
      <c r="J668" s="184" t="s">
        <v>598</v>
      </c>
      <c r="K668" s="127">
        <v>42851</v>
      </c>
      <c r="L668" s="184" t="s">
        <v>598</v>
      </c>
      <c r="M668" s="184" t="s">
        <v>102</v>
      </c>
      <c r="N668" s="184" t="s">
        <v>169</v>
      </c>
      <c r="O668" s="184" t="s">
        <v>598</v>
      </c>
      <c r="P668" s="184" t="s">
        <v>63</v>
      </c>
      <c r="Q668" s="184" t="s">
        <v>63</v>
      </c>
      <c r="R668" s="184" t="s">
        <v>598</v>
      </c>
      <c r="S668" s="172">
        <v>42996.326388888891</v>
      </c>
      <c r="T668" s="32" t="s">
        <v>552</v>
      </c>
    </row>
    <row r="669" spans="1:20">
      <c r="A669" s="184" t="s">
        <v>3673</v>
      </c>
      <c r="B669" s="184" t="s">
        <v>4397</v>
      </c>
      <c r="C669" s="127">
        <v>42871</v>
      </c>
      <c r="D669" s="184" t="s">
        <v>34</v>
      </c>
      <c r="E669" s="184" t="s">
        <v>598</v>
      </c>
      <c r="F669" s="185">
        <v>19000</v>
      </c>
      <c r="G669" s="184" t="s">
        <v>493</v>
      </c>
      <c r="H669" s="184" t="s">
        <v>598</v>
      </c>
      <c r="I669" s="185">
        <v>0</v>
      </c>
      <c r="J669" s="184" t="s">
        <v>598</v>
      </c>
      <c r="K669" s="127">
        <v>42852</v>
      </c>
      <c r="L669" s="184" t="s">
        <v>598</v>
      </c>
      <c r="M669" s="184" t="s">
        <v>102</v>
      </c>
      <c r="N669" s="184" t="s">
        <v>232</v>
      </c>
      <c r="O669" s="184" t="s">
        <v>598</v>
      </c>
      <c r="P669" s="184" t="s">
        <v>63</v>
      </c>
      <c r="Q669" s="184" t="s">
        <v>86</v>
      </c>
      <c r="R669" s="184" t="s">
        <v>598</v>
      </c>
      <c r="S669" s="172">
        <v>42996.326388888891</v>
      </c>
      <c r="T669" s="32" t="s">
        <v>552</v>
      </c>
    </row>
    <row r="670" spans="1:20">
      <c r="A670" s="184" t="s">
        <v>3674</v>
      </c>
      <c r="B670" s="184" t="s">
        <v>4398</v>
      </c>
      <c r="C670" s="127">
        <v>42861</v>
      </c>
      <c r="D670" s="184" t="s">
        <v>10</v>
      </c>
      <c r="E670" s="184" t="s">
        <v>598</v>
      </c>
      <c r="F670" s="185">
        <v>3000</v>
      </c>
      <c r="G670" s="184" t="s">
        <v>493</v>
      </c>
      <c r="H670" s="184" t="s">
        <v>598</v>
      </c>
      <c r="I670" s="185">
        <v>0</v>
      </c>
      <c r="J670" s="184" t="s">
        <v>598</v>
      </c>
      <c r="K670" s="127">
        <v>42852</v>
      </c>
      <c r="L670" s="184" t="s">
        <v>598</v>
      </c>
      <c r="M670" s="184" t="s">
        <v>102</v>
      </c>
      <c r="N670" s="184" t="s">
        <v>169</v>
      </c>
      <c r="O670" s="184" t="s">
        <v>598</v>
      </c>
      <c r="P670" s="184" t="s">
        <v>63</v>
      </c>
      <c r="Q670" s="184" t="s">
        <v>63</v>
      </c>
      <c r="R670" s="184" t="s">
        <v>598</v>
      </c>
      <c r="S670" s="172">
        <v>42996.326388888891</v>
      </c>
      <c r="T670" s="32" t="s">
        <v>552</v>
      </c>
    </row>
    <row r="671" spans="1:20">
      <c r="A671" s="184" t="s">
        <v>3676</v>
      </c>
      <c r="B671" s="184" t="s">
        <v>4399</v>
      </c>
      <c r="C671" s="127">
        <v>42871</v>
      </c>
      <c r="D671" s="184" t="s">
        <v>34</v>
      </c>
      <c r="E671" s="184" t="s">
        <v>598</v>
      </c>
      <c r="F671" s="185">
        <v>19000</v>
      </c>
      <c r="G671" s="184" t="s">
        <v>493</v>
      </c>
      <c r="H671" s="184" t="s">
        <v>598</v>
      </c>
      <c r="I671" s="185">
        <v>0</v>
      </c>
      <c r="J671" s="184" t="s">
        <v>598</v>
      </c>
      <c r="K671" s="127">
        <v>42852</v>
      </c>
      <c r="L671" s="184" t="s">
        <v>598</v>
      </c>
      <c r="M671" s="184" t="s">
        <v>102</v>
      </c>
      <c r="N671" s="184" t="s">
        <v>232</v>
      </c>
      <c r="O671" s="184" t="s">
        <v>598</v>
      </c>
      <c r="P671" s="184" t="s">
        <v>63</v>
      </c>
      <c r="Q671" s="184" t="s">
        <v>3021</v>
      </c>
      <c r="R671" s="184" t="s">
        <v>598</v>
      </c>
      <c r="S671" s="172">
        <v>42996.326388888891</v>
      </c>
      <c r="T671" s="32" t="s">
        <v>552</v>
      </c>
    </row>
    <row r="672" spans="1:20">
      <c r="A672" s="184" t="s">
        <v>3678</v>
      </c>
      <c r="B672" s="184" t="s">
        <v>4400</v>
      </c>
      <c r="C672" s="127">
        <v>42871</v>
      </c>
      <c r="D672" s="184" t="s">
        <v>34</v>
      </c>
      <c r="E672" s="184" t="s">
        <v>598</v>
      </c>
      <c r="F672" s="185">
        <v>19000</v>
      </c>
      <c r="G672" s="184" t="s">
        <v>493</v>
      </c>
      <c r="H672" s="184" t="s">
        <v>598</v>
      </c>
      <c r="I672" s="185">
        <v>0</v>
      </c>
      <c r="J672" s="184" t="s">
        <v>598</v>
      </c>
      <c r="K672" s="127">
        <v>42852</v>
      </c>
      <c r="L672" s="184" t="s">
        <v>37</v>
      </c>
      <c r="M672" s="184" t="s">
        <v>102</v>
      </c>
      <c r="N672" s="184" t="s">
        <v>232</v>
      </c>
      <c r="O672" s="184" t="s">
        <v>598</v>
      </c>
      <c r="P672" s="184" t="s">
        <v>63</v>
      </c>
      <c r="Q672" s="184" t="s">
        <v>3021</v>
      </c>
      <c r="R672" s="184" t="s">
        <v>598</v>
      </c>
      <c r="S672" s="172">
        <v>42996.326388888891</v>
      </c>
      <c r="T672" s="32" t="s">
        <v>552</v>
      </c>
    </row>
    <row r="673" spans="1:20">
      <c r="A673" s="184" t="s">
        <v>3680</v>
      </c>
      <c r="B673" s="184" t="s">
        <v>4401</v>
      </c>
      <c r="C673" s="127">
        <v>42861</v>
      </c>
      <c r="D673" s="184" t="s">
        <v>10</v>
      </c>
      <c r="E673" s="184" t="s">
        <v>598</v>
      </c>
      <c r="F673" s="185">
        <v>7500</v>
      </c>
      <c r="G673" s="184" t="s">
        <v>493</v>
      </c>
      <c r="H673" s="184">
        <v>3875</v>
      </c>
      <c r="I673" s="185">
        <v>7500</v>
      </c>
      <c r="J673" s="184" t="s">
        <v>598</v>
      </c>
      <c r="K673" s="127">
        <v>42464</v>
      </c>
      <c r="L673" s="184" t="s">
        <v>118</v>
      </c>
      <c r="M673" s="184" t="s">
        <v>102</v>
      </c>
      <c r="N673" s="184" t="s">
        <v>169</v>
      </c>
      <c r="O673" s="184" t="s">
        <v>598</v>
      </c>
      <c r="P673" s="184" t="s">
        <v>63</v>
      </c>
      <c r="Q673" s="184" t="s">
        <v>63</v>
      </c>
      <c r="R673" s="184" t="s">
        <v>598</v>
      </c>
      <c r="S673" s="172">
        <v>42996.326388888891</v>
      </c>
      <c r="T673" s="32" t="s">
        <v>552</v>
      </c>
    </row>
    <row r="674" spans="1:20">
      <c r="A674" s="184" t="s">
        <v>3682</v>
      </c>
      <c r="B674" s="184" t="s">
        <v>4402</v>
      </c>
      <c r="C674" s="127">
        <v>42863</v>
      </c>
      <c r="D674" s="184" t="s">
        <v>10</v>
      </c>
      <c r="E674" s="184" t="s">
        <v>598</v>
      </c>
      <c r="F674" s="185">
        <v>5000</v>
      </c>
      <c r="G674" s="184" t="s">
        <v>493</v>
      </c>
      <c r="H674" s="184">
        <v>3832</v>
      </c>
      <c r="I674" s="185">
        <v>40000</v>
      </c>
      <c r="J674" s="184" t="s">
        <v>598</v>
      </c>
      <c r="K674" s="127">
        <v>42756</v>
      </c>
      <c r="L674" s="184" t="s">
        <v>598</v>
      </c>
      <c r="M674" s="184" t="s">
        <v>102</v>
      </c>
      <c r="N674" s="184" t="s">
        <v>233</v>
      </c>
      <c r="O674" s="184" t="s">
        <v>598</v>
      </c>
      <c r="P674" s="184" t="s">
        <v>63</v>
      </c>
      <c r="Q674" s="184" t="s">
        <v>86</v>
      </c>
      <c r="R674" s="184" t="s">
        <v>598</v>
      </c>
      <c r="S674" s="172">
        <v>42996.326388888891</v>
      </c>
      <c r="T674" s="32" t="s">
        <v>552</v>
      </c>
    </row>
    <row r="675" spans="1:20">
      <c r="A675" s="184" t="s">
        <v>3684</v>
      </c>
      <c r="B675" s="184" t="s">
        <v>4403</v>
      </c>
      <c r="C675" s="127">
        <v>42859</v>
      </c>
      <c r="D675" s="184" t="s">
        <v>10</v>
      </c>
      <c r="E675" s="184" t="s">
        <v>598</v>
      </c>
      <c r="F675" s="185">
        <v>15000</v>
      </c>
      <c r="G675" s="184" t="s">
        <v>493</v>
      </c>
      <c r="H675" s="184">
        <v>2870</v>
      </c>
      <c r="I675" s="185">
        <v>20000</v>
      </c>
      <c r="J675" s="184" t="s">
        <v>598</v>
      </c>
      <c r="K675" s="127">
        <v>42789</v>
      </c>
      <c r="L675" s="184" t="s">
        <v>115</v>
      </c>
      <c r="M675" s="184" t="s">
        <v>102</v>
      </c>
      <c r="N675" s="184" t="s">
        <v>316</v>
      </c>
      <c r="O675" s="184" t="s">
        <v>598</v>
      </c>
      <c r="P675" s="184" t="s">
        <v>63</v>
      </c>
      <c r="Q675" s="184" t="s">
        <v>63</v>
      </c>
      <c r="R675" s="184" t="s">
        <v>598</v>
      </c>
      <c r="S675" s="172">
        <v>42996.326388888891</v>
      </c>
      <c r="T675" s="32" t="s">
        <v>552</v>
      </c>
    </row>
    <row r="676" spans="1:20">
      <c r="A676" s="184" t="s">
        <v>3686</v>
      </c>
      <c r="B676" s="184" t="s">
        <v>4404</v>
      </c>
      <c r="C676" s="127">
        <v>42859</v>
      </c>
      <c r="D676" s="184" t="s">
        <v>10</v>
      </c>
      <c r="E676" s="184" t="s">
        <v>598</v>
      </c>
      <c r="F676" s="185">
        <v>10000</v>
      </c>
      <c r="G676" s="184" t="s">
        <v>493</v>
      </c>
      <c r="H676" s="184">
        <v>3845</v>
      </c>
      <c r="I676" s="185">
        <v>25000</v>
      </c>
      <c r="J676" s="184" t="s">
        <v>598</v>
      </c>
      <c r="K676" s="127">
        <v>42815</v>
      </c>
      <c r="L676" s="184" t="s">
        <v>598</v>
      </c>
      <c r="M676" s="184" t="s">
        <v>102</v>
      </c>
      <c r="N676" s="184" t="s">
        <v>233</v>
      </c>
      <c r="O676" s="184" t="s">
        <v>598</v>
      </c>
      <c r="P676" s="184" t="s">
        <v>63</v>
      </c>
      <c r="Q676" s="184" t="s">
        <v>86</v>
      </c>
      <c r="R676" s="184" t="s">
        <v>598</v>
      </c>
      <c r="S676" s="172">
        <v>42996.326388888891</v>
      </c>
      <c r="T676" s="32" t="s">
        <v>552</v>
      </c>
    </row>
    <row r="677" spans="1:20">
      <c r="A677" s="184" t="s">
        <v>3688</v>
      </c>
      <c r="B677" s="184" t="s">
        <v>4405</v>
      </c>
      <c r="C677" s="127">
        <v>42859</v>
      </c>
      <c r="D677" s="184" t="s">
        <v>10</v>
      </c>
      <c r="E677" s="184" t="s">
        <v>598</v>
      </c>
      <c r="F677" s="185">
        <v>10000</v>
      </c>
      <c r="G677" s="184" t="s">
        <v>493</v>
      </c>
      <c r="H677" s="184">
        <v>3846</v>
      </c>
      <c r="I677" s="185">
        <v>25000</v>
      </c>
      <c r="J677" s="184" t="s">
        <v>598</v>
      </c>
      <c r="K677" s="127">
        <v>42815</v>
      </c>
      <c r="L677" s="184" t="s">
        <v>598</v>
      </c>
      <c r="M677" s="184" t="s">
        <v>102</v>
      </c>
      <c r="N677" s="184" t="s">
        <v>233</v>
      </c>
      <c r="O677" s="184" t="s">
        <v>598</v>
      </c>
      <c r="P677" s="184" t="s">
        <v>63</v>
      </c>
      <c r="Q677" s="184" t="s">
        <v>86</v>
      </c>
      <c r="R677" s="184" t="s">
        <v>598</v>
      </c>
      <c r="S677" s="172">
        <v>42996.326388888891</v>
      </c>
      <c r="T677" s="32" t="s">
        <v>552</v>
      </c>
    </row>
    <row r="678" spans="1:20">
      <c r="A678" s="184" t="s">
        <v>3690</v>
      </c>
      <c r="B678" s="184" t="s">
        <v>4406</v>
      </c>
      <c r="C678" s="127">
        <v>42859</v>
      </c>
      <c r="D678" s="184" t="s">
        <v>10</v>
      </c>
      <c r="E678" s="184" t="s">
        <v>598</v>
      </c>
      <c r="F678" s="185">
        <v>10000</v>
      </c>
      <c r="G678" s="184" t="s">
        <v>493</v>
      </c>
      <c r="H678" s="184">
        <v>3847</v>
      </c>
      <c r="I678" s="185">
        <v>25000</v>
      </c>
      <c r="J678" s="184" t="s">
        <v>598</v>
      </c>
      <c r="K678" s="127">
        <v>42816</v>
      </c>
      <c r="L678" s="184" t="s">
        <v>37</v>
      </c>
      <c r="M678" s="184" t="s">
        <v>102</v>
      </c>
      <c r="N678" s="184" t="s">
        <v>244</v>
      </c>
      <c r="O678" s="184" t="s">
        <v>598</v>
      </c>
      <c r="P678" s="184" t="s">
        <v>63</v>
      </c>
      <c r="Q678" s="184" t="s">
        <v>86</v>
      </c>
      <c r="R678" s="184" t="s">
        <v>598</v>
      </c>
      <c r="S678" s="172">
        <v>42996.326388888891</v>
      </c>
      <c r="T678" s="32" t="s">
        <v>552</v>
      </c>
    </row>
    <row r="679" spans="1:20">
      <c r="A679" s="184" t="s">
        <v>3691</v>
      </c>
      <c r="B679" s="184" t="s">
        <v>4407</v>
      </c>
      <c r="C679" s="127">
        <v>42885</v>
      </c>
      <c r="D679" s="184" t="s">
        <v>10</v>
      </c>
      <c r="E679" s="184" t="s">
        <v>598</v>
      </c>
      <c r="F679" s="185">
        <v>5000</v>
      </c>
      <c r="G679" s="184" t="s">
        <v>493</v>
      </c>
      <c r="H679" s="184">
        <v>3897</v>
      </c>
      <c r="I679" s="185">
        <v>5000</v>
      </c>
      <c r="J679" s="184" t="s">
        <v>598</v>
      </c>
      <c r="K679" s="127">
        <v>42817</v>
      </c>
      <c r="L679" s="184" t="s">
        <v>598</v>
      </c>
      <c r="M679" s="184" t="s">
        <v>102</v>
      </c>
      <c r="N679" s="184" t="s">
        <v>216</v>
      </c>
      <c r="O679" s="184" t="s">
        <v>598</v>
      </c>
      <c r="P679" s="184" t="s">
        <v>63</v>
      </c>
      <c r="Q679" s="184" t="s">
        <v>63</v>
      </c>
      <c r="R679" s="184" t="s">
        <v>598</v>
      </c>
      <c r="S679" s="172">
        <v>42996.326388888891</v>
      </c>
      <c r="T679" s="32" t="s">
        <v>552</v>
      </c>
    </row>
    <row r="680" spans="1:20">
      <c r="A680" s="184" t="s">
        <v>3693</v>
      </c>
      <c r="B680" s="184" t="s">
        <v>4408</v>
      </c>
      <c r="C680" s="127">
        <v>42871</v>
      </c>
      <c r="D680" s="184" t="s">
        <v>34</v>
      </c>
      <c r="E680" s="184" t="s">
        <v>598</v>
      </c>
      <c r="F680" s="185">
        <v>19000</v>
      </c>
      <c r="G680" s="184" t="s">
        <v>493</v>
      </c>
      <c r="H680" s="184" t="s">
        <v>598</v>
      </c>
      <c r="I680" s="185">
        <v>0</v>
      </c>
      <c r="J680" s="184" t="s">
        <v>598</v>
      </c>
      <c r="K680" s="127">
        <v>42823</v>
      </c>
      <c r="L680" s="184" t="s">
        <v>37</v>
      </c>
      <c r="M680" s="184" t="s">
        <v>102</v>
      </c>
      <c r="N680" s="184" t="s">
        <v>232</v>
      </c>
      <c r="O680" s="184" t="s">
        <v>598</v>
      </c>
      <c r="P680" s="184" t="s">
        <v>63</v>
      </c>
      <c r="Q680" s="184" t="s">
        <v>63</v>
      </c>
      <c r="R680" s="184" t="s">
        <v>598</v>
      </c>
      <c r="S680" s="172">
        <v>42996.326388888891</v>
      </c>
      <c r="T680" s="32" t="s">
        <v>552</v>
      </c>
    </row>
    <row r="681" spans="1:20">
      <c r="A681" s="184" t="s">
        <v>3695</v>
      </c>
      <c r="B681" s="184" t="s">
        <v>4409</v>
      </c>
      <c r="C681" s="127">
        <v>42857</v>
      </c>
      <c r="D681" s="184" t="s">
        <v>10</v>
      </c>
      <c r="E681" s="184" t="s">
        <v>598</v>
      </c>
      <c r="F681" s="185">
        <v>10000</v>
      </c>
      <c r="G681" s="184" t="s">
        <v>493</v>
      </c>
      <c r="H681" s="184">
        <v>3867</v>
      </c>
      <c r="I681" s="185">
        <v>15000</v>
      </c>
      <c r="J681" s="184" t="s">
        <v>598</v>
      </c>
      <c r="K681" s="127">
        <v>42825</v>
      </c>
      <c r="L681" s="184" t="s">
        <v>598</v>
      </c>
      <c r="M681" s="184" t="s">
        <v>102</v>
      </c>
      <c r="N681" s="184" t="s">
        <v>232</v>
      </c>
      <c r="O681" s="184" t="s">
        <v>598</v>
      </c>
      <c r="P681" s="184" t="s">
        <v>63</v>
      </c>
      <c r="Q681" s="184" t="s">
        <v>63</v>
      </c>
      <c r="R681" s="184" t="s">
        <v>598</v>
      </c>
      <c r="S681" s="172">
        <v>42996.326388888891</v>
      </c>
      <c r="T681" s="32" t="s">
        <v>552</v>
      </c>
    </row>
    <row r="682" spans="1:20">
      <c r="A682" s="184" t="s">
        <v>3697</v>
      </c>
      <c r="B682" s="184" t="s">
        <v>4410</v>
      </c>
      <c r="C682" s="127">
        <v>42861</v>
      </c>
      <c r="D682" s="184" t="s">
        <v>10</v>
      </c>
      <c r="E682" s="184" t="s">
        <v>598</v>
      </c>
      <c r="F682" s="185">
        <v>2000</v>
      </c>
      <c r="G682" s="184" t="s">
        <v>493</v>
      </c>
      <c r="H682" s="184" t="s">
        <v>598</v>
      </c>
      <c r="I682" s="185">
        <v>0</v>
      </c>
      <c r="J682" s="184" t="s">
        <v>598</v>
      </c>
      <c r="K682" s="127">
        <v>42860</v>
      </c>
      <c r="L682" s="184" t="s">
        <v>118</v>
      </c>
      <c r="M682" s="184" t="s">
        <v>108</v>
      </c>
      <c r="N682" s="184" t="s">
        <v>341</v>
      </c>
      <c r="O682" s="184" t="s">
        <v>598</v>
      </c>
      <c r="P682" s="184" t="s">
        <v>30</v>
      </c>
      <c r="Q682" s="184" t="s">
        <v>30</v>
      </c>
      <c r="R682" s="184" t="s">
        <v>598</v>
      </c>
      <c r="S682" s="172">
        <v>42996.326388888891</v>
      </c>
      <c r="T682" s="32" t="s">
        <v>552</v>
      </c>
    </row>
    <row r="683" spans="1:20">
      <c r="A683" s="184" t="s">
        <v>3699</v>
      </c>
      <c r="B683" s="184" t="s">
        <v>4411</v>
      </c>
      <c r="C683" s="127">
        <v>42865</v>
      </c>
      <c r="D683" s="184" t="s">
        <v>10</v>
      </c>
      <c r="E683" s="184" t="s">
        <v>598</v>
      </c>
      <c r="F683" s="185">
        <v>1000</v>
      </c>
      <c r="G683" s="184" t="s">
        <v>493</v>
      </c>
      <c r="H683" s="184" t="s">
        <v>598</v>
      </c>
      <c r="I683" s="185">
        <v>0</v>
      </c>
      <c r="J683" s="184" t="s">
        <v>598</v>
      </c>
      <c r="K683" s="127">
        <v>42863</v>
      </c>
      <c r="L683" s="184" t="s">
        <v>598</v>
      </c>
      <c r="M683" s="184" t="s">
        <v>108</v>
      </c>
      <c r="N683" s="184" t="s">
        <v>185</v>
      </c>
      <c r="O683" s="184" t="s">
        <v>598</v>
      </c>
      <c r="P683" s="184" t="s">
        <v>30</v>
      </c>
      <c r="Q683" s="184" t="s">
        <v>30</v>
      </c>
      <c r="R683" s="184" t="s">
        <v>598</v>
      </c>
      <c r="S683" s="172">
        <v>42996.326388888891</v>
      </c>
      <c r="T683" s="32" t="s">
        <v>552</v>
      </c>
    </row>
    <row r="684" spans="1:20">
      <c r="A684" s="184" t="s">
        <v>3701</v>
      </c>
      <c r="B684" s="184" t="s">
        <v>4412</v>
      </c>
      <c r="C684" s="127">
        <v>42872</v>
      </c>
      <c r="D684" s="184" t="s">
        <v>10</v>
      </c>
      <c r="E684" s="184" t="s">
        <v>598</v>
      </c>
      <c r="F684" s="185">
        <v>2000</v>
      </c>
      <c r="G684" s="184" t="s">
        <v>493</v>
      </c>
      <c r="H684" s="184" t="s">
        <v>598</v>
      </c>
      <c r="I684" s="185">
        <v>0</v>
      </c>
      <c r="J684" s="184" t="s">
        <v>598</v>
      </c>
      <c r="K684" s="127">
        <v>42867</v>
      </c>
      <c r="L684" s="184" t="s">
        <v>122</v>
      </c>
      <c r="M684" s="184" t="s">
        <v>108</v>
      </c>
      <c r="N684" s="184" t="s">
        <v>3131</v>
      </c>
      <c r="O684" s="184" t="s">
        <v>598</v>
      </c>
      <c r="P684" s="184" t="s">
        <v>30</v>
      </c>
      <c r="Q684" s="184" t="s">
        <v>30</v>
      </c>
      <c r="R684" s="184" t="s">
        <v>598</v>
      </c>
      <c r="S684" s="172">
        <v>42996.326388888891</v>
      </c>
      <c r="T684" s="32" t="s">
        <v>552</v>
      </c>
    </row>
    <row r="685" spans="1:20">
      <c r="A685" s="184" t="s">
        <v>3703</v>
      </c>
      <c r="B685" s="184" t="s">
        <v>4413</v>
      </c>
      <c r="C685" s="127">
        <v>42870</v>
      </c>
      <c r="D685" s="184" t="s">
        <v>34</v>
      </c>
      <c r="E685" s="184" t="s">
        <v>598</v>
      </c>
      <c r="F685" s="185">
        <v>1000</v>
      </c>
      <c r="G685" s="184" t="s">
        <v>493</v>
      </c>
      <c r="H685" s="184" t="s">
        <v>598</v>
      </c>
      <c r="I685" s="185">
        <v>0</v>
      </c>
      <c r="J685" s="184" t="s">
        <v>598</v>
      </c>
      <c r="K685" s="127">
        <v>42868</v>
      </c>
      <c r="L685" s="184" t="s">
        <v>120</v>
      </c>
      <c r="M685" s="184" t="s">
        <v>108</v>
      </c>
      <c r="N685" s="184" t="s">
        <v>598</v>
      </c>
      <c r="O685" s="184" t="s">
        <v>598</v>
      </c>
      <c r="P685" s="184" t="s">
        <v>30</v>
      </c>
      <c r="Q685" s="184" t="s">
        <v>30</v>
      </c>
      <c r="R685" s="184" t="s">
        <v>598</v>
      </c>
      <c r="S685" s="172">
        <v>42996.326388888891</v>
      </c>
      <c r="T685" s="32" t="s">
        <v>552</v>
      </c>
    </row>
    <row r="686" spans="1:20">
      <c r="A686" s="184" t="s">
        <v>3705</v>
      </c>
      <c r="B686" s="184" t="s">
        <v>4414</v>
      </c>
      <c r="C686" s="127">
        <v>42878</v>
      </c>
      <c r="D686" s="184" t="s">
        <v>10</v>
      </c>
      <c r="E686" s="184" t="s">
        <v>598</v>
      </c>
      <c r="F686" s="185">
        <v>1000</v>
      </c>
      <c r="G686" s="184" t="s">
        <v>493</v>
      </c>
      <c r="H686" s="184" t="s">
        <v>598</v>
      </c>
      <c r="I686" s="185">
        <v>0</v>
      </c>
      <c r="J686" s="184" t="s">
        <v>598</v>
      </c>
      <c r="K686" s="127">
        <v>42871</v>
      </c>
      <c r="L686" s="184" t="s">
        <v>598</v>
      </c>
      <c r="M686" s="184" t="s">
        <v>108</v>
      </c>
      <c r="N686" s="184" t="s">
        <v>337</v>
      </c>
      <c r="O686" s="184" t="s">
        <v>598</v>
      </c>
      <c r="P686" s="184" t="s">
        <v>30</v>
      </c>
      <c r="Q686" s="184" t="s">
        <v>30</v>
      </c>
      <c r="R686" s="184" t="s">
        <v>598</v>
      </c>
      <c r="S686" s="172">
        <v>42996.326388888891</v>
      </c>
      <c r="T686" s="32" t="s">
        <v>552</v>
      </c>
    </row>
    <row r="687" spans="1:20">
      <c r="A687" s="184" t="s">
        <v>3707</v>
      </c>
      <c r="B687" s="184" t="s">
        <v>4415</v>
      </c>
      <c r="C687" s="127">
        <v>42877</v>
      </c>
      <c r="D687" s="184" t="s">
        <v>10</v>
      </c>
      <c r="E687" s="184" t="s">
        <v>598</v>
      </c>
      <c r="F687" s="185">
        <v>5000</v>
      </c>
      <c r="G687" s="184" t="s">
        <v>493</v>
      </c>
      <c r="H687" s="184" t="s">
        <v>598</v>
      </c>
      <c r="I687" s="185">
        <v>0</v>
      </c>
      <c r="J687" s="184" t="s">
        <v>598</v>
      </c>
      <c r="K687" s="127">
        <v>42873</v>
      </c>
      <c r="L687" s="184" t="s">
        <v>134</v>
      </c>
      <c r="M687" s="184" t="s">
        <v>108</v>
      </c>
      <c r="N687" s="184" t="s">
        <v>163</v>
      </c>
      <c r="O687" s="184" t="s">
        <v>598</v>
      </c>
      <c r="P687" s="184" t="s">
        <v>30</v>
      </c>
      <c r="Q687" s="184" t="s">
        <v>30</v>
      </c>
      <c r="R687" s="184" t="s">
        <v>598</v>
      </c>
      <c r="S687" s="172">
        <v>42996.326388888891</v>
      </c>
      <c r="T687" s="32" t="s">
        <v>552</v>
      </c>
    </row>
    <row r="688" spans="1:20">
      <c r="A688" s="184" t="s">
        <v>3709</v>
      </c>
      <c r="B688" s="184" t="s">
        <v>4416</v>
      </c>
      <c r="C688" s="127">
        <v>42871</v>
      </c>
      <c r="D688" s="184" t="s">
        <v>10</v>
      </c>
      <c r="E688" s="184" t="s">
        <v>598</v>
      </c>
      <c r="F688" s="185">
        <v>5000</v>
      </c>
      <c r="G688" s="184" t="s">
        <v>493</v>
      </c>
      <c r="H688" s="184" t="s">
        <v>598</v>
      </c>
      <c r="I688" s="185">
        <v>0</v>
      </c>
      <c r="J688" s="184" t="s">
        <v>598</v>
      </c>
      <c r="K688" s="127">
        <v>42835</v>
      </c>
      <c r="L688" s="184" t="s">
        <v>134</v>
      </c>
      <c r="M688" s="184" t="s">
        <v>108</v>
      </c>
      <c r="N688" s="184" t="s">
        <v>165</v>
      </c>
      <c r="O688" s="184" t="s">
        <v>598</v>
      </c>
      <c r="P688" s="184" t="s">
        <v>30</v>
      </c>
      <c r="Q688" s="184" t="s">
        <v>30</v>
      </c>
      <c r="R688" s="184" t="s">
        <v>598</v>
      </c>
      <c r="S688" s="172">
        <v>42996.326388888891</v>
      </c>
      <c r="T688" s="32" t="s">
        <v>552</v>
      </c>
    </row>
    <row r="689" spans="1:20">
      <c r="A689" s="184" t="s">
        <v>3711</v>
      </c>
      <c r="B689" s="184" t="s">
        <v>4417</v>
      </c>
      <c r="C689" s="127">
        <v>42880</v>
      </c>
      <c r="D689" s="184" t="s">
        <v>3077</v>
      </c>
      <c r="E689" s="184" t="s">
        <v>598</v>
      </c>
      <c r="F689" s="185">
        <v>5000</v>
      </c>
      <c r="G689" s="184" t="s">
        <v>493</v>
      </c>
      <c r="H689" s="184" t="s">
        <v>598</v>
      </c>
      <c r="I689" s="185">
        <v>0</v>
      </c>
      <c r="J689" s="184" t="s">
        <v>598</v>
      </c>
      <c r="K689" s="127">
        <v>42837</v>
      </c>
      <c r="L689" s="184" t="s">
        <v>134</v>
      </c>
      <c r="M689" s="184" t="s">
        <v>108</v>
      </c>
      <c r="N689" s="184" t="s">
        <v>182</v>
      </c>
      <c r="O689" s="184" t="s">
        <v>598</v>
      </c>
      <c r="P689" s="184" t="s">
        <v>30</v>
      </c>
      <c r="Q689" s="184" t="s">
        <v>30</v>
      </c>
      <c r="R689" s="184" t="s">
        <v>598</v>
      </c>
      <c r="S689" s="172">
        <v>42996.326388888891</v>
      </c>
      <c r="T689" s="32" t="s">
        <v>552</v>
      </c>
    </row>
    <row r="690" spans="1:20">
      <c r="A690" s="184" t="s">
        <v>3713</v>
      </c>
      <c r="B690" s="184" t="s">
        <v>4418</v>
      </c>
      <c r="C690" s="127">
        <v>42867</v>
      </c>
      <c r="D690" s="184" t="s">
        <v>10</v>
      </c>
      <c r="E690" s="184" t="s">
        <v>598</v>
      </c>
      <c r="F690" s="185">
        <v>12000</v>
      </c>
      <c r="G690" s="184" t="s">
        <v>493</v>
      </c>
      <c r="H690" s="184" t="s">
        <v>598</v>
      </c>
      <c r="I690" s="185">
        <v>0</v>
      </c>
      <c r="J690" s="184" t="s">
        <v>598</v>
      </c>
      <c r="K690" s="127">
        <v>42846</v>
      </c>
      <c r="L690" s="184" t="s">
        <v>134</v>
      </c>
      <c r="M690" s="184" t="s">
        <v>108</v>
      </c>
      <c r="N690" s="184" t="s">
        <v>3363</v>
      </c>
      <c r="O690" s="184" t="s">
        <v>598</v>
      </c>
      <c r="P690" s="184" t="s">
        <v>30</v>
      </c>
      <c r="Q690" s="184" t="s">
        <v>30</v>
      </c>
      <c r="R690" s="184" t="s">
        <v>598</v>
      </c>
      <c r="S690" s="172">
        <v>42996.326388888891</v>
      </c>
      <c r="T690" s="32" t="s">
        <v>552</v>
      </c>
    </row>
    <row r="691" spans="1:20">
      <c r="A691" s="184" t="s">
        <v>3715</v>
      </c>
      <c r="B691" s="184" t="s">
        <v>4419</v>
      </c>
      <c r="C691" s="127">
        <v>42858</v>
      </c>
      <c r="D691" s="184" t="s">
        <v>10</v>
      </c>
      <c r="E691" s="184" t="s">
        <v>598</v>
      </c>
      <c r="F691" s="185">
        <v>1000</v>
      </c>
      <c r="G691" s="184" t="s">
        <v>493</v>
      </c>
      <c r="H691" s="184" t="s">
        <v>598</v>
      </c>
      <c r="I691" s="185">
        <v>0</v>
      </c>
      <c r="J691" s="184" t="s">
        <v>598</v>
      </c>
      <c r="K691" s="127">
        <v>42850</v>
      </c>
      <c r="L691" s="184" t="s">
        <v>598</v>
      </c>
      <c r="M691" s="184" t="s">
        <v>108</v>
      </c>
      <c r="N691" s="184" t="s">
        <v>3363</v>
      </c>
      <c r="O691" s="184" t="s">
        <v>598</v>
      </c>
      <c r="P691" s="184" t="s">
        <v>30</v>
      </c>
      <c r="Q691" s="184" t="s">
        <v>30</v>
      </c>
      <c r="R691" s="184" t="s">
        <v>598</v>
      </c>
      <c r="S691" s="172">
        <v>42996.326388888891</v>
      </c>
      <c r="T691" s="32" t="s">
        <v>552</v>
      </c>
    </row>
    <row r="692" spans="1:20">
      <c r="A692" s="184" t="s">
        <v>3717</v>
      </c>
      <c r="B692" s="184" t="s">
        <v>4420</v>
      </c>
      <c r="C692" s="127">
        <v>42871</v>
      </c>
      <c r="D692" s="184" t="s">
        <v>10</v>
      </c>
      <c r="E692" s="184" t="s">
        <v>598</v>
      </c>
      <c r="F692" s="185">
        <v>5000</v>
      </c>
      <c r="G692" s="184" t="s">
        <v>493</v>
      </c>
      <c r="H692" s="184" t="s">
        <v>598</v>
      </c>
      <c r="I692" s="185">
        <v>0</v>
      </c>
      <c r="J692" s="184" t="s">
        <v>598</v>
      </c>
      <c r="K692" s="127">
        <v>42851</v>
      </c>
      <c r="L692" s="184" t="s">
        <v>598</v>
      </c>
      <c r="M692" s="184" t="s">
        <v>108</v>
      </c>
      <c r="N692" s="184" t="s">
        <v>165</v>
      </c>
      <c r="O692" s="184" t="s">
        <v>598</v>
      </c>
      <c r="P692" s="184" t="s">
        <v>30</v>
      </c>
      <c r="Q692" s="184" t="s">
        <v>30</v>
      </c>
      <c r="R692" s="184" t="s">
        <v>598</v>
      </c>
      <c r="S692" s="172">
        <v>42996.326388888891</v>
      </c>
      <c r="T692" s="32" t="s">
        <v>552</v>
      </c>
    </row>
    <row r="693" spans="1:20">
      <c r="A693" s="184" t="s">
        <v>3719</v>
      </c>
      <c r="B693" s="184" t="s">
        <v>4421</v>
      </c>
      <c r="C693" s="127">
        <v>42872</v>
      </c>
      <c r="D693" s="184" t="s">
        <v>10</v>
      </c>
      <c r="E693" s="184" t="s">
        <v>598</v>
      </c>
      <c r="F693" s="185">
        <v>5000</v>
      </c>
      <c r="G693" s="184" t="s">
        <v>493</v>
      </c>
      <c r="H693" s="184" t="s">
        <v>598</v>
      </c>
      <c r="I693" s="185">
        <v>0</v>
      </c>
      <c r="J693" s="184" t="s">
        <v>598</v>
      </c>
      <c r="K693" s="127">
        <v>42851</v>
      </c>
      <c r="L693" s="184" t="s">
        <v>134</v>
      </c>
      <c r="M693" s="184" t="s">
        <v>108</v>
      </c>
      <c r="N693" s="184" t="s">
        <v>179</v>
      </c>
      <c r="O693" s="184" t="s">
        <v>598</v>
      </c>
      <c r="P693" s="184" t="s">
        <v>30</v>
      </c>
      <c r="Q693" s="184" t="s">
        <v>30</v>
      </c>
      <c r="R693" s="184" t="s">
        <v>598</v>
      </c>
      <c r="S693" s="172">
        <v>42996.326388888891</v>
      </c>
      <c r="T693" s="32" t="s">
        <v>552</v>
      </c>
    </row>
    <row r="694" spans="1:20">
      <c r="A694" s="184" t="s">
        <v>3721</v>
      </c>
      <c r="B694" s="184" t="s">
        <v>4422</v>
      </c>
      <c r="C694" s="127">
        <v>42857</v>
      </c>
      <c r="D694" s="184" t="s">
        <v>10</v>
      </c>
      <c r="E694" s="184" t="s">
        <v>598</v>
      </c>
      <c r="F694" s="185">
        <v>1500</v>
      </c>
      <c r="G694" s="184" t="s">
        <v>493</v>
      </c>
      <c r="H694" s="184" t="s">
        <v>598</v>
      </c>
      <c r="I694" s="185">
        <v>0</v>
      </c>
      <c r="J694" s="184" t="s">
        <v>598</v>
      </c>
      <c r="K694" s="127">
        <v>42851</v>
      </c>
      <c r="L694" s="184" t="s">
        <v>118</v>
      </c>
      <c r="M694" s="184" t="s">
        <v>108</v>
      </c>
      <c r="N694" s="184" t="s">
        <v>165</v>
      </c>
      <c r="O694" s="184" t="s">
        <v>598</v>
      </c>
      <c r="P694" s="184" t="s">
        <v>30</v>
      </c>
      <c r="Q694" s="184" t="s">
        <v>30</v>
      </c>
      <c r="R694" s="184" t="s">
        <v>598</v>
      </c>
      <c r="S694" s="172">
        <v>42996.326388888891</v>
      </c>
      <c r="T694" s="32" t="s">
        <v>552</v>
      </c>
    </row>
    <row r="695" spans="1:20">
      <c r="A695" s="184" t="s">
        <v>3723</v>
      </c>
      <c r="B695" s="184" t="s">
        <v>4423</v>
      </c>
      <c r="C695" s="127">
        <v>42866</v>
      </c>
      <c r="D695" s="184" t="s">
        <v>10</v>
      </c>
      <c r="E695" s="184" t="s">
        <v>598</v>
      </c>
      <c r="F695" s="185">
        <v>3500</v>
      </c>
      <c r="G695" s="184" t="s">
        <v>493</v>
      </c>
      <c r="H695" s="184" t="s">
        <v>598</v>
      </c>
      <c r="I695" s="185">
        <v>0</v>
      </c>
      <c r="J695" s="184" t="s">
        <v>598</v>
      </c>
      <c r="K695" s="127">
        <v>42851</v>
      </c>
      <c r="L695" s="184" t="s">
        <v>134</v>
      </c>
      <c r="M695" s="184" t="s">
        <v>108</v>
      </c>
      <c r="N695" s="184" t="s">
        <v>337</v>
      </c>
      <c r="O695" s="184" t="s">
        <v>598</v>
      </c>
      <c r="P695" s="184" t="s">
        <v>30</v>
      </c>
      <c r="Q695" s="184" t="s">
        <v>30</v>
      </c>
      <c r="R695" s="184" t="s">
        <v>598</v>
      </c>
      <c r="S695" s="172">
        <v>42996.326388888891</v>
      </c>
      <c r="T695" s="32" t="s">
        <v>552</v>
      </c>
    </row>
    <row r="696" spans="1:20">
      <c r="A696" s="184" t="s">
        <v>3725</v>
      </c>
      <c r="B696" s="184" t="s">
        <v>4424</v>
      </c>
      <c r="C696" s="127">
        <v>42859</v>
      </c>
      <c r="D696" s="184" t="s">
        <v>10</v>
      </c>
      <c r="E696" s="184" t="s">
        <v>598</v>
      </c>
      <c r="F696" s="185">
        <v>5000</v>
      </c>
      <c r="G696" s="184" t="s">
        <v>493</v>
      </c>
      <c r="H696" s="184" t="s">
        <v>598</v>
      </c>
      <c r="I696" s="185">
        <v>0</v>
      </c>
      <c r="J696" s="184" t="s">
        <v>598</v>
      </c>
      <c r="K696" s="127">
        <v>42881</v>
      </c>
      <c r="L696" s="184" t="s">
        <v>134</v>
      </c>
      <c r="M696" s="184" t="s">
        <v>108</v>
      </c>
      <c r="N696" s="184" t="s">
        <v>170</v>
      </c>
      <c r="O696" s="184" t="s">
        <v>598</v>
      </c>
      <c r="P696" s="184" t="s">
        <v>30</v>
      </c>
      <c r="Q696" s="184" t="s">
        <v>30</v>
      </c>
      <c r="R696" s="184" t="s">
        <v>598</v>
      </c>
      <c r="S696" s="172">
        <v>42996.326388888891</v>
      </c>
      <c r="T696" s="32" t="s">
        <v>552</v>
      </c>
    </row>
    <row r="697" spans="1:20">
      <c r="A697" s="184" t="s">
        <v>3727</v>
      </c>
      <c r="B697" s="184" t="s">
        <v>4425</v>
      </c>
      <c r="C697" s="127">
        <v>42858</v>
      </c>
      <c r="D697" s="184" t="s">
        <v>10</v>
      </c>
      <c r="E697" s="184" t="s">
        <v>598</v>
      </c>
      <c r="F697" s="185">
        <v>5000</v>
      </c>
      <c r="G697" s="184" t="s">
        <v>493</v>
      </c>
      <c r="H697" s="184" t="s">
        <v>598</v>
      </c>
      <c r="I697" s="185">
        <v>0</v>
      </c>
      <c r="J697" s="184" t="s">
        <v>598</v>
      </c>
      <c r="K697" s="127">
        <v>42852</v>
      </c>
      <c r="L697" s="184" t="s">
        <v>134</v>
      </c>
      <c r="M697" s="184" t="s">
        <v>108</v>
      </c>
      <c r="N697" s="184" t="s">
        <v>472</v>
      </c>
      <c r="O697" s="184" t="s">
        <v>598</v>
      </c>
      <c r="P697" s="184" t="s">
        <v>30</v>
      </c>
      <c r="Q697" s="184" t="s">
        <v>30</v>
      </c>
      <c r="R697" s="184" t="s">
        <v>598</v>
      </c>
      <c r="S697" s="172">
        <v>42996.326388888891</v>
      </c>
      <c r="T697" s="32" t="s">
        <v>552</v>
      </c>
    </row>
  </sheetData>
  <conditionalFormatting sqref="A2:B6">
    <cfRule type="duplicateValues" dxfId="15" priority="1"/>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sheetPr codeName="Sheet5"/>
  <dimension ref="A1:L262"/>
  <sheetViews>
    <sheetView zoomScaleNormal="100" workbookViewId="0">
      <pane ySplit="1" topLeftCell="A2" activePane="bottomLeft" state="frozen"/>
      <selection pane="bottomLeft" activeCell="A2" sqref="A2"/>
    </sheetView>
  </sheetViews>
  <sheetFormatPr defaultRowHeight="15"/>
  <cols>
    <col min="2" max="2" width="12.140625" style="127" bestFit="1" customWidth="1"/>
    <col min="3" max="3" width="28.42578125" bestFit="1" customWidth="1"/>
    <col min="4" max="4" width="22.85546875" bestFit="1" customWidth="1"/>
    <col min="5" max="5" width="12.42578125" bestFit="1" customWidth="1"/>
    <col min="6" max="6" width="12.42578125" customWidth="1"/>
    <col min="7" max="7" width="9.42578125" bestFit="1" customWidth="1"/>
    <col min="8" max="8" width="16.140625" bestFit="1" customWidth="1"/>
    <col min="9" max="9" width="9.42578125" style="124" bestFit="1" customWidth="1"/>
    <col min="10" max="10" width="16.7109375" bestFit="1" customWidth="1"/>
    <col min="11" max="11" width="28.140625" style="172" bestFit="1" customWidth="1"/>
    <col min="12" max="12" width="13.42578125" style="32" bestFit="1" customWidth="1"/>
  </cols>
  <sheetData>
    <row r="1" spans="1:12">
      <c r="A1" s="14" t="s">
        <v>139</v>
      </c>
      <c r="B1" s="128" t="s">
        <v>152</v>
      </c>
      <c r="C1" s="18" t="s">
        <v>317</v>
      </c>
      <c r="D1" s="18" t="s">
        <v>318</v>
      </c>
      <c r="E1" s="18" t="s">
        <v>319</v>
      </c>
      <c r="F1" s="18" t="s">
        <v>10</v>
      </c>
      <c r="G1" s="19" t="s">
        <v>153</v>
      </c>
      <c r="H1" s="19" t="s">
        <v>154</v>
      </c>
      <c r="I1" s="130" t="s">
        <v>155</v>
      </c>
      <c r="J1" s="19" t="s">
        <v>151</v>
      </c>
      <c r="K1" s="173" t="s">
        <v>334</v>
      </c>
      <c r="L1" s="29" t="s">
        <v>333</v>
      </c>
    </row>
    <row r="2" spans="1:12">
      <c r="A2" s="184">
        <v>1</v>
      </c>
      <c r="B2" s="127">
        <v>42856</v>
      </c>
      <c r="C2" s="184" t="s">
        <v>4426</v>
      </c>
      <c r="D2" s="184" t="s">
        <v>320</v>
      </c>
      <c r="E2" s="184" t="s">
        <v>321</v>
      </c>
      <c r="F2" s="184"/>
      <c r="G2" s="184" t="s">
        <v>34</v>
      </c>
      <c r="H2" s="184"/>
      <c r="I2" s="185">
        <v>500</v>
      </c>
      <c r="J2" s="184"/>
      <c r="K2" s="172">
        <v>42996.32916666667</v>
      </c>
      <c r="L2" s="32" t="s">
        <v>552</v>
      </c>
    </row>
    <row r="3" spans="1:12">
      <c r="A3" s="184">
        <v>2</v>
      </c>
      <c r="B3" s="127">
        <v>42856</v>
      </c>
      <c r="C3" s="184" t="s">
        <v>495</v>
      </c>
      <c r="D3" s="184" t="s">
        <v>322</v>
      </c>
      <c r="E3" s="184" t="s">
        <v>85</v>
      </c>
      <c r="F3" s="184"/>
      <c r="G3" s="184" t="s">
        <v>34</v>
      </c>
      <c r="H3" s="184"/>
      <c r="I3" s="185">
        <v>700</v>
      </c>
      <c r="J3" s="184"/>
      <c r="K3" s="172">
        <v>42996.32916666667</v>
      </c>
      <c r="L3" s="32" t="s">
        <v>552</v>
      </c>
    </row>
    <row r="4" spans="1:12">
      <c r="A4" s="184">
        <v>3</v>
      </c>
      <c r="B4" s="127">
        <v>42856</v>
      </c>
      <c r="C4" s="184" t="s">
        <v>495</v>
      </c>
      <c r="D4" s="184" t="s">
        <v>322</v>
      </c>
      <c r="E4" s="184" t="s">
        <v>51</v>
      </c>
      <c r="F4" s="184"/>
      <c r="G4" s="184" t="s">
        <v>34</v>
      </c>
      <c r="H4" s="184"/>
      <c r="I4" s="185">
        <v>600</v>
      </c>
      <c r="J4" s="184"/>
      <c r="K4" s="172">
        <v>42996.32916666667</v>
      </c>
      <c r="L4" s="32" t="s">
        <v>552</v>
      </c>
    </row>
    <row r="5" spans="1:12">
      <c r="A5" s="184">
        <v>4</v>
      </c>
      <c r="B5" s="127">
        <v>42856</v>
      </c>
      <c r="C5" s="184" t="s">
        <v>495</v>
      </c>
      <c r="D5" s="184" t="s">
        <v>322</v>
      </c>
      <c r="E5" s="184" t="s">
        <v>88</v>
      </c>
      <c r="F5" s="184"/>
      <c r="G5" s="184" t="s">
        <v>34</v>
      </c>
      <c r="H5" s="184"/>
      <c r="I5" s="185">
        <v>500</v>
      </c>
      <c r="J5" s="184"/>
      <c r="K5" s="172">
        <v>42996.32916666667</v>
      </c>
      <c r="L5" s="32" t="s">
        <v>552</v>
      </c>
    </row>
    <row r="6" spans="1:12">
      <c r="A6" s="184">
        <v>5</v>
      </c>
      <c r="B6" s="127">
        <v>42857</v>
      </c>
      <c r="C6" s="184" t="s">
        <v>4427</v>
      </c>
      <c r="D6" s="184" t="s">
        <v>320</v>
      </c>
      <c r="E6" s="184"/>
      <c r="F6" s="184"/>
      <c r="G6" s="184" t="s">
        <v>34</v>
      </c>
      <c r="H6" s="184"/>
      <c r="I6" s="185">
        <v>4000</v>
      </c>
      <c r="J6" s="184"/>
      <c r="K6" s="172">
        <v>42996.32916666667</v>
      </c>
      <c r="L6" s="32" t="s">
        <v>552</v>
      </c>
    </row>
    <row r="7" spans="1:12">
      <c r="A7" s="184">
        <v>6</v>
      </c>
      <c r="B7" s="127">
        <v>42858</v>
      </c>
      <c r="C7" s="184" t="s">
        <v>4426</v>
      </c>
      <c r="D7" s="184" t="s">
        <v>320</v>
      </c>
      <c r="E7" s="184" t="s">
        <v>321</v>
      </c>
      <c r="F7" s="184"/>
      <c r="G7" s="184" t="s">
        <v>34</v>
      </c>
      <c r="H7" s="184"/>
      <c r="I7" s="185">
        <v>500</v>
      </c>
      <c r="J7" s="184"/>
      <c r="K7" s="172">
        <v>42996.32916666667</v>
      </c>
      <c r="L7" s="32" t="s">
        <v>552</v>
      </c>
    </row>
    <row r="8" spans="1:12">
      <c r="A8" s="184">
        <v>7</v>
      </c>
      <c r="B8" s="127">
        <v>42858</v>
      </c>
      <c r="C8" s="184" t="s">
        <v>4428</v>
      </c>
      <c r="D8" s="184" t="s">
        <v>320</v>
      </c>
      <c r="E8" s="184"/>
      <c r="F8" s="184"/>
      <c r="G8" s="184" t="s">
        <v>34</v>
      </c>
      <c r="H8" s="184"/>
      <c r="I8" s="185">
        <v>3500</v>
      </c>
      <c r="J8" s="184"/>
      <c r="K8" s="172">
        <v>42996.32916666667</v>
      </c>
      <c r="L8" s="32" t="s">
        <v>552</v>
      </c>
    </row>
    <row r="9" spans="1:12">
      <c r="A9" s="184">
        <v>8</v>
      </c>
      <c r="B9" s="127">
        <v>42859</v>
      </c>
      <c r="C9" s="184" t="s">
        <v>4429</v>
      </c>
      <c r="D9" s="184" t="s">
        <v>323</v>
      </c>
      <c r="E9" s="184" t="s">
        <v>42</v>
      </c>
      <c r="F9" s="184"/>
      <c r="G9" s="184" t="s">
        <v>34</v>
      </c>
      <c r="H9" s="184"/>
      <c r="I9" s="185">
        <v>3000</v>
      </c>
      <c r="J9" s="184"/>
      <c r="K9" s="172">
        <v>42996.32916666667</v>
      </c>
      <c r="L9" s="32" t="s">
        <v>552</v>
      </c>
    </row>
    <row r="10" spans="1:12">
      <c r="A10" s="184">
        <v>9</v>
      </c>
      <c r="B10" s="127">
        <v>42859</v>
      </c>
      <c r="C10" s="184" t="s">
        <v>4429</v>
      </c>
      <c r="D10" s="184" t="s">
        <v>323</v>
      </c>
      <c r="E10" s="184" t="s">
        <v>63</v>
      </c>
      <c r="F10" s="184"/>
      <c r="G10" s="184" t="s">
        <v>34</v>
      </c>
      <c r="H10" s="184"/>
      <c r="I10" s="185">
        <v>5000</v>
      </c>
      <c r="J10" s="184" t="s">
        <v>4430</v>
      </c>
      <c r="K10" s="172">
        <v>42996.32916666667</v>
      </c>
      <c r="L10" s="32" t="s">
        <v>552</v>
      </c>
    </row>
    <row r="11" spans="1:12">
      <c r="A11" s="184">
        <v>10</v>
      </c>
      <c r="B11" s="127">
        <v>42859</v>
      </c>
      <c r="C11" s="184" t="s">
        <v>4427</v>
      </c>
      <c r="D11" s="184" t="s">
        <v>320</v>
      </c>
      <c r="E11" s="184"/>
      <c r="F11" s="184"/>
      <c r="G11" s="184" t="s">
        <v>34</v>
      </c>
      <c r="H11" s="184"/>
      <c r="I11" s="185">
        <v>2000</v>
      </c>
      <c r="J11" s="184"/>
      <c r="K11" s="172">
        <v>42996.32916666667</v>
      </c>
      <c r="L11" s="32" t="s">
        <v>552</v>
      </c>
    </row>
    <row r="12" spans="1:12">
      <c r="A12" s="184">
        <v>11</v>
      </c>
      <c r="B12" s="127">
        <v>42859</v>
      </c>
      <c r="C12" s="184" t="s">
        <v>4431</v>
      </c>
      <c r="D12" s="184" t="s">
        <v>320</v>
      </c>
      <c r="E12" s="184"/>
      <c r="F12" s="184"/>
      <c r="G12" s="184" t="s">
        <v>34</v>
      </c>
      <c r="H12" s="184"/>
      <c r="I12" s="185">
        <v>2000</v>
      </c>
      <c r="J12" s="184"/>
      <c r="K12" s="172">
        <v>42996.32916666667</v>
      </c>
      <c r="L12" s="32" t="s">
        <v>552</v>
      </c>
    </row>
    <row r="13" spans="1:12">
      <c r="A13" s="184">
        <v>12</v>
      </c>
      <c r="B13" s="127">
        <v>42859</v>
      </c>
      <c r="C13" s="184" t="s">
        <v>4427</v>
      </c>
      <c r="D13" s="184" t="s">
        <v>320</v>
      </c>
      <c r="E13" s="184"/>
      <c r="F13" s="184"/>
      <c r="G13" s="184" t="s">
        <v>34</v>
      </c>
      <c r="H13" s="184"/>
      <c r="I13" s="185">
        <v>500</v>
      </c>
      <c r="J13" s="184" t="s">
        <v>4432</v>
      </c>
      <c r="K13" s="172">
        <v>42996.32916666667</v>
      </c>
      <c r="L13" s="32" t="s">
        <v>552</v>
      </c>
    </row>
    <row r="14" spans="1:12">
      <c r="A14" s="184">
        <v>13</v>
      </c>
      <c r="B14" s="127">
        <v>42860</v>
      </c>
      <c r="C14" s="184" t="s">
        <v>4433</v>
      </c>
      <c r="D14" s="184" t="s">
        <v>320</v>
      </c>
      <c r="E14" s="184"/>
      <c r="F14" s="184"/>
      <c r="G14" s="184" t="s">
        <v>34</v>
      </c>
      <c r="H14" s="184"/>
      <c r="I14" s="185">
        <v>1700</v>
      </c>
      <c r="J14" s="184"/>
      <c r="K14" s="172">
        <v>42996.32916666667</v>
      </c>
      <c r="L14" s="32" t="s">
        <v>552</v>
      </c>
    </row>
    <row r="15" spans="1:12">
      <c r="A15" s="184">
        <v>14</v>
      </c>
      <c r="B15" s="127">
        <v>42860</v>
      </c>
      <c r="C15" s="184" t="s">
        <v>4434</v>
      </c>
      <c r="D15" s="184" t="s">
        <v>320</v>
      </c>
      <c r="E15" s="184"/>
      <c r="F15" s="184"/>
      <c r="G15" s="184" t="s">
        <v>34</v>
      </c>
      <c r="H15" s="184"/>
      <c r="I15" s="185">
        <v>400</v>
      </c>
      <c r="J15" s="184"/>
      <c r="K15" s="172">
        <v>42996.32916666667</v>
      </c>
      <c r="L15" s="32" t="s">
        <v>552</v>
      </c>
    </row>
    <row r="16" spans="1:12">
      <c r="A16" s="184">
        <v>15</v>
      </c>
      <c r="B16" s="127">
        <v>42860</v>
      </c>
      <c r="C16" s="184" t="s">
        <v>4427</v>
      </c>
      <c r="D16" s="184" t="s">
        <v>320</v>
      </c>
      <c r="E16" s="184" t="s">
        <v>65</v>
      </c>
      <c r="F16" s="184"/>
      <c r="G16" s="184" t="s">
        <v>34</v>
      </c>
      <c r="H16" s="184"/>
      <c r="I16" s="185">
        <v>600</v>
      </c>
      <c r="J16" s="184"/>
      <c r="K16" s="172">
        <v>42996.32916666667</v>
      </c>
      <c r="L16" s="32" t="s">
        <v>552</v>
      </c>
    </row>
    <row r="17" spans="1:12">
      <c r="A17" s="184">
        <v>16</v>
      </c>
      <c r="B17" s="127">
        <v>42860</v>
      </c>
      <c r="C17" s="184" t="s">
        <v>495</v>
      </c>
      <c r="D17" s="184" t="s">
        <v>322</v>
      </c>
      <c r="E17" s="184" t="s">
        <v>85</v>
      </c>
      <c r="F17" s="184"/>
      <c r="G17" s="184" t="s">
        <v>34</v>
      </c>
      <c r="H17" s="184"/>
      <c r="I17" s="185">
        <v>800</v>
      </c>
      <c r="J17" s="184"/>
      <c r="K17" s="172">
        <v>42996.32916666667</v>
      </c>
      <c r="L17" s="32" t="s">
        <v>552</v>
      </c>
    </row>
    <row r="18" spans="1:12">
      <c r="A18" s="184">
        <v>17</v>
      </c>
      <c r="B18" s="127">
        <v>42860</v>
      </c>
      <c r="C18" s="184" t="s">
        <v>495</v>
      </c>
      <c r="D18" s="184" t="s">
        <v>322</v>
      </c>
      <c r="E18" s="184" t="s">
        <v>73</v>
      </c>
      <c r="F18" s="184"/>
      <c r="G18" s="184" t="s">
        <v>34</v>
      </c>
      <c r="H18" s="184"/>
      <c r="I18" s="185">
        <v>500</v>
      </c>
      <c r="J18" s="184"/>
      <c r="K18" s="172">
        <v>42996.32916666667</v>
      </c>
      <c r="L18" s="32" t="s">
        <v>552</v>
      </c>
    </row>
    <row r="19" spans="1:12">
      <c r="A19" s="184">
        <v>18</v>
      </c>
      <c r="B19" s="127">
        <v>42860</v>
      </c>
      <c r="C19" s="184" t="s">
        <v>495</v>
      </c>
      <c r="D19" s="184" t="s">
        <v>322</v>
      </c>
      <c r="E19" s="184" t="s">
        <v>79</v>
      </c>
      <c r="F19" s="184"/>
      <c r="G19" s="184" t="s">
        <v>34</v>
      </c>
      <c r="H19" s="184"/>
      <c r="I19" s="185">
        <v>500</v>
      </c>
      <c r="J19" s="184"/>
      <c r="K19" s="172">
        <v>42996.32916666667</v>
      </c>
      <c r="L19" s="32" t="s">
        <v>552</v>
      </c>
    </row>
    <row r="20" spans="1:12">
      <c r="A20" s="184">
        <v>19</v>
      </c>
      <c r="B20" s="127">
        <v>42860</v>
      </c>
      <c r="C20" s="184" t="s">
        <v>495</v>
      </c>
      <c r="D20" s="184" t="s">
        <v>322</v>
      </c>
      <c r="E20" s="184" t="s">
        <v>30</v>
      </c>
      <c r="F20" s="184"/>
      <c r="G20" s="184" t="s">
        <v>34</v>
      </c>
      <c r="H20" s="184"/>
      <c r="I20" s="185">
        <v>800</v>
      </c>
      <c r="J20" s="184"/>
      <c r="K20" s="172">
        <v>42996.32916666667</v>
      </c>
      <c r="L20" s="32" t="s">
        <v>552</v>
      </c>
    </row>
    <row r="21" spans="1:12">
      <c r="A21" s="184">
        <v>20</v>
      </c>
      <c r="B21" s="127">
        <v>42860</v>
      </c>
      <c r="C21" s="184" t="s">
        <v>495</v>
      </c>
      <c r="D21" s="184" t="s">
        <v>322</v>
      </c>
      <c r="E21" s="184" t="s">
        <v>98</v>
      </c>
      <c r="F21" s="184"/>
      <c r="G21" s="184" t="s">
        <v>34</v>
      </c>
      <c r="H21" s="184"/>
      <c r="I21" s="185">
        <v>500</v>
      </c>
      <c r="J21" s="184"/>
      <c r="K21" s="172">
        <v>42996.32916666667</v>
      </c>
      <c r="L21" s="32" t="s">
        <v>552</v>
      </c>
    </row>
    <row r="22" spans="1:12">
      <c r="A22" s="184">
        <v>21</v>
      </c>
      <c r="B22" s="127">
        <v>42860</v>
      </c>
      <c r="C22" s="184" t="s">
        <v>495</v>
      </c>
      <c r="D22" s="184" t="s">
        <v>322</v>
      </c>
      <c r="E22" s="184" t="s">
        <v>51</v>
      </c>
      <c r="F22" s="184"/>
      <c r="G22" s="184" t="s">
        <v>34</v>
      </c>
      <c r="H22" s="184"/>
      <c r="I22" s="185">
        <v>500</v>
      </c>
      <c r="J22" s="184"/>
      <c r="K22" s="172">
        <v>42996.32916666667</v>
      </c>
      <c r="L22" s="32" t="s">
        <v>552</v>
      </c>
    </row>
    <row r="23" spans="1:12">
      <c r="A23" s="184">
        <v>22</v>
      </c>
      <c r="B23" s="127">
        <v>42860</v>
      </c>
      <c r="C23" s="184" t="s">
        <v>495</v>
      </c>
      <c r="D23" s="184" t="s">
        <v>322</v>
      </c>
      <c r="E23" s="184" t="s">
        <v>112</v>
      </c>
      <c r="F23" s="184"/>
      <c r="G23" s="184" t="s">
        <v>34</v>
      </c>
      <c r="H23" s="184"/>
      <c r="I23" s="185">
        <v>700</v>
      </c>
      <c r="J23" s="184"/>
      <c r="K23" s="172">
        <v>42996.32916666667</v>
      </c>
      <c r="L23" s="32" t="s">
        <v>552</v>
      </c>
    </row>
    <row r="24" spans="1:12">
      <c r="A24" s="184">
        <v>23</v>
      </c>
      <c r="B24" s="127">
        <v>42860</v>
      </c>
      <c r="C24" s="184" t="s">
        <v>495</v>
      </c>
      <c r="D24" s="184" t="s">
        <v>322</v>
      </c>
      <c r="E24" s="184" t="s">
        <v>176</v>
      </c>
      <c r="F24" s="184"/>
      <c r="G24" s="184" t="s">
        <v>34</v>
      </c>
      <c r="H24" s="184"/>
      <c r="I24" s="185">
        <v>500</v>
      </c>
      <c r="J24" s="184"/>
      <c r="K24" s="172">
        <v>42996.32916666667</v>
      </c>
      <c r="L24" s="32" t="s">
        <v>552</v>
      </c>
    </row>
    <row r="25" spans="1:12">
      <c r="A25" s="184">
        <v>24</v>
      </c>
      <c r="B25" s="127">
        <v>42860</v>
      </c>
      <c r="C25" s="184" t="s">
        <v>495</v>
      </c>
      <c r="D25" s="184" t="s">
        <v>322</v>
      </c>
      <c r="E25" s="184" t="s">
        <v>65</v>
      </c>
      <c r="F25" s="184"/>
      <c r="G25" s="184" t="s">
        <v>34</v>
      </c>
      <c r="H25" s="184"/>
      <c r="I25" s="185">
        <v>500</v>
      </c>
      <c r="J25" s="184"/>
      <c r="K25" s="172">
        <v>42996.32916666667</v>
      </c>
      <c r="L25" s="32" t="s">
        <v>552</v>
      </c>
    </row>
    <row r="26" spans="1:12">
      <c r="A26" s="184">
        <v>25</v>
      </c>
      <c r="B26" s="127">
        <v>42863</v>
      </c>
      <c r="C26" s="184" t="s">
        <v>4426</v>
      </c>
      <c r="D26" s="184" t="s">
        <v>320</v>
      </c>
      <c r="E26" s="184" t="s">
        <v>321</v>
      </c>
      <c r="F26" s="184"/>
      <c r="G26" s="184" t="s">
        <v>34</v>
      </c>
      <c r="H26" s="184"/>
      <c r="I26" s="185">
        <v>500</v>
      </c>
      <c r="J26" s="184"/>
      <c r="K26" s="172">
        <v>42996.32916666667</v>
      </c>
      <c r="L26" s="32" t="s">
        <v>552</v>
      </c>
    </row>
    <row r="27" spans="1:12">
      <c r="A27" s="184">
        <v>26</v>
      </c>
      <c r="B27" s="127">
        <v>42863</v>
      </c>
      <c r="C27" s="184" t="s">
        <v>4435</v>
      </c>
      <c r="D27" s="184" t="s">
        <v>320</v>
      </c>
      <c r="E27" s="184"/>
      <c r="F27" s="184"/>
      <c r="G27" s="184" t="s">
        <v>34</v>
      </c>
      <c r="H27" s="184"/>
      <c r="I27" s="185">
        <v>800</v>
      </c>
      <c r="J27" s="184"/>
      <c r="K27" s="172">
        <v>42996.32916666667</v>
      </c>
      <c r="L27" s="32" t="s">
        <v>552</v>
      </c>
    </row>
    <row r="28" spans="1:12">
      <c r="A28" s="184">
        <v>27</v>
      </c>
      <c r="B28" s="127">
        <v>42863</v>
      </c>
      <c r="C28" s="184" t="s">
        <v>495</v>
      </c>
      <c r="D28" s="184" t="s">
        <v>322</v>
      </c>
      <c r="E28" s="184" t="s">
        <v>63</v>
      </c>
      <c r="F28" s="184"/>
      <c r="G28" s="184" t="s">
        <v>34</v>
      </c>
      <c r="H28" s="184"/>
      <c r="I28" s="185">
        <v>500</v>
      </c>
      <c r="J28" s="184"/>
      <c r="K28" s="172">
        <v>42996.32916666667</v>
      </c>
      <c r="L28" s="32" t="s">
        <v>552</v>
      </c>
    </row>
    <row r="29" spans="1:12">
      <c r="A29" s="184">
        <v>28</v>
      </c>
      <c r="B29" s="127">
        <v>42863</v>
      </c>
      <c r="C29" s="184" t="s">
        <v>495</v>
      </c>
      <c r="D29" s="184" t="s">
        <v>322</v>
      </c>
      <c r="E29" s="184" t="s">
        <v>86</v>
      </c>
      <c r="F29" s="184"/>
      <c r="G29" s="184" t="s">
        <v>34</v>
      </c>
      <c r="H29" s="184"/>
      <c r="I29" s="185">
        <v>700</v>
      </c>
      <c r="J29" s="184"/>
      <c r="K29" s="172">
        <v>42996.32916666667</v>
      </c>
      <c r="L29" s="32" t="s">
        <v>552</v>
      </c>
    </row>
    <row r="30" spans="1:12">
      <c r="A30" s="184">
        <v>29</v>
      </c>
      <c r="B30" s="127">
        <v>42864</v>
      </c>
      <c r="C30" s="184" t="s">
        <v>4436</v>
      </c>
      <c r="D30" s="184" t="s">
        <v>320</v>
      </c>
      <c r="E30" s="184"/>
      <c r="F30" s="184"/>
      <c r="G30" s="184" t="s">
        <v>34</v>
      </c>
      <c r="H30" s="184"/>
      <c r="I30" s="185">
        <v>125</v>
      </c>
      <c r="J30" s="184"/>
      <c r="K30" s="172">
        <v>42996.32916666667</v>
      </c>
      <c r="L30" s="32" t="s">
        <v>552</v>
      </c>
    </row>
    <row r="31" spans="1:12">
      <c r="A31" s="184">
        <v>30</v>
      </c>
      <c r="B31" s="127">
        <v>42864</v>
      </c>
      <c r="C31" s="184" t="s">
        <v>4427</v>
      </c>
      <c r="D31" s="184" t="s">
        <v>320</v>
      </c>
      <c r="E31" s="184" t="s">
        <v>321</v>
      </c>
      <c r="F31" s="184"/>
      <c r="G31" s="184" t="s">
        <v>34</v>
      </c>
      <c r="H31" s="184"/>
      <c r="I31" s="185">
        <v>500</v>
      </c>
      <c r="J31" s="184"/>
      <c r="K31" s="172">
        <v>42996.32916666667</v>
      </c>
      <c r="L31" s="32" t="s">
        <v>552</v>
      </c>
    </row>
    <row r="32" spans="1:12">
      <c r="A32" s="184">
        <v>31</v>
      </c>
      <c r="B32" s="127">
        <v>42864</v>
      </c>
      <c r="C32" s="184" t="s">
        <v>495</v>
      </c>
      <c r="D32" s="184" t="s">
        <v>322</v>
      </c>
      <c r="E32" s="184" t="s">
        <v>324</v>
      </c>
      <c r="F32" s="184"/>
      <c r="G32" s="184" t="s">
        <v>34</v>
      </c>
      <c r="H32" s="184"/>
      <c r="I32" s="185">
        <v>300</v>
      </c>
      <c r="J32" s="184"/>
      <c r="K32" s="172">
        <v>42996.32916666667</v>
      </c>
      <c r="L32" s="32" t="s">
        <v>552</v>
      </c>
    </row>
    <row r="33" spans="1:12">
      <c r="A33" s="184">
        <v>32</v>
      </c>
      <c r="B33" s="127">
        <v>42865</v>
      </c>
      <c r="C33" s="184" t="s">
        <v>4427</v>
      </c>
      <c r="D33" s="184" t="s">
        <v>320</v>
      </c>
      <c r="E33" s="184"/>
      <c r="F33" s="184"/>
      <c r="G33" s="184" t="s">
        <v>34</v>
      </c>
      <c r="H33" s="184"/>
      <c r="I33" s="185">
        <v>300</v>
      </c>
      <c r="J33" s="184"/>
      <c r="K33" s="172">
        <v>42996.32916666667</v>
      </c>
      <c r="L33" s="32" t="s">
        <v>552</v>
      </c>
    </row>
    <row r="34" spans="1:12">
      <c r="A34" s="184">
        <v>33</v>
      </c>
      <c r="B34" s="127">
        <v>42865</v>
      </c>
      <c r="C34" s="184" t="s">
        <v>4426</v>
      </c>
      <c r="D34" s="184" t="s">
        <v>320</v>
      </c>
      <c r="E34" s="184" t="s">
        <v>321</v>
      </c>
      <c r="F34" s="184"/>
      <c r="G34" s="184" t="s">
        <v>34</v>
      </c>
      <c r="H34" s="184"/>
      <c r="I34" s="185">
        <v>500</v>
      </c>
      <c r="J34" s="184"/>
      <c r="K34" s="172">
        <v>42996.32916666667</v>
      </c>
      <c r="L34" s="32" t="s">
        <v>552</v>
      </c>
    </row>
    <row r="35" spans="1:12">
      <c r="A35" s="184">
        <v>34</v>
      </c>
      <c r="B35" s="127">
        <v>42865</v>
      </c>
      <c r="C35" s="184" t="s">
        <v>4427</v>
      </c>
      <c r="D35" s="184" t="s">
        <v>320</v>
      </c>
      <c r="E35" s="184"/>
      <c r="F35" s="184"/>
      <c r="G35" s="184" t="s">
        <v>34</v>
      </c>
      <c r="H35" s="184"/>
      <c r="I35" s="185">
        <v>500</v>
      </c>
      <c r="J35" s="184"/>
      <c r="K35" s="172">
        <v>42996.32916666667</v>
      </c>
      <c r="L35" s="32" t="s">
        <v>552</v>
      </c>
    </row>
    <row r="36" spans="1:12">
      <c r="A36" s="184">
        <v>35</v>
      </c>
      <c r="B36" s="127">
        <v>42868</v>
      </c>
      <c r="C36" s="184" t="s">
        <v>4437</v>
      </c>
      <c r="D36" s="184" t="s">
        <v>320</v>
      </c>
      <c r="E36" s="184"/>
      <c r="F36" s="184"/>
      <c r="G36" s="184" t="s">
        <v>34</v>
      </c>
      <c r="H36" s="184"/>
      <c r="I36" s="185">
        <v>300</v>
      </c>
      <c r="J36" s="184"/>
      <c r="K36" s="172">
        <v>42996.32916666667</v>
      </c>
      <c r="L36" s="32" t="s">
        <v>552</v>
      </c>
    </row>
    <row r="37" spans="1:12">
      <c r="A37" s="184">
        <v>36</v>
      </c>
      <c r="B37" s="127">
        <v>42868</v>
      </c>
      <c r="C37" s="184" t="s">
        <v>495</v>
      </c>
      <c r="D37" s="184" t="s">
        <v>322</v>
      </c>
      <c r="E37" s="184" t="s">
        <v>63</v>
      </c>
      <c r="F37" s="184"/>
      <c r="G37" s="184" t="s">
        <v>34</v>
      </c>
      <c r="H37" s="184"/>
      <c r="I37" s="185">
        <v>700</v>
      </c>
      <c r="J37" s="184"/>
      <c r="K37" s="172">
        <v>42996.32916666667</v>
      </c>
      <c r="L37" s="32" t="s">
        <v>552</v>
      </c>
    </row>
    <row r="38" spans="1:12">
      <c r="A38" s="184">
        <v>37</v>
      </c>
      <c r="B38" s="127">
        <v>42868</v>
      </c>
      <c r="C38" s="184" t="s">
        <v>495</v>
      </c>
      <c r="D38" s="184" t="s">
        <v>322</v>
      </c>
      <c r="E38" s="184" t="s">
        <v>42</v>
      </c>
      <c r="F38" s="184"/>
      <c r="G38" s="184" t="s">
        <v>34</v>
      </c>
      <c r="H38" s="184"/>
      <c r="I38" s="185">
        <v>600</v>
      </c>
      <c r="J38" s="184"/>
      <c r="K38" s="172">
        <v>42996.32916666667</v>
      </c>
      <c r="L38" s="32" t="s">
        <v>552</v>
      </c>
    </row>
    <row r="39" spans="1:12">
      <c r="A39" s="184">
        <v>38</v>
      </c>
      <c r="B39" s="127">
        <v>42868</v>
      </c>
      <c r="C39" s="184" t="s">
        <v>495</v>
      </c>
      <c r="D39" s="184" t="s">
        <v>322</v>
      </c>
      <c r="E39" s="184" t="s">
        <v>85</v>
      </c>
      <c r="F39" s="184"/>
      <c r="G39" s="184" t="s">
        <v>34</v>
      </c>
      <c r="H39" s="184"/>
      <c r="I39" s="185">
        <v>700</v>
      </c>
      <c r="J39" s="184"/>
      <c r="K39" s="172">
        <v>42996.32916666667</v>
      </c>
      <c r="L39" s="32" t="s">
        <v>552</v>
      </c>
    </row>
    <row r="40" spans="1:12">
      <c r="A40" s="184">
        <v>39</v>
      </c>
      <c r="B40" s="127">
        <v>42868</v>
      </c>
      <c r="C40" s="184" t="s">
        <v>495</v>
      </c>
      <c r="D40" s="184" t="s">
        <v>322</v>
      </c>
      <c r="E40" s="184" t="s">
        <v>73</v>
      </c>
      <c r="F40" s="184"/>
      <c r="G40" s="184" t="s">
        <v>34</v>
      </c>
      <c r="H40" s="184"/>
      <c r="I40" s="185">
        <v>600</v>
      </c>
      <c r="J40" s="184"/>
      <c r="K40" s="172">
        <v>42996.32916666667</v>
      </c>
      <c r="L40" s="32" t="s">
        <v>552</v>
      </c>
    </row>
    <row r="41" spans="1:12">
      <c r="A41" s="184">
        <v>40</v>
      </c>
      <c r="B41" s="127">
        <v>42868</v>
      </c>
      <c r="C41" s="184" t="s">
        <v>495</v>
      </c>
      <c r="D41" s="184" t="s">
        <v>322</v>
      </c>
      <c r="E41" s="184" t="s">
        <v>79</v>
      </c>
      <c r="F41" s="184"/>
      <c r="G41" s="184" t="s">
        <v>34</v>
      </c>
      <c r="H41" s="184"/>
      <c r="I41" s="185">
        <v>500</v>
      </c>
      <c r="J41" s="184"/>
      <c r="K41" s="172">
        <v>42996.32916666667</v>
      </c>
      <c r="L41" s="32" t="s">
        <v>552</v>
      </c>
    </row>
    <row r="42" spans="1:12">
      <c r="A42" s="184">
        <v>41</v>
      </c>
      <c r="B42" s="127">
        <v>42868</v>
      </c>
      <c r="C42" s="184" t="s">
        <v>495</v>
      </c>
      <c r="D42" s="184" t="s">
        <v>322</v>
      </c>
      <c r="E42" s="184" t="s">
        <v>30</v>
      </c>
      <c r="F42" s="184"/>
      <c r="G42" s="184" t="s">
        <v>34</v>
      </c>
      <c r="H42" s="184"/>
      <c r="I42" s="185">
        <v>800</v>
      </c>
      <c r="J42" s="184"/>
      <c r="K42" s="172">
        <v>42996.32916666667</v>
      </c>
      <c r="L42" s="32" t="s">
        <v>552</v>
      </c>
    </row>
    <row r="43" spans="1:12">
      <c r="A43" s="184">
        <v>42</v>
      </c>
      <c r="B43" s="127">
        <v>42868</v>
      </c>
      <c r="C43" s="184" t="s">
        <v>495</v>
      </c>
      <c r="D43" s="184" t="s">
        <v>322</v>
      </c>
      <c r="E43" s="184" t="s">
        <v>86</v>
      </c>
      <c r="F43" s="184"/>
      <c r="G43" s="184" t="s">
        <v>34</v>
      </c>
      <c r="H43" s="184"/>
      <c r="I43" s="185">
        <v>700</v>
      </c>
      <c r="J43" s="184"/>
      <c r="K43" s="172">
        <v>42996.32916666667</v>
      </c>
      <c r="L43" s="32" t="s">
        <v>552</v>
      </c>
    </row>
    <row r="44" spans="1:12">
      <c r="A44" s="184">
        <v>43</v>
      </c>
      <c r="B44" s="127">
        <v>42868</v>
      </c>
      <c r="C44" s="184" t="s">
        <v>495</v>
      </c>
      <c r="D44" s="184" t="s">
        <v>322</v>
      </c>
      <c r="E44" s="184" t="s">
        <v>324</v>
      </c>
      <c r="F44" s="184"/>
      <c r="G44" s="184" t="s">
        <v>34</v>
      </c>
      <c r="H44" s="184"/>
      <c r="I44" s="185">
        <v>500</v>
      </c>
      <c r="J44" s="184"/>
      <c r="K44" s="172">
        <v>42996.32916666667</v>
      </c>
      <c r="L44" s="32" t="s">
        <v>552</v>
      </c>
    </row>
    <row r="45" spans="1:12">
      <c r="A45" s="184">
        <v>44</v>
      </c>
      <c r="B45" s="127">
        <v>42868</v>
      </c>
      <c r="C45" s="184" t="s">
        <v>495</v>
      </c>
      <c r="D45" s="184" t="s">
        <v>322</v>
      </c>
      <c r="E45" s="184" t="s">
        <v>98</v>
      </c>
      <c r="F45" s="184"/>
      <c r="G45" s="184" t="s">
        <v>34</v>
      </c>
      <c r="H45" s="184"/>
      <c r="I45" s="185">
        <v>500</v>
      </c>
      <c r="J45" s="184"/>
      <c r="K45" s="172">
        <v>42996.32916666667</v>
      </c>
      <c r="L45" s="32" t="s">
        <v>552</v>
      </c>
    </row>
    <row r="46" spans="1:12">
      <c r="A46" s="184">
        <v>45</v>
      </c>
      <c r="B46" s="127">
        <v>42868</v>
      </c>
      <c r="C46" s="184" t="s">
        <v>495</v>
      </c>
      <c r="D46" s="184" t="s">
        <v>322</v>
      </c>
      <c r="E46" s="184" t="s">
        <v>112</v>
      </c>
      <c r="F46" s="184"/>
      <c r="G46" s="184" t="s">
        <v>34</v>
      </c>
      <c r="H46" s="184"/>
      <c r="I46" s="185">
        <v>600</v>
      </c>
      <c r="J46" s="184"/>
      <c r="K46" s="172">
        <v>42996.32916666667</v>
      </c>
      <c r="L46" s="32" t="s">
        <v>552</v>
      </c>
    </row>
    <row r="47" spans="1:12">
      <c r="A47" s="184">
        <v>46</v>
      </c>
      <c r="B47" s="127">
        <v>42868</v>
      </c>
      <c r="C47" s="184" t="s">
        <v>495</v>
      </c>
      <c r="D47" s="184" t="s">
        <v>322</v>
      </c>
      <c r="E47" s="184" t="s">
        <v>176</v>
      </c>
      <c r="F47" s="184"/>
      <c r="G47" s="184" t="s">
        <v>34</v>
      </c>
      <c r="H47" s="184"/>
      <c r="I47" s="185">
        <v>400</v>
      </c>
      <c r="J47" s="184"/>
      <c r="K47" s="172">
        <v>42996.32916666667</v>
      </c>
      <c r="L47" s="32" t="s">
        <v>552</v>
      </c>
    </row>
    <row r="48" spans="1:12">
      <c r="A48" s="184">
        <v>47</v>
      </c>
      <c r="B48" s="127">
        <v>42868</v>
      </c>
      <c r="C48" s="184" t="s">
        <v>495</v>
      </c>
      <c r="D48" s="184" t="s">
        <v>322</v>
      </c>
      <c r="E48" s="184" t="s">
        <v>65</v>
      </c>
      <c r="F48" s="184"/>
      <c r="G48" s="184" t="s">
        <v>34</v>
      </c>
      <c r="H48" s="184"/>
      <c r="I48" s="185">
        <v>500</v>
      </c>
      <c r="J48" s="184"/>
      <c r="K48" s="172">
        <v>42996.32916666667</v>
      </c>
      <c r="L48" s="32" t="s">
        <v>552</v>
      </c>
    </row>
    <row r="49" spans="1:12">
      <c r="A49" s="184">
        <v>48</v>
      </c>
      <c r="B49" s="127">
        <v>42868</v>
      </c>
      <c r="C49" s="184" t="s">
        <v>495</v>
      </c>
      <c r="D49" s="184" t="s">
        <v>322</v>
      </c>
      <c r="E49" s="184" t="s">
        <v>88</v>
      </c>
      <c r="F49" s="184"/>
      <c r="G49" s="184" t="s">
        <v>34</v>
      </c>
      <c r="H49" s="184"/>
      <c r="I49" s="185">
        <v>600</v>
      </c>
      <c r="J49" s="184"/>
      <c r="K49" s="172">
        <v>42996.32916666667</v>
      </c>
      <c r="L49" s="32" t="s">
        <v>552</v>
      </c>
    </row>
    <row r="50" spans="1:12">
      <c r="A50" s="184">
        <v>49</v>
      </c>
      <c r="B50" s="127">
        <v>42868</v>
      </c>
      <c r="C50" s="184" t="s">
        <v>504</v>
      </c>
      <c r="D50" s="184" t="s">
        <v>545</v>
      </c>
      <c r="E50" s="184" t="s">
        <v>86</v>
      </c>
      <c r="F50" s="184"/>
      <c r="G50" s="184" t="s">
        <v>34</v>
      </c>
      <c r="H50" s="184"/>
      <c r="I50" s="185">
        <v>800</v>
      </c>
      <c r="J50" s="184"/>
      <c r="K50" s="172">
        <v>42996.32916666667</v>
      </c>
      <c r="L50" s="32" t="s">
        <v>552</v>
      </c>
    </row>
    <row r="51" spans="1:12">
      <c r="A51" s="184">
        <v>50</v>
      </c>
      <c r="B51" s="127">
        <v>42868</v>
      </c>
      <c r="C51" s="184" t="s">
        <v>504</v>
      </c>
      <c r="D51" s="184" t="s">
        <v>545</v>
      </c>
      <c r="E51" s="184" t="s">
        <v>73</v>
      </c>
      <c r="F51" s="184"/>
      <c r="G51" s="184" t="s">
        <v>34</v>
      </c>
      <c r="H51" s="184"/>
      <c r="I51" s="185">
        <v>800</v>
      </c>
      <c r="J51" s="184"/>
      <c r="K51" s="172">
        <v>42996.32916666667</v>
      </c>
      <c r="L51" s="32" t="s">
        <v>552</v>
      </c>
    </row>
    <row r="52" spans="1:12">
      <c r="A52" s="184">
        <v>51</v>
      </c>
      <c r="B52" s="127">
        <v>42868</v>
      </c>
      <c r="C52" s="184" t="s">
        <v>504</v>
      </c>
      <c r="D52" s="184" t="s">
        <v>545</v>
      </c>
      <c r="E52" s="184" t="s">
        <v>30</v>
      </c>
      <c r="F52" s="184"/>
      <c r="G52" s="184" t="s">
        <v>34</v>
      </c>
      <c r="H52" s="184"/>
      <c r="I52" s="185">
        <v>800</v>
      </c>
      <c r="J52" s="184"/>
      <c r="K52" s="172">
        <v>42996.32916666667</v>
      </c>
      <c r="L52" s="32" t="s">
        <v>552</v>
      </c>
    </row>
    <row r="53" spans="1:12">
      <c r="A53" s="184">
        <v>52</v>
      </c>
      <c r="B53" s="127">
        <v>42868</v>
      </c>
      <c r="C53" s="184" t="s">
        <v>504</v>
      </c>
      <c r="D53" s="184" t="s">
        <v>545</v>
      </c>
      <c r="E53" s="184" t="s">
        <v>98</v>
      </c>
      <c r="F53" s="184"/>
      <c r="G53" s="184" t="s">
        <v>34</v>
      </c>
      <c r="H53" s="184"/>
      <c r="I53" s="185">
        <v>800</v>
      </c>
      <c r="J53" s="184"/>
      <c r="K53" s="172">
        <v>42996.32916666667</v>
      </c>
      <c r="L53" s="32" t="s">
        <v>552</v>
      </c>
    </row>
    <row r="54" spans="1:12">
      <c r="A54" s="184">
        <v>53</v>
      </c>
      <c r="B54" s="127">
        <v>42868</v>
      </c>
      <c r="C54" s="184" t="s">
        <v>504</v>
      </c>
      <c r="D54" s="184" t="s">
        <v>545</v>
      </c>
      <c r="E54" s="184" t="s">
        <v>112</v>
      </c>
      <c r="F54" s="184"/>
      <c r="G54" s="184" t="s">
        <v>34</v>
      </c>
      <c r="H54" s="184"/>
      <c r="I54" s="185">
        <v>800</v>
      </c>
      <c r="J54" s="184"/>
      <c r="K54" s="172">
        <v>42996.32916666667</v>
      </c>
      <c r="L54" s="32" t="s">
        <v>552</v>
      </c>
    </row>
    <row r="55" spans="1:12">
      <c r="A55" s="184">
        <v>54</v>
      </c>
      <c r="B55" s="127">
        <v>42868</v>
      </c>
      <c r="C55" s="184" t="s">
        <v>504</v>
      </c>
      <c r="D55" s="184" t="s">
        <v>545</v>
      </c>
      <c r="E55" s="184" t="s">
        <v>176</v>
      </c>
      <c r="F55" s="184"/>
      <c r="G55" s="184" t="s">
        <v>34</v>
      </c>
      <c r="H55" s="184"/>
      <c r="I55" s="185">
        <v>800</v>
      </c>
      <c r="J55" s="184"/>
      <c r="K55" s="172">
        <v>42996.32916666667</v>
      </c>
      <c r="L55" s="32" t="s">
        <v>552</v>
      </c>
    </row>
    <row r="56" spans="1:12">
      <c r="A56" s="184">
        <v>55</v>
      </c>
      <c r="B56" s="127">
        <v>42868</v>
      </c>
      <c r="C56" s="184" t="s">
        <v>504</v>
      </c>
      <c r="D56" s="184" t="s">
        <v>545</v>
      </c>
      <c r="E56" s="184" t="s">
        <v>65</v>
      </c>
      <c r="F56" s="184"/>
      <c r="G56" s="184" t="s">
        <v>34</v>
      </c>
      <c r="H56" s="184"/>
      <c r="I56" s="185">
        <v>800</v>
      </c>
      <c r="J56" s="184"/>
      <c r="K56" s="172">
        <v>42996.32916666667</v>
      </c>
      <c r="L56" s="32" t="s">
        <v>552</v>
      </c>
    </row>
    <row r="57" spans="1:12">
      <c r="A57" s="184">
        <v>56</v>
      </c>
      <c r="B57" s="127">
        <v>42868</v>
      </c>
      <c r="C57" s="184" t="s">
        <v>504</v>
      </c>
      <c r="D57" s="184" t="s">
        <v>545</v>
      </c>
      <c r="E57" s="184" t="s">
        <v>42</v>
      </c>
      <c r="F57" s="184"/>
      <c r="G57" s="184" t="s">
        <v>34</v>
      </c>
      <c r="H57" s="184"/>
      <c r="I57" s="185">
        <v>800</v>
      </c>
      <c r="J57" s="184"/>
      <c r="K57" s="172">
        <v>42996.32916666667</v>
      </c>
      <c r="L57" s="32" t="s">
        <v>552</v>
      </c>
    </row>
    <row r="58" spans="1:12">
      <c r="A58" s="184">
        <v>57</v>
      </c>
      <c r="B58" s="127">
        <v>42868</v>
      </c>
      <c r="C58" s="184" t="s">
        <v>504</v>
      </c>
      <c r="D58" s="184" t="s">
        <v>545</v>
      </c>
      <c r="E58" s="184" t="s">
        <v>63</v>
      </c>
      <c r="F58" s="184"/>
      <c r="G58" s="184" t="s">
        <v>34</v>
      </c>
      <c r="H58" s="184"/>
      <c r="I58" s="185">
        <v>500</v>
      </c>
      <c r="J58" s="184"/>
      <c r="K58" s="172">
        <v>42996.32916666667</v>
      </c>
      <c r="L58" s="32" t="s">
        <v>552</v>
      </c>
    </row>
    <row r="59" spans="1:12">
      <c r="A59" s="184">
        <v>58</v>
      </c>
      <c r="B59" s="127">
        <v>42868</v>
      </c>
      <c r="C59" s="184" t="s">
        <v>504</v>
      </c>
      <c r="D59" s="184" t="s">
        <v>545</v>
      </c>
      <c r="E59" s="184" t="s">
        <v>85</v>
      </c>
      <c r="F59" s="184"/>
      <c r="G59" s="184" t="s">
        <v>34</v>
      </c>
      <c r="H59" s="184"/>
      <c r="I59" s="185">
        <v>800</v>
      </c>
      <c r="J59" s="184"/>
      <c r="K59" s="172">
        <v>42996.32916666667</v>
      </c>
      <c r="L59" s="32" t="s">
        <v>552</v>
      </c>
    </row>
    <row r="60" spans="1:12">
      <c r="A60" s="184">
        <v>59</v>
      </c>
      <c r="B60" s="127">
        <v>42868</v>
      </c>
      <c r="C60" s="184" t="s">
        <v>504</v>
      </c>
      <c r="D60" s="184" t="s">
        <v>545</v>
      </c>
      <c r="E60" s="184" t="s">
        <v>51</v>
      </c>
      <c r="F60" s="184"/>
      <c r="G60" s="184" t="s">
        <v>34</v>
      </c>
      <c r="H60" s="184"/>
      <c r="I60" s="185">
        <v>800</v>
      </c>
      <c r="J60" s="184"/>
      <c r="K60" s="172">
        <v>42996.32916666667</v>
      </c>
      <c r="L60" s="32" t="s">
        <v>552</v>
      </c>
    </row>
    <row r="61" spans="1:12">
      <c r="A61" s="184">
        <v>60</v>
      </c>
      <c r="B61" s="127">
        <v>42868</v>
      </c>
      <c r="C61" s="184" t="s">
        <v>504</v>
      </c>
      <c r="D61" s="184" t="s">
        <v>545</v>
      </c>
      <c r="E61" s="184" t="s">
        <v>88</v>
      </c>
      <c r="F61" s="184"/>
      <c r="G61" s="184" t="s">
        <v>34</v>
      </c>
      <c r="H61" s="184"/>
      <c r="I61" s="185">
        <v>800</v>
      </c>
      <c r="J61" s="184"/>
      <c r="K61" s="172">
        <v>42996.32916666667</v>
      </c>
      <c r="L61" s="32" t="s">
        <v>552</v>
      </c>
    </row>
    <row r="62" spans="1:12">
      <c r="A62" s="184">
        <v>61</v>
      </c>
      <c r="B62" s="127">
        <v>42868</v>
      </c>
      <c r="C62" s="184" t="s">
        <v>504</v>
      </c>
      <c r="D62" s="184" t="s">
        <v>545</v>
      </c>
      <c r="E62" s="184" t="s">
        <v>324</v>
      </c>
      <c r="F62" s="184"/>
      <c r="G62" s="184" t="s">
        <v>34</v>
      </c>
      <c r="H62" s="184"/>
      <c r="I62" s="185">
        <v>800</v>
      </c>
      <c r="J62" s="184"/>
      <c r="K62" s="172">
        <v>42996.32916666667</v>
      </c>
      <c r="L62" s="32" t="s">
        <v>552</v>
      </c>
    </row>
    <row r="63" spans="1:12">
      <c r="A63" s="184">
        <v>62</v>
      </c>
      <c r="B63" s="127">
        <v>42868</v>
      </c>
      <c r="C63" s="184" t="s">
        <v>504</v>
      </c>
      <c r="D63" s="184" t="s">
        <v>545</v>
      </c>
      <c r="E63" s="184" t="s">
        <v>176</v>
      </c>
      <c r="F63" s="184"/>
      <c r="G63" s="184" t="s">
        <v>34</v>
      </c>
      <c r="H63" s="184"/>
      <c r="I63" s="185">
        <v>800</v>
      </c>
      <c r="J63" s="184"/>
      <c r="K63" s="172">
        <v>42996.32916666667</v>
      </c>
      <c r="L63" s="32" t="s">
        <v>552</v>
      </c>
    </row>
    <row r="64" spans="1:12">
      <c r="A64" s="184">
        <v>63</v>
      </c>
      <c r="B64" s="127">
        <v>42871</v>
      </c>
      <c r="C64" s="184" t="s">
        <v>4438</v>
      </c>
      <c r="D64" s="184" t="s">
        <v>320</v>
      </c>
      <c r="E64" s="184"/>
      <c r="F64" s="184"/>
      <c r="G64" s="184" t="s">
        <v>34</v>
      </c>
      <c r="H64" s="184"/>
      <c r="I64" s="185">
        <v>500</v>
      </c>
      <c r="J64" s="184"/>
      <c r="K64" s="172">
        <v>42996.32916666667</v>
      </c>
      <c r="L64" s="32" t="s">
        <v>552</v>
      </c>
    </row>
    <row r="65" spans="1:12">
      <c r="A65" s="184">
        <v>64</v>
      </c>
      <c r="B65" s="127">
        <v>42872</v>
      </c>
      <c r="C65" s="184" t="s">
        <v>4439</v>
      </c>
      <c r="D65" s="184" t="s">
        <v>320</v>
      </c>
      <c r="E65" s="184"/>
      <c r="F65" s="184"/>
      <c r="G65" s="184" t="s">
        <v>34</v>
      </c>
      <c r="H65" s="184"/>
      <c r="I65" s="185">
        <v>5200</v>
      </c>
      <c r="J65" s="184"/>
      <c r="K65" s="172">
        <v>42996.32916666667</v>
      </c>
      <c r="L65" s="32" t="s">
        <v>552</v>
      </c>
    </row>
    <row r="66" spans="1:12">
      <c r="A66" s="184">
        <v>65</v>
      </c>
      <c r="B66" s="127">
        <v>42874</v>
      </c>
      <c r="C66" s="184" t="s">
        <v>4440</v>
      </c>
      <c r="D66" s="184" t="s">
        <v>320</v>
      </c>
      <c r="E66" s="184" t="s">
        <v>325</v>
      </c>
      <c r="F66" s="184"/>
      <c r="G66" s="184" t="s">
        <v>34</v>
      </c>
      <c r="H66" s="184"/>
      <c r="I66" s="185">
        <v>500</v>
      </c>
      <c r="J66" s="184"/>
      <c r="K66" s="172">
        <v>42996.32916666667</v>
      </c>
      <c r="L66" s="32" t="s">
        <v>552</v>
      </c>
    </row>
    <row r="67" spans="1:12">
      <c r="A67" s="184">
        <v>66</v>
      </c>
      <c r="B67" s="127">
        <v>42875</v>
      </c>
      <c r="C67" s="184" t="s">
        <v>495</v>
      </c>
      <c r="D67" s="184" t="s">
        <v>322</v>
      </c>
      <c r="E67" s="184" t="s">
        <v>63</v>
      </c>
      <c r="F67" s="184"/>
      <c r="G67" s="184" t="s">
        <v>34</v>
      </c>
      <c r="H67" s="184"/>
      <c r="I67" s="185">
        <v>500</v>
      </c>
      <c r="J67" s="184"/>
      <c r="K67" s="172">
        <v>42996.32916666667</v>
      </c>
      <c r="L67" s="32" t="s">
        <v>552</v>
      </c>
    </row>
    <row r="68" spans="1:12">
      <c r="A68" s="184">
        <v>67</v>
      </c>
      <c r="B68" s="127">
        <v>42875</v>
      </c>
      <c r="C68" s="184" t="s">
        <v>496</v>
      </c>
      <c r="D68" s="184" t="s">
        <v>322</v>
      </c>
      <c r="E68" s="184" t="s">
        <v>63</v>
      </c>
      <c r="F68" s="184"/>
      <c r="G68" s="184" t="s">
        <v>34</v>
      </c>
      <c r="H68" s="184"/>
      <c r="I68" s="185">
        <v>500</v>
      </c>
      <c r="J68" s="184"/>
      <c r="K68" s="172">
        <v>42996.32916666667</v>
      </c>
      <c r="L68" s="32" t="s">
        <v>552</v>
      </c>
    </row>
    <row r="69" spans="1:12">
      <c r="A69" s="184">
        <v>68</v>
      </c>
      <c r="B69" s="127">
        <v>42875</v>
      </c>
      <c r="C69" s="184" t="s">
        <v>495</v>
      </c>
      <c r="D69" s="184" t="s">
        <v>322</v>
      </c>
      <c r="E69" s="184" t="s">
        <v>85</v>
      </c>
      <c r="F69" s="184"/>
      <c r="G69" s="184" t="s">
        <v>34</v>
      </c>
      <c r="H69" s="184"/>
      <c r="I69" s="185">
        <v>600</v>
      </c>
      <c r="J69" s="184"/>
      <c r="K69" s="172">
        <v>42996.32916666667</v>
      </c>
      <c r="L69" s="32" t="s">
        <v>552</v>
      </c>
    </row>
    <row r="70" spans="1:12">
      <c r="A70" s="184">
        <v>69</v>
      </c>
      <c r="B70" s="127">
        <v>42875</v>
      </c>
      <c r="C70" s="184" t="s">
        <v>495</v>
      </c>
      <c r="D70" s="184" t="s">
        <v>322</v>
      </c>
      <c r="E70" s="184" t="s">
        <v>73</v>
      </c>
      <c r="F70" s="184"/>
      <c r="G70" s="184" t="s">
        <v>34</v>
      </c>
      <c r="H70" s="184"/>
      <c r="I70" s="185">
        <v>600</v>
      </c>
      <c r="J70" s="184"/>
      <c r="K70" s="172">
        <v>42996.32916666667</v>
      </c>
      <c r="L70" s="32" t="s">
        <v>552</v>
      </c>
    </row>
    <row r="71" spans="1:12">
      <c r="A71" s="184">
        <v>70</v>
      </c>
      <c r="B71" s="127">
        <v>42875</v>
      </c>
      <c r="C71" s="184" t="s">
        <v>495</v>
      </c>
      <c r="D71" s="184" t="s">
        <v>322</v>
      </c>
      <c r="E71" s="184" t="s">
        <v>79</v>
      </c>
      <c r="F71" s="184"/>
      <c r="G71" s="184" t="s">
        <v>34</v>
      </c>
      <c r="H71" s="184"/>
      <c r="I71" s="185">
        <v>500</v>
      </c>
      <c r="J71" s="184"/>
      <c r="K71" s="172">
        <v>42996.32916666667</v>
      </c>
      <c r="L71" s="32" t="s">
        <v>552</v>
      </c>
    </row>
    <row r="72" spans="1:12">
      <c r="A72" s="184">
        <v>71</v>
      </c>
      <c r="B72" s="127">
        <v>42875</v>
      </c>
      <c r="C72" s="184" t="s">
        <v>495</v>
      </c>
      <c r="D72" s="184" t="s">
        <v>322</v>
      </c>
      <c r="E72" s="184" t="s">
        <v>30</v>
      </c>
      <c r="F72" s="184"/>
      <c r="G72" s="184" t="s">
        <v>34</v>
      </c>
      <c r="H72" s="184"/>
      <c r="I72" s="185">
        <v>800</v>
      </c>
      <c r="J72" s="184"/>
      <c r="K72" s="172">
        <v>42996.32916666667</v>
      </c>
      <c r="L72" s="32" t="s">
        <v>552</v>
      </c>
    </row>
    <row r="73" spans="1:12">
      <c r="A73" s="184">
        <v>72</v>
      </c>
      <c r="B73" s="127">
        <v>42875</v>
      </c>
      <c r="C73" s="184" t="s">
        <v>495</v>
      </c>
      <c r="D73" s="184" t="s">
        <v>322</v>
      </c>
      <c r="E73" s="184" t="s">
        <v>86</v>
      </c>
      <c r="F73" s="184"/>
      <c r="G73" s="184" t="s">
        <v>34</v>
      </c>
      <c r="H73" s="184"/>
      <c r="I73" s="185">
        <v>900</v>
      </c>
      <c r="J73" s="184"/>
      <c r="K73" s="172">
        <v>42996.32916666667</v>
      </c>
      <c r="L73" s="32" t="s">
        <v>552</v>
      </c>
    </row>
    <row r="74" spans="1:12">
      <c r="A74" s="184">
        <v>73</v>
      </c>
      <c r="B74" s="127">
        <v>42875</v>
      </c>
      <c r="C74" s="184" t="s">
        <v>495</v>
      </c>
      <c r="D74" s="184" t="s">
        <v>322</v>
      </c>
      <c r="E74" s="184" t="s">
        <v>112</v>
      </c>
      <c r="F74" s="184"/>
      <c r="G74" s="184" t="s">
        <v>34</v>
      </c>
      <c r="H74" s="184"/>
      <c r="I74" s="185">
        <v>700</v>
      </c>
      <c r="J74" s="184"/>
      <c r="K74" s="172">
        <v>42996.32916666667</v>
      </c>
      <c r="L74" s="32" t="s">
        <v>552</v>
      </c>
    </row>
    <row r="75" spans="1:12">
      <c r="A75" s="184">
        <v>74</v>
      </c>
      <c r="B75" s="127">
        <v>42875</v>
      </c>
      <c r="C75" s="184" t="s">
        <v>495</v>
      </c>
      <c r="D75" s="184" t="s">
        <v>322</v>
      </c>
      <c r="E75" s="184" t="s">
        <v>65</v>
      </c>
      <c r="F75" s="184"/>
      <c r="G75" s="184" t="s">
        <v>34</v>
      </c>
      <c r="H75" s="184"/>
      <c r="I75" s="185">
        <v>500</v>
      </c>
      <c r="J75" s="184"/>
      <c r="K75" s="172">
        <v>42996.32916666667</v>
      </c>
      <c r="L75" s="32" t="s">
        <v>552</v>
      </c>
    </row>
    <row r="76" spans="1:12">
      <c r="A76" s="184">
        <v>75</v>
      </c>
      <c r="B76" s="127">
        <v>42877</v>
      </c>
      <c r="C76" s="184" t="s">
        <v>4433</v>
      </c>
      <c r="D76" s="184" t="s">
        <v>320</v>
      </c>
      <c r="E76" s="184"/>
      <c r="F76" s="184"/>
      <c r="G76" s="184" t="s">
        <v>34</v>
      </c>
      <c r="H76" s="184"/>
      <c r="I76" s="185">
        <v>1200</v>
      </c>
      <c r="J76" s="184"/>
      <c r="K76" s="172">
        <v>42996.32916666667</v>
      </c>
      <c r="L76" s="32" t="s">
        <v>552</v>
      </c>
    </row>
    <row r="77" spans="1:12">
      <c r="A77" s="184">
        <v>76</v>
      </c>
      <c r="B77" s="127">
        <v>42877</v>
      </c>
      <c r="C77" s="184" t="s">
        <v>4426</v>
      </c>
      <c r="D77" s="184" t="s">
        <v>320</v>
      </c>
      <c r="E77" s="184" t="s">
        <v>321</v>
      </c>
      <c r="F77" s="184"/>
      <c r="G77" s="184" t="s">
        <v>34</v>
      </c>
      <c r="H77" s="184"/>
      <c r="I77" s="185">
        <v>500</v>
      </c>
      <c r="J77" s="184"/>
      <c r="K77" s="172">
        <v>42996.32916666667</v>
      </c>
      <c r="L77" s="32" t="s">
        <v>552</v>
      </c>
    </row>
    <row r="78" spans="1:12">
      <c r="A78" s="184">
        <v>77</v>
      </c>
      <c r="B78" s="127">
        <v>42877</v>
      </c>
      <c r="C78" s="184" t="s">
        <v>4426</v>
      </c>
      <c r="D78" s="184" t="s">
        <v>320</v>
      </c>
      <c r="E78" s="184" t="s">
        <v>305</v>
      </c>
      <c r="F78" s="184"/>
      <c r="G78" s="184" t="s">
        <v>34</v>
      </c>
      <c r="H78" s="184"/>
      <c r="I78" s="185">
        <v>500</v>
      </c>
      <c r="J78" s="184"/>
      <c r="K78" s="172">
        <v>42996.32916666667</v>
      </c>
      <c r="L78" s="32" t="s">
        <v>552</v>
      </c>
    </row>
    <row r="79" spans="1:12">
      <c r="A79" s="184">
        <v>78</v>
      </c>
      <c r="B79" s="127">
        <v>42877</v>
      </c>
      <c r="C79" s="184" t="s">
        <v>495</v>
      </c>
      <c r="D79" s="184" t="s">
        <v>322</v>
      </c>
      <c r="E79" s="184" t="s">
        <v>88</v>
      </c>
      <c r="F79" s="184"/>
      <c r="G79" s="184" t="s">
        <v>34</v>
      </c>
      <c r="H79" s="184"/>
      <c r="I79" s="185">
        <v>500</v>
      </c>
      <c r="J79" s="184"/>
      <c r="K79" s="172">
        <v>42996.32916666667</v>
      </c>
      <c r="L79" s="32" t="s">
        <v>552</v>
      </c>
    </row>
    <row r="80" spans="1:12">
      <c r="A80" s="184">
        <v>79</v>
      </c>
      <c r="B80" s="127">
        <v>42878</v>
      </c>
      <c r="C80" s="184" t="s">
        <v>4435</v>
      </c>
      <c r="D80" s="184" t="s">
        <v>320</v>
      </c>
      <c r="E80" s="184"/>
      <c r="F80" s="184"/>
      <c r="G80" s="184" t="s">
        <v>34</v>
      </c>
      <c r="H80" s="184"/>
      <c r="I80" s="185">
        <v>200</v>
      </c>
      <c r="J80" s="184"/>
      <c r="K80" s="172">
        <v>42996.32916666667</v>
      </c>
      <c r="L80" s="32" t="s">
        <v>552</v>
      </c>
    </row>
    <row r="81" spans="1:12">
      <c r="A81" s="184">
        <v>80</v>
      </c>
      <c r="B81" s="127">
        <v>42878</v>
      </c>
      <c r="C81" s="184" t="s">
        <v>495</v>
      </c>
      <c r="D81" s="184" t="s">
        <v>322</v>
      </c>
      <c r="E81" s="184" t="s">
        <v>42</v>
      </c>
      <c r="F81" s="184"/>
      <c r="G81" s="184" t="s">
        <v>34</v>
      </c>
      <c r="H81" s="184"/>
      <c r="I81" s="185">
        <v>600</v>
      </c>
      <c r="J81" s="184"/>
      <c r="K81" s="172">
        <v>42996.32916666667</v>
      </c>
      <c r="L81" s="32" t="s">
        <v>552</v>
      </c>
    </row>
    <row r="82" spans="1:12">
      <c r="A82" s="184">
        <v>81</v>
      </c>
      <c r="B82" s="127">
        <v>42878</v>
      </c>
      <c r="C82" s="184" t="s">
        <v>495</v>
      </c>
      <c r="D82" s="184" t="s">
        <v>322</v>
      </c>
      <c r="E82" s="184" t="s">
        <v>176</v>
      </c>
      <c r="F82" s="184"/>
      <c r="G82" s="184" t="s">
        <v>34</v>
      </c>
      <c r="H82" s="184"/>
      <c r="I82" s="185">
        <v>500</v>
      </c>
      <c r="J82" s="184"/>
      <c r="K82" s="172">
        <v>42996.32916666667</v>
      </c>
      <c r="L82" s="32" t="s">
        <v>552</v>
      </c>
    </row>
    <row r="83" spans="1:12">
      <c r="A83" s="184">
        <v>82</v>
      </c>
      <c r="B83" s="127">
        <v>42880</v>
      </c>
      <c r="C83" s="184" t="s">
        <v>4428</v>
      </c>
      <c r="D83" s="184" t="s">
        <v>320</v>
      </c>
      <c r="E83" s="184"/>
      <c r="F83" s="184"/>
      <c r="G83" s="184" t="s">
        <v>34</v>
      </c>
      <c r="H83" s="184"/>
      <c r="I83" s="185">
        <v>3000</v>
      </c>
      <c r="J83" s="184"/>
      <c r="K83" s="172">
        <v>42996.32916666667</v>
      </c>
      <c r="L83" s="32" t="s">
        <v>552</v>
      </c>
    </row>
    <row r="84" spans="1:12">
      <c r="A84" s="184">
        <v>83</v>
      </c>
      <c r="B84" s="127">
        <v>42882</v>
      </c>
      <c r="C84" s="184" t="s">
        <v>495</v>
      </c>
      <c r="D84" s="184" t="s">
        <v>322</v>
      </c>
      <c r="E84" s="184" t="s">
        <v>63</v>
      </c>
      <c r="F84" s="184"/>
      <c r="G84" s="184" t="s">
        <v>34</v>
      </c>
      <c r="H84" s="184"/>
      <c r="I84" s="185">
        <v>700</v>
      </c>
      <c r="J84" s="184"/>
      <c r="K84" s="172">
        <v>42996.32916666667</v>
      </c>
      <c r="L84" s="32" t="s">
        <v>552</v>
      </c>
    </row>
    <row r="85" spans="1:12">
      <c r="A85" s="184">
        <v>84</v>
      </c>
      <c r="B85" s="127">
        <v>42882</v>
      </c>
      <c r="C85" s="184" t="s">
        <v>495</v>
      </c>
      <c r="D85" s="184" t="s">
        <v>322</v>
      </c>
      <c r="E85" s="184" t="s">
        <v>79</v>
      </c>
      <c r="F85" s="184"/>
      <c r="G85" s="184" t="s">
        <v>34</v>
      </c>
      <c r="H85" s="184"/>
      <c r="I85" s="185">
        <v>600</v>
      </c>
      <c r="J85" s="184"/>
      <c r="K85" s="172">
        <v>42996.32916666667</v>
      </c>
      <c r="L85" s="32" t="s">
        <v>552</v>
      </c>
    </row>
    <row r="86" spans="1:12">
      <c r="A86" s="184">
        <v>85</v>
      </c>
      <c r="B86" s="127">
        <v>42882</v>
      </c>
      <c r="C86" s="184" t="s">
        <v>495</v>
      </c>
      <c r="D86" s="184" t="s">
        <v>322</v>
      </c>
      <c r="E86" s="184" t="s">
        <v>30</v>
      </c>
      <c r="F86" s="184"/>
      <c r="G86" s="184" t="s">
        <v>34</v>
      </c>
      <c r="H86" s="184"/>
      <c r="I86" s="185">
        <v>800</v>
      </c>
      <c r="J86" s="184"/>
      <c r="K86" s="172">
        <v>42996.32916666667</v>
      </c>
      <c r="L86" s="32" t="s">
        <v>552</v>
      </c>
    </row>
    <row r="87" spans="1:12">
      <c r="A87" s="184">
        <v>86</v>
      </c>
      <c r="B87" s="127">
        <v>42882</v>
      </c>
      <c r="C87" s="184" t="s">
        <v>495</v>
      </c>
      <c r="D87" s="184" t="s">
        <v>322</v>
      </c>
      <c r="E87" s="184" t="s">
        <v>86</v>
      </c>
      <c r="F87" s="184"/>
      <c r="G87" s="184" t="s">
        <v>34</v>
      </c>
      <c r="H87" s="184"/>
      <c r="I87" s="185">
        <v>600</v>
      </c>
      <c r="J87" s="184"/>
      <c r="K87" s="172">
        <v>42996.32916666667</v>
      </c>
      <c r="L87" s="32" t="s">
        <v>552</v>
      </c>
    </row>
    <row r="88" spans="1:12">
      <c r="A88" s="184">
        <v>87</v>
      </c>
      <c r="B88" s="127">
        <v>42882</v>
      </c>
      <c r="C88" s="184" t="s">
        <v>495</v>
      </c>
      <c r="D88" s="184" t="s">
        <v>322</v>
      </c>
      <c r="E88" s="184" t="s">
        <v>324</v>
      </c>
      <c r="F88" s="184"/>
      <c r="G88" s="184" t="s">
        <v>34</v>
      </c>
      <c r="H88" s="184"/>
      <c r="I88" s="185">
        <v>500</v>
      </c>
      <c r="J88" s="184"/>
      <c r="K88" s="172">
        <v>42996.32916666667</v>
      </c>
      <c r="L88" s="32" t="s">
        <v>552</v>
      </c>
    </row>
    <row r="89" spans="1:12">
      <c r="A89" s="184">
        <v>88</v>
      </c>
      <c r="B89" s="127">
        <v>42882</v>
      </c>
      <c r="C89" s="184" t="s">
        <v>495</v>
      </c>
      <c r="D89" s="184" t="s">
        <v>322</v>
      </c>
      <c r="E89" s="184" t="s">
        <v>98</v>
      </c>
      <c r="F89" s="184"/>
      <c r="G89" s="184" t="s">
        <v>34</v>
      </c>
      <c r="H89" s="184"/>
      <c r="I89" s="185">
        <v>500</v>
      </c>
      <c r="J89" s="184"/>
      <c r="K89" s="172">
        <v>42996.32916666667</v>
      </c>
      <c r="L89" s="32" t="s">
        <v>552</v>
      </c>
    </row>
    <row r="90" spans="1:12">
      <c r="A90" s="184">
        <v>89</v>
      </c>
      <c r="B90" s="127">
        <v>42882</v>
      </c>
      <c r="C90" s="184" t="s">
        <v>495</v>
      </c>
      <c r="D90" s="184" t="s">
        <v>322</v>
      </c>
      <c r="E90" s="184" t="s">
        <v>112</v>
      </c>
      <c r="F90" s="184"/>
      <c r="G90" s="184" t="s">
        <v>34</v>
      </c>
      <c r="H90" s="184"/>
      <c r="I90" s="185">
        <v>700</v>
      </c>
      <c r="J90" s="184"/>
      <c r="K90" s="172">
        <v>42996.32916666667</v>
      </c>
      <c r="L90" s="32" t="s">
        <v>552</v>
      </c>
    </row>
    <row r="91" spans="1:12">
      <c r="A91" s="184">
        <v>90</v>
      </c>
      <c r="B91" s="127">
        <v>42882</v>
      </c>
      <c r="C91" s="184" t="s">
        <v>495</v>
      </c>
      <c r="D91" s="184" t="s">
        <v>322</v>
      </c>
      <c r="E91" s="184" t="s">
        <v>176</v>
      </c>
      <c r="F91" s="184"/>
      <c r="G91" s="184" t="s">
        <v>34</v>
      </c>
      <c r="H91" s="184"/>
      <c r="I91" s="185">
        <v>500</v>
      </c>
      <c r="J91" s="184"/>
      <c r="K91" s="172">
        <v>42996.32916666667</v>
      </c>
      <c r="L91" s="32" t="s">
        <v>552</v>
      </c>
    </row>
    <row r="92" spans="1:12">
      <c r="A92" s="184">
        <v>91</v>
      </c>
      <c r="B92" s="127">
        <v>42882</v>
      </c>
      <c r="C92" s="184" t="s">
        <v>495</v>
      </c>
      <c r="D92" s="184" t="s">
        <v>322</v>
      </c>
      <c r="E92" s="184" t="s">
        <v>65</v>
      </c>
      <c r="F92" s="184"/>
      <c r="G92" s="184" t="s">
        <v>34</v>
      </c>
      <c r="H92" s="184"/>
      <c r="I92" s="185">
        <v>600</v>
      </c>
      <c r="J92" s="184"/>
      <c r="K92" s="172">
        <v>42996.32916666667</v>
      </c>
      <c r="L92" s="32" t="s">
        <v>552</v>
      </c>
    </row>
    <row r="93" spans="1:12">
      <c r="A93" s="184">
        <v>92</v>
      </c>
      <c r="B93" s="127">
        <v>42882</v>
      </c>
      <c r="C93" s="184" t="s">
        <v>495</v>
      </c>
      <c r="D93" s="184" t="s">
        <v>322</v>
      </c>
      <c r="E93" s="184" t="s">
        <v>88</v>
      </c>
      <c r="F93" s="184"/>
      <c r="G93" s="184" t="s">
        <v>34</v>
      </c>
      <c r="H93" s="184"/>
      <c r="I93" s="185">
        <v>600</v>
      </c>
      <c r="J93" s="184"/>
      <c r="K93" s="172">
        <v>42996.32916666667</v>
      </c>
      <c r="L93" s="32" t="s">
        <v>552</v>
      </c>
    </row>
    <row r="94" spans="1:12">
      <c r="A94" s="184">
        <v>93</v>
      </c>
      <c r="B94" s="127">
        <v>42884</v>
      </c>
      <c r="C94" s="184" t="s">
        <v>4426</v>
      </c>
      <c r="D94" s="184" t="s">
        <v>320</v>
      </c>
      <c r="E94" s="184" t="s">
        <v>321</v>
      </c>
      <c r="F94" s="184"/>
      <c r="G94" s="184" t="s">
        <v>34</v>
      </c>
      <c r="H94" s="184"/>
      <c r="I94" s="185">
        <v>500</v>
      </c>
      <c r="J94" s="184"/>
      <c r="K94" s="172">
        <v>42996.32916666667</v>
      </c>
      <c r="L94" s="32" t="s">
        <v>552</v>
      </c>
    </row>
    <row r="95" spans="1:12">
      <c r="A95" s="184">
        <v>94</v>
      </c>
      <c r="B95" s="127">
        <v>42884</v>
      </c>
      <c r="C95" s="184" t="s">
        <v>495</v>
      </c>
      <c r="D95" s="184" t="s">
        <v>322</v>
      </c>
      <c r="E95" s="184" t="s">
        <v>42</v>
      </c>
      <c r="F95" s="184"/>
      <c r="G95" s="184" t="s">
        <v>34</v>
      </c>
      <c r="H95" s="184"/>
      <c r="I95" s="185">
        <v>600</v>
      </c>
      <c r="J95" s="184"/>
      <c r="K95" s="172">
        <v>42996.32916666667</v>
      </c>
      <c r="L95" s="32" t="s">
        <v>552</v>
      </c>
    </row>
    <row r="96" spans="1:12">
      <c r="A96" s="184">
        <v>95</v>
      </c>
      <c r="B96" s="127">
        <v>42884</v>
      </c>
      <c r="C96" s="184" t="s">
        <v>495</v>
      </c>
      <c r="D96" s="184" t="s">
        <v>322</v>
      </c>
      <c r="E96" s="184" t="s">
        <v>73</v>
      </c>
      <c r="F96" s="184"/>
      <c r="G96" s="184" t="s">
        <v>34</v>
      </c>
      <c r="H96" s="184"/>
      <c r="I96" s="185">
        <v>600</v>
      </c>
      <c r="J96" s="184"/>
      <c r="K96" s="172">
        <v>42996.32916666667</v>
      </c>
      <c r="L96" s="32" t="s">
        <v>552</v>
      </c>
    </row>
    <row r="97" spans="1:12">
      <c r="A97" s="184">
        <v>96</v>
      </c>
      <c r="B97" s="127">
        <v>42884</v>
      </c>
      <c r="C97" s="184"/>
      <c r="D97" s="184" t="s">
        <v>326</v>
      </c>
      <c r="E97" s="184"/>
      <c r="F97" s="184"/>
      <c r="G97" s="184" t="s">
        <v>34</v>
      </c>
      <c r="H97" s="184"/>
      <c r="I97" s="185">
        <v>120000</v>
      </c>
      <c r="J97" s="184"/>
      <c r="K97" s="172">
        <v>42996.32916666667</v>
      </c>
      <c r="L97" s="32" t="s">
        <v>552</v>
      </c>
    </row>
    <row r="98" spans="1:12">
      <c r="A98" s="184">
        <v>97</v>
      </c>
      <c r="B98" s="127">
        <v>42885</v>
      </c>
      <c r="C98" s="184" t="s">
        <v>4441</v>
      </c>
      <c r="D98" s="184" t="s">
        <v>320</v>
      </c>
      <c r="E98" s="184"/>
      <c r="F98" s="184"/>
      <c r="G98" s="184" t="s">
        <v>34</v>
      </c>
      <c r="H98" s="184"/>
      <c r="I98" s="185">
        <v>4800</v>
      </c>
      <c r="J98" s="184"/>
      <c r="K98" s="172">
        <v>42996.32916666667</v>
      </c>
      <c r="L98" s="32" t="s">
        <v>552</v>
      </c>
    </row>
    <row r="99" spans="1:12">
      <c r="A99" s="184">
        <v>98</v>
      </c>
      <c r="B99" s="127">
        <v>42886</v>
      </c>
      <c r="C99" s="184" t="s">
        <v>4426</v>
      </c>
      <c r="D99" s="184" t="s">
        <v>320</v>
      </c>
      <c r="E99" s="184" t="s">
        <v>321</v>
      </c>
      <c r="F99" s="184"/>
      <c r="G99" s="184" t="s">
        <v>34</v>
      </c>
      <c r="H99" s="184"/>
      <c r="I99" s="185">
        <v>500</v>
      </c>
      <c r="J99" s="184"/>
      <c r="K99" s="172">
        <v>42996.32916666667</v>
      </c>
      <c r="L99" s="32" t="s">
        <v>552</v>
      </c>
    </row>
    <row r="100" spans="1:12">
      <c r="A100" s="184">
        <v>99</v>
      </c>
      <c r="B100" s="127">
        <v>42886</v>
      </c>
      <c r="C100" s="184" t="s">
        <v>4427</v>
      </c>
      <c r="D100" s="184" t="s">
        <v>320</v>
      </c>
      <c r="E100" s="184"/>
      <c r="F100" s="184"/>
      <c r="G100" s="184" t="s">
        <v>34</v>
      </c>
      <c r="H100" s="184"/>
      <c r="I100" s="185">
        <v>500</v>
      </c>
      <c r="J100" s="184"/>
      <c r="K100" s="172">
        <v>42996.32916666667</v>
      </c>
      <c r="L100" s="32" t="s">
        <v>552</v>
      </c>
    </row>
    <row r="101" spans="1:12">
      <c r="A101" s="184">
        <v>100</v>
      </c>
      <c r="B101" s="127">
        <v>42889</v>
      </c>
      <c r="C101" s="184" t="s">
        <v>495</v>
      </c>
      <c r="D101" s="184" t="s">
        <v>322</v>
      </c>
      <c r="E101" s="184" t="s">
        <v>63</v>
      </c>
      <c r="F101" s="184"/>
      <c r="G101" s="184" t="s">
        <v>34</v>
      </c>
      <c r="H101" s="184"/>
      <c r="I101" s="185">
        <v>1000</v>
      </c>
      <c r="J101" s="184"/>
      <c r="K101" s="172">
        <v>42996.32916666667</v>
      </c>
      <c r="L101" s="32" t="s">
        <v>552</v>
      </c>
    </row>
    <row r="102" spans="1:12">
      <c r="A102" s="184">
        <v>101</v>
      </c>
      <c r="B102" s="127">
        <v>42889</v>
      </c>
      <c r="C102" s="184" t="s">
        <v>495</v>
      </c>
      <c r="D102" s="184" t="s">
        <v>322</v>
      </c>
      <c r="E102" s="184" t="s">
        <v>85</v>
      </c>
      <c r="F102" s="184"/>
      <c r="G102" s="184" t="s">
        <v>34</v>
      </c>
      <c r="H102" s="184"/>
      <c r="I102" s="185">
        <v>700</v>
      </c>
      <c r="J102" s="184"/>
      <c r="K102" s="172">
        <v>42996.32916666667</v>
      </c>
      <c r="L102" s="32" t="s">
        <v>552</v>
      </c>
    </row>
    <row r="103" spans="1:12">
      <c r="A103" s="184">
        <v>102</v>
      </c>
      <c r="B103" s="127">
        <v>42889</v>
      </c>
      <c r="C103" s="184" t="s">
        <v>495</v>
      </c>
      <c r="D103" s="184" t="s">
        <v>322</v>
      </c>
      <c r="E103" s="184" t="s">
        <v>73</v>
      </c>
      <c r="F103" s="184"/>
      <c r="G103" s="184" t="s">
        <v>34</v>
      </c>
      <c r="H103" s="184"/>
      <c r="I103" s="185">
        <v>400</v>
      </c>
      <c r="J103" s="184"/>
      <c r="K103" s="172">
        <v>42996.32916666667</v>
      </c>
      <c r="L103" s="32" t="s">
        <v>552</v>
      </c>
    </row>
    <row r="104" spans="1:12">
      <c r="A104" s="184">
        <v>103</v>
      </c>
      <c r="B104" s="127">
        <v>42889</v>
      </c>
      <c r="C104" s="184" t="s">
        <v>495</v>
      </c>
      <c r="D104" s="184" t="s">
        <v>322</v>
      </c>
      <c r="E104" s="184" t="s">
        <v>79</v>
      </c>
      <c r="F104" s="184"/>
      <c r="G104" s="184" t="s">
        <v>34</v>
      </c>
      <c r="H104" s="184"/>
      <c r="I104" s="185">
        <v>500</v>
      </c>
      <c r="J104" s="184"/>
      <c r="K104" s="172">
        <v>42996.32916666667</v>
      </c>
      <c r="L104" s="32" t="s">
        <v>552</v>
      </c>
    </row>
    <row r="105" spans="1:12">
      <c r="A105" s="184">
        <v>104</v>
      </c>
      <c r="B105" s="127">
        <v>42889</v>
      </c>
      <c r="C105" s="184" t="s">
        <v>495</v>
      </c>
      <c r="D105" s="184" t="s">
        <v>322</v>
      </c>
      <c r="E105" s="184" t="s">
        <v>86</v>
      </c>
      <c r="F105" s="184"/>
      <c r="G105" s="184" t="s">
        <v>34</v>
      </c>
      <c r="H105" s="184"/>
      <c r="I105" s="185">
        <v>900</v>
      </c>
      <c r="J105" s="184"/>
      <c r="K105" s="172">
        <v>42996.32916666667</v>
      </c>
      <c r="L105" s="32" t="s">
        <v>552</v>
      </c>
    </row>
    <row r="106" spans="1:12">
      <c r="A106" s="184">
        <v>105</v>
      </c>
      <c r="B106" s="127">
        <v>42889</v>
      </c>
      <c r="C106" s="184" t="s">
        <v>495</v>
      </c>
      <c r="D106" s="184" t="s">
        <v>322</v>
      </c>
      <c r="E106" s="184" t="s">
        <v>98</v>
      </c>
      <c r="F106" s="184"/>
      <c r="G106" s="184" t="s">
        <v>34</v>
      </c>
      <c r="H106" s="184"/>
      <c r="I106" s="185">
        <v>600</v>
      </c>
      <c r="J106" s="184"/>
      <c r="K106" s="172">
        <v>42996.32916666667</v>
      </c>
      <c r="L106" s="32" t="s">
        <v>552</v>
      </c>
    </row>
    <row r="107" spans="1:12">
      <c r="A107" s="184">
        <v>106</v>
      </c>
      <c r="B107" s="127">
        <v>42889</v>
      </c>
      <c r="C107" s="184" t="s">
        <v>495</v>
      </c>
      <c r="D107" s="184" t="s">
        <v>322</v>
      </c>
      <c r="E107" s="184" t="s">
        <v>51</v>
      </c>
      <c r="F107" s="184"/>
      <c r="G107" s="184" t="s">
        <v>34</v>
      </c>
      <c r="H107" s="184"/>
      <c r="I107" s="185">
        <v>600</v>
      </c>
      <c r="J107" s="184"/>
      <c r="K107" s="172">
        <v>42996.32916666667</v>
      </c>
      <c r="L107" s="32" t="s">
        <v>552</v>
      </c>
    </row>
    <row r="108" spans="1:12">
      <c r="A108" s="184">
        <v>107</v>
      </c>
      <c r="B108" s="127">
        <v>42889</v>
      </c>
      <c r="C108" s="184" t="s">
        <v>495</v>
      </c>
      <c r="D108" s="184" t="s">
        <v>322</v>
      </c>
      <c r="E108" s="184" t="s">
        <v>112</v>
      </c>
      <c r="F108" s="184"/>
      <c r="G108" s="184" t="s">
        <v>34</v>
      </c>
      <c r="H108" s="184"/>
      <c r="I108" s="185">
        <v>700</v>
      </c>
      <c r="J108" s="184"/>
      <c r="K108" s="172">
        <v>42996.32916666667</v>
      </c>
      <c r="L108" s="32" t="s">
        <v>552</v>
      </c>
    </row>
    <row r="109" spans="1:12">
      <c r="A109" s="184">
        <v>108</v>
      </c>
      <c r="B109" s="127">
        <v>42889</v>
      </c>
      <c r="C109" s="184" t="s">
        <v>495</v>
      </c>
      <c r="D109" s="184" t="s">
        <v>322</v>
      </c>
      <c r="E109" s="184" t="s">
        <v>65</v>
      </c>
      <c r="F109" s="184"/>
      <c r="G109" s="184" t="s">
        <v>34</v>
      </c>
      <c r="H109" s="184"/>
      <c r="I109" s="185">
        <v>500</v>
      </c>
      <c r="J109" s="184"/>
      <c r="K109" s="172">
        <v>42996.32916666667</v>
      </c>
      <c r="L109" s="32" t="s">
        <v>552</v>
      </c>
    </row>
    <row r="110" spans="1:12">
      <c r="A110" s="184">
        <v>109</v>
      </c>
      <c r="B110" s="127">
        <v>42889</v>
      </c>
      <c r="C110" s="184" t="s">
        <v>495</v>
      </c>
      <c r="D110" s="184" t="s">
        <v>322</v>
      </c>
      <c r="E110" s="184" t="s">
        <v>176</v>
      </c>
      <c r="F110" s="184"/>
      <c r="G110" s="184" t="s">
        <v>34</v>
      </c>
      <c r="H110" s="184"/>
      <c r="I110" s="185">
        <v>500</v>
      </c>
      <c r="J110" s="184"/>
      <c r="K110" s="172">
        <v>42996.32916666667</v>
      </c>
      <c r="L110" s="32" t="s">
        <v>552</v>
      </c>
    </row>
    <row r="111" spans="1:12">
      <c r="A111" s="184">
        <v>110</v>
      </c>
      <c r="B111" s="127">
        <v>42889</v>
      </c>
      <c r="C111" s="184" t="s">
        <v>495</v>
      </c>
      <c r="D111" s="184" t="s">
        <v>322</v>
      </c>
      <c r="E111" s="184" t="s">
        <v>88</v>
      </c>
      <c r="F111" s="184"/>
      <c r="G111" s="184" t="s">
        <v>34</v>
      </c>
      <c r="H111" s="184"/>
      <c r="I111" s="185">
        <v>500</v>
      </c>
      <c r="J111" s="184"/>
      <c r="K111" s="172">
        <v>42996.32916666667</v>
      </c>
      <c r="L111" s="32" t="s">
        <v>552</v>
      </c>
    </row>
    <row r="112" spans="1:12">
      <c r="A112" s="184">
        <v>111</v>
      </c>
      <c r="B112" s="127">
        <v>42891</v>
      </c>
      <c r="C112" s="184" t="s">
        <v>4426</v>
      </c>
      <c r="D112" s="184" t="s">
        <v>320</v>
      </c>
      <c r="E112" s="184" t="s">
        <v>321</v>
      </c>
      <c r="F112" s="184"/>
      <c r="G112" s="184" t="s">
        <v>34</v>
      </c>
      <c r="H112" s="184"/>
      <c r="I112" s="185">
        <v>500</v>
      </c>
      <c r="J112" s="184"/>
      <c r="K112" s="172">
        <v>42996.32916666667</v>
      </c>
      <c r="L112" s="32" t="s">
        <v>552</v>
      </c>
    </row>
    <row r="113" spans="1:12">
      <c r="A113" s="184">
        <v>112</v>
      </c>
      <c r="B113" s="127">
        <v>42891</v>
      </c>
      <c r="C113" s="184" t="s">
        <v>495</v>
      </c>
      <c r="D113" s="184" t="s">
        <v>322</v>
      </c>
      <c r="E113" s="184" t="s">
        <v>30</v>
      </c>
      <c r="F113" s="184"/>
      <c r="G113" s="184" t="s">
        <v>34</v>
      </c>
      <c r="H113" s="184"/>
      <c r="I113" s="185">
        <v>800</v>
      </c>
      <c r="J113" s="184"/>
      <c r="K113" s="172">
        <v>42996.32916666667</v>
      </c>
      <c r="L113" s="32" t="s">
        <v>552</v>
      </c>
    </row>
    <row r="114" spans="1:12">
      <c r="A114" s="184">
        <v>113</v>
      </c>
      <c r="B114" s="127">
        <v>42891</v>
      </c>
      <c r="C114" s="184" t="s">
        <v>495</v>
      </c>
      <c r="D114" s="184" t="s">
        <v>322</v>
      </c>
      <c r="E114" s="184" t="s">
        <v>324</v>
      </c>
      <c r="F114" s="184"/>
      <c r="G114" s="184" t="s">
        <v>34</v>
      </c>
      <c r="H114" s="184"/>
      <c r="I114" s="185">
        <v>700</v>
      </c>
      <c r="J114" s="184"/>
      <c r="K114" s="172">
        <v>42996.32916666667</v>
      </c>
      <c r="L114" s="32" t="s">
        <v>552</v>
      </c>
    </row>
    <row r="115" spans="1:12">
      <c r="A115" s="184">
        <v>114</v>
      </c>
      <c r="B115" s="127">
        <v>42892</v>
      </c>
      <c r="C115" s="184" t="s">
        <v>4426</v>
      </c>
      <c r="D115" s="184" t="s">
        <v>320</v>
      </c>
      <c r="E115" s="184" t="s">
        <v>321</v>
      </c>
      <c r="F115" s="184"/>
      <c r="G115" s="184" t="s">
        <v>34</v>
      </c>
      <c r="H115" s="184"/>
      <c r="I115" s="185">
        <v>500</v>
      </c>
      <c r="J115" s="184"/>
      <c r="K115" s="172">
        <v>42996.32916666667</v>
      </c>
      <c r="L115" s="32" t="s">
        <v>552</v>
      </c>
    </row>
    <row r="116" spans="1:12">
      <c r="A116" s="184">
        <v>115</v>
      </c>
      <c r="B116" s="127">
        <v>42893</v>
      </c>
      <c r="C116" s="184" t="s">
        <v>495</v>
      </c>
      <c r="D116" s="184" t="s">
        <v>322</v>
      </c>
      <c r="E116" s="184" t="s">
        <v>63</v>
      </c>
      <c r="F116" s="184"/>
      <c r="G116" s="184" t="s">
        <v>34</v>
      </c>
      <c r="H116" s="184"/>
      <c r="I116" s="185">
        <v>400</v>
      </c>
      <c r="J116" s="184"/>
      <c r="K116" s="172">
        <v>42996.32916666667</v>
      </c>
      <c r="L116" s="32" t="s">
        <v>552</v>
      </c>
    </row>
    <row r="117" spans="1:12">
      <c r="A117" s="184">
        <v>116</v>
      </c>
      <c r="B117" s="127">
        <v>42894</v>
      </c>
      <c r="C117" s="184" t="s">
        <v>4426</v>
      </c>
      <c r="D117" s="184" t="s">
        <v>320</v>
      </c>
      <c r="E117" s="184" t="s">
        <v>321</v>
      </c>
      <c r="F117" s="184"/>
      <c r="G117" s="184" t="s">
        <v>34</v>
      </c>
      <c r="H117" s="184"/>
      <c r="I117" s="185">
        <v>500</v>
      </c>
      <c r="J117" s="184"/>
      <c r="K117" s="172">
        <v>42996.32916666667</v>
      </c>
      <c r="L117" s="32" t="s">
        <v>552</v>
      </c>
    </row>
    <row r="118" spans="1:12">
      <c r="A118" s="184">
        <v>117</v>
      </c>
      <c r="B118" s="127">
        <v>42894</v>
      </c>
      <c r="C118" s="184" t="s">
        <v>4427</v>
      </c>
      <c r="D118" s="184" t="s">
        <v>320</v>
      </c>
      <c r="E118" s="184" t="s">
        <v>327</v>
      </c>
      <c r="F118" s="184"/>
      <c r="G118" s="184" t="s">
        <v>34</v>
      </c>
      <c r="H118" s="184"/>
      <c r="I118" s="185">
        <v>300</v>
      </c>
      <c r="J118" s="184" t="s">
        <v>4442</v>
      </c>
      <c r="K118" s="172">
        <v>42996.32916666667</v>
      </c>
      <c r="L118" s="32" t="s">
        <v>552</v>
      </c>
    </row>
    <row r="119" spans="1:12">
      <c r="A119" s="184">
        <v>118</v>
      </c>
      <c r="B119" s="127">
        <v>42895</v>
      </c>
      <c r="C119" s="184" t="s">
        <v>4433</v>
      </c>
      <c r="D119" s="184" t="s">
        <v>320</v>
      </c>
      <c r="E119" s="184"/>
      <c r="F119" s="184"/>
      <c r="G119" s="184" t="s">
        <v>34</v>
      </c>
      <c r="H119" s="184"/>
      <c r="I119" s="185">
        <v>1500</v>
      </c>
      <c r="J119" s="184"/>
      <c r="K119" s="172">
        <v>42996.32916666667</v>
      </c>
      <c r="L119" s="32" t="s">
        <v>552</v>
      </c>
    </row>
    <row r="120" spans="1:12">
      <c r="A120" s="184">
        <v>119</v>
      </c>
      <c r="B120" s="127">
        <v>42896</v>
      </c>
      <c r="C120" s="184" t="s">
        <v>4426</v>
      </c>
      <c r="D120" s="184" t="s">
        <v>320</v>
      </c>
      <c r="E120" s="184" t="s">
        <v>321</v>
      </c>
      <c r="F120" s="184"/>
      <c r="G120" s="184" t="s">
        <v>34</v>
      </c>
      <c r="H120" s="184"/>
      <c r="I120" s="185">
        <v>200</v>
      </c>
      <c r="J120" s="184"/>
      <c r="K120" s="172">
        <v>42996.32916666667</v>
      </c>
      <c r="L120" s="32" t="s">
        <v>552</v>
      </c>
    </row>
    <row r="121" spans="1:12">
      <c r="A121" s="184">
        <v>120</v>
      </c>
      <c r="B121" s="127">
        <v>42896</v>
      </c>
      <c r="C121" s="184" t="s">
        <v>3001</v>
      </c>
      <c r="D121" s="184" t="s">
        <v>320</v>
      </c>
      <c r="E121" s="184" t="s">
        <v>3001</v>
      </c>
      <c r="F121" s="184"/>
      <c r="G121" s="184" t="s">
        <v>34</v>
      </c>
      <c r="H121" s="184"/>
      <c r="I121" s="185">
        <v>100</v>
      </c>
      <c r="J121" s="184"/>
      <c r="K121" s="172">
        <v>42996.32916666667</v>
      </c>
      <c r="L121" s="32" t="s">
        <v>552</v>
      </c>
    </row>
    <row r="122" spans="1:12">
      <c r="A122" s="184">
        <v>121</v>
      </c>
      <c r="B122" s="127">
        <v>42896</v>
      </c>
      <c r="C122" s="184" t="s">
        <v>495</v>
      </c>
      <c r="D122" s="184" t="s">
        <v>322</v>
      </c>
      <c r="E122" s="184" t="s">
        <v>63</v>
      </c>
      <c r="F122" s="184"/>
      <c r="G122" s="184" t="s">
        <v>34</v>
      </c>
      <c r="H122" s="184"/>
      <c r="I122" s="185">
        <v>600</v>
      </c>
      <c r="J122" s="184"/>
      <c r="K122" s="172">
        <v>42996.32916666667</v>
      </c>
      <c r="L122" s="32" t="s">
        <v>552</v>
      </c>
    </row>
    <row r="123" spans="1:12">
      <c r="A123" s="184">
        <v>122</v>
      </c>
      <c r="B123" s="127">
        <v>42896</v>
      </c>
      <c r="C123" s="184" t="s">
        <v>495</v>
      </c>
      <c r="D123" s="184" t="s">
        <v>322</v>
      </c>
      <c r="E123" s="184" t="s">
        <v>85</v>
      </c>
      <c r="F123" s="184"/>
      <c r="G123" s="184" t="s">
        <v>34</v>
      </c>
      <c r="H123" s="184"/>
      <c r="I123" s="185">
        <v>700</v>
      </c>
      <c r="J123" s="184"/>
      <c r="K123" s="172">
        <v>42996.32916666667</v>
      </c>
      <c r="L123" s="32" t="s">
        <v>552</v>
      </c>
    </row>
    <row r="124" spans="1:12">
      <c r="A124" s="184">
        <v>123</v>
      </c>
      <c r="B124" s="127">
        <v>42896</v>
      </c>
      <c r="C124" s="184" t="s">
        <v>495</v>
      </c>
      <c r="D124" s="184" t="s">
        <v>322</v>
      </c>
      <c r="E124" s="184" t="s">
        <v>73</v>
      </c>
      <c r="F124" s="184"/>
      <c r="G124" s="184" t="s">
        <v>34</v>
      </c>
      <c r="H124" s="184"/>
      <c r="I124" s="185">
        <v>500</v>
      </c>
      <c r="J124" s="184"/>
      <c r="K124" s="172">
        <v>42996.32916666667</v>
      </c>
      <c r="L124" s="32" t="s">
        <v>552</v>
      </c>
    </row>
    <row r="125" spans="1:12">
      <c r="A125" s="184">
        <v>124</v>
      </c>
      <c r="B125" s="127">
        <v>42896</v>
      </c>
      <c r="C125" s="184" t="s">
        <v>495</v>
      </c>
      <c r="D125" s="184" t="s">
        <v>322</v>
      </c>
      <c r="E125" s="184" t="s">
        <v>79</v>
      </c>
      <c r="F125" s="184"/>
      <c r="G125" s="184" t="s">
        <v>34</v>
      </c>
      <c r="H125" s="184"/>
      <c r="I125" s="185">
        <v>600</v>
      </c>
      <c r="J125" s="184"/>
      <c r="K125" s="172">
        <v>42996.32916666667</v>
      </c>
      <c r="L125" s="32" t="s">
        <v>552</v>
      </c>
    </row>
    <row r="126" spans="1:12">
      <c r="A126" s="184">
        <v>125</v>
      </c>
      <c r="B126" s="127">
        <v>42896</v>
      </c>
      <c r="C126" s="184" t="s">
        <v>495</v>
      </c>
      <c r="D126" s="184" t="s">
        <v>322</v>
      </c>
      <c r="E126" s="184" t="s">
        <v>30</v>
      </c>
      <c r="F126" s="184"/>
      <c r="G126" s="184" t="s">
        <v>34</v>
      </c>
      <c r="H126" s="184"/>
      <c r="I126" s="185">
        <v>800</v>
      </c>
      <c r="J126" s="184"/>
      <c r="K126" s="172">
        <v>42996.32916666667</v>
      </c>
      <c r="L126" s="32" t="s">
        <v>552</v>
      </c>
    </row>
    <row r="127" spans="1:12">
      <c r="A127" s="184">
        <v>126</v>
      </c>
      <c r="B127" s="127">
        <v>42896</v>
      </c>
      <c r="C127" s="184" t="s">
        <v>495</v>
      </c>
      <c r="D127" s="184" t="s">
        <v>322</v>
      </c>
      <c r="E127" s="184" t="s">
        <v>324</v>
      </c>
      <c r="F127" s="184"/>
      <c r="G127" s="184" t="s">
        <v>34</v>
      </c>
      <c r="H127" s="184"/>
      <c r="I127" s="185">
        <v>700</v>
      </c>
      <c r="J127" s="184"/>
      <c r="K127" s="172">
        <v>42996.32916666667</v>
      </c>
      <c r="L127" s="32" t="s">
        <v>552</v>
      </c>
    </row>
    <row r="128" spans="1:12">
      <c r="A128" s="184">
        <v>127</v>
      </c>
      <c r="B128" s="127">
        <v>42896</v>
      </c>
      <c r="C128" s="184" t="s">
        <v>495</v>
      </c>
      <c r="D128" s="184" t="s">
        <v>322</v>
      </c>
      <c r="E128" s="184" t="s">
        <v>51</v>
      </c>
      <c r="F128" s="184"/>
      <c r="G128" s="184" t="s">
        <v>34</v>
      </c>
      <c r="H128" s="184"/>
      <c r="I128" s="185">
        <v>500</v>
      </c>
      <c r="J128" s="184"/>
      <c r="K128" s="172">
        <v>42996.32916666667</v>
      </c>
      <c r="L128" s="32" t="s">
        <v>552</v>
      </c>
    </row>
    <row r="129" spans="1:12">
      <c r="A129" s="184">
        <v>128</v>
      </c>
      <c r="B129" s="127">
        <v>42896</v>
      </c>
      <c r="C129" s="184" t="s">
        <v>495</v>
      </c>
      <c r="D129" s="184" t="s">
        <v>322</v>
      </c>
      <c r="E129" s="184" t="s">
        <v>112</v>
      </c>
      <c r="F129" s="184"/>
      <c r="G129" s="184" t="s">
        <v>34</v>
      </c>
      <c r="H129" s="184"/>
      <c r="I129" s="185">
        <v>600</v>
      </c>
      <c r="J129" s="184"/>
      <c r="K129" s="172">
        <v>42996.32916666667</v>
      </c>
      <c r="L129" s="32" t="s">
        <v>552</v>
      </c>
    </row>
    <row r="130" spans="1:12">
      <c r="A130" s="184">
        <v>129</v>
      </c>
      <c r="B130" s="127">
        <v>42896</v>
      </c>
      <c r="C130" s="184" t="s">
        <v>495</v>
      </c>
      <c r="D130" s="184" t="s">
        <v>322</v>
      </c>
      <c r="E130" s="184" t="s">
        <v>65</v>
      </c>
      <c r="F130" s="184"/>
      <c r="G130" s="184" t="s">
        <v>34</v>
      </c>
      <c r="H130" s="184"/>
      <c r="I130" s="185">
        <v>500</v>
      </c>
      <c r="J130" s="184"/>
      <c r="K130" s="172">
        <v>42996.32916666667</v>
      </c>
      <c r="L130" s="32" t="s">
        <v>552</v>
      </c>
    </row>
    <row r="131" spans="1:12">
      <c r="A131" s="184">
        <v>130</v>
      </c>
      <c r="B131" s="127">
        <v>42896</v>
      </c>
      <c r="C131" s="184" t="s">
        <v>495</v>
      </c>
      <c r="D131" s="184" t="s">
        <v>322</v>
      </c>
      <c r="E131" s="184" t="s">
        <v>176</v>
      </c>
      <c r="F131" s="184"/>
      <c r="G131" s="184" t="s">
        <v>34</v>
      </c>
      <c r="H131" s="184"/>
      <c r="I131" s="185">
        <v>500</v>
      </c>
      <c r="J131" s="184"/>
      <c r="K131" s="172">
        <v>42996.32916666667</v>
      </c>
      <c r="L131" s="32" t="s">
        <v>552</v>
      </c>
    </row>
    <row r="132" spans="1:12">
      <c r="A132" s="184">
        <v>131</v>
      </c>
      <c r="B132" s="127">
        <v>42896</v>
      </c>
      <c r="C132" s="184" t="s">
        <v>495</v>
      </c>
      <c r="D132" s="184" t="s">
        <v>322</v>
      </c>
      <c r="E132" s="184" t="s">
        <v>88</v>
      </c>
      <c r="F132" s="184"/>
      <c r="G132" s="184" t="s">
        <v>34</v>
      </c>
      <c r="H132" s="184"/>
      <c r="I132" s="185">
        <v>650</v>
      </c>
      <c r="J132" s="184"/>
      <c r="K132" s="172">
        <v>42996.32916666667</v>
      </c>
      <c r="L132" s="32" t="s">
        <v>552</v>
      </c>
    </row>
    <row r="133" spans="1:12">
      <c r="A133" s="184">
        <v>132</v>
      </c>
      <c r="B133" s="127">
        <v>42898</v>
      </c>
      <c r="C133" s="184" t="s">
        <v>4443</v>
      </c>
      <c r="D133" s="184" t="s">
        <v>320</v>
      </c>
      <c r="E133" s="184"/>
      <c r="F133" s="184"/>
      <c r="G133" s="184" t="s">
        <v>34</v>
      </c>
      <c r="H133" s="184"/>
      <c r="I133" s="185">
        <v>880</v>
      </c>
      <c r="J133" s="184"/>
      <c r="K133" s="172">
        <v>42996.32916666667</v>
      </c>
      <c r="L133" s="32" t="s">
        <v>552</v>
      </c>
    </row>
    <row r="134" spans="1:12">
      <c r="A134" s="184">
        <v>133</v>
      </c>
      <c r="B134" s="127">
        <v>42899</v>
      </c>
      <c r="C134" s="184" t="s">
        <v>4444</v>
      </c>
      <c r="D134" s="184" t="s">
        <v>320</v>
      </c>
      <c r="E134" s="184"/>
      <c r="F134" s="184"/>
      <c r="G134" s="184" t="s">
        <v>34</v>
      </c>
      <c r="H134" s="184"/>
      <c r="I134" s="185">
        <v>3650</v>
      </c>
      <c r="J134" s="184"/>
      <c r="K134" s="172">
        <v>42996.32916666667</v>
      </c>
      <c r="L134" s="32" t="s">
        <v>552</v>
      </c>
    </row>
    <row r="135" spans="1:12">
      <c r="A135" s="184">
        <v>134</v>
      </c>
      <c r="B135" s="127">
        <v>42899</v>
      </c>
      <c r="C135" s="184" t="s">
        <v>495</v>
      </c>
      <c r="D135" s="184" t="s">
        <v>322</v>
      </c>
      <c r="E135" s="184" t="s">
        <v>86</v>
      </c>
      <c r="F135" s="184"/>
      <c r="G135" s="184" t="s">
        <v>34</v>
      </c>
      <c r="H135" s="184"/>
      <c r="I135" s="185">
        <v>400</v>
      </c>
      <c r="J135" s="184"/>
      <c r="K135" s="172">
        <v>42996.32916666667</v>
      </c>
      <c r="L135" s="32" t="s">
        <v>552</v>
      </c>
    </row>
    <row r="136" spans="1:12">
      <c r="A136" s="184">
        <v>135</v>
      </c>
      <c r="B136" s="127">
        <v>42899</v>
      </c>
      <c r="C136" s="184" t="s">
        <v>504</v>
      </c>
      <c r="D136" s="184" t="s">
        <v>545</v>
      </c>
      <c r="E136" s="184" t="s">
        <v>86</v>
      </c>
      <c r="F136" s="184"/>
      <c r="G136" s="184" t="s">
        <v>34</v>
      </c>
      <c r="H136" s="184"/>
      <c r="I136" s="185">
        <v>800</v>
      </c>
      <c r="J136" s="184"/>
      <c r="K136" s="172">
        <v>42996.32916666667</v>
      </c>
      <c r="L136" s="32" t="s">
        <v>552</v>
      </c>
    </row>
    <row r="137" spans="1:12">
      <c r="A137" s="184">
        <v>136</v>
      </c>
      <c r="B137" s="127">
        <v>42899</v>
      </c>
      <c r="C137" s="184" t="s">
        <v>504</v>
      </c>
      <c r="D137" s="184" t="s">
        <v>545</v>
      </c>
      <c r="E137" s="184" t="s">
        <v>73</v>
      </c>
      <c r="F137" s="184"/>
      <c r="G137" s="184" t="s">
        <v>34</v>
      </c>
      <c r="H137" s="184"/>
      <c r="I137" s="185">
        <v>800</v>
      </c>
      <c r="J137" s="184"/>
      <c r="K137" s="172">
        <v>42996.32916666667</v>
      </c>
      <c r="L137" s="32" t="s">
        <v>552</v>
      </c>
    </row>
    <row r="138" spans="1:12">
      <c r="A138" s="184">
        <v>137</v>
      </c>
      <c r="B138" s="127">
        <v>42899</v>
      </c>
      <c r="C138" s="184" t="s">
        <v>504</v>
      </c>
      <c r="D138" s="184" t="s">
        <v>545</v>
      </c>
      <c r="E138" s="184" t="s">
        <v>30</v>
      </c>
      <c r="F138" s="184"/>
      <c r="G138" s="184" t="s">
        <v>34</v>
      </c>
      <c r="H138" s="184"/>
      <c r="I138" s="185">
        <v>800</v>
      </c>
      <c r="J138" s="184"/>
      <c r="K138" s="172">
        <v>42996.32916666667</v>
      </c>
      <c r="L138" s="32" t="s">
        <v>552</v>
      </c>
    </row>
    <row r="139" spans="1:12">
      <c r="A139" s="184">
        <v>138</v>
      </c>
      <c r="B139" s="127">
        <v>42899</v>
      </c>
      <c r="C139" s="184" t="s">
        <v>504</v>
      </c>
      <c r="D139" s="184" t="s">
        <v>545</v>
      </c>
      <c r="E139" s="184" t="s">
        <v>98</v>
      </c>
      <c r="F139" s="184"/>
      <c r="G139" s="184" t="s">
        <v>34</v>
      </c>
      <c r="H139" s="184"/>
      <c r="I139" s="185">
        <v>800</v>
      </c>
      <c r="J139" s="184"/>
      <c r="K139" s="172">
        <v>42996.32916666667</v>
      </c>
      <c r="L139" s="32" t="s">
        <v>552</v>
      </c>
    </row>
    <row r="140" spans="1:12">
      <c r="A140" s="184">
        <v>139</v>
      </c>
      <c r="B140" s="127">
        <v>42899</v>
      </c>
      <c r="C140" s="184" t="s">
        <v>504</v>
      </c>
      <c r="D140" s="184" t="s">
        <v>545</v>
      </c>
      <c r="E140" s="184" t="s">
        <v>112</v>
      </c>
      <c r="F140" s="184"/>
      <c r="G140" s="184" t="s">
        <v>34</v>
      </c>
      <c r="H140" s="184"/>
      <c r="I140" s="185">
        <v>800</v>
      </c>
      <c r="J140" s="184"/>
      <c r="K140" s="172">
        <v>42996.32916666667</v>
      </c>
      <c r="L140" s="32" t="s">
        <v>552</v>
      </c>
    </row>
    <row r="141" spans="1:12">
      <c r="A141" s="184">
        <v>140</v>
      </c>
      <c r="B141" s="127">
        <v>42899</v>
      </c>
      <c r="C141" s="184" t="s">
        <v>504</v>
      </c>
      <c r="D141" s="184" t="s">
        <v>545</v>
      </c>
      <c r="E141" s="184" t="s">
        <v>79</v>
      </c>
      <c r="F141" s="184"/>
      <c r="G141" s="184" t="s">
        <v>34</v>
      </c>
      <c r="H141" s="184"/>
      <c r="I141" s="185">
        <v>800</v>
      </c>
      <c r="J141" s="184"/>
      <c r="K141" s="172">
        <v>42996.32916666667</v>
      </c>
      <c r="L141" s="32" t="s">
        <v>552</v>
      </c>
    </row>
    <row r="142" spans="1:12">
      <c r="A142" s="184">
        <v>141</v>
      </c>
      <c r="B142" s="127">
        <v>42899</v>
      </c>
      <c r="C142" s="184" t="s">
        <v>504</v>
      </c>
      <c r="D142" s="184" t="s">
        <v>545</v>
      </c>
      <c r="E142" s="184" t="s">
        <v>65</v>
      </c>
      <c r="F142" s="184"/>
      <c r="G142" s="184" t="s">
        <v>34</v>
      </c>
      <c r="H142" s="184"/>
      <c r="I142" s="185">
        <v>800</v>
      </c>
      <c r="J142" s="184"/>
      <c r="K142" s="172">
        <v>42996.32916666667</v>
      </c>
      <c r="L142" s="32" t="s">
        <v>552</v>
      </c>
    </row>
    <row r="143" spans="1:12">
      <c r="A143" s="184">
        <v>142</v>
      </c>
      <c r="B143" s="127">
        <v>42899</v>
      </c>
      <c r="C143" s="184" t="s">
        <v>504</v>
      </c>
      <c r="D143" s="184" t="s">
        <v>545</v>
      </c>
      <c r="E143" s="184" t="s">
        <v>42</v>
      </c>
      <c r="F143" s="184"/>
      <c r="G143" s="184" t="s">
        <v>34</v>
      </c>
      <c r="H143" s="184"/>
      <c r="I143" s="185">
        <v>800</v>
      </c>
      <c r="J143" s="184"/>
      <c r="K143" s="172">
        <v>42996.32916666667</v>
      </c>
      <c r="L143" s="32" t="s">
        <v>552</v>
      </c>
    </row>
    <row r="144" spans="1:12">
      <c r="A144" s="184">
        <v>143</v>
      </c>
      <c r="B144" s="127">
        <v>42899</v>
      </c>
      <c r="C144" s="184" t="s">
        <v>504</v>
      </c>
      <c r="D144" s="184" t="s">
        <v>545</v>
      </c>
      <c r="E144" s="184" t="s">
        <v>63</v>
      </c>
      <c r="F144" s="184"/>
      <c r="G144" s="184" t="s">
        <v>34</v>
      </c>
      <c r="H144" s="184"/>
      <c r="I144" s="185">
        <v>500</v>
      </c>
      <c r="J144" s="184"/>
      <c r="K144" s="172">
        <v>42996.32916666667</v>
      </c>
      <c r="L144" s="32" t="s">
        <v>552</v>
      </c>
    </row>
    <row r="145" spans="1:12">
      <c r="A145" s="184">
        <v>144</v>
      </c>
      <c r="B145" s="127">
        <v>42899</v>
      </c>
      <c r="C145" s="184" t="s">
        <v>504</v>
      </c>
      <c r="D145" s="184" t="s">
        <v>545</v>
      </c>
      <c r="E145" s="184" t="s">
        <v>85</v>
      </c>
      <c r="F145" s="184"/>
      <c r="G145" s="184" t="s">
        <v>34</v>
      </c>
      <c r="H145" s="184"/>
      <c r="I145" s="185">
        <v>800</v>
      </c>
      <c r="J145" s="184"/>
      <c r="K145" s="172">
        <v>42996.32916666667</v>
      </c>
      <c r="L145" s="32" t="s">
        <v>552</v>
      </c>
    </row>
    <row r="146" spans="1:12">
      <c r="A146" s="184">
        <v>145</v>
      </c>
      <c r="B146" s="127">
        <v>42899</v>
      </c>
      <c r="C146" s="184" t="s">
        <v>504</v>
      </c>
      <c r="D146" s="184" t="s">
        <v>545</v>
      </c>
      <c r="E146" s="184" t="s">
        <v>51</v>
      </c>
      <c r="F146" s="184"/>
      <c r="G146" s="184" t="s">
        <v>34</v>
      </c>
      <c r="H146" s="184"/>
      <c r="I146" s="185">
        <v>800</v>
      </c>
      <c r="J146" s="184"/>
      <c r="K146" s="172">
        <v>42996.32916666667</v>
      </c>
      <c r="L146" s="32" t="s">
        <v>552</v>
      </c>
    </row>
    <row r="147" spans="1:12">
      <c r="A147" s="184">
        <v>146</v>
      </c>
      <c r="B147" s="127">
        <v>42899</v>
      </c>
      <c r="C147" s="184" t="s">
        <v>504</v>
      </c>
      <c r="D147" s="184" t="s">
        <v>545</v>
      </c>
      <c r="E147" s="184" t="s">
        <v>88</v>
      </c>
      <c r="F147" s="184"/>
      <c r="G147" s="184" t="s">
        <v>34</v>
      </c>
      <c r="H147" s="184"/>
      <c r="I147" s="185">
        <v>800</v>
      </c>
      <c r="J147" s="184"/>
      <c r="K147" s="172">
        <v>42996.32916666667</v>
      </c>
      <c r="L147" s="32" t="s">
        <v>552</v>
      </c>
    </row>
    <row r="148" spans="1:12">
      <c r="A148" s="184">
        <v>147</v>
      </c>
      <c r="B148" s="127">
        <v>42899</v>
      </c>
      <c r="C148" s="184" t="s">
        <v>504</v>
      </c>
      <c r="D148" s="184" t="s">
        <v>545</v>
      </c>
      <c r="E148" s="184" t="s">
        <v>324</v>
      </c>
      <c r="F148" s="184"/>
      <c r="G148" s="184" t="s">
        <v>34</v>
      </c>
      <c r="H148" s="184"/>
      <c r="I148" s="185">
        <v>800</v>
      </c>
      <c r="J148" s="184"/>
      <c r="K148" s="172">
        <v>42996.32916666667</v>
      </c>
      <c r="L148" s="32" t="s">
        <v>552</v>
      </c>
    </row>
    <row r="149" spans="1:12">
      <c r="A149" s="184">
        <v>148</v>
      </c>
      <c r="B149" s="127">
        <v>42899</v>
      </c>
      <c r="C149" s="184" t="s">
        <v>504</v>
      </c>
      <c r="D149" s="184" t="s">
        <v>545</v>
      </c>
      <c r="E149" s="184" t="s">
        <v>178</v>
      </c>
      <c r="F149" s="184"/>
      <c r="G149" s="184" t="s">
        <v>34</v>
      </c>
      <c r="H149" s="184"/>
      <c r="I149" s="185">
        <v>800</v>
      </c>
      <c r="J149" s="184"/>
      <c r="K149" s="172">
        <v>42996.32916666667</v>
      </c>
      <c r="L149" s="32" t="s">
        <v>552</v>
      </c>
    </row>
    <row r="150" spans="1:12">
      <c r="A150" s="184">
        <v>149</v>
      </c>
      <c r="B150" s="127">
        <v>42899</v>
      </c>
      <c r="C150" s="184" t="s">
        <v>504</v>
      </c>
      <c r="D150" s="184" t="s">
        <v>545</v>
      </c>
      <c r="E150" s="184" t="s">
        <v>176</v>
      </c>
      <c r="F150" s="184"/>
      <c r="G150" s="184" t="s">
        <v>34</v>
      </c>
      <c r="H150" s="184"/>
      <c r="I150" s="185">
        <v>800</v>
      </c>
      <c r="J150" s="184"/>
      <c r="K150" s="172">
        <v>42996.32916666667</v>
      </c>
      <c r="L150" s="32" t="s">
        <v>552</v>
      </c>
    </row>
    <row r="151" spans="1:12">
      <c r="A151" s="184">
        <v>150</v>
      </c>
      <c r="B151" s="127">
        <v>42900</v>
      </c>
      <c r="C151" s="184" t="s">
        <v>4426</v>
      </c>
      <c r="D151" s="184" t="s">
        <v>320</v>
      </c>
      <c r="E151" s="184" t="s">
        <v>321</v>
      </c>
      <c r="F151" s="184"/>
      <c r="G151" s="184" t="s">
        <v>34</v>
      </c>
      <c r="H151" s="184"/>
      <c r="I151" s="185">
        <v>500</v>
      </c>
      <c r="J151" s="184"/>
      <c r="K151" s="172">
        <v>42996.32916666667</v>
      </c>
      <c r="L151" s="32" t="s">
        <v>552</v>
      </c>
    </row>
    <row r="152" spans="1:12">
      <c r="A152" s="184">
        <v>151</v>
      </c>
      <c r="B152" s="127">
        <v>42900</v>
      </c>
      <c r="C152" s="184" t="s">
        <v>4434</v>
      </c>
      <c r="D152" s="184" t="s">
        <v>320</v>
      </c>
      <c r="E152" s="184"/>
      <c r="F152" s="184"/>
      <c r="G152" s="184" t="s">
        <v>34</v>
      </c>
      <c r="H152" s="184"/>
      <c r="I152" s="185">
        <v>500</v>
      </c>
      <c r="J152" s="184"/>
      <c r="K152" s="172">
        <v>42996.32916666667</v>
      </c>
      <c r="L152" s="32" t="s">
        <v>552</v>
      </c>
    </row>
    <row r="153" spans="1:12">
      <c r="A153" s="184">
        <v>152</v>
      </c>
      <c r="B153" s="127">
        <v>42901</v>
      </c>
      <c r="C153" s="184" t="s">
        <v>4434</v>
      </c>
      <c r="D153" s="184" t="s">
        <v>320</v>
      </c>
      <c r="E153" s="184"/>
      <c r="F153" s="184"/>
      <c r="G153" s="184" t="s">
        <v>34</v>
      </c>
      <c r="H153" s="184"/>
      <c r="I153" s="185">
        <v>200</v>
      </c>
      <c r="J153" s="184"/>
      <c r="K153" s="172">
        <v>42996.32916666667</v>
      </c>
      <c r="L153" s="32" t="s">
        <v>552</v>
      </c>
    </row>
    <row r="154" spans="1:12">
      <c r="A154" s="184">
        <v>153</v>
      </c>
      <c r="B154" s="127">
        <v>42901</v>
      </c>
      <c r="C154" s="184" t="s">
        <v>4445</v>
      </c>
      <c r="D154" s="184" t="s">
        <v>320</v>
      </c>
      <c r="E154" s="184"/>
      <c r="F154" s="184"/>
      <c r="G154" s="184" t="s">
        <v>34</v>
      </c>
      <c r="H154" s="184"/>
      <c r="I154" s="185">
        <v>2500</v>
      </c>
      <c r="J154" s="184"/>
      <c r="K154" s="172">
        <v>42996.32916666667</v>
      </c>
      <c r="L154" s="32" t="s">
        <v>552</v>
      </c>
    </row>
    <row r="155" spans="1:12">
      <c r="A155" s="184">
        <v>154</v>
      </c>
      <c r="B155" s="127">
        <v>42902</v>
      </c>
      <c r="C155" s="184" t="s">
        <v>4434</v>
      </c>
      <c r="D155" s="184" t="s">
        <v>320</v>
      </c>
      <c r="E155" s="184"/>
      <c r="F155" s="184"/>
      <c r="G155" s="184" t="s">
        <v>34</v>
      </c>
      <c r="H155" s="184"/>
      <c r="I155" s="185">
        <v>100</v>
      </c>
      <c r="J155" s="184"/>
      <c r="K155" s="172">
        <v>42996.32916666667</v>
      </c>
      <c r="L155" s="32" t="s">
        <v>552</v>
      </c>
    </row>
    <row r="156" spans="1:12">
      <c r="A156" s="184">
        <v>155</v>
      </c>
      <c r="B156" s="127">
        <v>42902</v>
      </c>
      <c r="C156" s="184" t="s">
        <v>4446</v>
      </c>
      <c r="D156" s="184" t="s">
        <v>320</v>
      </c>
      <c r="E156" s="184"/>
      <c r="F156" s="184"/>
      <c r="G156" s="184" t="s">
        <v>34</v>
      </c>
      <c r="H156" s="184"/>
      <c r="I156" s="185">
        <v>300</v>
      </c>
      <c r="J156" s="184"/>
      <c r="K156" s="172">
        <v>42996.32916666667</v>
      </c>
      <c r="L156" s="32" t="s">
        <v>552</v>
      </c>
    </row>
    <row r="157" spans="1:12">
      <c r="A157" s="184">
        <v>156</v>
      </c>
      <c r="B157" s="127">
        <v>42903</v>
      </c>
      <c r="C157" s="184" t="s">
        <v>3001</v>
      </c>
      <c r="D157" s="184" t="s">
        <v>320</v>
      </c>
      <c r="E157" s="184" t="s">
        <v>3001</v>
      </c>
      <c r="F157" s="184"/>
      <c r="G157" s="184" t="s">
        <v>34</v>
      </c>
      <c r="H157" s="184"/>
      <c r="I157" s="185">
        <v>300</v>
      </c>
      <c r="J157" s="184"/>
      <c r="K157" s="172">
        <v>42996.32916666667</v>
      </c>
      <c r="L157" s="32" t="s">
        <v>552</v>
      </c>
    </row>
    <row r="158" spans="1:12">
      <c r="A158" s="184">
        <v>157</v>
      </c>
      <c r="B158" s="127">
        <v>42903</v>
      </c>
      <c r="C158" s="184" t="s">
        <v>4426</v>
      </c>
      <c r="D158" s="184" t="s">
        <v>320</v>
      </c>
      <c r="E158" s="184" t="s">
        <v>321</v>
      </c>
      <c r="F158" s="184"/>
      <c r="G158" s="184" t="s">
        <v>34</v>
      </c>
      <c r="H158" s="184"/>
      <c r="I158" s="185">
        <v>500</v>
      </c>
      <c r="J158" s="184"/>
      <c r="K158" s="172">
        <v>42996.32916666667</v>
      </c>
      <c r="L158" s="32" t="s">
        <v>552</v>
      </c>
    </row>
    <row r="159" spans="1:12">
      <c r="A159" s="184">
        <v>158</v>
      </c>
      <c r="B159" s="127">
        <v>42903</v>
      </c>
      <c r="C159" s="184" t="s">
        <v>495</v>
      </c>
      <c r="D159" s="184" t="s">
        <v>322</v>
      </c>
      <c r="E159" s="184" t="s">
        <v>63</v>
      </c>
      <c r="F159" s="184"/>
      <c r="G159" s="184" t="s">
        <v>34</v>
      </c>
      <c r="H159" s="184"/>
      <c r="I159" s="185">
        <v>900</v>
      </c>
      <c r="J159" s="184"/>
      <c r="K159" s="172">
        <v>42996.32916666667</v>
      </c>
      <c r="L159" s="32" t="s">
        <v>552</v>
      </c>
    </row>
    <row r="160" spans="1:12">
      <c r="A160" s="184">
        <v>159</v>
      </c>
      <c r="B160" s="127">
        <v>42903</v>
      </c>
      <c r="C160" s="184" t="s">
        <v>495</v>
      </c>
      <c r="D160" s="184" t="s">
        <v>322</v>
      </c>
      <c r="E160" s="184" t="s">
        <v>85</v>
      </c>
      <c r="F160" s="184"/>
      <c r="G160" s="184" t="s">
        <v>34</v>
      </c>
      <c r="H160" s="184"/>
      <c r="I160" s="185">
        <v>700</v>
      </c>
      <c r="J160" s="184"/>
      <c r="K160" s="172">
        <v>42996.32916666667</v>
      </c>
      <c r="L160" s="32" t="s">
        <v>552</v>
      </c>
    </row>
    <row r="161" spans="1:12">
      <c r="A161" s="184">
        <v>160</v>
      </c>
      <c r="B161" s="127">
        <v>42903</v>
      </c>
      <c r="C161" s="184" t="s">
        <v>495</v>
      </c>
      <c r="D161" s="184" t="s">
        <v>322</v>
      </c>
      <c r="E161" s="184" t="s">
        <v>79</v>
      </c>
      <c r="F161" s="184"/>
      <c r="G161" s="184" t="s">
        <v>34</v>
      </c>
      <c r="H161" s="184"/>
      <c r="I161" s="185">
        <v>500</v>
      </c>
      <c r="J161" s="184"/>
      <c r="K161" s="172">
        <v>42996.32916666667</v>
      </c>
      <c r="L161" s="32" t="s">
        <v>552</v>
      </c>
    </row>
    <row r="162" spans="1:12">
      <c r="A162" s="184">
        <v>161</v>
      </c>
      <c r="B162" s="127">
        <v>42903</v>
      </c>
      <c r="C162" s="184" t="s">
        <v>495</v>
      </c>
      <c r="D162" s="184" t="s">
        <v>322</v>
      </c>
      <c r="E162" s="184" t="s">
        <v>98</v>
      </c>
      <c r="F162" s="184"/>
      <c r="G162" s="184" t="s">
        <v>34</v>
      </c>
      <c r="H162" s="184"/>
      <c r="I162" s="185">
        <v>500</v>
      </c>
      <c r="J162" s="184"/>
      <c r="K162" s="172">
        <v>42996.32916666667</v>
      </c>
      <c r="L162" s="32" t="s">
        <v>552</v>
      </c>
    </row>
    <row r="163" spans="1:12">
      <c r="A163" s="184">
        <v>162</v>
      </c>
      <c r="B163" s="127">
        <v>42903</v>
      </c>
      <c r="C163" s="184" t="s">
        <v>495</v>
      </c>
      <c r="D163" s="184" t="s">
        <v>322</v>
      </c>
      <c r="E163" s="184" t="s">
        <v>51</v>
      </c>
      <c r="F163" s="184"/>
      <c r="G163" s="184" t="s">
        <v>34</v>
      </c>
      <c r="H163" s="184"/>
      <c r="I163" s="185">
        <v>600</v>
      </c>
      <c r="J163" s="184"/>
      <c r="K163" s="172">
        <v>42996.32916666667</v>
      </c>
      <c r="L163" s="32" t="s">
        <v>552</v>
      </c>
    </row>
    <row r="164" spans="1:12">
      <c r="A164" s="184">
        <v>163</v>
      </c>
      <c r="B164" s="127">
        <v>42903</v>
      </c>
      <c r="C164" s="184" t="s">
        <v>495</v>
      </c>
      <c r="D164" s="184" t="s">
        <v>322</v>
      </c>
      <c r="E164" s="184" t="s">
        <v>112</v>
      </c>
      <c r="F164" s="184"/>
      <c r="G164" s="184" t="s">
        <v>34</v>
      </c>
      <c r="H164" s="184"/>
      <c r="I164" s="185">
        <v>600</v>
      </c>
      <c r="J164" s="184"/>
      <c r="K164" s="172">
        <v>42996.32916666667</v>
      </c>
      <c r="L164" s="32" t="s">
        <v>552</v>
      </c>
    </row>
    <row r="165" spans="1:12">
      <c r="A165" s="184">
        <v>164</v>
      </c>
      <c r="B165" s="127">
        <v>42903</v>
      </c>
      <c r="C165" s="184" t="s">
        <v>495</v>
      </c>
      <c r="D165" s="184" t="s">
        <v>322</v>
      </c>
      <c r="E165" s="184" t="s">
        <v>65</v>
      </c>
      <c r="F165" s="184"/>
      <c r="G165" s="184" t="s">
        <v>34</v>
      </c>
      <c r="H165" s="184"/>
      <c r="I165" s="185">
        <v>500</v>
      </c>
      <c r="J165" s="184"/>
      <c r="K165" s="172">
        <v>42996.32916666667</v>
      </c>
      <c r="L165" s="32" t="s">
        <v>552</v>
      </c>
    </row>
    <row r="166" spans="1:12">
      <c r="A166" s="184">
        <v>165</v>
      </c>
      <c r="B166" s="127">
        <v>42904</v>
      </c>
      <c r="C166" s="184" t="s">
        <v>495</v>
      </c>
      <c r="D166" s="184" t="s">
        <v>322</v>
      </c>
      <c r="E166" s="184" t="s">
        <v>88</v>
      </c>
      <c r="F166" s="184"/>
      <c r="G166" s="184" t="s">
        <v>34</v>
      </c>
      <c r="H166" s="184"/>
      <c r="I166" s="185">
        <v>500</v>
      </c>
      <c r="J166" s="184"/>
      <c r="K166" s="172">
        <v>42996.32916666667</v>
      </c>
      <c r="L166" s="32" t="s">
        <v>552</v>
      </c>
    </row>
    <row r="167" spans="1:12">
      <c r="A167" s="184">
        <v>166</v>
      </c>
      <c r="B167" s="127">
        <v>42905</v>
      </c>
      <c r="C167" s="184" t="s">
        <v>495</v>
      </c>
      <c r="D167" s="184" t="s">
        <v>322</v>
      </c>
      <c r="E167" s="184" t="s">
        <v>73</v>
      </c>
      <c r="F167" s="184"/>
      <c r="G167" s="184" t="s">
        <v>34</v>
      </c>
      <c r="H167" s="184"/>
      <c r="I167" s="185">
        <v>600</v>
      </c>
      <c r="J167" s="184"/>
      <c r="K167" s="172">
        <v>42996.32916666667</v>
      </c>
      <c r="L167" s="32" t="s">
        <v>552</v>
      </c>
    </row>
    <row r="168" spans="1:12">
      <c r="A168" s="184">
        <v>167</v>
      </c>
      <c r="B168" s="127">
        <v>42905</v>
      </c>
      <c r="C168" s="184" t="s">
        <v>495</v>
      </c>
      <c r="D168" s="184" t="s">
        <v>322</v>
      </c>
      <c r="E168" s="184" t="s">
        <v>30</v>
      </c>
      <c r="F168" s="184"/>
      <c r="G168" s="184" t="s">
        <v>34</v>
      </c>
      <c r="H168" s="184"/>
      <c r="I168" s="185">
        <v>800</v>
      </c>
      <c r="J168" s="184"/>
      <c r="K168" s="172">
        <v>42996.32916666667</v>
      </c>
      <c r="L168" s="32" t="s">
        <v>552</v>
      </c>
    </row>
    <row r="169" spans="1:12">
      <c r="A169" s="184">
        <v>168</v>
      </c>
      <c r="B169" s="127">
        <v>42905</v>
      </c>
      <c r="C169" s="184" t="s">
        <v>495</v>
      </c>
      <c r="D169" s="184" t="s">
        <v>322</v>
      </c>
      <c r="E169" s="184" t="s">
        <v>86</v>
      </c>
      <c r="F169" s="184"/>
      <c r="G169" s="184" t="s">
        <v>34</v>
      </c>
      <c r="H169" s="184"/>
      <c r="I169" s="185">
        <v>500</v>
      </c>
      <c r="J169" s="184"/>
      <c r="K169" s="172">
        <v>42996.32916666667</v>
      </c>
      <c r="L169" s="32" t="s">
        <v>552</v>
      </c>
    </row>
    <row r="170" spans="1:12">
      <c r="A170" s="184">
        <v>169</v>
      </c>
      <c r="B170" s="127">
        <v>42905</v>
      </c>
      <c r="C170" s="184" t="s">
        <v>495</v>
      </c>
      <c r="D170" s="184" t="s">
        <v>322</v>
      </c>
      <c r="E170" s="184" t="s">
        <v>324</v>
      </c>
      <c r="F170" s="184"/>
      <c r="G170" s="184" t="s">
        <v>34</v>
      </c>
      <c r="H170" s="184"/>
      <c r="I170" s="185">
        <v>600</v>
      </c>
      <c r="J170" s="184"/>
      <c r="K170" s="172">
        <v>42996.32916666667</v>
      </c>
      <c r="L170" s="32" t="s">
        <v>552</v>
      </c>
    </row>
    <row r="171" spans="1:12">
      <c r="A171" s="184">
        <v>170</v>
      </c>
      <c r="B171" s="127">
        <v>42905</v>
      </c>
      <c r="C171" s="184" t="s">
        <v>495</v>
      </c>
      <c r="D171" s="184" t="s">
        <v>322</v>
      </c>
      <c r="E171" s="184" t="s">
        <v>176</v>
      </c>
      <c r="F171" s="184"/>
      <c r="G171" s="184" t="s">
        <v>34</v>
      </c>
      <c r="H171" s="184"/>
      <c r="I171" s="185">
        <v>500</v>
      </c>
      <c r="J171" s="184"/>
      <c r="K171" s="172">
        <v>42996.32916666667</v>
      </c>
      <c r="L171" s="32" t="s">
        <v>552</v>
      </c>
    </row>
    <row r="172" spans="1:12">
      <c r="A172" s="184">
        <v>171</v>
      </c>
      <c r="B172" s="127">
        <v>42906</v>
      </c>
      <c r="C172" s="184" t="s">
        <v>4426</v>
      </c>
      <c r="D172" s="184" t="s">
        <v>320</v>
      </c>
      <c r="E172" s="184" t="s">
        <v>321</v>
      </c>
      <c r="F172" s="184"/>
      <c r="G172" s="184" t="s">
        <v>34</v>
      </c>
      <c r="H172" s="184"/>
      <c r="I172" s="185">
        <v>500</v>
      </c>
      <c r="J172" s="184"/>
      <c r="K172" s="172">
        <v>42996.32916666667</v>
      </c>
      <c r="L172" s="32" t="s">
        <v>552</v>
      </c>
    </row>
    <row r="173" spans="1:12">
      <c r="A173" s="184">
        <v>172</v>
      </c>
      <c r="B173" s="127">
        <v>42906</v>
      </c>
      <c r="C173" s="184" t="s">
        <v>4429</v>
      </c>
      <c r="D173" s="184" t="s">
        <v>323</v>
      </c>
      <c r="E173" s="184" t="s">
        <v>79</v>
      </c>
      <c r="F173" s="184"/>
      <c r="G173" s="184" t="s">
        <v>34</v>
      </c>
      <c r="H173" s="184"/>
      <c r="I173" s="185">
        <v>3250</v>
      </c>
      <c r="J173" s="184"/>
      <c r="K173" s="172">
        <v>42996.32916666667</v>
      </c>
      <c r="L173" s="32" t="s">
        <v>552</v>
      </c>
    </row>
    <row r="174" spans="1:12">
      <c r="A174" s="184">
        <v>173</v>
      </c>
      <c r="B174" s="127">
        <v>42906</v>
      </c>
      <c r="C174" s="184" t="s">
        <v>495</v>
      </c>
      <c r="D174" s="184" t="s">
        <v>322</v>
      </c>
      <c r="E174" s="184" t="s">
        <v>42</v>
      </c>
      <c r="F174" s="184"/>
      <c r="G174" s="184" t="s">
        <v>34</v>
      </c>
      <c r="H174" s="184"/>
      <c r="I174" s="185">
        <v>600</v>
      </c>
      <c r="J174" s="184"/>
      <c r="K174" s="172">
        <v>42996.32916666667</v>
      </c>
      <c r="L174" s="32" t="s">
        <v>552</v>
      </c>
    </row>
    <row r="175" spans="1:12">
      <c r="A175" s="184">
        <v>174</v>
      </c>
      <c r="B175" s="127">
        <v>42906</v>
      </c>
      <c r="C175" s="184" t="s">
        <v>495</v>
      </c>
      <c r="D175" s="184" t="s">
        <v>322</v>
      </c>
      <c r="E175" s="184" t="s">
        <v>42</v>
      </c>
      <c r="F175" s="184"/>
      <c r="G175" s="184" t="s">
        <v>34</v>
      </c>
      <c r="H175" s="184"/>
      <c r="I175" s="185">
        <v>600</v>
      </c>
      <c r="J175" s="184"/>
      <c r="K175" s="172">
        <v>42996.32916666667</v>
      </c>
      <c r="L175" s="32" t="s">
        <v>552</v>
      </c>
    </row>
    <row r="176" spans="1:12">
      <c r="A176" s="184">
        <v>175</v>
      </c>
      <c r="B176" s="127">
        <v>42910</v>
      </c>
      <c r="C176" s="184" t="s">
        <v>4447</v>
      </c>
      <c r="D176" s="184" t="s">
        <v>320</v>
      </c>
      <c r="E176" s="184"/>
      <c r="F176" s="184"/>
      <c r="G176" s="184" t="s">
        <v>34</v>
      </c>
      <c r="H176" s="184"/>
      <c r="I176" s="185">
        <v>460</v>
      </c>
      <c r="J176" s="184"/>
      <c r="K176" s="172">
        <v>42996.32916666667</v>
      </c>
      <c r="L176" s="32" t="s">
        <v>552</v>
      </c>
    </row>
    <row r="177" spans="1:12">
      <c r="A177" s="184">
        <v>176</v>
      </c>
      <c r="B177" s="127">
        <v>42910</v>
      </c>
      <c r="C177" s="184" t="s">
        <v>3001</v>
      </c>
      <c r="D177" s="184" t="s">
        <v>320</v>
      </c>
      <c r="E177" s="184" t="s">
        <v>3001</v>
      </c>
      <c r="F177" s="184"/>
      <c r="G177" s="184" t="s">
        <v>34</v>
      </c>
      <c r="H177" s="184"/>
      <c r="I177" s="185">
        <v>300</v>
      </c>
      <c r="J177" s="184"/>
      <c r="K177" s="172">
        <v>42996.32916666667</v>
      </c>
      <c r="L177" s="32" t="s">
        <v>552</v>
      </c>
    </row>
    <row r="178" spans="1:12">
      <c r="A178" s="184">
        <v>177</v>
      </c>
      <c r="B178" s="127">
        <v>42910</v>
      </c>
      <c r="C178" s="184" t="s">
        <v>4426</v>
      </c>
      <c r="D178" s="184" t="s">
        <v>320</v>
      </c>
      <c r="E178" s="184" t="s">
        <v>321</v>
      </c>
      <c r="F178" s="184"/>
      <c r="G178" s="184" t="s">
        <v>34</v>
      </c>
      <c r="H178" s="184"/>
      <c r="I178" s="185">
        <v>500</v>
      </c>
      <c r="J178" s="184"/>
      <c r="K178" s="172">
        <v>42996.32916666667</v>
      </c>
      <c r="L178" s="32" t="s">
        <v>552</v>
      </c>
    </row>
    <row r="179" spans="1:12">
      <c r="A179" s="184">
        <v>178</v>
      </c>
      <c r="B179" s="127">
        <v>42910</v>
      </c>
      <c r="C179" s="184" t="s">
        <v>495</v>
      </c>
      <c r="D179" s="184" t="s">
        <v>322</v>
      </c>
      <c r="E179" s="184" t="s">
        <v>42</v>
      </c>
      <c r="F179" s="184"/>
      <c r="G179" s="184" t="s">
        <v>34</v>
      </c>
      <c r="H179" s="184"/>
      <c r="I179" s="185">
        <v>700</v>
      </c>
      <c r="J179" s="184"/>
      <c r="K179" s="172">
        <v>42996.32916666667</v>
      </c>
      <c r="L179" s="32" t="s">
        <v>552</v>
      </c>
    </row>
    <row r="180" spans="1:12">
      <c r="A180" s="184">
        <v>179</v>
      </c>
      <c r="B180" s="127">
        <v>42910</v>
      </c>
      <c r="C180" s="184" t="s">
        <v>495</v>
      </c>
      <c r="D180" s="184" t="s">
        <v>322</v>
      </c>
      <c r="E180" s="184" t="s">
        <v>85</v>
      </c>
      <c r="F180" s="184"/>
      <c r="G180" s="184" t="s">
        <v>34</v>
      </c>
      <c r="H180" s="184"/>
      <c r="I180" s="185">
        <v>600</v>
      </c>
      <c r="J180" s="184"/>
      <c r="K180" s="172">
        <v>42996.32916666667</v>
      </c>
      <c r="L180" s="32" t="s">
        <v>552</v>
      </c>
    </row>
    <row r="181" spans="1:12">
      <c r="A181" s="184">
        <v>180</v>
      </c>
      <c r="B181" s="127">
        <v>42910</v>
      </c>
      <c r="C181" s="184" t="s">
        <v>495</v>
      </c>
      <c r="D181" s="184" t="s">
        <v>322</v>
      </c>
      <c r="E181" s="184" t="s">
        <v>73</v>
      </c>
      <c r="F181" s="184"/>
      <c r="G181" s="184" t="s">
        <v>34</v>
      </c>
      <c r="H181" s="184"/>
      <c r="I181" s="185">
        <v>600</v>
      </c>
      <c r="J181" s="184"/>
      <c r="K181" s="172">
        <v>42996.32916666667</v>
      </c>
      <c r="L181" s="32" t="s">
        <v>552</v>
      </c>
    </row>
    <row r="182" spans="1:12">
      <c r="A182" s="184">
        <v>181</v>
      </c>
      <c r="B182" s="127">
        <v>42910</v>
      </c>
      <c r="C182" s="184" t="s">
        <v>495</v>
      </c>
      <c r="D182" s="184" t="s">
        <v>322</v>
      </c>
      <c r="E182" s="184" t="s">
        <v>79</v>
      </c>
      <c r="F182" s="184"/>
      <c r="G182" s="184" t="s">
        <v>34</v>
      </c>
      <c r="H182" s="184"/>
      <c r="I182" s="185">
        <v>600</v>
      </c>
      <c r="J182" s="184"/>
      <c r="K182" s="172">
        <v>42996.32916666667</v>
      </c>
      <c r="L182" s="32" t="s">
        <v>552</v>
      </c>
    </row>
    <row r="183" spans="1:12">
      <c r="A183" s="184">
        <v>182</v>
      </c>
      <c r="B183" s="127">
        <v>42910</v>
      </c>
      <c r="C183" s="184" t="s">
        <v>495</v>
      </c>
      <c r="D183" s="184" t="s">
        <v>322</v>
      </c>
      <c r="E183" s="184" t="s">
        <v>30</v>
      </c>
      <c r="F183" s="184"/>
      <c r="G183" s="184" t="s">
        <v>34</v>
      </c>
      <c r="H183" s="184"/>
      <c r="I183" s="185">
        <v>700</v>
      </c>
      <c r="J183" s="184"/>
      <c r="K183" s="172">
        <v>42996.32916666667</v>
      </c>
      <c r="L183" s="32" t="s">
        <v>552</v>
      </c>
    </row>
    <row r="184" spans="1:12">
      <c r="A184" s="184">
        <v>183</v>
      </c>
      <c r="B184" s="127">
        <v>42910</v>
      </c>
      <c r="C184" s="184" t="s">
        <v>495</v>
      </c>
      <c r="D184" s="184" t="s">
        <v>322</v>
      </c>
      <c r="E184" s="184" t="s">
        <v>86</v>
      </c>
      <c r="F184" s="184"/>
      <c r="G184" s="184" t="s">
        <v>34</v>
      </c>
      <c r="H184" s="184"/>
      <c r="I184" s="185">
        <v>800</v>
      </c>
      <c r="J184" s="184"/>
      <c r="K184" s="172">
        <v>42996.32916666667</v>
      </c>
      <c r="L184" s="32" t="s">
        <v>552</v>
      </c>
    </row>
    <row r="185" spans="1:12">
      <c r="A185" s="184">
        <v>184</v>
      </c>
      <c r="B185" s="127">
        <v>42910</v>
      </c>
      <c r="C185" s="184" t="s">
        <v>495</v>
      </c>
      <c r="D185" s="184" t="s">
        <v>322</v>
      </c>
      <c r="E185" s="184" t="s">
        <v>324</v>
      </c>
      <c r="F185" s="184"/>
      <c r="G185" s="184" t="s">
        <v>34</v>
      </c>
      <c r="H185" s="184"/>
      <c r="I185" s="185">
        <v>500</v>
      </c>
      <c r="J185" s="184"/>
      <c r="K185" s="172">
        <v>42996.32916666667</v>
      </c>
      <c r="L185" s="32" t="s">
        <v>552</v>
      </c>
    </row>
    <row r="186" spans="1:12">
      <c r="A186" s="184">
        <v>185</v>
      </c>
      <c r="B186" s="127">
        <v>42910</v>
      </c>
      <c r="C186" s="184" t="s">
        <v>495</v>
      </c>
      <c r="D186" s="184" t="s">
        <v>322</v>
      </c>
      <c r="E186" s="184" t="s">
        <v>98</v>
      </c>
      <c r="F186" s="184"/>
      <c r="G186" s="184" t="s">
        <v>34</v>
      </c>
      <c r="H186" s="184"/>
      <c r="I186" s="185">
        <v>700</v>
      </c>
      <c r="J186" s="184"/>
      <c r="K186" s="172">
        <v>42996.32916666667</v>
      </c>
      <c r="L186" s="32" t="s">
        <v>552</v>
      </c>
    </row>
    <row r="187" spans="1:12">
      <c r="A187" s="184">
        <v>186</v>
      </c>
      <c r="B187" s="127">
        <v>42910</v>
      </c>
      <c r="C187" s="184" t="s">
        <v>495</v>
      </c>
      <c r="D187" s="184" t="s">
        <v>322</v>
      </c>
      <c r="E187" s="184" t="s">
        <v>51</v>
      </c>
      <c r="F187" s="184"/>
      <c r="G187" s="184" t="s">
        <v>34</v>
      </c>
      <c r="H187" s="184"/>
      <c r="I187" s="185">
        <v>500</v>
      </c>
      <c r="J187" s="184"/>
      <c r="K187" s="172">
        <v>42996.32916666667</v>
      </c>
      <c r="L187" s="32" t="s">
        <v>552</v>
      </c>
    </row>
    <row r="188" spans="1:12">
      <c r="A188" s="184">
        <v>187</v>
      </c>
      <c r="B188" s="127">
        <v>42910</v>
      </c>
      <c r="C188" s="184" t="s">
        <v>495</v>
      </c>
      <c r="D188" s="184" t="s">
        <v>322</v>
      </c>
      <c r="E188" s="184" t="s">
        <v>112</v>
      </c>
      <c r="F188" s="184"/>
      <c r="G188" s="184" t="s">
        <v>34</v>
      </c>
      <c r="H188" s="184"/>
      <c r="I188" s="185">
        <v>700</v>
      </c>
      <c r="J188" s="184"/>
      <c r="K188" s="172">
        <v>42996.32916666667</v>
      </c>
      <c r="L188" s="32" t="s">
        <v>552</v>
      </c>
    </row>
    <row r="189" spans="1:12">
      <c r="A189" s="184">
        <v>188</v>
      </c>
      <c r="B189" s="127">
        <v>42910</v>
      </c>
      <c r="C189" s="184" t="s">
        <v>495</v>
      </c>
      <c r="D189" s="184" t="s">
        <v>322</v>
      </c>
      <c r="E189" s="184" t="s">
        <v>178</v>
      </c>
      <c r="F189" s="184"/>
      <c r="G189" s="184" t="s">
        <v>34</v>
      </c>
      <c r="H189" s="184"/>
      <c r="I189" s="185">
        <v>300</v>
      </c>
      <c r="J189" s="184"/>
      <c r="K189" s="172">
        <v>42996.32916666667</v>
      </c>
      <c r="L189" s="32" t="s">
        <v>552</v>
      </c>
    </row>
    <row r="190" spans="1:12">
      <c r="A190" s="184">
        <v>189</v>
      </c>
      <c r="B190" s="127">
        <v>42910</v>
      </c>
      <c r="C190" s="184" t="s">
        <v>495</v>
      </c>
      <c r="D190" s="184" t="s">
        <v>322</v>
      </c>
      <c r="E190" s="184" t="s">
        <v>65</v>
      </c>
      <c r="F190" s="184"/>
      <c r="G190" s="184" t="s">
        <v>34</v>
      </c>
      <c r="H190" s="184"/>
      <c r="I190" s="185">
        <v>500</v>
      </c>
      <c r="J190" s="184"/>
      <c r="K190" s="172">
        <v>42996.32916666667</v>
      </c>
      <c r="L190" s="32" t="s">
        <v>552</v>
      </c>
    </row>
    <row r="191" spans="1:12">
      <c r="A191" s="184">
        <v>190</v>
      </c>
      <c r="B191" s="127">
        <v>42910</v>
      </c>
      <c r="C191" s="184" t="s">
        <v>495</v>
      </c>
      <c r="D191" s="184" t="s">
        <v>322</v>
      </c>
      <c r="E191" s="184" t="s">
        <v>176</v>
      </c>
      <c r="F191" s="184"/>
      <c r="G191" s="184" t="s">
        <v>34</v>
      </c>
      <c r="H191" s="184"/>
      <c r="I191" s="185">
        <v>500</v>
      </c>
      <c r="J191" s="184"/>
      <c r="K191" s="172">
        <v>42996.32916666667</v>
      </c>
      <c r="L191" s="32" t="s">
        <v>552</v>
      </c>
    </row>
    <row r="192" spans="1:12">
      <c r="A192" s="184">
        <v>191</v>
      </c>
      <c r="B192" s="127">
        <v>42910</v>
      </c>
      <c r="C192" s="184" t="s">
        <v>495</v>
      </c>
      <c r="D192" s="184" t="s">
        <v>322</v>
      </c>
      <c r="E192" s="184" t="s">
        <v>88</v>
      </c>
      <c r="F192" s="184"/>
      <c r="G192" s="184" t="s">
        <v>34</v>
      </c>
      <c r="H192" s="184"/>
      <c r="I192" s="185">
        <v>600</v>
      </c>
      <c r="J192" s="184"/>
      <c r="K192" s="172">
        <v>42996.32916666667</v>
      </c>
      <c r="L192" s="32" t="s">
        <v>552</v>
      </c>
    </row>
    <row r="193" spans="1:12">
      <c r="A193" s="184">
        <v>192</v>
      </c>
      <c r="B193" s="127">
        <v>42911</v>
      </c>
      <c r="C193" s="184" t="s">
        <v>497</v>
      </c>
      <c r="D193" s="184" t="s">
        <v>326</v>
      </c>
      <c r="E193" s="184"/>
      <c r="F193" s="184"/>
      <c r="G193" s="184" t="s">
        <v>34</v>
      </c>
      <c r="H193" s="184"/>
      <c r="I193" s="185">
        <v>85000</v>
      </c>
      <c r="J193" s="184"/>
      <c r="K193" s="172">
        <v>42996.32916666667</v>
      </c>
      <c r="L193" s="32" t="s">
        <v>552</v>
      </c>
    </row>
    <row r="194" spans="1:12">
      <c r="A194" s="184">
        <v>193</v>
      </c>
      <c r="B194" s="127">
        <v>42914</v>
      </c>
      <c r="C194" s="184" t="s">
        <v>4433</v>
      </c>
      <c r="D194" s="184" t="s">
        <v>320</v>
      </c>
      <c r="E194" s="184"/>
      <c r="F194" s="184"/>
      <c r="G194" s="184" t="s">
        <v>34</v>
      </c>
      <c r="H194" s="184"/>
      <c r="I194" s="185">
        <v>1200</v>
      </c>
      <c r="J194" s="184"/>
      <c r="K194" s="172">
        <v>42996.32916666667</v>
      </c>
      <c r="L194" s="32" t="s">
        <v>552</v>
      </c>
    </row>
    <row r="195" spans="1:12">
      <c r="A195" s="184">
        <v>194</v>
      </c>
      <c r="B195" s="127">
        <v>42916</v>
      </c>
      <c r="C195" s="23" t="s">
        <v>4448</v>
      </c>
      <c r="D195" s="184" t="s">
        <v>328</v>
      </c>
      <c r="E195" s="184"/>
      <c r="F195" s="184"/>
      <c r="G195" s="184" t="s">
        <v>34</v>
      </c>
      <c r="H195" s="184"/>
      <c r="I195" s="185">
        <v>218600</v>
      </c>
      <c r="J195" s="184"/>
      <c r="K195" s="172">
        <v>42996.32916666667</v>
      </c>
      <c r="L195" s="32" t="s">
        <v>552</v>
      </c>
    </row>
    <row r="196" spans="1:12">
      <c r="A196" s="184">
        <v>195</v>
      </c>
      <c r="B196" s="127">
        <v>42916</v>
      </c>
      <c r="C196" s="23" t="s">
        <v>4448</v>
      </c>
      <c r="D196" s="184" t="s">
        <v>328</v>
      </c>
      <c r="E196" s="184"/>
      <c r="F196" s="184"/>
      <c r="G196" s="184" t="s">
        <v>10</v>
      </c>
      <c r="H196" s="184"/>
      <c r="I196" s="185">
        <v>133000</v>
      </c>
      <c r="J196" s="184"/>
      <c r="K196" s="172">
        <v>42996.32916666667</v>
      </c>
      <c r="L196" s="32" t="s">
        <v>552</v>
      </c>
    </row>
    <row r="197" spans="1:12">
      <c r="A197" s="184">
        <v>196</v>
      </c>
      <c r="B197" s="127">
        <v>42885</v>
      </c>
      <c r="C197" s="23" t="s">
        <v>4449</v>
      </c>
      <c r="D197" s="184" t="s">
        <v>328</v>
      </c>
      <c r="E197" s="184"/>
      <c r="F197" s="184"/>
      <c r="G197" s="184" t="s">
        <v>34</v>
      </c>
      <c r="H197" s="184"/>
      <c r="I197" s="185">
        <v>219900</v>
      </c>
      <c r="J197" s="184"/>
      <c r="K197" s="172">
        <v>42996.32916666667</v>
      </c>
      <c r="L197" s="32" t="s">
        <v>552</v>
      </c>
    </row>
    <row r="198" spans="1:12">
      <c r="A198" s="184">
        <v>197</v>
      </c>
      <c r="B198" s="127">
        <v>42885</v>
      </c>
      <c r="C198" s="23" t="s">
        <v>4449</v>
      </c>
      <c r="D198" s="184" t="s">
        <v>328</v>
      </c>
      <c r="E198" s="184"/>
      <c r="F198" s="184"/>
      <c r="G198" s="184" t="s">
        <v>10</v>
      </c>
      <c r="H198" s="184"/>
      <c r="I198" s="185">
        <v>133000</v>
      </c>
      <c r="J198" s="184"/>
      <c r="K198" s="172">
        <v>42996.32916666667</v>
      </c>
      <c r="L198" s="32" t="s">
        <v>552</v>
      </c>
    </row>
    <row r="199" spans="1:12">
      <c r="A199" s="184">
        <v>198</v>
      </c>
      <c r="B199" s="127">
        <v>42885</v>
      </c>
      <c r="C199" s="23" t="s">
        <v>329</v>
      </c>
      <c r="D199" s="184" t="s">
        <v>329</v>
      </c>
      <c r="E199" s="184" t="s">
        <v>63</v>
      </c>
      <c r="F199" s="184"/>
      <c r="G199" s="184" t="s">
        <v>10</v>
      </c>
      <c r="H199" s="184"/>
      <c r="I199" s="185">
        <v>16800</v>
      </c>
      <c r="J199" s="184"/>
      <c r="K199" s="172">
        <v>42996.32916666667</v>
      </c>
      <c r="L199" s="32" t="s">
        <v>552</v>
      </c>
    </row>
    <row r="200" spans="1:12">
      <c r="A200" s="184">
        <v>199</v>
      </c>
      <c r="B200" s="127">
        <v>42885</v>
      </c>
      <c r="C200" s="23" t="s">
        <v>329</v>
      </c>
      <c r="D200" s="184" t="s">
        <v>329</v>
      </c>
      <c r="E200" s="184" t="s">
        <v>42</v>
      </c>
      <c r="F200" s="184"/>
      <c r="G200" s="184" t="s">
        <v>10</v>
      </c>
      <c r="H200" s="184"/>
      <c r="I200" s="185">
        <v>27800</v>
      </c>
      <c r="J200" s="184"/>
      <c r="K200" s="172">
        <v>42996.32916666667</v>
      </c>
      <c r="L200" s="32" t="s">
        <v>552</v>
      </c>
    </row>
    <row r="201" spans="1:12">
      <c r="A201" s="184">
        <v>200</v>
      </c>
      <c r="B201" s="127">
        <v>42885</v>
      </c>
      <c r="C201" s="23" t="s">
        <v>329</v>
      </c>
      <c r="D201" s="184" t="s">
        <v>329</v>
      </c>
      <c r="E201" s="184" t="s">
        <v>30</v>
      </c>
      <c r="F201" s="184"/>
      <c r="G201" s="184" t="s">
        <v>10</v>
      </c>
      <c r="H201" s="184"/>
      <c r="I201" s="185">
        <v>3190</v>
      </c>
      <c r="J201" s="184"/>
      <c r="K201" s="172">
        <v>42996.32916666667</v>
      </c>
      <c r="L201" s="32" t="s">
        <v>552</v>
      </c>
    </row>
    <row r="202" spans="1:12">
      <c r="A202" s="184">
        <v>201</v>
      </c>
      <c r="B202" s="127">
        <v>42916</v>
      </c>
      <c r="C202" s="23" t="s">
        <v>329</v>
      </c>
      <c r="D202" s="184" t="s">
        <v>329</v>
      </c>
      <c r="E202" s="184" t="s">
        <v>63</v>
      </c>
      <c r="F202" s="184"/>
      <c r="G202" s="184" t="s">
        <v>10</v>
      </c>
      <c r="H202" s="184"/>
      <c r="I202" s="185">
        <v>2400</v>
      </c>
      <c r="J202" s="184"/>
      <c r="K202" s="172">
        <v>42996.32916666667</v>
      </c>
      <c r="L202" s="32" t="s">
        <v>552</v>
      </c>
    </row>
    <row r="203" spans="1:12">
      <c r="A203" s="184">
        <v>202</v>
      </c>
      <c r="B203" s="127">
        <v>42916</v>
      </c>
      <c r="C203" s="23" t="s">
        <v>329</v>
      </c>
      <c r="D203" s="184" t="s">
        <v>329</v>
      </c>
      <c r="E203" s="184" t="s">
        <v>85</v>
      </c>
      <c r="F203" s="184"/>
      <c r="G203" s="184" t="s">
        <v>10</v>
      </c>
      <c r="H203" s="184"/>
      <c r="I203" s="185">
        <v>8275</v>
      </c>
      <c r="J203" s="184"/>
      <c r="K203" s="172">
        <v>42996.32916666667</v>
      </c>
      <c r="L203" s="32" t="s">
        <v>552</v>
      </c>
    </row>
    <row r="204" spans="1:12">
      <c r="A204" s="184">
        <v>203</v>
      </c>
      <c r="B204" s="127">
        <v>42916</v>
      </c>
      <c r="C204" s="23" t="s">
        <v>329</v>
      </c>
      <c r="D204" s="184" t="s">
        <v>329</v>
      </c>
      <c r="E204" s="184" t="s">
        <v>30</v>
      </c>
      <c r="F204" s="184"/>
      <c r="G204" s="184" t="s">
        <v>10</v>
      </c>
      <c r="H204" s="184"/>
      <c r="I204" s="185">
        <v>3640</v>
      </c>
      <c r="J204" s="184"/>
      <c r="K204" s="172">
        <v>42996.32916666667</v>
      </c>
      <c r="L204" s="32" t="s">
        <v>552</v>
      </c>
    </row>
    <row r="205" spans="1:12">
      <c r="A205" s="184">
        <v>204</v>
      </c>
      <c r="B205" s="127">
        <v>42887</v>
      </c>
      <c r="C205" s="184" t="s">
        <v>4450</v>
      </c>
      <c r="D205" s="184" t="s">
        <v>275</v>
      </c>
      <c r="E205" s="184" t="s">
        <v>30</v>
      </c>
      <c r="F205" s="184" t="s">
        <v>108</v>
      </c>
      <c r="G205" s="184" t="s">
        <v>10</v>
      </c>
      <c r="H205" s="184"/>
      <c r="I205" s="185">
        <v>30500</v>
      </c>
      <c r="J205" s="184"/>
      <c r="K205" s="172">
        <v>42996.32916666667</v>
      </c>
      <c r="L205" s="32" t="s">
        <v>552</v>
      </c>
    </row>
    <row r="206" spans="1:12">
      <c r="A206" s="184">
        <v>205</v>
      </c>
      <c r="B206" s="127">
        <v>42905</v>
      </c>
      <c r="C206" s="184" t="s">
        <v>4451</v>
      </c>
      <c r="D206" s="184" t="s">
        <v>275</v>
      </c>
      <c r="E206" s="184" t="s">
        <v>30</v>
      </c>
      <c r="F206" s="184" t="s">
        <v>121</v>
      </c>
      <c r="G206" s="184" t="s">
        <v>34</v>
      </c>
      <c r="H206" s="184"/>
      <c r="I206" s="185">
        <v>1000</v>
      </c>
      <c r="J206" s="184"/>
      <c r="K206" s="172">
        <v>42996.32916666667</v>
      </c>
      <c r="L206" s="32" t="s">
        <v>552</v>
      </c>
    </row>
    <row r="207" spans="1:12">
      <c r="A207" s="184">
        <v>206</v>
      </c>
      <c r="B207" s="127">
        <v>42913</v>
      </c>
      <c r="C207" s="184" t="s">
        <v>4452</v>
      </c>
      <c r="D207" s="184" t="s">
        <v>275</v>
      </c>
      <c r="E207" s="184" t="s">
        <v>30</v>
      </c>
      <c r="F207" s="184" t="s">
        <v>26</v>
      </c>
      <c r="G207" s="184" t="s">
        <v>10</v>
      </c>
      <c r="H207" s="184"/>
      <c r="I207" s="185">
        <v>32760</v>
      </c>
      <c r="J207" s="184"/>
      <c r="K207" s="172">
        <v>42996.32916666667</v>
      </c>
      <c r="L207" s="32" t="s">
        <v>552</v>
      </c>
    </row>
    <row r="208" spans="1:12">
      <c r="A208" s="184">
        <v>207</v>
      </c>
      <c r="B208" s="127">
        <v>42889</v>
      </c>
      <c r="C208" s="184" t="s">
        <v>4453</v>
      </c>
      <c r="D208" s="184" t="s">
        <v>275</v>
      </c>
      <c r="E208" s="184" t="s">
        <v>63</v>
      </c>
      <c r="F208" s="184" t="s">
        <v>38</v>
      </c>
      <c r="G208" s="184" t="s">
        <v>10</v>
      </c>
      <c r="H208" s="184"/>
      <c r="I208" s="185">
        <v>4500</v>
      </c>
      <c r="J208" s="184"/>
      <c r="K208" s="172">
        <v>42996.32916666667</v>
      </c>
      <c r="L208" s="32" t="s">
        <v>552</v>
      </c>
    </row>
    <row r="209" spans="1:12">
      <c r="A209" s="184">
        <v>208</v>
      </c>
      <c r="B209" s="127">
        <v>42893</v>
      </c>
      <c r="C209" s="184" t="s">
        <v>4454</v>
      </c>
      <c r="D209" s="184" t="s">
        <v>275</v>
      </c>
      <c r="E209" s="184" t="s">
        <v>63</v>
      </c>
      <c r="F209" s="184" t="s">
        <v>49</v>
      </c>
      <c r="G209" s="184" t="s">
        <v>34</v>
      </c>
      <c r="H209" s="184"/>
      <c r="I209" s="185">
        <v>20000</v>
      </c>
      <c r="J209" s="184"/>
      <c r="K209" s="172">
        <v>42996.32916666667</v>
      </c>
      <c r="L209" s="32" t="s">
        <v>552</v>
      </c>
    </row>
    <row r="210" spans="1:12">
      <c r="A210" s="184">
        <v>209</v>
      </c>
      <c r="B210" s="127">
        <v>42895</v>
      </c>
      <c r="C210" s="184" t="s">
        <v>4455</v>
      </c>
      <c r="D210" s="184" t="s">
        <v>275</v>
      </c>
      <c r="E210" s="184" t="s">
        <v>63</v>
      </c>
      <c r="F210" s="184" t="s">
        <v>121</v>
      </c>
      <c r="G210" s="184" t="s">
        <v>10</v>
      </c>
      <c r="H210" s="184"/>
      <c r="I210" s="185">
        <v>5000</v>
      </c>
      <c r="J210" s="184"/>
      <c r="K210" s="172">
        <v>42996.32916666667</v>
      </c>
      <c r="L210" s="32" t="s">
        <v>552</v>
      </c>
    </row>
    <row r="211" spans="1:12">
      <c r="A211" s="184">
        <v>210</v>
      </c>
      <c r="B211" s="127">
        <v>42898</v>
      </c>
      <c r="C211" s="184" t="s">
        <v>4456</v>
      </c>
      <c r="D211" s="184" t="s">
        <v>275</v>
      </c>
      <c r="E211" s="184" t="s">
        <v>63</v>
      </c>
      <c r="F211" s="184" t="s">
        <v>121</v>
      </c>
      <c r="G211" s="184" t="s">
        <v>10</v>
      </c>
      <c r="H211" s="184"/>
      <c r="I211" s="185">
        <v>5000</v>
      </c>
      <c r="J211" s="184"/>
      <c r="K211" s="172">
        <v>42996.32916666667</v>
      </c>
      <c r="L211" s="32" t="s">
        <v>552</v>
      </c>
    </row>
    <row r="212" spans="1:12">
      <c r="A212" s="184">
        <v>211</v>
      </c>
      <c r="B212" s="127">
        <v>42907</v>
      </c>
      <c r="C212" s="184" t="s">
        <v>4457</v>
      </c>
      <c r="D212" s="184" t="s">
        <v>275</v>
      </c>
      <c r="E212" s="184" t="s">
        <v>63</v>
      </c>
      <c r="F212" s="184" t="s">
        <v>38</v>
      </c>
      <c r="G212" s="184" t="s">
        <v>10</v>
      </c>
      <c r="H212" s="184"/>
      <c r="I212" s="185">
        <v>17100</v>
      </c>
      <c r="J212" s="184"/>
      <c r="K212" s="172">
        <v>42996.32916666667</v>
      </c>
      <c r="L212" s="32" t="s">
        <v>552</v>
      </c>
    </row>
    <row r="213" spans="1:12">
      <c r="A213" s="184">
        <v>212</v>
      </c>
      <c r="B213" s="127">
        <v>42914</v>
      </c>
      <c r="C213" s="184" t="s">
        <v>4458</v>
      </c>
      <c r="D213" s="184" t="s">
        <v>275</v>
      </c>
      <c r="E213" s="184" t="s">
        <v>63</v>
      </c>
      <c r="F213" s="184" t="s">
        <v>102</v>
      </c>
      <c r="G213" s="184" t="s">
        <v>10</v>
      </c>
      <c r="H213" s="184"/>
      <c r="I213" s="185">
        <v>5000</v>
      </c>
      <c r="J213" s="184"/>
      <c r="K213" s="172">
        <v>42996.32916666667</v>
      </c>
      <c r="L213" s="32" t="s">
        <v>552</v>
      </c>
    </row>
    <row r="214" spans="1:12">
      <c r="A214" s="184">
        <v>213</v>
      </c>
      <c r="B214" s="127">
        <v>42895</v>
      </c>
      <c r="C214" s="184" t="s">
        <v>4459</v>
      </c>
      <c r="D214" s="184" t="s">
        <v>275</v>
      </c>
      <c r="E214" s="184" t="s">
        <v>79</v>
      </c>
      <c r="F214" s="184" t="s">
        <v>92</v>
      </c>
      <c r="G214" s="184" t="s">
        <v>10</v>
      </c>
      <c r="H214" s="184"/>
      <c r="I214" s="185">
        <v>2350</v>
      </c>
      <c r="J214" s="184"/>
      <c r="K214" s="172">
        <v>42996.32916666667</v>
      </c>
      <c r="L214" s="32" t="s">
        <v>552</v>
      </c>
    </row>
    <row r="215" spans="1:12">
      <c r="A215" s="184">
        <v>214</v>
      </c>
      <c r="B215" s="127">
        <v>42902</v>
      </c>
      <c r="C215" s="184" t="s">
        <v>4460</v>
      </c>
      <c r="D215" s="184" t="s">
        <v>275</v>
      </c>
      <c r="E215" s="184" t="s">
        <v>79</v>
      </c>
      <c r="F215" s="184" t="s">
        <v>92</v>
      </c>
      <c r="G215" s="184" t="s">
        <v>10</v>
      </c>
      <c r="H215" s="184"/>
      <c r="I215" s="185">
        <v>1500</v>
      </c>
      <c r="J215" s="184"/>
      <c r="K215" s="172">
        <v>42996.32916666667</v>
      </c>
      <c r="L215" s="32" t="s">
        <v>552</v>
      </c>
    </row>
    <row r="216" spans="1:12">
      <c r="A216" s="184">
        <v>215</v>
      </c>
      <c r="B216" s="127">
        <v>42908</v>
      </c>
      <c r="C216" s="184" t="s">
        <v>4461</v>
      </c>
      <c r="D216" s="184" t="s">
        <v>275</v>
      </c>
      <c r="E216" s="184" t="s">
        <v>79</v>
      </c>
      <c r="F216" s="184" t="s">
        <v>92</v>
      </c>
      <c r="G216" s="184" t="s">
        <v>10</v>
      </c>
      <c r="H216" s="184"/>
      <c r="I216" s="185">
        <v>4000</v>
      </c>
      <c r="J216" s="184"/>
      <c r="K216" s="172">
        <v>42996.32916666667</v>
      </c>
      <c r="L216" s="32" t="s">
        <v>552</v>
      </c>
    </row>
    <row r="217" spans="1:12">
      <c r="A217" s="184">
        <v>216</v>
      </c>
      <c r="B217" s="127">
        <v>42903</v>
      </c>
      <c r="C217" s="184" t="s">
        <v>4462</v>
      </c>
      <c r="D217" s="184" t="s">
        <v>275</v>
      </c>
      <c r="E217" s="184" t="s">
        <v>42</v>
      </c>
      <c r="F217" s="184" t="s">
        <v>84</v>
      </c>
      <c r="G217" s="184" t="s">
        <v>10</v>
      </c>
      <c r="H217" s="184"/>
      <c r="I217" s="185">
        <v>4000</v>
      </c>
      <c r="J217" s="184"/>
      <c r="K217" s="172">
        <v>42996.32916666667</v>
      </c>
      <c r="L217" s="32" t="s">
        <v>552</v>
      </c>
    </row>
    <row r="218" spans="1:12">
      <c r="A218" s="184">
        <v>217</v>
      </c>
      <c r="B218" s="127">
        <v>42902</v>
      </c>
      <c r="C218" s="184" t="s">
        <v>4463</v>
      </c>
      <c r="D218" s="184" t="s">
        <v>275</v>
      </c>
      <c r="E218" s="184" t="s">
        <v>42</v>
      </c>
      <c r="F218" s="184" t="s">
        <v>84</v>
      </c>
      <c r="G218" s="184" t="s">
        <v>34</v>
      </c>
      <c r="H218" s="184"/>
      <c r="I218" s="185">
        <v>1000</v>
      </c>
      <c r="J218" s="184"/>
      <c r="K218" s="172">
        <v>42996.32916666667</v>
      </c>
      <c r="L218" s="32" t="s">
        <v>552</v>
      </c>
    </row>
    <row r="219" spans="1:12">
      <c r="A219" s="184">
        <v>218</v>
      </c>
      <c r="B219" s="127">
        <v>42902</v>
      </c>
      <c r="C219" s="184" t="s">
        <v>4464</v>
      </c>
      <c r="D219" s="184" t="s">
        <v>275</v>
      </c>
      <c r="E219" s="184" t="s">
        <v>42</v>
      </c>
      <c r="F219" s="184" t="s">
        <v>84</v>
      </c>
      <c r="G219" s="184" t="s">
        <v>34</v>
      </c>
      <c r="H219" s="184"/>
      <c r="I219" s="185">
        <v>1000</v>
      </c>
      <c r="J219" s="184"/>
      <c r="K219" s="172">
        <v>42996.32916666667</v>
      </c>
      <c r="L219" s="32" t="s">
        <v>552</v>
      </c>
    </row>
    <row r="220" spans="1:12">
      <c r="A220" s="184">
        <v>219</v>
      </c>
      <c r="B220" s="127">
        <v>42902</v>
      </c>
      <c r="C220" s="184" t="s">
        <v>4465</v>
      </c>
      <c r="D220" s="184" t="s">
        <v>275</v>
      </c>
      <c r="E220" s="184" t="s">
        <v>42</v>
      </c>
      <c r="F220" s="184" t="s">
        <v>84</v>
      </c>
      <c r="G220" s="184" t="s">
        <v>34</v>
      </c>
      <c r="H220" s="184"/>
      <c r="I220" s="185">
        <v>1000</v>
      </c>
      <c r="J220" s="184"/>
      <c r="K220" s="172">
        <v>42996.32916666667</v>
      </c>
      <c r="L220" s="32" t="s">
        <v>552</v>
      </c>
    </row>
    <row r="221" spans="1:12">
      <c r="A221" s="184">
        <v>220</v>
      </c>
      <c r="B221" s="127">
        <v>42902</v>
      </c>
      <c r="C221" s="184" t="s">
        <v>4466</v>
      </c>
      <c r="D221" s="184" t="s">
        <v>275</v>
      </c>
      <c r="E221" s="184" t="s">
        <v>42</v>
      </c>
      <c r="F221" s="184" t="s">
        <v>84</v>
      </c>
      <c r="G221" s="184" t="s">
        <v>34</v>
      </c>
      <c r="H221" s="184"/>
      <c r="I221" s="185">
        <v>1000</v>
      </c>
      <c r="J221" s="184"/>
      <c r="K221" s="172">
        <v>42996.32916666667</v>
      </c>
      <c r="L221" s="32" t="s">
        <v>552</v>
      </c>
    </row>
    <row r="222" spans="1:12">
      <c r="A222" s="184">
        <v>221</v>
      </c>
      <c r="B222" s="127">
        <v>42902</v>
      </c>
      <c r="C222" s="184" t="s">
        <v>4467</v>
      </c>
      <c r="D222" s="184" t="s">
        <v>275</v>
      </c>
      <c r="E222" s="184" t="s">
        <v>42</v>
      </c>
      <c r="F222" s="184" t="s">
        <v>84</v>
      </c>
      <c r="G222" s="184" t="s">
        <v>34</v>
      </c>
      <c r="H222" s="184"/>
      <c r="I222" s="185">
        <v>1000</v>
      </c>
      <c r="J222" s="184"/>
      <c r="K222" s="172">
        <v>42996.32916666667</v>
      </c>
      <c r="L222" s="32" t="s">
        <v>552</v>
      </c>
    </row>
    <row r="223" spans="1:12">
      <c r="A223" s="184">
        <v>222</v>
      </c>
      <c r="B223" s="127">
        <v>42895</v>
      </c>
      <c r="C223" s="184" t="s">
        <v>4468</v>
      </c>
      <c r="D223" s="184" t="s">
        <v>275</v>
      </c>
      <c r="E223" s="184" t="s">
        <v>42</v>
      </c>
      <c r="F223" s="184" t="s">
        <v>84</v>
      </c>
      <c r="G223" s="184" t="s">
        <v>10</v>
      </c>
      <c r="H223" s="184"/>
      <c r="I223" s="185">
        <v>2000</v>
      </c>
      <c r="J223" s="184"/>
      <c r="K223" s="172">
        <v>42996.32916666667</v>
      </c>
      <c r="L223" s="32" t="s">
        <v>552</v>
      </c>
    </row>
    <row r="224" spans="1:12">
      <c r="A224" s="184">
        <v>223</v>
      </c>
      <c r="B224" s="127">
        <v>42895</v>
      </c>
      <c r="C224" s="184" t="s">
        <v>4469</v>
      </c>
      <c r="D224" s="184" t="s">
        <v>275</v>
      </c>
      <c r="E224" s="184" t="s">
        <v>42</v>
      </c>
      <c r="F224" s="184" t="s">
        <v>84</v>
      </c>
      <c r="G224" s="184" t="s">
        <v>10</v>
      </c>
      <c r="H224" s="184"/>
      <c r="I224" s="185">
        <v>2000</v>
      </c>
      <c r="J224" s="184"/>
      <c r="K224" s="172">
        <v>42996.32916666667</v>
      </c>
      <c r="L224" s="32" t="s">
        <v>552</v>
      </c>
    </row>
    <row r="225" spans="1:12">
      <c r="A225" s="184">
        <v>224</v>
      </c>
      <c r="B225" s="127">
        <v>42907</v>
      </c>
      <c r="C225" s="184" t="s">
        <v>4470</v>
      </c>
      <c r="D225" s="184" t="s">
        <v>275</v>
      </c>
      <c r="E225" s="184" t="s">
        <v>85</v>
      </c>
      <c r="F225" s="184" t="s">
        <v>84</v>
      </c>
      <c r="G225" s="184" t="s">
        <v>34</v>
      </c>
      <c r="H225" s="184"/>
      <c r="I225" s="185">
        <v>2500</v>
      </c>
      <c r="J225" s="184"/>
      <c r="K225" s="172">
        <v>42996.32916666667</v>
      </c>
      <c r="L225" s="32" t="s">
        <v>552</v>
      </c>
    </row>
    <row r="226" spans="1:12">
      <c r="A226" s="184">
        <v>225</v>
      </c>
      <c r="B226" s="127">
        <v>42894</v>
      </c>
      <c r="C226" s="184" t="s">
        <v>4471</v>
      </c>
      <c r="D226" s="184" t="s">
        <v>275</v>
      </c>
      <c r="E226" s="184" t="s">
        <v>85</v>
      </c>
      <c r="F226" s="184" t="s">
        <v>84</v>
      </c>
      <c r="G226" s="184" t="s">
        <v>34</v>
      </c>
      <c r="H226" s="184"/>
      <c r="I226" s="185">
        <v>2000</v>
      </c>
      <c r="J226" s="184"/>
      <c r="K226" s="172">
        <v>42996.32916666667</v>
      </c>
      <c r="L226" s="32" t="s">
        <v>552</v>
      </c>
    </row>
    <row r="227" spans="1:12">
      <c r="A227" s="184">
        <v>226</v>
      </c>
      <c r="B227" s="127">
        <v>42860</v>
      </c>
      <c r="C227" s="184" t="s">
        <v>4472</v>
      </c>
      <c r="D227" s="184" t="s">
        <v>275</v>
      </c>
      <c r="E227" s="184" t="s">
        <v>63</v>
      </c>
      <c r="F227" s="184" t="s">
        <v>38</v>
      </c>
      <c r="G227" s="184" t="s">
        <v>10</v>
      </c>
      <c r="H227" s="184"/>
      <c r="I227" s="185">
        <v>3600</v>
      </c>
      <c r="J227" s="184"/>
      <c r="K227" s="172">
        <v>42996.32916666667</v>
      </c>
      <c r="L227" s="32" t="s">
        <v>552</v>
      </c>
    </row>
    <row r="228" spans="1:12">
      <c r="A228" s="184">
        <v>227</v>
      </c>
      <c r="B228" s="127">
        <v>42864</v>
      </c>
      <c r="C228" s="184" t="s">
        <v>4473</v>
      </c>
      <c r="D228" s="184" t="s">
        <v>275</v>
      </c>
      <c r="E228" s="184" t="s">
        <v>63</v>
      </c>
      <c r="F228" s="184" t="s">
        <v>38</v>
      </c>
      <c r="G228" s="184" t="s">
        <v>10</v>
      </c>
      <c r="H228" s="184"/>
      <c r="I228" s="185">
        <v>11700</v>
      </c>
      <c r="J228" s="184"/>
      <c r="K228" s="172">
        <v>42996.32916666667</v>
      </c>
      <c r="L228" s="32" t="s">
        <v>552</v>
      </c>
    </row>
    <row r="229" spans="1:12">
      <c r="A229" s="184">
        <v>228</v>
      </c>
      <c r="B229" s="127">
        <v>42871</v>
      </c>
      <c r="C229" s="184" t="s">
        <v>4474</v>
      </c>
      <c r="D229" s="184" t="s">
        <v>275</v>
      </c>
      <c r="E229" s="184" t="s">
        <v>63</v>
      </c>
      <c r="F229" s="184" t="s">
        <v>38</v>
      </c>
      <c r="G229" s="184" t="s">
        <v>10</v>
      </c>
      <c r="H229" s="184"/>
      <c r="I229" s="185">
        <v>2700</v>
      </c>
      <c r="J229" s="184"/>
      <c r="K229" s="172">
        <v>42996.32916666667</v>
      </c>
      <c r="L229" s="32" t="s">
        <v>552</v>
      </c>
    </row>
    <row r="230" spans="1:12">
      <c r="A230" s="184">
        <v>229</v>
      </c>
      <c r="B230" s="127">
        <v>42871</v>
      </c>
      <c r="C230" s="184" t="s">
        <v>4475</v>
      </c>
      <c r="D230" s="184" t="s">
        <v>275</v>
      </c>
      <c r="E230" s="184" t="s">
        <v>63</v>
      </c>
      <c r="F230" s="184" t="s">
        <v>38</v>
      </c>
      <c r="G230" s="184" t="s">
        <v>10</v>
      </c>
      <c r="H230" s="184"/>
      <c r="I230" s="185">
        <v>4500</v>
      </c>
      <c r="J230" s="184"/>
      <c r="K230" s="172">
        <v>42996.32916666667</v>
      </c>
      <c r="L230" s="32" t="s">
        <v>552</v>
      </c>
    </row>
    <row r="231" spans="1:12">
      <c r="A231" s="184">
        <v>230</v>
      </c>
      <c r="B231" s="127">
        <v>42871</v>
      </c>
      <c r="C231" s="184" t="s">
        <v>4476</v>
      </c>
      <c r="D231" s="184" t="s">
        <v>275</v>
      </c>
      <c r="E231" s="184" t="s">
        <v>63</v>
      </c>
      <c r="F231" s="184" t="s">
        <v>38</v>
      </c>
      <c r="G231" s="184" t="s">
        <v>10</v>
      </c>
      <c r="H231" s="184"/>
      <c r="I231" s="185">
        <v>2700</v>
      </c>
      <c r="J231" s="184"/>
      <c r="K231" s="172">
        <v>42996.32916666667</v>
      </c>
      <c r="L231" s="32" t="s">
        <v>552</v>
      </c>
    </row>
    <row r="232" spans="1:12">
      <c r="A232" s="184">
        <v>231</v>
      </c>
      <c r="B232" s="127">
        <v>42871</v>
      </c>
      <c r="C232" s="184" t="s">
        <v>4477</v>
      </c>
      <c r="D232" s="184" t="s">
        <v>275</v>
      </c>
      <c r="E232" s="184" t="s">
        <v>63</v>
      </c>
      <c r="F232" s="184" t="s">
        <v>38</v>
      </c>
      <c r="G232" s="184" t="s">
        <v>10</v>
      </c>
      <c r="H232" s="184"/>
      <c r="I232" s="185">
        <v>3600</v>
      </c>
      <c r="J232" s="184"/>
      <c r="K232" s="172">
        <v>42996.32916666667</v>
      </c>
      <c r="L232" s="32" t="s">
        <v>552</v>
      </c>
    </row>
    <row r="233" spans="1:12">
      <c r="A233" s="184">
        <v>232</v>
      </c>
      <c r="B233" s="127">
        <v>42871</v>
      </c>
      <c r="C233" s="184" t="s">
        <v>4478</v>
      </c>
      <c r="D233" s="184" t="s">
        <v>275</v>
      </c>
      <c r="E233" s="184" t="s">
        <v>63</v>
      </c>
      <c r="F233" s="184" t="s">
        <v>38</v>
      </c>
      <c r="G233" s="184" t="s">
        <v>10</v>
      </c>
      <c r="H233" s="184"/>
      <c r="I233" s="185">
        <v>2700</v>
      </c>
      <c r="J233" s="184"/>
      <c r="K233" s="172">
        <v>42996.32916666667</v>
      </c>
      <c r="L233" s="32" t="s">
        <v>552</v>
      </c>
    </row>
    <row r="234" spans="1:12">
      <c r="A234" s="184">
        <v>233</v>
      </c>
      <c r="B234" s="127">
        <v>42859</v>
      </c>
      <c r="C234" s="184" t="s">
        <v>4479</v>
      </c>
      <c r="D234" s="184" t="s">
        <v>275</v>
      </c>
      <c r="E234" s="184" t="s">
        <v>30</v>
      </c>
      <c r="F234" s="184" t="s">
        <v>121</v>
      </c>
      <c r="G234" s="184" t="s">
        <v>10</v>
      </c>
      <c r="H234" s="184"/>
      <c r="I234" s="185">
        <v>17370</v>
      </c>
      <c r="J234" s="184"/>
      <c r="K234" s="172">
        <v>42996.32916666667</v>
      </c>
      <c r="L234" s="32" t="s">
        <v>552</v>
      </c>
    </row>
    <row r="235" spans="1:12">
      <c r="A235" s="184">
        <v>234</v>
      </c>
      <c r="B235" s="127">
        <v>42881</v>
      </c>
      <c r="C235" s="184" t="s">
        <v>4479</v>
      </c>
      <c r="D235" s="184" t="s">
        <v>275</v>
      </c>
      <c r="E235" s="184" t="s">
        <v>30</v>
      </c>
      <c r="F235" s="184" t="s">
        <v>121</v>
      </c>
      <c r="G235" s="184" t="s">
        <v>10</v>
      </c>
      <c r="H235" s="184"/>
      <c r="I235" s="185">
        <v>11340</v>
      </c>
      <c r="J235" s="184"/>
      <c r="K235" s="172">
        <v>42996.32916666667</v>
      </c>
      <c r="L235" s="32" t="s">
        <v>552</v>
      </c>
    </row>
    <row r="236" spans="1:12">
      <c r="A236" s="184">
        <v>235</v>
      </c>
      <c r="B236" s="127">
        <v>42866</v>
      </c>
      <c r="C236" s="184" t="s">
        <v>4480</v>
      </c>
      <c r="D236" s="184" t="s">
        <v>275</v>
      </c>
      <c r="E236" s="184" t="s">
        <v>42</v>
      </c>
      <c r="F236" s="184" t="s">
        <v>84</v>
      </c>
      <c r="G236" s="184" t="s">
        <v>34</v>
      </c>
      <c r="H236" s="184"/>
      <c r="I236" s="185">
        <v>1500</v>
      </c>
      <c r="J236" s="184"/>
      <c r="K236" s="172">
        <v>42996.32916666667</v>
      </c>
      <c r="L236" s="32" t="s">
        <v>552</v>
      </c>
    </row>
    <row r="237" spans="1:12">
      <c r="A237" s="184">
        <v>236</v>
      </c>
      <c r="B237" s="127">
        <v>42877</v>
      </c>
      <c r="C237" s="184" t="s">
        <v>4481</v>
      </c>
      <c r="D237" s="184" t="s">
        <v>275</v>
      </c>
      <c r="E237" s="184" t="s">
        <v>42</v>
      </c>
      <c r="F237" s="184" t="s">
        <v>84</v>
      </c>
      <c r="G237" s="184" t="s">
        <v>34</v>
      </c>
      <c r="H237" s="184"/>
      <c r="I237" s="185">
        <v>3000</v>
      </c>
      <c r="J237" s="184"/>
      <c r="K237" s="172">
        <v>42996.32916666667</v>
      </c>
      <c r="L237" s="32" t="s">
        <v>552</v>
      </c>
    </row>
    <row r="238" spans="1:12">
      <c r="A238" s="184">
        <v>237</v>
      </c>
      <c r="B238" s="127">
        <v>42877</v>
      </c>
      <c r="C238" s="184" t="s">
        <v>4482</v>
      </c>
      <c r="D238" s="184" t="s">
        <v>275</v>
      </c>
      <c r="E238" s="184" t="s">
        <v>42</v>
      </c>
      <c r="F238" s="184" t="s">
        <v>84</v>
      </c>
      <c r="G238" s="184" t="s">
        <v>34</v>
      </c>
      <c r="H238" s="184"/>
      <c r="I238" s="185">
        <v>3000</v>
      </c>
      <c r="J238" s="184"/>
      <c r="K238" s="172">
        <v>42996.32916666667</v>
      </c>
      <c r="L238" s="32" t="s">
        <v>552</v>
      </c>
    </row>
    <row r="239" spans="1:12">
      <c r="A239" s="184">
        <v>238</v>
      </c>
      <c r="B239" s="127">
        <v>42880</v>
      </c>
      <c r="C239" s="184" t="s">
        <v>4483</v>
      </c>
      <c r="D239" s="184" t="s">
        <v>275</v>
      </c>
      <c r="E239" s="184" t="s">
        <v>42</v>
      </c>
      <c r="F239" s="184" t="s">
        <v>84</v>
      </c>
      <c r="G239" s="184" t="s">
        <v>10</v>
      </c>
      <c r="H239" s="184"/>
      <c r="I239" s="185">
        <v>13500</v>
      </c>
      <c r="J239" s="184"/>
      <c r="K239" s="172">
        <v>42996.32916666667</v>
      </c>
      <c r="L239" s="32" t="s">
        <v>552</v>
      </c>
    </row>
    <row r="240" spans="1:12">
      <c r="A240" s="184">
        <v>239</v>
      </c>
      <c r="B240" s="127">
        <v>42880</v>
      </c>
      <c r="C240" s="184" t="s">
        <v>4483</v>
      </c>
      <c r="D240" s="184" t="s">
        <v>275</v>
      </c>
      <c r="E240" s="184" t="s">
        <v>42</v>
      </c>
      <c r="F240" s="184" t="s">
        <v>84</v>
      </c>
      <c r="G240" s="184" t="s">
        <v>10</v>
      </c>
      <c r="H240" s="184"/>
      <c r="I240" s="185">
        <v>13500</v>
      </c>
      <c r="J240" s="184"/>
      <c r="K240" s="172">
        <v>42996.32916666667</v>
      </c>
      <c r="L240" s="32" t="s">
        <v>552</v>
      </c>
    </row>
    <row r="241" spans="1:12">
      <c r="A241" s="184">
        <v>240</v>
      </c>
      <c r="B241" s="127">
        <v>42880</v>
      </c>
      <c r="C241" s="184" t="s">
        <v>4483</v>
      </c>
      <c r="D241" s="184" t="s">
        <v>275</v>
      </c>
      <c r="E241" s="184" t="s">
        <v>42</v>
      </c>
      <c r="F241" s="184" t="s">
        <v>84</v>
      </c>
      <c r="G241" s="184" t="s">
        <v>10</v>
      </c>
      <c r="H241" s="184"/>
      <c r="I241" s="185">
        <v>13500</v>
      </c>
      <c r="J241" s="184"/>
      <c r="K241" s="172">
        <v>42996.32916666667</v>
      </c>
      <c r="L241" s="32" t="s">
        <v>552</v>
      </c>
    </row>
    <row r="242" spans="1:12">
      <c r="A242" s="184">
        <v>241</v>
      </c>
      <c r="B242" s="127">
        <v>42880</v>
      </c>
      <c r="C242" s="184" t="s">
        <v>4483</v>
      </c>
      <c r="D242" s="184" t="s">
        <v>275</v>
      </c>
      <c r="E242" s="184" t="s">
        <v>42</v>
      </c>
      <c r="F242" s="184" t="s">
        <v>84</v>
      </c>
      <c r="G242" s="184" t="s">
        <v>10</v>
      </c>
      <c r="H242" s="184"/>
      <c r="I242" s="185">
        <v>13500</v>
      </c>
      <c r="J242" s="184"/>
      <c r="K242" s="172">
        <v>42996.32916666667</v>
      </c>
      <c r="L242" s="32" t="s">
        <v>552</v>
      </c>
    </row>
    <row r="243" spans="1:12">
      <c r="A243" s="184">
        <v>242</v>
      </c>
      <c r="B243" s="127">
        <v>42880</v>
      </c>
      <c r="C243" s="184" t="s">
        <v>4483</v>
      </c>
      <c r="D243" s="184" t="s">
        <v>275</v>
      </c>
      <c r="E243" s="184" t="s">
        <v>42</v>
      </c>
      <c r="F243" s="184" t="s">
        <v>84</v>
      </c>
      <c r="G243" s="184" t="s">
        <v>10</v>
      </c>
      <c r="H243" s="184"/>
      <c r="I243" s="185">
        <v>13500</v>
      </c>
      <c r="J243" s="184"/>
      <c r="K243" s="172">
        <v>42996.32916666667</v>
      </c>
      <c r="L243" s="32" t="s">
        <v>552</v>
      </c>
    </row>
    <row r="244" spans="1:12">
      <c r="A244" s="184">
        <v>243</v>
      </c>
      <c r="B244" s="127">
        <v>42886</v>
      </c>
      <c r="C244" s="184" t="s">
        <v>4484</v>
      </c>
      <c r="D244" s="184" t="s">
        <v>275</v>
      </c>
      <c r="E244" s="184" t="s">
        <v>79</v>
      </c>
      <c r="F244" s="184" t="s">
        <v>84</v>
      </c>
      <c r="G244" s="184" t="s">
        <v>10</v>
      </c>
      <c r="H244" s="184"/>
      <c r="I244" s="185">
        <v>1500</v>
      </c>
      <c r="J244" s="184"/>
      <c r="K244" s="172">
        <v>42996.32916666667</v>
      </c>
      <c r="L244" s="32" t="s">
        <v>552</v>
      </c>
    </row>
    <row r="245" spans="1:12">
      <c r="A245" s="184">
        <v>244</v>
      </c>
      <c r="B245" s="127">
        <v>42857</v>
      </c>
      <c r="C245" s="184" t="s">
        <v>4485</v>
      </c>
      <c r="D245" s="184" t="s">
        <v>275</v>
      </c>
      <c r="E245" s="184" t="s">
        <v>30</v>
      </c>
      <c r="F245" s="184" t="s">
        <v>108</v>
      </c>
      <c r="G245" s="184" t="s">
        <v>10</v>
      </c>
      <c r="H245" s="184"/>
      <c r="I245" s="185">
        <v>6000</v>
      </c>
      <c r="J245" s="184"/>
      <c r="K245" s="172">
        <v>42996.32916666667</v>
      </c>
      <c r="L245" s="32" t="s">
        <v>552</v>
      </c>
    </row>
    <row r="246" spans="1:12">
      <c r="A246" s="184">
        <v>245</v>
      </c>
      <c r="B246" s="127">
        <v>42860</v>
      </c>
      <c r="C246" s="184" t="s">
        <v>4486</v>
      </c>
      <c r="D246" s="184" t="s">
        <v>275</v>
      </c>
      <c r="E246" s="184" t="s">
        <v>30</v>
      </c>
      <c r="F246" s="184" t="s">
        <v>108</v>
      </c>
      <c r="G246" s="184" t="s">
        <v>10</v>
      </c>
      <c r="H246" s="184"/>
      <c r="I246" s="185">
        <v>10000</v>
      </c>
      <c r="J246" s="184"/>
      <c r="K246" s="172">
        <v>42996.32916666667</v>
      </c>
      <c r="L246" s="32" t="s">
        <v>552</v>
      </c>
    </row>
    <row r="247" spans="1:12">
      <c r="A247" s="184">
        <v>246</v>
      </c>
      <c r="B247" s="127">
        <v>42866</v>
      </c>
      <c r="C247" s="184" t="s">
        <v>4487</v>
      </c>
      <c r="D247" s="184" t="s">
        <v>275</v>
      </c>
      <c r="E247" s="184" t="s">
        <v>30</v>
      </c>
      <c r="F247" s="184" t="s">
        <v>108</v>
      </c>
      <c r="G247" s="184" t="s">
        <v>10</v>
      </c>
      <c r="H247" s="184"/>
      <c r="I247" s="185">
        <v>1500</v>
      </c>
      <c r="J247" s="184"/>
      <c r="K247" s="172">
        <v>42996.32916666667</v>
      </c>
      <c r="L247" s="32" t="s">
        <v>552</v>
      </c>
    </row>
    <row r="248" spans="1:12">
      <c r="A248" s="184">
        <v>247</v>
      </c>
      <c r="B248" s="127">
        <v>42866</v>
      </c>
      <c r="C248" s="184" t="s">
        <v>4488</v>
      </c>
      <c r="D248" s="184" t="s">
        <v>275</v>
      </c>
      <c r="E248" s="184" t="s">
        <v>30</v>
      </c>
      <c r="F248" s="184" t="s">
        <v>108</v>
      </c>
      <c r="G248" s="184" t="s">
        <v>10</v>
      </c>
      <c r="H248" s="184"/>
      <c r="I248" s="185">
        <v>4000</v>
      </c>
      <c r="J248" s="184"/>
      <c r="K248" s="172">
        <v>42996.32916666667</v>
      </c>
      <c r="L248" s="32" t="s">
        <v>552</v>
      </c>
    </row>
    <row r="249" spans="1:12">
      <c r="A249" s="184">
        <v>248</v>
      </c>
      <c r="B249" s="127">
        <v>42866</v>
      </c>
      <c r="C249" s="184" t="s">
        <v>4489</v>
      </c>
      <c r="D249" s="184" t="s">
        <v>275</v>
      </c>
      <c r="E249" s="184" t="s">
        <v>30</v>
      </c>
      <c r="F249" s="184" t="s">
        <v>108</v>
      </c>
      <c r="G249" s="184" t="s">
        <v>10</v>
      </c>
      <c r="H249" s="184"/>
      <c r="I249" s="185">
        <v>3500</v>
      </c>
      <c r="J249" s="184"/>
      <c r="K249" s="172">
        <v>42996.32916666667</v>
      </c>
      <c r="L249" s="32" t="s">
        <v>552</v>
      </c>
    </row>
    <row r="250" spans="1:12">
      <c r="A250" s="184">
        <v>249</v>
      </c>
      <c r="B250" s="127">
        <v>42866</v>
      </c>
      <c r="C250" s="184" t="s">
        <v>4490</v>
      </c>
      <c r="D250" s="184" t="s">
        <v>275</v>
      </c>
      <c r="E250" s="184" t="s">
        <v>30</v>
      </c>
      <c r="F250" s="184" t="s">
        <v>108</v>
      </c>
      <c r="G250" s="184" t="s">
        <v>10</v>
      </c>
      <c r="H250" s="184"/>
      <c r="I250" s="185">
        <v>3000</v>
      </c>
      <c r="J250" s="184"/>
      <c r="K250" s="172">
        <v>42996.32916666667</v>
      </c>
      <c r="L250" s="32" t="s">
        <v>552</v>
      </c>
    </row>
    <row r="251" spans="1:12">
      <c r="A251" s="184">
        <v>250</v>
      </c>
      <c r="B251" s="127">
        <v>42866</v>
      </c>
      <c r="C251" s="184" t="s">
        <v>4491</v>
      </c>
      <c r="D251" s="184" t="s">
        <v>275</v>
      </c>
      <c r="E251" s="184" t="s">
        <v>30</v>
      </c>
      <c r="F251" s="184" t="s">
        <v>108</v>
      </c>
      <c r="G251" s="184" t="s">
        <v>10</v>
      </c>
      <c r="H251" s="184"/>
      <c r="I251" s="185">
        <v>5000</v>
      </c>
      <c r="J251" s="184"/>
      <c r="K251" s="172">
        <v>42996.32916666667</v>
      </c>
      <c r="L251" s="32" t="s">
        <v>552</v>
      </c>
    </row>
    <row r="252" spans="1:12">
      <c r="A252" s="184">
        <v>251</v>
      </c>
      <c r="B252" s="127">
        <v>42866</v>
      </c>
      <c r="C252" s="184" t="s">
        <v>4492</v>
      </c>
      <c r="D252" s="184" t="s">
        <v>275</v>
      </c>
      <c r="E252" s="184" t="s">
        <v>30</v>
      </c>
      <c r="F252" s="184" t="s">
        <v>108</v>
      </c>
      <c r="G252" s="184" t="s">
        <v>10</v>
      </c>
      <c r="H252" s="184"/>
      <c r="I252" s="185">
        <v>5000</v>
      </c>
      <c r="J252" s="184"/>
      <c r="K252" s="172">
        <v>42996.32916666667</v>
      </c>
      <c r="L252" s="32" t="s">
        <v>552</v>
      </c>
    </row>
    <row r="253" spans="1:12">
      <c r="A253" s="184">
        <v>252</v>
      </c>
      <c r="B253" s="127">
        <v>42866</v>
      </c>
      <c r="C253" s="184" t="s">
        <v>4493</v>
      </c>
      <c r="D253" s="184" t="s">
        <v>275</v>
      </c>
      <c r="E253" s="184" t="s">
        <v>30</v>
      </c>
      <c r="F253" s="184" t="s">
        <v>108</v>
      </c>
      <c r="G253" s="184" t="s">
        <v>10</v>
      </c>
      <c r="H253" s="184"/>
      <c r="I253" s="185">
        <v>8500</v>
      </c>
      <c r="J253" s="184"/>
      <c r="K253" s="172">
        <v>42996.32916666667</v>
      </c>
      <c r="L253" s="32" t="s">
        <v>552</v>
      </c>
    </row>
    <row r="254" spans="1:12">
      <c r="A254" s="184">
        <v>253</v>
      </c>
      <c r="B254" s="127">
        <v>42867</v>
      </c>
      <c r="C254" s="184" t="s">
        <v>4494</v>
      </c>
      <c r="D254" s="184" t="s">
        <v>275</v>
      </c>
      <c r="E254" s="184" t="s">
        <v>30</v>
      </c>
      <c r="F254" s="184" t="s">
        <v>108</v>
      </c>
      <c r="G254" s="184" t="s">
        <v>10</v>
      </c>
      <c r="H254" s="184"/>
      <c r="I254" s="185">
        <v>2000</v>
      </c>
      <c r="J254" s="184"/>
      <c r="K254" s="172">
        <v>42996.32916666667</v>
      </c>
      <c r="L254" s="32" t="s">
        <v>552</v>
      </c>
    </row>
    <row r="255" spans="1:12">
      <c r="A255" s="184">
        <v>254</v>
      </c>
      <c r="B255" s="127">
        <v>42867</v>
      </c>
      <c r="C255" s="184" t="s">
        <v>4495</v>
      </c>
      <c r="D255" s="184" t="s">
        <v>275</v>
      </c>
      <c r="E255" s="184" t="s">
        <v>30</v>
      </c>
      <c r="F255" s="184" t="s">
        <v>108</v>
      </c>
      <c r="G255" s="184" t="s">
        <v>10</v>
      </c>
      <c r="H255" s="184"/>
      <c r="I255" s="185">
        <v>3500</v>
      </c>
      <c r="J255" s="184"/>
      <c r="K255" s="172">
        <v>42996.32916666667</v>
      </c>
      <c r="L255" s="32" t="s">
        <v>552</v>
      </c>
    </row>
    <row r="256" spans="1:12">
      <c r="A256" s="184">
        <v>255</v>
      </c>
      <c r="B256" s="127">
        <v>42875</v>
      </c>
      <c r="C256" s="184" t="s">
        <v>4496</v>
      </c>
      <c r="D256" s="184" t="s">
        <v>275</v>
      </c>
      <c r="E256" s="184" t="s">
        <v>30</v>
      </c>
      <c r="F256" s="184" t="s">
        <v>108</v>
      </c>
      <c r="G256" s="184" t="s">
        <v>10</v>
      </c>
      <c r="H256" s="184"/>
      <c r="I256" s="185">
        <v>2000</v>
      </c>
      <c r="J256" s="184"/>
      <c r="K256" s="172">
        <v>42996.32916666667</v>
      </c>
      <c r="L256" s="32" t="s">
        <v>552</v>
      </c>
    </row>
    <row r="257" spans="1:12">
      <c r="A257" s="184">
        <v>256</v>
      </c>
      <c r="B257" s="127">
        <v>42880</v>
      </c>
      <c r="C257" s="184" t="s">
        <v>4497</v>
      </c>
      <c r="D257" s="184" t="s">
        <v>275</v>
      </c>
      <c r="E257" s="184" t="s">
        <v>30</v>
      </c>
      <c r="F257" s="184" t="s">
        <v>108</v>
      </c>
      <c r="G257" s="184" t="s">
        <v>10</v>
      </c>
      <c r="H257" s="184"/>
      <c r="I257" s="185">
        <v>2000</v>
      </c>
      <c r="J257" s="184"/>
      <c r="K257" s="172">
        <v>42996.32916666667</v>
      </c>
      <c r="L257" s="32" t="s">
        <v>552</v>
      </c>
    </row>
    <row r="258" spans="1:12">
      <c r="A258" s="184">
        <v>257</v>
      </c>
      <c r="B258" s="127">
        <v>42884</v>
      </c>
      <c r="C258" s="184" t="s">
        <v>4498</v>
      </c>
      <c r="D258" s="184" t="s">
        <v>275</v>
      </c>
      <c r="E258" s="184" t="s">
        <v>30</v>
      </c>
      <c r="F258" s="184" t="s">
        <v>108</v>
      </c>
      <c r="G258" s="184" t="s">
        <v>10</v>
      </c>
      <c r="H258" s="184"/>
      <c r="I258" s="185">
        <v>2000</v>
      </c>
      <c r="J258" s="184"/>
      <c r="K258" s="172">
        <v>42996.32916666667</v>
      </c>
      <c r="L258" s="32" t="s">
        <v>552</v>
      </c>
    </row>
    <row r="259" spans="1:12">
      <c r="A259" s="184">
        <v>258</v>
      </c>
      <c r="B259" s="127">
        <v>42885</v>
      </c>
      <c r="C259" s="184" t="s">
        <v>4499</v>
      </c>
      <c r="D259" s="184" t="s">
        <v>275</v>
      </c>
      <c r="E259" s="184" t="s">
        <v>30</v>
      </c>
      <c r="F259" s="184" t="s">
        <v>108</v>
      </c>
      <c r="G259" s="184" t="s">
        <v>10</v>
      </c>
      <c r="H259" s="184"/>
      <c r="I259" s="185">
        <v>5000</v>
      </c>
      <c r="J259" s="184"/>
      <c r="K259" s="172">
        <v>42996.32916666667</v>
      </c>
      <c r="L259" s="32" t="s">
        <v>552</v>
      </c>
    </row>
    <row r="260" spans="1:12">
      <c r="A260" s="184">
        <v>259</v>
      </c>
      <c r="B260" s="127">
        <v>42885</v>
      </c>
      <c r="C260" s="184" t="s">
        <v>757</v>
      </c>
      <c r="D260" s="184" t="s">
        <v>275</v>
      </c>
      <c r="E260" s="184" t="s">
        <v>30</v>
      </c>
      <c r="F260" s="184" t="s">
        <v>108</v>
      </c>
      <c r="G260" s="184" t="s">
        <v>10</v>
      </c>
      <c r="H260" s="184"/>
      <c r="I260" s="185">
        <v>15000</v>
      </c>
      <c r="J260" s="184"/>
      <c r="K260" s="172">
        <v>42996.32916666667</v>
      </c>
      <c r="L260" s="32" t="s">
        <v>552</v>
      </c>
    </row>
    <row r="261" spans="1:12">
      <c r="A261" s="184">
        <v>260</v>
      </c>
      <c r="B261" s="127">
        <v>42885</v>
      </c>
      <c r="C261" s="184" t="s">
        <v>4500</v>
      </c>
      <c r="D261" s="184" t="s">
        <v>275</v>
      </c>
      <c r="E261" s="184" t="s">
        <v>30</v>
      </c>
      <c r="F261" s="184" t="s">
        <v>108</v>
      </c>
      <c r="G261" s="184" t="s">
        <v>10</v>
      </c>
      <c r="H261" s="184"/>
      <c r="I261" s="185">
        <v>5000</v>
      </c>
      <c r="J261" s="184"/>
      <c r="K261" s="172">
        <v>42996.32916666667</v>
      </c>
      <c r="L261" s="32" t="s">
        <v>552</v>
      </c>
    </row>
    <row r="262" spans="1:12">
      <c r="A262" s="184">
        <v>261</v>
      </c>
      <c r="B262" s="127">
        <v>42885</v>
      </c>
      <c r="C262" s="184" t="s">
        <v>751</v>
      </c>
      <c r="D262" s="184" t="s">
        <v>275</v>
      </c>
      <c r="E262" s="184" t="s">
        <v>30</v>
      </c>
      <c r="F262" s="184" t="s">
        <v>108</v>
      </c>
      <c r="G262" s="184" t="s">
        <v>10</v>
      </c>
      <c r="H262" s="184"/>
      <c r="I262" s="185">
        <v>5000</v>
      </c>
      <c r="J262" s="184"/>
      <c r="K262" s="172">
        <v>42996.32916666667</v>
      </c>
      <c r="L262" s="32" t="s">
        <v>552</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sheetPr codeName="Sheet6"/>
  <dimension ref="A1:BT3"/>
  <sheetViews>
    <sheetView zoomScaleNormal="100" workbookViewId="0">
      <pane ySplit="1" topLeftCell="A2" activePane="bottomLeft" state="frozen"/>
      <selection pane="bottomLeft" activeCell="A2" sqref="A2"/>
    </sheetView>
  </sheetViews>
  <sheetFormatPr defaultRowHeight="15"/>
  <cols>
    <col min="1" max="1" width="8.7109375" bestFit="1" customWidth="1"/>
    <col min="2" max="2" width="11.7109375" bestFit="1" customWidth="1"/>
    <col min="3" max="3" width="11" bestFit="1" customWidth="1"/>
    <col min="4" max="4" width="13" bestFit="1" customWidth="1"/>
    <col min="5" max="5" width="13.5703125" bestFit="1" customWidth="1"/>
    <col min="6" max="6" width="24.28515625" bestFit="1" customWidth="1"/>
    <col min="7" max="7" width="18.5703125" bestFit="1" customWidth="1"/>
    <col min="8" max="8" width="14.42578125" bestFit="1" customWidth="1"/>
    <col min="9" max="9" width="13.5703125" bestFit="1" customWidth="1"/>
    <col min="10" max="10" width="7.42578125" bestFit="1" customWidth="1"/>
    <col min="11" max="11" width="10" bestFit="1" customWidth="1"/>
    <col min="12" max="12" width="17.140625" bestFit="1" customWidth="1"/>
    <col min="13" max="13" width="11.5703125" bestFit="1" customWidth="1"/>
    <col min="14" max="14" width="12.85546875" bestFit="1" customWidth="1"/>
    <col min="15" max="15" width="13" bestFit="1" customWidth="1"/>
    <col min="16" max="16" width="11.7109375" bestFit="1" customWidth="1"/>
    <col min="17" max="17" width="15.28515625" bestFit="1" customWidth="1"/>
    <col min="18" max="18" width="11.42578125" bestFit="1" customWidth="1"/>
    <col min="19" max="19" width="12.85546875" bestFit="1" customWidth="1"/>
    <col min="20" max="20" width="13" bestFit="1" customWidth="1"/>
    <col min="21" max="21" width="21.7109375" bestFit="1" customWidth="1"/>
    <col min="22" max="22" width="12.5703125" bestFit="1" customWidth="1"/>
    <col min="23" max="23" width="14.85546875" bestFit="1" customWidth="1"/>
    <col min="24" max="24" width="17.7109375" bestFit="1" customWidth="1"/>
    <col min="25" max="25" width="11.7109375" bestFit="1" customWidth="1"/>
    <col min="26" max="26" width="17.28515625" bestFit="1" customWidth="1"/>
    <col min="27" max="27" width="12.85546875" bestFit="1" customWidth="1"/>
    <col min="28" max="28" width="10.28515625" bestFit="1" customWidth="1"/>
    <col min="29" max="29" width="27.28515625" bestFit="1" customWidth="1"/>
    <col min="30" max="30" width="17.7109375" bestFit="1" customWidth="1"/>
    <col min="31" max="31" width="28.140625" bestFit="1" customWidth="1"/>
    <col min="32" max="32" width="19.28515625" bestFit="1" customWidth="1"/>
    <col min="35" max="35" width="11.7109375" bestFit="1" customWidth="1"/>
    <col min="36" max="36" width="7.85546875" bestFit="1" customWidth="1"/>
    <col min="37" max="37" width="12.85546875" bestFit="1" customWidth="1"/>
    <col min="38" max="38" width="13" bestFit="1" customWidth="1"/>
    <col min="39" max="39" width="21.7109375" bestFit="1" customWidth="1"/>
    <col min="40" max="40" width="12.5703125" bestFit="1" customWidth="1"/>
    <col min="41" max="41" width="14.85546875" bestFit="1" customWidth="1"/>
    <col min="42" max="42" width="17.7109375" bestFit="1" customWidth="1"/>
    <col min="43" max="43" width="11.7109375" bestFit="1" customWidth="1"/>
    <col min="44" max="44" width="17.28515625" bestFit="1" customWidth="1"/>
    <col min="45" max="45" width="17.85546875" bestFit="1" customWidth="1"/>
    <col min="46" max="46" width="13.5703125" bestFit="1" customWidth="1"/>
    <col min="47" max="47" width="7.42578125" bestFit="1" customWidth="1"/>
    <col min="48" max="48" width="10" bestFit="1" customWidth="1"/>
    <col min="49" max="49" width="11.5703125" bestFit="1" customWidth="1"/>
    <col min="50" max="50" width="12.85546875" bestFit="1" customWidth="1"/>
    <col min="51" max="51" width="13" bestFit="1" customWidth="1"/>
    <col min="52" max="52" width="11.7109375" bestFit="1" customWidth="1"/>
    <col min="53" max="53" width="27.28515625" bestFit="1" customWidth="1"/>
    <col min="54" max="54" width="17.7109375" bestFit="1" customWidth="1"/>
    <col min="55" max="55" width="28.140625" bestFit="1" customWidth="1"/>
    <col min="56" max="56" width="19.28515625" bestFit="1" customWidth="1"/>
    <col min="59" max="59" width="8.7109375" bestFit="1" customWidth="1"/>
    <col min="60" max="60" width="12.85546875" bestFit="1" customWidth="1"/>
    <col min="61" max="62" width="14" bestFit="1" customWidth="1"/>
    <col min="63" max="63" width="11" bestFit="1" customWidth="1"/>
    <col min="64" max="64" width="7.42578125" bestFit="1" customWidth="1"/>
    <col min="65" max="65" width="13" bestFit="1" customWidth="1"/>
    <col min="66" max="66" width="21.7109375" bestFit="1" customWidth="1"/>
    <col min="67" max="67" width="12.5703125" bestFit="1" customWidth="1"/>
    <col min="68" max="68" width="11.42578125" bestFit="1" customWidth="1"/>
    <col min="69" max="69" width="32.140625" bestFit="1" customWidth="1"/>
    <col min="70" max="70" width="17.7109375" bestFit="1" customWidth="1"/>
    <col min="71" max="71" width="31.140625" bestFit="1" customWidth="1"/>
    <col min="72" max="72" width="19.28515625" bestFit="1" customWidth="1"/>
  </cols>
  <sheetData>
    <row r="1" spans="1:72">
      <c r="A1" s="14" t="s">
        <v>139</v>
      </c>
      <c r="B1" s="14" t="s">
        <v>140</v>
      </c>
      <c r="C1" s="15" t="s">
        <v>141</v>
      </c>
      <c r="D1" s="16" t="s">
        <v>142</v>
      </c>
      <c r="E1" s="17" t="s">
        <v>143</v>
      </c>
      <c r="F1" s="18" t="s">
        <v>144</v>
      </c>
      <c r="G1" s="18" t="s">
        <v>145</v>
      </c>
      <c r="H1" s="18" t="s">
        <v>146</v>
      </c>
      <c r="I1" s="18" t="s">
        <v>147</v>
      </c>
      <c r="J1" s="18" t="s">
        <v>10</v>
      </c>
      <c r="K1" s="18" t="s">
        <v>12</v>
      </c>
      <c r="L1" s="18" t="s">
        <v>148</v>
      </c>
      <c r="M1" s="18" t="s">
        <v>13</v>
      </c>
      <c r="N1" s="18" t="s">
        <v>149</v>
      </c>
      <c r="O1" s="18" t="s">
        <v>16</v>
      </c>
      <c r="P1" s="18" t="s">
        <v>18</v>
      </c>
      <c r="Q1" s="18" t="s">
        <v>150</v>
      </c>
      <c r="R1" s="18" t="s">
        <v>151</v>
      </c>
      <c r="S1" s="19" t="s">
        <v>152</v>
      </c>
      <c r="T1" s="19" t="s">
        <v>153</v>
      </c>
      <c r="U1" s="19" t="s">
        <v>154</v>
      </c>
      <c r="V1" s="19" t="s">
        <v>155</v>
      </c>
      <c r="W1" s="19" t="s">
        <v>156</v>
      </c>
      <c r="X1" s="19" t="s">
        <v>157</v>
      </c>
      <c r="Y1" s="19" t="s">
        <v>158</v>
      </c>
      <c r="Z1" s="19" t="s">
        <v>160</v>
      </c>
      <c r="AA1" s="28" t="s">
        <v>330</v>
      </c>
      <c r="AB1" s="28" t="s">
        <v>161</v>
      </c>
      <c r="AC1" s="34" t="s">
        <v>334</v>
      </c>
      <c r="AD1" s="26" t="s">
        <v>333</v>
      </c>
      <c r="AE1" s="34" t="s">
        <v>487</v>
      </c>
      <c r="AF1" s="26" t="s">
        <v>488</v>
      </c>
      <c r="AI1" s="14" t="s">
        <v>140</v>
      </c>
      <c r="AJ1" s="14" t="s">
        <v>332</v>
      </c>
      <c r="AK1" s="19" t="s">
        <v>152</v>
      </c>
      <c r="AL1" s="19" t="s">
        <v>153</v>
      </c>
      <c r="AM1" s="19" t="s">
        <v>154</v>
      </c>
      <c r="AN1" s="19" t="s">
        <v>155</v>
      </c>
      <c r="AO1" s="19" t="s">
        <v>156</v>
      </c>
      <c r="AP1" s="19" t="s">
        <v>157</v>
      </c>
      <c r="AQ1" s="19" t="s">
        <v>158</v>
      </c>
      <c r="AR1" s="19" t="s">
        <v>160</v>
      </c>
      <c r="AS1" s="19" t="s">
        <v>159</v>
      </c>
      <c r="AT1" s="18" t="s">
        <v>147</v>
      </c>
      <c r="AU1" s="18" t="s">
        <v>10</v>
      </c>
      <c r="AV1" s="18" t="s">
        <v>12</v>
      </c>
      <c r="AW1" s="18" t="s">
        <v>13</v>
      </c>
      <c r="AX1" s="18" t="s">
        <v>149</v>
      </c>
      <c r="AY1" s="18" t="s">
        <v>16</v>
      </c>
      <c r="AZ1" s="18" t="s">
        <v>18</v>
      </c>
      <c r="BA1" s="34" t="s">
        <v>334</v>
      </c>
      <c r="BB1" s="26" t="s">
        <v>333</v>
      </c>
      <c r="BC1" s="34" t="s">
        <v>487</v>
      </c>
      <c r="BD1" s="26" t="s">
        <v>488</v>
      </c>
      <c r="BG1" s="14" t="s">
        <v>139</v>
      </c>
      <c r="BH1" s="19" t="s">
        <v>152</v>
      </c>
      <c r="BI1" s="18" t="s">
        <v>317</v>
      </c>
      <c r="BJ1" s="18" t="s">
        <v>318</v>
      </c>
      <c r="BK1" s="18" t="s">
        <v>319</v>
      </c>
      <c r="BL1" s="18" t="s">
        <v>10</v>
      </c>
      <c r="BM1" s="19" t="s">
        <v>153</v>
      </c>
      <c r="BN1" s="19" t="s">
        <v>154</v>
      </c>
      <c r="BO1" s="19" t="s">
        <v>155</v>
      </c>
      <c r="BP1" s="19" t="s">
        <v>151</v>
      </c>
      <c r="BQ1" s="34" t="s">
        <v>334</v>
      </c>
      <c r="BR1" s="26" t="s">
        <v>333</v>
      </c>
      <c r="BS1" s="34" t="s">
        <v>487</v>
      </c>
      <c r="BT1" s="26" t="s">
        <v>488</v>
      </c>
    </row>
    <row r="2" spans="1:72">
      <c r="A2" s="191">
        <v>1</v>
      </c>
      <c r="B2" s="191" t="s">
        <v>911</v>
      </c>
      <c r="C2" s="191" t="s">
        <v>598</v>
      </c>
      <c r="D2" s="127">
        <v>42905</v>
      </c>
      <c r="E2" s="127" t="s">
        <v>598</v>
      </c>
      <c r="F2" s="191" t="s">
        <v>912</v>
      </c>
      <c r="G2" s="190">
        <v>0</v>
      </c>
      <c r="H2" s="191" t="s">
        <v>598</v>
      </c>
      <c r="I2" s="191" t="s">
        <v>598</v>
      </c>
      <c r="J2" s="191" t="s">
        <v>84</v>
      </c>
      <c r="K2" s="191" t="s">
        <v>216</v>
      </c>
      <c r="L2" s="191" t="s">
        <v>598</v>
      </c>
      <c r="M2" s="191" t="s">
        <v>598</v>
      </c>
      <c r="N2" s="191" t="s">
        <v>63</v>
      </c>
      <c r="O2" s="191" t="s">
        <v>86</v>
      </c>
      <c r="P2" s="191" t="s">
        <v>67</v>
      </c>
      <c r="Q2" s="191" t="s">
        <v>598</v>
      </c>
      <c r="R2" s="191" t="s">
        <v>598</v>
      </c>
      <c r="S2" s="127">
        <v>42907</v>
      </c>
      <c r="T2" s="191" t="s">
        <v>34</v>
      </c>
      <c r="U2" s="191" t="s">
        <v>598</v>
      </c>
      <c r="V2" s="190">
        <v>5000</v>
      </c>
      <c r="W2" s="191" t="s">
        <v>493</v>
      </c>
      <c r="X2" s="191" t="s">
        <v>598</v>
      </c>
      <c r="Y2" s="190">
        <v>0</v>
      </c>
      <c r="Z2" s="191" t="s">
        <v>598</v>
      </c>
      <c r="AA2" s="21" t="s">
        <v>610</v>
      </c>
      <c r="AB2" s="176" t="s">
        <v>489</v>
      </c>
      <c r="AC2" s="172">
        <v>43021.50105324074</v>
      </c>
      <c r="AD2" s="32" t="s">
        <v>98</v>
      </c>
      <c r="AE2" s="192">
        <v>43021.508171296293</v>
      </c>
      <c r="AF2" t="s">
        <v>552</v>
      </c>
      <c r="AI2" s="191" t="s">
        <v>911</v>
      </c>
      <c r="AJ2" s="191" t="s">
        <v>3777</v>
      </c>
      <c r="AK2" s="127">
        <v>42907</v>
      </c>
      <c r="AL2" s="191" t="s">
        <v>34</v>
      </c>
      <c r="AM2" s="191" t="s">
        <v>598</v>
      </c>
      <c r="AN2" s="190">
        <v>5000</v>
      </c>
      <c r="AO2" s="191" t="s">
        <v>493</v>
      </c>
      <c r="AP2" s="191" t="s">
        <v>598</v>
      </c>
      <c r="AQ2" s="190">
        <v>0</v>
      </c>
      <c r="AR2" s="191" t="s">
        <v>598</v>
      </c>
      <c r="AS2" s="127">
        <v>42905</v>
      </c>
      <c r="AT2" s="191" t="s">
        <v>598</v>
      </c>
      <c r="AU2" s="191" t="s">
        <v>84</v>
      </c>
      <c r="AV2" s="191" t="s">
        <v>216</v>
      </c>
      <c r="AW2" s="191" t="s">
        <v>598</v>
      </c>
      <c r="AX2" s="191" t="s">
        <v>63</v>
      </c>
      <c r="AY2" s="191" t="s">
        <v>86</v>
      </c>
      <c r="AZ2" s="191" t="s">
        <v>598</v>
      </c>
      <c r="BA2" s="172">
        <v>43021.50105324074</v>
      </c>
      <c r="BB2" s="32" t="s">
        <v>98</v>
      </c>
      <c r="BC2" s="192">
        <v>43021.508171296293</v>
      </c>
      <c r="BD2" t="s">
        <v>552</v>
      </c>
    </row>
    <row r="3" spans="1:72">
      <c r="AI3" s="191" t="s">
        <v>911</v>
      </c>
      <c r="AJ3" s="191" t="s">
        <v>4501</v>
      </c>
      <c r="AK3" s="127">
        <v>43021</v>
      </c>
      <c r="AL3" s="191" t="s">
        <v>10</v>
      </c>
      <c r="AM3" s="191"/>
      <c r="AN3" s="190">
        <v>50000</v>
      </c>
      <c r="AO3" s="191" t="s">
        <v>493</v>
      </c>
      <c r="AP3" s="191"/>
      <c r="AQ3" s="190"/>
      <c r="AR3" s="191"/>
      <c r="AS3" s="127">
        <v>42905</v>
      </c>
      <c r="AT3" s="191" t="s">
        <v>598</v>
      </c>
      <c r="AU3" s="191" t="s">
        <v>84</v>
      </c>
      <c r="AV3" s="191" t="s">
        <v>216</v>
      </c>
      <c r="AW3" s="191" t="s">
        <v>598</v>
      </c>
      <c r="AX3" s="191" t="s">
        <v>63</v>
      </c>
      <c r="AY3" s="191" t="s">
        <v>86</v>
      </c>
      <c r="AZ3" s="191" t="s">
        <v>67</v>
      </c>
      <c r="BA3" s="172">
        <v>43021.50105324074</v>
      </c>
      <c r="BB3" s="32" t="s">
        <v>98</v>
      </c>
      <c r="BC3" s="192">
        <v>43021.508171296293</v>
      </c>
      <c r="BD3" t="s">
        <v>552</v>
      </c>
    </row>
  </sheetData>
  <conditionalFormatting sqref="B1">
    <cfRule type="duplicateValues" dxfId="14" priority="84"/>
  </conditionalFormatting>
  <conditionalFormatting sqref="B2">
    <cfRule type="duplicateValues" dxfId="13" priority="1"/>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sheetPr codeName="Sheet7"/>
  <dimension ref="A1:DN1634"/>
  <sheetViews>
    <sheetView showGridLines="0" showRowColHeaders="0" zoomScaleNormal="100" workbookViewId="0">
      <selection activeCell="E25" sqref="E25"/>
    </sheetView>
  </sheetViews>
  <sheetFormatPr defaultRowHeight="15"/>
  <cols>
    <col min="1" max="1" width="13.7109375" bestFit="1" customWidth="1"/>
    <col min="2" max="2" width="15" bestFit="1" customWidth="1"/>
    <col min="3" max="3" width="25.28515625" bestFit="1" customWidth="1"/>
    <col min="4" max="4" width="16.28515625" style="21" bestFit="1" customWidth="1"/>
    <col min="5" max="5" width="14.140625" bestFit="1" customWidth="1"/>
    <col min="6" max="6" width="13.7109375" bestFit="1" customWidth="1"/>
    <col min="7" max="8" width="22.42578125" bestFit="1" customWidth="1"/>
    <col min="9" max="9" width="13.42578125" customWidth="1"/>
    <col min="10" max="10" width="13.7109375" bestFit="1" customWidth="1"/>
    <col min="11" max="11" width="9" bestFit="1" customWidth="1"/>
    <col min="12" max="12" width="11.42578125" bestFit="1" customWidth="1"/>
    <col min="13" max="13" width="9.42578125" bestFit="1" customWidth="1"/>
    <col min="14" max="14" width="10.5703125" bestFit="1" customWidth="1"/>
    <col min="15" max="15" width="9.7109375" bestFit="1" customWidth="1"/>
    <col min="16" max="16" width="9" bestFit="1" customWidth="1"/>
    <col min="17" max="17" width="6.140625" bestFit="1" customWidth="1"/>
    <col min="18" max="18" width="18.85546875" bestFit="1" customWidth="1"/>
    <col min="19" max="19" width="8.140625" bestFit="1" customWidth="1"/>
    <col min="20" max="20" width="13.7109375" bestFit="1" customWidth="1"/>
    <col min="21" max="21" width="10.140625" bestFit="1" customWidth="1"/>
    <col min="22" max="22" width="33" bestFit="1" customWidth="1"/>
    <col min="23" max="23" width="14.42578125" bestFit="1" customWidth="1"/>
    <col min="24" max="24" width="11.140625" bestFit="1" customWidth="1"/>
    <col min="25" max="25" width="14.42578125" bestFit="1" customWidth="1"/>
    <col min="26" max="26" width="9.5703125" bestFit="1" customWidth="1"/>
    <col min="27" max="27" width="23.28515625" bestFit="1" customWidth="1"/>
    <col min="28" max="28" width="12" bestFit="1" customWidth="1"/>
    <col min="29" max="29" width="14" bestFit="1" customWidth="1"/>
    <col min="30" max="30" width="9.5703125" bestFit="1" customWidth="1"/>
    <col min="31" max="31" width="12.42578125" bestFit="1" customWidth="1"/>
    <col min="32" max="32" width="9" bestFit="1" customWidth="1"/>
    <col min="33" max="33" width="11.42578125" bestFit="1" customWidth="1"/>
    <col min="34" max="34" width="8.5703125" bestFit="1" customWidth="1"/>
    <col min="35" max="35" width="10.140625" bestFit="1" customWidth="1"/>
    <col min="36" max="36" width="9.42578125" bestFit="1" customWidth="1"/>
    <col min="37" max="37" width="16.140625" bestFit="1" customWidth="1"/>
    <col min="38" max="38" width="9.42578125" bestFit="1" customWidth="1"/>
    <col min="39" max="39" width="14.28515625" bestFit="1" customWidth="1"/>
    <col min="40" max="40" width="13.5703125" bestFit="1" customWidth="1"/>
    <col min="41" max="41" width="9.42578125" bestFit="1" customWidth="1"/>
    <col min="42" max="42" width="13.42578125" bestFit="1" customWidth="1"/>
    <col min="43" max="43" width="9.42578125" bestFit="1" customWidth="1"/>
    <col min="44" max="44" width="13.42578125" bestFit="1" customWidth="1"/>
    <col min="45" max="45" width="15" bestFit="1" customWidth="1"/>
    <col min="46" max="46" width="15.140625" bestFit="1" customWidth="1"/>
    <col min="47" max="47" width="11.5703125" bestFit="1" customWidth="1"/>
    <col min="48" max="48" width="8" bestFit="1" customWidth="1"/>
    <col min="49" max="49" width="13.7109375" bestFit="1" customWidth="1"/>
    <col min="50" max="50" width="22.42578125" bestFit="1" customWidth="1"/>
    <col min="51" max="51" width="13.42578125" bestFit="1" customWidth="1"/>
    <col min="52" max="52" width="12.140625" bestFit="1" customWidth="1"/>
    <col min="53" max="53" width="13.28515625" bestFit="1" customWidth="1"/>
    <col min="54" max="54" width="12.7109375" bestFit="1" customWidth="1"/>
    <col min="55" max="55" width="9.7109375" bestFit="1" customWidth="1"/>
    <col min="56" max="56" width="6.140625" bestFit="1" customWidth="1"/>
    <col min="57" max="57" width="19.140625" bestFit="1" customWidth="1"/>
    <col min="58" max="58" width="22.140625" bestFit="1" customWidth="1"/>
    <col min="59" max="59" width="10.140625" bestFit="1" customWidth="1"/>
    <col min="60" max="60" width="9.42578125" bestFit="1" customWidth="1"/>
    <col min="61" max="61" width="16.140625" bestFit="1" customWidth="1"/>
    <col min="62" max="62" width="9.42578125" bestFit="1" customWidth="1"/>
    <col min="63" max="63" width="18.5703125" bestFit="1" customWidth="1"/>
    <col min="64" max="64" width="13.5703125" bestFit="1" customWidth="1"/>
    <col min="65" max="65" width="9" bestFit="1" customWidth="1"/>
    <col min="66" max="66" width="12.7109375" bestFit="1" customWidth="1"/>
    <col min="67" max="67" width="13.28515625" bestFit="1" customWidth="1"/>
    <col min="68" max="68" width="16.42578125" bestFit="1" customWidth="1"/>
    <col min="69" max="69" width="9.5703125" bestFit="1" customWidth="1"/>
    <col min="70" max="70" width="26.140625" bestFit="1" customWidth="1"/>
    <col min="71" max="71" width="12.140625" bestFit="1" customWidth="1"/>
    <col min="72" max="72" width="9.5703125" bestFit="1" customWidth="1"/>
    <col min="73" max="73" width="12.42578125" bestFit="1" customWidth="1"/>
    <col min="74" max="74" width="9" bestFit="1" customWidth="1"/>
    <col min="75" max="75" width="9.42578125" bestFit="1" customWidth="1"/>
    <col min="76" max="76" width="16.140625" bestFit="1" customWidth="1"/>
    <col min="77" max="77" width="9.42578125" bestFit="1" customWidth="1"/>
    <col min="78" max="78" width="6.140625" bestFit="1" customWidth="1"/>
    <col min="79" max="79" width="10.140625" bestFit="1" customWidth="1"/>
    <col min="80" max="80" width="28.42578125" bestFit="1" customWidth="1"/>
    <col min="81" max="81" width="22.85546875" bestFit="1" customWidth="1"/>
    <col min="82" max="82" width="12.42578125" bestFit="1" customWidth="1"/>
    <col min="83" max="83" width="9.5703125" bestFit="1" customWidth="1"/>
    <col min="84" max="84" width="9.42578125" bestFit="1" customWidth="1"/>
    <col min="85" max="85" width="16.140625" bestFit="1" customWidth="1"/>
    <col min="86" max="86" width="9.42578125" bestFit="1" customWidth="1"/>
    <col min="87" max="87" width="9.5703125" bestFit="1" customWidth="1"/>
    <col min="88" max="89" width="9.42578125" bestFit="1" customWidth="1"/>
    <col min="90" max="90" width="16.140625" bestFit="1" customWidth="1"/>
    <col min="91" max="91" width="9.42578125" bestFit="1" customWidth="1"/>
    <col min="92" max="92" width="18.5703125" bestFit="1" customWidth="1"/>
    <col min="93" max="93" width="13.5703125" bestFit="1" customWidth="1"/>
    <col min="94" max="94" width="9" bestFit="1" customWidth="1"/>
    <col min="95" max="95" width="13.28515625" bestFit="1" customWidth="1"/>
    <col min="96" max="96" width="12.7109375" bestFit="1" customWidth="1"/>
    <col min="97" max="97" width="16.42578125" bestFit="1" customWidth="1"/>
    <col min="98" max="98" width="9.5703125" bestFit="1" customWidth="1"/>
    <col min="99" max="99" width="26.140625" bestFit="1" customWidth="1"/>
    <col min="100" max="100" width="12.140625" bestFit="1" customWidth="1"/>
    <col min="101" max="101" width="9.5703125" bestFit="1" customWidth="1"/>
    <col min="102" max="102" width="12.42578125" bestFit="1" customWidth="1"/>
    <col min="103" max="103" width="9" bestFit="1" customWidth="1"/>
    <col min="104" max="107" width="9" customWidth="1"/>
    <col min="108" max="108" width="9.42578125" bestFit="1" customWidth="1"/>
    <col min="109" max="109" width="13.42578125" bestFit="1" customWidth="1"/>
    <col min="110" max="110" width="31.85546875" bestFit="1" customWidth="1"/>
    <col min="111" max="111" width="24.85546875" bestFit="1" customWidth="1"/>
    <col min="112" max="112" width="13.7109375" bestFit="1" customWidth="1"/>
    <col min="113" max="113" width="10.85546875" bestFit="1" customWidth="1"/>
    <col min="114" max="114" width="13.7109375" bestFit="1" customWidth="1"/>
    <col min="115" max="115" width="22.42578125" bestFit="1" customWidth="1"/>
    <col min="116" max="116" width="13.42578125" bestFit="1" customWidth="1"/>
    <col min="117" max="117" width="12.140625" bestFit="1" customWidth="1"/>
  </cols>
  <sheetData>
    <row r="1" spans="1:118">
      <c r="A1" s="18" t="s">
        <v>142</v>
      </c>
      <c r="B1" s="18" t="s">
        <v>142</v>
      </c>
      <c r="C1" s="18" t="s">
        <v>144</v>
      </c>
      <c r="D1" s="18" t="s">
        <v>146</v>
      </c>
      <c r="E1" s="18" t="s">
        <v>147</v>
      </c>
      <c r="F1" s="18" t="s">
        <v>10</v>
      </c>
      <c r="G1" s="18" t="s">
        <v>12</v>
      </c>
      <c r="H1" s="18" t="s">
        <v>13</v>
      </c>
      <c r="I1" s="18" t="s">
        <v>149</v>
      </c>
      <c r="J1" s="18" t="s">
        <v>16</v>
      </c>
      <c r="K1" s="18" t="s">
        <v>18</v>
      </c>
      <c r="L1" s="18" t="s">
        <v>150</v>
      </c>
      <c r="M1" s="19" t="s">
        <v>153</v>
      </c>
      <c r="N1" s="19" t="s">
        <v>156</v>
      </c>
      <c r="Q1" s="14" t="s">
        <v>139</v>
      </c>
      <c r="R1" s="14" t="s">
        <v>140</v>
      </c>
      <c r="S1" s="15" t="s">
        <v>141</v>
      </c>
      <c r="T1" s="16" t="s">
        <v>142</v>
      </c>
      <c r="U1" s="16" t="s">
        <v>143</v>
      </c>
      <c r="V1" s="18" t="s">
        <v>144</v>
      </c>
      <c r="W1" s="18" t="s">
        <v>145</v>
      </c>
      <c r="X1" s="18" t="s">
        <v>146</v>
      </c>
      <c r="Y1" s="18" t="s">
        <v>147</v>
      </c>
      <c r="Z1" s="18" t="s">
        <v>10</v>
      </c>
      <c r="AA1" s="18" t="s">
        <v>12</v>
      </c>
      <c r="AB1" s="18" t="s">
        <v>148</v>
      </c>
      <c r="AC1" s="18" t="s">
        <v>13</v>
      </c>
      <c r="AD1" s="18" t="s">
        <v>149</v>
      </c>
      <c r="AE1" s="18" t="s">
        <v>16</v>
      </c>
      <c r="AF1" s="18" t="s">
        <v>18</v>
      </c>
      <c r="AG1" s="18" t="s">
        <v>150</v>
      </c>
      <c r="AH1" s="18" t="s">
        <v>151</v>
      </c>
      <c r="AI1" s="19" t="s">
        <v>152</v>
      </c>
      <c r="AJ1" s="19" t="s">
        <v>153</v>
      </c>
      <c r="AK1" s="19" t="s">
        <v>154</v>
      </c>
      <c r="AL1" s="19" t="s">
        <v>155</v>
      </c>
      <c r="AM1" s="19" t="s">
        <v>156</v>
      </c>
      <c r="AQ1" s="14" t="s">
        <v>139</v>
      </c>
      <c r="AR1" s="19" t="s">
        <v>152</v>
      </c>
      <c r="AS1" s="18" t="s">
        <v>317</v>
      </c>
      <c r="AT1" s="18" t="s">
        <v>318</v>
      </c>
      <c r="AU1" s="18" t="s">
        <v>319</v>
      </c>
      <c r="AV1" s="18" t="s">
        <v>10</v>
      </c>
      <c r="AW1" s="19" t="s">
        <v>153</v>
      </c>
      <c r="AX1" s="19" t="s">
        <v>154</v>
      </c>
      <c r="AY1" s="19" t="s">
        <v>155</v>
      </c>
      <c r="AZ1" s="19" t="s">
        <v>151</v>
      </c>
      <c r="BE1" s="14" t="s">
        <v>140</v>
      </c>
      <c r="BF1" s="14" t="s">
        <v>332</v>
      </c>
      <c r="BG1" s="19" t="s">
        <v>152</v>
      </c>
      <c r="BH1" s="19" t="s">
        <v>153</v>
      </c>
      <c r="BI1" s="19" t="s">
        <v>154</v>
      </c>
      <c r="BJ1" s="19" t="s">
        <v>155</v>
      </c>
      <c r="BK1" s="19" t="s">
        <v>156</v>
      </c>
      <c r="BL1" s="19" t="s">
        <v>157</v>
      </c>
      <c r="BM1" s="19" t="s">
        <v>158</v>
      </c>
      <c r="BN1" s="19" t="s">
        <v>160</v>
      </c>
      <c r="BO1" s="19" t="s">
        <v>159</v>
      </c>
      <c r="BP1" s="18" t="s">
        <v>147</v>
      </c>
      <c r="BQ1" s="18" t="s">
        <v>10</v>
      </c>
      <c r="BR1" s="18" t="s">
        <v>12</v>
      </c>
      <c r="BS1" s="18" t="s">
        <v>13</v>
      </c>
      <c r="BT1" s="18" t="s">
        <v>149</v>
      </c>
      <c r="BU1" s="18" t="s">
        <v>16</v>
      </c>
      <c r="BV1" s="18" t="s">
        <v>18</v>
      </c>
      <c r="BZ1" s="14" t="s">
        <v>139</v>
      </c>
      <c r="CA1" s="19" t="s">
        <v>152</v>
      </c>
      <c r="CB1" s="18" t="s">
        <v>317</v>
      </c>
      <c r="CC1" s="18" t="s">
        <v>318</v>
      </c>
      <c r="CD1" s="18" t="s">
        <v>319</v>
      </c>
      <c r="CE1" s="18" t="s">
        <v>10</v>
      </c>
      <c r="CF1" s="19" t="s">
        <v>153</v>
      </c>
      <c r="CG1" s="19" t="s">
        <v>154</v>
      </c>
      <c r="CH1" s="19" t="s">
        <v>155</v>
      </c>
      <c r="CI1" s="19" t="s">
        <v>151</v>
      </c>
      <c r="CN1" s="14" t="s">
        <v>139</v>
      </c>
      <c r="CO1" s="14" t="s">
        <v>140</v>
      </c>
      <c r="CP1" s="15" t="s">
        <v>141</v>
      </c>
      <c r="CQ1" s="16" t="s">
        <v>142</v>
      </c>
      <c r="CR1" s="16" t="s">
        <v>143</v>
      </c>
      <c r="CS1" s="18" t="s">
        <v>144</v>
      </c>
      <c r="CT1" s="18" t="s">
        <v>145</v>
      </c>
      <c r="CU1" s="18" t="s">
        <v>146</v>
      </c>
      <c r="CV1" s="18" t="s">
        <v>147</v>
      </c>
      <c r="CW1" s="18" t="s">
        <v>10</v>
      </c>
      <c r="CX1" s="18" t="s">
        <v>12</v>
      </c>
      <c r="CY1" s="18" t="s">
        <v>148</v>
      </c>
      <c r="CZ1" s="18" t="s">
        <v>13</v>
      </c>
      <c r="DA1" s="18" t="s">
        <v>149</v>
      </c>
      <c r="DB1" s="18" t="s">
        <v>16</v>
      </c>
      <c r="DC1" s="18" t="s">
        <v>18</v>
      </c>
      <c r="DD1" s="18" t="s">
        <v>150</v>
      </c>
      <c r="DE1" s="18" t="s">
        <v>151</v>
      </c>
      <c r="DF1" s="19" t="s">
        <v>152</v>
      </c>
      <c r="DG1" s="19" t="s">
        <v>153</v>
      </c>
      <c r="DH1" s="19" t="s">
        <v>154</v>
      </c>
      <c r="DI1" s="19" t="s">
        <v>155</v>
      </c>
      <c r="DJ1" s="19" t="s">
        <v>156</v>
      </c>
      <c r="DK1" s="19" t="s">
        <v>157</v>
      </c>
      <c r="DL1" s="19" t="s">
        <v>158</v>
      </c>
      <c r="DM1" s="19" t="s">
        <v>159</v>
      </c>
      <c r="DN1" s="19" t="s">
        <v>160</v>
      </c>
    </row>
    <row r="2" spans="1:118">
      <c r="A2" s="32" t="s">
        <v>498</v>
      </c>
      <c r="B2" s="32" t="s">
        <v>498</v>
      </c>
      <c r="G2" t="s">
        <v>216</v>
      </c>
      <c r="Q2" s="191"/>
      <c r="R2" s="191"/>
      <c r="S2" s="191"/>
      <c r="T2" s="127"/>
      <c r="U2" s="127"/>
      <c r="V2" s="191"/>
      <c r="W2" s="190"/>
      <c r="X2" s="191"/>
      <c r="Y2" s="191"/>
      <c r="Z2" s="191"/>
      <c r="AA2" s="191"/>
      <c r="AB2" s="191"/>
      <c r="AC2" s="191"/>
      <c r="AD2" s="191"/>
      <c r="AE2" s="191"/>
      <c r="AF2" s="191"/>
      <c r="AG2" s="191"/>
      <c r="AH2" s="191"/>
      <c r="AI2" s="127"/>
      <c r="AJ2" s="191"/>
      <c r="AK2" s="191"/>
      <c r="AL2" s="190"/>
      <c r="AM2" s="191"/>
      <c r="AQ2" s="194"/>
      <c r="AR2" s="127"/>
      <c r="AS2" s="23"/>
      <c r="AT2" s="194"/>
      <c r="AU2" s="194"/>
      <c r="AV2" s="194"/>
      <c r="AW2" s="194"/>
      <c r="AX2" s="194"/>
      <c r="AY2" s="193"/>
      <c r="AZ2" s="194"/>
      <c r="BA2" s="21"/>
      <c r="BE2" s="188" t="s">
        <v>608</v>
      </c>
      <c r="BF2" s="188" t="s">
        <v>3729</v>
      </c>
      <c r="BG2" s="127">
        <v>42893</v>
      </c>
      <c r="BH2" s="188" t="s">
        <v>10</v>
      </c>
      <c r="BI2" s="188" t="s">
        <v>598</v>
      </c>
      <c r="BJ2" s="189">
        <v>3000</v>
      </c>
      <c r="BK2" s="188" t="s">
        <v>493</v>
      </c>
      <c r="BL2" s="188" t="s">
        <v>598</v>
      </c>
      <c r="BM2" s="189">
        <v>0</v>
      </c>
      <c r="BN2" s="188" t="s">
        <v>598</v>
      </c>
      <c r="BO2" s="127">
        <v>42891</v>
      </c>
      <c r="BP2" s="188" t="s">
        <v>132</v>
      </c>
      <c r="BQ2" s="188" t="s">
        <v>108</v>
      </c>
      <c r="BR2" s="188" t="s">
        <v>162</v>
      </c>
      <c r="BS2" s="188" t="s">
        <v>598</v>
      </c>
      <c r="BT2" s="188" t="s">
        <v>30</v>
      </c>
      <c r="BU2" s="188" t="s">
        <v>598</v>
      </c>
      <c r="BV2" s="188" t="s">
        <v>598</v>
      </c>
      <c r="BZ2" s="188">
        <v>1</v>
      </c>
      <c r="CA2" s="127">
        <v>42856</v>
      </c>
      <c r="CB2" s="188" t="s">
        <v>4426</v>
      </c>
      <c r="CC2" s="188" t="s">
        <v>320</v>
      </c>
      <c r="CD2" s="188" t="s">
        <v>321</v>
      </c>
      <c r="CE2" s="188"/>
      <c r="CF2" s="188" t="s">
        <v>34</v>
      </c>
      <c r="CG2" s="188"/>
      <c r="CH2" s="189">
        <v>500</v>
      </c>
      <c r="CI2" s="188"/>
    </row>
    <row r="3" spans="1:118">
      <c r="A3" s="21">
        <v>43040</v>
      </c>
      <c r="B3" s="21">
        <v>43042</v>
      </c>
      <c r="Q3" s="191"/>
      <c r="R3" s="191"/>
      <c r="S3" s="191"/>
      <c r="T3" s="127"/>
      <c r="U3" s="127"/>
      <c r="V3" s="191"/>
      <c r="W3" s="190"/>
      <c r="X3" s="191"/>
      <c r="Y3" s="191"/>
      <c r="Z3" s="191"/>
      <c r="AA3" s="191"/>
      <c r="AB3" s="191"/>
      <c r="AC3" s="191"/>
      <c r="AD3" s="191"/>
      <c r="AE3" s="191"/>
      <c r="AF3" s="191"/>
      <c r="AG3" s="191"/>
      <c r="AH3" s="191"/>
      <c r="AI3" s="127"/>
      <c r="AJ3" s="191"/>
      <c r="AK3" s="191"/>
      <c r="AL3" s="190"/>
      <c r="AM3" s="191"/>
      <c r="AQ3" s="194"/>
      <c r="AR3" s="127"/>
      <c r="AS3" s="23"/>
      <c r="AT3" s="194"/>
      <c r="AU3" s="194"/>
      <c r="AV3" s="194"/>
      <c r="AW3" s="194"/>
      <c r="AX3" s="194"/>
      <c r="AY3" s="193"/>
      <c r="AZ3" s="194"/>
      <c r="BA3" s="21"/>
      <c r="BE3" s="188" t="s">
        <v>613</v>
      </c>
      <c r="BF3" s="188" t="s">
        <v>3730</v>
      </c>
      <c r="BG3" s="127">
        <v>42906</v>
      </c>
      <c r="BH3" s="188" t="s">
        <v>10</v>
      </c>
      <c r="BI3" s="188" t="s">
        <v>598</v>
      </c>
      <c r="BJ3" s="189">
        <v>2000</v>
      </c>
      <c r="BK3" s="188" t="s">
        <v>493</v>
      </c>
      <c r="BL3" s="188" t="s">
        <v>598</v>
      </c>
      <c r="BM3" s="189">
        <v>0</v>
      </c>
      <c r="BN3" s="188" t="s">
        <v>598</v>
      </c>
      <c r="BO3" s="127">
        <v>42892</v>
      </c>
      <c r="BP3" s="188" t="s">
        <v>118</v>
      </c>
      <c r="BQ3" s="188" t="s">
        <v>108</v>
      </c>
      <c r="BR3" s="188" t="s">
        <v>164</v>
      </c>
      <c r="BS3" s="188" t="s">
        <v>598</v>
      </c>
      <c r="BT3" s="188" t="s">
        <v>30</v>
      </c>
      <c r="BU3" s="188" t="s">
        <v>598</v>
      </c>
      <c r="BV3" s="188" t="s">
        <v>598</v>
      </c>
      <c r="BZ3" s="188">
        <v>2</v>
      </c>
      <c r="CA3" s="127">
        <v>42856</v>
      </c>
      <c r="CB3" s="188" t="s">
        <v>495</v>
      </c>
      <c r="CC3" s="188" t="s">
        <v>322</v>
      </c>
      <c r="CD3" s="188" t="s">
        <v>85</v>
      </c>
      <c r="CE3" s="188"/>
      <c r="CF3" s="188" t="s">
        <v>34</v>
      </c>
      <c r="CG3" s="188"/>
      <c r="CH3" s="189">
        <v>700</v>
      </c>
      <c r="CI3" s="188"/>
    </row>
    <row r="4" spans="1:118">
      <c r="A4" s="30"/>
      <c r="B4" t="str">
        <f>IF($B$5="","","&gt;="&amp;$B$5)</f>
        <v/>
      </c>
      <c r="C4" t="str">
        <f>IF($C$5="","","&lt;="&amp;$C$5)</f>
        <v/>
      </c>
      <c r="E4" s="21"/>
      <c r="Q4" s="191"/>
      <c r="R4" s="191"/>
      <c r="S4" s="191"/>
      <c r="T4" s="127"/>
      <c r="U4" s="127"/>
      <c r="V4" s="191"/>
      <c r="W4" s="190"/>
      <c r="X4" s="191"/>
      <c r="Y4" s="191"/>
      <c r="Z4" s="191"/>
      <c r="AA4" s="191"/>
      <c r="AB4" s="191"/>
      <c r="AC4" s="191"/>
      <c r="AD4" s="191"/>
      <c r="AE4" s="191"/>
      <c r="AF4" s="191"/>
      <c r="AG4" s="191"/>
      <c r="AH4" s="191"/>
      <c r="AI4" s="127"/>
      <c r="AJ4" s="191"/>
      <c r="AK4" s="191"/>
      <c r="AL4" s="190"/>
      <c r="AM4" s="191"/>
      <c r="AQ4" s="194"/>
      <c r="AR4" s="127"/>
      <c r="AS4" s="23"/>
      <c r="AT4" s="194"/>
      <c r="AU4" s="194"/>
      <c r="AV4" s="194"/>
      <c r="AW4" s="194"/>
      <c r="AX4" s="194"/>
      <c r="AY4" s="193"/>
      <c r="AZ4" s="194"/>
      <c r="BA4" s="21"/>
      <c r="BE4" s="188" t="s">
        <v>615</v>
      </c>
      <c r="BF4" s="188" t="s">
        <v>3731</v>
      </c>
      <c r="BG4" s="127">
        <v>42906</v>
      </c>
      <c r="BH4" s="188" t="s">
        <v>10</v>
      </c>
      <c r="BI4" s="188" t="s">
        <v>598</v>
      </c>
      <c r="BJ4" s="189">
        <v>2000</v>
      </c>
      <c r="BK4" s="188" t="s">
        <v>493</v>
      </c>
      <c r="BL4" s="188" t="s">
        <v>598</v>
      </c>
      <c r="BM4" s="189">
        <v>0</v>
      </c>
      <c r="BN4" s="188" t="s">
        <v>598</v>
      </c>
      <c r="BO4" s="127">
        <v>42892</v>
      </c>
      <c r="BP4" s="188" t="s">
        <v>118</v>
      </c>
      <c r="BQ4" s="188" t="s">
        <v>108</v>
      </c>
      <c r="BR4" s="188" t="s">
        <v>164</v>
      </c>
      <c r="BS4" s="188" t="s">
        <v>598</v>
      </c>
      <c r="BT4" s="188" t="s">
        <v>30</v>
      </c>
      <c r="BU4" s="188" t="s">
        <v>598</v>
      </c>
      <c r="BV4" s="188" t="s">
        <v>598</v>
      </c>
      <c r="BZ4" s="188">
        <v>3</v>
      </c>
      <c r="CA4" s="127">
        <v>42856</v>
      </c>
      <c r="CB4" s="188" t="s">
        <v>495</v>
      </c>
      <c r="CC4" s="188" t="s">
        <v>322</v>
      </c>
      <c r="CD4" s="188" t="s">
        <v>51</v>
      </c>
      <c r="CE4" s="188"/>
      <c r="CF4" s="188" t="s">
        <v>34</v>
      </c>
      <c r="CG4" s="188"/>
      <c r="CH4" s="189">
        <v>600</v>
      </c>
      <c r="CI4" s="188"/>
    </row>
    <row r="5" spans="1:118">
      <c r="B5" s="21"/>
      <c r="C5" s="21"/>
      <c r="E5" s="21"/>
      <c r="Q5" s="191"/>
      <c r="R5" s="191"/>
      <c r="S5" s="191"/>
      <c r="T5" s="127"/>
      <c r="U5" s="127"/>
      <c r="V5" s="191"/>
      <c r="W5" s="190"/>
      <c r="X5" s="191"/>
      <c r="Y5" s="191"/>
      <c r="Z5" s="191"/>
      <c r="AA5" s="191"/>
      <c r="AB5" s="191"/>
      <c r="AC5" s="191"/>
      <c r="AD5" s="191"/>
      <c r="AE5" s="191"/>
      <c r="AF5" s="191"/>
      <c r="AG5" s="191"/>
      <c r="AH5" s="191"/>
      <c r="AI5" s="127"/>
      <c r="AJ5" s="191"/>
      <c r="AK5" s="191"/>
      <c r="AL5" s="190"/>
      <c r="AM5" s="191"/>
      <c r="AQ5" s="194"/>
      <c r="AR5" s="127"/>
      <c r="AS5" s="23"/>
      <c r="AT5" s="194"/>
      <c r="AU5" s="194"/>
      <c r="AV5" s="194"/>
      <c r="AW5" s="194"/>
      <c r="AX5" s="194"/>
      <c r="AY5" s="193"/>
      <c r="AZ5" s="194"/>
      <c r="BA5" s="21"/>
      <c r="BE5" s="188" t="s">
        <v>617</v>
      </c>
      <c r="BF5" s="188" t="s">
        <v>3732</v>
      </c>
      <c r="BG5" s="127">
        <v>42906</v>
      </c>
      <c r="BH5" s="188" t="s">
        <v>10</v>
      </c>
      <c r="BI5" s="188" t="s">
        <v>598</v>
      </c>
      <c r="BJ5" s="189">
        <v>2000</v>
      </c>
      <c r="BK5" s="188" t="s">
        <v>493</v>
      </c>
      <c r="BL5" s="188" t="s">
        <v>598</v>
      </c>
      <c r="BM5" s="189">
        <v>0</v>
      </c>
      <c r="BN5" s="188" t="s">
        <v>598</v>
      </c>
      <c r="BO5" s="127">
        <v>42892</v>
      </c>
      <c r="BP5" s="188" t="s">
        <v>118</v>
      </c>
      <c r="BQ5" s="188" t="s">
        <v>108</v>
      </c>
      <c r="BR5" s="188" t="s">
        <v>164</v>
      </c>
      <c r="BS5" s="188" t="s">
        <v>598</v>
      </c>
      <c r="BT5" s="188" t="s">
        <v>30</v>
      </c>
      <c r="BU5" s="188" t="s">
        <v>598</v>
      </c>
      <c r="BV5" s="188" t="s">
        <v>598</v>
      </c>
      <c r="BZ5" s="188">
        <v>4</v>
      </c>
      <c r="CA5" s="127">
        <v>42856</v>
      </c>
      <c r="CB5" s="188" t="s">
        <v>495</v>
      </c>
      <c r="CC5" s="188" t="s">
        <v>322</v>
      </c>
      <c r="CD5" s="188" t="s">
        <v>88</v>
      </c>
      <c r="CE5" s="188"/>
      <c r="CF5" s="188" t="s">
        <v>34</v>
      </c>
      <c r="CG5" s="188"/>
      <c r="CH5" s="189">
        <v>500</v>
      </c>
      <c r="CI5" s="188"/>
    </row>
    <row r="6" spans="1:118">
      <c r="Q6" s="191"/>
      <c r="R6" s="191"/>
      <c r="S6" s="191"/>
      <c r="T6" s="127"/>
      <c r="U6" s="127"/>
      <c r="V6" s="191"/>
      <c r="W6" s="190"/>
      <c r="X6" s="191"/>
      <c r="Y6" s="191"/>
      <c r="Z6" s="191"/>
      <c r="AA6" s="191"/>
      <c r="AB6" s="191"/>
      <c r="AC6" s="191"/>
      <c r="AD6" s="191"/>
      <c r="AE6" s="191"/>
      <c r="AF6" s="191"/>
      <c r="AG6" s="191"/>
      <c r="AH6" s="191"/>
      <c r="AI6" s="127"/>
      <c r="AJ6" s="191"/>
      <c r="AK6" s="191"/>
      <c r="AL6" s="190"/>
      <c r="AM6" s="191"/>
      <c r="AQ6" s="194"/>
      <c r="AR6" s="127"/>
      <c r="AS6" s="23"/>
      <c r="AT6" s="194"/>
      <c r="AU6" s="194"/>
      <c r="AV6" s="194"/>
      <c r="AW6" s="194"/>
      <c r="AX6" s="194"/>
      <c r="AY6" s="193"/>
      <c r="AZ6" s="194"/>
      <c r="BA6" s="21"/>
      <c r="BE6" s="188" t="s">
        <v>623</v>
      </c>
      <c r="BF6" s="188" t="s">
        <v>3733</v>
      </c>
      <c r="BG6" s="127">
        <v>42916</v>
      </c>
      <c r="BH6" s="188" t="s">
        <v>10</v>
      </c>
      <c r="BI6" s="188" t="s">
        <v>598</v>
      </c>
      <c r="BJ6" s="189">
        <v>3000</v>
      </c>
      <c r="BK6" s="188" t="s">
        <v>493</v>
      </c>
      <c r="BL6" s="188" t="s">
        <v>598</v>
      </c>
      <c r="BM6" s="189">
        <v>0</v>
      </c>
      <c r="BN6" s="188" t="s">
        <v>598</v>
      </c>
      <c r="BO6" s="127">
        <v>42891</v>
      </c>
      <c r="BP6" s="188" t="s">
        <v>135</v>
      </c>
      <c r="BQ6" s="188" t="s">
        <v>108</v>
      </c>
      <c r="BR6" s="188" t="s">
        <v>166</v>
      </c>
      <c r="BS6" s="188" t="s">
        <v>598</v>
      </c>
      <c r="BT6" s="188" t="s">
        <v>30</v>
      </c>
      <c r="BU6" s="188" t="s">
        <v>30</v>
      </c>
      <c r="BV6" s="188" t="s">
        <v>598</v>
      </c>
      <c r="BZ6" s="188">
        <v>5</v>
      </c>
      <c r="CA6" s="127">
        <v>42857</v>
      </c>
      <c r="CB6" s="188" t="s">
        <v>4427</v>
      </c>
      <c r="CC6" s="188" t="s">
        <v>320</v>
      </c>
      <c r="CD6" s="188"/>
      <c r="CE6" s="188"/>
      <c r="CF6" s="188" t="s">
        <v>34</v>
      </c>
      <c r="CG6" s="188"/>
      <c r="CH6" s="189">
        <v>4000</v>
      </c>
      <c r="CI6" s="188"/>
    </row>
    <row r="7" spans="1:118">
      <c r="A7" s="19" t="s">
        <v>152</v>
      </c>
      <c r="B7" s="19" t="s">
        <v>152</v>
      </c>
      <c r="C7" s="18" t="s">
        <v>317</v>
      </c>
      <c r="D7" s="18" t="s">
        <v>318</v>
      </c>
      <c r="E7" s="18" t="s">
        <v>319</v>
      </c>
      <c r="F7" s="18" t="s">
        <v>10</v>
      </c>
      <c r="Q7" s="191"/>
      <c r="R7" s="191"/>
      <c r="S7" s="191"/>
      <c r="T7" s="127"/>
      <c r="U7" s="127"/>
      <c r="V7" s="191"/>
      <c r="W7" s="190"/>
      <c r="X7" s="191"/>
      <c r="Y7" s="191"/>
      <c r="Z7" s="191"/>
      <c r="AA7" s="191"/>
      <c r="AB7" s="191"/>
      <c r="AC7" s="191"/>
      <c r="AD7" s="191"/>
      <c r="AE7" s="191"/>
      <c r="AF7" s="191"/>
      <c r="AG7" s="191"/>
      <c r="AH7" s="191"/>
      <c r="AI7" s="127"/>
      <c r="AJ7" s="191"/>
      <c r="AK7" s="191"/>
      <c r="AL7" s="190"/>
      <c r="AM7" s="191"/>
      <c r="AQ7" s="194"/>
      <c r="AR7" s="127"/>
      <c r="AS7" s="194"/>
      <c r="AT7" s="194"/>
      <c r="AU7" s="194"/>
      <c r="AV7" s="194"/>
      <c r="AW7" s="194"/>
      <c r="AX7" s="194"/>
      <c r="AY7" s="193"/>
      <c r="AZ7" s="194"/>
      <c r="BA7" s="21"/>
      <c r="BE7" s="188" t="s">
        <v>627</v>
      </c>
      <c r="BF7" s="188" t="s">
        <v>3734</v>
      </c>
      <c r="BG7" s="127">
        <v>42916</v>
      </c>
      <c r="BH7" s="188" t="s">
        <v>10</v>
      </c>
      <c r="BI7" s="188" t="s">
        <v>598</v>
      </c>
      <c r="BJ7" s="189">
        <v>6000</v>
      </c>
      <c r="BK7" s="188" t="s">
        <v>493</v>
      </c>
      <c r="BL7" s="188" t="s">
        <v>598</v>
      </c>
      <c r="BM7" s="189">
        <v>0</v>
      </c>
      <c r="BN7" s="188" t="s">
        <v>598</v>
      </c>
      <c r="BO7" s="127">
        <v>42891</v>
      </c>
      <c r="BP7" s="188" t="s">
        <v>134</v>
      </c>
      <c r="BQ7" s="188" t="s">
        <v>108</v>
      </c>
      <c r="BR7" s="188" t="s">
        <v>166</v>
      </c>
      <c r="BS7" s="188" t="s">
        <v>598</v>
      </c>
      <c r="BT7" s="188" t="s">
        <v>30</v>
      </c>
      <c r="BU7" s="188" t="s">
        <v>30</v>
      </c>
      <c r="BV7" s="188" t="s">
        <v>598</v>
      </c>
      <c r="BZ7" s="188">
        <v>6</v>
      </c>
      <c r="CA7" s="127">
        <v>42858</v>
      </c>
      <c r="CB7" s="188" t="s">
        <v>4426</v>
      </c>
      <c r="CC7" s="188" t="s">
        <v>320</v>
      </c>
      <c r="CD7" s="188" t="s">
        <v>321</v>
      </c>
      <c r="CE7" s="188"/>
      <c r="CF7" s="188" t="s">
        <v>34</v>
      </c>
      <c r="CG7" s="188"/>
      <c r="CH7" s="189">
        <v>500</v>
      </c>
      <c r="CI7" s="188"/>
    </row>
    <row r="8" spans="1:118">
      <c r="A8" t="s">
        <v>498</v>
      </c>
      <c r="B8" t="s">
        <v>498</v>
      </c>
      <c r="E8" s="21"/>
      <c r="K8" s="24"/>
      <c r="L8" s="24"/>
      <c r="M8" s="24"/>
      <c r="Q8" s="191"/>
      <c r="R8" s="191"/>
      <c r="S8" s="191"/>
      <c r="T8" s="127"/>
      <c r="U8" s="127"/>
      <c r="V8" s="191"/>
      <c r="W8" s="190"/>
      <c r="X8" s="191"/>
      <c r="Y8" s="191"/>
      <c r="Z8" s="191"/>
      <c r="AA8" s="191"/>
      <c r="AB8" s="191"/>
      <c r="AC8" s="191"/>
      <c r="AD8" s="191"/>
      <c r="AE8" s="191"/>
      <c r="AF8" s="191"/>
      <c r="AG8" s="191"/>
      <c r="AH8" s="191"/>
      <c r="AI8" s="127"/>
      <c r="AJ8" s="191"/>
      <c r="AK8" s="191"/>
      <c r="AL8" s="190"/>
      <c r="AM8" s="191"/>
      <c r="AQ8" s="194"/>
      <c r="AR8" s="127"/>
      <c r="AS8" s="194"/>
      <c r="AT8" s="194"/>
      <c r="AU8" s="194"/>
      <c r="AV8" s="194"/>
      <c r="AW8" s="194"/>
      <c r="AX8" s="194"/>
      <c r="AY8" s="193"/>
      <c r="AZ8" s="194"/>
      <c r="BA8" s="21"/>
      <c r="BE8" s="188" t="s">
        <v>629</v>
      </c>
      <c r="BF8" s="188" t="s">
        <v>3735</v>
      </c>
      <c r="BG8" s="127">
        <v>42909</v>
      </c>
      <c r="BH8" s="188" t="s">
        <v>10</v>
      </c>
      <c r="BI8" s="188" t="s">
        <v>598</v>
      </c>
      <c r="BJ8" s="189">
        <v>5000</v>
      </c>
      <c r="BK8" s="188" t="s">
        <v>493</v>
      </c>
      <c r="BL8" s="188" t="s">
        <v>598</v>
      </c>
      <c r="BM8" s="189">
        <v>0</v>
      </c>
      <c r="BN8" s="188" t="s">
        <v>598</v>
      </c>
      <c r="BO8" s="127">
        <v>42894</v>
      </c>
      <c r="BP8" s="188" t="s">
        <v>118</v>
      </c>
      <c r="BQ8" s="188" t="s">
        <v>108</v>
      </c>
      <c r="BR8" s="188" t="s">
        <v>631</v>
      </c>
      <c r="BS8" s="188" t="s">
        <v>598</v>
      </c>
      <c r="BT8" s="188" t="s">
        <v>30</v>
      </c>
      <c r="BU8" s="188" t="s">
        <v>30</v>
      </c>
      <c r="BV8" s="188" t="s">
        <v>598</v>
      </c>
      <c r="BZ8" s="188">
        <v>7</v>
      </c>
      <c r="CA8" s="127">
        <v>42858</v>
      </c>
      <c r="CB8" s="188" t="s">
        <v>4428</v>
      </c>
      <c r="CC8" s="188" t="s">
        <v>320</v>
      </c>
      <c r="CD8" s="188"/>
      <c r="CE8" s="188"/>
      <c r="CF8" s="188" t="s">
        <v>34</v>
      </c>
      <c r="CG8" s="188"/>
      <c r="CH8" s="189">
        <v>3500</v>
      </c>
      <c r="CI8" s="188"/>
    </row>
    <row r="9" spans="1:118">
      <c r="A9" s="30">
        <v>43040</v>
      </c>
      <c r="B9" s="30">
        <v>43042</v>
      </c>
      <c r="E9" s="21"/>
      <c r="Q9" s="191"/>
      <c r="R9" s="191"/>
      <c r="S9" s="191"/>
      <c r="T9" s="127"/>
      <c r="U9" s="127"/>
      <c r="V9" s="191"/>
      <c r="W9" s="190"/>
      <c r="X9" s="191"/>
      <c r="Y9" s="191"/>
      <c r="Z9" s="191"/>
      <c r="AA9" s="191"/>
      <c r="AB9" s="191"/>
      <c r="AC9" s="191"/>
      <c r="AD9" s="191"/>
      <c r="AE9" s="191"/>
      <c r="AF9" s="191"/>
      <c r="AG9" s="191"/>
      <c r="AH9" s="191"/>
      <c r="AI9" s="127"/>
      <c r="AJ9" s="191"/>
      <c r="AK9" s="191"/>
      <c r="AL9" s="190"/>
      <c r="AM9" s="191"/>
      <c r="AQ9" s="194"/>
      <c r="AR9" s="127"/>
      <c r="AS9" s="194"/>
      <c r="AT9" s="194"/>
      <c r="AU9" s="194"/>
      <c r="AV9" s="194"/>
      <c r="AW9" s="194"/>
      <c r="AX9" s="194"/>
      <c r="AY9" s="193"/>
      <c r="AZ9" s="194"/>
      <c r="BA9" s="21"/>
      <c r="BE9" s="188" t="s">
        <v>632</v>
      </c>
      <c r="BF9" s="188" t="s">
        <v>3736</v>
      </c>
      <c r="BG9" s="127">
        <v>42906</v>
      </c>
      <c r="BH9" s="188" t="s">
        <v>10</v>
      </c>
      <c r="BI9" s="188" t="s">
        <v>598</v>
      </c>
      <c r="BJ9" s="189">
        <v>4000</v>
      </c>
      <c r="BK9" s="188" t="s">
        <v>493</v>
      </c>
      <c r="BL9" s="188" t="s">
        <v>598</v>
      </c>
      <c r="BM9" s="189">
        <v>0</v>
      </c>
      <c r="BN9" s="188" t="s">
        <v>598</v>
      </c>
      <c r="BO9" s="127">
        <v>42894</v>
      </c>
      <c r="BP9" s="188" t="s">
        <v>132</v>
      </c>
      <c r="BQ9" s="188" t="s">
        <v>108</v>
      </c>
      <c r="BR9" s="188" t="s">
        <v>165</v>
      </c>
      <c r="BS9" s="188" t="s">
        <v>598</v>
      </c>
      <c r="BT9" s="188" t="s">
        <v>30</v>
      </c>
      <c r="BU9" s="188" t="s">
        <v>30</v>
      </c>
      <c r="BV9" s="188" t="s">
        <v>598</v>
      </c>
      <c r="BZ9" s="188">
        <v>8</v>
      </c>
      <c r="CA9" s="127">
        <v>42859</v>
      </c>
      <c r="CB9" s="188" t="s">
        <v>4429</v>
      </c>
      <c r="CC9" s="188" t="s">
        <v>323</v>
      </c>
      <c r="CD9" s="188" t="s">
        <v>42</v>
      </c>
      <c r="CE9" s="188"/>
      <c r="CF9" s="188" t="s">
        <v>34</v>
      </c>
      <c r="CG9" s="188"/>
      <c r="CH9" s="189">
        <v>3000</v>
      </c>
      <c r="CI9" s="188"/>
    </row>
    <row r="10" spans="1:118">
      <c r="D10" s="32"/>
      <c r="E10" s="21"/>
      <c r="Q10" s="191"/>
      <c r="R10" s="191"/>
      <c r="S10" s="191"/>
      <c r="T10" s="127"/>
      <c r="U10" s="127"/>
      <c r="V10" s="191"/>
      <c r="W10" s="190"/>
      <c r="X10" s="191"/>
      <c r="Y10" s="191"/>
      <c r="Z10" s="191"/>
      <c r="AA10" s="191"/>
      <c r="AB10" s="191"/>
      <c r="AC10" s="191"/>
      <c r="AD10" s="191"/>
      <c r="AE10" s="191"/>
      <c r="AF10" s="191"/>
      <c r="AG10" s="191"/>
      <c r="AH10" s="191"/>
      <c r="AI10" s="127"/>
      <c r="AJ10" s="191"/>
      <c r="AK10" s="191"/>
      <c r="AL10" s="190"/>
      <c r="AM10" s="191"/>
      <c r="AQ10" s="194"/>
      <c r="AR10" s="127"/>
      <c r="AS10" s="194"/>
      <c r="AT10" s="194"/>
      <c r="AU10" s="194"/>
      <c r="AV10" s="194"/>
      <c r="AW10" s="194"/>
      <c r="AX10" s="194"/>
      <c r="AY10" s="193"/>
      <c r="AZ10" s="194"/>
      <c r="BA10" s="21"/>
      <c r="BE10" s="188" t="s">
        <v>636</v>
      </c>
      <c r="BF10" s="188" t="s">
        <v>3737</v>
      </c>
      <c r="BG10" s="127">
        <v>42898</v>
      </c>
      <c r="BH10" s="188" t="s">
        <v>34</v>
      </c>
      <c r="BI10" s="188" t="s">
        <v>598</v>
      </c>
      <c r="BJ10" s="189">
        <v>3500</v>
      </c>
      <c r="BK10" s="188" t="s">
        <v>493</v>
      </c>
      <c r="BL10" s="188" t="s">
        <v>598</v>
      </c>
      <c r="BM10" s="189">
        <v>0</v>
      </c>
      <c r="BN10" s="188" t="s">
        <v>598</v>
      </c>
      <c r="BO10" s="127">
        <v>42894</v>
      </c>
      <c r="BP10" s="188" t="s">
        <v>134</v>
      </c>
      <c r="BQ10" s="188" t="s">
        <v>108</v>
      </c>
      <c r="BR10" s="188" t="s">
        <v>168</v>
      </c>
      <c r="BS10" s="188" t="s">
        <v>598</v>
      </c>
      <c r="BT10" s="188" t="s">
        <v>30</v>
      </c>
      <c r="BU10" s="188" t="s">
        <v>30</v>
      </c>
      <c r="BV10" s="188" t="s">
        <v>598</v>
      </c>
      <c r="BZ10" s="188">
        <v>9</v>
      </c>
      <c r="CA10" s="127">
        <v>42859</v>
      </c>
      <c r="CB10" s="188" t="s">
        <v>4429</v>
      </c>
      <c r="CC10" s="188" t="s">
        <v>323</v>
      </c>
      <c r="CD10" s="188" t="s">
        <v>63</v>
      </c>
      <c r="CE10" s="188"/>
      <c r="CF10" s="188" t="s">
        <v>34</v>
      </c>
      <c r="CG10" s="188"/>
      <c r="CH10" s="189">
        <v>5000</v>
      </c>
      <c r="CI10" s="188" t="s">
        <v>4430</v>
      </c>
    </row>
    <row r="11" spans="1:118">
      <c r="E11" s="21"/>
      <c r="Q11" s="191"/>
      <c r="R11" s="191"/>
      <c r="S11" s="191"/>
      <c r="T11" s="127"/>
      <c r="U11" s="127"/>
      <c r="V11" s="191"/>
      <c r="W11" s="190"/>
      <c r="X11" s="191"/>
      <c r="Y11" s="191"/>
      <c r="Z11" s="191"/>
      <c r="AA11" s="191"/>
      <c r="AB11" s="191"/>
      <c r="AC11" s="191"/>
      <c r="AD11" s="191"/>
      <c r="AE11" s="191"/>
      <c r="AF11" s="191"/>
      <c r="AG11" s="191"/>
      <c r="AH11" s="191"/>
      <c r="AI11" s="127"/>
      <c r="AJ11" s="191"/>
      <c r="AK11" s="191"/>
      <c r="AL11" s="190"/>
      <c r="AM11" s="191"/>
      <c r="AQ11" s="194"/>
      <c r="AR11" s="127"/>
      <c r="AS11" s="194"/>
      <c r="AT11" s="194"/>
      <c r="AU11" s="194"/>
      <c r="AV11" s="194"/>
      <c r="AW11" s="194"/>
      <c r="AX11" s="194"/>
      <c r="AY11" s="193"/>
      <c r="AZ11" s="194"/>
      <c r="BA11" s="21"/>
      <c r="BE11" s="188" t="s">
        <v>647</v>
      </c>
      <c r="BF11" s="188" t="s">
        <v>3738</v>
      </c>
      <c r="BG11" s="127">
        <v>42913</v>
      </c>
      <c r="BH11" s="188" t="s">
        <v>10</v>
      </c>
      <c r="BI11" s="188" t="s">
        <v>598</v>
      </c>
      <c r="BJ11" s="189">
        <v>1350</v>
      </c>
      <c r="BK11" s="188" t="s">
        <v>493</v>
      </c>
      <c r="BL11" s="188" t="s">
        <v>598</v>
      </c>
      <c r="BM11" s="189">
        <v>0</v>
      </c>
      <c r="BN11" s="188" t="s">
        <v>598</v>
      </c>
      <c r="BO11" s="127">
        <v>42902</v>
      </c>
      <c r="BP11" s="188" t="s">
        <v>598</v>
      </c>
      <c r="BQ11" s="188" t="s">
        <v>108</v>
      </c>
      <c r="BR11" s="188" t="s">
        <v>172</v>
      </c>
      <c r="BS11" s="188" t="s">
        <v>598</v>
      </c>
      <c r="BT11" s="188" t="s">
        <v>30</v>
      </c>
      <c r="BU11" s="188" t="s">
        <v>30</v>
      </c>
      <c r="BV11" s="188" t="s">
        <v>598</v>
      </c>
      <c r="BZ11" s="188">
        <v>10</v>
      </c>
      <c r="CA11" s="127">
        <v>42859</v>
      </c>
      <c r="CB11" s="188" t="s">
        <v>4427</v>
      </c>
      <c r="CC11" s="188" t="s">
        <v>320</v>
      </c>
      <c r="CD11" s="188"/>
      <c r="CE11" s="188"/>
      <c r="CF11" s="188" t="s">
        <v>34</v>
      </c>
      <c r="CG11" s="188"/>
      <c r="CH11" s="189">
        <v>2000</v>
      </c>
      <c r="CI11" s="188"/>
    </row>
    <row r="12" spans="1:118">
      <c r="E12" s="21"/>
      <c r="Q12" s="191"/>
      <c r="R12" s="191"/>
      <c r="S12" s="191"/>
      <c r="T12" s="127"/>
      <c r="U12" s="127"/>
      <c r="V12" s="191"/>
      <c r="W12" s="190"/>
      <c r="X12" s="191"/>
      <c r="Y12" s="191"/>
      <c r="Z12" s="191"/>
      <c r="AA12" s="191"/>
      <c r="AB12" s="191"/>
      <c r="AC12" s="191"/>
      <c r="AD12" s="191"/>
      <c r="AE12" s="191"/>
      <c r="AF12" s="191"/>
      <c r="AG12" s="191"/>
      <c r="AH12" s="191"/>
      <c r="AI12" s="127"/>
      <c r="AJ12" s="191"/>
      <c r="AK12" s="191"/>
      <c r="AL12" s="190"/>
      <c r="AM12" s="191"/>
      <c r="AQ12" s="194"/>
      <c r="AR12" s="127"/>
      <c r="AS12" s="194"/>
      <c r="AT12" s="194"/>
      <c r="AU12" s="194"/>
      <c r="AV12" s="194"/>
      <c r="AW12" s="194"/>
      <c r="AX12" s="194"/>
      <c r="AY12" s="193"/>
      <c r="AZ12" s="194"/>
      <c r="BA12" s="21"/>
      <c r="BE12" s="188" t="s">
        <v>649</v>
      </c>
      <c r="BF12" s="188" t="s">
        <v>3739</v>
      </c>
      <c r="BG12" s="127">
        <v>42913</v>
      </c>
      <c r="BH12" s="188" t="s">
        <v>10</v>
      </c>
      <c r="BI12" s="188" t="s">
        <v>598</v>
      </c>
      <c r="BJ12" s="189">
        <v>1350</v>
      </c>
      <c r="BK12" s="188" t="s">
        <v>493</v>
      </c>
      <c r="BL12" s="188" t="s">
        <v>598</v>
      </c>
      <c r="BM12" s="189">
        <v>0</v>
      </c>
      <c r="BN12" s="188" t="s">
        <v>598</v>
      </c>
      <c r="BO12" s="127">
        <v>42902</v>
      </c>
      <c r="BP12" s="188" t="s">
        <v>598</v>
      </c>
      <c r="BQ12" s="188" t="s">
        <v>108</v>
      </c>
      <c r="BR12" s="188" t="s">
        <v>172</v>
      </c>
      <c r="BS12" s="188" t="s">
        <v>598</v>
      </c>
      <c r="BT12" s="188" t="s">
        <v>30</v>
      </c>
      <c r="BU12" s="188" t="s">
        <v>30</v>
      </c>
      <c r="BV12" s="188" t="s">
        <v>598</v>
      </c>
      <c r="BZ12" s="188">
        <v>11</v>
      </c>
      <c r="CA12" s="127">
        <v>42859</v>
      </c>
      <c r="CB12" s="188" t="s">
        <v>4431</v>
      </c>
      <c r="CC12" s="188" t="s">
        <v>320</v>
      </c>
      <c r="CD12" s="188"/>
      <c r="CE12" s="188"/>
      <c r="CF12" s="188" t="s">
        <v>34</v>
      </c>
      <c r="CG12" s="188"/>
      <c r="CH12" s="189">
        <v>2000</v>
      </c>
      <c r="CI12" s="188"/>
    </row>
    <row r="13" spans="1:118">
      <c r="A13" s="28" t="s">
        <v>152</v>
      </c>
      <c r="B13" s="28" t="s">
        <v>152</v>
      </c>
      <c r="E13" s="21"/>
      <c r="Q13" s="191"/>
      <c r="R13" s="191"/>
      <c r="S13" s="191"/>
      <c r="T13" s="127"/>
      <c r="U13" s="127"/>
      <c r="V13" s="191"/>
      <c r="W13" s="190"/>
      <c r="X13" s="191"/>
      <c r="Y13" s="191"/>
      <c r="Z13" s="191"/>
      <c r="AA13" s="191"/>
      <c r="AB13" s="191"/>
      <c r="AC13" s="191"/>
      <c r="AD13" s="191"/>
      <c r="AE13" s="191"/>
      <c r="AF13" s="191"/>
      <c r="AG13" s="191"/>
      <c r="AH13" s="191"/>
      <c r="AI13" s="127"/>
      <c r="AJ13" s="191"/>
      <c r="AK13" s="191"/>
      <c r="AL13" s="190"/>
      <c r="AM13" s="191"/>
      <c r="AQ13" s="194"/>
      <c r="AR13" s="127"/>
      <c r="AS13" s="194"/>
      <c r="AT13" s="194"/>
      <c r="AU13" s="194"/>
      <c r="AV13" s="194"/>
      <c r="AW13" s="194"/>
      <c r="AX13" s="194"/>
      <c r="AY13" s="193"/>
      <c r="AZ13" s="194"/>
      <c r="BA13" s="21"/>
      <c r="BE13" s="188" t="s">
        <v>651</v>
      </c>
      <c r="BF13" s="188" t="s">
        <v>3740</v>
      </c>
      <c r="BG13" s="127">
        <v>42903</v>
      </c>
      <c r="BH13" s="188" t="s">
        <v>10</v>
      </c>
      <c r="BI13" s="188" t="s">
        <v>598</v>
      </c>
      <c r="BJ13" s="189">
        <v>1500</v>
      </c>
      <c r="BK13" s="188" t="s">
        <v>493</v>
      </c>
      <c r="BL13" s="188" t="s">
        <v>598</v>
      </c>
      <c r="BM13" s="189">
        <v>0</v>
      </c>
      <c r="BN13" s="188" t="s">
        <v>598</v>
      </c>
      <c r="BO13" s="127">
        <v>42902</v>
      </c>
      <c r="BP13" s="188" t="s">
        <v>127</v>
      </c>
      <c r="BQ13" s="188" t="s">
        <v>108</v>
      </c>
      <c r="BR13" s="188" t="s">
        <v>653</v>
      </c>
      <c r="BS13" s="188" t="s">
        <v>598</v>
      </c>
      <c r="BT13" s="188" t="s">
        <v>30</v>
      </c>
      <c r="BU13" s="188" t="s">
        <v>30</v>
      </c>
      <c r="BV13" s="188" t="s">
        <v>598</v>
      </c>
      <c r="BZ13" s="188">
        <v>12</v>
      </c>
      <c r="CA13" s="127">
        <v>42859</v>
      </c>
      <c r="CB13" s="188" t="s">
        <v>4427</v>
      </c>
      <c r="CC13" s="188" t="s">
        <v>320</v>
      </c>
      <c r="CD13" s="188"/>
      <c r="CE13" s="188"/>
      <c r="CF13" s="188" t="s">
        <v>34</v>
      </c>
      <c r="CG13" s="188"/>
      <c r="CH13" s="189">
        <v>500</v>
      </c>
      <c r="CI13" s="188" t="s">
        <v>4432</v>
      </c>
    </row>
    <row r="14" spans="1:118">
      <c r="A14" s="27" t="str">
        <f ca="1">"&gt;="&amp;A15</f>
        <v>&gt;=43101</v>
      </c>
      <c r="B14" s="27" t="str">
        <f ca="1">"&lt;="&amp;B15</f>
        <v>&lt;=43382</v>
      </c>
      <c r="E14" s="21"/>
      <c r="Q14" s="191"/>
      <c r="R14" s="191"/>
      <c r="S14" s="191"/>
      <c r="T14" s="127"/>
      <c r="U14" s="127"/>
      <c r="V14" s="191"/>
      <c r="W14" s="190"/>
      <c r="X14" s="191"/>
      <c r="Y14" s="191"/>
      <c r="Z14" s="191"/>
      <c r="AA14" s="191"/>
      <c r="AB14" s="191"/>
      <c r="AC14" s="191"/>
      <c r="AD14" s="191"/>
      <c r="AE14" s="191"/>
      <c r="AF14" s="191"/>
      <c r="AG14" s="191"/>
      <c r="AH14" s="191"/>
      <c r="AI14" s="127"/>
      <c r="AJ14" s="191"/>
      <c r="AK14" s="191"/>
      <c r="AL14" s="190"/>
      <c r="AM14" s="191"/>
      <c r="AQ14" s="194"/>
      <c r="AR14" s="127"/>
      <c r="AS14" s="194"/>
      <c r="AT14" s="194"/>
      <c r="AU14" s="194"/>
      <c r="AV14" s="194"/>
      <c r="AW14" s="194"/>
      <c r="AX14" s="194"/>
      <c r="AY14" s="193"/>
      <c r="AZ14" s="194"/>
      <c r="BA14" s="21"/>
      <c r="BE14" s="188" t="s">
        <v>658</v>
      </c>
      <c r="BF14" s="188" t="s">
        <v>3741</v>
      </c>
      <c r="BG14" s="127">
        <v>42913</v>
      </c>
      <c r="BH14" s="188" t="s">
        <v>10</v>
      </c>
      <c r="BI14" s="188" t="s">
        <v>598</v>
      </c>
      <c r="BJ14" s="189">
        <v>4500</v>
      </c>
      <c r="BK14" s="188" t="s">
        <v>493</v>
      </c>
      <c r="BL14" s="188" t="s">
        <v>598</v>
      </c>
      <c r="BM14" s="189">
        <v>0</v>
      </c>
      <c r="BN14" s="188" t="s">
        <v>598</v>
      </c>
      <c r="BO14" s="127">
        <v>42906</v>
      </c>
      <c r="BP14" s="188" t="s">
        <v>134</v>
      </c>
      <c r="BQ14" s="188" t="s">
        <v>108</v>
      </c>
      <c r="BR14" s="188" t="s">
        <v>173</v>
      </c>
      <c r="BS14" s="188" t="s">
        <v>598</v>
      </c>
      <c r="BT14" s="188" t="s">
        <v>30</v>
      </c>
      <c r="BU14" s="188" t="s">
        <v>30</v>
      </c>
      <c r="BV14" s="188" t="s">
        <v>598</v>
      </c>
      <c r="BZ14" s="188">
        <v>13</v>
      </c>
      <c r="CA14" s="127">
        <v>42860</v>
      </c>
      <c r="CB14" s="188" t="s">
        <v>4433</v>
      </c>
      <c r="CC14" s="188" t="s">
        <v>320</v>
      </c>
      <c r="CD14" s="188"/>
      <c r="CE14" s="188"/>
      <c r="CF14" s="188" t="s">
        <v>34</v>
      </c>
      <c r="CG14" s="188"/>
      <c r="CH14" s="189">
        <v>1700</v>
      </c>
      <c r="CI14" s="188"/>
    </row>
    <row r="15" spans="1:118">
      <c r="A15" s="25">
        <f ca="1">Main!$F$17</f>
        <v>43101</v>
      </c>
      <c r="B15" s="25">
        <f ca="1">Main!$G$17</f>
        <v>43382</v>
      </c>
      <c r="E15" s="21"/>
      <c r="Q15" s="191"/>
      <c r="R15" s="191"/>
      <c r="S15" s="191"/>
      <c r="T15" s="127"/>
      <c r="U15" s="127"/>
      <c r="V15" s="191"/>
      <c r="W15" s="190"/>
      <c r="X15" s="191"/>
      <c r="Y15" s="191"/>
      <c r="Z15" s="191"/>
      <c r="AA15" s="191"/>
      <c r="AB15" s="191"/>
      <c r="AC15" s="191"/>
      <c r="AD15" s="191"/>
      <c r="AE15" s="191"/>
      <c r="AF15" s="191"/>
      <c r="AG15" s="191"/>
      <c r="AH15" s="191"/>
      <c r="AI15" s="127"/>
      <c r="AJ15" s="191"/>
      <c r="AK15" s="191"/>
      <c r="AL15" s="190"/>
      <c r="AM15" s="191"/>
      <c r="AQ15" s="194"/>
      <c r="AR15" s="127"/>
      <c r="AS15" s="194"/>
      <c r="AT15" s="194"/>
      <c r="AU15" s="194"/>
      <c r="AV15" s="194"/>
      <c r="AW15" s="194"/>
      <c r="AX15" s="194"/>
      <c r="AY15" s="193"/>
      <c r="AZ15" s="194"/>
      <c r="BA15" s="21"/>
      <c r="BE15" s="188" t="s">
        <v>675</v>
      </c>
      <c r="BF15" s="188" t="s">
        <v>3742</v>
      </c>
      <c r="BG15" s="127">
        <v>42915</v>
      </c>
      <c r="BH15" s="188" t="s">
        <v>10</v>
      </c>
      <c r="BI15" s="188" t="s">
        <v>598</v>
      </c>
      <c r="BJ15" s="189">
        <v>2000</v>
      </c>
      <c r="BK15" s="188" t="s">
        <v>493</v>
      </c>
      <c r="BL15" s="188" t="s">
        <v>598</v>
      </c>
      <c r="BM15" s="189">
        <v>0</v>
      </c>
      <c r="BN15" s="188" t="s">
        <v>598</v>
      </c>
      <c r="BO15" s="127">
        <v>42908</v>
      </c>
      <c r="BP15" s="188" t="s">
        <v>118</v>
      </c>
      <c r="BQ15" s="188" t="s">
        <v>108</v>
      </c>
      <c r="BR15" s="188" t="s">
        <v>171</v>
      </c>
      <c r="BS15" s="188" t="s">
        <v>598</v>
      </c>
      <c r="BT15" s="188" t="s">
        <v>30</v>
      </c>
      <c r="BU15" s="188" t="s">
        <v>178</v>
      </c>
      <c r="BV15" s="188" t="s">
        <v>598</v>
      </c>
      <c r="BZ15" s="188">
        <v>14</v>
      </c>
      <c r="CA15" s="127">
        <v>42860</v>
      </c>
      <c r="CB15" s="188" t="s">
        <v>4434</v>
      </c>
      <c r="CC15" s="188" t="s">
        <v>320</v>
      </c>
      <c r="CD15" s="188"/>
      <c r="CE15" s="188"/>
      <c r="CF15" s="188" t="s">
        <v>34</v>
      </c>
      <c r="CG15" s="188"/>
      <c r="CH15" s="189">
        <v>400</v>
      </c>
      <c r="CI15" s="188"/>
    </row>
    <row r="16" spans="1:118">
      <c r="E16" s="21"/>
      <c r="Q16" s="191"/>
      <c r="R16" s="191"/>
      <c r="S16" s="191"/>
      <c r="T16" s="127"/>
      <c r="U16" s="127"/>
      <c r="V16" s="191"/>
      <c r="W16" s="190"/>
      <c r="X16" s="191"/>
      <c r="Y16" s="191"/>
      <c r="Z16" s="191"/>
      <c r="AA16" s="191"/>
      <c r="AB16" s="191"/>
      <c r="AC16" s="191"/>
      <c r="AD16" s="191"/>
      <c r="AE16" s="191"/>
      <c r="AF16" s="191"/>
      <c r="AG16" s="191"/>
      <c r="AH16" s="191"/>
      <c r="AI16" s="127"/>
      <c r="AJ16" s="191"/>
      <c r="AK16" s="191"/>
      <c r="AL16" s="190"/>
      <c r="AM16" s="191"/>
      <c r="AQ16" s="194"/>
      <c r="AR16" s="127"/>
      <c r="AS16" s="194"/>
      <c r="AT16" s="194"/>
      <c r="AU16" s="194"/>
      <c r="AV16" s="194"/>
      <c r="AW16" s="194"/>
      <c r="AX16" s="194"/>
      <c r="AY16" s="193"/>
      <c r="AZ16" s="194"/>
      <c r="BA16" s="21"/>
      <c r="BE16" s="188" t="s">
        <v>681</v>
      </c>
      <c r="BF16" s="188" t="s">
        <v>3743</v>
      </c>
      <c r="BG16" s="127">
        <v>42916</v>
      </c>
      <c r="BH16" s="188" t="s">
        <v>10</v>
      </c>
      <c r="BI16" s="188" t="s">
        <v>598</v>
      </c>
      <c r="BJ16" s="189">
        <v>7000</v>
      </c>
      <c r="BK16" s="188" t="s">
        <v>493</v>
      </c>
      <c r="BL16" s="188" t="s">
        <v>598</v>
      </c>
      <c r="BM16" s="189">
        <v>0</v>
      </c>
      <c r="BN16" s="188" t="s">
        <v>598</v>
      </c>
      <c r="BO16" s="127">
        <v>42913</v>
      </c>
      <c r="BP16" s="188" t="s">
        <v>107</v>
      </c>
      <c r="BQ16" s="188" t="s">
        <v>108</v>
      </c>
      <c r="BR16" s="188" t="s">
        <v>180</v>
      </c>
      <c r="BS16" s="188" t="s">
        <v>598</v>
      </c>
      <c r="BT16" s="188" t="s">
        <v>30</v>
      </c>
      <c r="BU16" s="188" t="s">
        <v>30</v>
      </c>
      <c r="BV16" s="188" t="s">
        <v>598</v>
      </c>
      <c r="BZ16" s="188">
        <v>15</v>
      </c>
      <c r="CA16" s="127">
        <v>42860</v>
      </c>
      <c r="CB16" s="188" t="s">
        <v>4427</v>
      </c>
      <c r="CC16" s="188" t="s">
        <v>320</v>
      </c>
      <c r="CD16" s="188" t="s">
        <v>65</v>
      </c>
      <c r="CE16" s="188"/>
      <c r="CF16" s="188" t="s">
        <v>34</v>
      </c>
      <c r="CG16" s="188"/>
      <c r="CH16" s="189">
        <v>600</v>
      </c>
      <c r="CI16" s="188"/>
    </row>
    <row r="17" spans="5:87">
      <c r="Q17" s="191"/>
      <c r="R17" s="191"/>
      <c r="S17" s="191"/>
      <c r="T17" s="127"/>
      <c r="U17" s="127"/>
      <c r="V17" s="191"/>
      <c r="W17" s="190"/>
      <c r="X17" s="191"/>
      <c r="Y17" s="191"/>
      <c r="Z17" s="191"/>
      <c r="AA17" s="191"/>
      <c r="AB17" s="191"/>
      <c r="AC17" s="191"/>
      <c r="AD17" s="191"/>
      <c r="AE17" s="191"/>
      <c r="AF17" s="191"/>
      <c r="AG17" s="191"/>
      <c r="AH17" s="191"/>
      <c r="AI17" s="127"/>
      <c r="AJ17" s="191"/>
      <c r="AK17" s="191"/>
      <c r="AL17" s="190"/>
      <c r="AM17" s="191"/>
      <c r="AQ17" s="194"/>
      <c r="AR17" s="127"/>
      <c r="AS17" s="194"/>
      <c r="AT17" s="194"/>
      <c r="AU17" s="194"/>
      <c r="AV17" s="194"/>
      <c r="AW17" s="194"/>
      <c r="AX17" s="194"/>
      <c r="AY17" s="193"/>
      <c r="AZ17" s="194"/>
      <c r="BA17" s="21"/>
      <c r="BE17" s="188" t="s">
        <v>728</v>
      </c>
      <c r="BF17" s="188" t="s">
        <v>3744</v>
      </c>
      <c r="BG17" s="127">
        <v>42892</v>
      </c>
      <c r="BH17" s="188" t="s">
        <v>10</v>
      </c>
      <c r="BI17" s="188" t="s">
        <v>598</v>
      </c>
      <c r="BJ17" s="189">
        <v>6000</v>
      </c>
      <c r="BK17" s="188" t="s">
        <v>493</v>
      </c>
      <c r="BL17" s="188" t="s">
        <v>598</v>
      </c>
      <c r="BM17" s="189">
        <v>0</v>
      </c>
      <c r="BN17" s="188" t="s">
        <v>598</v>
      </c>
      <c r="BO17" s="127">
        <v>42857</v>
      </c>
      <c r="BP17" s="188" t="s">
        <v>134</v>
      </c>
      <c r="BQ17" s="188" t="s">
        <v>108</v>
      </c>
      <c r="BR17" s="188" t="s">
        <v>179</v>
      </c>
      <c r="BS17" s="188" t="s">
        <v>598</v>
      </c>
      <c r="BT17" s="188" t="s">
        <v>30</v>
      </c>
      <c r="BU17" s="188" t="s">
        <v>30</v>
      </c>
      <c r="BV17" s="188" t="s">
        <v>598</v>
      </c>
      <c r="BZ17" s="188">
        <v>16</v>
      </c>
      <c r="CA17" s="127">
        <v>42860</v>
      </c>
      <c r="CB17" s="188" t="s">
        <v>495</v>
      </c>
      <c r="CC17" s="188" t="s">
        <v>322</v>
      </c>
      <c r="CD17" s="188" t="s">
        <v>85</v>
      </c>
      <c r="CE17" s="188"/>
      <c r="CF17" s="188" t="s">
        <v>34</v>
      </c>
      <c r="CG17" s="188"/>
      <c r="CH17" s="189">
        <v>800</v>
      </c>
      <c r="CI17" s="188"/>
    </row>
    <row r="18" spans="5:87">
      <c r="Q18" s="191"/>
      <c r="R18" s="191"/>
      <c r="S18" s="191"/>
      <c r="T18" s="127"/>
      <c r="U18" s="127"/>
      <c r="V18" s="191"/>
      <c r="W18" s="190"/>
      <c r="X18" s="191"/>
      <c r="Y18" s="191"/>
      <c r="Z18" s="191"/>
      <c r="AA18" s="191"/>
      <c r="AB18" s="191"/>
      <c r="AC18" s="191"/>
      <c r="AD18" s="191"/>
      <c r="AE18" s="191"/>
      <c r="AF18" s="191"/>
      <c r="AG18" s="191"/>
      <c r="AH18" s="191"/>
      <c r="AI18" s="127"/>
      <c r="AJ18" s="191"/>
      <c r="AK18" s="191"/>
      <c r="AL18" s="190"/>
      <c r="AM18" s="191"/>
      <c r="AQ18" s="194"/>
      <c r="AR18" s="127"/>
      <c r="AS18" s="194"/>
      <c r="AT18" s="194"/>
      <c r="AU18" s="194"/>
      <c r="AV18" s="194"/>
      <c r="AW18" s="194"/>
      <c r="AX18" s="194"/>
      <c r="AY18" s="193"/>
      <c r="AZ18" s="194"/>
      <c r="BA18" s="21"/>
      <c r="BE18" s="188" t="s">
        <v>738</v>
      </c>
      <c r="BF18" s="188" t="s">
        <v>3745</v>
      </c>
      <c r="BG18" s="127">
        <v>42902</v>
      </c>
      <c r="BH18" s="188" t="s">
        <v>10</v>
      </c>
      <c r="BI18" s="188" t="s">
        <v>598</v>
      </c>
      <c r="BJ18" s="189">
        <v>5000</v>
      </c>
      <c r="BK18" s="188" t="s">
        <v>493</v>
      </c>
      <c r="BL18" s="188" t="s">
        <v>598</v>
      </c>
      <c r="BM18" s="189">
        <v>0</v>
      </c>
      <c r="BN18" s="188" t="s">
        <v>598</v>
      </c>
      <c r="BO18" s="127">
        <v>42860</v>
      </c>
      <c r="BP18" s="188" t="s">
        <v>118</v>
      </c>
      <c r="BQ18" s="188" t="s">
        <v>108</v>
      </c>
      <c r="BR18" s="188" t="s">
        <v>167</v>
      </c>
      <c r="BS18" s="188" t="s">
        <v>598</v>
      </c>
      <c r="BT18" s="188" t="s">
        <v>30</v>
      </c>
      <c r="BU18" s="188" t="s">
        <v>30</v>
      </c>
      <c r="BV18" s="188" t="s">
        <v>598</v>
      </c>
      <c r="BZ18" s="188">
        <v>17</v>
      </c>
      <c r="CA18" s="127">
        <v>42860</v>
      </c>
      <c r="CB18" s="188" t="s">
        <v>495</v>
      </c>
      <c r="CC18" s="188" t="s">
        <v>322</v>
      </c>
      <c r="CD18" s="188" t="s">
        <v>73</v>
      </c>
      <c r="CE18" s="188"/>
      <c r="CF18" s="188" t="s">
        <v>34</v>
      </c>
      <c r="CG18" s="188"/>
      <c r="CH18" s="189">
        <v>500</v>
      </c>
      <c r="CI18" s="188"/>
    </row>
    <row r="19" spans="5:87">
      <c r="Q19" s="191"/>
      <c r="R19" s="191"/>
      <c r="S19" s="191"/>
      <c r="T19" s="127"/>
      <c r="U19" s="127"/>
      <c r="V19" s="191"/>
      <c r="W19" s="190"/>
      <c r="X19" s="191"/>
      <c r="Y19" s="191"/>
      <c r="Z19" s="191"/>
      <c r="AA19" s="191"/>
      <c r="AB19" s="191"/>
      <c r="AC19" s="191"/>
      <c r="AD19" s="191"/>
      <c r="AE19" s="191"/>
      <c r="AF19" s="191"/>
      <c r="AG19" s="191"/>
      <c r="AH19" s="191"/>
      <c r="AI19" s="127"/>
      <c r="AJ19" s="191"/>
      <c r="AK19" s="191"/>
      <c r="AL19" s="190"/>
      <c r="AM19" s="191"/>
      <c r="AQ19" s="194"/>
      <c r="AR19" s="127"/>
      <c r="AS19" s="194"/>
      <c r="AT19" s="194"/>
      <c r="AU19" s="194"/>
      <c r="AV19" s="194"/>
      <c r="AW19" s="194"/>
      <c r="AX19" s="194"/>
      <c r="AY19" s="193"/>
      <c r="AZ19" s="194"/>
      <c r="BA19" s="21"/>
      <c r="BE19" s="188" t="s">
        <v>744</v>
      </c>
      <c r="BF19" s="188" t="s">
        <v>3746</v>
      </c>
      <c r="BG19" s="127">
        <v>42892</v>
      </c>
      <c r="BH19" s="188" t="s">
        <v>10</v>
      </c>
      <c r="BI19" s="188" t="s">
        <v>598</v>
      </c>
      <c r="BJ19" s="189">
        <v>4000</v>
      </c>
      <c r="BK19" s="188" t="s">
        <v>493</v>
      </c>
      <c r="BL19" s="188" t="s">
        <v>598</v>
      </c>
      <c r="BM19" s="189">
        <v>0</v>
      </c>
      <c r="BN19" s="188" t="s">
        <v>598</v>
      </c>
      <c r="BO19" s="127">
        <v>42864</v>
      </c>
      <c r="BP19" s="188" t="s">
        <v>132</v>
      </c>
      <c r="BQ19" s="188" t="s">
        <v>108</v>
      </c>
      <c r="BR19" s="188" t="s">
        <v>181</v>
      </c>
      <c r="BS19" s="188" t="s">
        <v>598</v>
      </c>
      <c r="BT19" s="188" t="s">
        <v>30</v>
      </c>
      <c r="BU19" s="188" t="s">
        <v>30</v>
      </c>
      <c r="BV19" s="188" t="s">
        <v>598</v>
      </c>
      <c r="BZ19" s="188">
        <v>18</v>
      </c>
      <c r="CA19" s="127">
        <v>42860</v>
      </c>
      <c r="CB19" s="188" t="s">
        <v>495</v>
      </c>
      <c r="CC19" s="188" t="s">
        <v>322</v>
      </c>
      <c r="CD19" s="188" t="s">
        <v>79</v>
      </c>
      <c r="CE19" s="188"/>
      <c r="CF19" s="188" t="s">
        <v>34</v>
      </c>
      <c r="CG19" s="188"/>
      <c r="CH19" s="189">
        <v>500</v>
      </c>
      <c r="CI19" s="188"/>
    </row>
    <row r="20" spans="5:87">
      <c r="E20" s="21"/>
      <c r="Q20" s="191"/>
      <c r="R20" s="191"/>
      <c r="S20" s="191"/>
      <c r="T20" s="127"/>
      <c r="U20" s="127"/>
      <c r="V20" s="191"/>
      <c r="W20" s="190"/>
      <c r="X20" s="191"/>
      <c r="Y20" s="191"/>
      <c r="Z20" s="191"/>
      <c r="AA20" s="191"/>
      <c r="AB20" s="191"/>
      <c r="AC20" s="191"/>
      <c r="AD20" s="191"/>
      <c r="AE20" s="191"/>
      <c r="AF20" s="191"/>
      <c r="AG20" s="191"/>
      <c r="AH20" s="191"/>
      <c r="AI20" s="127"/>
      <c r="AJ20" s="191"/>
      <c r="AK20" s="191"/>
      <c r="AL20" s="190"/>
      <c r="AM20" s="191"/>
      <c r="AQ20" s="194"/>
      <c r="AR20" s="127"/>
      <c r="AS20" s="194"/>
      <c r="AT20" s="194"/>
      <c r="AU20" s="194"/>
      <c r="AV20" s="194"/>
      <c r="AW20" s="194"/>
      <c r="AX20" s="194"/>
      <c r="AY20" s="193"/>
      <c r="AZ20" s="194"/>
      <c r="BA20" s="21"/>
      <c r="BE20" s="188" t="s">
        <v>746</v>
      </c>
      <c r="BF20" s="188" t="s">
        <v>3747</v>
      </c>
      <c r="BG20" s="127">
        <v>42893</v>
      </c>
      <c r="BH20" s="188" t="s">
        <v>10</v>
      </c>
      <c r="BI20" s="188" t="s">
        <v>598</v>
      </c>
      <c r="BJ20" s="189">
        <v>10000</v>
      </c>
      <c r="BK20" s="188" t="s">
        <v>493</v>
      </c>
      <c r="BL20" s="188" t="s">
        <v>598</v>
      </c>
      <c r="BM20" s="189">
        <v>0</v>
      </c>
      <c r="BN20" s="188" t="s">
        <v>598</v>
      </c>
      <c r="BO20" s="127">
        <v>42864</v>
      </c>
      <c r="BP20" s="188" t="s">
        <v>107</v>
      </c>
      <c r="BQ20" s="188" t="s">
        <v>108</v>
      </c>
      <c r="BR20" s="188" t="s">
        <v>181</v>
      </c>
      <c r="BS20" s="188" t="s">
        <v>598</v>
      </c>
      <c r="BT20" s="188" t="s">
        <v>30</v>
      </c>
      <c r="BU20" s="188" t="s">
        <v>30</v>
      </c>
      <c r="BV20" s="188" t="s">
        <v>598</v>
      </c>
      <c r="BZ20" s="188">
        <v>19</v>
      </c>
      <c r="CA20" s="127">
        <v>42860</v>
      </c>
      <c r="CB20" s="188" t="s">
        <v>495</v>
      </c>
      <c r="CC20" s="188" t="s">
        <v>322</v>
      </c>
      <c r="CD20" s="188" t="s">
        <v>30</v>
      </c>
      <c r="CE20" s="188"/>
      <c r="CF20" s="188" t="s">
        <v>34</v>
      </c>
      <c r="CG20" s="188"/>
      <c r="CH20" s="189">
        <v>800</v>
      </c>
      <c r="CI20" s="188"/>
    </row>
    <row r="21" spans="5:87">
      <c r="E21" s="21"/>
      <c r="Q21" s="191"/>
      <c r="R21" s="191"/>
      <c r="S21" s="191"/>
      <c r="T21" s="127"/>
      <c r="U21" s="127"/>
      <c r="V21" s="191"/>
      <c r="W21" s="190"/>
      <c r="X21" s="191"/>
      <c r="Y21" s="191"/>
      <c r="Z21" s="191"/>
      <c r="AA21" s="191"/>
      <c r="AB21" s="191"/>
      <c r="AC21" s="191"/>
      <c r="AD21" s="191"/>
      <c r="AE21" s="191"/>
      <c r="AF21" s="191"/>
      <c r="AG21" s="191"/>
      <c r="AH21" s="191"/>
      <c r="AI21" s="127"/>
      <c r="AJ21" s="191"/>
      <c r="AK21" s="191"/>
      <c r="AL21" s="190"/>
      <c r="AM21" s="191"/>
      <c r="AQ21" s="194"/>
      <c r="AR21" s="127"/>
      <c r="AS21" s="194"/>
      <c r="AT21" s="194"/>
      <c r="AU21" s="194"/>
      <c r="AV21" s="194"/>
      <c r="AW21" s="194"/>
      <c r="AX21" s="194"/>
      <c r="AY21" s="193"/>
      <c r="AZ21" s="194"/>
      <c r="BA21" s="21"/>
      <c r="BE21" s="188" t="s">
        <v>758</v>
      </c>
      <c r="BF21" s="188" t="s">
        <v>3748</v>
      </c>
      <c r="BG21" s="127">
        <v>42893</v>
      </c>
      <c r="BH21" s="188" t="s">
        <v>10</v>
      </c>
      <c r="BI21" s="188" t="s">
        <v>598</v>
      </c>
      <c r="BJ21" s="189">
        <v>4000</v>
      </c>
      <c r="BK21" s="188" t="s">
        <v>493</v>
      </c>
      <c r="BL21" s="188" t="s">
        <v>598</v>
      </c>
      <c r="BM21" s="189">
        <v>0</v>
      </c>
      <c r="BN21" s="188" t="s">
        <v>598</v>
      </c>
      <c r="BO21" s="127">
        <v>42867</v>
      </c>
      <c r="BP21" s="188" t="s">
        <v>134</v>
      </c>
      <c r="BQ21" s="188" t="s">
        <v>108</v>
      </c>
      <c r="BR21" s="188" t="s">
        <v>175</v>
      </c>
      <c r="BS21" s="188" t="s">
        <v>598</v>
      </c>
      <c r="BT21" s="188" t="s">
        <v>30</v>
      </c>
      <c r="BU21" s="188" t="s">
        <v>30</v>
      </c>
      <c r="BV21" s="188" t="s">
        <v>598</v>
      </c>
      <c r="BZ21" s="188">
        <v>20</v>
      </c>
      <c r="CA21" s="127">
        <v>42860</v>
      </c>
      <c r="CB21" s="188" t="s">
        <v>495</v>
      </c>
      <c r="CC21" s="188" t="s">
        <v>322</v>
      </c>
      <c r="CD21" s="188" t="s">
        <v>98</v>
      </c>
      <c r="CE21" s="188"/>
      <c r="CF21" s="188" t="s">
        <v>34</v>
      </c>
      <c r="CG21" s="188"/>
      <c r="CH21" s="189">
        <v>500</v>
      </c>
      <c r="CI21" s="188"/>
    </row>
    <row r="22" spans="5:87">
      <c r="E22" s="21"/>
      <c r="Q22" s="191"/>
      <c r="R22" s="191"/>
      <c r="S22" s="191"/>
      <c r="T22" s="127"/>
      <c r="U22" s="127"/>
      <c r="V22" s="191"/>
      <c r="W22" s="190"/>
      <c r="X22" s="191"/>
      <c r="Y22" s="191"/>
      <c r="Z22" s="191"/>
      <c r="AA22" s="191"/>
      <c r="AB22" s="191"/>
      <c r="AC22" s="191"/>
      <c r="AD22" s="191"/>
      <c r="AE22" s="191"/>
      <c r="AF22" s="191"/>
      <c r="AG22" s="191"/>
      <c r="AH22" s="191"/>
      <c r="AI22" s="127"/>
      <c r="AJ22" s="191"/>
      <c r="AK22" s="191"/>
      <c r="AL22" s="190"/>
      <c r="AM22" s="191"/>
      <c r="AQ22" s="194"/>
      <c r="AR22" s="127"/>
      <c r="AS22" s="194"/>
      <c r="AT22" s="194"/>
      <c r="AU22" s="194"/>
      <c r="AV22" s="194"/>
      <c r="AW22" s="194"/>
      <c r="AX22" s="194"/>
      <c r="AY22" s="193"/>
      <c r="AZ22" s="194"/>
      <c r="BA22" s="21"/>
      <c r="BE22" s="188" t="s">
        <v>762</v>
      </c>
      <c r="BF22" s="188" t="s">
        <v>3749</v>
      </c>
      <c r="BG22" s="127">
        <v>42895</v>
      </c>
      <c r="BH22" s="188" t="s">
        <v>10</v>
      </c>
      <c r="BI22" s="188" t="s">
        <v>598</v>
      </c>
      <c r="BJ22" s="189">
        <v>5000</v>
      </c>
      <c r="BK22" s="188" t="s">
        <v>493</v>
      </c>
      <c r="BL22" s="188" t="s">
        <v>598</v>
      </c>
      <c r="BM22" s="189">
        <v>0</v>
      </c>
      <c r="BN22" s="188" t="s">
        <v>598</v>
      </c>
      <c r="BO22" s="127">
        <v>42871</v>
      </c>
      <c r="BP22" s="188" t="s">
        <v>134</v>
      </c>
      <c r="BQ22" s="188" t="s">
        <v>108</v>
      </c>
      <c r="BR22" s="188" t="s">
        <v>164</v>
      </c>
      <c r="BS22" s="188" t="s">
        <v>598</v>
      </c>
      <c r="BT22" s="188" t="s">
        <v>30</v>
      </c>
      <c r="BU22" s="188" t="s">
        <v>30</v>
      </c>
      <c r="BV22" s="188" t="s">
        <v>598</v>
      </c>
      <c r="BZ22" s="188">
        <v>21</v>
      </c>
      <c r="CA22" s="127">
        <v>42860</v>
      </c>
      <c r="CB22" s="188" t="s">
        <v>495</v>
      </c>
      <c r="CC22" s="188" t="s">
        <v>322</v>
      </c>
      <c r="CD22" s="188" t="s">
        <v>51</v>
      </c>
      <c r="CE22" s="188"/>
      <c r="CF22" s="188" t="s">
        <v>34</v>
      </c>
      <c r="CG22" s="188"/>
      <c r="CH22" s="189">
        <v>500</v>
      </c>
      <c r="CI22" s="188"/>
    </row>
    <row r="23" spans="5:87">
      <c r="E23" s="21"/>
      <c r="Q23" s="191"/>
      <c r="R23" s="191"/>
      <c r="S23" s="191"/>
      <c r="T23" s="127"/>
      <c r="U23" s="127"/>
      <c r="V23" s="191"/>
      <c r="W23" s="190"/>
      <c r="X23" s="191"/>
      <c r="Y23" s="191"/>
      <c r="Z23" s="191"/>
      <c r="AA23" s="191"/>
      <c r="AB23" s="191"/>
      <c r="AC23" s="191"/>
      <c r="AD23" s="191"/>
      <c r="AE23" s="191"/>
      <c r="AF23" s="191"/>
      <c r="AG23" s="191"/>
      <c r="AH23" s="191"/>
      <c r="AI23" s="127"/>
      <c r="AJ23" s="191"/>
      <c r="AK23" s="191"/>
      <c r="AL23" s="190"/>
      <c r="AM23" s="191"/>
      <c r="AQ23" s="194"/>
      <c r="AR23" s="127"/>
      <c r="AS23" s="194"/>
      <c r="AT23" s="194"/>
      <c r="AU23" s="194"/>
      <c r="AV23" s="194"/>
      <c r="AW23" s="194"/>
      <c r="AX23" s="194"/>
      <c r="AY23" s="193"/>
      <c r="AZ23" s="194"/>
      <c r="BA23" s="21"/>
      <c r="BE23" s="188" t="s">
        <v>768</v>
      </c>
      <c r="BF23" s="188" t="s">
        <v>3750</v>
      </c>
      <c r="BG23" s="127">
        <v>42887</v>
      </c>
      <c r="BH23" s="188" t="s">
        <v>10</v>
      </c>
      <c r="BI23" s="188" t="s">
        <v>598</v>
      </c>
      <c r="BJ23" s="189">
        <v>4000</v>
      </c>
      <c r="BK23" s="188" t="s">
        <v>493</v>
      </c>
      <c r="BL23" s="188" t="s">
        <v>598</v>
      </c>
      <c r="BM23" s="189">
        <v>0</v>
      </c>
      <c r="BN23" s="188" t="s">
        <v>598</v>
      </c>
      <c r="BO23" s="127">
        <v>42873</v>
      </c>
      <c r="BP23" s="188" t="s">
        <v>134</v>
      </c>
      <c r="BQ23" s="188" t="s">
        <v>108</v>
      </c>
      <c r="BR23" s="188" t="s">
        <v>185</v>
      </c>
      <c r="BS23" s="188" t="s">
        <v>598</v>
      </c>
      <c r="BT23" s="188" t="s">
        <v>30</v>
      </c>
      <c r="BU23" s="188" t="s">
        <v>30</v>
      </c>
      <c r="BV23" s="188" t="s">
        <v>598</v>
      </c>
      <c r="BZ23" s="188">
        <v>22</v>
      </c>
      <c r="CA23" s="127">
        <v>42860</v>
      </c>
      <c r="CB23" s="188" t="s">
        <v>495</v>
      </c>
      <c r="CC23" s="188" t="s">
        <v>322</v>
      </c>
      <c r="CD23" s="188" t="s">
        <v>112</v>
      </c>
      <c r="CE23" s="188"/>
      <c r="CF23" s="188" t="s">
        <v>34</v>
      </c>
      <c r="CG23" s="188"/>
      <c r="CH23" s="189">
        <v>700</v>
      </c>
      <c r="CI23" s="188"/>
    </row>
    <row r="24" spans="5:87">
      <c r="E24" s="21"/>
      <c r="Q24" s="191"/>
      <c r="R24" s="191"/>
      <c r="S24" s="191"/>
      <c r="T24" s="127"/>
      <c r="U24" s="127"/>
      <c r="V24" s="191"/>
      <c r="W24" s="190"/>
      <c r="X24" s="191"/>
      <c r="Y24" s="191"/>
      <c r="Z24" s="191"/>
      <c r="AA24" s="191"/>
      <c r="AB24" s="191"/>
      <c r="AC24" s="191"/>
      <c r="AD24" s="191"/>
      <c r="AE24" s="191"/>
      <c r="AF24" s="191"/>
      <c r="AG24" s="191"/>
      <c r="AH24" s="191"/>
      <c r="AI24" s="127"/>
      <c r="AJ24" s="191"/>
      <c r="AK24" s="191"/>
      <c r="AL24" s="190"/>
      <c r="AM24" s="191"/>
      <c r="AQ24" s="194"/>
      <c r="AR24" s="127"/>
      <c r="AS24" s="194"/>
      <c r="AT24" s="194"/>
      <c r="AU24" s="194"/>
      <c r="AV24" s="194"/>
      <c r="AW24" s="194"/>
      <c r="AX24" s="194"/>
      <c r="AY24" s="193"/>
      <c r="AZ24" s="194"/>
      <c r="BA24" s="21"/>
      <c r="BE24" s="188" t="s">
        <v>772</v>
      </c>
      <c r="BF24" s="188" t="s">
        <v>3751</v>
      </c>
      <c r="BG24" s="127">
        <v>42902</v>
      </c>
      <c r="BH24" s="188" t="s">
        <v>10</v>
      </c>
      <c r="BI24" s="188" t="s">
        <v>598</v>
      </c>
      <c r="BJ24" s="189">
        <v>4000</v>
      </c>
      <c r="BK24" s="188" t="s">
        <v>493</v>
      </c>
      <c r="BL24" s="188" t="s">
        <v>598</v>
      </c>
      <c r="BM24" s="189">
        <v>0</v>
      </c>
      <c r="BN24" s="188" t="s">
        <v>598</v>
      </c>
      <c r="BO24" s="127">
        <v>42875</v>
      </c>
      <c r="BP24" s="188" t="s">
        <v>134</v>
      </c>
      <c r="BQ24" s="188" t="s">
        <v>108</v>
      </c>
      <c r="BR24" s="188" t="s">
        <v>175</v>
      </c>
      <c r="BS24" s="188" t="s">
        <v>598</v>
      </c>
      <c r="BT24" s="188" t="s">
        <v>30</v>
      </c>
      <c r="BU24" s="188" t="s">
        <v>30</v>
      </c>
      <c r="BV24" s="188" t="s">
        <v>598</v>
      </c>
      <c r="BZ24" s="188">
        <v>23</v>
      </c>
      <c r="CA24" s="127">
        <v>42860</v>
      </c>
      <c r="CB24" s="188" t="s">
        <v>495</v>
      </c>
      <c r="CC24" s="188" t="s">
        <v>322</v>
      </c>
      <c r="CD24" s="188" t="s">
        <v>176</v>
      </c>
      <c r="CE24" s="188"/>
      <c r="CF24" s="188" t="s">
        <v>34</v>
      </c>
      <c r="CG24" s="188"/>
      <c r="CH24" s="189">
        <v>500</v>
      </c>
      <c r="CI24" s="188"/>
    </row>
    <row r="25" spans="5:87">
      <c r="E25" s="21"/>
      <c r="Q25" s="191"/>
      <c r="R25" s="191"/>
      <c r="S25" s="191"/>
      <c r="T25" s="127"/>
      <c r="U25" s="127"/>
      <c r="V25" s="191"/>
      <c r="W25" s="190"/>
      <c r="X25" s="191"/>
      <c r="Y25" s="191"/>
      <c r="Z25" s="191"/>
      <c r="AA25" s="191"/>
      <c r="AB25" s="191"/>
      <c r="AC25" s="191"/>
      <c r="AD25" s="191"/>
      <c r="AE25" s="191"/>
      <c r="AF25" s="191"/>
      <c r="AG25" s="191"/>
      <c r="AH25" s="191"/>
      <c r="AI25" s="127"/>
      <c r="AJ25" s="191"/>
      <c r="AK25" s="191"/>
      <c r="AL25" s="190"/>
      <c r="AM25" s="191"/>
      <c r="AQ25" s="194"/>
      <c r="AR25" s="127"/>
      <c r="AS25" s="194"/>
      <c r="AT25" s="194"/>
      <c r="AU25" s="194"/>
      <c r="AV25" s="194"/>
      <c r="AW25" s="194"/>
      <c r="AX25" s="194"/>
      <c r="AY25" s="193"/>
      <c r="AZ25" s="194"/>
      <c r="BA25" s="21"/>
      <c r="BE25" s="188" t="s">
        <v>780</v>
      </c>
      <c r="BF25" s="188" t="s">
        <v>3752</v>
      </c>
      <c r="BG25" s="127">
        <v>42902</v>
      </c>
      <c r="BH25" s="188" t="s">
        <v>10</v>
      </c>
      <c r="BI25" s="188" t="s">
        <v>598</v>
      </c>
      <c r="BJ25" s="189">
        <v>3500</v>
      </c>
      <c r="BK25" s="188" t="s">
        <v>493</v>
      </c>
      <c r="BL25" s="188" t="s">
        <v>598</v>
      </c>
      <c r="BM25" s="189">
        <v>0</v>
      </c>
      <c r="BN25" s="188" t="s">
        <v>598</v>
      </c>
      <c r="BO25" s="127">
        <v>42879</v>
      </c>
      <c r="BP25" s="188" t="s">
        <v>134</v>
      </c>
      <c r="BQ25" s="188" t="s">
        <v>108</v>
      </c>
      <c r="BR25" s="188" t="s">
        <v>187</v>
      </c>
      <c r="BS25" s="188" t="s">
        <v>598</v>
      </c>
      <c r="BT25" s="188" t="s">
        <v>30</v>
      </c>
      <c r="BU25" s="188" t="s">
        <v>30</v>
      </c>
      <c r="BV25" s="188" t="s">
        <v>598</v>
      </c>
      <c r="BZ25" s="188">
        <v>24</v>
      </c>
      <c r="CA25" s="127">
        <v>42860</v>
      </c>
      <c r="CB25" s="188" t="s">
        <v>495</v>
      </c>
      <c r="CC25" s="188" t="s">
        <v>322</v>
      </c>
      <c r="CD25" s="188" t="s">
        <v>65</v>
      </c>
      <c r="CE25" s="188"/>
      <c r="CF25" s="188" t="s">
        <v>34</v>
      </c>
      <c r="CG25" s="188"/>
      <c r="CH25" s="189">
        <v>500</v>
      </c>
      <c r="CI25" s="188"/>
    </row>
    <row r="26" spans="5:87">
      <c r="E26" s="21"/>
      <c r="Q26" s="191"/>
      <c r="R26" s="191"/>
      <c r="S26" s="191"/>
      <c r="T26" s="127"/>
      <c r="U26" s="127"/>
      <c r="V26" s="191"/>
      <c r="W26" s="190"/>
      <c r="X26" s="191"/>
      <c r="Y26" s="191"/>
      <c r="Z26" s="191"/>
      <c r="AA26" s="191"/>
      <c r="AB26" s="191"/>
      <c r="AC26" s="191"/>
      <c r="AD26" s="191"/>
      <c r="AE26" s="191"/>
      <c r="AF26" s="191"/>
      <c r="AG26" s="191"/>
      <c r="AH26" s="191"/>
      <c r="AI26" s="127"/>
      <c r="AJ26" s="191"/>
      <c r="AK26" s="191"/>
      <c r="AL26" s="190"/>
      <c r="AM26" s="191"/>
      <c r="AQ26" s="194"/>
      <c r="AR26" s="127"/>
      <c r="AS26" s="194"/>
      <c r="AT26" s="194"/>
      <c r="AU26" s="194"/>
      <c r="AV26" s="194"/>
      <c r="AW26" s="194"/>
      <c r="AX26" s="194"/>
      <c r="AY26" s="193"/>
      <c r="AZ26" s="194"/>
      <c r="BA26" s="21"/>
      <c r="BE26" s="188" t="s">
        <v>784</v>
      </c>
      <c r="BF26" s="188" t="s">
        <v>3753</v>
      </c>
      <c r="BG26" s="127">
        <v>42887</v>
      </c>
      <c r="BH26" s="188" t="s">
        <v>10</v>
      </c>
      <c r="BI26" s="188" t="s">
        <v>598</v>
      </c>
      <c r="BJ26" s="189">
        <v>2000</v>
      </c>
      <c r="BK26" s="188" t="s">
        <v>493</v>
      </c>
      <c r="BL26" s="188" t="s">
        <v>598</v>
      </c>
      <c r="BM26" s="189">
        <v>0</v>
      </c>
      <c r="BN26" s="188" t="s">
        <v>598</v>
      </c>
      <c r="BO26" s="127">
        <v>42880</v>
      </c>
      <c r="BP26" s="188" t="s">
        <v>118</v>
      </c>
      <c r="BQ26" s="188" t="s">
        <v>108</v>
      </c>
      <c r="BR26" s="188" t="s">
        <v>188</v>
      </c>
      <c r="BS26" s="188" t="s">
        <v>598</v>
      </c>
      <c r="BT26" s="188" t="s">
        <v>30</v>
      </c>
      <c r="BU26" s="188" t="s">
        <v>30</v>
      </c>
      <c r="BV26" s="188" t="s">
        <v>598</v>
      </c>
      <c r="BZ26" s="188">
        <v>25</v>
      </c>
      <c r="CA26" s="127">
        <v>42863</v>
      </c>
      <c r="CB26" s="188" t="s">
        <v>4426</v>
      </c>
      <c r="CC26" s="188" t="s">
        <v>320</v>
      </c>
      <c r="CD26" s="188" t="s">
        <v>321</v>
      </c>
      <c r="CE26" s="188"/>
      <c r="CF26" s="188" t="s">
        <v>34</v>
      </c>
      <c r="CG26" s="188"/>
      <c r="CH26" s="189">
        <v>500</v>
      </c>
      <c r="CI26" s="188"/>
    </row>
    <row r="27" spans="5:87">
      <c r="E27" s="21"/>
      <c r="Q27" s="191"/>
      <c r="R27" s="191"/>
      <c r="S27" s="191"/>
      <c r="T27" s="127"/>
      <c r="U27" s="127"/>
      <c r="V27" s="191"/>
      <c r="W27" s="190"/>
      <c r="X27" s="191"/>
      <c r="Y27" s="191"/>
      <c r="Z27" s="191"/>
      <c r="AA27" s="191"/>
      <c r="AB27" s="191"/>
      <c r="AC27" s="191"/>
      <c r="AD27" s="191"/>
      <c r="AE27" s="191"/>
      <c r="AF27" s="191"/>
      <c r="AG27" s="191"/>
      <c r="AH27" s="191"/>
      <c r="AI27" s="127"/>
      <c r="AJ27" s="191"/>
      <c r="AK27" s="191"/>
      <c r="AL27" s="190"/>
      <c r="AM27" s="191"/>
      <c r="AQ27" s="194"/>
      <c r="AR27" s="127"/>
      <c r="AS27" s="194"/>
      <c r="AT27" s="194"/>
      <c r="AU27" s="194"/>
      <c r="AV27" s="194"/>
      <c r="AW27" s="194"/>
      <c r="AX27" s="194"/>
      <c r="AY27" s="193"/>
      <c r="AZ27" s="194"/>
      <c r="BA27" s="21"/>
      <c r="BE27" s="188" t="s">
        <v>786</v>
      </c>
      <c r="BF27" s="188" t="s">
        <v>3754</v>
      </c>
      <c r="BG27" s="127">
        <v>42887</v>
      </c>
      <c r="BH27" s="188" t="s">
        <v>10</v>
      </c>
      <c r="BI27" s="188" t="s">
        <v>598</v>
      </c>
      <c r="BJ27" s="189">
        <v>2000</v>
      </c>
      <c r="BK27" s="188" t="s">
        <v>493</v>
      </c>
      <c r="BL27" s="188" t="s">
        <v>598</v>
      </c>
      <c r="BM27" s="189">
        <v>0</v>
      </c>
      <c r="BN27" s="188" t="s">
        <v>598</v>
      </c>
      <c r="BO27" s="127">
        <v>42880</v>
      </c>
      <c r="BP27" s="188" t="s">
        <v>118</v>
      </c>
      <c r="BQ27" s="188" t="s">
        <v>108</v>
      </c>
      <c r="BR27" s="188" t="s">
        <v>188</v>
      </c>
      <c r="BS27" s="188" t="s">
        <v>598</v>
      </c>
      <c r="BT27" s="188" t="s">
        <v>30</v>
      </c>
      <c r="BU27" s="188" t="s">
        <v>30</v>
      </c>
      <c r="BV27" s="188" t="s">
        <v>598</v>
      </c>
      <c r="BZ27" s="188">
        <v>26</v>
      </c>
      <c r="CA27" s="127">
        <v>42863</v>
      </c>
      <c r="CB27" s="188" t="s">
        <v>4435</v>
      </c>
      <c r="CC27" s="188" t="s">
        <v>320</v>
      </c>
      <c r="CD27" s="188"/>
      <c r="CE27" s="188"/>
      <c r="CF27" s="188" t="s">
        <v>34</v>
      </c>
      <c r="CG27" s="188"/>
      <c r="CH27" s="189">
        <v>800</v>
      </c>
      <c r="CI27" s="188"/>
    </row>
    <row r="28" spans="5:87">
      <c r="E28" s="21"/>
      <c r="Q28" s="191"/>
      <c r="R28" s="191"/>
      <c r="S28" s="191"/>
      <c r="T28" s="127"/>
      <c r="U28" s="127"/>
      <c r="V28" s="191"/>
      <c r="W28" s="190"/>
      <c r="X28" s="191"/>
      <c r="Y28" s="191"/>
      <c r="Z28" s="191"/>
      <c r="AA28" s="191"/>
      <c r="AB28" s="191"/>
      <c r="AC28" s="191"/>
      <c r="AD28" s="191"/>
      <c r="AE28" s="191"/>
      <c r="AF28" s="191"/>
      <c r="AG28" s="191"/>
      <c r="AH28" s="191"/>
      <c r="AI28" s="127"/>
      <c r="AJ28" s="191"/>
      <c r="AK28" s="191"/>
      <c r="AL28" s="190"/>
      <c r="AM28" s="191"/>
      <c r="AQ28" s="194"/>
      <c r="AR28" s="127"/>
      <c r="AS28" s="194"/>
      <c r="AT28" s="194"/>
      <c r="AU28" s="194"/>
      <c r="AV28" s="194"/>
      <c r="AW28" s="194"/>
      <c r="AX28" s="194"/>
      <c r="AY28" s="193"/>
      <c r="AZ28" s="194"/>
      <c r="BA28" s="21"/>
      <c r="BE28" s="188" t="s">
        <v>790</v>
      </c>
      <c r="BF28" s="188" t="s">
        <v>3755</v>
      </c>
      <c r="BG28" s="127">
        <v>42891</v>
      </c>
      <c r="BH28" s="188" t="s">
        <v>10</v>
      </c>
      <c r="BI28" s="188" t="s">
        <v>598</v>
      </c>
      <c r="BJ28" s="189">
        <v>2000</v>
      </c>
      <c r="BK28" s="188" t="s">
        <v>493</v>
      </c>
      <c r="BL28" s="188" t="s">
        <v>598</v>
      </c>
      <c r="BM28" s="189">
        <v>0</v>
      </c>
      <c r="BN28" s="188" t="s">
        <v>598</v>
      </c>
      <c r="BO28" s="127">
        <v>42881</v>
      </c>
      <c r="BP28" s="188" t="s">
        <v>118</v>
      </c>
      <c r="BQ28" s="188" t="s">
        <v>108</v>
      </c>
      <c r="BR28" s="188" t="s">
        <v>188</v>
      </c>
      <c r="BS28" s="188" t="s">
        <v>598</v>
      </c>
      <c r="BT28" s="188" t="s">
        <v>30</v>
      </c>
      <c r="BU28" s="188" t="s">
        <v>30</v>
      </c>
      <c r="BV28" s="188" t="s">
        <v>598</v>
      </c>
      <c r="BZ28" s="188">
        <v>27</v>
      </c>
      <c r="CA28" s="127">
        <v>42863</v>
      </c>
      <c r="CB28" s="188" t="s">
        <v>495</v>
      </c>
      <c r="CC28" s="188" t="s">
        <v>322</v>
      </c>
      <c r="CD28" s="188" t="s">
        <v>63</v>
      </c>
      <c r="CE28" s="188"/>
      <c r="CF28" s="188" t="s">
        <v>34</v>
      </c>
      <c r="CG28" s="188"/>
      <c r="CH28" s="189">
        <v>500</v>
      </c>
      <c r="CI28" s="188"/>
    </row>
    <row r="29" spans="5:87">
      <c r="E29" s="21"/>
      <c r="Q29" s="191"/>
      <c r="R29" s="191"/>
      <c r="S29" s="191"/>
      <c r="T29" s="127"/>
      <c r="U29" s="127"/>
      <c r="V29" s="191"/>
      <c r="W29" s="190"/>
      <c r="X29" s="191"/>
      <c r="Y29" s="191"/>
      <c r="Z29" s="191"/>
      <c r="AA29" s="191"/>
      <c r="AB29" s="191"/>
      <c r="AC29" s="191"/>
      <c r="AD29" s="191"/>
      <c r="AE29" s="191"/>
      <c r="AF29" s="191"/>
      <c r="AG29" s="191"/>
      <c r="AH29" s="191"/>
      <c r="AI29" s="127"/>
      <c r="AJ29" s="191"/>
      <c r="AK29" s="191"/>
      <c r="AL29" s="190"/>
      <c r="AM29" s="191"/>
      <c r="AQ29" s="194"/>
      <c r="AR29" s="127"/>
      <c r="AS29" s="194"/>
      <c r="AT29" s="194"/>
      <c r="AU29" s="194"/>
      <c r="AV29" s="194"/>
      <c r="AW29" s="194"/>
      <c r="AX29" s="194"/>
      <c r="AY29" s="193"/>
      <c r="AZ29" s="194"/>
      <c r="BA29" s="21"/>
      <c r="BE29" s="188" t="s">
        <v>798</v>
      </c>
      <c r="BF29" s="188" t="s">
        <v>3756</v>
      </c>
      <c r="BG29" s="127">
        <v>42887</v>
      </c>
      <c r="BH29" s="188" t="s">
        <v>10</v>
      </c>
      <c r="BI29" s="188" t="s">
        <v>598</v>
      </c>
      <c r="BJ29" s="189">
        <v>2000</v>
      </c>
      <c r="BK29" s="188" t="s">
        <v>493</v>
      </c>
      <c r="BL29" s="188" t="s">
        <v>598</v>
      </c>
      <c r="BM29" s="189">
        <v>0</v>
      </c>
      <c r="BN29" s="188" t="s">
        <v>598</v>
      </c>
      <c r="BO29" s="127">
        <v>42881</v>
      </c>
      <c r="BP29" s="188" t="s">
        <v>118</v>
      </c>
      <c r="BQ29" s="188" t="s">
        <v>108</v>
      </c>
      <c r="BR29" s="188" t="s">
        <v>171</v>
      </c>
      <c r="BS29" s="188" t="s">
        <v>598</v>
      </c>
      <c r="BT29" s="188" t="s">
        <v>30</v>
      </c>
      <c r="BU29" s="188" t="s">
        <v>30</v>
      </c>
      <c r="BV29" s="188" t="s">
        <v>598</v>
      </c>
      <c r="BZ29" s="188">
        <v>28</v>
      </c>
      <c r="CA29" s="127">
        <v>42863</v>
      </c>
      <c r="CB29" s="188" t="s">
        <v>495</v>
      </c>
      <c r="CC29" s="188" t="s">
        <v>322</v>
      </c>
      <c r="CD29" s="188" t="s">
        <v>86</v>
      </c>
      <c r="CE29" s="188"/>
      <c r="CF29" s="188" t="s">
        <v>34</v>
      </c>
      <c r="CG29" s="188"/>
      <c r="CH29" s="189">
        <v>700</v>
      </c>
      <c r="CI29" s="188"/>
    </row>
    <row r="30" spans="5:87">
      <c r="E30" s="21"/>
      <c r="Q30" s="191"/>
      <c r="R30" s="191"/>
      <c r="S30" s="191"/>
      <c r="T30" s="127"/>
      <c r="U30" s="127"/>
      <c r="V30" s="191"/>
      <c r="W30" s="190"/>
      <c r="X30" s="191"/>
      <c r="Y30" s="191"/>
      <c r="Z30" s="191"/>
      <c r="AA30" s="191"/>
      <c r="AB30" s="191"/>
      <c r="AC30" s="191"/>
      <c r="AD30" s="191"/>
      <c r="AE30" s="191"/>
      <c r="AF30" s="191"/>
      <c r="AG30" s="191"/>
      <c r="AH30" s="191"/>
      <c r="AI30" s="127"/>
      <c r="AJ30" s="191"/>
      <c r="AK30" s="191"/>
      <c r="AL30" s="190"/>
      <c r="AM30" s="191"/>
      <c r="AQ30" s="194"/>
      <c r="AR30" s="127"/>
      <c r="AS30" s="194"/>
      <c r="AT30" s="194"/>
      <c r="AU30" s="194"/>
      <c r="AV30" s="194"/>
      <c r="AW30" s="194"/>
      <c r="AX30" s="194"/>
      <c r="AY30" s="193"/>
      <c r="AZ30" s="194"/>
      <c r="BA30" s="21"/>
      <c r="BE30" s="188" t="s">
        <v>802</v>
      </c>
      <c r="BF30" s="188" t="s">
        <v>3757</v>
      </c>
      <c r="BG30" s="127">
        <v>42888</v>
      </c>
      <c r="BH30" s="188" t="s">
        <v>10</v>
      </c>
      <c r="BI30" s="188" t="s">
        <v>598</v>
      </c>
      <c r="BJ30" s="189">
        <v>1500</v>
      </c>
      <c r="BK30" s="188" t="s">
        <v>493</v>
      </c>
      <c r="BL30" s="188" t="s">
        <v>598</v>
      </c>
      <c r="BM30" s="189">
        <v>0</v>
      </c>
      <c r="BN30" s="188" t="s">
        <v>598</v>
      </c>
      <c r="BO30" s="127">
        <v>42882</v>
      </c>
      <c r="BP30" s="188" t="s">
        <v>118</v>
      </c>
      <c r="BQ30" s="188" t="s">
        <v>108</v>
      </c>
      <c r="BR30" s="188" t="s">
        <v>186</v>
      </c>
      <c r="BS30" s="188" t="s">
        <v>598</v>
      </c>
      <c r="BT30" s="188" t="s">
        <v>30</v>
      </c>
      <c r="BU30" s="188" t="s">
        <v>30</v>
      </c>
      <c r="BV30" s="188" t="s">
        <v>598</v>
      </c>
      <c r="BZ30" s="188">
        <v>29</v>
      </c>
      <c r="CA30" s="127">
        <v>42864</v>
      </c>
      <c r="CB30" s="188" t="s">
        <v>4436</v>
      </c>
      <c r="CC30" s="188" t="s">
        <v>320</v>
      </c>
      <c r="CD30" s="188"/>
      <c r="CE30" s="188"/>
      <c r="CF30" s="188" t="s">
        <v>34</v>
      </c>
      <c r="CG30" s="188"/>
      <c r="CH30" s="189">
        <v>125</v>
      </c>
      <c r="CI30" s="188"/>
    </row>
    <row r="31" spans="5:87">
      <c r="E31" s="21"/>
      <c r="Q31" s="191"/>
      <c r="R31" s="191"/>
      <c r="S31" s="191"/>
      <c r="T31" s="127"/>
      <c r="U31" s="127"/>
      <c r="V31" s="191"/>
      <c r="W31" s="190"/>
      <c r="X31" s="191"/>
      <c r="Y31" s="191"/>
      <c r="Z31" s="191"/>
      <c r="AA31" s="191"/>
      <c r="AB31" s="191"/>
      <c r="AC31" s="191"/>
      <c r="AD31" s="191"/>
      <c r="AE31" s="191"/>
      <c r="AF31" s="191"/>
      <c r="AG31" s="191"/>
      <c r="AH31" s="191"/>
      <c r="AI31" s="127"/>
      <c r="AJ31" s="191"/>
      <c r="AK31" s="191"/>
      <c r="AL31" s="190"/>
      <c r="AM31" s="191"/>
      <c r="AQ31" s="194"/>
      <c r="AR31" s="127"/>
      <c r="AS31" s="194"/>
      <c r="AT31" s="194"/>
      <c r="AU31" s="194"/>
      <c r="AV31" s="194"/>
      <c r="AW31" s="194"/>
      <c r="AX31" s="194"/>
      <c r="AY31" s="193"/>
      <c r="AZ31" s="194"/>
      <c r="BA31" s="21"/>
      <c r="BE31" s="188" t="s">
        <v>807</v>
      </c>
      <c r="BF31" s="188" t="s">
        <v>3758</v>
      </c>
      <c r="BG31" s="127">
        <v>42891</v>
      </c>
      <c r="BH31" s="188" t="s">
        <v>10</v>
      </c>
      <c r="BI31" s="188" t="s">
        <v>598</v>
      </c>
      <c r="BJ31" s="189">
        <v>2000</v>
      </c>
      <c r="BK31" s="188" t="s">
        <v>493</v>
      </c>
      <c r="BL31" s="188" t="s">
        <v>598</v>
      </c>
      <c r="BM31" s="189">
        <v>0</v>
      </c>
      <c r="BN31" s="188" t="s">
        <v>598</v>
      </c>
      <c r="BO31" s="127">
        <v>42882</v>
      </c>
      <c r="BP31" s="188" t="s">
        <v>118</v>
      </c>
      <c r="BQ31" s="188" t="s">
        <v>108</v>
      </c>
      <c r="BR31" s="188" t="s">
        <v>188</v>
      </c>
      <c r="BS31" s="188" t="s">
        <v>598</v>
      </c>
      <c r="BT31" s="188" t="s">
        <v>30</v>
      </c>
      <c r="BU31" s="188" t="s">
        <v>30</v>
      </c>
      <c r="BV31" s="188" t="s">
        <v>598</v>
      </c>
      <c r="BZ31" s="188">
        <v>30</v>
      </c>
      <c r="CA31" s="127">
        <v>42864</v>
      </c>
      <c r="CB31" s="188" t="s">
        <v>4427</v>
      </c>
      <c r="CC31" s="188" t="s">
        <v>320</v>
      </c>
      <c r="CD31" s="188" t="s">
        <v>321</v>
      </c>
      <c r="CE31" s="188"/>
      <c r="CF31" s="188" t="s">
        <v>34</v>
      </c>
      <c r="CG31" s="188"/>
      <c r="CH31" s="189">
        <v>500</v>
      </c>
      <c r="CI31" s="188"/>
    </row>
    <row r="32" spans="5:87">
      <c r="E32" s="21"/>
      <c r="Q32" s="191"/>
      <c r="R32" s="191"/>
      <c r="S32" s="191"/>
      <c r="T32" s="127"/>
      <c r="U32" s="127"/>
      <c r="V32" s="191"/>
      <c r="W32" s="190"/>
      <c r="X32" s="191"/>
      <c r="Y32" s="191"/>
      <c r="Z32" s="191"/>
      <c r="AA32" s="191"/>
      <c r="AB32" s="191"/>
      <c r="AC32" s="191"/>
      <c r="AD32" s="191"/>
      <c r="AE32" s="191"/>
      <c r="AF32" s="191"/>
      <c r="AG32" s="191"/>
      <c r="AH32" s="191"/>
      <c r="AI32" s="127"/>
      <c r="AJ32" s="191"/>
      <c r="AK32" s="191"/>
      <c r="AL32" s="190"/>
      <c r="AM32" s="191"/>
      <c r="AQ32" s="194"/>
      <c r="AR32" s="127"/>
      <c r="AS32" s="194"/>
      <c r="AT32" s="194"/>
      <c r="AU32" s="194"/>
      <c r="AV32" s="194"/>
      <c r="AW32" s="194"/>
      <c r="AX32" s="194"/>
      <c r="AY32" s="193"/>
      <c r="AZ32" s="194"/>
      <c r="BA32" s="21"/>
      <c r="BE32" s="188" t="s">
        <v>813</v>
      </c>
      <c r="BF32" s="188" t="s">
        <v>3759</v>
      </c>
      <c r="BG32" s="127">
        <v>42888</v>
      </c>
      <c r="BH32" s="188" t="s">
        <v>10</v>
      </c>
      <c r="BI32" s="188" t="s">
        <v>598</v>
      </c>
      <c r="BJ32" s="189">
        <v>5000</v>
      </c>
      <c r="BK32" s="188" t="s">
        <v>493</v>
      </c>
      <c r="BL32" s="188" t="s">
        <v>598</v>
      </c>
      <c r="BM32" s="189">
        <v>0</v>
      </c>
      <c r="BN32" s="188" t="s">
        <v>598</v>
      </c>
      <c r="BO32" s="127">
        <v>42887</v>
      </c>
      <c r="BP32" s="188" t="s">
        <v>598</v>
      </c>
      <c r="BQ32" s="188" t="s">
        <v>84</v>
      </c>
      <c r="BR32" s="188" t="s">
        <v>189</v>
      </c>
      <c r="BS32" s="188" t="s">
        <v>598</v>
      </c>
      <c r="BT32" s="188" t="s">
        <v>63</v>
      </c>
      <c r="BU32" s="188" t="s">
        <v>63</v>
      </c>
      <c r="BV32" s="188" t="s">
        <v>598</v>
      </c>
      <c r="BZ32" s="188">
        <v>31</v>
      </c>
      <c r="CA32" s="127">
        <v>42864</v>
      </c>
      <c r="CB32" s="188" t="s">
        <v>495</v>
      </c>
      <c r="CC32" s="188" t="s">
        <v>322</v>
      </c>
      <c r="CD32" s="188" t="s">
        <v>324</v>
      </c>
      <c r="CE32" s="188"/>
      <c r="CF32" s="188" t="s">
        <v>34</v>
      </c>
      <c r="CG32" s="188"/>
      <c r="CH32" s="189">
        <v>300</v>
      </c>
      <c r="CI32" s="188"/>
    </row>
    <row r="33" spans="5:87">
      <c r="E33" s="21"/>
      <c r="Q33" s="191"/>
      <c r="R33" s="191"/>
      <c r="S33" s="191"/>
      <c r="T33" s="127"/>
      <c r="U33" s="127"/>
      <c r="V33" s="191"/>
      <c r="W33" s="190"/>
      <c r="X33" s="191"/>
      <c r="Y33" s="191"/>
      <c r="Z33" s="191"/>
      <c r="AA33" s="191"/>
      <c r="AB33" s="191"/>
      <c r="AC33" s="191"/>
      <c r="AD33" s="191"/>
      <c r="AE33" s="191"/>
      <c r="AF33" s="191"/>
      <c r="AG33" s="191"/>
      <c r="AH33" s="191"/>
      <c r="AI33" s="127"/>
      <c r="AJ33" s="191"/>
      <c r="AK33" s="191"/>
      <c r="AL33" s="190"/>
      <c r="AM33" s="191"/>
      <c r="AQ33" s="194"/>
      <c r="AR33" s="127"/>
      <c r="AS33" s="194"/>
      <c r="AT33" s="194"/>
      <c r="AU33" s="194"/>
      <c r="AV33" s="194"/>
      <c r="AW33" s="194"/>
      <c r="AX33" s="194"/>
      <c r="AY33" s="193"/>
      <c r="AZ33" s="194"/>
      <c r="BA33" s="21"/>
      <c r="BE33" s="188" t="s">
        <v>823</v>
      </c>
      <c r="BF33" s="188" t="s">
        <v>3760</v>
      </c>
      <c r="BG33" s="127">
        <v>42913</v>
      </c>
      <c r="BH33" s="188" t="s">
        <v>34</v>
      </c>
      <c r="BI33" s="188" t="s">
        <v>598</v>
      </c>
      <c r="BJ33" s="189">
        <v>4000</v>
      </c>
      <c r="BK33" s="188" t="s">
        <v>493</v>
      </c>
      <c r="BL33" s="188" t="s">
        <v>598</v>
      </c>
      <c r="BM33" s="189">
        <v>0</v>
      </c>
      <c r="BN33" s="188" t="s">
        <v>598</v>
      </c>
      <c r="BO33" s="127">
        <v>42887</v>
      </c>
      <c r="BP33" s="188" t="s">
        <v>598</v>
      </c>
      <c r="BQ33" s="188" t="s">
        <v>84</v>
      </c>
      <c r="BR33" s="188" t="s">
        <v>598</v>
      </c>
      <c r="BS33" s="188" t="s">
        <v>598</v>
      </c>
      <c r="BT33" s="188" t="s">
        <v>63</v>
      </c>
      <c r="BU33" s="188" t="s">
        <v>63</v>
      </c>
      <c r="BV33" s="188" t="s">
        <v>598</v>
      </c>
      <c r="BZ33" s="188">
        <v>32</v>
      </c>
      <c r="CA33" s="127">
        <v>42865</v>
      </c>
      <c r="CB33" s="188" t="s">
        <v>4427</v>
      </c>
      <c r="CC33" s="188" t="s">
        <v>320</v>
      </c>
      <c r="CD33" s="188"/>
      <c r="CE33" s="188"/>
      <c r="CF33" s="188" t="s">
        <v>34</v>
      </c>
      <c r="CG33" s="188"/>
      <c r="CH33" s="189">
        <v>300</v>
      </c>
      <c r="CI33" s="188"/>
    </row>
    <row r="34" spans="5:87">
      <c r="E34" s="21"/>
      <c r="Q34" s="191"/>
      <c r="R34" s="191"/>
      <c r="S34" s="191"/>
      <c r="T34" s="127"/>
      <c r="U34" s="127"/>
      <c r="V34" s="191"/>
      <c r="W34" s="190"/>
      <c r="X34" s="191"/>
      <c r="Y34" s="191"/>
      <c r="Z34" s="191"/>
      <c r="AA34" s="191"/>
      <c r="AB34" s="191"/>
      <c r="AC34" s="191"/>
      <c r="AD34" s="191"/>
      <c r="AE34" s="191"/>
      <c r="AF34" s="191"/>
      <c r="AG34" s="191"/>
      <c r="AH34" s="191"/>
      <c r="AI34" s="127"/>
      <c r="AJ34" s="191"/>
      <c r="AK34" s="191"/>
      <c r="AL34" s="190"/>
      <c r="AM34" s="191"/>
      <c r="AQ34" s="194"/>
      <c r="AR34" s="127"/>
      <c r="AS34" s="194"/>
      <c r="AT34" s="194"/>
      <c r="AU34" s="194"/>
      <c r="AV34" s="194"/>
      <c r="AW34" s="194"/>
      <c r="AX34" s="194"/>
      <c r="AY34" s="193"/>
      <c r="AZ34" s="194"/>
      <c r="BA34" s="21"/>
      <c r="BE34" s="188" t="s">
        <v>837</v>
      </c>
      <c r="BF34" s="188" t="s">
        <v>3761</v>
      </c>
      <c r="BG34" s="127">
        <v>42892</v>
      </c>
      <c r="BH34" s="188" t="s">
        <v>34</v>
      </c>
      <c r="BI34" s="188" t="s">
        <v>598</v>
      </c>
      <c r="BJ34" s="189">
        <v>3000</v>
      </c>
      <c r="BK34" s="188" t="s">
        <v>493</v>
      </c>
      <c r="BL34" s="188" t="s">
        <v>598</v>
      </c>
      <c r="BM34" s="189">
        <v>0</v>
      </c>
      <c r="BN34" s="188" t="s">
        <v>598</v>
      </c>
      <c r="BO34" s="127">
        <v>42891</v>
      </c>
      <c r="BP34" s="188" t="s">
        <v>132</v>
      </c>
      <c r="BQ34" s="188" t="s">
        <v>84</v>
      </c>
      <c r="BR34" s="188" t="s">
        <v>196</v>
      </c>
      <c r="BS34" s="188" t="s">
        <v>598</v>
      </c>
      <c r="BT34" s="188" t="s">
        <v>63</v>
      </c>
      <c r="BU34" s="188" t="s">
        <v>86</v>
      </c>
      <c r="BV34" s="188" t="s">
        <v>598</v>
      </c>
      <c r="BZ34" s="188">
        <v>33</v>
      </c>
      <c r="CA34" s="127">
        <v>42865</v>
      </c>
      <c r="CB34" s="188" t="s">
        <v>4426</v>
      </c>
      <c r="CC34" s="188" t="s">
        <v>320</v>
      </c>
      <c r="CD34" s="188" t="s">
        <v>321</v>
      </c>
      <c r="CE34" s="188"/>
      <c r="CF34" s="188" t="s">
        <v>34</v>
      </c>
      <c r="CG34" s="188"/>
      <c r="CH34" s="189">
        <v>500</v>
      </c>
      <c r="CI34" s="188"/>
    </row>
    <row r="35" spans="5:87">
      <c r="E35" s="21"/>
      <c r="Q35" s="191"/>
      <c r="R35" s="191"/>
      <c r="S35" s="191"/>
      <c r="T35" s="127"/>
      <c r="U35" s="127"/>
      <c r="V35" s="191"/>
      <c r="W35" s="190"/>
      <c r="X35" s="191"/>
      <c r="Y35" s="191"/>
      <c r="Z35" s="191"/>
      <c r="AA35" s="191"/>
      <c r="AB35" s="191"/>
      <c r="AC35" s="191"/>
      <c r="AD35" s="191"/>
      <c r="AE35" s="191"/>
      <c r="AF35" s="191"/>
      <c r="AG35" s="191"/>
      <c r="AH35" s="191"/>
      <c r="AI35" s="127"/>
      <c r="AJ35" s="191"/>
      <c r="AK35" s="191"/>
      <c r="AL35" s="190"/>
      <c r="AM35" s="191"/>
      <c r="AQ35" s="194"/>
      <c r="AR35" s="127"/>
      <c r="AS35" s="194"/>
      <c r="AT35" s="194"/>
      <c r="AU35" s="194"/>
      <c r="AV35" s="194"/>
      <c r="AW35" s="194"/>
      <c r="AX35" s="194"/>
      <c r="AY35" s="193"/>
      <c r="AZ35" s="194"/>
      <c r="BA35" s="21"/>
      <c r="BE35" s="188" t="s">
        <v>839</v>
      </c>
      <c r="BF35" s="188" t="s">
        <v>3762</v>
      </c>
      <c r="BG35" s="127">
        <v>42895</v>
      </c>
      <c r="BH35" s="188" t="s">
        <v>34</v>
      </c>
      <c r="BI35" s="188" t="s">
        <v>598</v>
      </c>
      <c r="BJ35" s="189">
        <v>3500</v>
      </c>
      <c r="BK35" s="188" t="s">
        <v>493</v>
      </c>
      <c r="BL35" s="188" t="s">
        <v>598</v>
      </c>
      <c r="BM35" s="189">
        <v>0</v>
      </c>
      <c r="BN35" s="188" t="s">
        <v>598</v>
      </c>
      <c r="BO35" s="127">
        <v>42891</v>
      </c>
      <c r="BP35" s="188" t="s">
        <v>134</v>
      </c>
      <c r="BQ35" s="188" t="s">
        <v>84</v>
      </c>
      <c r="BR35" s="188" t="s">
        <v>195</v>
      </c>
      <c r="BS35" s="188" t="s">
        <v>598</v>
      </c>
      <c r="BT35" s="188" t="s">
        <v>63</v>
      </c>
      <c r="BU35" s="188" t="s">
        <v>63</v>
      </c>
      <c r="BV35" s="188" t="s">
        <v>598</v>
      </c>
      <c r="BZ35" s="188">
        <v>34</v>
      </c>
      <c r="CA35" s="127">
        <v>42865</v>
      </c>
      <c r="CB35" s="188" t="s">
        <v>4427</v>
      </c>
      <c r="CC35" s="188" t="s">
        <v>320</v>
      </c>
      <c r="CD35" s="188"/>
      <c r="CE35" s="188"/>
      <c r="CF35" s="188" t="s">
        <v>34</v>
      </c>
      <c r="CG35" s="188"/>
      <c r="CH35" s="189">
        <v>500</v>
      </c>
      <c r="CI35" s="188"/>
    </row>
    <row r="36" spans="5:87">
      <c r="E36" s="21"/>
      <c r="Q36" s="191"/>
      <c r="R36" s="191"/>
      <c r="S36" s="191"/>
      <c r="T36" s="127"/>
      <c r="U36" s="127"/>
      <c r="V36" s="191"/>
      <c r="W36" s="190"/>
      <c r="X36" s="191"/>
      <c r="Y36" s="191"/>
      <c r="Z36" s="191"/>
      <c r="AA36" s="191"/>
      <c r="AB36" s="191"/>
      <c r="AC36" s="191"/>
      <c r="AD36" s="191"/>
      <c r="AE36" s="191"/>
      <c r="AF36" s="191"/>
      <c r="AG36" s="191"/>
      <c r="AH36" s="191"/>
      <c r="AI36" s="127"/>
      <c r="AJ36" s="191"/>
      <c r="AK36" s="191"/>
      <c r="AL36" s="190"/>
      <c r="AM36" s="191"/>
      <c r="AQ36" s="194"/>
      <c r="AR36" s="127"/>
      <c r="AS36" s="194"/>
      <c r="AT36" s="194"/>
      <c r="AU36" s="194"/>
      <c r="AV36" s="194"/>
      <c r="AW36" s="194"/>
      <c r="AX36" s="194"/>
      <c r="AY36" s="193"/>
      <c r="AZ36" s="194"/>
      <c r="BA36" s="21"/>
      <c r="BE36" s="188" t="s">
        <v>844</v>
      </c>
      <c r="BF36" s="188" t="s">
        <v>3763</v>
      </c>
      <c r="BG36" s="127">
        <v>42892</v>
      </c>
      <c r="BH36" s="188" t="s">
        <v>34</v>
      </c>
      <c r="BI36" s="188" t="s">
        <v>598</v>
      </c>
      <c r="BJ36" s="189">
        <v>1000</v>
      </c>
      <c r="BK36" s="188" t="s">
        <v>549</v>
      </c>
      <c r="BL36" s="188" t="s">
        <v>598</v>
      </c>
      <c r="BM36" s="189">
        <v>0</v>
      </c>
      <c r="BN36" s="188" t="s">
        <v>493</v>
      </c>
      <c r="BO36" s="127">
        <v>42892</v>
      </c>
      <c r="BP36" s="188" t="s">
        <v>598</v>
      </c>
      <c r="BQ36" s="188" t="s">
        <v>84</v>
      </c>
      <c r="BR36" s="188" t="s">
        <v>198</v>
      </c>
      <c r="BS36" s="188" t="s">
        <v>598</v>
      </c>
      <c r="BT36" s="188" t="s">
        <v>63</v>
      </c>
      <c r="BU36" s="188" t="s">
        <v>86</v>
      </c>
      <c r="BV36" s="188" t="s">
        <v>598</v>
      </c>
      <c r="BZ36" s="188">
        <v>35</v>
      </c>
      <c r="CA36" s="127">
        <v>42868</v>
      </c>
      <c r="CB36" s="188" t="s">
        <v>4437</v>
      </c>
      <c r="CC36" s="188" t="s">
        <v>320</v>
      </c>
      <c r="CD36" s="188"/>
      <c r="CE36" s="188"/>
      <c r="CF36" s="188" t="s">
        <v>34</v>
      </c>
      <c r="CG36" s="188"/>
      <c r="CH36" s="189">
        <v>300</v>
      </c>
      <c r="CI36" s="188"/>
    </row>
    <row r="37" spans="5:87">
      <c r="E37" s="21"/>
      <c r="Q37" s="191"/>
      <c r="R37" s="191"/>
      <c r="S37" s="191"/>
      <c r="T37" s="127"/>
      <c r="U37" s="127"/>
      <c r="V37" s="191"/>
      <c r="W37" s="190"/>
      <c r="X37" s="191"/>
      <c r="Y37" s="191"/>
      <c r="Z37" s="191"/>
      <c r="AA37" s="191"/>
      <c r="AB37" s="191"/>
      <c r="AC37" s="191"/>
      <c r="AD37" s="191"/>
      <c r="AE37" s="191"/>
      <c r="AF37" s="191"/>
      <c r="AG37" s="191"/>
      <c r="AH37" s="191"/>
      <c r="AI37" s="127"/>
      <c r="AJ37" s="191"/>
      <c r="AK37" s="191"/>
      <c r="AL37" s="190"/>
      <c r="AM37" s="191"/>
      <c r="AQ37" s="194"/>
      <c r="AR37" s="127"/>
      <c r="AS37" s="194"/>
      <c r="AT37" s="194"/>
      <c r="AU37" s="194"/>
      <c r="AV37" s="194"/>
      <c r="AW37" s="194"/>
      <c r="AX37" s="194"/>
      <c r="AY37" s="193"/>
      <c r="AZ37" s="194"/>
      <c r="BA37" s="21"/>
      <c r="BE37" s="188" t="s">
        <v>848</v>
      </c>
      <c r="BF37" s="188" t="s">
        <v>3764</v>
      </c>
      <c r="BG37" s="127">
        <v>42907</v>
      </c>
      <c r="BH37" s="188" t="s">
        <v>34</v>
      </c>
      <c r="BI37" s="188" t="s">
        <v>598</v>
      </c>
      <c r="BJ37" s="189">
        <v>6500</v>
      </c>
      <c r="BK37" s="188" t="s">
        <v>493</v>
      </c>
      <c r="BL37" s="188" t="s">
        <v>598</v>
      </c>
      <c r="BM37" s="189">
        <v>0</v>
      </c>
      <c r="BN37" s="188" t="s">
        <v>598</v>
      </c>
      <c r="BO37" s="127">
        <v>42893</v>
      </c>
      <c r="BP37" s="188" t="s">
        <v>598</v>
      </c>
      <c r="BQ37" s="188" t="s">
        <v>84</v>
      </c>
      <c r="BR37" s="188" t="s">
        <v>200</v>
      </c>
      <c r="BS37" s="188" t="s">
        <v>598</v>
      </c>
      <c r="BT37" s="188" t="s">
        <v>63</v>
      </c>
      <c r="BU37" s="188" t="s">
        <v>63</v>
      </c>
      <c r="BV37" s="188" t="s">
        <v>598</v>
      </c>
      <c r="BZ37" s="188">
        <v>36</v>
      </c>
      <c r="CA37" s="127">
        <v>42868</v>
      </c>
      <c r="CB37" s="188" t="s">
        <v>495</v>
      </c>
      <c r="CC37" s="188" t="s">
        <v>322</v>
      </c>
      <c r="CD37" s="188" t="s">
        <v>63</v>
      </c>
      <c r="CE37" s="188"/>
      <c r="CF37" s="188" t="s">
        <v>34</v>
      </c>
      <c r="CG37" s="188"/>
      <c r="CH37" s="189">
        <v>700</v>
      </c>
      <c r="CI37" s="188"/>
    </row>
    <row r="38" spans="5:87">
      <c r="E38" s="21"/>
      <c r="Q38" s="191"/>
      <c r="R38" s="191"/>
      <c r="S38" s="191"/>
      <c r="T38" s="127"/>
      <c r="U38" s="127"/>
      <c r="V38" s="191"/>
      <c r="W38" s="190"/>
      <c r="X38" s="191"/>
      <c r="Y38" s="191"/>
      <c r="Z38" s="191"/>
      <c r="AA38" s="191"/>
      <c r="AB38" s="191"/>
      <c r="AC38" s="191"/>
      <c r="AD38" s="191"/>
      <c r="AE38" s="191"/>
      <c r="AF38" s="191"/>
      <c r="AG38" s="191"/>
      <c r="AH38" s="191"/>
      <c r="AI38" s="127"/>
      <c r="AJ38" s="191"/>
      <c r="AK38" s="191"/>
      <c r="AL38" s="190"/>
      <c r="AM38" s="191"/>
      <c r="AQ38" s="194"/>
      <c r="AR38" s="127"/>
      <c r="AS38" s="194"/>
      <c r="AT38" s="194"/>
      <c r="AU38" s="194"/>
      <c r="AV38" s="194"/>
      <c r="AW38" s="194"/>
      <c r="AX38" s="194"/>
      <c r="AY38" s="193"/>
      <c r="AZ38" s="194"/>
      <c r="BA38" s="21"/>
      <c r="BE38" s="188" t="s">
        <v>850</v>
      </c>
      <c r="BF38" s="188" t="s">
        <v>3765</v>
      </c>
      <c r="BG38" s="127">
        <v>42902</v>
      </c>
      <c r="BH38" s="188" t="s">
        <v>10</v>
      </c>
      <c r="BI38" s="188" t="s">
        <v>598</v>
      </c>
      <c r="BJ38" s="189">
        <v>3000</v>
      </c>
      <c r="BK38" s="188" t="s">
        <v>493</v>
      </c>
      <c r="BL38" s="188" t="s">
        <v>598</v>
      </c>
      <c r="BM38" s="189">
        <v>0</v>
      </c>
      <c r="BN38" s="188" t="s">
        <v>598</v>
      </c>
      <c r="BO38" s="127">
        <v>42893</v>
      </c>
      <c r="BP38" s="188" t="s">
        <v>598</v>
      </c>
      <c r="BQ38" s="188" t="s">
        <v>84</v>
      </c>
      <c r="BR38" s="188" t="s">
        <v>200</v>
      </c>
      <c r="BS38" s="188" t="s">
        <v>598</v>
      </c>
      <c r="BT38" s="188" t="s">
        <v>63</v>
      </c>
      <c r="BU38" s="188" t="s">
        <v>63</v>
      </c>
      <c r="BV38" s="188" t="s">
        <v>598</v>
      </c>
      <c r="BZ38" s="188">
        <v>37</v>
      </c>
      <c r="CA38" s="127">
        <v>42868</v>
      </c>
      <c r="CB38" s="188" t="s">
        <v>495</v>
      </c>
      <c r="CC38" s="188" t="s">
        <v>322</v>
      </c>
      <c r="CD38" s="188" t="s">
        <v>42</v>
      </c>
      <c r="CE38" s="188"/>
      <c r="CF38" s="188" t="s">
        <v>34</v>
      </c>
      <c r="CG38" s="188"/>
      <c r="CH38" s="189">
        <v>600</v>
      </c>
      <c r="CI38" s="188"/>
    </row>
    <row r="39" spans="5:87">
      <c r="E39" s="21"/>
      <c r="Q39" s="191"/>
      <c r="R39" s="191"/>
      <c r="S39" s="191"/>
      <c r="T39" s="127"/>
      <c r="U39" s="127"/>
      <c r="V39" s="191"/>
      <c r="W39" s="190"/>
      <c r="X39" s="191"/>
      <c r="Y39" s="191"/>
      <c r="Z39" s="191"/>
      <c r="AA39" s="191"/>
      <c r="AB39" s="191"/>
      <c r="AC39" s="191"/>
      <c r="AD39" s="191"/>
      <c r="AE39" s="191"/>
      <c r="AF39" s="191"/>
      <c r="AG39" s="191"/>
      <c r="AH39" s="191"/>
      <c r="AI39" s="127"/>
      <c r="AJ39" s="191"/>
      <c r="AK39" s="191"/>
      <c r="AL39" s="190"/>
      <c r="AM39" s="191"/>
      <c r="AQ39" s="194"/>
      <c r="AR39" s="127"/>
      <c r="AS39" s="194"/>
      <c r="AT39" s="194"/>
      <c r="AU39" s="194"/>
      <c r="AV39" s="194"/>
      <c r="AW39" s="194"/>
      <c r="AX39" s="194"/>
      <c r="AY39" s="193"/>
      <c r="AZ39" s="194"/>
      <c r="BA39" s="21"/>
      <c r="BE39" s="188" t="s">
        <v>854</v>
      </c>
      <c r="BF39" s="188" t="s">
        <v>3766</v>
      </c>
      <c r="BG39" s="127">
        <v>42907</v>
      </c>
      <c r="BH39" s="188" t="s">
        <v>34</v>
      </c>
      <c r="BI39" s="188" t="s">
        <v>598</v>
      </c>
      <c r="BJ39" s="189">
        <v>4000</v>
      </c>
      <c r="BK39" s="188" t="s">
        <v>493</v>
      </c>
      <c r="BL39" s="188" t="s">
        <v>598</v>
      </c>
      <c r="BM39" s="189">
        <v>0</v>
      </c>
      <c r="BN39" s="188" t="s">
        <v>598</v>
      </c>
      <c r="BO39" s="127">
        <v>42894</v>
      </c>
      <c r="BP39" s="188" t="s">
        <v>598</v>
      </c>
      <c r="BQ39" s="188" t="s">
        <v>84</v>
      </c>
      <c r="BR39" s="188" t="s">
        <v>202</v>
      </c>
      <c r="BS39" s="188" t="s">
        <v>598</v>
      </c>
      <c r="BT39" s="188" t="s">
        <v>63</v>
      </c>
      <c r="BU39" s="188" t="s">
        <v>63</v>
      </c>
      <c r="BV39" s="188" t="s">
        <v>598</v>
      </c>
      <c r="BZ39" s="188">
        <v>38</v>
      </c>
      <c r="CA39" s="127">
        <v>42868</v>
      </c>
      <c r="CB39" s="188" t="s">
        <v>495</v>
      </c>
      <c r="CC39" s="188" t="s">
        <v>322</v>
      </c>
      <c r="CD39" s="188" t="s">
        <v>85</v>
      </c>
      <c r="CE39" s="188"/>
      <c r="CF39" s="188" t="s">
        <v>34</v>
      </c>
      <c r="CG39" s="188"/>
      <c r="CH39" s="189">
        <v>700</v>
      </c>
      <c r="CI39" s="188"/>
    </row>
    <row r="40" spans="5:87">
      <c r="E40" s="21"/>
      <c r="Q40" s="191"/>
      <c r="R40" s="191"/>
      <c r="S40" s="191"/>
      <c r="T40" s="127"/>
      <c r="U40" s="127"/>
      <c r="V40" s="191"/>
      <c r="W40" s="190"/>
      <c r="X40" s="191"/>
      <c r="Y40" s="191"/>
      <c r="Z40" s="191"/>
      <c r="AA40" s="191"/>
      <c r="AB40" s="191"/>
      <c r="AC40" s="191"/>
      <c r="AD40" s="191"/>
      <c r="AE40" s="191"/>
      <c r="AF40" s="191"/>
      <c r="AG40" s="191"/>
      <c r="AH40" s="191"/>
      <c r="AI40" s="127"/>
      <c r="AJ40" s="191"/>
      <c r="AK40" s="191"/>
      <c r="AL40" s="190"/>
      <c r="AM40" s="191"/>
      <c r="AQ40" s="194"/>
      <c r="AR40" s="127"/>
      <c r="AS40" s="194"/>
      <c r="AT40" s="194"/>
      <c r="AU40" s="194"/>
      <c r="AV40" s="194"/>
      <c r="AW40" s="194"/>
      <c r="AX40" s="194"/>
      <c r="AY40" s="193"/>
      <c r="AZ40" s="194"/>
      <c r="BA40" s="21"/>
      <c r="BE40" s="188" t="s">
        <v>860</v>
      </c>
      <c r="BF40" s="188" t="s">
        <v>3767</v>
      </c>
      <c r="BG40" s="127">
        <v>42901</v>
      </c>
      <c r="BH40" s="188" t="s">
        <v>34</v>
      </c>
      <c r="BI40" s="188" t="s">
        <v>598</v>
      </c>
      <c r="BJ40" s="189">
        <v>1500</v>
      </c>
      <c r="BK40" s="188" t="s">
        <v>493</v>
      </c>
      <c r="BL40" s="188" t="s">
        <v>598</v>
      </c>
      <c r="BM40" s="189">
        <v>0</v>
      </c>
      <c r="BN40" s="188" t="s">
        <v>598</v>
      </c>
      <c r="BO40" s="127">
        <v>42894</v>
      </c>
      <c r="BP40" s="188" t="s">
        <v>598</v>
      </c>
      <c r="BQ40" s="188" t="s">
        <v>84</v>
      </c>
      <c r="BR40" s="188" t="s">
        <v>204</v>
      </c>
      <c r="BS40" s="188" t="s">
        <v>598</v>
      </c>
      <c r="BT40" s="188" t="s">
        <v>63</v>
      </c>
      <c r="BU40" s="188" t="s">
        <v>86</v>
      </c>
      <c r="BV40" s="188" t="s">
        <v>598</v>
      </c>
      <c r="BZ40" s="188">
        <v>39</v>
      </c>
      <c r="CA40" s="127">
        <v>42868</v>
      </c>
      <c r="CB40" s="188" t="s">
        <v>495</v>
      </c>
      <c r="CC40" s="188" t="s">
        <v>322</v>
      </c>
      <c r="CD40" s="188" t="s">
        <v>73</v>
      </c>
      <c r="CE40" s="188"/>
      <c r="CF40" s="188" t="s">
        <v>34</v>
      </c>
      <c r="CG40" s="188"/>
      <c r="CH40" s="189">
        <v>600</v>
      </c>
      <c r="CI40" s="188"/>
    </row>
    <row r="41" spans="5:87">
      <c r="E41" s="21"/>
      <c r="Q41" s="191"/>
      <c r="R41" s="191"/>
      <c r="S41" s="191"/>
      <c r="T41" s="127"/>
      <c r="U41" s="127"/>
      <c r="V41" s="191"/>
      <c r="W41" s="190"/>
      <c r="X41" s="191"/>
      <c r="Y41" s="191"/>
      <c r="Z41" s="191"/>
      <c r="AA41" s="191"/>
      <c r="AB41" s="191"/>
      <c r="AC41" s="191"/>
      <c r="AD41" s="191"/>
      <c r="AE41" s="191"/>
      <c r="AF41" s="191"/>
      <c r="AG41" s="191"/>
      <c r="AH41" s="191"/>
      <c r="AI41" s="127"/>
      <c r="AJ41" s="191"/>
      <c r="AK41" s="191"/>
      <c r="AL41" s="190"/>
      <c r="AM41" s="191"/>
      <c r="AQ41" s="194"/>
      <c r="AR41" s="127"/>
      <c r="AS41" s="194"/>
      <c r="AT41" s="194"/>
      <c r="AU41" s="194"/>
      <c r="AV41" s="194"/>
      <c r="AW41" s="194"/>
      <c r="AX41" s="194"/>
      <c r="AY41" s="193"/>
      <c r="AZ41" s="194"/>
      <c r="BA41" s="21"/>
      <c r="BE41" s="188" t="s">
        <v>862</v>
      </c>
      <c r="BF41" s="188" t="s">
        <v>3768</v>
      </c>
      <c r="BG41" s="127">
        <v>42898</v>
      </c>
      <c r="BH41" s="188" t="s">
        <v>34</v>
      </c>
      <c r="BI41" s="188" t="s">
        <v>598</v>
      </c>
      <c r="BJ41" s="189">
        <v>2000</v>
      </c>
      <c r="BK41" s="188" t="s">
        <v>493</v>
      </c>
      <c r="BL41" s="188" t="s">
        <v>598</v>
      </c>
      <c r="BM41" s="189">
        <v>0</v>
      </c>
      <c r="BN41" s="188" t="s">
        <v>598</v>
      </c>
      <c r="BO41" s="127">
        <v>42898</v>
      </c>
      <c r="BP41" s="188" t="s">
        <v>864</v>
      </c>
      <c r="BQ41" s="188" t="s">
        <v>84</v>
      </c>
      <c r="BR41" s="188" t="s">
        <v>598</v>
      </c>
      <c r="BS41" s="188" t="s">
        <v>598</v>
      </c>
      <c r="BT41" s="188" t="s">
        <v>63</v>
      </c>
      <c r="BU41" s="188" t="s">
        <v>598</v>
      </c>
      <c r="BV41" s="188" t="s">
        <v>598</v>
      </c>
      <c r="BZ41" s="188">
        <v>40</v>
      </c>
      <c r="CA41" s="127">
        <v>42868</v>
      </c>
      <c r="CB41" s="188" t="s">
        <v>495</v>
      </c>
      <c r="CC41" s="188" t="s">
        <v>322</v>
      </c>
      <c r="CD41" s="188" t="s">
        <v>79</v>
      </c>
      <c r="CE41" s="188"/>
      <c r="CF41" s="188" t="s">
        <v>34</v>
      </c>
      <c r="CG41" s="188"/>
      <c r="CH41" s="189">
        <v>500</v>
      </c>
      <c r="CI41" s="188"/>
    </row>
    <row r="42" spans="5:87">
      <c r="E42" s="21"/>
      <c r="Q42" s="191"/>
      <c r="R42" s="191"/>
      <c r="S42" s="191"/>
      <c r="T42" s="127"/>
      <c r="U42" s="127"/>
      <c r="V42" s="191"/>
      <c r="W42" s="190"/>
      <c r="X42" s="191"/>
      <c r="Y42" s="191"/>
      <c r="Z42" s="191"/>
      <c r="AA42" s="191"/>
      <c r="AB42" s="191"/>
      <c r="AC42" s="191"/>
      <c r="AD42" s="191"/>
      <c r="AE42" s="191"/>
      <c r="AF42" s="191"/>
      <c r="AG42" s="191"/>
      <c r="AH42" s="191"/>
      <c r="AI42" s="127"/>
      <c r="AJ42" s="191"/>
      <c r="AK42" s="191"/>
      <c r="AL42" s="190"/>
      <c r="AM42" s="191"/>
      <c r="AQ42" s="194"/>
      <c r="AR42" s="127"/>
      <c r="AS42" s="194"/>
      <c r="AT42" s="194"/>
      <c r="AU42" s="194"/>
      <c r="AV42" s="194"/>
      <c r="AW42" s="194"/>
      <c r="AX42" s="194"/>
      <c r="AY42" s="193"/>
      <c r="AZ42" s="194"/>
      <c r="BA42" s="21"/>
      <c r="BE42" s="188" t="s">
        <v>865</v>
      </c>
      <c r="BF42" s="188" t="s">
        <v>3769</v>
      </c>
      <c r="BG42" s="127">
        <v>42900</v>
      </c>
      <c r="BH42" s="188" t="s">
        <v>34</v>
      </c>
      <c r="BI42" s="188" t="s">
        <v>598</v>
      </c>
      <c r="BJ42" s="189">
        <v>1000</v>
      </c>
      <c r="BK42" s="188" t="s">
        <v>549</v>
      </c>
      <c r="BL42" s="188" t="s">
        <v>598</v>
      </c>
      <c r="BM42" s="189">
        <v>0</v>
      </c>
      <c r="BN42" s="188" t="s">
        <v>493</v>
      </c>
      <c r="BO42" s="127">
        <v>42898</v>
      </c>
      <c r="BP42" s="188" t="s">
        <v>134</v>
      </c>
      <c r="BQ42" s="188" t="s">
        <v>84</v>
      </c>
      <c r="BR42" s="188" t="s">
        <v>205</v>
      </c>
      <c r="BS42" s="188" t="s">
        <v>598</v>
      </c>
      <c r="BT42" s="188" t="s">
        <v>63</v>
      </c>
      <c r="BU42" s="188" t="s">
        <v>598</v>
      </c>
      <c r="BV42" s="188" t="s">
        <v>598</v>
      </c>
      <c r="BZ42" s="188">
        <v>41</v>
      </c>
      <c r="CA42" s="127">
        <v>42868</v>
      </c>
      <c r="CB42" s="188" t="s">
        <v>495</v>
      </c>
      <c r="CC42" s="188" t="s">
        <v>322</v>
      </c>
      <c r="CD42" s="188" t="s">
        <v>30</v>
      </c>
      <c r="CE42" s="188"/>
      <c r="CF42" s="188" t="s">
        <v>34</v>
      </c>
      <c r="CG42" s="188"/>
      <c r="CH42" s="189">
        <v>800</v>
      </c>
      <c r="CI42" s="188"/>
    </row>
    <row r="43" spans="5:87">
      <c r="E43" s="21"/>
      <c r="Q43" s="191"/>
      <c r="R43" s="191"/>
      <c r="S43" s="191"/>
      <c r="T43" s="127"/>
      <c r="U43" s="127"/>
      <c r="V43" s="191"/>
      <c r="W43" s="190"/>
      <c r="X43" s="191"/>
      <c r="Y43" s="191"/>
      <c r="Z43" s="191"/>
      <c r="AA43" s="191"/>
      <c r="AB43" s="191"/>
      <c r="AC43" s="191"/>
      <c r="AD43" s="191"/>
      <c r="AE43" s="191"/>
      <c r="AF43" s="191"/>
      <c r="AG43" s="191"/>
      <c r="AH43" s="191"/>
      <c r="AI43" s="127"/>
      <c r="AJ43" s="191"/>
      <c r="AK43" s="191"/>
      <c r="AL43" s="190"/>
      <c r="AM43" s="191"/>
      <c r="AQ43" s="194"/>
      <c r="AR43" s="127"/>
      <c r="AS43" s="194"/>
      <c r="AT43" s="194"/>
      <c r="AU43" s="194"/>
      <c r="AV43" s="194"/>
      <c r="AW43" s="194"/>
      <c r="AX43" s="194"/>
      <c r="AY43" s="193"/>
      <c r="AZ43" s="194"/>
      <c r="BA43" s="21"/>
      <c r="BE43" s="188" t="s">
        <v>869</v>
      </c>
      <c r="BF43" s="188" t="s">
        <v>3770</v>
      </c>
      <c r="BG43" s="127">
        <v>42906</v>
      </c>
      <c r="BH43" s="188" t="s">
        <v>34</v>
      </c>
      <c r="BI43" s="188" t="s">
        <v>598</v>
      </c>
      <c r="BJ43" s="189">
        <v>5500</v>
      </c>
      <c r="BK43" s="188" t="s">
        <v>493</v>
      </c>
      <c r="BL43" s="188" t="s">
        <v>598</v>
      </c>
      <c r="BM43" s="189">
        <v>0</v>
      </c>
      <c r="BN43" s="188" t="s">
        <v>598</v>
      </c>
      <c r="BO43" s="127">
        <v>42898</v>
      </c>
      <c r="BP43" s="188" t="s">
        <v>134</v>
      </c>
      <c r="BQ43" s="188" t="s">
        <v>84</v>
      </c>
      <c r="BR43" s="188" t="s">
        <v>174</v>
      </c>
      <c r="BS43" s="188" t="s">
        <v>598</v>
      </c>
      <c r="BT43" s="188" t="s">
        <v>63</v>
      </c>
      <c r="BU43" s="188" t="s">
        <v>598</v>
      </c>
      <c r="BV43" s="188" t="s">
        <v>598</v>
      </c>
      <c r="BZ43" s="188">
        <v>42</v>
      </c>
      <c r="CA43" s="127">
        <v>42868</v>
      </c>
      <c r="CB43" s="188" t="s">
        <v>495</v>
      </c>
      <c r="CC43" s="188" t="s">
        <v>322</v>
      </c>
      <c r="CD43" s="188" t="s">
        <v>86</v>
      </c>
      <c r="CE43" s="188"/>
      <c r="CF43" s="188" t="s">
        <v>34</v>
      </c>
      <c r="CG43" s="188"/>
      <c r="CH43" s="189">
        <v>700</v>
      </c>
      <c r="CI43" s="188"/>
    </row>
    <row r="44" spans="5:87">
      <c r="E44" s="21"/>
      <c r="Q44" s="191"/>
      <c r="R44" s="191"/>
      <c r="S44" s="191"/>
      <c r="T44" s="127"/>
      <c r="U44" s="127"/>
      <c r="V44" s="191"/>
      <c r="W44" s="190"/>
      <c r="X44" s="191"/>
      <c r="Y44" s="191"/>
      <c r="Z44" s="191"/>
      <c r="AA44" s="191"/>
      <c r="AB44" s="191"/>
      <c r="AC44" s="191"/>
      <c r="AD44" s="191"/>
      <c r="AE44" s="191"/>
      <c r="AF44" s="191"/>
      <c r="AG44" s="191"/>
      <c r="AH44" s="191"/>
      <c r="AI44" s="127"/>
      <c r="AJ44" s="191"/>
      <c r="AK44" s="191"/>
      <c r="AL44" s="190"/>
      <c r="AM44" s="191"/>
      <c r="AQ44" s="194"/>
      <c r="AR44" s="127"/>
      <c r="AS44" s="194"/>
      <c r="AT44" s="194"/>
      <c r="AU44" s="194"/>
      <c r="AV44" s="194"/>
      <c r="AW44" s="194"/>
      <c r="AX44" s="194"/>
      <c r="AY44" s="193"/>
      <c r="AZ44" s="194"/>
      <c r="BA44" s="21"/>
      <c r="BE44" s="188" t="s">
        <v>874</v>
      </c>
      <c r="BF44" s="188" t="s">
        <v>3771</v>
      </c>
      <c r="BG44" s="127">
        <v>42900</v>
      </c>
      <c r="BH44" s="188" t="s">
        <v>34</v>
      </c>
      <c r="BI44" s="188" t="s">
        <v>598</v>
      </c>
      <c r="BJ44" s="189">
        <v>3000</v>
      </c>
      <c r="BK44" s="188" t="s">
        <v>493</v>
      </c>
      <c r="BL44" s="188" t="s">
        <v>598</v>
      </c>
      <c r="BM44" s="189">
        <v>0</v>
      </c>
      <c r="BN44" s="188" t="s">
        <v>598</v>
      </c>
      <c r="BO44" s="127">
        <v>42899</v>
      </c>
      <c r="BP44" s="188" t="s">
        <v>598</v>
      </c>
      <c r="BQ44" s="188" t="s">
        <v>84</v>
      </c>
      <c r="BR44" s="188" t="s">
        <v>207</v>
      </c>
      <c r="BS44" s="188" t="s">
        <v>598</v>
      </c>
      <c r="BT44" s="188" t="s">
        <v>63</v>
      </c>
      <c r="BU44" s="188" t="s">
        <v>86</v>
      </c>
      <c r="BV44" s="188" t="s">
        <v>598</v>
      </c>
      <c r="BZ44" s="188">
        <v>43</v>
      </c>
      <c r="CA44" s="127">
        <v>42868</v>
      </c>
      <c r="CB44" s="188" t="s">
        <v>495</v>
      </c>
      <c r="CC44" s="188" t="s">
        <v>322</v>
      </c>
      <c r="CD44" s="188" t="s">
        <v>324</v>
      </c>
      <c r="CE44" s="188"/>
      <c r="CF44" s="188" t="s">
        <v>34</v>
      </c>
      <c r="CG44" s="188"/>
      <c r="CH44" s="189">
        <v>500</v>
      </c>
      <c r="CI44" s="188"/>
    </row>
    <row r="45" spans="5:87">
      <c r="E45" s="21"/>
      <c r="Q45" s="191"/>
      <c r="R45" s="191"/>
      <c r="S45" s="191"/>
      <c r="T45" s="127"/>
      <c r="U45" s="127"/>
      <c r="V45" s="191"/>
      <c r="W45" s="190"/>
      <c r="X45" s="191"/>
      <c r="Y45" s="191"/>
      <c r="Z45" s="191"/>
      <c r="AA45" s="191"/>
      <c r="AB45" s="191"/>
      <c r="AC45" s="191"/>
      <c r="AD45" s="191"/>
      <c r="AE45" s="191"/>
      <c r="AF45" s="191"/>
      <c r="AG45" s="191"/>
      <c r="AH45" s="191"/>
      <c r="AI45" s="127"/>
      <c r="AJ45" s="191"/>
      <c r="AK45" s="191"/>
      <c r="AL45" s="190"/>
      <c r="AM45" s="191"/>
      <c r="AQ45" s="194"/>
      <c r="AR45" s="127"/>
      <c r="AS45" s="194"/>
      <c r="AT45" s="194"/>
      <c r="AU45" s="194"/>
      <c r="AV45" s="194"/>
      <c r="AW45" s="194"/>
      <c r="AX45" s="194"/>
      <c r="AY45" s="193"/>
      <c r="AZ45" s="194"/>
      <c r="BA45" s="21"/>
      <c r="BE45" s="188" t="s">
        <v>887</v>
      </c>
      <c r="BF45" s="188" t="s">
        <v>3772</v>
      </c>
      <c r="BG45" s="127">
        <v>42906</v>
      </c>
      <c r="BH45" s="188" t="s">
        <v>10</v>
      </c>
      <c r="BI45" s="188" t="s">
        <v>598</v>
      </c>
      <c r="BJ45" s="189">
        <v>3000</v>
      </c>
      <c r="BK45" s="188" t="s">
        <v>493</v>
      </c>
      <c r="BL45" s="188" t="s">
        <v>598</v>
      </c>
      <c r="BM45" s="189">
        <v>0</v>
      </c>
      <c r="BN45" s="188" t="s">
        <v>598</v>
      </c>
      <c r="BO45" s="127">
        <v>42901</v>
      </c>
      <c r="BP45" s="188" t="s">
        <v>134</v>
      </c>
      <c r="BQ45" s="188" t="s">
        <v>84</v>
      </c>
      <c r="BR45" s="188" t="s">
        <v>209</v>
      </c>
      <c r="BS45" s="188" t="s">
        <v>598</v>
      </c>
      <c r="BT45" s="188" t="s">
        <v>63</v>
      </c>
      <c r="BU45" s="188" t="s">
        <v>63</v>
      </c>
      <c r="BV45" s="188" t="s">
        <v>598</v>
      </c>
      <c r="BZ45" s="188">
        <v>44</v>
      </c>
      <c r="CA45" s="127">
        <v>42868</v>
      </c>
      <c r="CB45" s="188" t="s">
        <v>495</v>
      </c>
      <c r="CC45" s="188" t="s">
        <v>322</v>
      </c>
      <c r="CD45" s="188" t="s">
        <v>98</v>
      </c>
      <c r="CE45" s="188"/>
      <c r="CF45" s="188" t="s">
        <v>34</v>
      </c>
      <c r="CG45" s="188"/>
      <c r="CH45" s="189">
        <v>500</v>
      </c>
      <c r="CI45" s="188"/>
    </row>
    <row r="46" spans="5:87">
      <c r="E46" s="21"/>
      <c r="Q46" s="191"/>
      <c r="R46" s="191"/>
      <c r="S46" s="191"/>
      <c r="T46" s="127"/>
      <c r="U46" s="127"/>
      <c r="V46" s="191"/>
      <c r="W46" s="190"/>
      <c r="X46" s="191"/>
      <c r="Y46" s="191"/>
      <c r="Z46" s="191"/>
      <c r="AA46" s="191"/>
      <c r="AB46" s="191"/>
      <c r="AC46" s="191"/>
      <c r="AD46" s="191"/>
      <c r="AE46" s="191"/>
      <c r="AF46" s="191"/>
      <c r="AG46" s="191"/>
      <c r="AH46" s="191"/>
      <c r="AI46" s="127"/>
      <c r="AJ46" s="191"/>
      <c r="AK46" s="191"/>
      <c r="AL46" s="190"/>
      <c r="AM46" s="191"/>
      <c r="AQ46" s="194"/>
      <c r="AR46" s="127"/>
      <c r="AS46" s="194"/>
      <c r="AT46" s="194"/>
      <c r="AU46" s="194"/>
      <c r="AV46" s="194"/>
      <c r="AW46" s="194"/>
      <c r="AX46" s="194"/>
      <c r="AY46" s="193"/>
      <c r="AZ46" s="194"/>
      <c r="BA46" s="21"/>
      <c r="BE46" s="188" t="s">
        <v>889</v>
      </c>
      <c r="BF46" s="188" t="s">
        <v>3773</v>
      </c>
      <c r="BG46" s="127">
        <v>42908</v>
      </c>
      <c r="BH46" s="188" t="s">
        <v>10</v>
      </c>
      <c r="BI46" s="188" t="s">
        <v>598</v>
      </c>
      <c r="BJ46" s="189">
        <v>6000</v>
      </c>
      <c r="BK46" s="188" t="s">
        <v>493</v>
      </c>
      <c r="BL46" s="188" t="s">
        <v>598</v>
      </c>
      <c r="BM46" s="189">
        <v>0</v>
      </c>
      <c r="BN46" s="188" t="s">
        <v>598</v>
      </c>
      <c r="BO46" s="127">
        <v>42901</v>
      </c>
      <c r="BP46" s="188" t="s">
        <v>598</v>
      </c>
      <c r="BQ46" s="188" t="s">
        <v>84</v>
      </c>
      <c r="BR46" s="188" t="s">
        <v>209</v>
      </c>
      <c r="BS46" s="188" t="s">
        <v>598</v>
      </c>
      <c r="BT46" s="188" t="s">
        <v>63</v>
      </c>
      <c r="BU46" s="188" t="s">
        <v>63</v>
      </c>
      <c r="BV46" s="188" t="s">
        <v>598</v>
      </c>
      <c r="BZ46" s="188">
        <v>45</v>
      </c>
      <c r="CA46" s="127">
        <v>42868</v>
      </c>
      <c r="CB46" s="188" t="s">
        <v>495</v>
      </c>
      <c r="CC46" s="188" t="s">
        <v>322</v>
      </c>
      <c r="CD46" s="188" t="s">
        <v>112</v>
      </c>
      <c r="CE46" s="188"/>
      <c r="CF46" s="188" t="s">
        <v>34</v>
      </c>
      <c r="CG46" s="188"/>
      <c r="CH46" s="189">
        <v>600</v>
      </c>
      <c r="CI46" s="188"/>
    </row>
    <row r="47" spans="5:87">
      <c r="E47" s="21"/>
      <c r="Q47" s="191"/>
      <c r="R47" s="191"/>
      <c r="S47" s="191"/>
      <c r="T47" s="127"/>
      <c r="U47" s="127"/>
      <c r="V47" s="191"/>
      <c r="W47" s="190"/>
      <c r="X47" s="191"/>
      <c r="Y47" s="191"/>
      <c r="Z47" s="191"/>
      <c r="AA47" s="191"/>
      <c r="AB47" s="191"/>
      <c r="AC47" s="191"/>
      <c r="AD47" s="191"/>
      <c r="AE47" s="191"/>
      <c r="AF47" s="191"/>
      <c r="AG47" s="191"/>
      <c r="AH47" s="191"/>
      <c r="AI47" s="127"/>
      <c r="AJ47" s="191"/>
      <c r="AK47" s="191"/>
      <c r="AL47" s="190"/>
      <c r="AM47" s="191"/>
      <c r="AQ47" s="194"/>
      <c r="AR47" s="127"/>
      <c r="AS47" s="194"/>
      <c r="AT47" s="194"/>
      <c r="AU47" s="194"/>
      <c r="AV47" s="194"/>
      <c r="AW47" s="194"/>
      <c r="AX47" s="194"/>
      <c r="AY47" s="193"/>
      <c r="AZ47" s="194"/>
      <c r="BA47" s="21"/>
      <c r="BE47" s="188" t="s">
        <v>891</v>
      </c>
      <c r="BF47" s="188" t="s">
        <v>3774</v>
      </c>
      <c r="BG47" s="127">
        <v>42905</v>
      </c>
      <c r="BH47" s="188" t="s">
        <v>34</v>
      </c>
      <c r="BI47" s="188" t="s">
        <v>598</v>
      </c>
      <c r="BJ47" s="189">
        <v>1000</v>
      </c>
      <c r="BK47" s="188" t="s">
        <v>549</v>
      </c>
      <c r="BL47" s="188" t="s">
        <v>598</v>
      </c>
      <c r="BM47" s="189">
        <v>0</v>
      </c>
      <c r="BN47" s="188" t="s">
        <v>493</v>
      </c>
      <c r="BO47" s="127">
        <v>42901</v>
      </c>
      <c r="BP47" s="188" t="s">
        <v>598</v>
      </c>
      <c r="BQ47" s="188" t="s">
        <v>84</v>
      </c>
      <c r="BR47" s="188" t="s">
        <v>210</v>
      </c>
      <c r="BS47" s="188" t="s">
        <v>598</v>
      </c>
      <c r="BT47" s="188" t="s">
        <v>63</v>
      </c>
      <c r="BU47" s="188" t="s">
        <v>86</v>
      </c>
      <c r="BV47" s="188" t="s">
        <v>598</v>
      </c>
      <c r="BZ47" s="188">
        <v>46</v>
      </c>
      <c r="CA47" s="127">
        <v>42868</v>
      </c>
      <c r="CB47" s="188" t="s">
        <v>495</v>
      </c>
      <c r="CC47" s="188" t="s">
        <v>322</v>
      </c>
      <c r="CD47" s="188" t="s">
        <v>176</v>
      </c>
      <c r="CE47" s="188"/>
      <c r="CF47" s="188" t="s">
        <v>34</v>
      </c>
      <c r="CG47" s="188"/>
      <c r="CH47" s="189">
        <v>400</v>
      </c>
      <c r="CI47" s="188"/>
    </row>
    <row r="48" spans="5:87">
      <c r="E48" s="21"/>
      <c r="Q48" s="191"/>
      <c r="R48" s="191"/>
      <c r="S48" s="191"/>
      <c r="T48" s="127"/>
      <c r="U48" s="127"/>
      <c r="V48" s="191"/>
      <c r="W48" s="190"/>
      <c r="X48" s="191"/>
      <c r="Y48" s="191"/>
      <c r="Z48" s="191"/>
      <c r="AA48" s="191"/>
      <c r="AB48" s="191"/>
      <c r="AC48" s="191"/>
      <c r="AD48" s="191"/>
      <c r="AE48" s="191"/>
      <c r="AF48" s="191"/>
      <c r="AG48" s="191"/>
      <c r="AH48" s="191"/>
      <c r="AI48" s="127"/>
      <c r="AJ48" s="191"/>
      <c r="AK48" s="191"/>
      <c r="AL48" s="190"/>
      <c r="AM48" s="191"/>
      <c r="AQ48" s="194"/>
      <c r="AR48" s="127"/>
      <c r="AS48" s="194"/>
      <c r="AT48" s="194"/>
      <c r="AU48" s="194"/>
      <c r="AV48" s="194"/>
      <c r="AW48" s="194"/>
      <c r="AX48" s="194"/>
      <c r="AY48" s="193"/>
      <c r="AZ48" s="194"/>
      <c r="BA48" s="21"/>
      <c r="BE48" s="188" t="s">
        <v>903</v>
      </c>
      <c r="BF48" s="188" t="s">
        <v>3775</v>
      </c>
      <c r="BG48" s="127">
        <v>42905</v>
      </c>
      <c r="BH48" s="188" t="s">
        <v>34</v>
      </c>
      <c r="BI48" s="188" t="s">
        <v>598</v>
      </c>
      <c r="BJ48" s="189">
        <v>1000</v>
      </c>
      <c r="BK48" s="188" t="s">
        <v>549</v>
      </c>
      <c r="BL48" s="188" t="s">
        <v>598</v>
      </c>
      <c r="BM48" s="189">
        <v>0</v>
      </c>
      <c r="BN48" s="188" t="s">
        <v>493</v>
      </c>
      <c r="BO48" s="127">
        <v>42903</v>
      </c>
      <c r="BP48" s="188" t="s">
        <v>598</v>
      </c>
      <c r="BQ48" s="188" t="s">
        <v>84</v>
      </c>
      <c r="BR48" s="188" t="s">
        <v>212</v>
      </c>
      <c r="BS48" s="188" t="s">
        <v>598</v>
      </c>
      <c r="BT48" s="188" t="s">
        <v>63</v>
      </c>
      <c r="BU48" s="188" t="s">
        <v>86</v>
      </c>
      <c r="BV48" s="188" t="s">
        <v>598</v>
      </c>
      <c r="BZ48" s="188">
        <v>47</v>
      </c>
      <c r="CA48" s="127">
        <v>42868</v>
      </c>
      <c r="CB48" s="188" t="s">
        <v>495</v>
      </c>
      <c r="CC48" s="188" t="s">
        <v>322</v>
      </c>
      <c r="CD48" s="188" t="s">
        <v>65</v>
      </c>
      <c r="CE48" s="188"/>
      <c r="CF48" s="188" t="s">
        <v>34</v>
      </c>
      <c r="CG48" s="188"/>
      <c r="CH48" s="189">
        <v>500</v>
      </c>
      <c r="CI48" s="188"/>
    </row>
    <row r="49" spans="5:87">
      <c r="E49" s="21"/>
      <c r="Q49" s="191"/>
      <c r="R49" s="191"/>
      <c r="S49" s="191"/>
      <c r="T49" s="127"/>
      <c r="U49" s="127"/>
      <c r="V49" s="191"/>
      <c r="W49" s="190"/>
      <c r="X49" s="191"/>
      <c r="Y49" s="191"/>
      <c r="Z49" s="191"/>
      <c r="AA49" s="191"/>
      <c r="AB49" s="191"/>
      <c r="AC49" s="191"/>
      <c r="AD49" s="191"/>
      <c r="AE49" s="191"/>
      <c r="AF49" s="191"/>
      <c r="AG49" s="191"/>
      <c r="AH49" s="191"/>
      <c r="AI49" s="127"/>
      <c r="AJ49" s="191"/>
      <c r="AK49" s="191"/>
      <c r="AL49" s="190"/>
      <c r="AM49" s="191"/>
      <c r="AQ49" s="194"/>
      <c r="AR49" s="127"/>
      <c r="AS49" s="194"/>
      <c r="AT49" s="194"/>
      <c r="AU49" s="194"/>
      <c r="AV49" s="194"/>
      <c r="AW49" s="194"/>
      <c r="AX49" s="194"/>
      <c r="AY49" s="193"/>
      <c r="AZ49" s="194"/>
      <c r="BA49" s="21"/>
      <c r="BE49" s="188" t="s">
        <v>909</v>
      </c>
      <c r="BF49" s="188" t="s">
        <v>3776</v>
      </c>
      <c r="BG49" s="127">
        <v>42905</v>
      </c>
      <c r="BH49" s="188" t="s">
        <v>34</v>
      </c>
      <c r="BI49" s="188" t="s">
        <v>598</v>
      </c>
      <c r="BJ49" s="189">
        <v>3000</v>
      </c>
      <c r="BK49" s="188" t="s">
        <v>493</v>
      </c>
      <c r="BL49" s="188" t="s">
        <v>598</v>
      </c>
      <c r="BM49" s="189">
        <v>0</v>
      </c>
      <c r="BN49" s="188" t="s">
        <v>598</v>
      </c>
      <c r="BO49" s="127">
        <v>42903</v>
      </c>
      <c r="BP49" s="188" t="s">
        <v>598</v>
      </c>
      <c r="BQ49" s="188" t="s">
        <v>84</v>
      </c>
      <c r="BR49" s="188" t="s">
        <v>215</v>
      </c>
      <c r="BS49" s="188" t="s">
        <v>598</v>
      </c>
      <c r="BT49" s="188" t="s">
        <v>63</v>
      </c>
      <c r="BU49" s="188" t="s">
        <v>86</v>
      </c>
      <c r="BV49" s="188" t="s">
        <v>598</v>
      </c>
      <c r="BZ49" s="188">
        <v>48</v>
      </c>
      <c r="CA49" s="127">
        <v>42868</v>
      </c>
      <c r="CB49" s="188" t="s">
        <v>495</v>
      </c>
      <c r="CC49" s="188" t="s">
        <v>322</v>
      </c>
      <c r="CD49" s="188" t="s">
        <v>88</v>
      </c>
      <c r="CE49" s="188"/>
      <c r="CF49" s="188" t="s">
        <v>34</v>
      </c>
      <c r="CG49" s="188"/>
      <c r="CH49" s="189">
        <v>600</v>
      </c>
      <c r="CI49" s="188"/>
    </row>
    <row r="50" spans="5:87">
      <c r="E50" s="21"/>
      <c r="Q50" s="191"/>
      <c r="R50" s="191"/>
      <c r="S50" s="191"/>
      <c r="T50" s="127"/>
      <c r="U50" s="127"/>
      <c r="V50" s="191"/>
      <c r="W50" s="190"/>
      <c r="X50" s="191"/>
      <c r="Y50" s="191"/>
      <c r="Z50" s="191"/>
      <c r="AA50" s="191"/>
      <c r="AB50" s="191"/>
      <c r="AC50" s="191"/>
      <c r="AD50" s="191"/>
      <c r="AE50" s="191"/>
      <c r="AF50" s="191"/>
      <c r="AG50" s="191"/>
      <c r="AH50" s="191"/>
      <c r="AI50" s="127"/>
      <c r="AJ50" s="191"/>
      <c r="AK50" s="191"/>
      <c r="AL50" s="190"/>
      <c r="AM50" s="191"/>
      <c r="AQ50" s="194"/>
      <c r="AR50" s="127"/>
      <c r="AS50" s="194"/>
      <c r="AT50" s="194"/>
      <c r="AU50" s="194"/>
      <c r="AV50" s="194"/>
      <c r="AW50" s="194"/>
      <c r="AX50" s="194"/>
      <c r="AY50" s="193"/>
      <c r="AZ50" s="194"/>
      <c r="BA50" s="21"/>
      <c r="BE50" s="188" t="s">
        <v>911</v>
      </c>
      <c r="BF50" s="188" t="s">
        <v>3777</v>
      </c>
      <c r="BG50" s="127">
        <v>42907</v>
      </c>
      <c r="BH50" s="188" t="s">
        <v>34</v>
      </c>
      <c r="BI50" s="188" t="s">
        <v>598</v>
      </c>
      <c r="BJ50" s="189">
        <v>5000</v>
      </c>
      <c r="BK50" s="188" t="s">
        <v>493</v>
      </c>
      <c r="BL50" s="188" t="s">
        <v>598</v>
      </c>
      <c r="BM50" s="189">
        <v>0</v>
      </c>
      <c r="BN50" s="188" t="s">
        <v>598</v>
      </c>
      <c r="BO50" s="127">
        <v>42905</v>
      </c>
      <c r="BP50" s="188" t="s">
        <v>598</v>
      </c>
      <c r="BQ50" s="188" t="s">
        <v>84</v>
      </c>
      <c r="BR50" s="188" t="s">
        <v>216</v>
      </c>
      <c r="BS50" s="188" t="s">
        <v>598</v>
      </c>
      <c r="BT50" s="188" t="s">
        <v>63</v>
      </c>
      <c r="BU50" s="188" t="s">
        <v>86</v>
      </c>
      <c r="BV50" s="188" t="s">
        <v>598</v>
      </c>
      <c r="BZ50" s="188">
        <v>49</v>
      </c>
      <c r="CA50" s="127">
        <v>42868</v>
      </c>
      <c r="CB50" s="188" t="s">
        <v>504</v>
      </c>
      <c r="CC50" s="188" t="s">
        <v>545</v>
      </c>
      <c r="CD50" s="188" t="s">
        <v>86</v>
      </c>
      <c r="CE50" s="188"/>
      <c r="CF50" s="188" t="s">
        <v>34</v>
      </c>
      <c r="CG50" s="188"/>
      <c r="CH50" s="189">
        <v>800</v>
      </c>
      <c r="CI50" s="188"/>
    </row>
    <row r="51" spans="5:87">
      <c r="E51" s="21"/>
      <c r="Q51" s="191"/>
      <c r="R51" s="191"/>
      <c r="S51" s="191"/>
      <c r="T51" s="127"/>
      <c r="U51" s="127"/>
      <c r="V51" s="191"/>
      <c r="W51" s="190"/>
      <c r="X51" s="191"/>
      <c r="Y51" s="191"/>
      <c r="Z51" s="191"/>
      <c r="AA51" s="191"/>
      <c r="AB51" s="191"/>
      <c r="AC51" s="191"/>
      <c r="AD51" s="191"/>
      <c r="AE51" s="191"/>
      <c r="AF51" s="191"/>
      <c r="AG51" s="191"/>
      <c r="AH51" s="191"/>
      <c r="AI51" s="127"/>
      <c r="AJ51" s="191"/>
      <c r="AK51" s="191"/>
      <c r="AL51" s="190"/>
      <c r="AM51" s="191"/>
      <c r="AQ51" s="194"/>
      <c r="AR51" s="127"/>
      <c r="AS51" s="194"/>
      <c r="AT51" s="194"/>
      <c r="AU51" s="194"/>
      <c r="AV51" s="194"/>
      <c r="AW51" s="194"/>
      <c r="AX51" s="194"/>
      <c r="AY51" s="193"/>
      <c r="AZ51" s="194"/>
      <c r="BA51" s="21"/>
      <c r="BE51" s="188" t="s">
        <v>919</v>
      </c>
      <c r="BF51" s="188" t="s">
        <v>3778</v>
      </c>
      <c r="BG51" s="127">
        <v>42906</v>
      </c>
      <c r="BH51" s="188" t="s">
        <v>34</v>
      </c>
      <c r="BI51" s="188" t="s">
        <v>598</v>
      </c>
      <c r="BJ51" s="189">
        <v>3500</v>
      </c>
      <c r="BK51" s="188" t="s">
        <v>493</v>
      </c>
      <c r="BL51" s="188" t="s">
        <v>598</v>
      </c>
      <c r="BM51" s="189">
        <v>0</v>
      </c>
      <c r="BN51" s="188" t="s">
        <v>598</v>
      </c>
      <c r="BO51" s="127">
        <v>42905</v>
      </c>
      <c r="BP51" s="188" t="s">
        <v>598</v>
      </c>
      <c r="BQ51" s="188" t="s">
        <v>84</v>
      </c>
      <c r="BR51" s="188" t="s">
        <v>217</v>
      </c>
      <c r="BS51" s="188" t="s">
        <v>598</v>
      </c>
      <c r="BT51" s="188" t="s">
        <v>63</v>
      </c>
      <c r="BU51" s="188" t="s">
        <v>63</v>
      </c>
      <c r="BV51" s="188" t="s">
        <v>598</v>
      </c>
      <c r="BZ51" s="188">
        <v>50</v>
      </c>
      <c r="CA51" s="127">
        <v>42868</v>
      </c>
      <c r="CB51" s="188" t="s">
        <v>504</v>
      </c>
      <c r="CC51" s="188" t="s">
        <v>545</v>
      </c>
      <c r="CD51" s="188" t="s">
        <v>73</v>
      </c>
      <c r="CE51" s="188"/>
      <c r="CF51" s="188" t="s">
        <v>34</v>
      </c>
      <c r="CG51" s="188"/>
      <c r="CH51" s="189">
        <v>800</v>
      </c>
      <c r="CI51" s="188"/>
    </row>
    <row r="52" spans="5:87">
      <c r="E52" s="21"/>
      <c r="Q52" s="191"/>
      <c r="R52" s="191"/>
      <c r="S52" s="191"/>
      <c r="T52" s="127"/>
      <c r="U52" s="127"/>
      <c r="V52" s="191"/>
      <c r="W52" s="190"/>
      <c r="X52" s="191"/>
      <c r="Y52" s="191"/>
      <c r="Z52" s="191"/>
      <c r="AA52" s="191"/>
      <c r="AB52" s="191"/>
      <c r="AC52" s="191"/>
      <c r="AD52" s="191"/>
      <c r="AE52" s="191"/>
      <c r="AF52" s="191"/>
      <c r="AG52" s="191"/>
      <c r="AH52" s="191"/>
      <c r="AI52" s="127"/>
      <c r="AJ52" s="191"/>
      <c r="AK52" s="191"/>
      <c r="AL52" s="190"/>
      <c r="AM52" s="191"/>
      <c r="AQ52" s="194"/>
      <c r="AR52" s="127"/>
      <c r="AS52" s="194"/>
      <c r="AT52" s="194"/>
      <c r="AU52" s="194"/>
      <c r="AV52" s="194"/>
      <c r="AW52" s="194"/>
      <c r="AX52" s="194"/>
      <c r="AY52" s="193"/>
      <c r="AZ52" s="194"/>
      <c r="BA52" s="21"/>
      <c r="BE52" s="188" t="s">
        <v>925</v>
      </c>
      <c r="BF52" s="188" t="s">
        <v>3779</v>
      </c>
      <c r="BG52" s="127">
        <v>42907</v>
      </c>
      <c r="BH52" s="188" t="s">
        <v>34</v>
      </c>
      <c r="BI52" s="188" t="s">
        <v>598</v>
      </c>
      <c r="BJ52" s="189">
        <v>1000</v>
      </c>
      <c r="BK52" s="188" t="s">
        <v>549</v>
      </c>
      <c r="BL52" s="188" t="s">
        <v>598</v>
      </c>
      <c r="BM52" s="189">
        <v>0</v>
      </c>
      <c r="BN52" s="188" t="s">
        <v>493</v>
      </c>
      <c r="BO52" s="127">
        <v>42906</v>
      </c>
      <c r="BP52" s="188" t="s">
        <v>598</v>
      </c>
      <c r="BQ52" s="188" t="s">
        <v>84</v>
      </c>
      <c r="BR52" s="188" t="s">
        <v>218</v>
      </c>
      <c r="BS52" s="188" t="s">
        <v>598</v>
      </c>
      <c r="BT52" s="188" t="s">
        <v>63</v>
      </c>
      <c r="BU52" s="188" t="s">
        <v>598</v>
      </c>
      <c r="BV52" s="188" t="s">
        <v>598</v>
      </c>
      <c r="BZ52" s="188">
        <v>51</v>
      </c>
      <c r="CA52" s="127">
        <v>42868</v>
      </c>
      <c r="CB52" s="188" t="s">
        <v>504</v>
      </c>
      <c r="CC52" s="188" t="s">
        <v>545</v>
      </c>
      <c r="CD52" s="188" t="s">
        <v>30</v>
      </c>
      <c r="CE52" s="188"/>
      <c r="CF52" s="188" t="s">
        <v>34</v>
      </c>
      <c r="CG52" s="188"/>
      <c r="CH52" s="189">
        <v>800</v>
      </c>
      <c r="CI52" s="188"/>
    </row>
    <row r="53" spans="5:87">
      <c r="E53" s="21"/>
      <c r="Q53" s="191"/>
      <c r="R53" s="191"/>
      <c r="S53" s="191"/>
      <c r="T53" s="127"/>
      <c r="U53" s="127"/>
      <c r="V53" s="191"/>
      <c r="W53" s="190"/>
      <c r="X53" s="191"/>
      <c r="Y53" s="191"/>
      <c r="Z53" s="191"/>
      <c r="AA53" s="191"/>
      <c r="AB53" s="191"/>
      <c r="AC53" s="191"/>
      <c r="AD53" s="191"/>
      <c r="AE53" s="191"/>
      <c r="AF53" s="191"/>
      <c r="AG53" s="191"/>
      <c r="AH53" s="191"/>
      <c r="AI53" s="127"/>
      <c r="AJ53" s="191"/>
      <c r="AK53" s="191"/>
      <c r="AL53" s="190"/>
      <c r="AM53" s="191"/>
      <c r="AQ53" s="194"/>
      <c r="AR53" s="127"/>
      <c r="AS53" s="194"/>
      <c r="AT53" s="194"/>
      <c r="AU53" s="194"/>
      <c r="AV53" s="194"/>
      <c r="AW53" s="194"/>
      <c r="AX53" s="194"/>
      <c r="AY53" s="193"/>
      <c r="AZ53" s="194"/>
      <c r="BA53" s="21"/>
      <c r="BE53" s="188" t="s">
        <v>927</v>
      </c>
      <c r="BF53" s="188" t="s">
        <v>3780</v>
      </c>
      <c r="BG53" s="127">
        <v>42909</v>
      </c>
      <c r="BH53" s="188" t="s">
        <v>10</v>
      </c>
      <c r="BI53" s="188" t="s">
        <v>598</v>
      </c>
      <c r="BJ53" s="189">
        <v>2000</v>
      </c>
      <c r="BK53" s="188" t="s">
        <v>493</v>
      </c>
      <c r="BL53" s="188" t="s">
        <v>598</v>
      </c>
      <c r="BM53" s="189">
        <v>0</v>
      </c>
      <c r="BN53" s="188" t="s">
        <v>598</v>
      </c>
      <c r="BO53" s="127">
        <v>42906</v>
      </c>
      <c r="BP53" s="188" t="s">
        <v>598</v>
      </c>
      <c r="BQ53" s="188" t="s">
        <v>84</v>
      </c>
      <c r="BR53" s="188" t="s">
        <v>598</v>
      </c>
      <c r="BS53" s="188" t="s">
        <v>598</v>
      </c>
      <c r="BT53" s="188" t="s">
        <v>63</v>
      </c>
      <c r="BU53" s="188" t="s">
        <v>86</v>
      </c>
      <c r="BV53" s="188" t="s">
        <v>598</v>
      </c>
      <c r="BZ53" s="188">
        <v>52</v>
      </c>
      <c r="CA53" s="127">
        <v>42868</v>
      </c>
      <c r="CB53" s="188" t="s">
        <v>504</v>
      </c>
      <c r="CC53" s="188" t="s">
        <v>545</v>
      </c>
      <c r="CD53" s="188" t="s">
        <v>98</v>
      </c>
      <c r="CE53" s="188"/>
      <c r="CF53" s="188" t="s">
        <v>34</v>
      </c>
      <c r="CG53" s="188"/>
      <c r="CH53" s="189">
        <v>800</v>
      </c>
      <c r="CI53" s="188"/>
    </row>
    <row r="54" spans="5:87">
      <c r="E54" s="21"/>
      <c r="Q54" s="191"/>
      <c r="R54" s="191"/>
      <c r="S54" s="191"/>
      <c r="T54" s="127"/>
      <c r="U54" s="127"/>
      <c r="V54" s="191"/>
      <c r="W54" s="190"/>
      <c r="X54" s="191"/>
      <c r="Y54" s="191"/>
      <c r="Z54" s="191"/>
      <c r="AA54" s="191"/>
      <c r="AB54" s="191"/>
      <c r="AC54" s="191"/>
      <c r="AD54" s="191"/>
      <c r="AE54" s="191"/>
      <c r="AF54" s="191"/>
      <c r="AG54" s="191"/>
      <c r="AH54" s="191"/>
      <c r="AI54" s="127"/>
      <c r="AJ54" s="191"/>
      <c r="AK54" s="191"/>
      <c r="AL54" s="190"/>
      <c r="AM54" s="191"/>
      <c r="AQ54" s="194"/>
      <c r="AR54" s="127"/>
      <c r="AS54" s="194"/>
      <c r="AT54" s="194"/>
      <c r="AU54" s="194"/>
      <c r="AV54" s="194"/>
      <c r="AW54" s="194"/>
      <c r="AX54" s="194"/>
      <c r="AY54" s="193"/>
      <c r="AZ54" s="194"/>
      <c r="BA54" s="21"/>
      <c r="BE54" s="188" t="s">
        <v>931</v>
      </c>
      <c r="BF54" s="188" t="s">
        <v>3781</v>
      </c>
      <c r="BG54" s="127">
        <v>42907</v>
      </c>
      <c r="BH54" s="188" t="s">
        <v>34</v>
      </c>
      <c r="BI54" s="188" t="s">
        <v>598</v>
      </c>
      <c r="BJ54" s="189">
        <v>2500</v>
      </c>
      <c r="BK54" s="188" t="s">
        <v>493</v>
      </c>
      <c r="BL54" s="188" t="s">
        <v>598</v>
      </c>
      <c r="BM54" s="189">
        <v>0</v>
      </c>
      <c r="BN54" s="188" t="s">
        <v>598</v>
      </c>
      <c r="BO54" s="127">
        <v>42907</v>
      </c>
      <c r="BP54" s="188" t="s">
        <v>900</v>
      </c>
      <c r="BQ54" s="188" t="s">
        <v>84</v>
      </c>
      <c r="BR54" s="188" t="s">
        <v>598</v>
      </c>
      <c r="BS54" s="188" t="s">
        <v>598</v>
      </c>
      <c r="BT54" s="188" t="s">
        <v>63</v>
      </c>
      <c r="BU54" s="188" t="s">
        <v>598</v>
      </c>
      <c r="BV54" s="188" t="s">
        <v>598</v>
      </c>
      <c r="BZ54" s="188">
        <v>53</v>
      </c>
      <c r="CA54" s="127">
        <v>42868</v>
      </c>
      <c r="CB54" s="188" t="s">
        <v>504</v>
      </c>
      <c r="CC54" s="188" t="s">
        <v>545</v>
      </c>
      <c r="CD54" s="188" t="s">
        <v>112</v>
      </c>
      <c r="CE54" s="188"/>
      <c r="CF54" s="188" t="s">
        <v>34</v>
      </c>
      <c r="CG54" s="188"/>
      <c r="CH54" s="189">
        <v>800</v>
      </c>
      <c r="CI54" s="188"/>
    </row>
    <row r="55" spans="5:87">
      <c r="E55" s="21"/>
      <c r="Q55" s="191"/>
      <c r="R55" s="191"/>
      <c r="S55" s="191"/>
      <c r="T55" s="127"/>
      <c r="U55" s="127"/>
      <c r="V55" s="191"/>
      <c r="W55" s="190"/>
      <c r="X55" s="191"/>
      <c r="Y55" s="191"/>
      <c r="Z55" s="191"/>
      <c r="AA55" s="191"/>
      <c r="AB55" s="191"/>
      <c r="AC55" s="191"/>
      <c r="AD55" s="191"/>
      <c r="AE55" s="191"/>
      <c r="AF55" s="191"/>
      <c r="AG55" s="191"/>
      <c r="AH55" s="191"/>
      <c r="AI55" s="127"/>
      <c r="AJ55" s="191"/>
      <c r="AK55" s="191"/>
      <c r="AL55" s="190"/>
      <c r="AM55" s="191"/>
      <c r="AQ55" s="194"/>
      <c r="AR55" s="127"/>
      <c r="AS55" s="194"/>
      <c r="AT55" s="194"/>
      <c r="AU55" s="194"/>
      <c r="AV55" s="194"/>
      <c r="AW55" s="194"/>
      <c r="AX55" s="194"/>
      <c r="AY55" s="193"/>
      <c r="AZ55" s="194"/>
      <c r="BA55" s="21"/>
      <c r="BE55" s="188" t="s">
        <v>940</v>
      </c>
      <c r="BF55" s="188" t="s">
        <v>3782</v>
      </c>
      <c r="BG55" s="127">
        <v>42907</v>
      </c>
      <c r="BH55" s="188" t="s">
        <v>34</v>
      </c>
      <c r="BI55" s="188" t="s">
        <v>598</v>
      </c>
      <c r="BJ55" s="189">
        <v>1000</v>
      </c>
      <c r="BK55" s="188" t="s">
        <v>549</v>
      </c>
      <c r="BL55" s="188" t="s">
        <v>598</v>
      </c>
      <c r="BM55" s="189">
        <v>0</v>
      </c>
      <c r="BN55" s="188" t="s">
        <v>493</v>
      </c>
      <c r="BO55" s="127">
        <v>42907</v>
      </c>
      <c r="BP55" s="188" t="s">
        <v>120</v>
      </c>
      <c r="BQ55" s="188" t="s">
        <v>84</v>
      </c>
      <c r="BR55" s="188" t="s">
        <v>220</v>
      </c>
      <c r="BS55" s="188" t="s">
        <v>598</v>
      </c>
      <c r="BT55" s="188" t="s">
        <v>63</v>
      </c>
      <c r="BU55" s="188" t="s">
        <v>86</v>
      </c>
      <c r="BV55" s="188" t="s">
        <v>598</v>
      </c>
      <c r="BZ55" s="188">
        <v>54</v>
      </c>
      <c r="CA55" s="127">
        <v>42868</v>
      </c>
      <c r="CB55" s="188" t="s">
        <v>504</v>
      </c>
      <c r="CC55" s="188" t="s">
        <v>545</v>
      </c>
      <c r="CD55" s="188" t="s">
        <v>176</v>
      </c>
      <c r="CE55" s="188"/>
      <c r="CF55" s="188" t="s">
        <v>34</v>
      </c>
      <c r="CG55" s="188"/>
      <c r="CH55" s="189">
        <v>800</v>
      </c>
      <c r="CI55" s="188"/>
    </row>
    <row r="56" spans="5:87">
      <c r="E56" s="21"/>
      <c r="Q56" s="191"/>
      <c r="R56" s="191"/>
      <c r="S56" s="191"/>
      <c r="T56" s="127"/>
      <c r="U56" s="127"/>
      <c r="V56" s="191"/>
      <c r="W56" s="190"/>
      <c r="X56" s="191"/>
      <c r="Y56" s="191"/>
      <c r="Z56" s="191"/>
      <c r="AA56" s="191"/>
      <c r="AB56" s="191"/>
      <c r="AC56" s="191"/>
      <c r="AD56" s="191"/>
      <c r="AE56" s="191"/>
      <c r="AF56" s="191"/>
      <c r="AG56" s="191"/>
      <c r="AH56" s="191"/>
      <c r="AI56" s="127"/>
      <c r="AJ56" s="191"/>
      <c r="AK56" s="191"/>
      <c r="AL56" s="190"/>
      <c r="AM56" s="191"/>
      <c r="AQ56" s="194"/>
      <c r="AR56" s="127"/>
      <c r="AS56" s="194"/>
      <c r="AT56" s="194"/>
      <c r="AU56" s="194"/>
      <c r="AV56" s="194"/>
      <c r="AW56" s="194"/>
      <c r="AX56" s="194"/>
      <c r="AY56" s="193"/>
      <c r="AZ56" s="194"/>
      <c r="BA56" s="21"/>
      <c r="BE56" s="188" t="s">
        <v>942</v>
      </c>
      <c r="BF56" s="188" t="s">
        <v>3783</v>
      </c>
      <c r="BG56" s="127">
        <v>42907</v>
      </c>
      <c r="BH56" s="188" t="s">
        <v>34</v>
      </c>
      <c r="BI56" s="188" t="s">
        <v>598</v>
      </c>
      <c r="BJ56" s="189">
        <v>4500</v>
      </c>
      <c r="BK56" s="188" t="s">
        <v>493</v>
      </c>
      <c r="BL56" s="188" t="s">
        <v>598</v>
      </c>
      <c r="BM56" s="189">
        <v>0</v>
      </c>
      <c r="BN56" s="188" t="s">
        <v>598</v>
      </c>
      <c r="BO56" s="127">
        <v>42907</v>
      </c>
      <c r="BP56" s="188" t="s">
        <v>134</v>
      </c>
      <c r="BQ56" s="188" t="s">
        <v>84</v>
      </c>
      <c r="BR56" s="188" t="s">
        <v>944</v>
      </c>
      <c r="BS56" s="188" t="s">
        <v>598</v>
      </c>
      <c r="BT56" s="188" t="s">
        <v>63</v>
      </c>
      <c r="BU56" s="188" t="s">
        <v>86</v>
      </c>
      <c r="BV56" s="188" t="s">
        <v>598</v>
      </c>
      <c r="BZ56" s="188">
        <v>55</v>
      </c>
      <c r="CA56" s="127">
        <v>42868</v>
      </c>
      <c r="CB56" s="188" t="s">
        <v>504</v>
      </c>
      <c r="CC56" s="188" t="s">
        <v>545</v>
      </c>
      <c r="CD56" s="188" t="s">
        <v>65</v>
      </c>
      <c r="CE56" s="188"/>
      <c r="CF56" s="188" t="s">
        <v>34</v>
      </c>
      <c r="CG56" s="188"/>
      <c r="CH56" s="189">
        <v>800</v>
      </c>
      <c r="CI56" s="188"/>
    </row>
    <row r="57" spans="5:87">
      <c r="E57" s="21"/>
      <c r="Q57" s="191"/>
      <c r="R57" s="191"/>
      <c r="S57" s="191"/>
      <c r="T57" s="127"/>
      <c r="U57" s="127"/>
      <c r="V57" s="191"/>
      <c r="W57" s="190"/>
      <c r="X57" s="191"/>
      <c r="Y57" s="191"/>
      <c r="Z57" s="191"/>
      <c r="AA57" s="191"/>
      <c r="AB57" s="191"/>
      <c r="AC57" s="191"/>
      <c r="AD57" s="191"/>
      <c r="AE57" s="191"/>
      <c r="AF57" s="191"/>
      <c r="AG57" s="191"/>
      <c r="AH57" s="191"/>
      <c r="AI57" s="127"/>
      <c r="AJ57" s="191"/>
      <c r="AK57" s="191"/>
      <c r="AL57" s="190"/>
      <c r="AM57" s="191"/>
      <c r="AQ57" s="194"/>
      <c r="AR57" s="127"/>
      <c r="AS57" s="194"/>
      <c r="AT57" s="194"/>
      <c r="AU57" s="194"/>
      <c r="AV57" s="194"/>
      <c r="AW57" s="194"/>
      <c r="AX57" s="194"/>
      <c r="AY57" s="193"/>
      <c r="AZ57" s="194"/>
      <c r="BA57" s="21"/>
      <c r="BE57" s="188" t="s">
        <v>945</v>
      </c>
      <c r="BF57" s="188" t="s">
        <v>3784</v>
      </c>
      <c r="BG57" s="127">
        <v>42908</v>
      </c>
      <c r="BH57" s="188" t="s">
        <v>34</v>
      </c>
      <c r="BI57" s="188" t="s">
        <v>598</v>
      </c>
      <c r="BJ57" s="189">
        <v>3000</v>
      </c>
      <c r="BK57" s="188" t="s">
        <v>493</v>
      </c>
      <c r="BL57" s="188" t="s">
        <v>598</v>
      </c>
      <c r="BM57" s="189">
        <v>0</v>
      </c>
      <c r="BN57" s="188" t="s">
        <v>598</v>
      </c>
      <c r="BO57" s="127">
        <v>42908</v>
      </c>
      <c r="BP57" s="188" t="s">
        <v>132</v>
      </c>
      <c r="BQ57" s="188" t="s">
        <v>84</v>
      </c>
      <c r="BR57" s="188" t="s">
        <v>191</v>
      </c>
      <c r="BS57" s="188" t="s">
        <v>598</v>
      </c>
      <c r="BT57" s="188" t="s">
        <v>63</v>
      </c>
      <c r="BU57" s="188" t="s">
        <v>63</v>
      </c>
      <c r="BV57" s="188" t="s">
        <v>598</v>
      </c>
      <c r="BZ57" s="188">
        <v>56</v>
      </c>
      <c r="CA57" s="127">
        <v>42868</v>
      </c>
      <c r="CB57" s="188" t="s">
        <v>504</v>
      </c>
      <c r="CC57" s="188" t="s">
        <v>545</v>
      </c>
      <c r="CD57" s="188" t="s">
        <v>42</v>
      </c>
      <c r="CE57" s="188"/>
      <c r="CF57" s="188" t="s">
        <v>34</v>
      </c>
      <c r="CG57" s="188"/>
      <c r="CH57" s="189">
        <v>800</v>
      </c>
      <c r="CI57" s="188"/>
    </row>
    <row r="58" spans="5:87">
      <c r="E58" s="21"/>
      <c r="Q58" s="191"/>
      <c r="R58" s="191"/>
      <c r="S58" s="191"/>
      <c r="T58" s="127"/>
      <c r="U58" s="127"/>
      <c r="V58" s="191"/>
      <c r="W58" s="190"/>
      <c r="X58" s="191"/>
      <c r="Y58" s="191"/>
      <c r="Z58" s="191"/>
      <c r="AA58" s="191"/>
      <c r="AB58" s="191"/>
      <c r="AC58" s="191"/>
      <c r="AD58" s="191"/>
      <c r="AE58" s="191"/>
      <c r="AF58" s="191"/>
      <c r="AG58" s="191"/>
      <c r="AH58" s="191"/>
      <c r="AI58" s="127"/>
      <c r="AJ58" s="191"/>
      <c r="AK58" s="191"/>
      <c r="AL58" s="190"/>
      <c r="AM58" s="191"/>
      <c r="AQ58" s="194"/>
      <c r="AR58" s="127"/>
      <c r="AS58" s="194"/>
      <c r="AT58" s="194"/>
      <c r="AU58" s="194"/>
      <c r="AV58" s="194"/>
      <c r="AW58" s="194"/>
      <c r="AX58" s="194"/>
      <c r="AY58" s="193"/>
      <c r="AZ58" s="194"/>
      <c r="BA58" s="21"/>
      <c r="BE58" s="188" t="s">
        <v>947</v>
      </c>
      <c r="BF58" s="188" t="s">
        <v>3785</v>
      </c>
      <c r="BG58" s="127">
        <v>42915</v>
      </c>
      <c r="BH58" s="188" t="s">
        <v>34</v>
      </c>
      <c r="BI58" s="188" t="s">
        <v>598</v>
      </c>
      <c r="BJ58" s="189">
        <v>3000</v>
      </c>
      <c r="BK58" s="188" t="s">
        <v>493</v>
      </c>
      <c r="BL58" s="188" t="s">
        <v>598</v>
      </c>
      <c r="BM58" s="189">
        <v>0</v>
      </c>
      <c r="BN58" s="188" t="s">
        <v>598</v>
      </c>
      <c r="BO58" s="127">
        <v>42908</v>
      </c>
      <c r="BP58" s="188" t="s">
        <v>134</v>
      </c>
      <c r="BQ58" s="188" t="s">
        <v>84</v>
      </c>
      <c r="BR58" s="188" t="s">
        <v>218</v>
      </c>
      <c r="BS58" s="188" t="s">
        <v>598</v>
      </c>
      <c r="BT58" s="188" t="s">
        <v>63</v>
      </c>
      <c r="BU58" s="188" t="s">
        <v>86</v>
      </c>
      <c r="BV58" s="188" t="s">
        <v>598</v>
      </c>
      <c r="BZ58" s="188">
        <v>57</v>
      </c>
      <c r="CA58" s="127">
        <v>42868</v>
      </c>
      <c r="CB58" s="188" t="s">
        <v>504</v>
      </c>
      <c r="CC58" s="188" t="s">
        <v>545</v>
      </c>
      <c r="CD58" s="188" t="s">
        <v>63</v>
      </c>
      <c r="CE58" s="188"/>
      <c r="CF58" s="188" t="s">
        <v>34</v>
      </c>
      <c r="CG58" s="188"/>
      <c r="CH58" s="189">
        <v>500</v>
      </c>
      <c r="CI58" s="188"/>
    </row>
    <row r="59" spans="5:87">
      <c r="E59" s="21"/>
      <c r="Q59" s="191"/>
      <c r="R59" s="191"/>
      <c r="S59" s="191"/>
      <c r="T59" s="127"/>
      <c r="U59" s="127"/>
      <c r="V59" s="191"/>
      <c r="W59" s="190"/>
      <c r="X59" s="191"/>
      <c r="Y59" s="191"/>
      <c r="Z59" s="191"/>
      <c r="AA59" s="191"/>
      <c r="AB59" s="191"/>
      <c r="AC59" s="191"/>
      <c r="AD59" s="191"/>
      <c r="AE59" s="191"/>
      <c r="AF59" s="191"/>
      <c r="AG59" s="191"/>
      <c r="AH59" s="191"/>
      <c r="AI59" s="127"/>
      <c r="AJ59" s="191"/>
      <c r="AK59" s="191"/>
      <c r="AL59" s="190"/>
      <c r="AM59" s="191"/>
      <c r="AQ59" s="194"/>
      <c r="AR59" s="127"/>
      <c r="AS59" s="194"/>
      <c r="AT59" s="194"/>
      <c r="AU59" s="194"/>
      <c r="AV59" s="194"/>
      <c r="AW59" s="194"/>
      <c r="AX59" s="194"/>
      <c r="AY59" s="193"/>
      <c r="AZ59" s="194"/>
      <c r="BA59" s="21"/>
      <c r="BE59" s="188" t="s">
        <v>949</v>
      </c>
      <c r="BF59" s="188" t="s">
        <v>3786</v>
      </c>
      <c r="BG59" s="127">
        <v>42910</v>
      </c>
      <c r="BH59" s="188" t="s">
        <v>34</v>
      </c>
      <c r="BI59" s="188" t="s">
        <v>598</v>
      </c>
      <c r="BJ59" s="189">
        <v>1000</v>
      </c>
      <c r="BK59" s="188" t="s">
        <v>549</v>
      </c>
      <c r="BL59" s="188" t="s">
        <v>598</v>
      </c>
      <c r="BM59" s="189">
        <v>0</v>
      </c>
      <c r="BN59" s="188" t="s">
        <v>493</v>
      </c>
      <c r="BO59" s="127">
        <v>42908</v>
      </c>
      <c r="BP59" s="188" t="s">
        <v>598</v>
      </c>
      <c r="BQ59" s="188" t="s">
        <v>84</v>
      </c>
      <c r="BR59" s="188" t="s">
        <v>195</v>
      </c>
      <c r="BS59" s="188" t="s">
        <v>598</v>
      </c>
      <c r="BT59" s="188" t="s">
        <v>63</v>
      </c>
      <c r="BU59" s="188" t="s">
        <v>86</v>
      </c>
      <c r="BV59" s="188" t="s">
        <v>598</v>
      </c>
      <c r="BZ59" s="188">
        <v>58</v>
      </c>
      <c r="CA59" s="127">
        <v>42868</v>
      </c>
      <c r="CB59" s="188" t="s">
        <v>504</v>
      </c>
      <c r="CC59" s="188" t="s">
        <v>545</v>
      </c>
      <c r="CD59" s="188" t="s">
        <v>85</v>
      </c>
      <c r="CE59" s="188"/>
      <c r="CF59" s="188" t="s">
        <v>34</v>
      </c>
      <c r="CG59" s="188"/>
      <c r="CH59" s="189">
        <v>800</v>
      </c>
      <c r="CI59" s="188"/>
    </row>
    <row r="60" spans="5:87">
      <c r="E60" s="21"/>
      <c r="Q60" s="191"/>
      <c r="R60" s="191"/>
      <c r="S60" s="191"/>
      <c r="T60" s="127"/>
      <c r="U60" s="127"/>
      <c r="V60" s="191"/>
      <c r="W60" s="190"/>
      <c r="X60" s="191"/>
      <c r="Y60" s="191"/>
      <c r="Z60" s="191"/>
      <c r="AA60" s="191"/>
      <c r="AB60" s="191"/>
      <c r="AC60" s="191"/>
      <c r="AD60" s="191"/>
      <c r="AE60" s="191"/>
      <c r="AF60" s="191"/>
      <c r="AG60" s="191"/>
      <c r="AH60" s="191"/>
      <c r="AI60" s="127"/>
      <c r="AJ60" s="191"/>
      <c r="AK60" s="191"/>
      <c r="AL60" s="190"/>
      <c r="AM60" s="191"/>
      <c r="AQ60" s="194"/>
      <c r="AR60" s="127"/>
      <c r="AS60" s="194"/>
      <c r="AT60" s="194"/>
      <c r="AU60" s="194"/>
      <c r="AV60" s="194"/>
      <c r="AW60" s="194"/>
      <c r="AX60" s="194"/>
      <c r="AY60" s="193"/>
      <c r="AZ60" s="194"/>
      <c r="BA60" s="21"/>
      <c r="BE60" s="188" t="s">
        <v>952</v>
      </c>
      <c r="BF60" s="188" t="s">
        <v>3787</v>
      </c>
      <c r="BG60" s="127">
        <v>42910</v>
      </c>
      <c r="BH60" s="188" t="s">
        <v>34</v>
      </c>
      <c r="BI60" s="188" t="s">
        <v>598</v>
      </c>
      <c r="BJ60" s="189">
        <v>3000</v>
      </c>
      <c r="BK60" s="188" t="s">
        <v>493</v>
      </c>
      <c r="BL60" s="188" t="s">
        <v>598</v>
      </c>
      <c r="BM60" s="189">
        <v>0</v>
      </c>
      <c r="BN60" s="188" t="s">
        <v>598</v>
      </c>
      <c r="BO60" s="127">
        <v>42908</v>
      </c>
      <c r="BP60" s="188" t="s">
        <v>132</v>
      </c>
      <c r="BQ60" s="188" t="s">
        <v>84</v>
      </c>
      <c r="BR60" s="188" t="s">
        <v>222</v>
      </c>
      <c r="BS60" s="188" t="s">
        <v>598</v>
      </c>
      <c r="BT60" s="188" t="s">
        <v>63</v>
      </c>
      <c r="BU60" s="188" t="s">
        <v>63</v>
      </c>
      <c r="BV60" s="188" t="s">
        <v>598</v>
      </c>
      <c r="BZ60" s="188">
        <v>59</v>
      </c>
      <c r="CA60" s="127">
        <v>42868</v>
      </c>
      <c r="CB60" s="188" t="s">
        <v>504</v>
      </c>
      <c r="CC60" s="188" t="s">
        <v>545</v>
      </c>
      <c r="CD60" s="188" t="s">
        <v>51</v>
      </c>
      <c r="CE60" s="188"/>
      <c r="CF60" s="188" t="s">
        <v>34</v>
      </c>
      <c r="CG60" s="188"/>
      <c r="CH60" s="189">
        <v>800</v>
      </c>
      <c r="CI60" s="188"/>
    </row>
    <row r="61" spans="5:87">
      <c r="E61" s="21"/>
      <c r="Q61" s="191"/>
      <c r="R61" s="191"/>
      <c r="S61" s="191"/>
      <c r="T61" s="127"/>
      <c r="U61" s="127"/>
      <c r="V61" s="191"/>
      <c r="W61" s="190"/>
      <c r="X61" s="191"/>
      <c r="Y61" s="191"/>
      <c r="Z61" s="191"/>
      <c r="AA61" s="191"/>
      <c r="AB61" s="191"/>
      <c r="AC61" s="191"/>
      <c r="AD61" s="191"/>
      <c r="AE61" s="191"/>
      <c r="AF61" s="191"/>
      <c r="AG61" s="191"/>
      <c r="AH61" s="191"/>
      <c r="AI61" s="127"/>
      <c r="AJ61" s="191"/>
      <c r="AK61" s="191"/>
      <c r="AL61" s="190"/>
      <c r="AM61" s="191"/>
      <c r="AQ61" s="194"/>
      <c r="AR61" s="127"/>
      <c r="AS61" s="194"/>
      <c r="AT61" s="194"/>
      <c r="AU61" s="194"/>
      <c r="AV61" s="194"/>
      <c r="AW61" s="194"/>
      <c r="AX61" s="194"/>
      <c r="AY61" s="193"/>
      <c r="AZ61" s="194"/>
      <c r="BA61" s="21"/>
      <c r="BE61" s="188" t="s">
        <v>960</v>
      </c>
      <c r="BF61" s="188" t="s">
        <v>3788</v>
      </c>
      <c r="BG61" s="127">
        <v>42910</v>
      </c>
      <c r="BH61" s="188" t="s">
        <v>34</v>
      </c>
      <c r="BI61" s="188" t="s">
        <v>598</v>
      </c>
      <c r="BJ61" s="189">
        <v>3000</v>
      </c>
      <c r="BK61" s="188" t="s">
        <v>493</v>
      </c>
      <c r="BL61" s="188" t="s">
        <v>598</v>
      </c>
      <c r="BM61" s="189">
        <v>0</v>
      </c>
      <c r="BN61" s="188" t="s">
        <v>598</v>
      </c>
      <c r="BO61" s="127">
        <v>42909</v>
      </c>
      <c r="BP61" s="188" t="s">
        <v>134</v>
      </c>
      <c r="BQ61" s="188" t="s">
        <v>84</v>
      </c>
      <c r="BR61" s="188" t="s">
        <v>224</v>
      </c>
      <c r="BS61" s="188" t="s">
        <v>598</v>
      </c>
      <c r="BT61" s="188" t="s">
        <v>63</v>
      </c>
      <c r="BU61" s="188" t="s">
        <v>86</v>
      </c>
      <c r="BV61" s="188" t="s">
        <v>598</v>
      </c>
      <c r="BZ61" s="188">
        <v>60</v>
      </c>
      <c r="CA61" s="127">
        <v>42868</v>
      </c>
      <c r="CB61" s="188" t="s">
        <v>504</v>
      </c>
      <c r="CC61" s="188" t="s">
        <v>545</v>
      </c>
      <c r="CD61" s="188" t="s">
        <v>88</v>
      </c>
      <c r="CE61" s="188"/>
      <c r="CF61" s="188" t="s">
        <v>34</v>
      </c>
      <c r="CG61" s="188"/>
      <c r="CH61" s="189">
        <v>800</v>
      </c>
      <c r="CI61" s="188"/>
    </row>
    <row r="62" spans="5:87">
      <c r="E62" s="21"/>
      <c r="Q62" s="191"/>
      <c r="R62" s="191"/>
      <c r="S62" s="191"/>
      <c r="T62" s="127"/>
      <c r="U62" s="127"/>
      <c r="V62" s="191"/>
      <c r="W62" s="190"/>
      <c r="X62" s="191"/>
      <c r="Y62" s="191"/>
      <c r="Z62" s="191"/>
      <c r="AA62" s="191"/>
      <c r="AB62" s="191"/>
      <c r="AC62" s="191"/>
      <c r="AD62" s="191"/>
      <c r="AE62" s="191"/>
      <c r="AF62" s="191"/>
      <c r="AG62" s="191"/>
      <c r="AH62" s="191"/>
      <c r="AI62" s="127"/>
      <c r="AJ62" s="191"/>
      <c r="AK62" s="191"/>
      <c r="AL62" s="190"/>
      <c r="AM62" s="191"/>
      <c r="AQ62" s="194"/>
      <c r="AR62" s="127"/>
      <c r="AS62" s="194"/>
      <c r="AT62" s="194"/>
      <c r="AU62" s="194"/>
      <c r="AV62" s="194"/>
      <c r="AW62" s="194"/>
      <c r="AX62" s="194"/>
      <c r="AY62" s="193"/>
      <c r="AZ62" s="194"/>
      <c r="BA62" s="21"/>
      <c r="BE62" s="188" t="s">
        <v>969</v>
      </c>
      <c r="BF62" s="188" t="s">
        <v>3789</v>
      </c>
      <c r="BG62" s="127">
        <v>42916</v>
      </c>
      <c r="BH62" s="188" t="s">
        <v>10</v>
      </c>
      <c r="BI62" s="188" t="s">
        <v>598</v>
      </c>
      <c r="BJ62" s="189">
        <v>4000</v>
      </c>
      <c r="BK62" s="188" t="s">
        <v>493</v>
      </c>
      <c r="BL62" s="188" t="s">
        <v>598</v>
      </c>
      <c r="BM62" s="189">
        <v>0</v>
      </c>
      <c r="BN62" s="188" t="s">
        <v>598</v>
      </c>
      <c r="BO62" s="127">
        <v>42912</v>
      </c>
      <c r="BP62" s="188" t="s">
        <v>598</v>
      </c>
      <c r="BQ62" s="188" t="s">
        <v>84</v>
      </c>
      <c r="BR62" s="188" t="s">
        <v>195</v>
      </c>
      <c r="BS62" s="188" t="s">
        <v>598</v>
      </c>
      <c r="BT62" s="188" t="s">
        <v>63</v>
      </c>
      <c r="BU62" s="188" t="s">
        <v>86</v>
      </c>
      <c r="BV62" s="188" t="s">
        <v>598</v>
      </c>
      <c r="BZ62" s="188">
        <v>61</v>
      </c>
      <c r="CA62" s="127">
        <v>42868</v>
      </c>
      <c r="CB62" s="188" t="s">
        <v>504</v>
      </c>
      <c r="CC62" s="188" t="s">
        <v>545</v>
      </c>
      <c r="CD62" s="188" t="s">
        <v>324</v>
      </c>
      <c r="CE62" s="188"/>
      <c r="CF62" s="188" t="s">
        <v>34</v>
      </c>
      <c r="CG62" s="188"/>
      <c r="CH62" s="189">
        <v>800</v>
      </c>
      <c r="CI62" s="188"/>
    </row>
    <row r="63" spans="5:87">
      <c r="E63" s="21"/>
      <c r="Q63" s="191"/>
      <c r="R63" s="191"/>
      <c r="S63" s="191"/>
      <c r="T63" s="127"/>
      <c r="U63" s="127"/>
      <c r="V63" s="191"/>
      <c r="W63" s="190"/>
      <c r="X63" s="191"/>
      <c r="Y63" s="191"/>
      <c r="Z63" s="191"/>
      <c r="AA63" s="191"/>
      <c r="AB63" s="191"/>
      <c r="AC63" s="191"/>
      <c r="AD63" s="191"/>
      <c r="AE63" s="191"/>
      <c r="AF63" s="191"/>
      <c r="AG63" s="191"/>
      <c r="AH63" s="191"/>
      <c r="AI63" s="127"/>
      <c r="AJ63" s="191"/>
      <c r="AK63" s="191"/>
      <c r="AL63" s="190"/>
      <c r="AM63" s="191"/>
      <c r="AQ63" s="194"/>
      <c r="AR63" s="127"/>
      <c r="AS63" s="194"/>
      <c r="AT63" s="194"/>
      <c r="AU63" s="194"/>
      <c r="AV63" s="194"/>
      <c r="AW63" s="194"/>
      <c r="AX63" s="194"/>
      <c r="AY63" s="193"/>
      <c r="AZ63" s="194"/>
      <c r="BA63" s="21"/>
      <c r="BE63" s="188" t="s">
        <v>976</v>
      </c>
      <c r="BF63" s="188" t="s">
        <v>3790</v>
      </c>
      <c r="BG63" s="127">
        <v>42915</v>
      </c>
      <c r="BH63" s="188" t="s">
        <v>34</v>
      </c>
      <c r="BI63" s="188" t="s">
        <v>598</v>
      </c>
      <c r="BJ63" s="189">
        <v>3000</v>
      </c>
      <c r="BK63" s="188" t="s">
        <v>493</v>
      </c>
      <c r="BL63" s="188" t="s">
        <v>598</v>
      </c>
      <c r="BM63" s="189">
        <v>0</v>
      </c>
      <c r="BN63" s="188" t="s">
        <v>598</v>
      </c>
      <c r="BO63" s="127">
        <v>42914</v>
      </c>
      <c r="BP63" s="188" t="s">
        <v>134</v>
      </c>
      <c r="BQ63" s="188" t="s">
        <v>84</v>
      </c>
      <c r="BR63" s="188" t="s">
        <v>228</v>
      </c>
      <c r="BS63" s="188" t="s">
        <v>598</v>
      </c>
      <c r="BT63" s="188" t="s">
        <v>63</v>
      </c>
      <c r="BU63" s="188" t="s">
        <v>598</v>
      </c>
      <c r="BV63" s="188" t="s">
        <v>598</v>
      </c>
      <c r="BZ63" s="188">
        <v>62</v>
      </c>
      <c r="CA63" s="127">
        <v>42868</v>
      </c>
      <c r="CB63" s="188" t="s">
        <v>504</v>
      </c>
      <c r="CC63" s="188" t="s">
        <v>545</v>
      </c>
      <c r="CD63" s="188" t="s">
        <v>176</v>
      </c>
      <c r="CE63" s="188"/>
      <c r="CF63" s="188" t="s">
        <v>34</v>
      </c>
      <c r="CG63" s="188"/>
      <c r="CH63" s="189">
        <v>800</v>
      </c>
      <c r="CI63" s="188"/>
    </row>
    <row r="64" spans="5:87">
      <c r="E64" s="21"/>
      <c r="Q64" s="191"/>
      <c r="R64" s="191"/>
      <c r="S64" s="191"/>
      <c r="T64" s="127"/>
      <c r="U64" s="127"/>
      <c r="V64" s="191"/>
      <c r="W64" s="190"/>
      <c r="X64" s="191"/>
      <c r="Y64" s="191"/>
      <c r="Z64" s="191"/>
      <c r="AA64" s="191"/>
      <c r="AB64" s="191"/>
      <c r="AC64" s="191"/>
      <c r="AD64" s="191"/>
      <c r="AE64" s="191"/>
      <c r="AF64" s="191"/>
      <c r="AG64" s="191"/>
      <c r="AH64" s="191"/>
      <c r="AI64" s="127"/>
      <c r="AJ64" s="191"/>
      <c r="AK64" s="191"/>
      <c r="AL64" s="190"/>
      <c r="AM64" s="191"/>
      <c r="AQ64" s="194"/>
      <c r="AR64" s="127"/>
      <c r="AS64" s="194"/>
      <c r="AT64" s="194"/>
      <c r="AU64" s="194"/>
      <c r="AV64" s="194"/>
      <c r="AW64" s="194"/>
      <c r="AX64" s="194"/>
      <c r="AY64" s="193"/>
      <c r="AZ64" s="194"/>
      <c r="BA64" s="21"/>
      <c r="BE64" s="188" t="s">
        <v>982</v>
      </c>
      <c r="BF64" s="188" t="s">
        <v>3791</v>
      </c>
      <c r="BG64" s="127">
        <v>42916</v>
      </c>
      <c r="BH64" s="188" t="s">
        <v>34</v>
      </c>
      <c r="BI64" s="188" t="s">
        <v>598</v>
      </c>
      <c r="BJ64" s="189">
        <v>3000</v>
      </c>
      <c r="BK64" s="188" t="s">
        <v>493</v>
      </c>
      <c r="BL64" s="188" t="s">
        <v>598</v>
      </c>
      <c r="BM64" s="189">
        <v>0</v>
      </c>
      <c r="BN64" s="188" t="s">
        <v>598</v>
      </c>
      <c r="BO64" s="127">
        <v>42915</v>
      </c>
      <c r="BP64" s="188" t="s">
        <v>598</v>
      </c>
      <c r="BQ64" s="188" t="s">
        <v>84</v>
      </c>
      <c r="BR64" s="188" t="s">
        <v>196</v>
      </c>
      <c r="BS64" s="188" t="s">
        <v>598</v>
      </c>
      <c r="BT64" s="188" t="s">
        <v>63</v>
      </c>
      <c r="BU64" s="188" t="s">
        <v>598</v>
      </c>
      <c r="BV64" s="188" t="s">
        <v>598</v>
      </c>
      <c r="BZ64" s="188">
        <v>63</v>
      </c>
      <c r="CA64" s="127">
        <v>42871</v>
      </c>
      <c r="CB64" s="188" t="s">
        <v>4438</v>
      </c>
      <c r="CC64" s="188" t="s">
        <v>320</v>
      </c>
      <c r="CD64" s="188"/>
      <c r="CE64" s="188"/>
      <c r="CF64" s="188" t="s">
        <v>34</v>
      </c>
      <c r="CG64" s="188"/>
      <c r="CH64" s="189">
        <v>500</v>
      </c>
      <c r="CI64" s="188"/>
    </row>
    <row r="65" spans="5:87">
      <c r="E65" s="21"/>
      <c r="Q65" s="191"/>
      <c r="R65" s="191"/>
      <c r="S65" s="191"/>
      <c r="T65" s="127"/>
      <c r="U65" s="127"/>
      <c r="V65" s="191"/>
      <c r="W65" s="190"/>
      <c r="X65" s="191"/>
      <c r="Y65" s="191"/>
      <c r="Z65" s="191"/>
      <c r="AA65" s="191"/>
      <c r="AB65" s="191"/>
      <c r="AC65" s="191"/>
      <c r="AD65" s="191"/>
      <c r="AE65" s="191"/>
      <c r="AF65" s="191"/>
      <c r="AG65" s="191"/>
      <c r="AH65" s="191"/>
      <c r="AI65" s="127"/>
      <c r="AJ65" s="191"/>
      <c r="AK65" s="191"/>
      <c r="AL65" s="190"/>
      <c r="AM65" s="191"/>
      <c r="AQ65" s="194"/>
      <c r="AR65" s="127"/>
      <c r="AS65" s="194"/>
      <c r="AT65" s="194"/>
      <c r="AU65" s="194"/>
      <c r="AV65" s="194"/>
      <c r="AW65" s="194"/>
      <c r="AX65" s="194"/>
      <c r="AY65" s="193"/>
      <c r="AZ65" s="194"/>
      <c r="BA65" s="21"/>
      <c r="BE65" s="188" t="s">
        <v>988</v>
      </c>
      <c r="BF65" s="188" t="s">
        <v>3792</v>
      </c>
      <c r="BG65" s="127">
        <v>42916</v>
      </c>
      <c r="BH65" s="188" t="s">
        <v>34</v>
      </c>
      <c r="BI65" s="188" t="s">
        <v>598</v>
      </c>
      <c r="BJ65" s="189">
        <v>1000</v>
      </c>
      <c r="BK65" s="188" t="s">
        <v>549</v>
      </c>
      <c r="BL65" s="188" t="s">
        <v>598</v>
      </c>
      <c r="BM65" s="189">
        <v>0</v>
      </c>
      <c r="BN65" s="188" t="s">
        <v>598</v>
      </c>
      <c r="BO65" s="127">
        <v>42916</v>
      </c>
      <c r="BP65" s="188" t="s">
        <v>134</v>
      </c>
      <c r="BQ65" s="188" t="s">
        <v>84</v>
      </c>
      <c r="BR65" s="188" t="s">
        <v>230</v>
      </c>
      <c r="BS65" s="188" t="s">
        <v>598</v>
      </c>
      <c r="BT65" s="188" t="s">
        <v>63</v>
      </c>
      <c r="BU65" s="188" t="s">
        <v>63</v>
      </c>
      <c r="BV65" s="188" t="s">
        <v>598</v>
      </c>
      <c r="BZ65" s="188">
        <v>64</v>
      </c>
      <c r="CA65" s="127">
        <v>42872</v>
      </c>
      <c r="CB65" s="188" t="s">
        <v>4439</v>
      </c>
      <c r="CC65" s="188" t="s">
        <v>320</v>
      </c>
      <c r="CD65" s="188"/>
      <c r="CE65" s="188"/>
      <c r="CF65" s="188" t="s">
        <v>34</v>
      </c>
      <c r="CG65" s="188"/>
      <c r="CH65" s="189">
        <v>5200</v>
      </c>
      <c r="CI65" s="188"/>
    </row>
    <row r="66" spans="5:87">
      <c r="E66" s="21"/>
      <c r="Q66" s="191"/>
      <c r="R66" s="191"/>
      <c r="S66" s="191"/>
      <c r="T66" s="127"/>
      <c r="U66" s="127"/>
      <c r="V66" s="191"/>
      <c r="W66" s="190"/>
      <c r="X66" s="191"/>
      <c r="Y66" s="191"/>
      <c r="Z66" s="191"/>
      <c r="AA66" s="191"/>
      <c r="AB66" s="191"/>
      <c r="AC66" s="191"/>
      <c r="AD66" s="191"/>
      <c r="AE66" s="191"/>
      <c r="AF66" s="191"/>
      <c r="AG66" s="191"/>
      <c r="AH66" s="191"/>
      <c r="AI66" s="127"/>
      <c r="AJ66" s="191"/>
      <c r="AK66" s="191"/>
      <c r="AL66" s="190"/>
      <c r="AM66" s="191"/>
      <c r="AQ66" s="194"/>
      <c r="AR66" s="127"/>
      <c r="AS66" s="194"/>
      <c r="AT66" s="194"/>
      <c r="AU66" s="194"/>
      <c r="AV66" s="194"/>
      <c r="AW66" s="194"/>
      <c r="AX66" s="194"/>
      <c r="AY66" s="193"/>
      <c r="AZ66" s="194"/>
      <c r="BA66" s="21"/>
      <c r="BE66" s="188" t="s">
        <v>989</v>
      </c>
      <c r="BF66" s="188" t="s">
        <v>3793</v>
      </c>
      <c r="BG66" s="127">
        <v>42916</v>
      </c>
      <c r="BH66" s="188" t="s">
        <v>34</v>
      </c>
      <c r="BI66" s="188" t="s">
        <v>598</v>
      </c>
      <c r="BJ66" s="189">
        <v>4000</v>
      </c>
      <c r="BK66" s="188" t="s">
        <v>493</v>
      </c>
      <c r="BL66" s="188" t="s">
        <v>598</v>
      </c>
      <c r="BM66" s="189">
        <v>0</v>
      </c>
      <c r="BN66" s="188" t="s">
        <v>598</v>
      </c>
      <c r="BO66" s="127">
        <v>42916</v>
      </c>
      <c r="BP66" s="188" t="s">
        <v>134</v>
      </c>
      <c r="BQ66" s="188" t="s">
        <v>84</v>
      </c>
      <c r="BR66" s="188" t="s">
        <v>230</v>
      </c>
      <c r="BS66" s="188" t="s">
        <v>598</v>
      </c>
      <c r="BT66" s="188" t="s">
        <v>63</v>
      </c>
      <c r="BU66" s="188" t="s">
        <v>598</v>
      </c>
      <c r="BV66" s="188" t="s">
        <v>598</v>
      </c>
      <c r="BZ66" s="188">
        <v>65</v>
      </c>
      <c r="CA66" s="127">
        <v>42874</v>
      </c>
      <c r="CB66" s="188" t="s">
        <v>4440</v>
      </c>
      <c r="CC66" s="188" t="s">
        <v>320</v>
      </c>
      <c r="CD66" s="188" t="s">
        <v>325</v>
      </c>
      <c r="CE66" s="188"/>
      <c r="CF66" s="188" t="s">
        <v>34</v>
      </c>
      <c r="CG66" s="188"/>
      <c r="CH66" s="189">
        <v>500</v>
      </c>
      <c r="CI66" s="188"/>
    </row>
    <row r="67" spans="5:87">
      <c r="E67" s="21"/>
      <c r="Q67" s="191"/>
      <c r="R67" s="191"/>
      <c r="S67" s="191"/>
      <c r="T67" s="127"/>
      <c r="U67" s="127"/>
      <c r="V67" s="191"/>
      <c r="W67" s="190"/>
      <c r="X67" s="191"/>
      <c r="Y67" s="191"/>
      <c r="Z67" s="191"/>
      <c r="AA67" s="191"/>
      <c r="AB67" s="191"/>
      <c r="AC67" s="191"/>
      <c r="AD67" s="191"/>
      <c r="AE67" s="191"/>
      <c r="AF67" s="191"/>
      <c r="AG67" s="191"/>
      <c r="AH67" s="191"/>
      <c r="AI67" s="127"/>
      <c r="AJ67" s="191"/>
      <c r="AK67" s="191"/>
      <c r="AL67" s="190"/>
      <c r="AM67" s="191"/>
      <c r="AQ67" s="194"/>
      <c r="AR67" s="127"/>
      <c r="AS67" s="194"/>
      <c r="AT67" s="194"/>
      <c r="AU67" s="194"/>
      <c r="AV67" s="194"/>
      <c r="AW67" s="194"/>
      <c r="AX67" s="194"/>
      <c r="AY67" s="193"/>
      <c r="AZ67" s="194"/>
      <c r="BA67" s="21"/>
      <c r="BE67" s="188" t="s">
        <v>991</v>
      </c>
      <c r="BF67" s="188" t="s">
        <v>3794</v>
      </c>
      <c r="BG67" s="127">
        <v>42889</v>
      </c>
      <c r="BH67" s="188" t="s">
        <v>10</v>
      </c>
      <c r="BI67" s="188" t="s">
        <v>598</v>
      </c>
      <c r="BJ67" s="189">
        <v>3000</v>
      </c>
      <c r="BK67" s="188" t="s">
        <v>493</v>
      </c>
      <c r="BL67" s="188" t="s">
        <v>598</v>
      </c>
      <c r="BM67" s="189">
        <v>0</v>
      </c>
      <c r="BN67" s="188" t="s">
        <v>598</v>
      </c>
      <c r="BO67" s="127">
        <v>42887</v>
      </c>
      <c r="BP67" s="188" t="s">
        <v>132</v>
      </c>
      <c r="BQ67" s="188" t="s">
        <v>102</v>
      </c>
      <c r="BR67" s="188" t="s">
        <v>169</v>
      </c>
      <c r="BS67" s="188" t="s">
        <v>598</v>
      </c>
      <c r="BT67" s="188" t="s">
        <v>63</v>
      </c>
      <c r="BU67" s="188" t="s">
        <v>63</v>
      </c>
      <c r="BV67" s="188" t="s">
        <v>598</v>
      </c>
      <c r="BZ67" s="188">
        <v>66</v>
      </c>
      <c r="CA67" s="127">
        <v>42875</v>
      </c>
      <c r="CB67" s="188" t="s">
        <v>495</v>
      </c>
      <c r="CC67" s="188" t="s">
        <v>322</v>
      </c>
      <c r="CD67" s="188" t="s">
        <v>63</v>
      </c>
      <c r="CE67" s="188"/>
      <c r="CF67" s="188" t="s">
        <v>34</v>
      </c>
      <c r="CG67" s="188"/>
      <c r="CH67" s="189">
        <v>500</v>
      </c>
      <c r="CI67" s="188"/>
    </row>
    <row r="68" spans="5:87">
      <c r="E68" s="21"/>
      <c r="Q68" s="191"/>
      <c r="R68" s="191"/>
      <c r="S68" s="191"/>
      <c r="T68" s="127"/>
      <c r="U68" s="127"/>
      <c r="V68" s="191"/>
      <c r="W68" s="190"/>
      <c r="X68" s="191"/>
      <c r="Y68" s="191"/>
      <c r="Z68" s="191"/>
      <c r="AA68" s="191"/>
      <c r="AB68" s="191"/>
      <c r="AC68" s="191"/>
      <c r="AD68" s="191"/>
      <c r="AE68" s="191"/>
      <c r="AF68" s="191"/>
      <c r="AG68" s="191"/>
      <c r="AH68" s="191"/>
      <c r="AI68" s="127"/>
      <c r="AJ68" s="191"/>
      <c r="AK68" s="191"/>
      <c r="AL68" s="190"/>
      <c r="AM68" s="191"/>
      <c r="AQ68" s="194"/>
      <c r="AR68" s="127"/>
      <c r="AS68" s="194"/>
      <c r="AT68" s="194"/>
      <c r="AU68" s="194"/>
      <c r="AV68" s="194"/>
      <c r="AW68" s="194"/>
      <c r="AX68" s="194"/>
      <c r="AY68" s="193"/>
      <c r="AZ68" s="194"/>
      <c r="BA68" s="21"/>
      <c r="BE68" s="188" t="s">
        <v>993</v>
      </c>
      <c r="BF68" s="188" t="s">
        <v>3795</v>
      </c>
      <c r="BG68" s="127">
        <v>42887</v>
      </c>
      <c r="BH68" s="188" t="s">
        <v>34</v>
      </c>
      <c r="BI68" s="188" t="s">
        <v>598</v>
      </c>
      <c r="BJ68" s="189">
        <v>1500</v>
      </c>
      <c r="BK68" s="188" t="s">
        <v>493</v>
      </c>
      <c r="BL68" s="188" t="s">
        <v>598</v>
      </c>
      <c r="BM68" s="189">
        <v>0</v>
      </c>
      <c r="BN68" s="188" t="s">
        <v>598</v>
      </c>
      <c r="BO68" s="127">
        <v>42887</v>
      </c>
      <c r="BP68" s="188" t="s">
        <v>126</v>
      </c>
      <c r="BQ68" s="188" t="s">
        <v>102</v>
      </c>
      <c r="BR68" s="188" t="s">
        <v>598</v>
      </c>
      <c r="BS68" s="188" t="s">
        <v>598</v>
      </c>
      <c r="BT68" s="188" t="s">
        <v>63</v>
      </c>
      <c r="BU68" s="188" t="s">
        <v>86</v>
      </c>
      <c r="BV68" s="188" t="s">
        <v>598</v>
      </c>
      <c r="BZ68" s="188">
        <v>67</v>
      </c>
      <c r="CA68" s="127">
        <v>42875</v>
      </c>
      <c r="CB68" s="188" t="s">
        <v>496</v>
      </c>
      <c r="CC68" s="188" t="s">
        <v>322</v>
      </c>
      <c r="CD68" s="188" t="s">
        <v>63</v>
      </c>
      <c r="CE68" s="188"/>
      <c r="CF68" s="188" t="s">
        <v>34</v>
      </c>
      <c r="CG68" s="188"/>
      <c r="CH68" s="189">
        <v>500</v>
      </c>
      <c r="CI68" s="188"/>
    </row>
    <row r="69" spans="5:87">
      <c r="E69" s="21"/>
      <c r="Q69" s="191"/>
      <c r="R69" s="191"/>
      <c r="S69" s="191"/>
      <c r="T69" s="127"/>
      <c r="U69" s="127"/>
      <c r="V69" s="191"/>
      <c r="W69" s="190"/>
      <c r="X69" s="191"/>
      <c r="Y69" s="191"/>
      <c r="Z69" s="191"/>
      <c r="AA69" s="191"/>
      <c r="AB69" s="191"/>
      <c r="AC69" s="191"/>
      <c r="AD69" s="191"/>
      <c r="AE69" s="191"/>
      <c r="AF69" s="191"/>
      <c r="AG69" s="191"/>
      <c r="AH69" s="191"/>
      <c r="AI69" s="127"/>
      <c r="AJ69" s="191"/>
      <c r="AK69" s="191"/>
      <c r="AL69" s="190"/>
      <c r="AM69" s="191"/>
      <c r="AQ69" s="194"/>
      <c r="AR69" s="127"/>
      <c r="AS69" s="194"/>
      <c r="AT69" s="194"/>
      <c r="AU69" s="194"/>
      <c r="AV69" s="194"/>
      <c r="AW69" s="194"/>
      <c r="AX69" s="194"/>
      <c r="AY69" s="193"/>
      <c r="AZ69" s="194"/>
      <c r="BA69" s="21"/>
      <c r="BE69" s="188" t="s">
        <v>995</v>
      </c>
      <c r="BF69" s="188" t="s">
        <v>3796</v>
      </c>
      <c r="BG69" s="127">
        <v>42887</v>
      </c>
      <c r="BH69" s="188" t="s">
        <v>34</v>
      </c>
      <c r="BI69" s="188" t="s">
        <v>598</v>
      </c>
      <c r="BJ69" s="189">
        <v>1000</v>
      </c>
      <c r="BK69" s="188" t="s">
        <v>493</v>
      </c>
      <c r="BL69" s="188" t="s">
        <v>598</v>
      </c>
      <c r="BM69" s="189">
        <v>0</v>
      </c>
      <c r="BN69" s="188" t="s">
        <v>598</v>
      </c>
      <c r="BO69" s="127">
        <v>42887</v>
      </c>
      <c r="BP69" s="188" t="s">
        <v>126</v>
      </c>
      <c r="BQ69" s="188" t="s">
        <v>102</v>
      </c>
      <c r="BR69" s="188" t="s">
        <v>216</v>
      </c>
      <c r="BS69" s="188" t="s">
        <v>598</v>
      </c>
      <c r="BT69" s="188" t="s">
        <v>63</v>
      </c>
      <c r="BU69" s="188" t="s">
        <v>86</v>
      </c>
      <c r="BV69" s="188" t="s">
        <v>598</v>
      </c>
      <c r="BZ69" s="188">
        <v>68</v>
      </c>
      <c r="CA69" s="127">
        <v>42875</v>
      </c>
      <c r="CB69" s="188" t="s">
        <v>495</v>
      </c>
      <c r="CC69" s="188" t="s">
        <v>322</v>
      </c>
      <c r="CD69" s="188" t="s">
        <v>85</v>
      </c>
      <c r="CE69" s="188"/>
      <c r="CF69" s="188" t="s">
        <v>34</v>
      </c>
      <c r="CG69" s="188"/>
      <c r="CH69" s="189">
        <v>600</v>
      </c>
      <c r="CI69" s="188"/>
    </row>
    <row r="70" spans="5:87">
      <c r="E70" s="21"/>
      <c r="Q70" s="191"/>
      <c r="R70" s="191"/>
      <c r="S70" s="191"/>
      <c r="T70" s="127"/>
      <c r="U70" s="127"/>
      <c r="V70" s="191"/>
      <c r="W70" s="190"/>
      <c r="X70" s="191"/>
      <c r="Y70" s="191"/>
      <c r="Z70" s="191"/>
      <c r="AA70" s="191"/>
      <c r="AB70" s="191"/>
      <c r="AC70" s="191"/>
      <c r="AD70" s="191"/>
      <c r="AE70" s="191"/>
      <c r="AF70" s="191"/>
      <c r="AG70" s="191"/>
      <c r="AH70" s="191"/>
      <c r="AI70" s="127"/>
      <c r="AJ70" s="191"/>
      <c r="AK70" s="191"/>
      <c r="AL70" s="190"/>
      <c r="AM70" s="191"/>
      <c r="AQ70" s="194"/>
      <c r="AR70" s="127"/>
      <c r="AS70" s="194"/>
      <c r="AT70" s="194"/>
      <c r="AU70" s="194"/>
      <c r="AV70" s="194"/>
      <c r="AW70" s="194"/>
      <c r="AX70" s="194"/>
      <c r="AY70" s="193"/>
      <c r="AZ70" s="194"/>
      <c r="BA70" s="21"/>
      <c r="BE70" s="188" t="s">
        <v>997</v>
      </c>
      <c r="BF70" s="188" t="s">
        <v>3797</v>
      </c>
      <c r="BG70" s="127">
        <v>42889</v>
      </c>
      <c r="BH70" s="188" t="s">
        <v>34</v>
      </c>
      <c r="BI70" s="188" t="s">
        <v>598</v>
      </c>
      <c r="BJ70" s="189">
        <v>4000</v>
      </c>
      <c r="BK70" s="188" t="s">
        <v>493</v>
      </c>
      <c r="BL70" s="188" t="s">
        <v>598</v>
      </c>
      <c r="BM70" s="189">
        <v>0</v>
      </c>
      <c r="BN70" s="188" t="s">
        <v>598</v>
      </c>
      <c r="BO70" s="127">
        <v>42887</v>
      </c>
      <c r="BP70" s="188" t="s">
        <v>135</v>
      </c>
      <c r="BQ70" s="188" t="s">
        <v>102</v>
      </c>
      <c r="BR70" s="188" t="s">
        <v>231</v>
      </c>
      <c r="BS70" s="188" t="s">
        <v>598</v>
      </c>
      <c r="BT70" s="188" t="s">
        <v>63</v>
      </c>
      <c r="BU70" s="188" t="s">
        <v>86</v>
      </c>
      <c r="BV70" s="188" t="s">
        <v>598</v>
      </c>
      <c r="BZ70" s="188">
        <v>69</v>
      </c>
      <c r="CA70" s="127">
        <v>42875</v>
      </c>
      <c r="CB70" s="188" t="s">
        <v>495</v>
      </c>
      <c r="CC70" s="188" t="s">
        <v>322</v>
      </c>
      <c r="CD70" s="188" t="s">
        <v>73</v>
      </c>
      <c r="CE70" s="188"/>
      <c r="CF70" s="188" t="s">
        <v>34</v>
      </c>
      <c r="CG70" s="188"/>
      <c r="CH70" s="189">
        <v>600</v>
      </c>
      <c r="CI70" s="188"/>
    </row>
    <row r="71" spans="5:87">
      <c r="E71" s="21"/>
      <c r="Q71" s="191"/>
      <c r="R71" s="191"/>
      <c r="S71" s="191"/>
      <c r="T71" s="127"/>
      <c r="U71" s="127"/>
      <c r="V71" s="191"/>
      <c r="W71" s="190"/>
      <c r="X71" s="191"/>
      <c r="Y71" s="191"/>
      <c r="Z71" s="191"/>
      <c r="AA71" s="191"/>
      <c r="AB71" s="191"/>
      <c r="AC71" s="191"/>
      <c r="AD71" s="191"/>
      <c r="AE71" s="191"/>
      <c r="AF71" s="191"/>
      <c r="AG71" s="191"/>
      <c r="AH71" s="191"/>
      <c r="AI71" s="127"/>
      <c r="AJ71" s="191"/>
      <c r="AK71" s="191"/>
      <c r="AL71" s="190"/>
      <c r="AM71" s="191"/>
      <c r="AQ71" s="194"/>
      <c r="AR71" s="127"/>
      <c r="AS71" s="194"/>
      <c r="AT71" s="194"/>
      <c r="AU71" s="194"/>
      <c r="AV71" s="194"/>
      <c r="AW71" s="194"/>
      <c r="AX71" s="194"/>
      <c r="AY71" s="193"/>
      <c r="AZ71" s="194"/>
      <c r="BA71" s="21"/>
      <c r="BE71" s="188" t="s">
        <v>1002</v>
      </c>
      <c r="BF71" s="188" t="s">
        <v>3798</v>
      </c>
      <c r="BG71" s="127">
        <v>42895</v>
      </c>
      <c r="BH71" s="188" t="s">
        <v>10</v>
      </c>
      <c r="BI71" s="188" t="s">
        <v>598</v>
      </c>
      <c r="BJ71" s="189">
        <v>2500</v>
      </c>
      <c r="BK71" s="188" t="s">
        <v>493</v>
      </c>
      <c r="BL71" s="188" t="s">
        <v>598</v>
      </c>
      <c r="BM71" s="189">
        <v>0</v>
      </c>
      <c r="BN71" s="188" t="s">
        <v>598</v>
      </c>
      <c r="BO71" s="127">
        <v>42889</v>
      </c>
      <c r="BP71" s="188" t="s">
        <v>598</v>
      </c>
      <c r="BQ71" s="188" t="s">
        <v>102</v>
      </c>
      <c r="BR71" s="188" t="s">
        <v>217</v>
      </c>
      <c r="BS71" s="188" t="s">
        <v>598</v>
      </c>
      <c r="BT71" s="188" t="s">
        <v>63</v>
      </c>
      <c r="BU71" s="188" t="s">
        <v>86</v>
      </c>
      <c r="BV71" s="188" t="s">
        <v>598</v>
      </c>
      <c r="BZ71" s="188">
        <v>70</v>
      </c>
      <c r="CA71" s="127">
        <v>42875</v>
      </c>
      <c r="CB71" s="188" t="s">
        <v>495</v>
      </c>
      <c r="CC71" s="188" t="s">
        <v>322</v>
      </c>
      <c r="CD71" s="188" t="s">
        <v>79</v>
      </c>
      <c r="CE71" s="188"/>
      <c r="CF71" s="188" t="s">
        <v>34</v>
      </c>
      <c r="CG71" s="188"/>
      <c r="CH71" s="189">
        <v>500</v>
      </c>
      <c r="CI71" s="188"/>
    </row>
    <row r="72" spans="5:87">
      <c r="E72" s="21"/>
      <c r="Q72" s="191"/>
      <c r="R72" s="191"/>
      <c r="S72" s="191"/>
      <c r="T72" s="127"/>
      <c r="U72" s="127"/>
      <c r="V72" s="191"/>
      <c r="W72" s="190"/>
      <c r="X72" s="191"/>
      <c r="Y72" s="191"/>
      <c r="Z72" s="191"/>
      <c r="AA72" s="191"/>
      <c r="AB72" s="191"/>
      <c r="AC72" s="191"/>
      <c r="AD72" s="191"/>
      <c r="AE72" s="191"/>
      <c r="AF72" s="191"/>
      <c r="AG72" s="191"/>
      <c r="AH72" s="191"/>
      <c r="AI72" s="127"/>
      <c r="AJ72" s="191"/>
      <c r="AK72" s="191"/>
      <c r="AL72" s="190"/>
      <c r="AM72" s="191"/>
      <c r="AQ72" s="194"/>
      <c r="AR72" s="127"/>
      <c r="AS72" s="194"/>
      <c r="AT72" s="194"/>
      <c r="AU72" s="194"/>
      <c r="AV72" s="194"/>
      <c r="AW72" s="194"/>
      <c r="AX72" s="194"/>
      <c r="AY72" s="193"/>
      <c r="AZ72" s="194"/>
      <c r="BA72" s="21"/>
      <c r="BE72" s="188" t="s">
        <v>1004</v>
      </c>
      <c r="BF72" s="188" t="s">
        <v>3799</v>
      </c>
      <c r="BG72" s="127">
        <v>42895</v>
      </c>
      <c r="BH72" s="188" t="s">
        <v>10</v>
      </c>
      <c r="BI72" s="188" t="s">
        <v>598</v>
      </c>
      <c r="BJ72" s="189">
        <v>2500</v>
      </c>
      <c r="BK72" s="188" t="s">
        <v>493</v>
      </c>
      <c r="BL72" s="188" t="s">
        <v>598</v>
      </c>
      <c r="BM72" s="189">
        <v>0</v>
      </c>
      <c r="BN72" s="188" t="s">
        <v>598</v>
      </c>
      <c r="BO72" s="127">
        <v>42889</v>
      </c>
      <c r="BP72" s="188" t="s">
        <v>598</v>
      </c>
      <c r="BQ72" s="188" t="s">
        <v>102</v>
      </c>
      <c r="BR72" s="188" t="s">
        <v>217</v>
      </c>
      <c r="BS72" s="188" t="s">
        <v>598</v>
      </c>
      <c r="BT72" s="188" t="s">
        <v>63</v>
      </c>
      <c r="BU72" s="188" t="s">
        <v>86</v>
      </c>
      <c r="BV72" s="188" t="s">
        <v>598</v>
      </c>
      <c r="BZ72" s="188">
        <v>71</v>
      </c>
      <c r="CA72" s="127">
        <v>42875</v>
      </c>
      <c r="CB72" s="188" t="s">
        <v>495</v>
      </c>
      <c r="CC72" s="188" t="s">
        <v>322</v>
      </c>
      <c r="CD72" s="188" t="s">
        <v>30</v>
      </c>
      <c r="CE72" s="188"/>
      <c r="CF72" s="188" t="s">
        <v>34</v>
      </c>
      <c r="CG72" s="188"/>
      <c r="CH72" s="189">
        <v>800</v>
      </c>
      <c r="CI72" s="188"/>
    </row>
    <row r="73" spans="5:87">
      <c r="E73" s="21"/>
      <c r="Q73" s="191"/>
      <c r="R73" s="191"/>
      <c r="S73" s="191"/>
      <c r="T73" s="127"/>
      <c r="U73" s="127"/>
      <c r="V73" s="191"/>
      <c r="W73" s="190"/>
      <c r="X73" s="191"/>
      <c r="Y73" s="191"/>
      <c r="Z73" s="191"/>
      <c r="AA73" s="191"/>
      <c r="AB73" s="191"/>
      <c r="AC73" s="191"/>
      <c r="AD73" s="191"/>
      <c r="AE73" s="191"/>
      <c r="AF73" s="191"/>
      <c r="AG73" s="191"/>
      <c r="AH73" s="191"/>
      <c r="AI73" s="127"/>
      <c r="AJ73" s="191"/>
      <c r="AK73" s="191"/>
      <c r="AL73" s="190"/>
      <c r="AM73" s="191"/>
      <c r="AQ73" s="194"/>
      <c r="AR73" s="127"/>
      <c r="AS73" s="194"/>
      <c r="AT73" s="194"/>
      <c r="AU73" s="194"/>
      <c r="AV73" s="194"/>
      <c r="AW73" s="194"/>
      <c r="AX73" s="194"/>
      <c r="AY73" s="193"/>
      <c r="AZ73" s="194"/>
      <c r="BA73" s="21"/>
      <c r="BE73" s="188" t="s">
        <v>1006</v>
      </c>
      <c r="BF73" s="188" t="s">
        <v>3800</v>
      </c>
      <c r="BG73" s="127">
        <v>42895</v>
      </c>
      <c r="BH73" s="188" t="s">
        <v>10</v>
      </c>
      <c r="BI73" s="188" t="s">
        <v>598</v>
      </c>
      <c r="BJ73" s="189">
        <v>2500</v>
      </c>
      <c r="BK73" s="188" t="s">
        <v>493</v>
      </c>
      <c r="BL73" s="188" t="s">
        <v>598</v>
      </c>
      <c r="BM73" s="189">
        <v>0</v>
      </c>
      <c r="BN73" s="188" t="s">
        <v>598</v>
      </c>
      <c r="BO73" s="127">
        <v>42889</v>
      </c>
      <c r="BP73" s="188" t="s">
        <v>598</v>
      </c>
      <c r="BQ73" s="188" t="s">
        <v>102</v>
      </c>
      <c r="BR73" s="188" t="s">
        <v>217</v>
      </c>
      <c r="BS73" s="188" t="s">
        <v>598</v>
      </c>
      <c r="BT73" s="188" t="s">
        <v>63</v>
      </c>
      <c r="BU73" s="188" t="s">
        <v>86</v>
      </c>
      <c r="BV73" s="188" t="s">
        <v>598</v>
      </c>
      <c r="BZ73" s="188">
        <v>72</v>
      </c>
      <c r="CA73" s="127">
        <v>42875</v>
      </c>
      <c r="CB73" s="188" t="s">
        <v>495</v>
      </c>
      <c r="CC73" s="188" t="s">
        <v>322</v>
      </c>
      <c r="CD73" s="188" t="s">
        <v>86</v>
      </c>
      <c r="CE73" s="188"/>
      <c r="CF73" s="188" t="s">
        <v>34</v>
      </c>
      <c r="CG73" s="188"/>
      <c r="CH73" s="189">
        <v>900</v>
      </c>
      <c r="CI73" s="188"/>
    </row>
    <row r="74" spans="5:87">
      <c r="E74" s="21"/>
      <c r="Q74" s="191"/>
      <c r="R74" s="191"/>
      <c r="S74" s="191"/>
      <c r="T74" s="127"/>
      <c r="U74" s="127"/>
      <c r="V74" s="191"/>
      <c r="W74" s="190"/>
      <c r="X74" s="191"/>
      <c r="Y74" s="191"/>
      <c r="Z74" s="191"/>
      <c r="AA74" s="191"/>
      <c r="AB74" s="191"/>
      <c r="AC74" s="191"/>
      <c r="AD74" s="191"/>
      <c r="AE74" s="191"/>
      <c r="AF74" s="191"/>
      <c r="AG74" s="191"/>
      <c r="AH74" s="191"/>
      <c r="AI74" s="127"/>
      <c r="AJ74" s="191"/>
      <c r="AK74" s="191"/>
      <c r="AL74" s="190"/>
      <c r="AM74" s="191"/>
      <c r="AQ74" s="194"/>
      <c r="AR74" s="127"/>
      <c r="AS74" s="194"/>
      <c r="AT74" s="194"/>
      <c r="AU74" s="194"/>
      <c r="AV74" s="194"/>
      <c r="AW74" s="194"/>
      <c r="AX74" s="194"/>
      <c r="AY74" s="193"/>
      <c r="AZ74" s="194"/>
      <c r="BA74" s="21"/>
      <c r="BE74" s="188" t="s">
        <v>1008</v>
      </c>
      <c r="BF74" s="188" t="s">
        <v>3801</v>
      </c>
      <c r="BG74" s="127">
        <v>42895</v>
      </c>
      <c r="BH74" s="188" t="s">
        <v>10</v>
      </c>
      <c r="BI74" s="188" t="s">
        <v>598</v>
      </c>
      <c r="BJ74" s="189">
        <v>2500</v>
      </c>
      <c r="BK74" s="188" t="s">
        <v>493</v>
      </c>
      <c r="BL74" s="188" t="s">
        <v>598</v>
      </c>
      <c r="BM74" s="189">
        <v>0</v>
      </c>
      <c r="BN74" s="188" t="s">
        <v>598</v>
      </c>
      <c r="BO74" s="127">
        <v>42889</v>
      </c>
      <c r="BP74" s="188" t="s">
        <v>598</v>
      </c>
      <c r="BQ74" s="188" t="s">
        <v>102</v>
      </c>
      <c r="BR74" s="188" t="s">
        <v>217</v>
      </c>
      <c r="BS74" s="188" t="s">
        <v>598</v>
      </c>
      <c r="BT74" s="188" t="s">
        <v>63</v>
      </c>
      <c r="BU74" s="188" t="s">
        <v>86</v>
      </c>
      <c r="BV74" s="188" t="s">
        <v>598</v>
      </c>
      <c r="BZ74" s="188">
        <v>73</v>
      </c>
      <c r="CA74" s="127">
        <v>42875</v>
      </c>
      <c r="CB74" s="188" t="s">
        <v>495</v>
      </c>
      <c r="CC74" s="188" t="s">
        <v>322</v>
      </c>
      <c r="CD74" s="188" t="s">
        <v>112</v>
      </c>
      <c r="CE74" s="188"/>
      <c r="CF74" s="188" t="s">
        <v>34</v>
      </c>
      <c r="CG74" s="188"/>
      <c r="CH74" s="189">
        <v>700</v>
      </c>
      <c r="CI74" s="188"/>
    </row>
    <row r="75" spans="5:87">
      <c r="E75" s="21"/>
      <c r="Q75" s="191"/>
      <c r="R75" s="191"/>
      <c r="S75" s="191"/>
      <c r="T75" s="127"/>
      <c r="U75" s="127"/>
      <c r="V75" s="191"/>
      <c r="W75" s="190"/>
      <c r="X75" s="191"/>
      <c r="Y75" s="191"/>
      <c r="Z75" s="191"/>
      <c r="AA75" s="191"/>
      <c r="AB75" s="191"/>
      <c r="AC75" s="191"/>
      <c r="AD75" s="191"/>
      <c r="AE75" s="191"/>
      <c r="AF75" s="191"/>
      <c r="AG75" s="191"/>
      <c r="AH75" s="191"/>
      <c r="AI75" s="127"/>
      <c r="AJ75" s="191"/>
      <c r="AK75" s="191"/>
      <c r="AL75" s="190"/>
      <c r="AM75" s="191"/>
      <c r="AQ75" s="194"/>
      <c r="AR75" s="127"/>
      <c r="AS75" s="194"/>
      <c r="AT75" s="194"/>
      <c r="AU75" s="194"/>
      <c r="AV75" s="194"/>
      <c r="AW75" s="194"/>
      <c r="AX75" s="194"/>
      <c r="AY75" s="193"/>
      <c r="AZ75" s="194"/>
      <c r="BA75" s="21"/>
      <c r="BE75" s="188" t="s">
        <v>1010</v>
      </c>
      <c r="BF75" s="188" t="s">
        <v>3802</v>
      </c>
      <c r="BG75" s="127">
        <v>42895</v>
      </c>
      <c r="BH75" s="188" t="s">
        <v>10</v>
      </c>
      <c r="BI75" s="188" t="s">
        <v>598</v>
      </c>
      <c r="BJ75" s="189">
        <v>2500</v>
      </c>
      <c r="BK75" s="188" t="s">
        <v>493</v>
      </c>
      <c r="BL75" s="188" t="s">
        <v>598</v>
      </c>
      <c r="BM75" s="189">
        <v>0</v>
      </c>
      <c r="BN75" s="188" t="s">
        <v>598</v>
      </c>
      <c r="BO75" s="127">
        <v>42889</v>
      </c>
      <c r="BP75" s="188" t="s">
        <v>598</v>
      </c>
      <c r="BQ75" s="188" t="s">
        <v>102</v>
      </c>
      <c r="BR75" s="188" t="s">
        <v>217</v>
      </c>
      <c r="BS75" s="188" t="s">
        <v>598</v>
      </c>
      <c r="BT75" s="188" t="s">
        <v>63</v>
      </c>
      <c r="BU75" s="188" t="s">
        <v>86</v>
      </c>
      <c r="BV75" s="188" t="s">
        <v>598</v>
      </c>
      <c r="BZ75" s="188">
        <v>74</v>
      </c>
      <c r="CA75" s="127">
        <v>42875</v>
      </c>
      <c r="CB75" s="188" t="s">
        <v>495</v>
      </c>
      <c r="CC75" s="188" t="s">
        <v>322</v>
      </c>
      <c r="CD75" s="188" t="s">
        <v>65</v>
      </c>
      <c r="CE75" s="188"/>
      <c r="CF75" s="188" t="s">
        <v>34</v>
      </c>
      <c r="CG75" s="188"/>
      <c r="CH75" s="189">
        <v>500</v>
      </c>
      <c r="CI75" s="188"/>
    </row>
    <row r="76" spans="5:87">
      <c r="E76" s="21"/>
      <c r="Q76" s="191"/>
      <c r="R76" s="191"/>
      <c r="S76" s="191"/>
      <c r="T76" s="127"/>
      <c r="U76" s="127"/>
      <c r="V76" s="191"/>
      <c r="W76" s="190"/>
      <c r="X76" s="191"/>
      <c r="Y76" s="191"/>
      <c r="Z76" s="191"/>
      <c r="AA76" s="191"/>
      <c r="AB76" s="191"/>
      <c r="AC76" s="191"/>
      <c r="AD76" s="191"/>
      <c r="AE76" s="191"/>
      <c r="AF76" s="191"/>
      <c r="AG76" s="191"/>
      <c r="AH76" s="191"/>
      <c r="AI76" s="127"/>
      <c r="AJ76" s="191"/>
      <c r="AK76" s="191"/>
      <c r="AL76" s="190"/>
      <c r="AM76" s="191"/>
      <c r="AQ76" s="194"/>
      <c r="AR76" s="127"/>
      <c r="AS76" s="194"/>
      <c r="AT76" s="194"/>
      <c r="AU76" s="194"/>
      <c r="AV76" s="194"/>
      <c r="AW76" s="194"/>
      <c r="AX76" s="194"/>
      <c r="AY76" s="193"/>
      <c r="AZ76" s="194"/>
      <c r="BA76" s="21"/>
      <c r="BE76" s="188" t="s">
        <v>1012</v>
      </c>
      <c r="BF76" s="188" t="s">
        <v>3803</v>
      </c>
      <c r="BG76" s="127">
        <v>42892</v>
      </c>
      <c r="BH76" s="188" t="s">
        <v>34</v>
      </c>
      <c r="BI76" s="188" t="s">
        <v>598</v>
      </c>
      <c r="BJ76" s="189">
        <v>3000</v>
      </c>
      <c r="BK76" s="188" t="s">
        <v>493</v>
      </c>
      <c r="BL76" s="188" t="s">
        <v>598</v>
      </c>
      <c r="BM76" s="189">
        <v>0</v>
      </c>
      <c r="BN76" s="188" t="s">
        <v>598</v>
      </c>
      <c r="BO76" s="127">
        <v>42889</v>
      </c>
      <c r="BP76" s="188" t="s">
        <v>598</v>
      </c>
      <c r="BQ76" s="188" t="s">
        <v>102</v>
      </c>
      <c r="BR76" s="188" t="s">
        <v>233</v>
      </c>
      <c r="BS76" s="188" t="s">
        <v>598</v>
      </c>
      <c r="BT76" s="188" t="s">
        <v>63</v>
      </c>
      <c r="BU76" s="188" t="s">
        <v>63</v>
      </c>
      <c r="BV76" s="188" t="s">
        <v>598</v>
      </c>
      <c r="BZ76" s="188">
        <v>75</v>
      </c>
      <c r="CA76" s="127">
        <v>42877</v>
      </c>
      <c r="CB76" s="188" t="s">
        <v>4433</v>
      </c>
      <c r="CC76" s="188" t="s">
        <v>320</v>
      </c>
      <c r="CD76" s="188"/>
      <c r="CE76" s="188"/>
      <c r="CF76" s="188" t="s">
        <v>34</v>
      </c>
      <c r="CG76" s="188"/>
      <c r="CH76" s="189">
        <v>1200</v>
      </c>
      <c r="CI76" s="188"/>
    </row>
    <row r="77" spans="5:87">
      <c r="E77" s="21"/>
      <c r="Q77" s="191"/>
      <c r="R77" s="191"/>
      <c r="S77" s="191"/>
      <c r="T77" s="127"/>
      <c r="U77" s="127"/>
      <c r="V77" s="191"/>
      <c r="W77" s="190"/>
      <c r="X77" s="191"/>
      <c r="Y77" s="191"/>
      <c r="Z77" s="191"/>
      <c r="AA77" s="191"/>
      <c r="AB77" s="191"/>
      <c r="AC77" s="191"/>
      <c r="AD77" s="191"/>
      <c r="AE77" s="191"/>
      <c r="AF77" s="191"/>
      <c r="AG77" s="191"/>
      <c r="AH77" s="191"/>
      <c r="AI77" s="127"/>
      <c r="AJ77" s="191"/>
      <c r="AK77" s="191"/>
      <c r="AL77" s="190"/>
      <c r="AM77" s="191"/>
      <c r="AQ77" s="194"/>
      <c r="AR77" s="127"/>
      <c r="AS77" s="194"/>
      <c r="AT77" s="194"/>
      <c r="AU77" s="194"/>
      <c r="AV77" s="194"/>
      <c r="AW77" s="194"/>
      <c r="AX77" s="194"/>
      <c r="AY77" s="193"/>
      <c r="AZ77" s="194"/>
      <c r="BA77" s="21"/>
      <c r="BE77" s="188" t="s">
        <v>1016</v>
      </c>
      <c r="BF77" s="188" t="s">
        <v>3804</v>
      </c>
      <c r="BG77" s="127">
        <v>42891</v>
      </c>
      <c r="BH77" s="188" t="s">
        <v>10</v>
      </c>
      <c r="BI77" s="188" t="s">
        <v>598</v>
      </c>
      <c r="BJ77" s="189">
        <v>4000</v>
      </c>
      <c r="BK77" s="188" t="s">
        <v>493</v>
      </c>
      <c r="BL77" s="188" t="s">
        <v>598</v>
      </c>
      <c r="BM77" s="189">
        <v>0</v>
      </c>
      <c r="BN77" s="188" t="s">
        <v>598</v>
      </c>
      <c r="BO77" s="127">
        <v>42889</v>
      </c>
      <c r="BP77" s="188" t="s">
        <v>598</v>
      </c>
      <c r="BQ77" s="188" t="s">
        <v>102</v>
      </c>
      <c r="BR77" s="188" t="s">
        <v>234</v>
      </c>
      <c r="BS77" s="188" t="s">
        <v>598</v>
      </c>
      <c r="BT77" s="188" t="s">
        <v>63</v>
      </c>
      <c r="BU77" s="188" t="s">
        <v>63</v>
      </c>
      <c r="BV77" s="188" t="s">
        <v>598</v>
      </c>
      <c r="BZ77" s="188">
        <v>76</v>
      </c>
      <c r="CA77" s="127">
        <v>42877</v>
      </c>
      <c r="CB77" s="188" t="s">
        <v>4426</v>
      </c>
      <c r="CC77" s="188" t="s">
        <v>320</v>
      </c>
      <c r="CD77" s="188" t="s">
        <v>321</v>
      </c>
      <c r="CE77" s="188"/>
      <c r="CF77" s="188" t="s">
        <v>34</v>
      </c>
      <c r="CG77" s="188"/>
      <c r="CH77" s="189">
        <v>500</v>
      </c>
      <c r="CI77" s="188"/>
    </row>
    <row r="78" spans="5:87">
      <c r="E78" s="21"/>
      <c r="Q78" s="191"/>
      <c r="R78" s="191"/>
      <c r="S78" s="191"/>
      <c r="T78" s="127"/>
      <c r="U78" s="127"/>
      <c r="V78" s="191"/>
      <c r="W78" s="190"/>
      <c r="X78" s="191"/>
      <c r="Y78" s="191"/>
      <c r="Z78" s="191"/>
      <c r="AA78" s="191"/>
      <c r="AB78" s="191"/>
      <c r="AC78" s="191"/>
      <c r="AD78" s="191"/>
      <c r="AE78" s="191"/>
      <c r="AF78" s="191"/>
      <c r="AG78" s="191"/>
      <c r="AH78" s="191"/>
      <c r="AI78" s="127"/>
      <c r="AJ78" s="191"/>
      <c r="AK78" s="191"/>
      <c r="AL78" s="190"/>
      <c r="AM78" s="191"/>
      <c r="AQ78" s="194"/>
      <c r="AR78" s="127"/>
      <c r="AS78" s="194"/>
      <c r="AT78" s="194"/>
      <c r="AU78" s="194"/>
      <c r="AV78" s="194"/>
      <c r="AW78" s="194"/>
      <c r="AX78" s="194"/>
      <c r="AY78" s="193"/>
      <c r="AZ78" s="194"/>
      <c r="BA78" s="21"/>
      <c r="BE78" s="188" t="s">
        <v>1018</v>
      </c>
      <c r="BF78" s="188" t="s">
        <v>3805</v>
      </c>
      <c r="BG78" s="127">
        <v>42892</v>
      </c>
      <c r="BH78" s="188" t="s">
        <v>34</v>
      </c>
      <c r="BI78" s="188" t="s">
        <v>598</v>
      </c>
      <c r="BJ78" s="189">
        <v>1000</v>
      </c>
      <c r="BK78" s="188" t="s">
        <v>572</v>
      </c>
      <c r="BL78" s="188" t="s">
        <v>598</v>
      </c>
      <c r="BM78" s="189">
        <v>0</v>
      </c>
      <c r="BN78" s="188" t="s">
        <v>54</v>
      </c>
      <c r="BO78" s="127">
        <v>42891</v>
      </c>
      <c r="BP78" s="188" t="s">
        <v>598</v>
      </c>
      <c r="BQ78" s="188" t="s">
        <v>102</v>
      </c>
      <c r="BR78" s="188" t="s">
        <v>234</v>
      </c>
      <c r="BS78" s="188" t="s">
        <v>598</v>
      </c>
      <c r="BT78" s="188" t="s">
        <v>63</v>
      </c>
      <c r="BU78" s="188" t="s">
        <v>63</v>
      </c>
      <c r="BV78" s="188" t="s">
        <v>598</v>
      </c>
      <c r="BZ78" s="188">
        <v>77</v>
      </c>
      <c r="CA78" s="127">
        <v>42877</v>
      </c>
      <c r="CB78" s="188" t="s">
        <v>4426</v>
      </c>
      <c r="CC78" s="188" t="s">
        <v>320</v>
      </c>
      <c r="CD78" s="188" t="s">
        <v>305</v>
      </c>
      <c r="CE78" s="188"/>
      <c r="CF78" s="188" t="s">
        <v>34</v>
      </c>
      <c r="CG78" s="188"/>
      <c r="CH78" s="189">
        <v>500</v>
      </c>
      <c r="CI78" s="188"/>
    </row>
    <row r="79" spans="5:87">
      <c r="E79" s="21"/>
      <c r="Q79" s="191"/>
      <c r="R79" s="191"/>
      <c r="S79" s="191"/>
      <c r="T79" s="127"/>
      <c r="U79" s="127"/>
      <c r="V79" s="191"/>
      <c r="W79" s="190"/>
      <c r="X79" s="191"/>
      <c r="Y79" s="191"/>
      <c r="Z79" s="191"/>
      <c r="AA79" s="191"/>
      <c r="AB79" s="191"/>
      <c r="AC79" s="191"/>
      <c r="AD79" s="191"/>
      <c r="AE79" s="191"/>
      <c r="AF79" s="191"/>
      <c r="AG79" s="191"/>
      <c r="AH79" s="191"/>
      <c r="AI79" s="127"/>
      <c r="AJ79" s="191"/>
      <c r="AK79" s="191"/>
      <c r="AL79" s="190"/>
      <c r="AM79" s="191"/>
      <c r="AQ79" s="194"/>
      <c r="AR79" s="127"/>
      <c r="AS79" s="194"/>
      <c r="AT79" s="194"/>
      <c r="AU79" s="194"/>
      <c r="AV79" s="194"/>
      <c r="AW79" s="194"/>
      <c r="AX79" s="194"/>
      <c r="AY79" s="193"/>
      <c r="AZ79" s="194"/>
      <c r="BA79" s="21"/>
      <c r="BE79" s="188" t="s">
        <v>1020</v>
      </c>
      <c r="BF79" s="188" t="s">
        <v>3806</v>
      </c>
      <c r="BG79" s="127">
        <v>42893</v>
      </c>
      <c r="BH79" s="188" t="s">
        <v>34</v>
      </c>
      <c r="BI79" s="188" t="s">
        <v>598</v>
      </c>
      <c r="BJ79" s="189">
        <v>1000</v>
      </c>
      <c r="BK79" s="188" t="s">
        <v>493</v>
      </c>
      <c r="BL79" s="188" t="s">
        <v>598</v>
      </c>
      <c r="BM79" s="189">
        <v>0</v>
      </c>
      <c r="BN79" s="188" t="s">
        <v>598</v>
      </c>
      <c r="BO79" s="127">
        <v>42892</v>
      </c>
      <c r="BP79" s="188" t="s">
        <v>598</v>
      </c>
      <c r="BQ79" s="188" t="s">
        <v>102</v>
      </c>
      <c r="BR79" s="188" t="s">
        <v>233</v>
      </c>
      <c r="BS79" s="188" t="s">
        <v>598</v>
      </c>
      <c r="BT79" s="188" t="s">
        <v>63</v>
      </c>
      <c r="BU79" s="188" t="s">
        <v>86</v>
      </c>
      <c r="BV79" s="188" t="s">
        <v>598</v>
      </c>
      <c r="BZ79" s="188">
        <v>78</v>
      </c>
      <c r="CA79" s="127">
        <v>42877</v>
      </c>
      <c r="CB79" s="188" t="s">
        <v>495</v>
      </c>
      <c r="CC79" s="188" t="s">
        <v>322</v>
      </c>
      <c r="CD79" s="188" t="s">
        <v>88</v>
      </c>
      <c r="CE79" s="188"/>
      <c r="CF79" s="188" t="s">
        <v>34</v>
      </c>
      <c r="CG79" s="188"/>
      <c r="CH79" s="189">
        <v>500</v>
      </c>
      <c r="CI79" s="188"/>
    </row>
    <row r="80" spans="5:87">
      <c r="E80" s="21"/>
      <c r="Q80" s="191"/>
      <c r="R80" s="191"/>
      <c r="S80" s="191"/>
      <c r="T80" s="127"/>
      <c r="U80" s="127"/>
      <c r="V80" s="191"/>
      <c r="W80" s="190"/>
      <c r="X80" s="191"/>
      <c r="Y80" s="191"/>
      <c r="Z80" s="191"/>
      <c r="AA80" s="191"/>
      <c r="AB80" s="191"/>
      <c r="AC80" s="191"/>
      <c r="AD80" s="191"/>
      <c r="AE80" s="191"/>
      <c r="AF80" s="191"/>
      <c r="AG80" s="191"/>
      <c r="AH80" s="191"/>
      <c r="AI80" s="127"/>
      <c r="AJ80" s="191"/>
      <c r="AK80" s="191"/>
      <c r="AL80" s="190"/>
      <c r="AM80" s="191"/>
      <c r="AQ80" s="194"/>
      <c r="AR80" s="127"/>
      <c r="AS80" s="194"/>
      <c r="AT80" s="194"/>
      <c r="AU80" s="194"/>
      <c r="AV80" s="194"/>
      <c r="AW80" s="194"/>
      <c r="AX80" s="194"/>
      <c r="AY80" s="193"/>
      <c r="AZ80" s="194"/>
      <c r="BA80" s="21"/>
      <c r="BE80" s="188" t="s">
        <v>1022</v>
      </c>
      <c r="BF80" s="188" t="s">
        <v>3807</v>
      </c>
      <c r="BG80" s="127">
        <v>42893</v>
      </c>
      <c r="BH80" s="188" t="s">
        <v>34</v>
      </c>
      <c r="BI80" s="188" t="s">
        <v>598</v>
      </c>
      <c r="BJ80" s="189">
        <v>1000</v>
      </c>
      <c r="BK80" s="188" t="s">
        <v>493</v>
      </c>
      <c r="BL80" s="188" t="s">
        <v>598</v>
      </c>
      <c r="BM80" s="189">
        <v>0</v>
      </c>
      <c r="BN80" s="188" t="s">
        <v>598</v>
      </c>
      <c r="BO80" s="127">
        <v>42893</v>
      </c>
      <c r="BP80" s="188" t="s">
        <v>134</v>
      </c>
      <c r="BQ80" s="188" t="s">
        <v>102</v>
      </c>
      <c r="BR80" s="188" t="s">
        <v>235</v>
      </c>
      <c r="BS80" s="188" t="s">
        <v>598</v>
      </c>
      <c r="BT80" s="188" t="s">
        <v>63</v>
      </c>
      <c r="BU80" s="188" t="s">
        <v>86</v>
      </c>
      <c r="BV80" s="188" t="s">
        <v>598</v>
      </c>
      <c r="BZ80" s="188">
        <v>79</v>
      </c>
      <c r="CA80" s="127">
        <v>42878</v>
      </c>
      <c r="CB80" s="188" t="s">
        <v>4435</v>
      </c>
      <c r="CC80" s="188" t="s">
        <v>320</v>
      </c>
      <c r="CD80" s="188"/>
      <c r="CE80" s="188"/>
      <c r="CF80" s="188" t="s">
        <v>34</v>
      </c>
      <c r="CG80" s="188"/>
      <c r="CH80" s="189">
        <v>200</v>
      </c>
      <c r="CI80" s="188"/>
    </row>
    <row r="81" spans="5:87">
      <c r="E81" s="21"/>
      <c r="Q81" s="191"/>
      <c r="R81" s="191"/>
      <c r="S81" s="191"/>
      <c r="T81" s="127"/>
      <c r="U81" s="127"/>
      <c r="V81" s="191"/>
      <c r="W81" s="190"/>
      <c r="X81" s="191"/>
      <c r="Y81" s="191"/>
      <c r="Z81" s="191"/>
      <c r="AA81" s="191"/>
      <c r="AB81" s="191"/>
      <c r="AC81" s="191"/>
      <c r="AD81" s="191"/>
      <c r="AE81" s="191"/>
      <c r="AF81" s="191"/>
      <c r="AG81" s="191"/>
      <c r="AH81" s="191"/>
      <c r="AI81" s="127"/>
      <c r="AJ81" s="191"/>
      <c r="AK81" s="191"/>
      <c r="AL81" s="190"/>
      <c r="AM81" s="191"/>
      <c r="AQ81" s="194"/>
      <c r="AR81" s="127"/>
      <c r="AS81" s="194"/>
      <c r="AT81" s="194"/>
      <c r="AU81" s="194"/>
      <c r="AV81" s="194"/>
      <c r="AW81" s="194"/>
      <c r="AX81" s="194"/>
      <c r="AY81" s="193"/>
      <c r="AZ81" s="194"/>
      <c r="BA81" s="21"/>
      <c r="BE81" s="188" t="s">
        <v>1024</v>
      </c>
      <c r="BF81" s="188" t="s">
        <v>3808</v>
      </c>
      <c r="BG81" s="127">
        <v>42895</v>
      </c>
      <c r="BH81" s="188" t="s">
        <v>34</v>
      </c>
      <c r="BI81" s="188" t="s">
        <v>598</v>
      </c>
      <c r="BJ81" s="189">
        <v>5000</v>
      </c>
      <c r="BK81" s="188" t="s">
        <v>493</v>
      </c>
      <c r="BL81" s="188" t="s">
        <v>598</v>
      </c>
      <c r="BM81" s="189">
        <v>0</v>
      </c>
      <c r="BN81" s="188" t="s">
        <v>598</v>
      </c>
      <c r="BO81" s="127">
        <v>42893</v>
      </c>
      <c r="BP81" s="188" t="s">
        <v>134</v>
      </c>
      <c r="BQ81" s="188" t="s">
        <v>102</v>
      </c>
      <c r="BR81" s="188" t="s">
        <v>235</v>
      </c>
      <c r="BS81" s="188" t="s">
        <v>598</v>
      </c>
      <c r="BT81" s="188" t="s">
        <v>63</v>
      </c>
      <c r="BU81" s="188" t="s">
        <v>86</v>
      </c>
      <c r="BV81" s="188" t="s">
        <v>598</v>
      </c>
      <c r="BZ81" s="188">
        <v>80</v>
      </c>
      <c r="CA81" s="127">
        <v>42878</v>
      </c>
      <c r="CB81" s="188" t="s">
        <v>495</v>
      </c>
      <c r="CC81" s="188" t="s">
        <v>322</v>
      </c>
      <c r="CD81" s="188" t="s">
        <v>42</v>
      </c>
      <c r="CE81" s="188"/>
      <c r="CF81" s="188" t="s">
        <v>34</v>
      </c>
      <c r="CG81" s="188"/>
      <c r="CH81" s="189">
        <v>600</v>
      </c>
      <c r="CI81" s="188"/>
    </row>
    <row r="82" spans="5:87">
      <c r="E82" s="21"/>
      <c r="Q82" s="191"/>
      <c r="R82" s="191"/>
      <c r="S82" s="191"/>
      <c r="T82" s="127"/>
      <c r="U82" s="127"/>
      <c r="V82" s="191"/>
      <c r="W82" s="190"/>
      <c r="X82" s="191"/>
      <c r="Y82" s="191"/>
      <c r="Z82" s="191"/>
      <c r="AA82" s="191"/>
      <c r="AB82" s="191"/>
      <c r="AC82" s="191"/>
      <c r="AD82" s="191"/>
      <c r="AE82" s="191"/>
      <c r="AF82" s="191"/>
      <c r="AG82" s="191"/>
      <c r="AH82" s="191"/>
      <c r="AI82" s="127"/>
      <c r="AJ82" s="191"/>
      <c r="AK82" s="191"/>
      <c r="AL82" s="190"/>
      <c r="AM82" s="191"/>
      <c r="AQ82" s="194"/>
      <c r="AR82" s="127"/>
      <c r="AS82" s="194"/>
      <c r="AT82" s="194"/>
      <c r="AU82" s="194"/>
      <c r="AV82" s="194"/>
      <c r="AW82" s="194"/>
      <c r="AX82" s="194"/>
      <c r="AY82" s="193"/>
      <c r="AZ82" s="194"/>
      <c r="BA82" s="21"/>
      <c r="BE82" s="188" t="s">
        <v>1026</v>
      </c>
      <c r="BF82" s="188" t="s">
        <v>3809</v>
      </c>
      <c r="BG82" s="127">
        <v>42893</v>
      </c>
      <c r="BH82" s="188" t="s">
        <v>34</v>
      </c>
      <c r="BI82" s="188" t="s">
        <v>598</v>
      </c>
      <c r="BJ82" s="189">
        <v>1000</v>
      </c>
      <c r="BK82" s="188" t="s">
        <v>493</v>
      </c>
      <c r="BL82" s="188" t="s">
        <v>598</v>
      </c>
      <c r="BM82" s="189">
        <v>0</v>
      </c>
      <c r="BN82" s="188" t="s">
        <v>598</v>
      </c>
      <c r="BO82" s="127">
        <v>42893</v>
      </c>
      <c r="BP82" s="188" t="s">
        <v>598</v>
      </c>
      <c r="BQ82" s="188" t="s">
        <v>102</v>
      </c>
      <c r="BR82" s="188" t="s">
        <v>235</v>
      </c>
      <c r="BS82" s="188" t="s">
        <v>598</v>
      </c>
      <c r="BT82" s="188" t="s">
        <v>63</v>
      </c>
      <c r="BU82" s="188" t="s">
        <v>598</v>
      </c>
      <c r="BV82" s="188" t="s">
        <v>598</v>
      </c>
      <c r="BZ82" s="188">
        <v>81</v>
      </c>
      <c r="CA82" s="127">
        <v>42878</v>
      </c>
      <c r="CB82" s="188" t="s">
        <v>495</v>
      </c>
      <c r="CC82" s="188" t="s">
        <v>322</v>
      </c>
      <c r="CD82" s="188" t="s">
        <v>176</v>
      </c>
      <c r="CE82" s="188"/>
      <c r="CF82" s="188" t="s">
        <v>34</v>
      </c>
      <c r="CG82" s="188"/>
      <c r="CH82" s="189">
        <v>500</v>
      </c>
      <c r="CI82" s="188"/>
    </row>
    <row r="83" spans="5:87">
      <c r="E83" s="21"/>
      <c r="Q83" s="191"/>
      <c r="R83" s="191"/>
      <c r="S83" s="191"/>
      <c r="T83" s="127"/>
      <c r="U83" s="127"/>
      <c r="V83" s="191"/>
      <c r="W83" s="190"/>
      <c r="X83" s="191"/>
      <c r="Y83" s="191"/>
      <c r="Z83" s="191"/>
      <c r="AA83" s="191"/>
      <c r="AB83" s="191"/>
      <c r="AC83" s="191"/>
      <c r="AD83" s="191"/>
      <c r="AE83" s="191"/>
      <c r="AF83" s="191"/>
      <c r="AG83" s="191"/>
      <c r="AH83" s="191"/>
      <c r="AI83" s="127"/>
      <c r="AJ83" s="191"/>
      <c r="AK83" s="191"/>
      <c r="AL83" s="190"/>
      <c r="AM83" s="191"/>
      <c r="AQ83" s="194"/>
      <c r="AR83" s="127"/>
      <c r="AS83" s="194"/>
      <c r="AT83" s="194"/>
      <c r="AU83" s="194"/>
      <c r="AV83" s="194"/>
      <c r="AW83" s="194"/>
      <c r="AX83" s="194"/>
      <c r="AY83" s="193"/>
      <c r="AZ83" s="194"/>
      <c r="BA83" s="21"/>
      <c r="BE83" s="188" t="s">
        <v>1028</v>
      </c>
      <c r="BF83" s="188" t="s">
        <v>3810</v>
      </c>
      <c r="BG83" s="127">
        <v>42907</v>
      </c>
      <c r="BH83" s="188" t="s">
        <v>10</v>
      </c>
      <c r="BI83" s="188" t="s">
        <v>598</v>
      </c>
      <c r="BJ83" s="189">
        <v>7500</v>
      </c>
      <c r="BK83" s="188" t="s">
        <v>493</v>
      </c>
      <c r="BL83" s="188" t="s">
        <v>598</v>
      </c>
      <c r="BM83" s="189">
        <v>0</v>
      </c>
      <c r="BN83" s="188" t="s">
        <v>598</v>
      </c>
      <c r="BO83" s="127">
        <v>42894</v>
      </c>
      <c r="BP83" s="188" t="s">
        <v>598</v>
      </c>
      <c r="BQ83" s="188" t="s">
        <v>102</v>
      </c>
      <c r="BR83" s="188" t="s">
        <v>236</v>
      </c>
      <c r="BS83" s="188" t="s">
        <v>598</v>
      </c>
      <c r="BT83" s="188" t="s">
        <v>63</v>
      </c>
      <c r="BU83" s="188" t="s">
        <v>63</v>
      </c>
      <c r="BV83" s="188" t="s">
        <v>598</v>
      </c>
      <c r="BZ83" s="188">
        <v>82</v>
      </c>
      <c r="CA83" s="127">
        <v>42880</v>
      </c>
      <c r="CB83" s="188" t="s">
        <v>4428</v>
      </c>
      <c r="CC83" s="188" t="s">
        <v>320</v>
      </c>
      <c r="CD83" s="188"/>
      <c r="CE83" s="188"/>
      <c r="CF83" s="188" t="s">
        <v>34</v>
      </c>
      <c r="CG83" s="188"/>
      <c r="CH83" s="189">
        <v>3000</v>
      </c>
      <c r="CI83" s="188"/>
    </row>
    <row r="84" spans="5:87">
      <c r="E84" s="21"/>
      <c r="Q84" s="191"/>
      <c r="R84" s="191"/>
      <c r="S84" s="191"/>
      <c r="T84" s="127"/>
      <c r="U84" s="127"/>
      <c r="V84" s="191"/>
      <c r="W84" s="190"/>
      <c r="X84" s="191"/>
      <c r="Y84" s="191"/>
      <c r="Z84" s="191"/>
      <c r="AA84" s="191"/>
      <c r="AB84" s="191"/>
      <c r="AC84" s="191"/>
      <c r="AD84" s="191"/>
      <c r="AE84" s="191"/>
      <c r="AF84" s="191"/>
      <c r="AG84" s="191"/>
      <c r="AH84" s="191"/>
      <c r="AI84" s="127"/>
      <c r="AJ84" s="191"/>
      <c r="AK84" s="191"/>
      <c r="AL84" s="190"/>
      <c r="AM84" s="191"/>
      <c r="AQ84" s="194"/>
      <c r="AR84" s="127"/>
      <c r="AS84" s="194"/>
      <c r="AT84" s="194"/>
      <c r="AU84" s="194"/>
      <c r="AV84" s="194"/>
      <c r="AW84" s="194"/>
      <c r="AX84" s="194"/>
      <c r="AY84" s="193"/>
      <c r="AZ84" s="194"/>
      <c r="BA84" s="21"/>
      <c r="BE84" s="188" t="s">
        <v>1030</v>
      </c>
      <c r="BF84" s="188" t="s">
        <v>3811</v>
      </c>
      <c r="BG84" s="127">
        <v>42903</v>
      </c>
      <c r="BH84" s="188" t="s">
        <v>34</v>
      </c>
      <c r="BI84" s="188" t="s">
        <v>598</v>
      </c>
      <c r="BJ84" s="189">
        <v>6000</v>
      </c>
      <c r="BK84" s="188" t="s">
        <v>493</v>
      </c>
      <c r="BL84" s="188" t="s">
        <v>598</v>
      </c>
      <c r="BM84" s="189">
        <v>0</v>
      </c>
      <c r="BN84" s="188" t="s">
        <v>598</v>
      </c>
      <c r="BO84" s="127">
        <v>42894</v>
      </c>
      <c r="BP84" s="188" t="s">
        <v>598</v>
      </c>
      <c r="BQ84" s="188" t="s">
        <v>102</v>
      </c>
      <c r="BR84" s="188" t="s">
        <v>233</v>
      </c>
      <c r="BS84" s="188" t="s">
        <v>598</v>
      </c>
      <c r="BT84" s="188" t="s">
        <v>63</v>
      </c>
      <c r="BU84" s="188" t="s">
        <v>63</v>
      </c>
      <c r="BV84" s="188" t="s">
        <v>598</v>
      </c>
      <c r="BZ84" s="188">
        <v>83</v>
      </c>
      <c r="CA84" s="127">
        <v>42882</v>
      </c>
      <c r="CB84" s="188" t="s">
        <v>495</v>
      </c>
      <c r="CC84" s="188" t="s">
        <v>322</v>
      </c>
      <c r="CD84" s="188" t="s">
        <v>63</v>
      </c>
      <c r="CE84" s="188"/>
      <c r="CF84" s="188" t="s">
        <v>34</v>
      </c>
      <c r="CG84" s="188"/>
      <c r="CH84" s="189">
        <v>700</v>
      </c>
      <c r="CI84" s="188"/>
    </row>
    <row r="85" spans="5:87">
      <c r="E85" s="21"/>
      <c r="Q85" s="191"/>
      <c r="R85" s="191"/>
      <c r="S85" s="191"/>
      <c r="T85" s="127"/>
      <c r="U85" s="127"/>
      <c r="V85" s="191"/>
      <c r="W85" s="190"/>
      <c r="X85" s="191"/>
      <c r="Y85" s="191"/>
      <c r="Z85" s="191"/>
      <c r="AA85" s="191"/>
      <c r="AB85" s="191"/>
      <c r="AC85" s="191"/>
      <c r="AD85" s="191"/>
      <c r="AE85" s="191"/>
      <c r="AF85" s="191"/>
      <c r="AG85" s="191"/>
      <c r="AH85" s="191"/>
      <c r="AI85" s="127"/>
      <c r="AJ85" s="191"/>
      <c r="AK85" s="191"/>
      <c r="AL85" s="190"/>
      <c r="AM85" s="191"/>
      <c r="AQ85" s="194"/>
      <c r="AR85" s="127"/>
      <c r="AS85" s="194"/>
      <c r="AT85" s="194"/>
      <c r="AU85" s="194"/>
      <c r="AV85" s="194"/>
      <c r="AW85" s="194"/>
      <c r="AX85" s="194"/>
      <c r="AY85" s="193"/>
      <c r="AZ85" s="194"/>
      <c r="BA85" s="21"/>
      <c r="BE85" s="188" t="s">
        <v>1032</v>
      </c>
      <c r="BF85" s="188" t="s">
        <v>3812</v>
      </c>
      <c r="BG85" s="127">
        <v>42903</v>
      </c>
      <c r="BH85" s="188" t="s">
        <v>10</v>
      </c>
      <c r="BI85" s="188" t="s">
        <v>598</v>
      </c>
      <c r="BJ85" s="189">
        <v>5000</v>
      </c>
      <c r="BK85" s="188" t="s">
        <v>493</v>
      </c>
      <c r="BL85" s="188" t="s">
        <v>598</v>
      </c>
      <c r="BM85" s="189">
        <v>0</v>
      </c>
      <c r="BN85" s="188" t="s">
        <v>598</v>
      </c>
      <c r="BO85" s="127">
        <v>42894</v>
      </c>
      <c r="BP85" s="188" t="s">
        <v>598</v>
      </c>
      <c r="BQ85" s="188" t="s">
        <v>102</v>
      </c>
      <c r="BR85" s="188" t="s">
        <v>236</v>
      </c>
      <c r="BS85" s="188" t="s">
        <v>598</v>
      </c>
      <c r="BT85" s="188" t="s">
        <v>63</v>
      </c>
      <c r="BU85" s="188" t="s">
        <v>63</v>
      </c>
      <c r="BV85" s="188" t="s">
        <v>598</v>
      </c>
      <c r="BZ85" s="188">
        <v>84</v>
      </c>
      <c r="CA85" s="127">
        <v>42882</v>
      </c>
      <c r="CB85" s="188" t="s">
        <v>495</v>
      </c>
      <c r="CC85" s="188" t="s">
        <v>322</v>
      </c>
      <c r="CD85" s="188" t="s">
        <v>79</v>
      </c>
      <c r="CE85" s="188"/>
      <c r="CF85" s="188" t="s">
        <v>34</v>
      </c>
      <c r="CG85" s="188"/>
      <c r="CH85" s="189">
        <v>600</v>
      </c>
      <c r="CI85" s="188"/>
    </row>
    <row r="86" spans="5:87">
      <c r="E86" s="21"/>
      <c r="Q86" s="191"/>
      <c r="R86" s="191"/>
      <c r="S86" s="191"/>
      <c r="T86" s="127"/>
      <c r="U86" s="127"/>
      <c r="V86" s="191"/>
      <c r="W86" s="190"/>
      <c r="X86" s="191"/>
      <c r="Y86" s="191"/>
      <c r="Z86" s="191"/>
      <c r="AA86" s="191"/>
      <c r="AB86" s="191"/>
      <c r="AC86" s="191"/>
      <c r="AD86" s="191"/>
      <c r="AE86" s="191"/>
      <c r="AF86" s="191"/>
      <c r="AG86" s="191"/>
      <c r="AH86" s="191"/>
      <c r="AI86" s="127"/>
      <c r="AJ86" s="191"/>
      <c r="AK86" s="191"/>
      <c r="AL86" s="190"/>
      <c r="AM86" s="191"/>
      <c r="AQ86" s="194"/>
      <c r="AR86" s="127"/>
      <c r="AS86" s="194"/>
      <c r="AT86" s="194"/>
      <c r="AU86" s="194"/>
      <c r="AV86" s="194"/>
      <c r="AW86" s="194"/>
      <c r="AX86" s="194"/>
      <c r="AY86" s="193"/>
      <c r="AZ86" s="194"/>
      <c r="BA86" s="21"/>
      <c r="BE86" s="188" t="s">
        <v>1034</v>
      </c>
      <c r="BF86" s="188" t="s">
        <v>3813</v>
      </c>
      <c r="BG86" s="127">
        <v>42903</v>
      </c>
      <c r="BH86" s="188" t="s">
        <v>10</v>
      </c>
      <c r="BI86" s="188" t="s">
        <v>598</v>
      </c>
      <c r="BJ86" s="189">
        <v>4000</v>
      </c>
      <c r="BK86" s="188" t="s">
        <v>493</v>
      </c>
      <c r="BL86" s="188" t="s">
        <v>598</v>
      </c>
      <c r="BM86" s="189">
        <v>0</v>
      </c>
      <c r="BN86" s="188" t="s">
        <v>598</v>
      </c>
      <c r="BO86" s="127">
        <v>42894</v>
      </c>
      <c r="BP86" s="188" t="s">
        <v>598</v>
      </c>
      <c r="BQ86" s="188" t="s">
        <v>102</v>
      </c>
      <c r="BR86" s="188" t="s">
        <v>236</v>
      </c>
      <c r="BS86" s="188" t="s">
        <v>598</v>
      </c>
      <c r="BT86" s="188" t="s">
        <v>63</v>
      </c>
      <c r="BU86" s="188" t="s">
        <v>63</v>
      </c>
      <c r="BV86" s="188" t="s">
        <v>598</v>
      </c>
      <c r="BZ86" s="188">
        <v>85</v>
      </c>
      <c r="CA86" s="127">
        <v>42882</v>
      </c>
      <c r="CB86" s="188" t="s">
        <v>495</v>
      </c>
      <c r="CC86" s="188" t="s">
        <v>322</v>
      </c>
      <c r="CD86" s="188" t="s">
        <v>30</v>
      </c>
      <c r="CE86" s="188"/>
      <c r="CF86" s="188" t="s">
        <v>34</v>
      </c>
      <c r="CG86" s="188"/>
      <c r="CH86" s="189">
        <v>800</v>
      </c>
      <c r="CI86" s="188"/>
    </row>
    <row r="87" spans="5:87">
      <c r="E87" s="21"/>
      <c r="Q87" s="191"/>
      <c r="R87" s="191"/>
      <c r="S87" s="191"/>
      <c r="T87" s="127"/>
      <c r="U87" s="127"/>
      <c r="V87" s="191"/>
      <c r="W87" s="190"/>
      <c r="X87" s="191"/>
      <c r="Y87" s="191"/>
      <c r="Z87" s="191"/>
      <c r="AA87" s="191"/>
      <c r="AB87" s="191"/>
      <c r="AC87" s="191"/>
      <c r="AD87" s="191"/>
      <c r="AE87" s="191"/>
      <c r="AF87" s="191"/>
      <c r="AG87" s="191"/>
      <c r="AH87" s="191"/>
      <c r="AI87" s="127"/>
      <c r="AJ87" s="191"/>
      <c r="AK87" s="191"/>
      <c r="AL87" s="190"/>
      <c r="AM87" s="191"/>
      <c r="AQ87" s="194"/>
      <c r="AR87" s="127"/>
      <c r="AS87" s="194"/>
      <c r="AT87" s="194"/>
      <c r="AU87" s="194"/>
      <c r="AV87" s="194"/>
      <c r="AW87" s="194"/>
      <c r="AX87" s="194"/>
      <c r="AY87" s="193"/>
      <c r="AZ87" s="194"/>
      <c r="BA87" s="21"/>
      <c r="BE87" s="188" t="s">
        <v>1035</v>
      </c>
      <c r="BF87" s="188" t="s">
        <v>3814</v>
      </c>
      <c r="BG87" s="127">
        <v>42899</v>
      </c>
      <c r="BH87" s="188" t="s">
        <v>34</v>
      </c>
      <c r="BI87" s="188" t="s">
        <v>598</v>
      </c>
      <c r="BJ87" s="189">
        <v>5000</v>
      </c>
      <c r="BK87" s="188" t="s">
        <v>493</v>
      </c>
      <c r="BL87" s="188" t="s">
        <v>598</v>
      </c>
      <c r="BM87" s="189">
        <v>0</v>
      </c>
      <c r="BN87" s="188" t="s">
        <v>598</v>
      </c>
      <c r="BO87" s="127">
        <v>42894</v>
      </c>
      <c r="BP87" s="188" t="s">
        <v>598</v>
      </c>
      <c r="BQ87" s="188" t="s">
        <v>102</v>
      </c>
      <c r="BR87" s="188" t="s">
        <v>236</v>
      </c>
      <c r="BS87" s="188" t="s">
        <v>598</v>
      </c>
      <c r="BT87" s="188" t="s">
        <v>63</v>
      </c>
      <c r="BU87" s="188" t="s">
        <v>63</v>
      </c>
      <c r="BV87" s="188" t="s">
        <v>598</v>
      </c>
      <c r="BZ87" s="188">
        <v>86</v>
      </c>
      <c r="CA87" s="127">
        <v>42882</v>
      </c>
      <c r="CB87" s="188" t="s">
        <v>495</v>
      </c>
      <c r="CC87" s="188" t="s">
        <v>322</v>
      </c>
      <c r="CD87" s="188" t="s">
        <v>86</v>
      </c>
      <c r="CE87" s="188"/>
      <c r="CF87" s="188" t="s">
        <v>34</v>
      </c>
      <c r="CG87" s="188"/>
      <c r="CH87" s="189">
        <v>600</v>
      </c>
      <c r="CI87" s="188"/>
    </row>
    <row r="88" spans="5:87">
      <c r="E88" s="21"/>
      <c r="Q88" s="191"/>
      <c r="R88" s="191"/>
      <c r="S88" s="191"/>
      <c r="T88" s="127"/>
      <c r="U88" s="127"/>
      <c r="V88" s="191"/>
      <c r="W88" s="190"/>
      <c r="X88" s="191"/>
      <c r="Y88" s="191"/>
      <c r="Z88" s="191"/>
      <c r="AA88" s="191"/>
      <c r="AB88" s="191"/>
      <c r="AC88" s="191"/>
      <c r="AD88" s="191"/>
      <c r="AE88" s="191"/>
      <c r="AF88" s="191"/>
      <c r="AG88" s="191"/>
      <c r="AH88" s="191"/>
      <c r="AI88" s="127"/>
      <c r="AJ88" s="191"/>
      <c r="AK88" s="191"/>
      <c r="AL88" s="190"/>
      <c r="AM88" s="191"/>
      <c r="AQ88" s="194"/>
      <c r="AR88" s="127"/>
      <c r="AS88" s="194"/>
      <c r="AT88" s="194"/>
      <c r="AU88" s="194"/>
      <c r="AV88" s="194"/>
      <c r="AW88" s="194"/>
      <c r="AX88" s="194"/>
      <c r="AY88" s="193"/>
      <c r="AZ88" s="194"/>
      <c r="BA88" s="21"/>
      <c r="BE88" s="188" t="s">
        <v>1039</v>
      </c>
      <c r="BF88" s="188" t="s">
        <v>3815</v>
      </c>
      <c r="BG88" s="127">
        <v>42899</v>
      </c>
      <c r="BH88" s="188" t="s">
        <v>34</v>
      </c>
      <c r="BI88" s="188" t="s">
        <v>598</v>
      </c>
      <c r="BJ88" s="189">
        <v>1000</v>
      </c>
      <c r="BK88" s="188" t="s">
        <v>493</v>
      </c>
      <c r="BL88" s="188" t="s">
        <v>598</v>
      </c>
      <c r="BM88" s="189">
        <v>0</v>
      </c>
      <c r="BN88" s="188" t="s">
        <v>598</v>
      </c>
      <c r="BO88" s="127">
        <v>42899</v>
      </c>
      <c r="BP88" s="188" t="s">
        <v>134</v>
      </c>
      <c r="BQ88" s="188" t="s">
        <v>102</v>
      </c>
      <c r="BR88" s="188" t="s">
        <v>232</v>
      </c>
      <c r="BS88" s="188" t="s">
        <v>598</v>
      </c>
      <c r="BT88" s="188" t="s">
        <v>63</v>
      </c>
      <c r="BU88" s="188" t="s">
        <v>86</v>
      </c>
      <c r="BV88" s="188" t="s">
        <v>598</v>
      </c>
      <c r="BZ88" s="188">
        <v>87</v>
      </c>
      <c r="CA88" s="127">
        <v>42882</v>
      </c>
      <c r="CB88" s="188" t="s">
        <v>495</v>
      </c>
      <c r="CC88" s="188" t="s">
        <v>322</v>
      </c>
      <c r="CD88" s="188" t="s">
        <v>324</v>
      </c>
      <c r="CE88" s="188"/>
      <c r="CF88" s="188" t="s">
        <v>34</v>
      </c>
      <c r="CG88" s="188"/>
      <c r="CH88" s="189">
        <v>500</v>
      </c>
      <c r="CI88" s="188"/>
    </row>
    <row r="89" spans="5:87">
      <c r="E89" s="21"/>
      <c r="Q89" s="191"/>
      <c r="R89" s="191"/>
      <c r="S89" s="191"/>
      <c r="T89" s="127"/>
      <c r="U89" s="127"/>
      <c r="V89" s="191"/>
      <c r="W89" s="190"/>
      <c r="X89" s="191"/>
      <c r="Y89" s="191"/>
      <c r="Z89" s="191"/>
      <c r="AA89" s="191"/>
      <c r="AB89" s="191"/>
      <c r="AC89" s="191"/>
      <c r="AD89" s="191"/>
      <c r="AE89" s="191"/>
      <c r="AF89" s="191"/>
      <c r="AG89" s="191"/>
      <c r="AH89" s="191"/>
      <c r="AI89" s="127"/>
      <c r="AJ89" s="191"/>
      <c r="AK89" s="191"/>
      <c r="AL89" s="190"/>
      <c r="AM89" s="191"/>
      <c r="AQ89" s="194"/>
      <c r="AR89" s="127"/>
      <c r="AS89" s="194"/>
      <c r="AT89" s="194"/>
      <c r="AU89" s="194"/>
      <c r="AV89" s="194"/>
      <c r="AW89" s="194"/>
      <c r="AX89" s="194"/>
      <c r="AY89" s="193"/>
      <c r="AZ89" s="194"/>
      <c r="BA89" s="21"/>
      <c r="BE89" s="188" t="s">
        <v>1041</v>
      </c>
      <c r="BF89" s="188" t="s">
        <v>3816</v>
      </c>
      <c r="BG89" s="127">
        <v>42902</v>
      </c>
      <c r="BH89" s="188" t="s">
        <v>34</v>
      </c>
      <c r="BI89" s="188" t="s">
        <v>598</v>
      </c>
      <c r="BJ89" s="189">
        <v>3500</v>
      </c>
      <c r="BK89" s="188" t="s">
        <v>493</v>
      </c>
      <c r="BL89" s="188" t="s">
        <v>598</v>
      </c>
      <c r="BM89" s="189">
        <v>0</v>
      </c>
      <c r="BN89" s="188" t="s">
        <v>598</v>
      </c>
      <c r="BO89" s="127">
        <v>42899</v>
      </c>
      <c r="BP89" s="188" t="s">
        <v>598</v>
      </c>
      <c r="BQ89" s="188" t="s">
        <v>102</v>
      </c>
      <c r="BR89" s="188" t="s">
        <v>169</v>
      </c>
      <c r="BS89" s="188" t="s">
        <v>598</v>
      </c>
      <c r="BT89" s="188" t="s">
        <v>63</v>
      </c>
      <c r="BU89" s="188" t="s">
        <v>86</v>
      </c>
      <c r="BV89" s="188" t="s">
        <v>598</v>
      </c>
      <c r="BZ89" s="188">
        <v>88</v>
      </c>
      <c r="CA89" s="127">
        <v>42882</v>
      </c>
      <c r="CB89" s="188" t="s">
        <v>495</v>
      </c>
      <c r="CC89" s="188" t="s">
        <v>322</v>
      </c>
      <c r="CD89" s="188" t="s">
        <v>98</v>
      </c>
      <c r="CE89" s="188"/>
      <c r="CF89" s="188" t="s">
        <v>34</v>
      </c>
      <c r="CG89" s="188"/>
      <c r="CH89" s="189">
        <v>500</v>
      </c>
      <c r="CI89" s="188"/>
    </row>
    <row r="90" spans="5:87">
      <c r="E90" s="21"/>
      <c r="Q90" s="191"/>
      <c r="R90" s="191"/>
      <c r="S90" s="191"/>
      <c r="T90" s="127"/>
      <c r="U90" s="127"/>
      <c r="V90" s="191"/>
      <c r="W90" s="190"/>
      <c r="X90" s="191"/>
      <c r="Y90" s="191"/>
      <c r="Z90" s="191"/>
      <c r="AA90" s="191"/>
      <c r="AB90" s="191"/>
      <c r="AC90" s="191"/>
      <c r="AD90" s="191"/>
      <c r="AE90" s="191"/>
      <c r="AF90" s="191"/>
      <c r="AG90" s="191"/>
      <c r="AH90" s="191"/>
      <c r="AI90" s="127"/>
      <c r="AJ90" s="191"/>
      <c r="AK90" s="191"/>
      <c r="AL90" s="190"/>
      <c r="AM90" s="191"/>
      <c r="AQ90" s="194"/>
      <c r="AR90" s="127"/>
      <c r="AS90" s="194"/>
      <c r="AT90" s="194"/>
      <c r="AU90" s="194"/>
      <c r="AV90" s="194"/>
      <c r="AW90" s="194"/>
      <c r="AX90" s="194"/>
      <c r="AY90" s="193"/>
      <c r="AZ90" s="194"/>
      <c r="BA90" s="21"/>
      <c r="BE90" s="188" t="s">
        <v>1043</v>
      </c>
      <c r="BF90" s="188" t="s">
        <v>3817</v>
      </c>
      <c r="BG90" s="127">
        <v>42906</v>
      </c>
      <c r="BH90" s="188" t="s">
        <v>34</v>
      </c>
      <c r="BI90" s="188" t="s">
        <v>598</v>
      </c>
      <c r="BJ90" s="189">
        <v>3000</v>
      </c>
      <c r="BK90" s="188" t="s">
        <v>493</v>
      </c>
      <c r="BL90" s="188" t="s">
        <v>598</v>
      </c>
      <c r="BM90" s="189">
        <v>0</v>
      </c>
      <c r="BN90" s="188" t="s">
        <v>598</v>
      </c>
      <c r="BO90" s="127">
        <v>42899</v>
      </c>
      <c r="BP90" s="188" t="s">
        <v>598</v>
      </c>
      <c r="BQ90" s="188" t="s">
        <v>102</v>
      </c>
      <c r="BR90" s="188" t="s">
        <v>169</v>
      </c>
      <c r="BS90" s="188" t="s">
        <v>598</v>
      </c>
      <c r="BT90" s="188" t="s">
        <v>63</v>
      </c>
      <c r="BU90" s="188" t="s">
        <v>86</v>
      </c>
      <c r="BV90" s="188" t="s">
        <v>598</v>
      </c>
      <c r="BZ90" s="188">
        <v>89</v>
      </c>
      <c r="CA90" s="127">
        <v>42882</v>
      </c>
      <c r="CB90" s="188" t="s">
        <v>495</v>
      </c>
      <c r="CC90" s="188" t="s">
        <v>322</v>
      </c>
      <c r="CD90" s="188" t="s">
        <v>112</v>
      </c>
      <c r="CE90" s="188"/>
      <c r="CF90" s="188" t="s">
        <v>34</v>
      </c>
      <c r="CG90" s="188"/>
      <c r="CH90" s="189">
        <v>700</v>
      </c>
      <c r="CI90" s="188"/>
    </row>
    <row r="91" spans="5:87">
      <c r="E91" s="21"/>
      <c r="Q91" s="191"/>
      <c r="R91" s="191"/>
      <c r="S91" s="191"/>
      <c r="T91" s="127"/>
      <c r="U91" s="127"/>
      <c r="V91" s="191"/>
      <c r="W91" s="190"/>
      <c r="X91" s="191"/>
      <c r="Y91" s="191"/>
      <c r="Z91" s="191"/>
      <c r="AA91" s="191"/>
      <c r="AB91" s="191"/>
      <c r="AC91" s="191"/>
      <c r="AD91" s="191"/>
      <c r="AE91" s="191"/>
      <c r="AF91" s="191"/>
      <c r="AG91" s="191"/>
      <c r="AH91" s="191"/>
      <c r="AI91" s="127"/>
      <c r="AJ91" s="191"/>
      <c r="AK91" s="191"/>
      <c r="AL91" s="190"/>
      <c r="AM91" s="191"/>
      <c r="AQ91" s="194"/>
      <c r="AR91" s="127"/>
      <c r="AS91" s="194"/>
      <c r="AT91" s="194"/>
      <c r="AU91" s="194"/>
      <c r="AV91" s="194"/>
      <c r="AW91" s="194"/>
      <c r="AX91" s="194"/>
      <c r="AY91" s="193"/>
      <c r="AZ91" s="194"/>
      <c r="BA91" s="21"/>
      <c r="BE91" s="188" t="s">
        <v>1048</v>
      </c>
      <c r="BF91" s="188" t="s">
        <v>3818</v>
      </c>
      <c r="BG91" s="127">
        <v>42905</v>
      </c>
      <c r="BH91" s="188" t="s">
        <v>34</v>
      </c>
      <c r="BI91" s="188" t="s">
        <v>598</v>
      </c>
      <c r="BJ91" s="189">
        <v>3500</v>
      </c>
      <c r="BK91" s="188" t="s">
        <v>493</v>
      </c>
      <c r="BL91" s="188" t="s">
        <v>598</v>
      </c>
      <c r="BM91" s="189">
        <v>0</v>
      </c>
      <c r="BN91" s="188" t="s">
        <v>598</v>
      </c>
      <c r="BO91" s="127">
        <v>42899</v>
      </c>
      <c r="BP91" s="188" t="s">
        <v>598</v>
      </c>
      <c r="BQ91" s="188" t="s">
        <v>102</v>
      </c>
      <c r="BR91" s="188" t="s">
        <v>1050</v>
      </c>
      <c r="BS91" s="188" t="s">
        <v>598</v>
      </c>
      <c r="BT91" s="188" t="s">
        <v>63</v>
      </c>
      <c r="BU91" s="188" t="s">
        <v>63</v>
      </c>
      <c r="BV91" s="188" t="s">
        <v>598</v>
      </c>
      <c r="BZ91" s="188">
        <v>90</v>
      </c>
      <c r="CA91" s="127">
        <v>42882</v>
      </c>
      <c r="CB91" s="188" t="s">
        <v>495</v>
      </c>
      <c r="CC91" s="188" t="s">
        <v>322</v>
      </c>
      <c r="CD91" s="188" t="s">
        <v>176</v>
      </c>
      <c r="CE91" s="188"/>
      <c r="CF91" s="188" t="s">
        <v>34</v>
      </c>
      <c r="CG91" s="188"/>
      <c r="CH91" s="189">
        <v>500</v>
      </c>
      <c r="CI91" s="188"/>
    </row>
    <row r="92" spans="5:87">
      <c r="E92" s="21"/>
      <c r="Q92" s="191"/>
      <c r="R92" s="191"/>
      <c r="S92" s="191"/>
      <c r="T92" s="127"/>
      <c r="U92" s="127"/>
      <c r="V92" s="191"/>
      <c r="W92" s="190"/>
      <c r="X92" s="191"/>
      <c r="Y92" s="191"/>
      <c r="Z92" s="191"/>
      <c r="AA92" s="191"/>
      <c r="AB92" s="191"/>
      <c r="AC92" s="191"/>
      <c r="AD92" s="191"/>
      <c r="AE92" s="191"/>
      <c r="AF92" s="191"/>
      <c r="AG92" s="191"/>
      <c r="AH92" s="191"/>
      <c r="AI92" s="127"/>
      <c r="AJ92" s="191"/>
      <c r="AK92" s="191"/>
      <c r="AL92" s="190"/>
      <c r="AM92" s="191"/>
      <c r="AQ92" s="194"/>
      <c r="AR92" s="127"/>
      <c r="AS92" s="194"/>
      <c r="AT92" s="194"/>
      <c r="AU92" s="194"/>
      <c r="AV92" s="194"/>
      <c r="AW92" s="194"/>
      <c r="AX92" s="194"/>
      <c r="AY92" s="193"/>
      <c r="AZ92" s="194"/>
      <c r="BA92" s="21"/>
      <c r="BE92" s="188" t="s">
        <v>1051</v>
      </c>
      <c r="BF92" s="188" t="s">
        <v>3819</v>
      </c>
      <c r="BG92" s="127">
        <v>42900</v>
      </c>
      <c r="BH92" s="188" t="s">
        <v>34</v>
      </c>
      <c r="BI92" s="188" t="s">
        <v>598</v>
      </c>
      <c r="BJ92" s="189">
        <v>1000</v>
      </c>
      <c r="BK92" s="188" t="s">
        <v>549</v>
      </c>
      <c r="BL92" s="188" t="s">
        <v>598</v>
      </c>
      <c r="BM92" s="189">
        <v>0</v>
      </c>
      <c r="BN92" s="188" t="s">
        <v>493</v>
      </c>
      <c r="BO92" s="127">
        <v>42900</v>
      </c>
      <c r="BP92" s="188" t="s">
        <v>598</v>
      </c>
      <c r="BQ92" s="188" t="s">
        <v>102</v>
      </c>
      <c r="BR92" s="188" t="s">
        <v>1053</v>
      </c>
      <c r="BS92" s="188" t="s">
        <v>598</v>
      </c>
      <c r="BT92" s="188" t="s">
        <v>63</v>
      </c>
      <c r="BU92" s="188" t="s">
        <v>63</v>
      </c>
      <c r="BV92" s="188" t="s">
        <v>598</v>
      </c>
      <c r="BZ92" s="188">
        <v>91</v>
      </c>
      <c r="CA92" s="127">
        <v>42882</v>
      </c>
      <c r="CB92" s="188" t="s">
        <v>495</v>
      </c>
      <c r="CC92" s="188" t="s">
        <v>322</v>
      </c>
      <c r="CD92" s="188" t="s">
        <v>65</v>
      </c>
      <c r="CE92" s="188"/>
      <c r="CF92" s="188" t="s">
        <v>34</v>
      </c>
      <c r="CG92" s="188"/>
      <c r="CH92" s="189">
        <v>600</v>
      </c>
      <c r="CI92" s="188"/>
    </row>
    <row r="93" spans="5:87">
      <c r="E93" s="21"/>
      <c r="Q93" s="191"/>
      <c r="R93" s="191"/>
      <c r="S93" s="191"/>
      <c r="T93" s="127"/>
      <c r="U93" s="127"/>
      <c r="V93" s="191"/>
      <c r="W93" s="190"/>
      <c r="X93" s="191"/>
      <c r="Y93" s="191"/>
      <c r="Z93" s="191"/>
      <c r="AA93" s="191"/>
      <c r="AB93" s="191"/>
      <c r="AC93" s="191"/>
      <c r="AD93" s="191"/>
      <c r="AE93" s="191"/>
      <c r="AF93" s="191"/>
      <c r="AG93" s="191"/>
      <c r="AH93" s="191"/>
      <c r="AI93" s="127"/>
      <c r="AJ93" s="191"/>
      <c r="AK93" s="191"/>
      <c r="AL93" s="190"/>
      <c r="AM93" s="191"/>
      <c r="AQ93" s="194"/>
      <c r="AR93" s="127"/>
      <c r="AS93" s="194"/>
      <c r="AT93" s="194"/>
      <c r="AU93" s="194"/>
      <c r="AV93" s="194"/>
      <c r="AW93" s="194"/>
      <c r="AX93" s="194"/>
      <c r="AY93" s="193"/>
      <c r="AZ93" s="194"/>
      <c r="BA93" s="21"/>
      <c r="BE93" s="188" t="s">
        <v>1054</v>
      </c>
      <c r="BF93" s="188" t="s">
        <v>3820</v>
      </c>
      <c r="BG93" s="127">
        <v>42900</v>
      </c>
      <c r="BH93" s="188" t="s">
        <v>34</v>
      </c>
      <c r="BI93" s="188" t="s">
        <v>598</v>
      </c>
      <c r="BJ93" s="189">
        <v>1000</v>
      </c>
      <c r="BK93" s="188" t="s">
        <v>549</v>
      </c>
      <c r="BL93" s="188" t="s">
        <v>598</v>
      </c>
      <c r="BM93" s="189">
        <v>0</v>
      </c>
      <c r="BN93" s="188" t="s">
        <v>493</v>
      </c>
      <c r="BO93" s="127">
        <v>42900</v>
      </c>
      <c r="BP93" s="188" t="s">
        <v>598</v>
      </c>
      <c r="BQ93" s="188" t="s">
        <v>102</v>
      </c>
      <c r="BR93" s="188" t="s">
        <v>1053</v>
      </c>
      <c r="BS93" s="188" t="s">
        <v>598</v>
      </c>
      <c r="BT93" s="188" t="s">
        <v>63</v>
      </c>
      <c r="BU93" s="188" t="s">
        <v>63</v>
      </c>
      <c r="BV93" s="188" t="s">
        <v>598</v>
      </c>
      <c r="BZ93" s="188">
        <v>92</v>
      </c>
      <c r="CA93" s="127">
        <v>42882</v>
      </c>
      <c r="CB93" s="188" t="s">
        <v>495</v>
      </c>
      <c r="CC93" s="188" t="s">
        <v>322</v>
      </c>
      <c r="CD93" s="188" t="s">
        <v>88</v>
      </c>
      <c r="CE93" s="188"/>
      <c r="CF93" s="188" t="s">
        <v>34</v>
      </c>
      <c r="CG93" s="188"/>
      <c r="CH93" s="189">
        <v>600</v>
      </c>
      <c r="CI93" s="188"/>
    </row>
    <row r="94" spans="5:87">
      <c r="E94" s="21"/>
      <c r="Q94" s="191"/>
      <c r="R94" s="191"/>
      <c r="S94" s="191"/>
      <c r="T94" s="127"/>
      <c r="U94" s="127"/>
      <c r="V94" s="191"/>
      <c r="W94" s="190"/>
      <c r="X94" s="191"/>
      <c r="Y94" s="191"/>
      <c r="Z94" s="191"/>
      <c r="AA94" s="191"/>
      <c r="AB94" s="191"/>
      <c r="AC94" s="191"/>
      <c r="AD94" s="191"/>
      <c r="AE94" s="191"/>
      <c r="AF94" s="191"/>
      <c r="AG94" s="191"/>
      <c r="AH94" s="191"/>
      <c r="AI94" s="127"/>
      <c r="AJ94" s="191"/>
      <c r="AK94" s="191"/>
      <c r="AL94" s="190"/>
      <c r="AM94" s="191"/>
      <c r="AQ94" s="194"/>
      <c r="AR94" s="127"/>
      <c r="AS94" s="194"/>
      <c r="AT94" s="194"/>
      <c r="AU94" s="194"/>
      <c r="AV94" s="194"/>
      <c r="AW94" s="194"/>
      <c r="AX94" s="194"/>
      <c r="AY94" s="193"/>
      <c r="AZ94" s="194"/>
      <c r="BA94" s="21"/>
      <c r="BE94" s="188" t="s">
        <v>1056</v>
      </c>
      <c r="BF94" s="188" t="s">
        <v>3821</v>
      </c>
      <c r="BG94" s="127">
        <v>42901</v>
      </c>
      <c r="BH94" s="188" t="s">
        <v>34</v>
      </c>
      <c r="BI94" s="188" t="s">
        <v>598</v>
      </c>
      <c r="BJ94" s="189">
        <v>1000</v>
      </c>
      <c r="BK94" s="188" t="s">
        <v>549</v>
      </c>
      <c r="BL94" s="188" t="s">
        <v>598</v>
      </c>
      <c r="BM94" s="189">
        <v>0</v>
      </c>
      <c r="BN94" s="188" t="s">
        <v>493</v>
      </c>
      <c r="BO94" s="127">
        <v>42901</v>
      </c>
      <c r="BP94" s="188" t="s">
        <v>598</v>
      </c>
      <c r="BQ94" s="188" t="s">
        <v>102</v>
      </c>
      <c r="BR94" s="188" t="s">
        <v>234</v>
      </c>
      <c r="BS94" s="188" t="s">
        <v>598</v>
      </c>
      <c r="BT94" s="188" t="s">
        <v>63</v>
      </c>
      <c r="BU94" s="188" t="s">
        <v>86</v>
      </c>
      <c r="BV94" s="188" t="s">
        <v>598</v>
      </c>
      <c r="BZ94" s="188">
        <v>93</v>
      </c>
      <c r="CA94" s="127">
        <v>42884</v>
      </c>
      <c r="CB94" s="188" t="s">
        <v>4426</v>
      </c>
      <c r="CC94" s="188" t="s">
        <v>320</v>
      </c>
      <c r="CD94" s="188" t="s">
        <v>321</v>
      </c>
      <c r="CE94" s="188"/>
      <c r="CF94" s="188" t="s">
        <v>34</v>
      </c>
      <c r="CG94" s="188"/>
      <c r="CH94" s="189">
        <v>500</v>
      </c>
      <c r="CI94" s="188"/>
    </row>
    <row r="95" spans="5:87">
      <c r="E95" s="21"/>
      <c r="Q95" s="191"/>
      <c r="R95" s="191"/>
      <c r="S95" s="191"/>
      <c r="T95" s="127"/>
      <c r="U95" s="127"/>
      <c r="V95" s="191"/>
      <c r="W95" s="190"/>
      <c r="X95" s="191"/>
      <c r="Y95" s="191"/>
      <c r="Z95" s="191"/>
      <c r="AA95" s="191"/>
      <c r="AB95" s="191"/>
      <c r="AC95" s="191"/>
      <c r="AD95" s="191"/>
      <c r="AE95" s="191"/>
      <c r="AF95" s="191"/>
      <c r="AG95" s="191"/>
      <c r="AH95" s="191"/>
      <c r="AI95" s="127"/>
      <c r="AJ95" s="191"/>
      <c r="AK95" s="191"/>
      <c r="AL95" s="190"/>
      <c r="AM95" s="191"/>
      <c r="AQ95" s="194"/>
      <c r="AR95" s="127"/>
      <c r="AS95" s="194"/>
      <c r="AT95" s="194"/>
      <c r="AU95" s="194"/>
      <c r="AV95" s="194"/>
      <c r="AW95" s="194"/>
      <c r="AX95" s="194"/>
      <c r="AY95" s="193"/>
      <c r="AZ95" s="194"/>
      <c r="BA95" s="21"/>
      <c r="BE95" s="188" t="s">
        <v>1067</v>
      </c>
      <c r="BF95" s="188" t="s">
        <v>3822</v>
      </c>
      <c r="BG95" s="127">
        <v>42906</v>
      </c>
      <c r="BH95" s="188" t="s">
        <v>34</v>
      </c>
      <c r="BI95" s="188" t="s">
        <v>598</v>
      </c>
      <c r="BJ95" s="189">
        <v>4000</v>
      </c>
      <c r="BK95" s="188" t="s">
        <v>493</v>
      </c>
      <c r="BL95" s="188" t="s">
        <v>598</v>
      </c>
      <c r="BM95" s="189">
        <v>0</v>
      </c>
      <c r="BN95" s="188" t="s">
        <v>598</v>
      </c>
      <c r="BO95" s="127">
        <v>42905</v>
      </c>
      <c r="BP95" s="188" t="s">
        <v>598</v>
      </c>
      <c r="BQ95" s="188" t="s">
        <v>102</v>
      </c>
      <c r="BR95" s="188" t="s">
        <v>233</v>
      </c>
      <c r="BS95" s="188" t="s">
        <v>598</v>
      </c>
      <c r="BT95" s="188" t="s">
        <v>63</v>
      </c>
      <c r="BU95" s="188" t="s">
        <v>63</v>
      </c>
      <c r="BV95" s="188" t="s">
        <v>598</v>
      </c>
      <c r="BZ95" s="188">
        <v>94</v>
      </c>
      <c r="CA95" s="127">
        <v>42884</v>
      </c>
      <c r="CB95" s="188" t="s">
        <v>495</v>
      </c>
      <c r="CC95" s="188" t="s">
        <v>322</v>
      </c>
      <c r="CD95" s="188" t="s">
        <v>42</v>
      </c>
      <c r="CE95" s="188"/>
      <c r="CF95" s="188" t="s">
        <v>34</v>
      </c>
      <c r="CG95" s="188"/>
      <c r="CH95" s="189">
        <v>600</v>
      </c>
      <c r="CI95" s="188"/>
    </row>
    <row r="96" spans="5:87">
      <c r="E96" s="21"/>
      <c r="Q96" s="191"/>
      <c r="R96" s="191"/>
      <c r="S96" s="191"/>
      <c r="T96" s="127"/>
      <c r="U96" s="127"/>
      <c r="V96" s="191"/>
      <c r="W96" s="190"/>
      <c r="X96" s="191"/>
      <c r="Y96" s="191"/>
      <c r="Z96" s="191"/>
      <c r="AA96" s="191"/>
      <c r="AB96" s="191"/>
      <c r="AC96" s="191"/>
      <c r="AD96" s="191"/>
      <c r="AE96" s="191"/>
      <c r="AF96" s="191"/>
      <c r="AG96" s="191"/>
      <c r="AH96" s="191"/>
      <c r="AI96" s="127"/>
      <c r="AJ96" s="191"/>
      <c r="AK96" s="191"/>
      <c r="AL96" s="190"/>
      <c r="AM96" s="191"/>
      <c r="AQ96" s="194"/>
      <c r="AR96" s="127"/>
      <c r="AS96" s="194"/>
      <c r="AT96" s="194"/>
      <c r="AU96" s="194"/>
      <c r="AV96" s="194"/>
      <c r="AW96" s="194"/>
      <c r="AX96" s="194"/>
      <c r="AY96" s="193"/>
      <c r="AZ96" s="194"/>
      <c r="BA96" s="21"/>
      <c r="BE96" s="188" t="s">
        <v>1075</v>
      </c>
      <c r="BF96" s="188" t="s">
        <v>3823</v>
      </c>
      <c r="BG96" s="127">
        <v>42906</v>
      </c>
      <c r="BH96" s="188" t="s">
        <v>34</v>
      </c>
      <c r="BI96" s="188" t="s">
        <v>598</v>
      </c>
      <c r="BJ96" s="189">
        <v>2000</v>
      </c>
      <c r="BK96" s="188" t="s">
        <v>493</v>
      </c>
      <c r="BL96" s="188" t="s">
        <v>598</v>
      </c>
      <c r="BM96" s="189">
        <v>0</v>
      </c>
      <c r="BN96" s="188" t="s">
        <v>598</v>
      </c>
      <c r="BO96" s="127">
        <v>42905</v>
      </c>
      <c r="BP96" s="188" t="s">
        <v>598</v>
      </c>
      <c r="BQ96" s="188" t="s">
        <v>102</v>
      </c>
      <c r="BR96" s="188" t="s">
        <v>598</v>
      </c>
      <c r="BS96" s="188" t="s">
        <v>598</v>
      </c>
      <c r="BT96" s="188" t="s">
        <v>63</v>
      </c>
      <c r="BU96" s="188" t="s">
        <v>86</v>
      </c>
      <c r="BV96" s="188" t="s">
        <v>598</v>
      </c>
      <c r="BZ96" s="188">
        <v>95</v>
      </c>
      <c r="CA96" s="127">
        <v>42884</v>
      </c>
      <c r="CB96" s="188" t="s">
        <v>495</v>
      </c>
      <c r="CC96" s="188" t="s">
        <v>322</v>
      </c>
      <c r="CD96" s="188" t="s">
        <v>73</v>
      </c>
      <c r="CE96" s="188"/>
      <c r="CF96" s="188" t="s">
        <v>34</v>
      </c>
      <c r="CG96" s="188"/>
      <c r="CH96" s="189">
        <v>600</v>
      </c>
      <c r="CI96" s="188"/>
    </row>
    <row r="97" spans="5:87">
      <c r="E97" s="21"/>
      <c r="Q97" s="191"/>
      <c r="R97" s="191"/>
      <c r="S97" s="191"/>
      <c r="T97" s="127"/>
      <c r="U97" s="127"/>
      <c r="V97" s="191"/>
      <c r="W97" s="190"/>
      <c r="X97" s="191"/>
      <c r="Y97" s="191"/>
      <c r="Z97" s="191"/>
      <c r="AA97" s="191"/>
      <c r="AB97" s="191"/>
      <c r="AC97" s="191"/>
      <c r="AD97" s="191"/>
      <c r="AE97" s="191"/>
      <c r="AF97" s="191"/>
      <c r="AG97" s="191"/>
      <c r="AH97" s="191"/>
      <c r="AI97" s="127"/>
      <c r="AJ97" s="191"/>
      <c r="AK97" s="191"/>
      <c r="AL97" s="190"/>
      <c r="AM97" s="191"/>
      <c r="AQ97" s="194"/>
      <c r="AR97" s="127"/>
      <c r="AS97" s="194"/>
      <c r="AT97" s="194"/>
      <c r="AU97" s="194"/>
      <c r="AV97" s="194"/>
      <c r="AW97" s="194"/>
      <c r="AX97" s="194"/>
      <c r="AY97" s="193"/>
      <c r="AZ97" s="194"/>
      <c r="BA97" s="21"/>
      <c r="BE97" s="188" t="s">
        <v>1079</v>
      </c>
      <c r="BF97" s="188" t="s">
        <v>3824</v>
      </c>
      <c r="BG97" s="127">
        <v>42913</v>
      </c>
      <c r="BH97" s="188" t="s">
        <v>34</v>
      </c>
      <c r="BI97" s="188" t="s">
        <v>598</v>
      </c>
      <c r="BJ97" s="189">
        <v>6000</v>
      </c>
      <c r="BK97" s="188" t="s">
        <v>493</v>
      </c>
      <c r="BL97" s="188" t="s">
        <v>598</v>
      </c>
      <c r="BM97" s="189">
        <v>0</v>
      </c>
      <c r="BN97" s="188" t="s">
        <v>598</v>
      </c>
      <c r="BO97" s="127">
        <v>42906</v>
      </c>
      <c r="BP97" s="188" t="s">
        <v>598</v>
      </c>
      <c r="BQ97" s="188" t="s">
        <v>102</v>
      </c>
      <c r="BR97" s="188" t="s">
        <v>234</v>
      </c>
      <c r="BS97" s="188" t="s">
        <v>598</v>
      </c>
      <c r="BT97" s="188" t="s">
        <v>63</v>
      </c>
      <c r="BU97" s="188" t="s">
        <v>598</v>
      </c>
      <c r="BV97" s="188" t="s">
        <v>598</v>
      </c>
      <c r="BZ97" s="188">
        <v>96</v>
      </c>
      <c r="CA97" s="127">
        <v>42884</v>
      </c>
      <c r="CB97" s="188"/>
      <c r="CC97" s="188" t="s">
        <v>326</v>
      </c>
      <c r="CD97" s="188"/>
      <c r="CE97" s="188"/>
      <c r="CF97" s="188" t="s">
        <v>34</v>
      </c>
      <c r="CG97" s="188"/>
      <c r="CH97" s="189">
        <v>120000</v>
      </c>
      <c r="CI97" s="188"/>
    </row>
    <row r="98" spans="5:87">
      <c r="E98" s="21"/>
      <c r="Q98" s="191"/>
      <c r="R98" s="191"/>
      <c r="S98" s="191"/>
      <c r="T98" s="127"/>
      <c r="U98" s="127"/>
      <c r="V98" s="191"/>
      <c r="W98" s="190"/>
      <c r="X98" s="191"/>
      <c r="Y98" s="191"/>
      <c r="Z98" s="191"/>
      <c r="AA98" s="191"/>
      <c r="AB98" s="191"/>
      <c r="AC98" s="191"/>
      <c r="AD98" s="191"/>
      <c r="AE98" s="191"/>
      <c r="AF98" s="191"/>
      <c r="AG98" s="191"/>
      <c r="AH98" s="191"/>
      <c r="AI98" s="127"/>
      <c r="AJ98" s="191"/>
      <c r="AK98" s="191"/>
      <c r="AL98" s="190"/>
      <c r="AM98" s="191"/>
      <c r="AQ98" s="194"/>
      <c r="AR98" s="127"/>
      <c r="AS98" s="194"/>
      <c r="AT98" s="194"/>
      <c r="AU98" s="194"/>
      <c r="AV98" s="194"/>
      <c r="AW98" s="194"/>
      <c r="AX98" s="194"/>
      <c r="AY98" s="193"/>
      <c r="AZ98" s="194"/>
      <c r="BA98" s="21"/>
      <c r="BE98" s="188" t="s">
        <v>1083</v>
      </c>
      <c r="BF98" s="188" t="s">
        <v>3825</v>
      </c>
      <c r="BG98" s="127">
        <v>42915</v>
      </c>
      <c r="BH98" s="188" t="s">
        <v>34</v>
      </c>
      <c r="BI98" s="188" t="s">
        <v>598</v>
      </c>
      <c r="BJ98" s="189">
        <v>1000</v>
      </c>
      <c r="BK98" s="188" t="s">
        <v>549</v>
      </c>
      <c r="BL98" s="188" t="s">
        <v>598</v>
      </c>
      <c r="BM98" s="189">
        <v>0</v>
      </c>
      <c r="BN98" s="188" t="s">
        <v>493</v>
      </c>
      <c r="BO98" s="127">
        <v>42906</v>
      </c>
      <c r="BP98" s="188" t="s">
        <v>598</v>
      </c>
      <c r="BQ98" s="188" t="s">
        <v>102</v>
      </c>
      <c r="BR98" s="188" t="s">
        <v>1053</v>
      </c>
      <c r="BS98" s="188" t="s">
        <v>598</v>
      </c>
      <c r="BT98" s="188" t="s">
        <v>63</v>
      </c>
      <c r="BU98" s="188" t="s">
        <v>598</v>
      </c>
      <c r="BV98" s="188" t="s">
        <v>598</v>
      </c>
      <c r="BZ98" s="188">
        <v>97</v>
      </c>
      <c r="CA98" s="127">
        <v>42885</v>
      </c>
      <c r="CB98" s="188" t="s">
        <v>4441</v>
      </c>
      <c r="CC98" s="188" t="s">
        <v>320</v>
      </c>
      <c r="CD98" s="188"/>
      <c r="CE98" s="188"/>
      <c r="CF98" s="188" t="s">
        <v>34</v>
      </c>
      <c r="CG98" s="188"/>
      <c r="CH98" s="189">
        <v>4800</v>
      </c>
      <c r="CI98" s="188"/>
    </row>
    <row r="99" spans="5:87">
      <c r="E99" s="21"/>
      <c r="Q99" s="191"/>
      <c r="R99" s="191"/>
      <c r="S99" s="191"/>
      <c r="T99" s="127"/>
      <c r="U99" s="127"/>
      <c r="V99" s="191"/>
      <c r="W99" s="190"/>
      <c r="X99" s="191"/>
      <c r="Y99" s="191"/>
      <c r="Z99" s="191"/>
      <c r="AA99" s="191"/>
      <c r="AB99" s="191"/>
      <c r="AC99" s="191"/>
      <c r="AD99" s="191"/>
      <c r="AE99" s="191"/>
      <c r="AF99" s="191"/>
      <c r="AG99" s="191"/>
      <c r="AH99" s="191"/>
      <c r="AI99" s="127"/>
      <c r="AJ99" s="191"/>
      <c r="AK99" s="191"/>
      <c r="AL99" s="190"/>
      <c r="AM99" s="191"/>
      <c r="AQ99" s="194"/>
      <c r="AR99" s="127"/>
      <c r="AS99" s="194"/>
      <c r="AT99" s="194"/>
      <c r="AU99" s="194"/>
      <c r="AV99" s="194"/>
      <c r="AW99" s="194"/>
      <c r="AX99" s="194"/>
      <c r="AY99" s="193"/>
      <c r="AZ99" s="194"/>
      <c r="BA99" s="21"/>
      <c r="BE99" s="188" t="s">
        <v>1085</v>
      </c>
      <c r="BF99" s="188" t="s">
        <v>3826</v>
      </c>
      <c r="BG99" s="127">
        <v>42907</v>
      </c>
      <c r="BH99" s="188" t="s">
        <v>34</v>
      </c>
      <c r="BI99" s="188" t="s">
        <v>598</v>
      </c>
      <c r="BJ99" s="189">
        <v>1000</v>
      </c>
      <c r="BK99" s="188" t="s">
        <v>572</v>
      </c>
      <c r="BL99" s="188" t="s">
        <v>598</v>
      </c>
      <c r="BM99" s="189">
        <v>0</v>
      </c>
      <c r="BN99" s="188" t="s">
        <v>598</v>
      </c>
      <c r="BO99" s="127">
        <v>42906</v>
      </c>
      <c r="BP99" s="188" t="s">
        <v>132</v>
      </c>
      <c r="BQ99" s="188" t="s">
        <v>102</v>
      </c>
      <c r="BR99" s="188" t="s">
        <v>237</v>
      </c>
      <c r="BS99" s="188" t="s">
        <v>598</v>
      </c>
      <c r="BT99" s="188" t="s">
        <v>63</v>
      </c>
      <c r="BU99" s="188" t="s">
        <v>598</v>
      </c>
      <c r="BV99" s="188" t="s">
        <v>598</v>
      </c>
      <c r="BZ99" s="188">
        <v>98</v>
      </c>
      <c r="CA99" s="127">
        <v>42886</v>
      </c>
      <c r="CB99" s="188" t="s">
        <v>4426</v>
      </c>
      <c r="CC99" s="188" t="s">
        <v>320</v>
      </c>
      <c r="CD99" s="188" t="s">
        <v>321</v>
      </c>
      <c r="CE99" s="188"/>
      <c r="CF99" s="188" t="s">
        <v>34</v>
      </c>
      <c r="CG99" s="188"/>
      <c r="CH99" s="189">
        <v>500</v>
      </c>
      <c r="CI99" s="188"/>
    </row>
    <row r="100" spans="5:87">
      <c r="E100" s="21"/>
      <c r="Q100" s="191"/>
      <c r="R100" s="191"/>
      <c r="S100" s="191"/>
      <c r="T100" s="127"/>
      <c r="U100" s="127"/>
      <c r="V100" s="191"/>
      <c r="W100" s="190"/>
      <c r="X100" s="191"/>
      <c r="Y100" s="191"/>
      <c r="Z100" s="191"/>
      <c r="AA100" s="191"/>
      <c r="AB100" s="191"/>
      <c r="AC100" s="191"/>
      <c r="AD100" s="191"/>
      <c r="AE100" s="191"/>
      <c r="AF100" s="191"/>
      <c r="AG100" s="191"/>
      <c r="AH100" s="191"/>
      <c r="AI100" s="127"/>
      <c r="AJ100" s="191"/>
      <c r="AK100" s="191"/>
      <c r="AL100" s="190"/>
      <c r="AM100" s="191"/>
      <c r="AQ100" s="194"/>
      <c r="AR100" s="127"/>
      <c r="AS100" s="194"/>
      <c r="AT100" s="194"/>
      <c r="AU100" s="194"/>
      <c r="AV100" s="194"/>
      <c r="AW100" s="194"/>
      <c r="AX100" s="194"/>
      <c r="AY100" s="193"/>
      <c r="AZ100" s="194"/>
      <c r="BA100" s="21"/>
      <c r="BE100" s="188" t="s">
        <v>1089</v>
      </c>
      <c r="BF100" s="188" t="s">
        <v>3827</v>
      </c>
      <c r="BG100" s="127">
        <v>42910</v>
      </c>
      <c r="BH100" s="188" t="s">
        <v>34</v>
      </c>
      <c r="BI100" s="188" t="s">
        <v>598</v>
      </c>
      <c r="BJ100" s="189">
        <v>1000</v>
      </c>
      <c r="BK100" s="188" t="s">
        <v>549</v>
      </c>
      <c r="BL100" s="188" t="s">
        <v>598</v>
      </c>
      <c r="BM100" s="189">
        <v>0</v>
      </c>
      <c r="BN100" s="188" t="s">
        <v>493</v>
      </c>
      <c r="BO100" s="127">
        <v>42908</v>
      </c>
      <c r="BP100" s="188" t="s">
        <v>132</v>
      </c>
      <c r="BQ100" s="188" t="s">
        <v>102</v>
      </c>
      <c r="BR100" s="188" t="s">
        <v>234</v>
      </c>
      <c r="BS100" s="188" t="s">
        <v>598</v>
      </c>
      <c r="BT100" s="188" t="s">
        <v>63</v>
      </c>
      <c r="BU100" s="188" t="s">
        <v>86</v>
      </c>
      <c r="BV100" s="188" t="s">
        <v>598</v>
      </c>
      <c r="BZ100" s="188">
        <v>99</v>
      </c>
      <c r="CA100" s="127">
        <v>42886</v>
      </c>
      <c r="CB100" s="188" t="s">
        <v>4427</v>
      </c>
      <c r="CC100" s="188" t="s">
        <v>320</v>
      </c>
      <c r="CD100" s="188"/>
      <c r="CE100" s="188"/>
      <c r="CF100" s="188" t="s">
        <v>34</v>
      </c>
      <c r="CG100" s="188"/>
      <c r="CH100" s="189">
        <v>500</v>
      </c>
      <c r="CI100" s="188"/>
    </row>
    <row r="101" spans="5:87">
      <c r="E101" s="21"/>
      <c r="Q101" s="191"/>
      <c r="R101" s="191"/>
      <c r="S101" s="191"/>
      <c r="T101" s="127"/>
      <c r="U101" s="127"/>
      <c r="V101" s="191"/>
      <c r="W101" s="190"/>
      <c r="X101" s="191"/>
      <c r="Y101" s="191"/>
      <c r="Z101" s="191"/>
      <c r="AA101" s="191"/>
      <c r="AB101" s="191"/>
      <c r="AC101" s="191"/>
      <c r="AD101" s="191"/>
      <c r="AE101" s="191"/>
      <c r="AF101" s="191"/>
      <c r="AG101" s="191"/>
      <c r="AH101" s="191"/>
      <c r="AI101" s="127"/>
      <c r="AJ101" s="191"/>
      <c r="AK101" s="191"/>
      <c r="AL101" s="190"/>
      <c r="AM101" s="191"/>
      <c r="AQ101" s="194"/>
      <c r="AR101" s="127"/>
      <c r="AS101" s="194"/>
      <c r="AT101" s="194"/>
      <c r="AU101" s="194"/>
      <c r="AV101" s="194"/>
      <c r="AW101" s="194"/>
      <c r="AX101" s="194"/>
      <c r="AY101" s="193"/>
      <c r="AZ101" s="194"/>
      <c r="BA101" s="21"/>
      <c r="BE101" s="188" t="s">
        <v>1108</v>
      </c>
      <c r="BF101" s="188" t="s">
        <v>3828</v>
      </c>
      <c r="BG101" s="127">
        <v>42914</v>
      </c>
      <c r="BH101" s="188" t="s">
        <v>34</v>
      </c>
      <c r="BI101" s="188" t="s">
        <v>598</v>
      </c>
      <c r="BJ101" s="189">
        <v>5000</v>
      </c>
      <c r="BK101" s="188" t="s">
        <v>493</v>
      </c>
      <c r="BL101" s="188" t="s">
        <v>598</v>
      </c>
      <c r="BM101" s="189">
        <v>0</v>
      </c>
      <c r="BN101" s="188" t="s">
        <v>598</v>
      </c>
      <c r="BO101" s="127">
        <v>42913</v>
      </c>
      <c r="BP101" s="188" t="s">
        <v>598</v>
      </c>
      <c r="BQ101" s="188" t="s">
        <v>102</v>
      </c>
      <c r="BR101" s="188" t="s">
        <v>1110</v>
      </c>
      <c r="BS101" s="188" t="s">
        <v>598</v>
      </c>
      <c r="BT101" s="188" t="s">
        <v>63</v>
      </c>
      <c r="BU101" s="188" t="s">
        <v>63</v>
      </c>
      <c r="BV101" s="188" t="s">
        <v>598</v>
      </c>
      <c r="BZ101" s="188">
        <v>100</v>
      </c>
      <c r="CA101" s="127">
        <v>42889</v>
      </c>
      <c r="CB101" s="188" t="s">
        <v>495</v>
      </c>
      <c r="CC101" s="188" t="s">
        <v>322</v>
      </c>
      <c r="CD101" s="188" t="s">
        <v>63</v>
      </c>
      <c r="CE101" s="188"/>
      <c r="CF101" s="188" t="s">
        <v>34</v>
      </c>
      <c r="CG101" s="188"/>
      <c r="CH101" s="189">
        <v>1000</v>
      </c>
      <c r="CI101" s="188"/>
    </row>
    <row r="102" spans="5:87">
      <c r="E102" s="21"/>
      <c r="Q102" s="191"/>
      <c r="R102" s="191"/>
      <c r="S102" s="191"/>
      <c r="T102" s="127"/>
      <c r="U102" s="127"/>
      <c r="V102" s="191"/>
      <c r="W102" s="190"/>
      <c r="X102" s="191"/>
      <c r="Y102" s="191"/>
      <c r="Z102" s="191"/>
      <c r="AA102" s="191"/>
      <c r="AB102" s="191"/>
      <c r="AC102" s="191"/>
      <c r="AD102" s="191"/>
      <c r="AE102" s="191"/>
      <c r="AF102" s="191"/>
      <c r="AG102" s="191"/>
      <c r="AH102" s="191"/>
      <c r="AI102" s="127"/>
      <c r="AJ102" s="191"/>
      <c r="AK102" s="191"/>
      <c r="AL102" s="190"/>
      <c r="AM102" s="191"/>
      <c r="AQ102" s="194"/>
      <c r="AR102" s="127"/>
      <c r="AS102" s="194"/>
      <c r="AT102" s="194"/>
      <c r="AU102" s="194"/>
      <c r="AV102" s="194"/>
      <c r="AW102" s="194"/>
      <c r="AX102" s="194"/>
      <c r="AY102" s="193"/>
      <c r="AZ102" s="194"/>
      <c r="BA102" s="21"/>
      <c r="BE102" s="188" t="s">
        <v>1116</v>
      </c>
      <c r="BF102" s="188" t="s">
        <v>3829</v>
      </c>
      <c r="BG102" s="127">
        <v>42914</v>
      </c>
      <c r="BH102" s="188" t="s">
        <v>34</v>
      </c>
      <c r="BI102" s="188" t="s">
        <v>598</v>
      </c>
      <c r="BJ102" s="189">
        <v>1000</v>
      </c>
      <c r="BK102" s="188" t="s">
        <v>549</v>
      </c>
      <c r="BL102" s="188" t="s">
        <v>598</v>
      </c>
      <c r="BM102" s="189">
        <v>0</v>
      </c>
      <c r="BN102" s="188" t="s">
        <v>493</v>
      </c>
      <c r="BO102" s="127">
        <v>42913</v>
      </c>
      <c r="BP102" s="188" t="s">
        <v>598</v>
      </c>
      <c r="BQ102" s="188" t="s">
        <v>102</v>
      </c>
      <c r="BR102" s="188" t="s">
        <v>216</v>
      </c>
      <c r="BS102" s="188" t="s">
        <v>598</v>
      </c>
      <c r="BT102" s="188" t="s">
        <v>63</v>
      </c>
      <c r="BU102" s="188" t="s">
        <v>86</v>
      </c>
      <c r="BV102" s="188" t="s">
        <v>598</v>
      </c>
      <c r="BZ102" s="188">
        <v>101</v>
      </c>
      <c r="CA102" s="127">
        <v>42889</v>
      </c>
      <c r="CB102" s="188" t="s">
        <v>495</v>
      </c>
      <c r="CC102" s="188" t="s">
        <v>322</v>
      </c>
      <c r="CD102" s="188" t="s">
        <v>85</v>
      </c>
      <c r="CE102" s="188"/>
      <c r="CF102" s="188" t="s">
        <v>34</v>
      </c>
      <c r="CG102" s="188"/>
      <c r="CH102" s="189">
        <v>700</v>
      </c>
      <c r="CI102" s="188"/>
    </row>
    <row r="103" spans="5:87">
      <c r="E103" s="21"/>
      <c r="Q103" s="191"/>
      <c r="R103" s="191"/>
      <c r="S103" s="191"/>
      <c r="T103" s="127"/>
      <c r="U103" s="127"/>
      <c r="V103" s="191"/>
      <c r="W103" s="190"/>
      <c r="X103" s="191"/>
      <c r="Y103" s="191"/>
      <c r="Z103" s="191"/>
      <c r="AA103" s="191"/>
      <c r="AB103" s="191"/>
      <c r="AC103" s="191"/>
      <c r="AD103" s="191"/>
      <c r="AE103" s="191"/>
      <c r="AF103" s="191"/>
      <c r="AG103" s="191"/>
      <c r="AH103" s="191"/>
      <c r="AI103" s="127"/>
      <c r="AJ103" s="191"/>
      <c r="AK103" s="191"/>
      <c r="AL103" s="190"/>
      <c r="AM103" s="191"/>
      <c r="AQ103" s="194"/>
      <c r="AR103" s="127"/>
      <c r="AS103" s="194"/>
      <c r="AT103" s="194"/>
      <c r="AU103" s="194"/>
      <c r="AV103" s="194"/>
      <c r="AW103" s="194"/>
      <c r="AX103" s="194"/>
      <c r="AY103" s="193"/>
      <c r="AZ103" s="194"/>
      <c r="BA103" s="21"/>
      <c r="BE103" s="188" t="s">
        <v>1118</v>
      </c>
      <c r="BF103" s="188" t="s">
        <v>3830</v>
      </c>
      <c r="BG103" s="127">
        <v>42914</v>
      </c>
      <c r="BH103" s="188" t="s">
        <v>34</v>
      </c>
      <c r="BI103" s="188" t="s">
        <v>598</v>
      </c>
      <c r="BJ103" s="189">
        <v>1000</v>
      </c>
      <c r="BK103" s="188" t="s">
        <v>549</v>
      </c>
      <c r="BL103" s="188" t="s">
        <v>598</v>
      </c>
      <c r="BM103" s="189">
        <v>0</v>
      </c>
      <c r="BN103" s="188" t="s">
        <v>493</v>
      </c>
      <c r="BO103" s="127">
        <v>42913</v>
      </c>
      <c r="BP103" s="188" t="s">
        <v>598</v>
      </c>
      <c r="BQ103" s="188" t="s">
        <v>102</v>
      </c>
      <c r="BR103" s="188" t="s">
        <v>233</v>
      </c>
      <c r="BS103" s="188" t="s">
        <v>598</v>
      </c>
      <c r="BT103" s="188" t="s">
        <v>63</v>
      </c>
      <c r="BU103" s="188" t="s">
        <v>63</v>
      </c>
      <c r="BV103" s="188" t="s">
        <v>598</v>
      </c>
      <c r="BZ103" s="188">
        <v>102</v>
      </c>
      <c r="CA103" s="127">
        <v>42889</v>
      </c>
      <c r="CB103" s="188" t="s">
        <v>495</v>
      </c>
      <c r="CC103" s="188" t="s">
        <v>322</v>
      </c>
      <c r="CD103" s="188" t="s">
        <v>73</v>
      </c>
      <c r="CE103" s="188"/>
      <c r="CF103" s="188" t="s">
        <v>34</v>
      </c>
      <c r="CG103" s="188"/>
      <c r="CH103" s="189">
        <v>400</v>
      </c>
      <c r="CI103" s="188"/>
    </row>
    <row r="104" spans="5:87">
      <c r="E104" s="21"/>
      <c r="Q104" s="191"/>
      <c r="R104" s="191"/>
      <c r="S104" s="191"/>
      <c r="T104" s="127"/>
      <c r="U104" s="127"/>
      <c r="V104" s="191"/>
      <c r="W104" s="190"/>
      <c r="X104" s="191"/>
      <c r="Y104" s="191"/>
      <c r="Z104" s="191"/>
      <c r="AA104" s="191"/>
      <c r="AB104" s="191"/>
      <c r="AC104" s="191"/>
      <c r="AD104" s="191"/>
      <c r="AE104" s="191"/>
      <c r="AF104" s="191"/>
      <c r="AG104" s="191"/>
      <c r="AH104" s="191"/>
      <c r="AI104" s="127"/>
      <c r="AJ104" s="191"/>
      <c r="AK104" s="191"/>
      <c r="AL104" s="190"/>
      <c r="AM104" s="191"/>
      <c r="AQ104" s="194"/>
      <c r="AR104" s="127"/>
      <c r="AS104" s="194"/>
      <c r="AT104" s="194"/>
      <c r="AU104" s="194"/>
      <c r="AV104" s="194"/>
      <c r="AW104" s="194"/>
      <c r="AX104" s="194"/>
      <c r="AY104" s="193"/>
      <c r="AZ104" s="194"/>
      <c r="BA104" s="21"/>
      <c r="BE104" s="188" t="s">
        <v>1120</v>
      </c>
      <c r="BF104" s="188" t="s">
        <v>3831</v>
      </c>
      <c r="BG104" s="127">
        <v>42915</v>
      </c>
      <c r="BH104" s="188" t="s">
        <v>34</v>
      </c>
      <c r="BI104" s="188" t="s">
        <v>598</v>
      </c>
      <c r="BJ104" s="189">
        <v>5000</v>
      </c>
      <c r="BK104" s="188" t="s">
        <v>493</v>
      </c>
      <c r="BL104" s="188" t="s">
        <v>598</v>
      </c>
      <c r="BM104" s="189">
        <v>0</v>
      </c>
      <c r="BN104" s="188" t="s">
        <v>598</v>
      </c>
      <c r="BO104" s="127">
        <v>42914</v>
      </c>
      <c r="BP104" s="188" t="s">
        <v>132</v>
      </c>
      <c r="BQ104" s="188" t="s">
        <v>102</v>
      </c>
      <c r="BR104" s="188" t="s">
        <v>233</v>
      </c>
      <c r="BS104" s="188" t="s">
        <v>598</v>
      </c>
      <c r="BT104" s="188" t="s">
        <v>63</v>
      </c>
      <c r="BU104" s="188" t="s">
        <v>598</v>
      </c>
      <c r="BV104" s="188" t="s">
        <v>598</v>
      </c>
      <c r="BZ104" s="188">
        <v>103</v>
      </c>
      <c r="CA104" s="127">
        <v>42889</v>
      </c>
      <c r="CB104" s="188" t="s">
        <v>495</v>
      </c>
      <c r="CC104" s="188" t="s">
        <v>322</v>
      </c>
      <c r="CD104" s="188" t="s">
        <v>79</v>
      </c>
      <c r="CE104" s="188"/>
      <c r="CF104" s="188" t="s">
        <v>34</v>
      </c>
      <c r="CG104" s="188"/>
      <c r="CH104" s="189">
        <v>500</v>
      </c>
      <c r="CI104" s="188"/>
    </row>
    <row r="105" spans="5:87">
      <c r="E105" s="21"/>
      <c r="Q105" s="191"/>
      <c r="R105" s="191"/>
      <c r="S105" s="191"/>
      <c r="T105" s="127"/>
      <c r="U105" s="127"/>
      <c r="V105" s="191"/>
      <c r="W105" s="190"/>
      <c r="X105" s="191"/>
      <c r="Y105" s="191"/>
      <c r="Z105" s="191"/>
      <c r="AA105" s="191"/>
      <c r="AB105" s="191"/>
      <c r="AC105" s="191"/>
      <c r="AD105" s="191"/>
      <c r="AE105" s="191"/>
      <c r="AF105" s="191"/>
      <c r="AG105" s="191"/>
      <c r="AH105" s="191"/>
      <c r="AI105" s="127"/>
      <c r="AJ105" s="191"/>
      <c r="AK105" s="191"/>
      <c r="AL105" s="190"/>
      <c r="AM105" s="191"/>
      <c r="AQ105" s="194"/>
      <c r="AR105" s="127"/>
      <c r="AS105" s="194"/>
      <c r="AT105" s="194"/>
      <c r="AU105" s="194"/>
      <c r="AV105" s="194"/>
      <c r="AW105" s="194"/>
      <c r="AX105" s="194"/>
      <c r="AY105" s="193"/>
      <c r="AZ105" s="194"/>
      <c r="BA105" s="21"/>
      <c r="BE105" s="188" t="s">
        <v>1121</v>
      </c>
      <c r="BF105" s="188" t="s">
        <v>3832</v>
      </c>
      <c r="BG105" s="127">
        <v>42914</v>
      </c>
      <c r="BH105" s="188" t="s">
        <v>34</v>
      </c>
      <c r="BI105" s="188" t="s">
        <v>598</v>
      </c>
      <c r="BJ105" s="189">
        <v>1000</v>
      </c>
      <c r="BK105" s="188" t="s">
        <v>549</v>
      </c>
      <c r="BL105" s="188" t="s">
        <v>598</v>
      </c>
      <c r="BM105" s="189">
        <v>0</v>
      </c>
      <c r="BN105" s="188" t="s">
        <v>493</v>
      </c>
      <c r="BO105" s="127">
        <v>42914</v>
      </c>
      <c r="BP105" s="188" t="s">
        <v>134</v>
      </c>
      <c r="BQ105" s="188" t="s">
        <v>102</v>
      </c>
      <c r="BR105" s="188" t="s">
        <v>233</v>
      </c>
      <c r="BS105" s="188" t="s">
        <v>598</v>
      </c>
      <c r="BT105" s="188" t="s">
        <v>63</v>
      </c>
      <c r="BU105" s="188" t="s">
        <v>86</v>
      </c>
      <c r="BV105" s="188" t="s">
        <v>598</v>
      </c>
      <c r="BZ105" s="188">
        <v>104</v>
      </c>
      <c r="CA105" s="127">
        <v>42889</v>
      </c>
      <c r="CB105" s="188" t="s">
        <v>495</v>
      </c>
      <c r="CC105" s="188" t="s">
        <v>322</v>
      </c>
      <c r="CD105" s="188" t="s">
        <v>86</v>
      </c>
      <c r="CE105" s="188"/>
      <c r="CF105" s="188" t="s">
        <v>34</v>
      </c>
      <c r="CG105" s="188"/>
      <c r="CH105" s="189">
        <v>900</v>
      </c>
      <c r="CI105" s="188"/>
    </row>
    <row r="106" spans="5:87">
      <c r="E106" s="21"/>
      <c r="Q106" s="191"/>
      <c r="R106" s="191"/>
      <c r="S106" s="191"/>
      <c r="T106" s="127"/>
      <c r="U106" s="127"/>
      <c r="V106" s="191"/>
      <c r="W106" s="190"/>
      <c r="X106" s="191"/>
      <c r="Y106" s="191"/>
      <c r="Z106" s="191"/>
      <c r="AA106" s="191"/>
      <c r="AB106" s="191"/>
      <c r="AC106" s="191"/>
      <c r="AD106" s="191"/>
      <c r="AE106" s="191"/>
      <c r="AF106" s="191"/>
      <c r="AG106" s="191"/>
      <c r="AH106" s="191"/>
      <c r="AI106" s="127"/>
      <c r="AJ106" s="191"/>
      <c r="AK106" s="191"/>
      <c r="AL106" s="190"/>
      <c r="AM106" s="191"/>
      <c r="AQ106" s="194"/>
      <c r="AR106" s="127"/>
      <c r="AS106" s="194"/>
      <c r="AT106" s="194"/>
      <c r="AU106" s="194"/>
      <c r="AV106" s="194"/>
      <c r="AW106" s="194"/>
      <c r="AX106" s="194"/>
      <c r="AY106" s="193"/>
      <c r="AZ106" s="194"/>
      <c r="BA106" s="21"/>
      <c r="BE106" s="188" t="s">
        <v>1123</v>
      </c>
      <c r="BF106" s="188" t="s">
        <v>3833</v>
      </c>
      <c r="BG106" s="127">
        <v>42914</v>
      </c>
      <c r="BH106" s="188" t="s">
        <v>34</v>
      </c>
      <c r="BI106" s="188" t="s">
        <v>598</v>
      </c>
      <c r="BJ106" s="189">
        <v>2000</v>
      </c>
      <c r="BK106" s="188" t="s">
        <v>493</v>
      </c>
      <c r="BL106" s="188" t="s">
        <v>598</v>
      </c>
      <c r="BM106" s="189">
        <v>0</v>
      </c>
      <c r="BN106" s="188" t="s">
        <v>598</v>
      </c>
      <c r="BO106" s="127">
        <v>42914</v>
      </c>
      <c r="BP106" s="188" t="s">
        <v>134</v>
      </c>
      <c r="BQ106" s="188" t="s">
        <v>102</v>
      </c>
      <c r="BR106" s="188" t="s">
        <v>233</v>
      </c>
      <c r="BS106" s="188" t="s">
        <v>598</v>
      </c>
      <c r="BT106" s="188" t="s">
        <v>63</v>
      </c>
      <c r="BU106" s="188" t="s">
        <v>86</v>
      </c>
      <c r="BV106" s="188" t="s">
        <v>598</v>
      </c>
      <c r="BZ106" s="188">
        <v>105</v>
      </c>
      <c r="CA106" s="127">
        <v>42889</v>
      </c>
      <c r="CB106" s="188" t="s">
        <v>495</v>
      </c>
      <c r="CC106" s="188" t="s">
        <v>322</v>
      </c>
      <c r="CD106" s="188" t="s">
        <v>98</v>
      </c>
      <c r="CE106" s="188"/>
      <c r="CF106" s="188" t="s">
        <v>34</v>
      </c>
      <c r="CG106" s="188"/>
      <c r="CH106" s="189">
        <v>600</v>
      </c>
      <c r="CI106" s="188"/>
    </row>
    <row r="107" spans="5:87">
      <c r="E107" s="21"/>
      <c r="Q107" s="191"/>
      <c r="R107" s="191"/>
      <c r="S107" s="191"/>
      <c r="T107" s="127"/>
      <c r="U107" s="127"/>
      <c r="V107" s="191"/>
      <c r="W107" s="190"/>
      <c r="X107" s="191"/>
      <c r="Y107" s="191"/>
      <c r="Z107" s="191"/>
      <c r="AA107" s="191"/>
      <c r="AB107" s="191"/>
      <c r="AC107" s="191"/>
      <c r="AD107" s="191"/>
      <c r="AE107" s="191"/>
      <c r="AF107" s="191"/>
      <c r="AG107" s="191"/>
      <c r="AH107" s="191"/>
      <c r="AI107" s="127"/>
      <c r="AJ107" s="191"/>
      <c r="AK107" s="191"/>
      <c r="AL107" s="190"/>
      <c r="AM107" s="191"/>
      <c r="AQ107" s="194"/>
      <c r="AR107" s="127"/>
      <c r="AS107" s="194"/>
      <c r="AT107" s="194"/>
      <c r="AU107" s="194"/>
      <c r="AV107" s="194"/>
      <c r="AW107" s="194"/>
      <c r="AX107" s="194"/>
      <c r="AY107" s="193"/>
      <c r="AZ107" s="194"/>
      <c r="BA107" s="21"/>
      <c r="BE107" s="188" t="s">
        <v>1125</v>
      </c>
      <c r="BF107" s="188" t="s">
        <v>3834</v>
      </c>
      <c r="BG107" s="127">
        <v>42914</v>
      </c>
      <c r="BH107" s="188" t="s">
        <v>34</v>
      </c>
      <c r="BI107" s="188" t="s">
        <v>598</v>
      </c>
      <c r="BJ107" s="189">
        <v>2000</v>
      </c>
      <c r="BK107" s="188" t="s">
        <v>549</v>
      </c>
      <c r="BL107" s="188" t="s">
        <v>598</v>
      </c>
      <c r="BM107" s="189">
        <v>0</v>
      </c>
      <c r="BN107" s="188" t="s">
        <v>493</v>
      </c>
      <c r="BO107" s="127">
        <v>42914</v>
      </c>
      <c r="BP107" s="188" t="s">
        <v>598</v>
      </c>
      <c r="BQ107" s="188" t="s">
        <v>102</v>
      </c>
      <c r="BR107" s="188" t="s">
        <v>1127</v>
      </c>
      <c r="BS107" s="188" t="s">
        <v>598</v>
      </c>
      <c r="BT107" s="188" t="s">
        <v>63</v>
      </c>
      <c r="BU107" s="188" t="s">
        <v>63</v>
      </c>
      <c r="BV107" s="188" t="s">
        <v>598</v>
      </c>
      <c r="BZ107" s="188">
        <v>106</v>
      </c>
      <c r="CA107" s="127">
        <v>42889</v>
      </c>
      <c r="CB107" s="188" t="s">
        <v>495</v>
      </c>
      <c r="CC107" s="188" t="s">
        <v>322</v>
      </c>
      <c r="CD107" s="188" t="s">
        <v>51</v>
      </c>
      <c r="CE107" s="188"/>
      <c r="CF107" s="188" t="s">
        <v>34</v>
      </c>
      <c r="CG107" s="188"/>
      <c r="CH107" s="189">
        <v>600</v>
      </c>
      <c r="CI107" s="188"/>
    </row>
    <row r="108" spans="5:87">
      <c r="E108" s="21"/>
      <c r="Q108" s="191"/>
      <c r="R108" s="191"/>
      <c r="S108" s="191"/>
      <c r="T108" s="127"/>
      <c r="U108" s="127"/>
      <c r="V108" s="191"/>
      <c r="W108" s="190"/>
      <c r="X108" s="191"/>
      <c r="Y108" s="191"/>
      <c r="Z108" s="191"/>
      <c r="AA108" s="191"/>
      <c r="AB108" s="191"/>
      <c r="AC108" s="191"/>
      <c r="AD108" s="191"/>
      <c r="AE108" s="191"/>
      <c r="AF108" s="191"/>
      <c r="AG108" s="191"/>
      <c r="AH108" s="191"/>
      <c r="AI108" s="127"/>
      <c r="AJ108" s="191"/>
      <c r="AK108" s="191"/>
      <c r="AL108" s="190"/>
      <c r="AM108" s="191"/>
      <c r="AQ108" s="194"/>
      <c r="AR108" s="127"/>
      <c r="AS108" s="194"/>
      <c r="AT108" s="194"/>
      <c r="AU108" s="194"/>
      <c r="AV108" s="194"/>
      <c r="AW108" s="194"/>
      <c r="AX108" s="194"/>
      <c r="AY108" s="193"/>
      <c r="AZ108" s="194"/>
      <c r="BA108" s="21"/>
      <c r="BE108" s="188" t="s">
        <v>1128</v>
      </c>
      <c r="BF108" s="188" t="s">
        <v>3835</v>
      </c>
      <c r="BG108" s="127">
        <v>42916</v>
      </c>
      <c r="BH108" s="188" t="s">
        <v>34</v>
      </c>
      <c r="BI108" s="188" t="s">
        <v>598</v>
      </c>
      <c r="BJ108" s="189">
        <v>1000</v>
      </c>
      <c r="BK108" s="188" t="s">
        <v>549</v>
      </c>
      <c r="BL108" s="188" t="s">
        <v>598</v>
      </c>
      <c r="BM108" s="189">
        <v>0</v>
      </c>
      <c r="BN108" s="188" t="s">
        <v>493</v>
      </c>
      <c r="BO108" s="127">
        <v>42915</v>
      </c>
      <c r="BP108" s="188" t="s">
        <v>598</v>
      </c>
      <c r="BQ108" s="188" t="s">
        <v>102</v>
      </c>
      <c r="BR108" s="188" t="s">
        <v>1130</v>
      </c>
      <c r="BS108" s="188" t="s">
        <v>598</v>
      </c>
      <c r="BT108" s="188" t="s">
        <v>63</v>
      </c>
      <c r="BU108" s="188" t="s">
        <v>598</v>
      </c>
      <c r="BV108" s="188" t="s">
        <v>598</v>
      </c>
      <c r="BZ108" s="188">
        <v>107</v>
      </c>
      <c r="CA108" s="127">
        <v>42889</v>
      </c>
      <c r="CB108" s="188" t="s">
        <v>495</v>
      </c>
      <c r="CC108" s="188" t="s">
        <v>322</v>
      </c>
      <c r="CD108" s="188" t="s">
        <v>112</v>
      </c>
      <c r="CE108" s="188"/>
      <c r="CF108" s="188" t="s">
        <v>34</v>
      </c>
      <c r="CG108" s="188"/>
      <c r="CH108" s="189">
        <v>700</v>
      </c>
      <c r="CI108" s="188"/>
    </row>
    <row r="109" spans="5:87">
      <c r="E109" s="21"/>
      <c r="Q109" s="191"/>
      <c r="R109" s="191"/>
      <c r="S109" s="191"/>
      <c r="T109" s="127"/>
      <c r="U109" s="127"/>
      <c r="V109" s="191"/>
      <c r="W109" s="190"/>
      <c r="X109" s="191"/>
      <c r="Y109" s="191"/>
      <c r="Z109" s="191"/>
      <c r="AA109" s="191"/>
      <c r="AB109" s="191"/>
      <c r="AC109" s="191"/>
      <c r="AD109" s="191"/>
      <c r="AE109" s="191"/>
      <c r="AF109" s="191"/>
      <c r="AG109" s="191"/>
      <c r="AH109" s="191"/>
      <c r="AI109" s="127"/>
      <c r="AJ109" s="191"/>
      <c r="AK109" s="191"/>
      <c r="AL109" s="190"/>
      <c r="AM109" s="191"/>
      <c r="AQ109" s="194"/>
      <c r="AR109" s="127"/>
      <c r="AS109" s="194"/>
      <c r="AT109" s="194"/>
      <c r="AU109" s="194"/>
      <c r="AV109" s="194"/>
      <c r="AW109" s="194"/>
      <c r="AX109" s="194"/>
      <c r="AY109" s="193"/>
      <c r="AZ109" s="194"/>
      <c r="BA109" s="21"/>
      <c r="BE109" s="188" t="s">
        <v>1136</v>
      </c>
      <c r="BF109" s="188" t="s">
        <v>3836</v>
      </c>
      <c r="BG109" s="127">
        <v>42916</v>
      </c>
      <c r="BH109" s="188" t="s">
        <v>34</v>
      </c>
      <c r="BI109" s="188" t="s">
        <v>598</v>
      </c>
      <c r="BJ109" s="189">
        <v>2000</v>
      </c>
      <c r="BK109" s="188" t="s">
        <v>549</v>
      </c>
      <c r="BL109" s="188" t="s">
        <v>598</v>
      </c>
      <c r="BM109" s="189">
        <v>0</v>
      </c>
      <c r="BN109" s="188" t="s">
        <v>493</v>
      </c>
      <c r="BO109" s="127">
        <v>42916</v>
      </c>
      <c r="BP109" s="188" t="s">
        <v>598</v>
      </c>
      <c r="BQ109" s="188" t="s">
        <v>102</v>
      </c>
      <c r="BR109" s="188" t="s">
        <v>598</v>
      </c>
      <c r="BS109" s="188" t="s">
        <v>598</v>
      </c>
      <c r="BT109" s="188" t="s">
        <v>63</v>
      </c>
      <c r="BU109" s="188" t="s">
        <v>598</v>
      </c>
      <c r="BV109" s="188" t="s">
        <v>598</v>
      </c>
      <c r="BZ109" s="188">
        <v>108</v>
      </c>
      <c r="CA109" s="127">
        <v>42889</v>
      </c>
      <c r="CB109" s="188" t="s">
        <v>495</v>
      </c>
      <c r="CC109" s="188" t="s">
        <v>322</v>
      </c>
      <c r="CD109" s="188" t="s">
        <v>65</v>
      </c>
      <c r="CE109" s="188"/>
      <c r="CF109" s="188" t="s">
        <v>34</v>
      </c>
      <c r="CG109" s="188"/>
      <c r="CH109" s="189">
        <v>500</v>
      </c>
      <c r="CI109" s="188"/>
    </row>
    <row r="110" spans="5:87">
      <c r="E110" s="21"/>
      <c r="Q110" s="191"/>
      <c r="R110" s="191"/>
      <c r="S110" s="191"/>
      <c r="T110" s="127"/>
      <c r="U110" s="127"/>
      <c r="V110" s="191"/>
      <c r="W110" s="190"/>
      <c r="X110" s="191"/>
      <c r="Y110" s="191"/>
      <c r="Z110" s="191"/>
      <c r="AA110" s="191"/>
      <c r="AB110" s="191"/>
      <c r="AC110" s="191"/>
      <c r="AD110" s="191"/>
      <c r="AE110" s="191"/>
      <c r="AF110" s="191"/>
      <c r="AG110" s="191"/>
      <c r="AH110" s="191"/>
      <c r="AI110" s="127"/>
      <c r="AJ110" s="191"/>
      <c r="AK110" s="191"/>
      <c r="AL110" s="190"/>
      <c r="AM110" s="191"/>
      <c r="AQ110" s="194"/>
      <c r="AR110" s="127"/>
      <c r="AS110" s="194"/>
      <c r="AT110" s="194"/>
      <c r="AU110" s="194"/>
      <c r="AV110" s="194"/>
      <c r="AW110" s="194"/>
      <c r="AX110" s="194"/>
      <c r="AY110" s="193"/>
      <c r="AZ110" s="194"/>
      <c r="BA110" s="21"/>
      <c r="BE110" s="188" t="s">
        <v>1211</v>
      </c>
      <c r="BF110" s="188" t="s">
        <v>3837</v>
      </c>
      <c r="BG110" s="127">
        <v>42895</v>
      </c>
      <c r="BH110" s="188" t="s">
        <v>10</v>
      </c>
      <c r="BI110" s="188" t="s">
        <v>598</v>
      </c>
      <c r="BJ110" s="189">
        <v>10000</v>
      </c>
      <c r="BK110" s="188" t="s">
        <v>493</v>
      </c>
      <c r="BL110" s="188">
        <v>4023</v>
      </c>
      <c r="BM110" s="189">
        <v>10000</v>
      </c>
      <c r="BN110" s="188" t="s">
        <v>598</v>
      </c>
      <c r="BO110" s="127">
        <v>42860</v>
      </c>
      <c r="BP110" s="188" t="s">
        <v>598</v>
      </c>
      <c r="BQ110" s="188" t="s">
        <v>84</v>
      </c>
      <c r="BR110" s="188" t="s">
        <v>214</v>
      </c>
      <c r="BS110" s="188" t="s">
        <v>598</v>
      </c>
      <c r="BT110" s="188" t="s">
        <v>63</v>
      </c>
      <c r="BU110" s="188" t="s">
        <v>63</v>
      </c>
      <c r="BV110" s="188" t="s">
        <v>598</v>
      </c>
      <c r="BZ110" s="188">
        <v>109</v>
      </c>
      <c r="CA110" s="127">
        <v>42889</v>
      </c>
      <c r="CB110" s="188" t="s">
        <v>495</v>
      </c>
      <c r="CC110" s="188" t="s">
        <v>322</v>
      </c>
      <c r="CD110" s="188" t="s">
        <v>176</v>
      </c>
      <c r="CE110" s="188"/>
      <c r="CF110" s="188" t="s">
        <v>34</v>
      </c>
      <c r="CG110" s="188"/>
      <c r="CH110" s="189">
        <v>500</v>
      </c>
      <c r="CI110" s="188"/>
    </row>
    <row r="111" spans="5:87">
      <c r="E111" s="21"/>
      <c r="Q111" s="191"/>
      <c r="R111" s="191"/>
      <c r="S111" s="191"/>
      <c r="T111" s="127"/>
      <c r="U111" s="127"/>
      <c r="V111" s="191"/>
      <c r="W111" s="190"/>
      <c r="X111" s="191"/>
      <c r="Y111" s="191"/>
      <c r="Z111" s="191"/>
      <c r="AA111" s="191"/>
      <c r="AB111" s="191"/>
      <c r="AC111" s="191"/>
      <c r="AD111" s="191"/>
      <c r="AE111" s="191"/>
      <c r="AF111" s="191"/>
      <c r="AG111" s="191"/>
      <c r="AH111" s="191"/>
      <c r="AI111" s="127"/>
      <c r="AJ111" s="191"/>
      <c r="AK111" s="191"/>
      <c r="AL111" s="190"/>
      <c r="AM111" s="191"/>
      <c r="AQ111" s="194"/>
      <c r="AR111" s="127"/>
      <c r="AS111" s="194"/>
      <c r="AT111" s="194"/>
      <c r="AU111" s="194"/>
      <c r="AV111" s="194"/>
      <c r="AW111" s="194"/>
      <c r="AX111" s="194"/>
      <c r="AY111" s="193"/>
      <c r="AZ111" s="194"/>
      <c r="BA111" s="21"/>
      <c r="BE111" s="188" t="s">
        <v>1213</v>
      </c>
      <c r="BF111" s="188" t="s">
        <v>3838</v>
      </c>
      <c r="BG111" s="127">
        <v>42895</v>
      </c>
      <c r="BH111" s="188" t="s">
        <v>10</v>
      </c>
      <c r="BI111" s="188" t="s">
        <v>598</v>
      </c>
      <c r="BJ111" s="189">
        <v>3000</v>
      </c>
      <c r="BK111" s="188" t="s">
        <v>493</v>
      </c>
      <c r="BL111" s="188">
        <v>4022</v>
      </c>
      <c r="BM111" s="189">
        <v>3000</v>
      </c>
      <c r="BN111" s="188" t="s">
        <v>598</v>
      </c>
      <c r="BO111" s="127">
        <v>42860</v>
      </c>
      <c r="BP111" s="188" t="s">
        <v>598</v>
      </c>
      <c r="BQ111" s="188" t="s">
        <v>84</v>
      </c>
      <c r="BR111" s="188" t="s">
        <v>214</v>
      </c>
      <c r="BS111" s="188" t="s">
        <v>598</v>
      </c>
      <c r="BT111" s="188" t="s">
        <v>63</v>
      </c>
      <c r="BU111" s="188" t="s">
        <v>63</v>
      </c>
      <c r="BV111" s="188" t="s">
        <v>598</v>
      </c>
      <c r="BZ111" s="188">
        <v>110</v>
      </c>
      <c r="CA111" s="127">
        <v>42889</v>
      </c>
      <c r="CB111" s="188" t="s">
        <v>495</v>
      </c>
      <c r="CC111" s="188" t="s">
        <v>322</v>
      </c>
      <c r="CD111" s="188" t="s">
        <v>88</v>
      </c>
      <c r="CE111" s="188"/>
      <c r="CF111" s="188" t="s">
        <v>34</v>
      </c>
      <c r="CG111" s="188"/>
      <c r="CH111" s="189">
        <v>500</v>
      </c>
      <c r="CI111" s="188"/>
    </row>
    <row r="112" spans="5:87">
      <c r="E112" s="21"/>
      <c r="Q112" s="191"/>
      <c r="R112" s="191"/>
      <c r="S112" s="191"/>
      <c r="T112" s="127"/>
      <c r="U112" s="127"/>
      <c r="V112" s="191"/>
      <c r="W112" s="190"/>
      <c r="X112" s="191"/>
      <c r="Y112" s="191"/>
      <c r="Z112" s="191"/>
      <c r="AA112" s="191"/>
      <c r="AB112" s="191"/>
      <c r="AC112" s="191"/>
      <c r="AD112" s="191"/>
      <c r="AE112" s="191"/>
      <c r="AF112" s="191"/>
      <c r="AG112" s="191"/>
      <c r="AH112" s="191"/>
      <c r="AI112" s="127"/>
      <c r="AJ112" s="191"/>
      <c r="AK112" s="191"/>
      <c r="AL112" s="190"/>
      <c r="AM112" s="191"/>
      <c r="AQ112" s="194"/>
      <c r="AR112" s="127"/>
      <c r="AS112" s="194"/>
      <c r="AT112" s="194"/>
      <c r="AU112" s="194"/>
      <c r="AV112" s="194"/>
      <c r="AW112" s="194"/>
      <c r="AX112" s="194"/>
      <c r="AY112" s="193"/>
      <c r="AZ112" s="194"/>
      <c r="BA112" s="21"/>
      <c r="BE112" s="188" t="s">
        <v>1215</v>
      </c>
      <c r="BF112" s="188" t="s">
        <v>3839</v>
      </c>
      <c r="BG112" s="127">
        <v>42895</v>
      </c>
      <c r="BH112" s="188" t="s">
        <v>10</v>
      </c>
      <c r="BI112" s="188" t="s">
        <v>598</v>
      </c>
      <c r="BJ112" s="189">
        <v>10000</v>
      </c>
      <c r="BK112" s="188" t="s">
        <v>493</v>
      </c>
      <c r="BL112" s="188">
        <v>4020</v>
      </c>
      <c r="BM112" s="189">
        <v>10000</v>
      </c>
      <c r="BN112" s="188" t="s">
        <v>598</v>
      </c>
      <c r="BO112" s="127">
        <v>42860</v>
      </c>
      <c r="BP112" s="188" t="s">
        <v>598</v>
      </c>
      <c r="BQ112" s="188" t="s">
        <v>84</v>
      </c>
      <c r="BR112" s="188" t="s">
        <v>198</v>
      </c>
      <c r="BS112" s="188" t="s">
        <v>598</v>
      </c>
      <c r="BT112" s="188" t="s">
        <v>63</v>
      </c>
      <c r="BU112" s="188" t="s">
        <v>86</v>
      </c>
      <c r="BV112" s="188" t="s">
        <v>598</v>
      </c>
      <c r="BZ112" s="188">
        <v>111</v>
      </c>
      <c r="CA112" s="127">
        <v>42891</v>
      </c>
      <c r="CB112" s="188" t="s">
        <v>4426</v>
      </c>
      <c r="CC112" s="188" t="s">
        <v>320</v>
      </c>
      <c r="CD112" s="188" t="s">
        <v>321</v>
      </c>
      <c r="CE112" s="188"/>
      <c r="CF112" s="188" t="s">
        <v>34</v>
      </c>
      <c r="CG112" s="188"/>
      <c r="CH112" s="189">
        <v>500</v>
      </c>
      <c r="CI112" s="188"/>
    </row>
    <row r="113" spans="5:87">
      <c r="E113" s="21"/>
      <c r="Q113" s="191"/>
      <c r="R113" s="191"/>
      <c r="S113" s="191"/>
      <c r="T113" s="127"/>
      <c r="U113" s="127"/>
      <c r="V113" s="191"/>
      <c r="W113" s="190"/>
      <c r="X113" s="191"/>
      <c r="Y113" s="191"/>
      <c r="Z113" s="191"/>
      <c r="AA113" s="191"/>
      <c r="AB113" s="191"/>
      <c r="AC113" s="191"/>
      <c r="AD113" s="191"/>
      <c r="AE113" s="191"/>
      <c r="AF113" s="191"/>
      <c r="AG113" s="191"/>
      <c r="AH113" s="191"/>
      <c r="AI113" s="127"/>
      <c r="AJ113" s="191"/>
      <c r="AK113" s="191"/>
      <c r="AL113" s="190"/>
      <c r="AM113" s="191"/>
      <c r="AQ113" s="194"/>
      <c r="AR113" s="127"/>
      <c r="AS113" s="194"/>
      <c r="AT113" s="194"/>
      <c r="AU113" s="194"/>
      <c r="AV113" s="194"/>
      <c r="AW113" s="194"/>
      <c r="AX113" s="194"/>
      <c r="AY113" s="193"/>
      <c r="AZ113" s="194"/>
      <c r="BA113" s="21"/>
      <c r="BE113" s="188" t="s">
        <v>1221</v>
      </c>
      <c r="BF113" s="188" t="s">
        <v>3840</v>
      </c>
      <c r="BG113" s="127">
        <v>42899</v>
      </c>
      <c r="BH113" s="188" t="s">
        <v>34</v>
      </c>
      <c r="BI113" s="188" t="s">
        <v>598</v>
      </c>
      <c r="BJ113" s="189">
        <v>5000</v>
      </c>
      <c r="BK113" s="188" t="s">
        <v>493</v>
      </c>
      <c r="BL113" s="188" t="s">
        <v>598</v>
      </c>
      <c r="BM113" s="189">
        <v>0</v>
      </c>
      <c r="BN113" s="188" t="s">
        <v>598</v>
      </c>
      <c r="BO113" s="127">
        <v>42863</v>
      </c>
      <c r="BP113" s="188" t="s">
        <v>134</v>
      </c>
      <c r="BQ113" s="188" t="s">
        <v>84</v>
      </c>
      <c r="BR113" s="188" t="s">
        <v>240</v>
      </c>
      <c r="BS113" s="188" t="s">
        <v>598</v>
      </c>
      <c r="BT113" s="188" t="s">
        <v>63</v>
      </c>
      <c r="BU113" s="188" t="s">
        <v>598</v>
      </c>
      <c r="BV113" s="188" t="s">
        <v>598</v>
      </c>
      <c r="BZ113" s="188">
        <v>112</v>
      </c>
      <c r="CA113" s="127">
        <v>42891</v>
      </c>
      <c r="CB113" s="188" t="s">
        <v>495</v>
      </c>
      <c r="CC113" s="188" t="s">
        <v>322</v>
      </c>
      <c r="CD113" s="188" t="s">
        <v>30</v>
      </c>
      <c r="CE113" s="188"/>
      <c r="CF113" s="188" t="s">
        <v>34</v>
      </c>
      <c r="CG113" s="188"/>
      <c r="CH113" s="189">
        <v>800</v>
      </c>
      <c r="CI113" s="188"/>
    </row>
    <row r="114" spans="5:87">
      <c r="E114" s="21"/>
      <c r="Q114" s="191"/>
      <c r="R114" s="191"/>
      <c r="S114" s="191"/>
      <c r="T114" s="127"/>
      <c r="U114" s="127"/>
      <c r="V114" s="191"/>
      <c r="W114" s="190"/>
      <c r="X114" s="191"/>
      <c r="Y114" s="191"/>
      <c r="Z114" s="191"/>
      <c r="AA114" s="191"/>
      <c r="AB114" s="191"/>
      <c r="AC114" s="191"/>
      <c r="AD114" s="191"/>
      <c r="AE114" s="191"/>
      <c r="AF114" s="191"/>
      <c r="AG114" s="191"/>
      <c r="AH114" s="191"/>
      <c r="AI114" s="127"/>
      <c r="AJ114" s="191"/>
      <c r="AK114" s="191"/>
      <c r="AL114" s="190"/>
      <c r="AM114" s="191"/>
      <c r="AQ114" s="194"/>
      <c r="AR114" s="127"/>
      <c r="AS114" s="194"/>
      <c r="AT114" s="194"/>
      <c r="AU114" s="194"/>
      <c r="AV114" s="194"/>
      <c r="AW114" s="194"/>
      <c r="AX114" s="194"/>
      <c r="AY114" s="193"/>
      <c r="AZ114" s="194"/>
      <c r="BA114" s="21"/>
      <c r="BE114" s="188" t="s">
        <v>1237</v>
      </c>
      <c r="BF114" s="188" t="s">
        <v>3841</v>
      </c>
      <c r="BG114" s="127">
        <v>42893</v>
      </c>
      <c r="BH114" s="188" t="s">
        <v>10</v>
      </c>
      <c r="BI114" s="188" t="s">
        <v>598</v>
      </c>
      <c r="BJ114" s="189">
        <v>4000</v>
      </c>
      <c r="BK114" s="188" t="s">
        <v>493</v>
      </c>
      <c r="BL114" s="188">
        <v>4034</v>
      </c>
      <c r="BM114" s="189">
        <v>3000</v>
      </c>
      <c r="BN114" s="188" t="s">
        <v>598</v>
      </c>
      <c r="BO114" s="127">
        <v>42867</v>
      </c>
      <c r="BP114" s="188" t="s">
        <v>134</v>
      </c>
      <c r="BQ114" s="188" t="s">
        <v>84</v>
      </c>
      <c r="BR114" s="188" t="s">
        <v>191</v>
      </c>
      <c r="BS114" s="188" t="s">
        <v>598</v>
      </c>
      <c r="BT114" s="188" t="s">
        <v>63</v>
      </c>
      <c r="BU114" s="188" t="s">
        <v>86</v>
      </c>
      <c r="BV114" s="188" t="s">
        <v>598</v>
      </c>
      <c r="BZ114" s="188">
        <v>113</v>
      </c>
      <c r="CA114" s="127">
        <v>42891</v>
      </c>
      <c r="CB114" s="188" t="s">
        <v>495</v>
      </c>
      <c r="CC114" s="188" t="s">
        <v>322</v>
      </c>
      <c r="CD114" s="188" t="s">
        <v>324</v>
      </c>
      <c r="CE114" s="188"/>
      <c r="CF114" s="188" t="s">
        <v>34</v>
      </c>
      <c r="CG114" s="188"/>
      <c r="CH114" s="189">
        <v>700</v>
      </c>
      <c r="CI114" s="188"/>
    </row>
    <row r="115" spans="5:87">
      <c r="E115" s="21"/>
      <c r="Q115" s="191"/>
      <c r="R115" s="191"/>
      <c r="S115" s="191"/>
      <c r="T115" s="127"/>
      <c r="U115" s="127"/>
      <c r="V115" s="191"/>
      <c r="W115" s="190"/>
      <c r="X115" s="191"/>
      <c r="Y115" s="191"/>
      <c r="Z115" s="191"/>
      <c r="AA115" s="191"/>
      <c r="AB115" s="191"/>
      <c r="AC115" s="191"/>
      <c r="AD115" s="191"/>
      <c r="AE115" s="191"/>
      <c r="AF115" s="191"/>
      <c r="AG115" s="191"/>
      <c r="AH115" s="191"/>
      <c r="AI115" s="127"/>
      <c r="AJ115" s="191"/>
      <c r="AK115" s="191"/>
      <c r="AL115" s="190"/>
      <c r="AM115" s="191"/>
      <c r="AQ115" s="194"/>
      <c r="AR115" s="127"/>
      <c r="AS115" s="194"/>
      <c r="AT115" s="194"/>
      <c r="AU115" s="194"/>
      <c r="AV115" s="194"/>
      <c r="AW115" s="194"/>
      <c r="AX115" s="194"/>
      <c r="AY115" s="193"/>
      <c r="AZ115" s="194"/>
      <c r="BA115" s="21"/>
      <c r="BE115" s="188" t="s">
        <v>1241</v>
      </c>
      <c r="BF115" s="188" t="s">
        <v>3842</v>
      </c>
      <c r="BG115" s="127">
        <v>42903</v>
      </c>
      <c r="BH115" s="188" t="s">
        <v>10</v>
      </c>
      <c r="BI115" s="188" t="s">
        <v>598</v>
      </c>
      <c r="BJ115" s="189">
        <v>3500</v>
      </c>
      <c r="BK115" s="188" t="s">
        <v>493</v>
      </c>
      <c r="BL115" s="188" t="s">
        <v>598</v>
      </c>
      <c r="BM115" s="189">
        <v>0</v>
      </c>
      <c r="BN115" s="188" t="s">
        <v>598</v>
      </c>
      <c r="BO115" s="127">
        <v>42875</v>
      </c>
      <c r="BP115" s="188" t="s">
        <v>135</v>
      </c>
      <c r="BQ115" s="188" t="s">
        <v>84</v>
      </c>
      <c r="BR115" s="188" t="s">
        <v>195</v>
      </c>
      <c r="BS115" s="188" t="s">
        <v>598</v>
      </c>
      <c r="BT115" s="188" t="s">
        <v>63</v>
      </c>
      <c r="BU115" s="188" t="s">
        <v>598</v>
      </c>
      <c r="BV115" s="188" t="s">
        <v>598</v>
      </c>
      <c r="BZ115" s="188">
        <v>114</v>
      </c>
      <c r="CA115" s="127">
        <v>42892</v>
      </c>
      <c r="CB115" s="188" t="s">
        <v>4426</v>
      </c>
      <c r="CC115" s="188" t="s">
        <v>320</v>
      </c>
      <c r="CD115" s="188" t="s">
        <v>321</v>
      </c>
      <c r="CE115" s="188"/>
      <c r="CF115" s="188" t="s">
        <v>34</v>
      </c>
      <c r="CG115" s="188"/>
      <c r="CH115" s="189">
        <v>500</v>
      </c>
      <c r="CI115" s="188"/>
    </row>
    <row r="116" spans="5:87">
      <c r="E116" s="21"/>
      <c r="Q116" s="191"/>
      <c r="R116" s="191"/>
      <c r="S116" s="191"/>
      <c r="T116" s="127"/>
      <c r="U116" s="127"/>
      <c r="V116" s="191"/>
      <c r="W116" s="190"/>
      <c r="X116" s="191"/>
      <c r="Y116" s="191"/>
      <c r="Z116" s="191"/>
      <c r="AA116" s="191"/>
      <c r="AB116" s="191"/>
      <c r="AC116" s="191"/>
      <c r="AD116" s="191"/>
      <c r="AE116" s="191"/>
      <c r="AF116" s="191"/>
      <c r="AG116" s="191"/>
      <c r="AH116" s="191"/>
      <c r="AI116" s="127"/>
      <c r="AJ116" s="191"/>
      <c r="AK116" s="191"/>
      <c r="AL116" s="190"/>
      <c r="AM116" s="191"/>
      <c r="AQ116" s="194"/>
      <c r="AR116" s="127"/>
      <c r="AS116" s="194"/>
      <c r="AT116" s="194"/>
      <c r="AU116" s="194"/>
      <c r="AV116" s="194"/>
      <c r="AW116" s="194"/>
      <c r="AX116" s="194"/>
      <c r="AY116" s="193"/>
      <c r="AZ116" s="194"/>
      <c r="BA116" s="21"/>
      <c r="BE116" s="188" t="s">
        <v>1243</v>
      </c>
      <c r="BF116" s="188" t="s">
        <v>3843</v>
      </c>
      <c r="BG116" s="127">
        <v>42891</v>
      </c>
      <c r="BH116" s="188" t="s">
        <v>10</v>
      </c>
      <c r="BI116" s="188" t="s">
        <v>598</v>
      </c>
      <c r="BJ116" s="189">
        <v>3500</v>
      </c>
      <c r="BK116" s="188" t="s">
        <v>493</v>
      </c>
      <c r="BL116" s="188">
        <v>4037</v>
      </c>
      <c r="BM116" s="189">
        <v>4000</v>
      </c>
      <c r="BN116" s="188" t="s">
        <v>598</v>
      </c>
      <c r="BO116" s="127">
        <v>42877</v>
      </c>
      <c r="BP116" s="188" t="s">
        <v>598</v>
      </c>
      <c r="BQ116" s="188" t="s">
        <v>84</v>
      </c>
      <c r="BR116" s="188" t="s">
        <v>191</v>
      </c>
      <c r="BS116" s="188" t="s">
        <v>598</v>
      </c>
      <c r="BT116" s="188" t="s">
        <v>63</v>
      </c>
      <c r="BU116" s="188" t="s">
        <v>63</v>
      </c>
      <c r="BV116" s="188" t="s">
        <v>598</v>
      </c>
      <c r="BZ116" s="188">
        <v>115</v>
      </c>
      <c r="CA116" s="127">
        <v>42893</v>
      </c>
      <c r="CB116" s="188" t="s">
        <v>495</v>
      </c>
      <c r="CC116" s="188" t="s">
        <v>322</v>
      </c>
      <c r="CD116" s="188" t="s">
        <v>63</v>
      </c>
      <c r="CE116" s="188"/>
      <c r="CF116" s="188" t="s">
        <v>34</v>
      </c>
      <c r="CG116" s="188"/>
      <c r="CH116" s="189">
        <v>400</v>
      </c>
      <c r="CI116" s="188"/>
    </row>
    <row r="117" spans="5:87">
      <c r="E117" s="21"/>
      <c r="Q117" s="191"/>
      <c r="R117" s="191"/>
      <c r="S117" s="191"/>
      <c r="T117" s="127"/>
      <c r="U117" s="127"/>
      <c r="V117" s="191"/>
      <c r="W117" s="190"/>
      <c r="X117" s="191"/>
      <c r="Y117" s="191"/>
      <c r="Z117" s="191"/>
      <c r="AA117" s="191"/>
      <c r="AB117" s="191"/>
      <c r="AC117" s="191"/>
      <c r="AD117" s="191"/>
      <c r="AE117" s="191"/>
      <c r="AF117" s="191"/>
      <c r="AG117" s="191"/>
      <c r="AH117" s="191"/>
      <c r="AI117" s="127"/>
      <c r="AJ117" s="191"/>
      <c r="AK117" s="191"/>
      <c r="AL117" s="190"/>
      <c r="AM117" s="191"/>
      <c r="AQ117" s="194"/>
      <c r="AR117" s="127"/>
      <c r="AS117" s="194"/>
      <c r="AT117" s="194"/>
      <c r="AU117" s="194"/>
      <c r="AV117" s="194"/>
      <c r="AW117" s="194"/>
      <c r="AX117" s="194"/>
      <c r="AY117" s="193"/>
      <c r="AZ117" s="194"/>
      <c r="BA117" s="21"/>
      <c r="BE117" s="188" t="s">
        <v>1245</v>
      </c>
      <c r="BF117" s="188" t="s">
        <v>3844</v>
      </c>
      <c r="BG117" s="127">
        <v>42913</v>
      </c>
      <c r="BH117" s="188" t="s">
        <v>10</v>
      </c>
      <c r="BI117" s="188" t="s">
        <v>598</v>
      </c>
      <c r="BJ117" s="189">
        <v>4000</v>
      </c>
      <c r="BK117" s="188" t="s">
        <v>493</v>
      </c>
      <c r="BL117" s="188" t="s">
        <v>598</v>
      </c>
      <c r="BM117" s="189">
        <v>0</v>
      </c>
      <c r="BN117" s="188" t="s">
        <v>598</v>
      </c>
      <c r="BO117" s="127">
        <v>42877</v>
      </c>
      <c r="BP117" s="188" t="s">
        <v>598</v>
      </c>
      <c r="BQ117" s="188" t="s">
        <v>84</v>
      </c>
      <c r="BR117" s="188" t="s">
        <v>191</v>
      </c>
      <c r="BS117" s="188" t="s">
        <v>598</v>
      </c>
      <c r="BT117" s="188" t="s">
        <v>63</v>
      </c>
      <c r="BU117" s="188" t="s">
        <v>63</v>
      </c>
      <c r="BV117" s="188" t="s">
        <v>598</v>
      </c>
      <c r="BZ117" s="188">
        <v>116</v>
      </c>
      <c r="CA117" s="127">
        <v>42894</v>
      </c>
      <c r="CB117" s="188" t="s">
        <v>4426</v>
      </c>
      <c r="CC117" s="188" t="s">
        <v>320</v>
      </c>
      <c r="CD117" s="188" t="s">
        <v>321</v>
      </c>
      <c r="CE117" s="188"/>
      <c r="CF117" s="188" t="s">
        <v>34</v>
      </c>
      <c r="CG117" s="188"/>
      <c r="CH117" s="189">
        <v>500</v>
      </c>
      <c r="CI117" s="188"/>
    </row>
    <row r="118" spans="5:87">
      <c r="E118" s="21"/>
      <c r="Q118" s="191"/>
      <c r="R118" s="191"/>
      <c r="S118" s="191"/>
      <c r="T118" s="127"/>
      <c r="U118" s="127"/>
      <c r="V118" s="191"/>
      <c r="W118" s="190"/>
      <c r="X118" s="191"/>
      <c r="Y118" s="191"/>
      <c r="Z118" s="191"/>
      <c r="AA118" s="191"/>
      <c r="AB118" s="191"/>
      <c r="AC118" s="191"/>
      <c r="AD118" s="191"/>
      <c r="AE118" s="191"/>
      <c r="AF118" s="191"/>
      <c r="AG118" s="191"/>
      <c r="AH118" s="191"/>
      <c r="AI118" s="127"/>
      <c r="AJ118" s="191"/>
      <c r="AK118" s="191"/>
      <c r="AL118" s="190"/>
      <c r="AM118" s="191"/>
      <c r="AQ118" s="194"/>
      <c r="AR118" s="127"/>
      <c r="AS118" s="194"/>
      <c r="AT118" s="194"/>
      <c r="AU118" s="194"/>
      <c r="AV118" s="194"/>
      <c r="AW118" s="194"/>
      <c r="AX118" s="194"/>
      <c r="AY118" s="193"/>
      <c r="AZ118" s="194"/>
      <c r="BA118" s="21"/>
      <c r="BE118" s="188" t="s">
        <v>1256</v>
      </c>
      <c r="BF118" s="188" t="s">
        <v>3845</v>
      </c>
      <c r="BG118" s="127">
        <v>42892</v>
      </c>
      <c r="BH118" s="188" t="s">
        <v>10</v>
      </c>
      <c r="BI118" s="188" t="s">
        <v>598</v>
      </c>
      <c r="BJ118" s="189">
        <v>5000</v>
      </c>
      <c r="BK118" s="188" t="s">
        <v>493</v>
      </c>
      <c r="BL118" s="188">
        <v>4042</v>
      </c>
      <c r="BM118" s="189">
        <v>5000</v>
      </c>
      <c r="BN118" s="188" t="s">
        <v>598</v>
      </c>
      <c r="BO118" s="127">
        <v>42880</v>
      </c>
      <c r="BP118" s="188" t="s">
        <v>132</v>
      </c>
      <c r="BQ118" s="188" t="s">
        <v>84</v>
      </c>
      <c r="BR118" s="188" t="s">
        <v>195</v>
      </c>
      <c r="BS118" s="188" t="s">
        <v>598</v>
      </c>
      <c r="BT118" s="188" t="s">
        <v>63</v>
      </c>
      <c r="BU118" s="188" t="s">
        <v>63</v>
      </c>
      <c r="BV118" s="188" t="s">
        <v>598</v>
      </c>
      <c r="BZ118" s="188">
        <v>117</v>
      </c>
      <c r="CA118" s="127">
        <v>42894</v>
      </c>
      <c r="CB118" s="188" t="s">
        <v>4427</v>
      </c>
      <c r="CC118" s="188" t="s">
        <v>320</v>
      </c>
      <c r="CD118" s="188" t="s">
        <v>327</v>
      </c>
      <c r="CE118" s="188"/>
      <c r="CF118" s="188" t="s">
        <v>34</v>
      </c>
      <c r="CG118" s="188"/>
      <c r="CH118" s="189">
        <v>300</v>
      </c>
      <c r="CI118" s="188" t="s">
        <v>4442</v>
      </c>
    </row>
    <row r="119" spans="5:87">
      <c r="E119" s="21"/>
      <c r="Q119" s="191"/>
      <c r="R119" s="191"/>
      <c r="S119" s="191"/>
      <c r="T119" s="127"/>
      <c r="U119" s="127"/>
      <c r="V119" s="191"/>
      <c r="W119" s="190"/>
      <c r="X119" s="191"/>
      <c r="Y119" s="191"/>
      <c r="Z119" s="191"/>
      <c r="AA119" s="191"/>
      <c r="AB119" s="191"/>
      <c r="AC119" s="191"/>
      <c r="AD119" s="191"/>
      <c r="AE119" s="191"/>
      <c r="AF119" s="191"/>
      <c r="AG119" s="191"/>
      <c r="AH119" s="191"/>
      <c r="AI119" s="127"/>
      <c r="AJ119" s="191"/>
      <c r="AK119" s="191"/>
      <c r="AL119" s="190"/>
      <c r="AM119" s="191"/>
      <c r="AQ119" s="194"/>
      <c r="AR119" s="127"/>
      <c r="AS119" s="194"/>
      <c r="AT119" s="194"/>
      <c r="AU119" s="194"/>
      <c r="AV119" s="194"/>
      <c r="AW119" s="194"/>
      <c r="AX119" s="194"/>
      <c r="AY119" s="193"/>
      <c r="AZ119" s="194"/>
      <c r="BA119" s="21"/>
      <c r="BE119" s="188" t="s">
        <v>1258</v>
      </c>
      <c r="BF119" s="188" t="s">
        <v>3846</v>
      </c>
      <c r="BG119" s="127">
        <v>42895</v>
      </c>
      <c r="BH119" s="188" t="s">
        <v>10</v>
      </c>
      <c r="BI119" s="188" t="s">
        <v>598</v>
      </c>
      <c r="BJ119" s="189">
        <v>3000</v>
      </c>
      <c r="BK119" s="188" t="s">
        <v>493</v>
      </c>
      <c r="BL119" s="188">
        <v>4043</v>
      </c>
      <c r="BM119" s="189">
        <v>3000</v>
      </c>
      <c r="BN119" s="188" t="s">
        <v>598</v>
      </c>
      <c r="BO119" s="127">
        <v>42880</v>
      </c>
      <c r="BP119" s="188" t="s">
        <v>120</v>
      </c>
      <c r="BQ119" s="188" t="s">
        <v>84</v>
      </c>
      <c r="BR119" s="188" t="s">
        <v>195</v>
      </c>
      <c r="BS119" s="188" t="s">
        <v>598</v>
      </c>
      <c r="BT119" s="188" t="s">
        <v>63</v>
      </c>
      <c r="BU119" s="188" t="s">
        <v>63</v>
      </c>
      <c r="BV119" s="188" t="s">
        <v>598</v>
      </c>
      <c r="BZ119" s="188">
        <v>118</v>
      </c>
      <c r="CA119" s="127">
        <v>42895</v>
      </c>
      <c r="CB119" s="188" t="s">
        <v>4433</v>
      </c>
      <c r="CC119" s="188" t="s">
        <v>320</v>
      </c>
      <c r="CD119" s="188"/>
      <c r="CE119" s="188"/>
      <c r="CF119" s="188" t="s">
        <v>34</v>
      </c>
      <c r="CG119" s="188"/>
      <c r="CH119" s="189">
        <v>1500</v>
      </c>
      <c r="CI119" s="188"/>
    </row>
    <row r="120" spans="5:87">
      <c r="E120" s="21"/>
      <c r="Q120" s="191"/>
      <c r="R120" s="191"/>
      <c r="S120" s="191"/>
      <c r="T120" s="127"/>
      <c r="U120" s="127"/>
      <c r="V120" s="191"/>
      <c r="W120" s="190"/>
      <c r="X120" s="191"/>
      <c r="Y120" s="191"/>
      <c r="Z120" s="191"/>
      <c r="AA120" s="191"/>
      <c r="AB120" s="191"/>
      <c r="AC120" s="191"/>
      <c r="AD120" s="191"/>
      <c r="AE120" s="191"/>
      <c r="AF120" s="191"/>
      <c r="AG120" s="191"/>
      <c r="AH120" s="191"/>
      <c r="AI120" s="127"/>
      <c r="AJ120" s="191"/>
      <c r="AK120" s="191"/>
      <c r="AL120" s="190"/>
      <c r="AM120" s="191"/>
      <c r="AQ120" s="194"/>
      <c r="AR120" s="127"/>
      <c r="AS120" s="194"/>
      <c r="AT120" s="194"/>
      <c r="AU120" s="194"/>
      <c r="AV120" s="194"/>
      <c r="AW120" s="194"/>
      <c r="AX120" s="194"/>
      <c r="AY120" s="193"/>
      <c r="AZ120" s="194"/>
      <c r="BA120" s="21"/>
      <c r="BE120" s="188" t="s">
        <v>1260</v>
      </c>
      <c r="BF120" s="188" t="s">
        <v>3847</v>
      </c>
      <c r="BG120" s="127">
        <v>42894</v>
      </c>
      <c r="BH120" s="188" t="s">
        <v>34</v>
      </c>
      <c r="BI120" s="188" t="s">
        <v>598</v>
      </c>
      <c r="BJ120" s="189">
        <v>2000</v>
      </c>
      <c r="BK120" s="188" t="s">
        <v>493</v>
      </c>
      <c r="BL120" s="188" t="s">
        <v>598</v>
      </c>
      <c r="BM120" s="189">
        <v>0</v>
      </c>
      <c r="BN120" s="188" t="s">
        <v>598</v>
      </c>
      <c r="BO120" s="127">
        <v>42881</v>
      </c>
      <c r="BP120" s="188" t="s">
        <v>598</v>
      </c>
      <c r="BQ120" s="188" t="s">
        <v>84</v>
      </c>
      <c r="BR120" s="188" t="s">
        <v>1262</v>
      </c>
      <c r="BS120" s="188" t="s">
        <v>598</v>
      </c>
      <c r="BT120" s="188" t="s">
        <v>63</v>
      </c>
      <c r="BU120" s="188" t="s">
        <v>63</v>
      </c>
      <c r="BV120" s="188" t="s">
        <v>598</v>
      </c>
      <c r="BZ120" s="188">
        <v>119</v>
      </c>
      <c r="CA120" s="127">
        <v>42896</v>
      </c>
      <c r="CB120" s="188" t="s">
        <v>4426</v>
      </c>
      <c r="CC120" s="188" t="s">
        <v>320</v>
      </c>
      <c r="CD120" s="188" t="s">
        <v>321</v>
      </c>
      <c r="CE120" s="188"/>
      <c r="CF120" s="188" t="s">
        <v>34</v>
      </c>
      <c r="CG120" s="188"/>
      <c r="CH120" s="189">
        <v>200</v>
      </c>
      <c r="CI120" s="188"/>
    </row>
    <row r="121" spans="5:87">
      <c r="E121" s="21"/>
      <c r="Q121" s="191"/>
      <c r="R121" s="191"/>
      <c r="S121" s="191"/>
      <c r="T121" s="127"/>
      <c r="U121" s="127"/>
      <c r="V121" s="191"/>
      <c r="W121" s="190"/>
      <c r="X121" s="191"/>
      <c r="Y121" s="191"/>
      <c r="Z121" s="191"/>
      <c r="AA121" s="191"/>
      <c r="AB121" s="191"/>
      <c r="AC121" s="191"/>
      <c r="AD121" s="191"/>
      <c r="AE121" s="191"/>
      <c r="AF121" s="191"/>
      <c r="AG121" s="191"/>
      <c r="AH121" s="191"/>
      <c r="AI121" s="127"/>
      <c r="AJ121" s="191"/>
      <c r="AK121" s="191"/>
      <c r="AL121" s="190"/>
      <c r="AM121" s="191"/>
      <c r="AQ121" s="194"/>
      <c r="AR121" s="127"/>
      <c r="AS121" s="194"/>
      <c r="AT121" s="194"/>
      <c r="AU121" s="194"/>
      <c r="AV121" s="194"/>
      <c r="AW121" s="194"/>
      <c r="AX121" s="194"/>
      <c r="AY121" s="193"/>
      <c r="AZ121" s="194"/>
      <c r="BA121" s="21"/>
      <c r="BE121" s="188" t="s">
        <v>1263</v>
      </c>
      <c r="BF121" s="188" t="s">
        <v>3848</v>
      </c>
      <c r="BG121" s="127">
        <v>42891</v>
      </c>
      <c r="BH121" s="188" t="s">
        <v>10</v>
      </c>
      <c r="BI121" s="188" t="s">
        <v>598</v>
      </c>
      <c r="BJ121" s="189">
        <v>3000</v>
      </c>
      <c r="BK121" s="188" t="s">
        <v>493</v>
      </c>
      <c r="BL121" s="188" t="s">
        <v>598</v>
      </c>
      <c r="BM121" s="189">
        <v>0</v>
      </c>
      <c r="BN121" s="188" t="s">
        <v>598</v>
      </c>
      <c r="BO121" s="127">
        <v>42881</v>
      </c>
      <c r="BP121" s="188" t="s">
        <v>134</v>
      </c>
      <c r="BQ121" s="188" t="s">
        <v>84</v>
      </c>
      <c r="BR121" s="188" t="s">
        <v>1265</v>
      </c>
      <c r="BS121" s="188" t="s">
        <v>598</v>
      </c>
      <c r="BT121" s="188" t="s">
        <v>63</v>
      </c>
      <c r="BU121" s="188" t="s">
        <v>598</v>
      </c>
      <c r="BV121" s="188" t="s">
        <v>598</v>
      </c>
      <c r="BZ121" s="188">
        <v>120</v>
      </c>
      <c r="CA121" s="127">
        <v>42896</v>
      </c>
      <c r="CB121" s="188" t="s">
        <v>3001</v>
      </c>
      <c r="CC121" s="188" t="s">
        <v>320</v>
      </c>
      <c r="CD121" s="188" t="s">
        <v>3001</v>
      </c>
      <c r="CE121" s="188"/>
      <c r="CF121" s="188" t="s">
        <v>34</v>
      </c>
      <c r="CG121" s="188"/>
      <c r="CH121" s="189">
        <v>100</v>
      </c>
      <c r="CI121" s="188"/>
    </row>
    <row r="122" spans="5:87">
      <c r="E122" s="21"/>
      <c r="Q122" s="191"/>
      <c r="R122" s="191"/>
      <c r="S122" s="191"/>
      <c r="T122" s="127"/>
      <c r="U122" s="127"/>
      <c r="V122" s="191"/>
      <c r="W122" s="190"/>
      <c r="X122" s="191"/>
      <c r="Y122" s="191"/>
      <c r="Z122" s="191"/>
      <c r="AA122" s="191"/>
      <c r="AB122" s="191"/>
      <c r="AC122" s="191"/>
      <c r="AD122" s="191"/>
      <c r="AE122" s="191"/>
      <c r="AF122" s="191"/>
      <c r="AG122" s="191"/>
      <c r="AH122" s="191"/>
      <c r="AI122" s="127"/>
      <c r="AJ122" s="191"/>
      <c r="AK122" s="191"/>
      <c r="AL122" s="190"/>
      <c r="AM122" s="191"/>
      <c r="AQ122" s="194"/>
      <c r="AR122" s="127"/>
      <c r="AS122" s="194"/>
      <c r="AT122" s="194"/>
      <c r="AU122" s="194"/>
      <c r="AV122" s="194"/>
      <c r="AW122" s="194"/>
      <c r="AX122" s="194"/>
      <c r="AY122" s="193"/>
      <c r="AZ122" s="194"/>
      <c r="BA122" s="21"/>
      <c r="BE122" s="188" t="s">
        <v>1268</v>
      </c>
      <c r="BF122" s="188" t="s">
        <v>3849</v>
      </c>
      <c r="BG122" s="127">
        <v>42913</v>
      </c>
      <c r="BH122" s="188" t="s">
        <v>34</v>
      </c>
      <c r="BI122" s="188" t="s">
        <v>598</v>
      </c>
      <c r="BJ122" s="189">
        <v>12000</v>
      </c>
      <c r="BK122" s="188" t="s">
        <v>493</v>
      </c>
      <c r="BL122" s="188">
        <v>4050</v>
      </c>
      <c r="BM122" s="189">
        <v>12000</v>
      </c>
      <c r="BN122" s="188" t="s">
        <v>598</v>
      </c>
      <c r="BO122" s="127">
        <v>42884</v>
      </c>
      <c r="BP122" s="188" t="s">
        <v>598</v>
      </c>
      <c r="BQ122" s="188" t="s">
        <v>119</v>
      </c>
      <c r="BR122" s="188" t="s">
        <v>241</v>
      </c>
      <c r="BS122" s="188" t="s">
        <v>598</v>
      </c>
      <c r="BT122" s="188" t="s">
        <v>63</v>
      </c>
      <c r="BU122" s="188" t="s">
        <v>598</v>
      </c>
      <c r="BV122" s="188" t="s">
        <v>598</v>
      </c>
      <c r="BZ122" s="188">
        <v>121</v>
      </c>
      <c r="CA122" s="127">
        <v>42896</v>
      </c>
      <c r="CB122" s="188" t="s">
        <v>495</v>
      </c>
      <c r="CC122" s="188" t="s">
        <v>322</v>
      </c>
      <c r="CD122" s="188" t="s">
        <v>63</v>
      </c>
      <c r="CE122" s="188"/>
      <c r="CF122" s="188" t="s">
        <v>34</v>
      </c>
      <c r="CG122" s="188"/>
      <c r="CH122" s="189">
        <v>600</v>
      </c>
      <c r="CI122" s="188"/>
    </row>
    <row r="123" spans="5:87">
      <c r="E123" s="21"/>
      <c r="Q123" s="191"/>
      <c r="R123" s="191"/>
      <c r="S123" s="191"/>
      <c r="T123" s="127"/>
      <c r="U123" s="127"/>
      <c r="V123" s="191"/>
      <c r="W123" s="190"/>
      <c r="X123" s="191"/>
      <c r="Y123" s="191"/>
      <c r="Z123" s="191"/>
      <c r="AA123" s="191"/>
      <c r="AB123" s="191"/>
      <c r="AC123" s="191"/>
      <c r="AD123" s="191"/>
      <c r="AE123" s="191"/>
      <c r="AF123" s="191"/>
      <c r="AG123" s="191"/>
      <c r="AH123" s="191"/>
      <c r="AI123" s="127"/>
      <c r="AJ123" s="191"/>
      <c r="AK123" s="191"/>
      <c r="AL123" s="190"/>
      <c r="AM123" s="191"/>
      <c r="AQ123" s="194"/>
      <c r="AR123" s="127"/>
      <c r="AS123" s="194"/>
      <c r="AT123" s="194"/>
      <c r="AU123" s="194"/>
      <c r="AV123" s="194"/>
      <c r="AW123" s="194"/>
      <c r="AX123" s="194"/>
      <c r="AY123" s="193"/>
      <c r="AZ123" s="194"/>
      <c r="BA123" s="21"/>
      <c r="BE123" s="188" t="s">
        <v>1270</v>
      </c>
      <c r="BF123" s="188" t="s">
        <v>3850</v>
      </c>
      <c r="BG123" s="127">
        <v>42888</v>
      </c>
      <c r="BH123" s="188" t="s">
        <v>10</v>
      </c>
      <c r="BI123" s="188" t="s">
        <v>598</v>
      </c>
      <c r="BJ123" s="189">
        <v>3000</v>
      </c>
      <c r="BK123" s="188" t="s">
        <v>493</v>
      </c>
      <c r="BL123" s="188" t="s">
        <v>598</v>
      </c>
      <c r="BM123" s="189">
        <v>0</v>
      </c>
      <c r="BN123" s="188" t="s">
        <v>598</v>
      </c>
      <c r="BO123" s="127">
        <v>42881</v>
      </c>
      <c r="BP123" s="188" t="s">
        <v>598</v>
      </c>
      <c r="BQ123" s="188" t="s">
        <v>84</v>
      </c>
      <c r="BR123" s="188" t="s">
        <v>1262</v>
      </c>
      <c r="BS123" s="188" t="s">
        <v>598</v>
      </c>
      <c r="BT123" s="188" t="s">
        <v>63</v>
      </c>
      <c r="BU123" s="188" t="s">
        <v>86</v>
      </c>
      <c r="BV123" s="188" t="s">
        <v>598</v>
      </c>
      <c r="BZ123" s="188">
        <v>122</v>
      </c>
      <c r="CA123" s="127">
        <v>42896</v>
      </c>
      <c r="CB123" s="188" t="s">
        <v>495</v>
      </c>
      <c r="CC123" s="188" t="s">
        <v>322</v>
      </c>
      <c r="CD123" s="188" t="s">
        <v>85</v>
      </c>
      <c r="CE123" s="188"/>
      <c r="CF123" s="188" t="s">
        <v>34</v>
      </c>
      <c r="CG123" s="188"/>
      <c r="CH123" s="189">
        <v>700</v>
      </c>
      <c r="CI123" s="188"/>
    </row>
    <row r="124" spans="5:87">
      <c r="E124" s="21"/>
      <c r="Q124" s="191"/>
      <c r="R124" s="191"/>
      <c r="S124" s="191"/>
      <c r="T124" s="127"/>
      <c r="U124" s="127"/>
      <c r="V124" s="191"/>
      <c r="W124" s="190"/>
      <c r="X124" s="191"/>
      <c r="Y124" s="191"/>
      <c r="Z124" s="191"/>
      <c r="AA124" s="191"/>
      <c r="AB124" s="191"/>
      <c r="AC124" s="191"/>
      <c r="AD124" s="191"/>
      <c r="AE124" s="191"/>
      <c r="AF124" s="191"/>
      <c r="AG124" s="191"/>
      <c r="AH124" s="191"/>
      <c r="AI124" s="127"/>
      <c r="AJ124" s="191"/>
      <c r="AK124" s="191"/>
      <c r="AL124" s="190"/>
      <c r="AM124" s="191"/>
      <c r="AQ124" s="194"/>
      <c r="AR124" s="127"/>
      <c r="AS124" s="194"/>
      <c r="AT124" s="194"/>
      <c r="AU124" s="194"/>
      <c r="AV124" s="194"/>
      <c r="AW124" s="194"/>
      <c r="AX124" s="194"/>
      <c r="AY124" s="193"/>
      <c r="AZ124" s="194"/>
      <c r="BA124" s="21"/>
      <c r="BE124" s="188" t="s">
        <v>1275</v>
      </c>
      <c r="BF124" s="188" t="s">
        <v>3851</v>
      </c>
      <c r="BG124" s="127">
        <v>42892</v>
      </c>
      <c r="BH124" s="188" t="s">
        <v>34</v>
      </c>
      <c r="BI124" s="188" t="s">
        <v>598</v>
      </c>
      <c r="BJ124" s="189">
        <v>3500</v>
      </c>
      <c r="BK124" s="188" t="s">
        <v>493</v>
      </c>
      <c r="BL124" s="188" t="s">
        <v>598</v>
      </c>
      <c r="BM124" s="189">
        <v>0</v>
      </c>
      <c r="BN124" s="188" t="s">
        <v>598</v>
      </c>
      <c r="BO124" s="127">
        <v>42885</v>
      </c>
      <c r="BP124" s="188" t="s">
        <v>598</v>
      </c>
      <c r="BQ124" s="188" t="s">
        <v>84</v>
      </c>
      <c r="BR124" s="188" t="s">
        <v>242</v>
      </c>
      <c r="BS124" s="188" t="s">
        <v>598</v>
      </c>
      <c r="BT124" s="188" t="s">
        <v>63</v>
      </c>
      <c r="BU124" s="188" t="s">
        <v>86</v>
      </c>
      <c r="BV124" s="188" t="s">
        <v>598</v>
      </c>
      <c r="BZ124" s="188">
        <v>123</v>
      </c>
      <c r="CA124" s="127">
        <v>42896</v>
      </c>
      <c r="CB124" s="188" t="s">
        <v>495</v>
      </c>
      <c r="CC124" s="188" t="s">
        <v>322</v>
      </c>
      <c r="CD124" s="188" t="s">
        <v>73</v>
      </c>
      <c r="CE124" s="188"/>
      <c r="CF124" s="188" t="s">
        <v>34</v>
      </c>
      <c r="CG124" s="188"/>
      <c r="CH124" s="189">
        <v>500</v>
      </c>
      <c r="CI124" s="188"/>
    </row>
    <row r="125" spans="5:87">
      <c r="E125" s="21"/>
      <c r="Q125" s="191"/>
      <c r="R125" s="191"/>
      <c r="S125" s="191"/>
      <c r="T125" s="127"/>
      <c r="U125" s="127"/>
      <c r="V125" s="191"/>
      <c r="W125" s="190"/>
      <c r="X125" s="191"/>
      <c r="Y125" s="191"/>
      <c r="Z125" s="191"/>
      <c r="AA125" s="191"/>
      <c r="AB125" s="191"/>
      <c r="AC125" s="191"/>
      <c r="AD125" s="191"/>
      <c r="AE125" s="191"/>
      <c r="AF125" s="191"/>
      <c r="AG125" s="191"/>
      <c r="AH125" s="191"/>
      <c r="AI125" s="127"/>
      <c r="AJ125" s="191"/>
      <c r="AK125" s="191"/>
      <c r="AL125" s="190"/>
      <c r="AM125" s="191"/>
      <c r="AQ125" s="194"/>
      <c r="AR125" s="127"/>
      <c r="AS125" s="194"/>
      <c r="AT125" s="194"/>
      <c r="AU125" s="194"/>
      <c r="AV125" s="194"/>
      <c r="AW125" s="194"/>
      <c r="AX125" s="194"/>
      <c r="AY125" s="193"/>
      <c r="AZ125" s="194"/>
      <c r="BA125" s="21"/>
      <c r="BE125" s="188" t="s">
        <v>1277</v>
      </c>
      <c r="BF125" s="188" t="s">
        <v>3852</v>
      </c>
      <c r="BG125" s="127">
        <v>42893</v>
      </c>
      <c r="BH125" s="188" t="s">
        <v>10</v>
      </c>
      <c r="BI125" s="188" t="s">
        <v>598</v>
      </c>
      <c r="BJ125" s="189">
        <v>3500</v>
      </c>
      <c r="BK125" s="188" t="s">
        <v>493</v>
      </c>
      <c r="BL125" s="188" t="s">
        <v>598</v>
      </c>
      <c r="BM125" s="189">
        <v>0</v>
      </c>
      <c r="BN125" s="188" t="s">
        <v>598</v>
      </c>
      <c r="BO125" s="127">
        <v>42885</v>
      </c>
      <c r="BP125" s="188" t="s">
        <v>598</v>
      </c>
      <c r="BQ125" s="188" t="s">
        <v>111</v>
      </c>
      <c r="BR125" s="188" t="s">
        <v>243</v>
      </c>
      <c r="BS125" s="188" t="s">
        <v>598</v>
      </c>
      <c r="BT125" s="188" t="s">
        <v>63</v>
      </c>
      <c r="BU125" s="188" t="s">
        <v>86</v>
      </c>
      <c r="BV125" s="188" t="s">
        <v>598</v>
      </c>
      <c r="BZ125" s="188">
        <v>124</v>
      </c>
      <c r="CA125" s="127">
        <v>42896</v>
      </c>
      <c r="CB125" s="188" t="s">
        <v>495</v>
      </c>
      <c r="CC125" s="188" t="s">
        <v>322</v>
      </c>
      <c r="CD125" s="188" t="s">
        <v>79</v>
      </c>
      <c r="CE125" s="188"/>
      <c r="CF125" s="188" t="s">
        <v>34</v>
      </c>
      <c r="CG125" s="188"/>
      <c r="CH125" s="189">
        <v>600</v>
      </c>
      <c r="CI125" s="188"/>
    </row>
    <row r="126" spans="5:87">
      <c r="E126" s="21"/>
      <c r="Q126" s="191"/>
      <c r="R126" s="191"/>
      <c r="S126" s="191"/>
      <c r="T126" s="127"/>
      <c r="U126" s="127"/>
      <c r="V126" s="191"/>
      <c r="W126" s="190"/>
      <c r="X126" s="191"/>
      <c r="Y126" s="191"/>
      <c r="Z126" s="191"/>
      <c r="AA126" s="191"/>
      <c r="AB126" s="191"/>
      <c r="AC126" s="191"/>
      <c r="AD126" s="191"/>
      <c r="AE126" s="191"/>
      <c r="AF126" s="191"/>
      <c r="AG126" s="191"/>
      <c r="AH126" s="191"/>
      <c r="AI126" s="127"/>
      <c r="AJ126" s="191"/>
      <c r="AK126" s="191"/>
      <c r="AL126" s="190"/>
      <c r="AM126" s="191"/>
      <c r="AQ126" s="194"/>
      <c r="AR126" s="127"/>
      <c r="AS126" s="194"/>
      <c r="AT126" s="194"/>
      <c r="AU126" s="194"/>
      <c r="AV126" s="194"/>
      <c r="AW126" s="194"/>
      <c r="AX126" s="194"/>
      <c r="AY126" s="193"/>
      <c r="AZ126" s="194"/>
      <c r="BA126" s="21"/>
      <c r="BE126" s="188" t="s">
        <v>1285</v>
      </c>
      <c r="BF126" s="188" t="s">
        <v>3853</v>
      </c>
      <c r="BG126" s="127">
        <v>42895</v>
      </c>
      <c r="BH126" s="188" t="s">
        <v>10</v>
      </c>
      <c r="BI126" s="188" t="s">
        <v>598</v>
      </c>
      <c r="BJ126" s="189">
        <v>3000</v>
      </c>
      <c r="BK126" s="188" t="s">
        <v>493</v>
      </c>
      <c r="BL126" s="188">
        <v>4049</v>
      </c>
      <c r="BM126" s="189">
        <v>4000</v>
      </c>
      <c r="BN126" s="188" t="s">
        <v>598</v>
      </c>
      <c r="BO126" s="127">
        <v>42886</v>
      </c>
      <c r="BP126" s="188" t="s">
        <v>598</v>
      </c>
      <c r="BQ126" s="188" t="s">
        <v>84</v>
      </c>
      <c r="BR126" s="188" t="s">
        <v>598</v>
      </c>
      <c r="BS126" s="188" t="s">
        <v>598</v>
      </c>
      <c r="BT126" s="188" t="s">
        <v>63</v>
      </c>
      <c r="BU126" s="188" t="s">
        <v>598</v>
      </c>
      <c r="BV126" s="188" t="s">
        <v>598</v>
      </c>
      <c r="BZ126" s="188">
        <v>125</v>
      </c>
      <c r="CA126" s="127">
        <v>42896</v>
      </c>
      <c r="CB126" s="188" t="s">
        <v>495</v>
      </c>
      <c r="CC126" s="188" t="s">
        <v>322</v>
      </c>
      <c r="CD126" s="188" t="s">
        <v>30</v>
      </c>
      <c r="CE126" s="188"/>
      <c r="CF126" s="188" t="s">
        <v>34</v>
      </c>
      <c r="CG126" s="188"/>
      <c r="CH126" s="189">
        <v>800</v>
      </c>
      <c r="CI126" s="188"/>
    </row>
    <row r="127" spans="5:87">
      <c r="E127" s="21"/>
      <c r="Q127" s="191"/>
      <c r="R127" s="191"/>
      <c r="S127" s="191"/>
      <c r="T127" s="127"/>
      <c r="U127" s="127"/>
      <c r="V127" s="191"/>
      <c r="W127" s="190"/>
      <c r="X127" s="191"/>
      <c r="Y127" s="191"/>
      <c r="Z127" s="191"/>
      <c r="AA127" s="191"/>
      <c r="AB127" s="191"/>
      <c r="AC127" s="191"/>
      <c r="AD127" s="191"/>
      <c r="AE127" s="191"/>
      <c r="AF127" s="191"/>
      <c r="AG127" s="191"/>
      <c r="AH127" s="191"/>
      <c r="AI127" s="127"/>
      <c r="AJ127" s="191"/>
      <c r="AK127" s="191"/>
      <c r="AL127" s="190"/>
      <c r="AM127" s="191"/>
      <c r="AQ127" s="194"/>
      <c r="AR127" s="127"/>
      <c r="AS127" s="23"/>
      <c r="AT127" s="194"/>
      <c r="AU127" s="194"/>
      <c r="AV127" s="194"/>
      <c r="AW127" s="194"/>
      <c r="AX127" s="194"/>
      <c r="AY127" s="193"/>
      <c r="AZ127" s="194"/>
      <c r="BA127" s="21"/>
      <c r="BE127" s="188" t="s">
        <v>1300</v>
      </c>
      <c r="BF127" s="188" t="s">
        <v>3854</v>
      </c>
      <c r="BG127" s="127">
        <v>42887</v>
      </c>
      <c r="BH127" s="188" t="s">
        <v>10</v>
      </c>
      <c r="BI127" s="188" t="s">
        <v>598</v>
      </c>
      <c r="BJ127" s="189">
        <v>1500</v>
      </c>
      <c r="BK127" s="188" t="s">
        <v>493</v>
      </c>
      <c r="BL127" s="188" t="s">
        <v>598</v>
      </c>
      <c r="BM127" s="189">
        <v>0</v>
      </c>
      <c r="BN127" s="188" t="s">
        <v>598</v>
      </c>
      <c r="BO127" s="127">
        <v>42868</v>
      </c>
      <c r="BP127" s="188" t="s">
        <v>598</v>
      </c>
      <c r="BQ127" s="188" t="s">
        <v>102</v>
      </c>
      <c r="BR127" s="188" t="s">
        <v>598</v>
      </c>
      <c r="BS127" s="188" t="s">
        <v>598</v>
      </c>
      <c r="BT127" s="188" t="s">
        <v>63</v>
      </c>
      <c r="BU127" s="188" t="s">
        <v>86</v>
      </c>
      <c r="BV127" s="188" t="s">
        <v>598</v>
      </c>
      <c r="BZ127" s="188">
        <v>126</v>
      </c>
      <c r="CA127" s="127">
        <v>42896</v>
      </c>
      <c r="CB127" s="188" t="s">
        <v>495</v>
      </c>
      <c r="CC127" s="188" t="s">
        <v>322</v>
      </c>
      <c r="CD127" s="188" t="s">
        <v>324</v>
      </c>
      <c r="CE127" s="188"/>
      <c r="CF127" s="188" t="s">
        <v>34</v>
      </c>
      <c r="CG127" s="188"/>
      <c r="CH127" s="189">
        <v>700</v>
      </c>
      <c r="CI127" s="188"/>
    </row>
    <row r="128" spans="5:87">
      <c r="E128" s="21"/>
      <c r="Q128" s="191"/>
      <c r="R128" s="191"/>
      <c r="S128" s="191"/>
      <c r="T128" s="127"/>
      <c r="U128" s="127"/>
      <c r="V128" s="191"/>
      <c r="W128" s="190"/>
      <c r="X128" s="191"/>
      <c r="Y128" s="191"/>
      <c r="Z128" s="191"/>
      <c r="AA128" s="191"/>
      <c r="AB128" s="191"/>
      <c r="AC128" s="191"/>
      <c r="AD128" s="191"/>
      <c r="AE128" s="191"/>
      <c r="AF128" s="191"/>
      <c r="AG128" s="191"/>
      <c r="AH128" s="191"/>
      <c r="AI128" s="127"/>
      <c r="AJ128" s="191"/>
      <c r="AK128" s="191"/>
      <c r="AL128" s="190"/>
      <c r="AM128" s="191"/>
      <c r="AQ128" s="194"/>
      <c r="AR128" s="127"/>
      <c r="AS128" s="23"/>
      <c r="AT128" s="194"/>
      <c r="AU128" s="194"/>
      <c r="AV128" s="194"/>
      <c r="AW128" s="194"/>
      <c r="AX128" s="194"/>
      <c r="AY128" s="193"/>
      <c r="AZ128" s="194"/>
      <c r="BA128" s="21"/>
      <c r="BE128" s="188" t="s">
        <v>1304</v>
      </c>
      <c r="BF128" s="188" t="s">
        <v>3855</v>
      </c>
      <c r="BG128" s="127">
        <v>42895</v>
      </c>
      <c r="BH128" s="188" t="s">
        <v>10</v>
      </c>
      <c r="BI128" s="188" t="s">
        <v>598</v>
      </c>
      <c r="BJ128" s="189">
        <v>5000</v>
      </c>
      <c r="BK128" s="188" t="s">
        <v>493</v>
      </c>
      <c r="BL128" s="188">
        <v>2823</v>
      </c>
      <c r="BM128" s="189">
        <v>6000</v>
      </c>
      <c r="BN128" s="188" t="s">
        <v>598</v>
      </c>
      <c r="BO128" s="127">
        <v>42871</v>
      </c>
      <c r="BP128" s="188" t="s">
        <v>598</v>
      </c>
      <c r="BQ128" s="188" t="s">
        <v>102</v>
      </c>
      <c r="BR128" s="188" t="s">
        <v>233</v>
      </c>
      <c r="BS128" s="188" t="s">
        <v>598</v>
      </c>
      <c r="BT128" s="188" t="s">
        <v>63</v>
      </c>
      <c r="BU128" s="188" t="s">
        <v>598</v>
      </c>
      <c r="BV128" s="188" t="s">
        <v>598</v>
      </c>
      <c r="BZ128" s="188">
        <v>127</v>
      </c>
      <c r="CA128" s="127">
        <v>42896</v>
      </c>
      <c r="CB128" s="188" t="s">
        <v>495</v>
      </c>
      <c r="CC128" s="188" t="s">
        <v>322</v>
      </c>
      <c r="CD128" s="188" t="s">
        <v>51</v>
      </c>
      <c r="CE128" s="188"/>
      <c r="CF128" s="188" t="s">
        <v>34</v>
      </c>
      <c r="CG128" s="188"/>
      <c r="CH128" s="189">
        <v>500</v>
      </c>
      <c r="CI128" s="188"/>
    </row>
    <row r="129" spans="5:87">
      <c r="E129" s="21"/>
      <c r="Q129" s="191"/>
      <c r="R129" s="191"/>
      <c r="S129" s="191"/>
      <c r="T129" s="127"/>
      <c r="U129" s="127"/>
      <c r="V129" s="191"/>
      <c r="W129" s="190"/>
      <c r="X129" s="191"/>
      <c r="Y129" s="191"/>
      <c r="Z129" s="191"/>
      <c r="AA129" s="191"/>
      <c r="AB129" s="191"/>
      <c r="AC129" s="191"/>
      <c r="AD129" s="191"/>
      <c r="AE129" s="191"/>
      <c r="AF129" s="191"/>
      <c r="AG129" s="191"/>
      <c r="AH129" s="191"/>
      <c r="AI129" s="127"/>
      <c r="AJ129" s="191"/>
      <c r="AK129" s="191"/>
      <c r="AL129" s="190"/>
      <c r="AM129" s="191"/>
      <c r="AQ129" s="194"/>
      <c r="AR129" s="127"/>
      <c r="AS129" s="23"/>
      <c r="AT129" s="194"/>
      <c r="AU129" s="194"/>
      <c r="AV129" s="194"/>
      <c r="AW129" s="194"/>
      <c r="AX129" s="194"/>
      <c r="AY129" s="193"/>
      <c r="AZ129" s="194"/>
      <c r="BA129" s="21"/>
      <c r="BE129" s="188" t="s">
        <v>1308</v>
      </c>
      <c r="BF129" s="188" t="s">
        <v>3856</v>
      </c>
      <c r="BG129" s="127">
        <v>42893</v>
      </c>
      <c r="BH129" s="188" t="s">
        <v>34</v>
      </c>
      <c r="BI129" s="188" t="s">
        <v>598</v>
      </c>
      <c r="BJ129" s="189">
        <v>4000</v>
      </c>
      <c r="BK129" s="188" t="s">
        <v>493</v>
      </c>
      <c r="BL129" s="188" t="s">
        <v>598</v>
      </c>
      <c r="BM129" s="189">
        <v>0</v>
      </c>
      <c r="BN129" s="188" t="s">
        <v>598</v>
      </c>
      <c r="BO129" s="127">
        <v>42875</v>
      </c>
      <c r="BP129" s="188" t="s">
        <v>598</v>
      </c>
      <c r="BQ129" s="188" t="s">
        <v>102</v>
      </c>
      <c r="BR129" s="188" t="s">
        <v>233</v>
      </c>
      <c r="BS129" s="188" t="s">
        <v>598</v>
      </c>
      <c r="BT129" s="188" t="s">
        <v>63</v>
      </c>
      <c r="BU129" s="188" t="s">
        <v>86</v>
      </c>
      <c r="BV129" s="188" t="s">
        <v>598</v>
      </c>
      <c r="BZ129" s="188">
        <v>128</v>
      </c>
      <c r="CA129" s="127">
        <v>42896</v>
      </c>
      <c r="CB129" s="188" t="s">
        <v>495</v>
      </c>
      <c r="CC129" s="188" t="s">
        <v>322</v>
      </c>
      <c r="CD129" s="188" t="s">
        <v>112</v>
      </c>
      <c r="CE129" s="188"/>
      <c r="CF129" s="188" t="s">
        <v>34</v>
      </c>
      <c r="CG129" s="188"/>
      <c r="CH129" s="189">
        <v>600</v>
      </c>
      <c r="CI129" s="188"/>
    </row>
    <row r="130" spans="5:87">
      <c r="E130" s="21"/>
      <c r="Q130" s="191"/>
      <c r="R130" s="191"/>
      <c r="S130" s="191"/>
      <c r="T130" s="127"/>
      <c r="U130" s="127"/>
      <c r="V130" s="191"/>
      <c r="W130" s="190"/>
      <c r="X130" s="191"/>
      <c r="Y130" s="191"/>
      <c r="Z130" s="191"/>
      <c r="AA130" s="191"/>
      <c r="AB130" s="191"/>
      <c r="AC130" s="191"/>
      <c r="AD130" s="191"/>
      <c r="AE130" s="191"/>
      <c r="AF130" s="191"/>
      <c r="AG130" s="191"/>
      <c r="AH130" s="191"/>
      <c r="AI130" s="127"/>
      <c r="AJ130" s="191"/>
      <c r="AK130" s="191"/>
      <c r="AL130" s="190"/>
      <c r="AM130" s="191"/>
      <c r="AQ130" s="194"/>
      <c r="AR130" s="127"/>
      <c r="AS130" s="23"/>
      <c r="AT130" s="194"/>
      <c r="AU130" s="194"/>
      <c r="AV130" s="194"/>
      <c r="AW130" s="194"/>
      <c r="AX130" s="194"/>
      <c r="AY130" s="193"/>
      <c r="AZ130" s="194"/>
      <c r="BA130" s="21"/>
      <c r="BE130" s="188" t="s">
        <v>1310</v>
      </c>
      <c r="BF130" s="188" t="s">
        <v>3857</v>
      </c>
      <c r="BG130" s="127">
        <v>42893</v>
      </c>
      <c r="BH130" s="188" t="s">
        <v>34</v>
      </c>
      <c r="BI130" s="188" t="s">
        <v>598</v>
      </c>
      <c r="BJ130" s="189">
        <v>4000</v>
      </c>
      <c r="BK130" s="188" t="s">
        <v>493</v>
      </c>
      <c r="BL130" s="188" t="s">
        <v>598</v>
      </c>
      <c r="BM130" s="189">
        <v>0</v>
      </c>
      <c r="BN130" s="188" t="s">
        <v>598</v>
      </c>
      <c r="BO130" s="127">
        <v>42875</v>
      </c>
      <c r="BP130" s="188" t="s">
        <v>598</v>
      </c>
      <c r="BQ130" s="188" t="s">
        <v>102</v>
      </c>
      <c r="BR130" s="188" t="s">
        <v>233</v>
      </c>
      <c r="BS130" s="188" t="s">
        <v>598</v>
      </c>
      <c r="BT130" s="188" t="s">
        <v>63</v>
      </c>
      <c r="BU130" s="188" t="s">
        <v>86</v>
      </c>
      <c r="BV130" s="188" t="s">
        <v>598</v>
      </c>
      <c r="BZ130" s="188">
        <v>129</v>
      </c>
      <c r="CA130" s="127">
        <v>42896</v>
      </c>
      <c r="CB130" s="188" t="s">
        <v>495</v>
      </c>
      <c r="CC130" s="188" t="s">
        <v>322</v>
      </c>
      <c r="CD130" s="188" t="s">
        <v>65</v>
      </c>
      <c r="CE130" s="188"/>
      <c r="CF130" s="188" t="s">
        <v>34</v>
      </c>
      <c r="CG130" s="188"/>
      <c r="CH130" s="189">
        <v>500</v>
      </c>
      <c r="CI130" s="188"/>
    </row>
    <row r="131" spans="5:87">
      <c r="E131" s="21"/>
      <c r="Q131" s="191"/>
      <c r="R131" s="191"/>
      <c r="S131" s="191"/>
      <c r="T131" s="127"/>
      <c r="U131" s="127"/>
      <c r="V131" s="191"/>
      <c r="W131" s="190"/>
      <c r="X131" s="191"/>
      <c r="Y131" s="191"/>
      <c r="Z131" s="191"/>
      <c r="AA131" s="191"/>
      <c r="AB131" s="191"/>
      <c r="AC131" s="191"/>
      <c r="AD131" s="191"/>
      <c r="AE131" s="191"/>
      <c r="AF131" s="191"/>
      <c r="AG131" s="191"/>
      <c r="AH131" s="191"/>
      <c r="AI131" s="127"/>
      <c r="AJ131" s="191"/>
      <c r="AK131" s="191"/>
      <c r="AL131" s="190"/>
      <c r="AM131" s="191"/>
      <c r="AQ131" s="194"/>
      <c r="AR131" s="127"/>
      <c r="AS131" s="23"/>
      <c r="AT131" s="194"/>
      <c r="AU131" s="194"/>
      <c r="AV131" s="194"/>
      <c r="AW131" s="194"/>
      <c r="AX131" s="194"/>
      <c r="AY131" s="193"/>
      <c r="AZ131" s="194"/>
      <c r="BA131" s="21"/>
      <c r="BE131" s="188" t="s">
        <v>1312</v>
      </c>
      <c r="BF131" s="188" t="s">
        <v>3858</v>
      </c>
      <c r="BG131" s="127">
        <v>42893</v>
      </c>
      <c r="BH131" s="188" t="s">
        <v>34</v>
      </c>
      <c r="BI131" s="188" t="s">
        <v>598</v>
      </c>
      <c r="BJ131" s="189">
        <v>4000</v>
      </c>
      <c r="BK131" s="188" t="s">
        <v>493</v>
      </c>
      <c r="BL131" s="188" t="s">
        <v>598</v>
      </c>
      <c r="BM131" s="189">
        <v>0</v>
      </c>
      <c r="BN131" s="188" t="s">
        <v>598</v>
      </c>
      <c r="BO131" s="127">
        <v>42875</v>
      </c>
      <c r="BP131" s="188" t="s">
        <v>134</v>
      </c>
      <c r="BQ131" s="188" t="s">
        <v>102</v>
      </c>
      <c r="BR131" s="188" t="s">
        <v>233</v>
      </c>
      <c r="BS131" s="188" t="s">
        <v>598</v>
      </c>
      <c r="BT131" s="188" t="s">
        <v>63</v>
      </c>
      <c r="BU131" s="188" t="s">
        <v>63</v>
      </c>
      <c r="BV131" s="188" t="s">
        <v>598</v>
      </c>
      <c r="BZ131" s="188">
        <v>130</v>
      </c>
      <c r="CA131" s="127">
        <v>42896</v>
      </c>
      <c r="CB131" s="188" t="s">
        <v>495</v>
      </c>
      <c r="CC131" s="188" t="s">
        <v>322</v>
      </c>
      <c r="CD131" s="188" t="s">
        <v>176</v>
      </c>
      <c r="CE131" s="188"/>
      <c r="CF131" s="188" t="s">
        <v>34</v>
      </c>
      <c r="CG131" s="188"/>
      <c r="CH131" s="189">
        <v>500</v>
      </c>
      <c r="CI131" s="188"/>
    </row>
    <row r="132" spans="5:87">
      <c r="E132" s="21"/>
      <c r="Q132" s="191"/>
      <c r="R132" s="191"/>
      <c r="S132" s="191"/>
      <c r="T132" s="127"/>
      <c r="U132" s="127"/>
      <c r="V132" s="191"/>
      <c r="W132" s="190"/>
      <c r="X132" s="191"/>
      <c r="Y132" s="191"/>
      <c r="Z132" s="191"/>
      <c r="AA132" s="191"/>
      <c r="AB132" s="191"/>
      <c r="AC132" s="191"/>
      <c r="AD132" s="191"/>
      <c r="AE132" s="191"/>
      <c r="AF132" s="191"/>
      <c r="AG132" s="191"/>
      <c r="AH132" s="191"/>
      <c r="AI132" s="127"/>
      <c r="AJ132" s="191"/>
      <c r="AK132" s="191"/>
      <c r="AL132" s="190"/>
      <c r="AM132" s="191"/>
      <c r="AQ132" s="194"/>
      <c r="AR132" s="127"/>
      <c r="AS132" s="194"/>
      <c r="AT132" s="194"/>
      <c r="AU132" s="194"/>
      <c r="AV132" s="194"/>
      <c r="AW132" s="194"/>
      <c r="AX132" s="194"/>
      <c r="AY132" s="193"/>
      <c r="AZ132" s="194"/>
      <c r="BA132" s="21"/>
      <c r="BE132" s="188" t="s">
        <v>1314</v>
      </c>
      <c r="BF132" s="188" t="s">
        <v>3859</v>
      </c>
      <c r="BG132" s="127">
        <v>42893</v>
      </c>
      <c r="BH132" s="188" t="s">
        <v>34</v>
      </c>
      <c r="BI132" s="188" t="s">
        <v>598</v>
      </c>
      <c r="BJ132" s="189">
        <v>4000</v>
      </c>
      <c r="BK132" s="188" t="s">
        <v>493</v>
      </c>
      <c r="BL132" s="188" t="s">
        <v>598</v>
      </c>
      <c r="BM132" s="189">
        <v>0</v>
      </c>
      <c r="BN132" s="188" t="s">
        <v>598</v>
      </c>
      <c r="BO132" s="127">
        <v>42875</v>
      </c>
      <c r="BP132" s="188" t="s">
        <v>134</v>
      </c>
      <c r="BQ132" s="188" t="s">
        <v>102</v>
      </c>
      <c r="BR132" s="188" t="s">
        <v>233</v>
      </c>
      <c r="BS132" s="188" t="s">
        <v>598</v>
      </c>
      <c r="BT132" s="188" t="s">
        <v>63</v>
      </c>
      <c r="BU132" s="188" t="s">
        <v>63</v>
      </c>
      <c r="BV132" s="188" t="s">
        <v>598</v>
      </c>
      <c r="BZ132" s="188">
        <v>131</v>
      </c>
      <c r="CA132" s="127">
        <v>42896</v>
      </c>
      <c r="CB132" s="188" t="s">
        <v>495</v>
      </c>
      <c r="CC132" s="188" t="s">
        <v>322</v>
      </c>
      <c r="CD132" s="188" t="s">
        <v>88</v>
      </c>
      <c r="CE132" s="188"/>
      <c r="CF132" s="188" t="s">
        <v>34</v>
      </c>
      <c r="CG132" s="188"/>
      <c r="CH132" s="189">
        <v>650</v>
      </c>
      <c r="CI132" s="188"/>
    </row>
    <row r="133" spans="5:87">
      <c r="E133" s="21"/>
      <c r="Q133" s="191"/>
      <c r="R133" s="191"/>
      <c r="S133" s="191"/>
      <c r="T133" s="127"/>
      <c r="U133" s="127"/>
      <c r="V133" s="191"/>
      <c r="W133" s="190"/>
      <c r="X133" s="191"/>
      <c r="Y133" s="191"/>
      <c r="Z133" s="191"/>
      <c r="AA133" s="191"/>
      <c r="AB133" s="191"/>
      <c r="AC133" s="191"/>
      <c r="AD133" s="191"/>
      <c r="AE133" s="191"/>
      <c r="AF133" s="191"/>
      <c r="AG133" s="191"/>
      <c r="AH133" s="191"/>
      <c r="AI133" s="127"/>
      <c r="AJ133" s="191"/>
      <c r="AK133" s="191"/>
      <c r="AL133" s="190"/>
      <c r="AM133" s="191"/>
      <c r="AQ133" s="194"/>
      <c r="AR133" s="127"/>
      <c r="AS133" s="194"/>
      <c r="AT133" s="194"/>
      <c r="AU133" s="194"/>
      <c r="AV133" s="194"/>
      <c r="AW133" s="194"/>
      <c r="AX133" s="194"/>
      <c r="AY133" s="193"/>
      <c r="AZ133" s="194"/>
      <c r="BA133" s="21"/>
      <c r="BE133" s="188" t="s">
        <v>1316</v>
      </c>
      <c r="BF133" s="188" t="s">
        <v>3860</v>
      </c>
      <c r="BG133" s="127">
        <v>42893</v>
      </c>
      <c r="BH133" s="188" t="s">
        <v>34</v>
      </c>
      <c r="BI133" s="188" t="s">
        <v>598</v>
      </c>
      <c r="BJ133" s="189">
        <v>4000</v>
      </c>
      <c r="BK133" s="188" t="s">
        <v>493</v>
      </c>
      <c r="BL133" s="188" t="s">
        <v>598</v>
      </c>
      <c r="BM133" s="189">
        <v>0</v>
      </c>
      <c r="BN133" s="188" t="s">
        <v>598</v>
      </c>
      <c r="BO133" s="127">
        <v>42875</v>
      </c>
      <c r="BP133" s="188" t="s">
        <v>134</v>
      </c>
      <c r="BQ133" s="188" t="s">
        <v>102</v>
      </c>
      <c r="BR133" s="188" t="s">
        <v>233</v>
      </c>
      <c r="BS133" s="188" t="s">
        <v>598</v>
      </c>
      <c r="BT133" s="188" t="s">
        <v>63</v>
      </c>
      <c r="BU133" s="188" t="s">
        <v>63</v>
      </c>
      <c r="BV133" s="188" t="s">
        <v>598</v>
      </c>
      <c r="BZ133" s="188">
        <v>132</v>
      </c>
      <c r="CA133" s="127">
        <v>42898</v>
      </c>
      <c r="CB133" s="188" t="s">
        <v>4443</v>
      </c>
      <c r="CC133" s="188" t="s">
        <v>320</v>
      </c>
      <c r="CD133" s="188"/>
      <c r="CE133" s="188"/>
      <c r="CF133" s="188" t="s">
        <v>34</v>
      </c>
      <c r="CG133" s="188"/>
      <c r="CH133" s="189">
        <v>880</v>
      </c>
      <c r="CI133" s="188"/>
    </row>
    <row r="134" spans="5:87">
      <c r="E134" s="21"/>
      <c r="Q134" s="191"/>
      <c r="R134" s="191"/>
      <c r="S134" s="191"/>
      <c r="T134" s="127"/>
      <c r="U134" s="127"/>
      <c r="V134" s="191"/>
      <c r="W134" s="190"/>
      <c r="X134" s="191"/>
      <c r="Y134" s="191"/>
      <c r="Z134" s="191"/>
      <c r="AA134" s="191"/>
      <c r="AB134" s="191"/>
      <c r="AC134" s="191"/>
      <c r="AD134" s="191"/>
      <c r="AE134" s="191"/>
      <c r="AF134" s="191"/>
      <c r="AG134" s="191"/>
      <c r="AH134" s="191"/>
      <c r="AI134" s="127"/>
      <c r="AJ134" s="191"/>
      <c r="AK134" s="191"/>
      <c r="AL134" s="190"/>
      <c r="AM134" s="191"/>
      <c r="AQ134" s="194"/>
      <c r="AR134" s="127"/>
      <c r="AS134" s="194"/>
      <c r="AT134" s="194"/>
      <c r="AU134" s="194"/>
      <c r="AV134" s="194"/>
      <c r="AW134" s="194"/>
      <c r="AX134" s="194"/>
      <c r="AY134" s="193"/>
      <c r="AZ134" s="194"/>
      <c r="BA134" s="21"/>
      <c r="BE134" s="188" t="s">
        <v>1318</v>
      </c>
      <c r="BF134" s="188" t="s">
        <v>3861</v>
      </c>
      <c r="BG134" s="127">
        <v>42893</v>
      </c>
      <c r="BH134" s="188" t="s">
        <v>34</v>
      </c>
      <c r="BI134" s="188" t="s">
        <v>598</v>
      </c>
      <c r="BJ134" s="189">
        <v>4000</v>
      </c>
      <c r="BK134" s="188" t="s">
        <v>493</v>
      </c>
      <c r="BL134" s="188" t="s">
        <v>598</v>
      </c>
      <c r="BM134" s="189">
        <v>0</v>
      </c>
      <c r="BN134" s="188" t="s">
        <v>598</v>
      </c>
      <c r="BO134" s="127">
        <v>42875</v>
      </c>
      <c r="BP134" s="188" t="s">
        <v>134</v>
      </c>
      <c r="BQ134" s="188" t="s">
        <v>102</v>
      </c>
      <c r="BR134" s="188" t="s">
        <v>233</v>
      </c>
      <c r="BS134" s="188" t="s">
        <v>598</v>
      </c>
      <c r="BT134" s="188" t="s">
        <v>63</v>
      </c>
      <c r="BU134" s="188" t="s">
        <v>63</v>
      </c>
      <c r="BV134" s="188" t="s">
        <v>598</v>
      </c>
      <c r="BZ134" s="188">
        <v>133</v>
      </c>
      <c r="CA134" s="127">
        <v>42899</v>
      </c>
      <c r="CB134" s="188" t="s">
        <v>4444</v>
      </c>
      <c r="CC134" s="188" t="s">
        <v>320</v>
      </c>
      <c r="CD134" s="188"/>
      <c r="CE134" s="188"/>
      <c r="CF134" s="188" t="s">
        <v>34</v>
      </c>
      <c r="CG134" s="188"/>
      <c r="CH134" s="189">
        <v>3650</v>
      </c>
      <c r="CI134" s="188"/>
    </row>
    <row r="135" spans="5:87">
      <c r="E135" s="21"/>
      <c r="Q135" s="191"/>
      <c r="R135" s="191"/>
      <c r="S135" s="191"/>
      <c r="T135" s="127"/>
      <c r="U135" s="127"/>
      <c r="V135" s="191"/>
      <c r="W135" s="190"/>
      <c r="X135" s="191"/>
      <c r="Y135" s="191"/>
      <c r="Z135" s="191"/>
      <c r="AA135" s="191"/>
      <c r="AB135" s="191"/>
      <c r="AC135" s="191"/>
      <c r="AD135" s="191"/>
      <c r="AE135" s="191"/>
      <c r="AF135" s="191"/>
      <c r="AG135" s="191"/>
      <c r="AH135" s="191"/>
      <c r="AI135" s="127"/>
      <c r="AJ135" s="191"/>
      <c r="AK135" s="191"/>
      <c r="AL135" s="190"/>
      <c r="AM135" s="191"/>
      <c r="AQ135" s="194"/>
      <c r="AR135" s="127"/>
      <c r="AS135" s="194"/>
      <c r="AT135" s="194"/>
      <c r="AU135" s="194"/>
      <c r="AV135" s="194"/>
      <c r="AW135" s="194"/>
      <c r="AX135" s="194"/>
      <c r="AY135" s="193"/>
      <c r="AZ135" s="194"/>
      <c r="BA135" s="21"/>
      <c r="BE135" s="188" t="s">
        <v>1327</v>
      </c>
      <c r="BF135" s="188" t="s">
        <v>3862</v>
      </c>
      <c r="BG135" s="127">
        <v>42908</v>
      </c>
      <c r="BH135" s="188" t="s">
        <v>10</v>
      </c>
      <c r="BI135" s="188" t="s">
        <v>598</v>
      </c>
      <c r="BJ135" s="189">
        <v>4000</v>
      </c>
      <c r="BK135" s="188" t="s">
        <v>493</v>
      </c>
      <c r="BL135" s="188">
        <v>2829</v>
      </c>
      <c r="BM135" s="189">
        <v>4000</v>
      </c>
      <c r="BN135" s="188" t="s">
        <v>598</v>
      </c>
      <c r="BO135" s="127">
        <v>42878</v>
      </c>
      <c r="BP135" s="188" t="s">
        <v>598</v>
      </c>
      <c r="BQ135" s="188" t="s">
        <v>102</v>
      </c>
      <c r="BR135" s="188" t="s">
        <v>245</v>
      </c>
      <c r="BS135" s="188" t="s">
        <v>598</v>
      </c>
      <c r="BT135" s="188" t="s">
        <v>63</v>
      </c>
      <c r="BU135" s="188" t="s">
        <v>63</v>
      </c>
      <c r="BV135" s="188" t="s">
        <v>598</v>
      </c>
      <c r="BZ135" s="188">
        <v>134</v>
      </c>
      <c r="CA135" s="127">
        <v>42899</v>
      </c>
      <c r="CB135" s="188" t="s">
        <v>495</v>
      </c>
      <c r="CC135" s="188" t="s">
        <v>322</v>
      </c>
      <c r="CD135" s="188" t="s">
        <v>86</v>
      </c>
      <c r="CE135" s="188"/>
      <c r="CF135" s="188" t="s">
        <v>34</v>
      </c>
      <c r="CG135" s="188"/>
      <c r="CH135" s="189">
        <v>400</v>
      </c>
      <c r="CI135" s="188"/>
    </row>
    <row r="136" spans="5:87">
      <c r="E136" s="21"/>
      <c r="Q136" s="191"/>
      <c r="R136" s="191"/>
      <c r="S136" s="191"/>
      <c r="T136" s="127"/>
      <c r="U136" s="127"/>
      <c r="V136" s="191"/>
      <c r="W136" s="190"/>
      <c r="X136" s="191"/>
      <c r="Y136" s="191"/>
      <c r="Z136" s="191"/>
      <c r="AA136" s="191"/>
      <c r="AB136" s="191"/>
      <c r="AC136" s="191"/>
      <c r="AD136" s="191"/>
      <c r="AE136" s="191"/>
      <c r="AF136" s="191"/>
      <c r="AG136" s="191"/>
      <c r="AH136" s="191"/>
      <c r="AI136" s="127"/>
      <c r="AJ136" s="191"/>
      <c r="AK136" s="191"/>
      <c r="AL136" s="190"/>
      <c r="AM136" s="191"/>
      <c r="AQ136" s="194"/>
      <c r="AR136" s="127"/>
      <c r="AS136" s="194"/>
      <c r="AT136" s="194"/>
      <c r="AU136" s="194"/>
      <c r="AV136" s="194"/>
      <c r="AW136" s="194"/>
      <c r="AX136" s="194"/>
      <c r="AY136" s="193"/>
      <c r="AZ136" s="194"/>
      <c r="BA136" s="21"/>
      <c r="BE136" s="188" t="s">
        <v>1331</v>
      </c>
      <c r="BF136" s="188" t="s">
        <v>3863</v>
      </c>
      <c r="BG136" s="127">
        <v>42891</v>
      </c>
      <c r="BH136" s="188" t="s">
        <v>34</v>
      </c>
      <c r="BI136" s="188" t="s">
        <v>598</v>
      </c>
      <c r="BJ136" s="189">
        <v>3500</v>
      </c>
      <c r="BK136" s="188" t="s">
        <v>493</v>
      </c>
      <c r="BL136" s="188" t="s">
        <v>598</v>
      </c>
      <c r="BM136" s="189">
        <v>0</v>
      </c>
      <c r="BN136" s="188" t="s">
        <v>598</v>
      </c>
      <c r="BO136" s="127">
        <v>42878</v>
      </c>
      <c r="BP136" s="188" t="s">
        <v>598</v>
      </c>
      <c r="BQ136" s="188" t="s">
        <v>102</v>
      </c>
      <c r="BR136" s="188" t="s">
        <v>233</v>
      </c>
      <c r="BS136" s="188" t="s">
        <v>598</v>
      </c>
      <c r="BT136" s="188" t="s">
        <v>63</v>
      </c>
      <c r="BU136" s="188" t="s">
        <v>63</v>
      </c>
      <c r="BV136" s="188" t="s">
        <v>598</v>
      </c>
      <c r="BZ136" s="188">
        <v>135</v>
      </c>
      <c r="CA136" s="127">
        <v>42899</v>
      </c>
      <c r="CB136" s="188" t="s">
        <v>504</v>
      </c>
      <c r="CC136" s="188" t="s">
        <v>545</v>
      </c>
      <c r="CD136" s="188" t="s">
        <v>86</v>
      </c>
      <c r="CE136" s="188"/>
      <c r="CF136" s="188" t="s">
        <v>34</v>
      </c>
      <c r="CG136" s="188"/>
      <c r="CH136" s="189">
        <v>800</v>
      </c>
      <c r="CI136" s="188"/>
    </row>
    <row r="137" spans="5:87">
      <c r="E137" s="21"/>
      <c r="Q137" s="191"/>
      <c r="R137" s="191"/>
      <c r="S137" s="191"/>
      <c r="T137" s="127"/>
      <c r="U137" s="127"/>
      <c r="V137" s="191"/>
      <c r="W137" s="190"/>
      <c r="X137" s="191"/>
      <c r="Y137" s="191"/>
      <c r="Z137" s="191"/>
      <c r="AA137" s="191"/>
      <c r="AB137" s="191"/>
      <c r="AC137" s="191"/>
      <c r="AD137" s="191"/>
      <c r="AE137" s="191"/>
      <c r="AF137" s="191"/>
      <c r="AG137" s="191"/>
      <c r="AH137" s="191"/>
      <c r="AI137" s="127"/>
      <c r="AJ137" s="191"/>
      <c r="AK137" s="191"/>
      <c r="AL137" s="190"/>
      <c r="AM137" s="191"/>
      <c r="AQ137" s="194"/>
      <c r="AR137" s="127"/>
      <c r="AS137" s="194"/>
      <c r="AT137" s="194"/>
      <c r="AU137" s="194"/>
      <c r="AV137" s="194"/>
      <c r="AW137" s="194"/>
      <c r="AX137" s="194"/>
      <c r="AY137" s="193"/>
      <c r="AZ137" s="194"/>
      <c r="BA137" s="21"/>
      <c r="BE137" s="188" t="s">
        <v>1335</v>
      </c>
      <c r="BF137" s="188" t="s">
        <v>3864</v>
      </c>
      <c r="BG137" s="127">
        <v>42907</v>
      </c>
      <c r="BH137" s="188" t="s">
        <v>10</v>
      </c>
      <c r="BI137" s="188" t="s">
        <v>598</v>
      </c>
      <c r="BJ137" s="189">
        <v>2500</v>
      </c>
      <c r="BK137" s="188" t="s">
        <v>493</v>
      </c>
      <c r="BL137" s="188">
        <v>2828</v>
      </c>
      <c r="BM137" s="189">
        <v>2500</v>
      </c>
      <c r="BN137" s="188" t="s">
        <v>598</v>
      </c>
      <c r="BO137" s="127">
        <v>42882</v>
      </c>
      <c r="BP137" s="188" t="s">
        <v>598</v>
      </c>
      <c r="BQ137" s="188" t="s">
        <v>102</v>
      </c>
      <c r="BR137" s="188" t="s">
        <v>241</v>
      </c>
      <c r="BS137" s="188" t="s">
        <v>598</v>
      </c>
      <c r="BT137" s="188" t="s">
        <v>63</v>
      </c>
      <c r="BU137" s="188" t="s">
        <v>63</v>
      </c>
      <c r="BV137" s="188" t="s">
        <v>598</v>
      </c>
      <c r="BZ137" s="188">
        <v>136</v>
      </c>
      <c r="CA137" s="127">
        <v>42899</v>
      </c>
      <c r="CB137" s="188" t="s">
        <v>504</v>
      </c>
      <c r="CC137" s="188" t="s">
        <v>545</v>
      </c>
      <c r="CD137" s="188" t="s">
        <v>73</v>
      </c>
      <c r="CE137" s="188"/>
      <c r="CF137" s="188" t="s">
        <v>34</v>
      </c>
      <c r="CG137" s="188"/>
      <c r="CH137" s="189">
        <v>800</v>
      </c>
      <c r="CI137" s="188"/>
    </row>
    <row r="138" spans="5:87">
      <c r="E138" s="21"/>
      <c r="Q138" s="191"/>
      <c r="R138" s="191"/>
      <c r="S138" s="191"/>
      <c r="T138" s="127"/>
      <c r="U138" s="127"/>
      <c r="V138" s="191"/>
      <c r="W138" s="190"/>
      <c r="X138" s="191"/>
      <c r="Y138" s="191"/>
      <c r="Z138" s="191"/>
      <c r="AA138" s="191"/>
      <c r="AB138" s="191"/>
      <c r="AC138" s="191"/>
      <c r="AD138" s="191"/>
      <c r="AE138" s="191"/>
      <c r="AF138" s="191"/>
      <c r="AG138" s="191"/>
      <c r="AH138" s="191"/>
      <c r="AI138" s="127"/>
      <c r="AJ138" s="191"/>
      <c r="AK138" s="191"/>
      <c r="AL138" s="190"/>
      <c r="AM138" s="191"/>
      <c r="AQ138" s="194"/>
      <c r="AR138" s="127"/>
      <c r="AS138" s="194"/>
      <c r="AT138" s="194"/>
      <c r="AU138" s="194"/>
      <c r="AV138" s="194"/>
      <c r="AW138" s="194"/>
      <c r="AX138" s="194"/>
      <c r="AY138" s="193"/>
      <c r="AZ138" s="194"/>
      <c r="BA138" s="21"/>
      <c r="BE138" s="188" t="s">
        <v>1339</v>
      </c>
      <c r="BF138" s="188" t="s">
        <v>3865</v>
      </c>
      <c r="BG138" s="127">
        <v>42888</v>
      </c>
      <c r="BH138" s="188" t="s">
        <v>34</v>
      </c>
      <c r="BI138" s="188" t="s">
        <v>598</v>
      </c>
      <c r="BJ138" s="189">
        <v>1000</v>
      </c>
      <c r="BK138" s="188" t="s">
        <v>573</v>
      </c>
      <c r="BL138" s="188" t="s">
        <v>598</v>
      </c>
      <c r="BM138" s="189">
        <v>0</v>
      </c>
      <c r="BN138" s="188" t="s">
        <v>598</v>
      </c>
      <c r="BO138" s="127">
        <v>42885</v>
      </c>
      <c r="BP138" s="188" t="s">
        <v>598</v>
      </c>
      <c r="BQ138" s="188" t="s">
        <v>102</v>
      </c>
      <c r="BR138" s="188" t="s">
        <v>598</v>
      </c>
      <c r="BS138" s="188" t="s">
        <v>598</v>
      </c>
      <c r="BT138" s="188" t="s">
        <v>63</v>
      </c>
      <c r="BU138" s="188" t="s">
        <v>63</v>
      </c>
      <c r="BV138" s="188" t="s">
        <v>598</v>
      </c>
      <c r="BZ138" s="188">
        <v>137</v>
      </c>
      <c r="CA138" s="127">
        <v>42899</v>
      </c>
      <c r="CB138" s="188" t="s">
        <v>504</v>
      </c>
      <c r="CC138" s="188" t="s">
        <v>545</v>
      </c>
      <c r="CD138" s="188" t="s">
        <v>30</v>
      </c>
      <c r="CE138" s="188"/>
      <c r="CF138" s="188" t="s">
        <v>34</v>
      </c>
      <c r="CG138" s="188"/>
      <c r="CH138" s="189">
        <v>800</v>
      </c>
      <c r="CI138" s="188"/>
    </row>
    <row r="139" spans="5:87">
      <c r="E139" s="21"/>
      <c r="Q139" s="191"/>
      <c r="R139" s="191"/>
      <c r="S139" s="191"/>
      <c r="T139" s="127"/>
      <c r="U139" s="127"/>
      <c r="V139" s="191"/>
      <c r="W139" s="190"/>
      <c r="X139" s="191"/>
      <c r="Y139" s="191"/>
      <c r="Z139" s="191"/>
      <c r="AA139" s="191"/>
      <c r="AB139" s="191"/>
      <c r="AC139" s="191"/>
      <c r="AD139" s="191"/>
      <c r="AE139" s="191"/>
      <c r="AF139" s="191"/>
      <c r="AG139" s="191"/>
      <c r="AH139" s="191"/>
      <c r="AI139" s="127"/>
      <c r="AJ139" s="191"/>
      <c r="AK139" s="191"/>
      <c r="AL139" s="190"/>
      <c r="AM139" s="191"/>
      <c r="AQ139" s="194"/>
      <c r="AR139" s="127"/>
      <c r="AS139" s="194"/>
      <c r="AT139" s="194"/>
      <c r="AU139" s="194"/>
      <c r="AV139" s="194"/>
      <c r="AW139" s="194"/>
      <c r="AX139" s="194"/>
      <c r="AY139" s="193"/>
      <c r="AZ139" s="194"/>
      <c r="BA139" s="21"/>
      <c r="BE139" s="188" t="s">
        <v>1341</v>
      </c>
      <c r="BF139" s="188" t="s">
        <v>3866</v>
      </c>
      <c r="BG139" s="127">
        <v>42889</v>
      </c>
      <c r="BH139" s="188" t="s">
        <v>34</v>
      </c>
      <c r="BI139" s="188" t="s">
        <v>598</v>
      </c>
      <c r="BJ139" s="189">
        <v>3500</v>
      </c>
      <c r="BK139" s="188" t="s">
        <v>493</v>
      </c>
      <c r="BL139" s="188" t="s">
        <v>598</v>
      </c>
      <c r="BM139" s="189">
        <v>0</v>
      </c>
      <c r="BN139" s="188" t="s">
        <v>598</v>
      </c>
      <c r="BO139" s="127">
        <v>42885</v>
      </c>
      <c r="BP139" s="188" t="s">
        <v>598</v>
      </c>
      <c r="BQ139" s="188" t="s">
        <v>102</v>
      </c>
      <c r="BR139" s="188" t="s">
        <v>598</v>
      </c>
      <c r="BS139" s="188" t="s">
        <v>598</v>
      </c>
      <c r="BT139" s="188" t="s">
        <v>63</v>
      </c>
      <c r="BU139" s="188" t="s">
        <v>63</v>
      </c>
      <c r="BV139" s="188" t="s">
        <v>598</v>
      </c>
      <c r="BZ139" s="188">
        <v>138</v>
      </c>
      <c r="CA139" s="127">
        <v>42899</v>
      </c>
      <c r="CB139" s="188" t="s">
        <v>504</v>
      </c>
      <c r="CC139" s="188" t="s">
        <v>545</v>
      </c>
      <c r="CD139" s="188" t="s">
        <v>98</v>
      </c>
      <c r="CE139" s="188"/>
      <c r="CF139" s="188" t="s">
        <v>34</v>
      </c>
      <c r="CG139" s="188"/>
      <c r="CH139" s="189">
        <v>800</v>
      </c>
      <c r="CI139" s="188"/>
    </row>
    <row r="140" spans="5:87">
      <c r="E140" s="21"/>
      <c r="Q140" s="191"/>
      <c r="R140" s="191"/>
      <c r="S140" s="191"/>
      <c r="T140" s="127"/>
      <c r="U140" s="127"/>
      <c r="V140" s="191"/>
      <c r="W140" s="190"/>
      <c r="X140" s="191"/>
      <c r="Y140" s="191"/>
      <c r="Z140" s="191"/>
      <c r="AA140" s="191"/>
      <c r="AB140" s="191"/>
      <c r="AC140" s="191"/>
      <c r="AD140" s="191"/>
      <c r="AE140" s="191"/>
      <c r="AF140" s="191"/>
      <c r="AG140" s="191"/>
      <c r="AH140" s="191"/>
      <c r="AI140" s="127"/>
      <c r="AJ140" s="191"/>
      <c r="AK140" s="191"/>
      <c r="AL140" s="190"/>
      <c r="AM140" s="191"/>
      <c r="AQ140" s="194"/>
      <c r="AR140" s="127"/>
      <c r="AS140" s="194"/>
      <c r="AT140" s="194"/>
      <c r="AU140" s="194"/>
      <c r="AV140" s="194"/>
      <c r="AW140" s="194"/>
      <c r="AX140" s="194"/>
      <c r="AY140" s="193"/>
      <c r="AZ140" s="194"/>
      <c r="BA140" s="21"/>
      <c r="BE140" s="188" t="s">
        <v>1378</v>
      </c>
      <c r="BF140" s="188" t="s">
        <v>3867</v>
      </c>
      <c r="BG140" s="127">
        <v>42909</v>
      </c>
      <c r="BH140" s="188" t="s">
        <v>10</v>
      </c>
      <c r="BI140" s="188" t="s">
        <v>598</v>
      </c>
      <c r="BJ140" s="189">
        <v>5000</v>
      </c>
      <c r="BK140" s="188" t="s">
        <v>493</v>
      </c>
      <c r="BL140" s="188" t="s">
        <v>598</v>
      </c>
      <c r="BM140" s="189">
        <v>0</v>
      </c>
      <c r="BN140" s="188" t="s">
        <v>598</v>
      </c>
      <c r="BO140" s="127">
        <v>42567</v>
      </c>
      <c r="BP140" s="188" t="s">
        <v>134</v>
      </c>
      <c r="BQ140" s="188" t="s">
        <v>49</v>
      </c>
      <c r="BR140" s="188" t="s">
        <v>246</v>
      </c>
      <c r="BS140" s="188" t="s">
        <v>598</v>
      </c>
      <c r="BT140" s="188" t="s">
        <v>79</v>
      </c>
      <c r="BU140" s="188" t="s">
        <v>112</v>
      </c>
      <c r="BV140" s="188" t="s">
        <v>598</v>
      </c>
      <c r="BZ140" s="188">
        <v>139</v>
      </c>
      <c r="CA140" s="127">
        <v>42899</v>
      </c>
      <c r="CB140" s="188" t="s">
        <v>504</v>
      </c>
      <c r="CC140" s="188" t="s">
        <v>545</v>
      </c>
      <c r="CD140" s="188" t="s">
        <v>112</v>
      </c>
      <c r="CE140" s="188"/>
      <c r="CF140" s="188" t="s">
        <v>34</v>
      </c>
      <c r="CG140" s="188"/>
      <c r="CH140" s="189">
        <v>800</v>
      </c>
      <c r="CI140" s="188"/>
    </row>
    <row r="141" spans="5:87">
      <c r="E141" s="21"/>
      <c r="Q141" s="191"/>
      <c r="R141" s="191"/>
      <c r="S141" s="191"/>
      <c r="T141" s="127"/>
      <c r="U141" s="127"/>
      <c r="V141" s="191"/>
      <c r="W141" s="190"/>
      <c r="X141" s="191"/>
      <c r="Y141" s="191"/>
      <c r="Z141" s="191"/>
      <c r="AA141" s="191"/>
      <c r="AB141" s="191"/>
      <c r="AC141" s="191"/>
      <c r="AD141" s="191"/>
      <c r="AE141" s="191"/>
      <c r="AF141" s="191"/>
      <c r="AG141" s="191"/>
      <c r="AH141" s="191"/>
      <c r="AI141" s="127"/>
      <c r="AJ141" s="191"/>
      <c r="AK141" s="191"/>
      <c r="AL141" s="190"/>
      <c r="AM141" s="191"/>
      <c r="AQ141" s="194"/>
      <c r="AR141" s="127"/>
      <c r="AS141" s="194"/>
      <c r="AT141" s="194"/>
      <c r="AU141" s="194"/>
      <c r="AV141" s="194"/>
      <c r="AW141" s="194"/>
      <c r="AX141" s="194"/>
      <c r="AY141" s="193"/>
      <c r="AZ141" s="194"/>
      <c r="BA141" s="21"/>
      <c r="BE141" s="188" t="s">
        <v>1380</v>
      </c>
      <c r="BF141" s="188" t="s">
        <v>3868</v>
      </c>
      <c r="BG141" s="127">
        <v>42909</v>
      </c>
      <c r="BH141" s="188" t="s">
        <v>10</v>
      </c>
      <c r="BI141" s="188" t="s">
        <v>598</v>
      </c>
      <c r="BJ141" s="189">
        <v>5000</v>
      </c>
      <c r="BK141" s="188" t="s">
        <v>493</v>
      </c>
      <c r="BL141" s="188" t="s">
        <v>598</v>
      </c>
      <c r="BM141" s="189">
        <v>0</v>
      </c>
      <c r="BN141" s="188" t="s">
        <v>598</v>
      </c>
      <c r="BO141" s="127">
        <v>42668</v>
      </c>
      <c r="BP141" s="188" t="s">
        <v>134</v>
      </c>
      <c r="BQ141" s="188" t="s">
        <v>49</v>
      </c>
      <c r="BR141" s="188" t="s">
        <v>1382</v>
      </c>
      <c r="BS141" s="188" t="s">
        <v>598</v>
      </c>
      <c r="BT141" s="188" t="s">
        <v>79</v>
      </c>
      <c r="BU141" s="188" t="s">
        <v>112</v>
      </c>
      <c r="BV141" s="188" t="s">
        <v>598</v>
      </c>
      <c r="BZ141" s="188">
        <v>140</v>
      </c>
      <c r="CA141" s="127">
        <v>42899</v>
      </c>
      <c r="CB141" s="188" t="s">
        <v>504</v>
      </c>
      <c r="CC141" s="188" t="s">
        <v>545</v>
      </c>
      <c r="CD141" s="188" t="s">
        <v>79</v>
      </c>
      <c r="CE141" s="188"/>
      <c r="CF141" s="188" t="s">
        <v>34</v>
      </c>
      <c r="CG141" s="188"/>
      <c r="CH141" s="189">
        <v>800</v>
      </c>
      <c r="CI141" s="188"/>
    </row>
    <row r="142" spans="5:87">
      <c r="E142" s="21"/>
      <c r="Q142" s="191"/>
      <c r="R142" s="191"/>
      <c r="S142" s="191"/>
      <c r="T142" s="127"/>
      <c r="U142" s="127"/>
      <c r="V142" s="191"/>
      <c r="W142" s="190"/>
      <c r="X142" s="191"/>
      <c r="Y142" s="191"/>
      <c r="Z142" s="191"/>
      <c r="AA142" s="191"/>
      <c r="AB142" s="191"/>
      <c r="AC142" s="191"/>
      <c r="AD142" s="191"/>
      <c r="AE142" s="191"/>
      <c r="AF142" s="191"/>
      <c r="AG142" s="191"/>
      <c r="AH142" s="191"/>
      <c r="AI142" s="127"/>
      <c r="AJ142" s="191"/>
      <c r="AK142" s="191"/>
      <c r="AL142" s="190"/>
      <c r="AM142" s="191"/>
      <c r="AQ142" s="194"/>
      <c r="AR142" s="127"/>
      <c r="AS142" s="194"/>
      <c r="AT142" s="194"/>
      <c r="AU142" s="194"/>
      <c r="AV142" s="194"/>
      <c r="AW142" s="194"/>
      <c r="AX142" s="194"/>
      <c r="AY142" s="193"/>
      <c r="AZ142" s="194"/>
      <c r="BA142" s="21"/>
      <c r="BE142" s="188" t="s">
        <v>1383</v>
      </c>
      <c r="BF142" s="188" t="s">
        <v>3869</v>
      </c>
      <c r="BG142" s="127">
        <v>42888</v>
      </c>
      <c r="BH142" s="188" t="s">
        <v>10</v>
      </c>
      <c r="BI142" s="188" t="s">
        <v>598</v>
      </c>
      <c r="BJ142" s="189">
        <v>8000</v>
      </c>
      <c r="BK142" s="188" t="s">
        <v>493</v>
      </c>
      <c r="BL142" s="188" t="s">
        <v>598</v>
      </c>
      <c r="BM142" s="189">
        <v>0</v>
      </c>
      <c r="BN142" s="188" t="s">
        <v>598</v>
      </c>
      <c r="BO142" s="127">
        <v>42681</v>
      </c>
      <c r="BP142" s="188" t="s">
        <v>115</v>
      </c>
      <c r="BQ142" s="188" t="s">
        <v>49</v>
      </c>
      <c r="BR142" s="188" t="s">
        <v>598</v>
      </c>
      <c r="BS142" s="188" t="s">
        <v>598</v>
      </c>
      <c r="BT142" s="188" t="s">
        <v>79</v>
      </c>
      <c r="BU142" s="188" t="s">
        <v>85</v>
      </c>
      <c r="BV142" s="188" t="s">
        <v>598</v>
      </c>
      <c r="BZ142" s="188">
        <v>141</v>
      </c>
      <c r="CA142" s="127">
        <v>42899</v>
      </c>
      <c r="CB142" s="188" t="s">
        <v>504</v>
      </c>
      <c r="CC142" s="188" t="s">
        <v>545</v>
      </c>
      <c r="CD142" s="188" t="s">
        <v>65</v>
      </c>
      <c r="CE142" s="188"/>
      <c r="CF142" s="188" t="s">
        <v>34</v>
      </c>
      <c r="CG142" s="188"/>
      <c r="CH142" s="189">
        <v>800</v>
      </c>
      <c r="CI142" s="188"/>
    </row>
    <row r="143" spans="5:87">
      <c r="E143" s="21"/>
      <c r="Q143" s="191"/>
      <c r="R143" s="191"/>
      <c r="S143" s="191"/>
      <c r="T143" s="127"/>
      <c r="U143" s="127"/>
      <c r="V143" s="191"/>
      <c r="W143" s="190"/>
      <c r="X143" s="191"/>
      <c r="Y143" s="191"/>
      <c r="Z143" s="191"/>
      <c r="AA143" s="191"/>
      <c r="AB143" s="191"/>
      <c r="AC143" s="191"/>
      <c r="AD143" s="191"/>
      <c r="AE143" s="191"/>
      <c r="AF143" s="191"/>
      <c r="AG143" s="191"/>
      <c r="AH143" s="191"/>
      <c r="AI143" s="127"/>
      <c r="AJ143" s="191"/>
      <c r="AK143" s="191"/>
      <c r="AL143" s="190"/>
      <c r="AM143" s="191"/>
      <c r="AQ143" s="194"/>
      <c r="AR143" s="127"/>
      <c r="AS143" s="194"/>
      <c r="AT143" s="194"/>
      <c r="AU143" s="194"/>
      <c r="AV143" s="194"/>
      <c r="AW143" s="194"/>
      <c r="AX143" s="194"/>
      <c r="AY143" s="193"/>
      <c r="AZ143" s="194"/>
      <c r="BA143" s="21"/>
      <c r="BE143" s="188" t="s">
        <v>1387</v>
      </c>
      <c r="BF143" s="188" t="s">
        <v>3870</v>
      </c>
      <c r="BG143" s="127">
        <v>42888</v>
      </c>
      <c r="BH143" s="188" t="s">
        <v>10</v>
      </c>
      <c r="BI143" s="188" t="s">
        <v>598</v>
      </c>
      <c r="BJ143" s="189">
        <v>8000</v>
      </c>
      <c r="BK143" s="188" t="s">
        <v>493</v>
      </c>
      <c r="BL143" s="188" t="s">
        <v>598</v>
      </c>
      <c r="BM143" s="189">
        <v>0</v>
      </c>
      <c r="BN143" s="188" t="s">
        <v>598</v>
      </c>
      <c r="BO143" s="127">
        <v>42754</v>
      </c>
      <c r="BP143" s="188" t="s">
        <v>115</v>
      </c>
      <c r="BQ143" s="188" t="s">
        <v>49</v>
      </c>
      <c r="BR143" s="188" t="s">
        <v>598</v>
      </c>
      <c r="BS143" s="188" t="s">
        <v>598</v>
      </c>
      <c r="BT143" s="188" t="s">
        <v>79</v>
      </c>
      <c r="BU143" s="188" t="s">
        <v>112</v>
      </c>
      <c r="BV143" s="188" t="s">
        <v>598</v>
      </c>
      <c r="BZ143" s="188">
        <v>142</v>
      </c>
      <c r="CA143" s="127">
        <v>42899</v>
      </c>
      <c r="CB143" s="188" t="s">
        <v>504</v>
      </c>
      <c r="CC143" s="188" t="s">
        <v>545</v>
      </c>
      <c r="CD143" s="188" t="s">
        <v>42</v>
      </c>
      <c r="CE143" s="188"/>
      <c r="CF143" s="188" t="s">
        <v>34</v>
      </c>
      <c r="CG143" s="188"/>
      <c r="CH143" s="189">
        <v>800</v>
      </c>
      <c r="CI143" s="188"/>
    </row>
    <row r="144" spans="5:87">
      <c r="E144" s="21"/>
      <c r="Q144" s="191"/>
      <c r="R144" s="191"/>
      <c r="S144" s="191"/>
      <c r="T144" s="127"/>
      <c r="U144" s="127"/>
      <c r="V144" s="191"/>
      <c r="W144" s="190"/>
      <c r="X144" s="191"/>
      <c r="Y144" s="191"/>
      <c r="Z144" s="191"/>
      <c r="AA144" s="191"/>
      <c r="AB144" s="191"/>
      <c r="AC144" s="191"/>
      <c r="AD144" s="191"/>
      <c r="AE144" s="191"/>
      <c r="AF144" s="191"/>
      <c r="AG144" s="191"/>
      <c r="AH144" s="191"/>
      <c r="AI144" s="127"/>
      <c r="AJ144" s="191"/>
      <c r="AK144" s="191"/>
      <c r="AL144" s="190"/>
      <c r="AM144" s="191"/>
      <c r="AQ144" s="194"/>
      <c r="AR144" s="127"/>
      <c r="AS144" s="194"/>
      <c r="AT144" s="194"/>
      <c r="AU144" s="194"/>
      <c r="AV144" s="194"/>
      <c r="AW144" s="194"/>
      <c r="AX144" s="194"/>
      <c r="AY144" s="193"/>
      <c r="AZ144" s="194"/>
      <c r="BA144" s="21"/>
      <c r="BE144" s="188" t="s">
        <v>1393</v>
      </c>
      <c r="BF144" s="188" t="s">
        <v>3871</v>
      </c>
      <c r="BG144" s="127">
        <v>42901</v>
      </c>
      <c r="BH144" s="188" t="s">
        <v>10</v>
      </c>
      <c r="BI144" s="188" t="s">
        <v>598</v>
      </c>
      <c r="BJ144" s="189">
        <v>4000</v>
      </c>
      <c r="BK144" s="188" t="s">
        <v>493</v>
      </c>
      <c r="BL144" s="188" t="s">
        <v>598</v>
      </c>
      <c r="BM144" s="189">
        <v>0</v>
      </c>
      <c r="BN144" s="188" t="s">
        <v>598</v>
      </c>
      <c r="BO144" s="127">
        <v>42845</v>
      </c>
      <c r="BP144" s="188" t="s">
        <v>598</v>
      </c>
      <c r="BQ144" s="188" t="s">
        <v>49</v>
      </c>
      <c r="BR144" s="188" t="s">
        <v>248</v>
      </c>
      <c r="BS144" s="188" t="s">
        <v>598</v>
      </c>
      <c r="BT144" s="188" t="s">
        <v>79</v>
      </c>
      <c r="BU144" s="188" t="s">
        <v>79</v>
      </c>
      <c r="BV144" s="188" t="s">
        <v>598</v>
      </c>
      <c r="BZ144" s="188">
        <v>143</v>
      </c>
      <c r="CA144" s="127">
        <v>42899</v>
      </c>
      <c r="CB144" s="188" t="s">
        <v>504</v>
      </c>
      <c r="CC144" s="188" t="s">
        <v>545</v>
      </c>
      <c r="CD144" s="188" t="s">
        <v>63</v>
      </c>
      <c r="CE144" s="188"/>
      <c r="CF144" s="188" t="s">
        <v>34</v>
      </c>
      <c r="CG144" s="188"/>
      <c r="CH144" s="189">
        <v>500</v>
      </c>
      <c r="CI144" s="188"/>
    </row>
    <row r="145" spans="5:87">
      <c r="E145" s="21"/>
      <c r="Q145" s="191"/>
      <c r="R145" s="191"/>
      <c r="S145" s="191"/>
      <c r="T145" s="127"/>
      <c r="U145" s="127"/>
      <c r="V145" s="191"/>
      <c r="W145" s="190"/>
      <c r="X145" s="191"/>
      <c r="Y145" s="191"/>
      <c r="Z145" s="191"/>
      <c r="AA145" s="191"/>
      <c r="AB145" s="191"/>
      <c r="AC145" s="191"/>
      <c r="AD145" s="191"/>
      <c r="AE145" s="191"/>
      <c r="AF145" s="191"/>
      <c r="AG145" s="191"/>
      <c r="AH145" s="191"/>
      <c r="AI145" s="127"/>
      <c r="AJ145" s="191"/>
      <c r="AK145" s="191"/>
      <c r="AL145" s="190"/>
      <c r="AM145" s="191"/>
      <c r="AQ145" s="194"/>
      <c r="AR145" s="127"/>
      <c r="AS145" s="194"/>
      <c r="AT145" s="194"/>
      <c r="AU145" s="194"/>
      <c r="AV145" s="194"/>
      <c r="AW145" s="194"/>
      <c r="AX145" s="194"/>
      <c r="AY145" s="193"/>
      <c r="AZ145" s="194"/>
      <c r="BA145" s="21"/>
      <c r="BE145" s="188" t="s">
        <v>1395</v>
      </c>
      <c r="BF145" s="188" t="s">
        <v>3872</v>
      </c>
      <c r="BG145" s="127">
        <v>42901</v>
      </c>
      <c r="BH145" s="188" t="s">
        <v>10</v>
      </c>
      <c r="BI145" s="188" t="s">
        <v>598</v>
      </c>
      <c r="BJ145" s="189">
        <v>4000</v>
      </c>
      <c r="BK145" s="188" t="s">
        <v>493</v>
      </c>
      <c r="BL145" s="188" t="s">
        <v>598</v>
      </c>
      <c r="BM145" s="189">
        <v>0</v>
      </c>
      <c r="BN145" s="188" t="s">
        <v>598</v>
      </c>
      <c r="BO145" s="127">
        <v>42856</v>
      </c>
      <c r="BP145" s="188" t="s">
        <v>134</v>
      </c>
      <c r="BQ145" s="188" t="s">
        <v>49</v>
      </c>
      <c r="BR145" s="188" t="s">
        <v>248</v>
      </c>
      <c r="BS145" s="188" t="s">
        <v>598</v>
      </c>
      <c r="BT145" s="188" t="s">
        <v>79</v>
      </c>
      <c r="BU145" s="188" t="s">
        <v>79</v>
      </c>
      <c r="BV145" s="188" t="s">
        <v>598</v>
      </c>
      <c r="BZ145" s="188">
        <v>144</v>
      </c>
      <c r="CA145" s="127">
        <v>42899</v>
      </c>
      <c r="CB145" s="188" t="s">
        <v>504</v>
      </c>
      <c r="CC145" s="188" t="s">
        <v>545</v>
      </c>
      <c r="CD145" s="188" t="s">
        <v>85</v>
      </c>
      <c r="CE145" s="188"/>
      <c r="CF145" s="188" t="s">
        <v>34</v>
      </c>
      <c r="CG145" s="188"/>
      <c r="CH145" s="189">
        <v>800</v>
      </c>
      <c r="CI145" s="188"/>
    </row>
    <row r="146" spans="5:87">
      <c r="E146" s="21"/>
      <c r="Q146" s="191"/>
      <c r="R146" s="191"/>
      <c r="S146" s="191"/>
      <c r="T146" s="127"/>
      <c r="U146" s="127"/>
      <c r="V146" s="191"/>
      <c r="W146" s="190"/>
      <c r="X146" s="191"/>
      <c r="Y146" s="191"/>
      <c r="Z146" s="191"/>
      <c r="AA146" s="191"/>
      <c r="AB146" s="191"/>
      <c r="AC146" s="191"/>
      <c r="AD146" s="191"/>
      <c r="AE146" s="191"/>
      <c r="AF146" s="191"/>
      <c r="AG146" s="191"/>
      <c r="AH146" s="191"/>
      <c r="AI146" s="127"/>
      <c r="AJ146" s="191"/>
      <c r="AK146" s="191"/>
      <c r="AL146" s="190"/>
      <c r="AM146" s="191"/>
      <c r="AQ146" s="194"/>
      <c r="AR146" s="127"/>
      <c r="AS146" s="194"/>
      <c r="AT146" s="194"/>
      <c r="AU146" s="194"/>
      <c r="AV146" s="194"/>
      <c r="AW146" s="194"/>
      <c r="AX146" s="194"/>
      <c r="AY146" s="193"/>
      <c r="AZ146" s="194"/>
      <c r="BA146" s="21"/>
      <c r="BE146" s="188" t="s">
        <v>1396</v>
      </c>
      <c r="BF146" s="188" t="s">
        <v>3873</v>
      </c>
      <c r="BG146" s="127">
        <v>42901</v>
      </c>
      <c r="BH146" s="188" t="s">
        <v>10</v>
      </c>
      <c r="BI146" s="188" t="s">
        <v>598</v>
      </c>
      <c r="BJ146" s="189">
        <v>2500</v>
      </c>
      <c r="BK146" s="188" t="s">
        <v>493</v>
      </c>
      <c r="BL146" s="188" t="s">
        <v>598</v>
      </c>
      <c r="BM146" s="189">
        <v>0</v>
      </c>
      <c r="BN146" s="188" t="s">
        <v>598</v>
      </c>
      <c r="BO146" s="127">
        <v>42856</v>
      </c>
      <c r="BP146" s="188" t="s">
        <v>134</v>
      </c>
      <c r="BQ146" s="188" t="s">
        <v>49</v>
      </c>
      <c r="BR146" s="188" t="s">
        <v>248</v>
      </c>
      <c r="BS146" s="188" t="s">
        <v>598</v>
      </c>
      <c r="BT146" s="188" t="s">
        <v>79</v>
      </c>
      <c r="BU146" s="188" t="s">
        <v>79</v>
      </c>
      <c r="BV146" s="188" t="s">
        <v>598</v>
      </c>
      <c r="BZ146" s="188">
        <v>145</v>
      </c>
      <c r="CA146" s="127">
        <v>42899</v>
      </c>
      <c r="CB146" s="188" t="s">
        <v>504</v>
      </c>
      <c r="CC146" s="188" t="s">
        <v>545</v>
      </c>
      <c r="CD146" s="188" t="s">
        <v>51</v>
      </c>
      <c r="CE146" s="188"/>
      <c r="CF146" s="188" t="s">
        <v>34</v>
      </c>
      <c r="CG146" s="188"/>
      <c r="CH146" s="189">
        <v>800</v>
      </c>
      <c r="CI146" s="188"/>
    </row>
    <row r="147" spans="5:87">
      <c r="E147" s="21"/>
      <c r="Q147" s="191"/>
      <c r="R147" s="191"/>
      <c r="S147" s="191"/>
      <c r="T147" s="127"/>
      <c r="U147" s="127"/>
      <c r="V147" s="191"/>
      <c r="W147" s="190"/>
      <c r="X147" s="191"/>
      <c r="Y147" s="191"/>
      <c r="Z147" s="191"/>
      <c r="AA147" s="191"/>
      <c r="AB147" s="191"/>
      <c r="AC147" s="191"/>
      <c r="AD147" s="191"/>
      <c r="AE147" s="191"/>
      <c r="AF147" s="191"/>
      <c r="AG147" s="191"/>
      <c r="AH147" s="191"/>
      <c r="AI147" s="127"/>
      <c r="AJ147" s="191"/>
      <c r="AK147" s="191"/>
      <c r="AL147" s="190"/>
      <c r="AM147" s="191"/>
      <c r="AQ147" s="194"/>
      <c r="AR147" s="127"/>
      <c r="AS147" s="194"/>
      <c r="AT147" s="194"/>
      <c r="AU147" s="194"/>
      <c r="AV147" s="194"/>
      <c r="AW147" s="194"/>
      <c r="AX147" s="194"/>
      <c r="AY147" s="193"/>
      <c r="AZ147" s="194"/>
      <c r="BA147" s="21"/>
      <c r="BE147" s="188" t="s">
        <v>1398</v>
      </c>
      <c r="BF147" s="188" t="s">
        <v>3874</v>
      </c>
      <c r="BG147" s="127">
        <v>42901</v>
      </c>
      <c r="BH147" s="188" t="s">
        <v>10</v>
      </c>
      <c r="BI147" s="188" t="s">
        <v>598</v>
      </c>
      <c r="BJ147" s="189">
        <v>2500</v>
      </c>
      <c r="BK147" s="188" t="s">
        <v>493</v>
      </c>
      <c r="BL147" s="188" t="s">
        <v>598</v>
      </c>
      <c r="BM147" s="189">
        <v>0</v>
      </c>
      <c r="BN147" s="188" t="s">
        <v>598</v>
      </c>
      <c r="BO147" s="127">
        <v>42868</v>
      </c>
      <c r="BP147" s="188" t="s">
        <v>598</v>
      </c>
      <c r="BQ147" s="188" t="s">
        <v>49</v>
      </c>
      <c r="BR147" s="188" t="s">
        <v>248</v>
      </c>
      <c r="BS147" s="188" t="s">
        <v>598</v>
      </c>
      <c r="BT147" s="188" t="s">
        <v>79</v>
      </c>
      <c r="BU147" s="188" t="s">
        <v>79</v>
      </c>
      <c r="BV147" s="188" t="s">
        <v>598</v>
      </c>
      <c r="BZ147" s="188">
        <v>146</v>
      </c>
      <c r="CA147" s="127">
        <v>42899</v>
      </c>
      <c r="CB147" s="188" t="s">
        <v>504</v>
      </c>
      <c r="CC147" s="188" t="s">
        <v>545</v>
      </c>
      <c r="CD147" s="188" t="s">
        <v>88</v>
      </c>
      <c r="CE147" s="188"/>
      <c r="CF147" s="188" t="s">
        <v>34</v>
      </c>
      <c r="CG147" s="188"/>
      <c r="CH147" s="189">
        <v>800</v>
      </c>
      <c r="CI147" s="188"/>
    </row>
    <row r="148" spans="5:87">
      <c r="E148" s="21"/>
      <c r="Q148" s="191"/>
      <c r="R148" s="191"/>
      <c r="S148" s="191"/>
      <c r="T148" s="127"/>
      <c r="U148" s="127"/>
      <c r="V148" s="191"/>
      <c r="W148" s="190"/>
      <c r="X148" s="191"/>
      <c r="Y148" s="191"/>
      <c r="Z148" s="191"/>
      <c r="AA148" s="191"/>
      <c r="AB148" s="191"/>
      <c r="AC148" s="191"/>
      <c r="AD148" s="191"/>
      <c r="AE148" s="191"/>
      <c r="AF148" s="191"/>
      <c r="AG148" s="191"/>
      <c r="AH148" s="191"/>
      <c r="AI148" s="127"/>
      <c r="AJ148" s="191"/>
      <c r="AK148" s="191"/>
      <c r="AL148" s="190"/>
      <c r="AM148" s="191"/>
      <c r="AQ148" s="194"/>
      <c r="AR148" s="127"/>
      <c r="AS148" s="194"/>
      <c r="AT148" s="194"/>
      <c r="AU148" s="194"/>
      <c r="AV148" s="194"/>
      <c r="AW148" s="194"/>
      <c r="AX148" s="194"/>
      <c r="AY148" s="193"/>
      <c r="AZ148" s="194"/>
      <c r="BA148" s="21"/>
      <c r="BE148" s="188" t="s">
        <v>1400</v>
      </c>
      <c r="BF148" s="188" t="s">
        <v>3875</v>
      </c>
      <c r="BG148" s="127">
        <v>42894</v>
      </c>
      <c r="BH148" s="188" t="s">
        <v>10</v>
      </c>
      <c r="BI148" s="188" t="s">
        <v>598</v>
      </c>
      <c r="BJ148" s="189">
        <v>5000</v>
      </c>
      <c r="BK148" s="188" t="s">
        <v>493</v>
      </c>
      <c r="BL148" s="188" t="s">
        <v>598</v>
      </c>
      <c r="BM148" s="189">
        <v>0</v>
      </c>
      <c r="BN148" s="188" t="s">
        <v>598</v>
      </c>
      <c r="BO148" s="127">
        <v>42872</v>
      </c>
      <c r="BP148" s="188" t="s">
        <v>134</v>
      </c>
      <c r="BQ148" s="188" t="s">
        <v>49</v>
      </c>
      <c r="BR148" s="188" t="s">
        <v>249</v>
      </c>
      <c r="BS148" s="188" t="s">
        <v>598</v>
      </c>
      <c r="BT148" s="188" t="s">
        <v>79</v>
      </c>
      <c r="BU148" s="188" t="s">
        <v>112</v>
      </c>
      <c r="BV148" s="188" t="s">
        <v>598</v>
      </c>
      <c r="BZ148" s="188">
        <v>147</v>
      </c>
      <c r="CA148" s="127">
        <v>42899</v>
      </c>
      <c r="CB148" s="188" t="s">
        <v>504</v>
      </c>
      <c r="CC148" s="188" t="s">
        <v>545</v>
      </c>
      <c r="CD148" s="188" t="s">
        <v>324</v>
      </c>
      <c r="CE148" s="188"/>
      <c r="CF148" s="188" t="s">
        <v>34</v>
      </c>
      <c r="CG148" s="188"/>
      <c r="CH148" s="189">
        <v>800</v>
      </c>
      <c r="CI148" s="188"/>
    </row>
    <row r="149" spans="5:87">
      <c r="E149" s="21"/>
      <c r="Q149" s="191"/>
      <c r="R149" s="191"/>
      <c r="S149" s="191"/>
      <c r="T149" s="127"/>
      <c r="U149" s="127"/>
      <c r="V149" s="191"/>
      <c r="W149" s="190"/>
      <c r="X149" s="191"/>
      <c r="Y149" s="191"/>
      <c r="Z149" s="191"/>
      <c r="AA149" s="191"/>
      <c r="AB149" s="191"/>
      <c r="AC149" s="191"/>
      <c r="AD149" s="191"/>
      <c r="AE149" s="191"/>
      <c r="AF149" s="191"/>
      <c r="AG149" s="191"/>
      <c r="AH149" s="191"/>
      <c r="AI149" s="127"/>
      <c r="AJ149" s="191"/>
      <c r="AK149" s="191"/>
      <c r="AL149" s="190"/>
      <c r="AM149" s="191"/>
      <c r="AQ149" s="194"/>
      <c r="AR149" s="127"/>
      <c r="AS149" s="194"/>
      <c r="AT149" s="194"/>
      <c r="AU149" s="194"/>
      <c r="AV149" s="194"/>
      <c r="AW149" s="194"/>
      <c r="AX149" s="194"/>
      <c r="AY149" s="193"/>
      <c r="AZ149" s="194"/>
      <c r="BA149" s="21"/>
      <c r="BE149" s="188" t="s">
        <v>1402</v>
      </c>
      <c r="BF149" s="188" t="s">
        <v>3876</v>
      </c>
      <c r="BG149" s="127">
        <v>42893</v>
      </c>
      <c r="BH149" s="188" t="s">
        <v>10</v>
      </c>
      <c r="BI149" s="188" t="s">
        <v>598</v>
      </c>
      <c r="BJ149" s="189">
        <v>10000</v>
      </c>
      <c r="BK149" s="188" t="s">
        <v>493</v>
      </c>
      <c r="BL149" s="188" t="s">
        <v>598</v>
      </c>
      <c r="BM149" s="189">
        <v>0</v>
      </c>
      <c r="BN149" s="188" t="s">
        <v>598</v>
      </c>
      <c r="BO149" s="127">
        <v>42888</v>
      </c>
      <c r="BP149" s="188" t="s">
        <v>120</v>
      </c>
      <c r="BQ149" s="188" t="s">
        <v>49</v>
      </c>
      <c r="BR149" s="188" t="s">
        <v>182</v>
      </c>
      <c r="BS149" s="188" t="s">
        <v>598</v>
      </c>
      <c r="BT149" s="188" t="s">
        <v>79</v>
      </c>
      <c r="BU149" s="188" t="s">
        <v>79</v>
      </c>
      <c r="BV149" s="188" t="s">
        <v>598</v>
      </c>
      <c r="BZ149" s="188">
        <v>148</v>
      </c>
      <c r="CA149" s="127">
        <v>42899</v>
      </c>
      <c r="CB149" s="188" t="s">
        <v>504</v>
      </c>
      <c r="CC149" s="188" t="s">
        <v>545</v>
      </c>
      <c r="CD149" s="188" t="s">
        <v>178</v>
      </c>
      <c r="CE149" s="188"/>
      <c r="CF149" s="188" t="s">
        <v>34</v>
      </c>
      <c r="CG149" s="188"/>
      <c r="CH149" s="189">
        <v>800</v>
      </c>
      <c r="CI149" s="188"/>
    </row>
    <row r="150" spans="5:87">
      <c r="E150" s="21"/>
      <c r="Q150" s="191"/>
      <c r="R150" s="191"/>
      <c r="S150" s="191"/>
      <c r="T150" s="127"/>
      <c r="U150" s="127"/>
      <c r="V150" s="191"/>
      <c r="W150" s="190"/>
      <c r="X150" s="191"/>
      <c r="Y150" s="191"/>
      <c r="Z150" s="191"/>
      <c r="AA150" s="191"/>
      <c r="AB150" s="191"/>
      <c r="AC150" s="191"/>
      <c r="AD150" s="191"/>
      <c r="AE150" s="191"/>
      <c r="AF150" s="191"/>
      <c r="AG150" s="191"/>
      <c r="AH150" s="191"/>
      <c r="AI150" s="127"/>
      <c r="AJ150" s="191"/>
      <c r="AK150" s="191"/>
      <c r="AL150" s="190"/>
      <c r="AM150" s="191"/>
      <c r="AQ150" s="194"/>
      <c r="AR150" s="127"/>
      <c r="AS150" s="194"/>
      <c r="AT150" s="194"/>
      <c r="AU150" s="194"/>
      <c r="AV150" s="194"/>
      <c r="AW150" s="194"/>
      <c r="AX150" s="194"/>
      <c r="AY150" s="193"/>
      <c r="AZ150" s="194"/>
      <c r="BA150" s="21"/>
      <c r="BE150" s="188" t="s">
        <v>1404</v>
      </c>
      <c r="BF150" s="188" t="s">
        <v>3877</v>
      </c>
      <c r="BG150" s="127">
        <v>42893</v>
      </c>
      <c r="BH150" s="188" t="s">
        <v>10</v>
      </c>
      <c r="BI150" s="188" t="s">
        <v>598</v>
      </c>
      <c r="BJ150" s="189">
        <v>10000</v>
      </c>
      <c r="BK150" s="188" t="s">
        <v>493</v>
      </c>
      <c r="BL150" s="188" t="s">
        <v>598</v>
      </c>
      <c r="BM150" s="189">
        <v>0</v>
      </c>
      <c r="BN150" s="188" t="s">
        <v>598</v>
      </c>
      <c r="BO150" s="127">
        <v>42888</v>
      </c>
      <c r="BP150" s="188" t="s">
        <v>120</v>
      </c>
      <c r="BQ150" s="188" t="s">
        <v>49</v>
      </c>
      <c r="BR150" s="188" t="s">
        <v>182</v>
      </c>
      <c r="BS150" s="188" t="s">
        <v>598</v>
      </c>
      <c r="BT150" s="188" t="s">
        <v>79</v>
      </c>
      <c r="BU150" s="188" t="s">
        <v>79</v>
      </c>
      <c r="BV150" s="188" t="s">
        <v>598</v>
      </c>
      <c r="BZ150" s="188">
        <v>149</v>
      </c>
      <c r="CA150" s="127">
        <v>42899</v>
      </c>
      <c r="CB150" s="188" t="s">
        <v>504</v>
      </c>
      <c r="CC150" s="188" t="s">
        <v>545</v>
      </c>
      <c r="CD150" s="188" t="s">
        <v>176</v>
      </c>
      <c r="CE150" s="188"/>
      <c r="CF150" s="188" t="s">
        <v>34</v>
      </c>
      <c r="CG150" s="188"/>
      <c r="CH150" s="189">
        <v>800</v>
      </c>
      <c r="CI150" s="188"/>
    </row>
    <row r="151" spans="5:87">
      <c r="E151" s="21"/>
      <c r="Q151" s="191"/>
      <c r="R151" s="191"/>
      <c r="S151" s="191"/>
      <c r="T151" s="127"/>
      <c r="U151" s="127"/>
      <c r="V151" s="191"/>
      <c r="W151" s="190"/>
      <c r="X151" s="191"/>
      <c r="Y151" s="191"/>
      <c r="Z151" s="191"/>
      <c r="AA151" s="191"/>
      <c r="AB151" s="191"/>
      <c r="AC151" s="191"/>
      <c r="AD151" s="191"/>
      <c r="AE151" s="191"/>
      <c r="AF151" s="191"/>
      <c r="AG151" s="191"/>
      <c r="AH151" s="191"/>
      <c r="AI151" s="127"/>
      <c r="AJ151" s="191"/>
      <c r="AK151" s="191"/>
      <c r="AL151" s="190"/>
      <c r="AM151" s="191"/>
      <c r="AQ151" s="194"/>
      <c r="AR151" s="127"/>
      <c r="AS151" s="194"/>
      <c r="AT151" s="194"/>
      <c r="AU151" s="194"/>
      <c r="AV151" s="194"/>
      <c r="AW151" s="194"/>
      <c r="AX151" s="194"/>
      <c r="AY151" s="193"/>
      <c r="AZ151" s="194"/>
      <c r="BA151" s="21"/>
      <c r="BE151" s="188" t="s">
        <v>1406</v>
      </c>
      <c r="BF151" s="188" t="s">
        <v>3878</v>
      </c>
      <c r="BG151" s="127">
        <v>42893</v>
      </c>
      <c r="BH151" s="188" t="s">
        <v>10</v>
      </c>
      <c r="BI151" s="188" t="s">
        <v>598</v>
      </c>
      <c r="BJ151" s="189">
        <v>10000</v>
      </c>
      <c r="BK151" s="188" t="s">
        <v>493</v>
      </c>
      <c r="BL151" s="188" t="s">
        <v>598</v>
      </c>
      <c r="BM151" s="189">
        <v>0</v>
      </c>
      <c r="BN151" s="188" t="s">
        <v>598</v>
      </c>
      <c r="BO151" s="127">
        <v>42888</v>
      </c>
      <c r="BP151" s="188" t="s">
        <v>120</v>
      </c>
      <c r="BQ151" s="188" t="s">
        <v>49</v>
      </c>
      <c r="BR151" s="188" t="s">
        <v>182</v>
      </c>
      <c r="BS151" s="188" t="s">
        <v>598</v>
      </c>
      <c r="BT151" s="188" t="s">
        <v>79</v>
      </c>
      <c r="BU151" s="188" t="s">
        <v>79</v>
      </c>
      <c r="BV151" s="188" t="s">
        <v>598</v>
      </c>
      <c r="BZ151" s="188">
        <v>150</v>
      </c>
      <c r="CA151" s="127">
        <v>42900</v>
      </c>
      <c r="CB151" s="188" t="s">
        <v>4426</v>
      </c>
      <c r="CC151" s="188" t="s">
        <v>320</v>
      </c>
      <c r="CD151" s="188" t="s">
        <v>321</v>
      </c>
      <c r="CE151" s="188"/>
      <c r="CF151" s="188" t="s">
        <v>34</v>
      </c>
      <c r="CG151" s="188"/>
      <c r="CH151" s="189">
        <v>500</v>
      </c>
      <c r="CI151" s="188"/>
    </row>
    <row r="152" spans="5:87">
      <c r="E152" s="21"/>
      <c r="Q152" s="191"/>
      <c r="R152" s="191"/>
      <c r="S152" s="191"/>
      <c r="T152" s="127"/>
      <c r="U152" s="127"/>
      <c r="V152" s="191"/>
      <c r="W152" s="190"/>
      <c r="X152" s="191"/>
      <c r="Y152" s="191"/>
      <c r="Z152" s="191"/>
      <c r="AA152" s="191"/>
      <c r="AB152" s="191"/>
      <c r="AC152" s="191"/>
      <c r="AD152" s="191"/>
      <c r="AE152" s="191"/>
      <c r="AF152" s="191"/>
      <c r="AG152" s="191"/>
      <c r="AH152" s="191"/>
      <c r="AI152" s="127"/>
      <c r="AJ152" s="191"/>
      <c r="AK152" s="191"/>
      <c r="AL152" s="190"/>
      <c r="AM152" s="191"/>
      <c r="AQ152" s="194"/>
      <c r="AR152" s="127"/>
      <c r="AS152" s="194"/>
      <c r="AT152" s="194"/>
      <c r="AU152" s="194"/>
      <c r="AV152" s="194"/>
      <c r="AW152" s="194"/>
      <c r="AX152" s="194"/>
      <c r="AY152" s="193"/>
      <c r="AZ152" s="194"/>
      <c r="BA152" s="21"/>
      <c r="BE152" s="188" t="s">
        <v>1407</v>
      </c>
      <c r="BF152" s="188" t="s">
        <v>3879</v>
      </c>
      <c r="BG152" s="127">
        <v>42914</v>
      </c>
      <c r="BH152" s="188" t="s">
        <v>10</v>
      </c>
      <c r="BI152" s="188" t="s">
        <v>598</v>
      </c>
      <c r="BJ152" s="189">
        <v>3000</v>
      </c>
      <c r="BK152" s="188" t="s">
        <v>493</v>
      </c>
      <c r="BL152" s="188" t="s">
        <v>598</v>
      </c>
      <c r="BM152" s="189">
        <v>0</v>
      </c>
      <c r="BN152" s="188" t="s">
        <v>598</v>
      </c>
      <c r="BO152" s="127">
        <v>42896</v>
      </c>
      <c r="BP152" s="188" t="s">
        <v>134</v>
      </c>
      <c r="BQ152" s="188" t="s">
        <v>49</v>
      </c>
      <c r="BR152" s="188" t="s">
        <v>248</v>
      </c>
      <c r="BS152" s="188" t="s">
        <v>598</v>
      </c>
      <c r="BT152" s="188" t="s">
        <v>79</v>
      </c>
      <c r="BU152" s="188" t="s">
        <v>79</v>
      </c>
      <c r="BV152" s="188" t="s">
        <v>598</v>
      </c>
      <c r="BZ152" s="188">
        <v>151</v>
      </c>
      <c r="CA152" s="127">
        <v>42900</v>
      </c>
      <c r="CB152" s="188" t="s">
        <v>4434</v>
      </c>
      <c r="CC152" s="188" t="s">
        <v>320</v>
      </c>
      <c r="CD152" s="188"/>
      <c r="CE152" s="188"/>
      <c r="CF152" s="188" t="s">
        <v>34</v>
      </c>
      <c r="CG152" s="188"/>
      <c r="CH152" s="189">
        <v>500</v>
      </c>
      <c r="CI152" s="188"/>
    </row>
    <row r="153" spans="5:87">
      <c r="E153" s="21"/>
      <c r="Q153" s="191"/>
      <c r="R153" s="191"/>
      <c r="S153" s="191"/>
      <c r="T153" s="127"/>
      <c r="U153" s="127"/>
      <c r="V153" s="191"/>
      <c r="W153" s="190"/>
      <c r="X153" s="191"/>
      <c r="Y153" s="191"/>
      <c r="Z153" s="191"/>
      <c r="AA153" s="191"/>
      <c r="AB153" s="191"/>
      <c r="AC153" s="191"/>
      <c r="AD153" s="191"/>
      <c r="AE153" s="191"/>
      <c r="AF153" s="191"/>
      <c r="AG153" s="191"/>
      <c r="AH153" s="191"/>
      <c r="AI153" s="127"/>
      <c r="AJ153" s="191"/>
      <c r="AK153" s="191"/>
      <c r="AL153" s="190"/>
      <c r="AM153" s="191"/>
      <c r="AQ153" s="194"/>
      <c r="AR153" s="127"/>
      <c r="AS153" s="194"/>
      <c r="AT153" s="194"/>
      <c r="AU153" s="194"/>
      <c r="AV153" s="194"/>
      <c r="AW153" s="194"/>
      <c r="AX153" s="194"/>
      <c r="AY153" s="193"/>
      <c r="AZ153" s="194"/>
      <c r="BA153" s="21"/>
      <c r="BE153" s="188" t="s">
        <v>1409</v>
      </c>
      <c r="BF153" s="188" t="s">
        <v>3880</v>
      </c>
      <c r="BG153" s="127">
        <v>42914</v>
      </c>
      <c r="BH153" s="188" t="s">
        <v>10</v>
      </c>
      <c r="BI153" s="188" t="s">
        <v>598</v>
      </c>
      <c r="BJ153" s="189">
        <v>3000</v>
      </c>
      <c r="BK153" s="188" t="s">
        <v>493</v>
      </c>
      <c r="BL153" s="188" t="s">
        <v>598</v>
      </c>
      <c r="BM153" s="189">
        <v>0</v>
      </c>
      <c r="BN153" s="188" t="s">
        <v>598</v>
      </c>
      <c r="BO153" s="127">
        <v>42898</v>
      </c>
      <c r="BP153" s="188" t="s">
        <v>134</v>
      </c>
      <c r="BQ153" s="188" t="s">
        <v>49</v>
      </c>
      <c r="BR153" s="188" t="s">
        <v>248</v>
      </c>
      <c r="BS153" s="188" t="s">
        <v>598</v>
      </c>
      <c r="BT153" s="188" t="s">
        <v>79</v>
      </c>
      <c r="BU153" s="188" t="s">
        <v>112</v>
      </c>
      <c r="BV153" s="188" t="s">
        <v>598</v>
      </c>
      <c r="BZ153" s="188">
        <v>152</v>
      </c>
      <c r="CA153" s="127">
        <v>42901</v>
      </c>
      <c r="CB153" s="188" t="s">
        <v>4434</v>
      </c>
      <c r="CC153" s="188" t="s">
        <v>320</v>
      </c>
      <c r="CD153" s="188"/>
      <c r="CE153" s="188"/>
      <c r="CF153" s="188" t="s">
        <v>34</v>
      </c>
      <c r="CG153" s="188"/>
      <c r="CH153" s="189">
        <v>200</v>
      </c>
      <c r="CI153" s="188"/>
    </row>
    <row r="154" spans="5:87">
      <c r="E154" s="21"/>
      <c r="Q154" s="191"/>
      <c r="R154" s="191"/>
      <c r="S154" s="191"/>
      <c r="T154" s="127"/>
      <c r="U154" s="127"/>
      <c r="V154" s="191"/>
      <c r="W154" s="190"/>
      <c r="X154" s="191"/>
      <c r="Y154" s="191"/>
      <c r="Z154" s="191"/>
      <c r="AA154" s="191"/>
      <c r="AB154" s="191"/>
      <c r="AC154" s="191"/>
      <c r="AD154" s="191"/>
      <c r="AE154" s="191"/>
      <c r="AF154" s="191"/>
      <c r="AG154" s="191"/>
      <c r="AH154" s="191"/>
      <c r="AI154" s="127"/>
      <c r="AJ154" s="191"/>
      <c r="AK154" s="191"/>
      <c r="AL154" s="190"/>
      <c r="AM154" s="191"/>
      <c r="AQ154" s="194"/>
      <c r="AR154" s="127"/>
      <c r="AS154" s="194"/>
      <c r="AT154" s="194"/>
      <c r="AU154" s="194"/>
      <c r="AV154" s="194"/>
      <c r="AW154" s="194"/>
      <c r="AX154" s="194"/>
      <c r="AY154" s="193"/>
      <c r="AZ154" s="194"/>
      <c r="BA154" s="21"/>
      <c r="BE154" s="188" t="s">
        <v>1413</v>
      </c>
      <c r="BF154" s="188" t="s">
        <v>3881</v>
      </c>
      <c r="BG154" s="127">
        <v>42909</v>
      </c>
      <c r="BH154" s="188" t="s">
        <v>34</v>
      </c>
      <c r="BI154" s="188" t="s">
        <v>598</v>
      </c>
      <c r="BJ154" s="189">
        <v>2000</v>
      </c>
      <c r="BK154" s="188" t="s">
        <v>493</v>
      </c>
      <c r="BL154" s="188" t="s">
        <v>598</v>
      </c>
      <c r="BM154" s="189">
        <v>0</v>
      </c>
      <c r="BN154" s="188" t="s">
        <v>598</v>
      </c>
      <c r="BO154" s="127">
        <v>42908</v>
      </c>
      <c r="BP154" s="188" t="s">
        <v>598</v>
      </c>
      <c r="BQ154" s="188" t="s">
        <v>49</v>
      </c>
      <c r="BR154" s="188" t="s">
        <v>184</v>
      </c>
      <c r="BS154" s="188" t="s">
        <v>598</v>
      </c>
      <c r="BT154" s="188" t="s">
        <v>79</v>
      </c>
      <c r="BU154" s="188" t="s">
        <v>79</v>
      </c>
      <c r="BV154" s="188" t="s">
        <v>598</v>
      </c>
      <c r="BZ154" s="188">
        <v>153</v>
      </c>
      <c r="CA154" s="127">
        <v>42901</v>
      </c>
      <c r="CB154" s="188" t="s">
        <v>4445</v>
      </c>
      <c r="CC154" s="188" t="s">
        <v>320</v>
      </c>
      <c r="CD154" s="188"/>
      <c r="CE154" s="188"/>
      <c r="CF154" s="188" t="s">
        <v>34</v>
      </c>
      <c r="CG154" s="188"/>
      <c r="CH154" s="189">
        <v>2500</v>
      </c>
      <c r="CI154" s="188"/>
    </row>
    <row r="155" spans="5:87">
      <c r="E155" s="21"/>
      <c r="Q155" s="191"/>
      <c r="R155" s="191"/>
      <c r="S155" s="191"/>
      <c r="T155" s="127"/>
      <c r="U155" s="127"/>
      <c r="V155" s="191"/>
      <c r="W155" s="190"/>
      <c r="X155" s="191"/>
      <c r="Y155" s="191"/>
      <c r="Z155" s="191"/>
      <c r="AA155" s="191"/>
      <c r="AB155" s="191"/>
      <c r="AC155" s="191"/>
      <c r="AD155" s="191"/>
      <c r="AE155" s="191"/>
      <c r="AF155" s="191"/>
      <c r="AG155" s="191"/>
      <c r="AH155" s="191"/>
      <c r="AI155" s="127"/>
      <c r="AJ155" s="191"/>
      <c r="AK155" s="191"/>
      <c r="AL155" s="190"/>
      <c r="AM155" s="191"/>
      <c r="AQ155" s="194"/>
      <c r="AR155" s="127"/>
      <c r="AS155" s="194"/>
      <c r="AT155" s="194"/>
      <c r="AU155" s="194"/>
      <c r="AV155" s="194"/>
      <c r="AW155" s="194"/>
      <c r="AX155" s="194"/>
      <c r="AY155" s="193"/>
      <c r="AZ155" s="194"/>
      <c r="BA155" s="21"/>
      <c r="BE155" s="188" t="s">
        <v>1417</v>
      </c>
      <c r="BF155" s="188" t="s">
        <v>3882</v>
      </c>
      <c r="BG155" s="127">
        <v>42908</v>
      </c>
      <c r="BH155" s="188" t="s">
        <v>10</v>
      </c>
      <c r="BI155" s="188" t="s">
        <v>598</v>
      </c>
      <c r="BJ155" s="189">
        <v>4000</v>
      </c>
      <c r="BK155" s="188" t="s">
        <v>493</v>
      </c>
      <c r="BL155" s="188" t="s">
        <v>598</v>
      </c>
      <c r="BM155" s="189">
        <v>0</v>
      </c>
      <c r="BN155" s="188" t="s">
        <v>598</v>
      </c>
      <c r="BO155" s="127">
        <v>42887</v>
      </c>
      <c r="BP155" s="188" t="s">
        <v>134</v>
      </c>
      <c r="BQ155" s="188" t="s">
        <v>84</v>
      </c>
      <c r="BR155" s="188" t="s">
        <v>251</v>
      </c>
      <c r="BS155" s="188" t="s">
        <v>50</v>
      </c>
      <c r="BT155" s="188" t="s">
        <v>79</v>
      </c>
      <c r="BU155" s="188" t="s">
        <v>79</v>
      </c>
      <c r="BV155" s="188" t="s">
        <v>598</v>
      </c>
      <c r="BZ155" s="188">
        <v>154</v>
      </c>
      <c r="CA155" s="127">
        <v>42902</v>
      </c>
      <c r="CB155" s="188" t="s">
        <v>4434</v>
      </c>
      <c r="CC155" s="188" t="s">
        <v>320</v>
      </c>
      <c r="CD155" s="188"/>
      <c r="CE155" s="188"/>
      <c r="CF155" s="188" t="s">
        <v>34</v>
      </c>
      <c r="CG155" s="188"/>
      <c r="CH155" s="189">
        <v>100</v>
      </c>
      <c r="CI155" s="188"/>
    </row>
    <row r="156" spans="5:87">
      <c r="E156" s="21"/>
      <c r="Q156" s="191"/>
      <c r="R156" s="191"/>
      <c r="S156" s="191"/>
      <c r="T156" s="127"/>
      <c r="U156" s="127"/>
      <c r="V156" s="191"/>
      <c r="W156" s="190"/>
      <c r="X156" s="191"/>
      <c r="Y156" s="191"/>
      <c r="Z156" s="191"/>
      <c r="AA156" s="191"/>
      <c r="AB156" s="191"/>
      <c r="AC156" s="191"/>
      <c r="AD156" s="191"/>
      <c r="AE156" s="191"/>
      <c r="AF156" s="191"/>
      <c r="AG156" s="191"/>
      <c r="AH156" s="191"/>
      <c r="AI156" s="127"/>
      <c r="AJ156" s="191"/>
      <c r="AK156" s="191"/>
      <c r="AL156" s="190"/>
      <c r="AM156" s="191"/>
      <c r="AQ156" s="194"/>
      <c r="AR156" s="127"/>
      <c r="AS156" s="194"/>
      <c r="AT156" s="194"/>
      <c r="AU156" s="194"/>
      <c r="AV156" s="194"/>
      <c r="AW156" s="194"/>
      <c r="AX156" s="194"/>
      <c r="AY156" s="193"/>
      <c r="AZ156" s="194"/>
      <c r="BA156" s="21"/>
      <c r="BE156" s="188" t="s">
        <v>1419</v>
      </c>
      <c r="BF156" s="188" t="s">
        <v>3883</v>
      </c>
      <c r="BG156" s="127">
        <v>42892</v>
      </c>
      <c r="BH156" s="188" t="s">
        <v>34</v>
      </c>
      <c r="BI156" s="188" t="s">
        <v>598</v>
      </c>
      <c r="BJ156" s="189">
        <v>5000</v>
      </c>
      <c r="BK156" s="188" t="s">
        <v>493</v>
      </c>
      <c r="BL156" s="188" t="s">
        <v>598</v>
      </c>
      <c r="BM156" s="189">
        <v>0</v>
      </c>
      <c r="BN156" s="188" t="s">
        <v>598</v>
      </c>
      <c r="BO156" s="127">
        <v>42889</v>
      </c>
      <c r="BP156" s="188" t="s">
        <v>132</v>
      </c>
      <c r="BQ156" s="188" t="s">
        <v>84</v>
      </c>
      <c r="BR156" s="188" t="s">
        <v>252</v>
      </c>
      <c r="BS156" s="188" t="s">
        <v>598</v>
      </c>
      <c r="BT156" s="188" t="s">
        <v>79</v>
      </c>
      <c r="BU156" s="188" t="s">
        <v>112</v>
      </c>
      <c r="BV156" s="188" t="s">
        <v>598</v>
      </c>
      <c r="BZ156" s="188">
        <v>155</v>
      </c>
      <c r="CA156" s="127">
        <v>42902</v>
      </c>
      <c r="CB156" s="188" t="s">
        <v>4446</v>
      </c>
      <c r="CC156" s="188" t="s">
        <v>320</v>
      </c>
      <c r="CD156" s="188"/>
      <c r="CE156" s="188"/>
      <c r="CF156" s="188" t="s">
        <v>34</v>
      </c>
      <c r="CG156" s="188"/>
      <c r="CH156" s="189">
        <v>300</v>
      </c>
      <c r="CI156" s="188"/>
    </row>
    <row r="157" spans="5:87">
      <c r="E157" s="21"/>
      <c r="Q157" s="191"/>
      <c r="R157" s="191"/>
      <c r="S157" s="191"/>
      <c r="T157" s="127"/>
      <c r="U157" s="127"/>
      <c r="V157" s="191"/>
      <c r="W157" s="190"/>
      <c r="X157" s="191"/>
      <c r="Y157" s="191"/>
      <c r="Z157" s="191"/>
      <c r="AA157" s="191"/>
      <c r="AB157" s="191"/>
      <c r="AC157" s="191"/>
      <c r="AD157" s="191"/>
      <c r="AE157" s="191"/>
      <c r="AF157" s="191"/>
      <c r="AG157" s="191"/>
      <c r="AH157" s="191"/>
      <c r="AI157" s="127"/>
      <c r="AJ157" s="191"/>
      <c r="AK157" s="191"/>
      <c r="AL157" s="190"/>
      <c r="AM157" s="191"/>
      <c r="AQ157" s="194"/>
      <c r="AR157" s="127"/>
      <c r="AS157" s="194"/>
      <c r="AT157" s="194"/>
      <c r="AU157" s="194"/>
      <c r="AV157" s="194"/>
      <c r="AW157" s="194"/>
      <c r="AX157" s="194"/>
      <c r="AY157" s="193"/>
      <c r="AZ157" s="194"/>
      <c r="BA157" s="21"/>
      <c r="BE157" s="188" t="s">
        <v>1421</v>
      </c>
      <c r="BF157" s="188" t="s">
        <v>3884</v>
      </c>
      <c r="BG157" s="127">
        <v>42893</v>
      </c>
      <c r="BH157" s="188" t="s">
        <v>34</v>
      </c>
      <c r="BI157" s="188" t="s">
        <v>598</v>
      </c>
      <c r="BJ157" s="189">
        <v>5000</v>
      </c>
      <c r="BK157" s="188" t="s">
        <v>493</v>
      </c>
      <c r="BL157" s="188" t="s">
        <v>598</v>
      </c>
      <c r="BM157" s="189">
        <v>0</v>
      </c>
      <c r="BN157" s="188" t="s">
        <v>598</v>
      </c>
      <c r="BO157" s="127">
        <v>42889</v>
      </c>
      <c r="BP157" s="188" t="s">
        <v>134</v>
      </c>
      <c r="BQ157" s="188" t="s">
        <v>84</v>
      </c>
      <c r="BR157" s="188" t="s">
        <v>253</v>
      </c>
      <c r="BS157" s="188" t="s">
        <v>598</v>
      </c>
      <c r="BT157" s="188" t="s">
        <v>79</v>
      </c>
      <c r="BU157" s="188" t="s">
        <v>112</v>
      </c>
      <c r="BV157" s="188" t="s">
        <v>598</v>
      </c>
      <c r="BZ157" s="188">
        <v>156</v>
      </c>
      <c r="CA157" s="127">
        <v>42903</v>
      </c>
      <c r="CB157" s="188" t="s">
        <v>3001</v>
      </c>
      <c r="CC157" s="188" t="s">
        <v>320</v>
      </c>
      <c r="CD157" s="188" t="s">
        <v>3001</v>
      </c>
      <c r="CE157" s="188"/>
      <c r="CF157" s="188" t="s">
        <v>34</v>
      </c>
      <c r="CG157" s="188"/>
      <c r="CH157" s="189">
        <v>300</v>
      </c>
      <c r="CI157" s="188"/>
    </row>
    <row r="158" spans="5:87">
      <c r="E158" s="21"/>
      <c r="Q158" s="191"/>
      <c r="R158" s="191"/>
      <c r="S158" s="191"/>
      <c r="T158" s="127"/>
      <c r="U158" s="127"/>
      <c r="V158" s="191"/>
      <c r="W158" s="190"/>
      <c r="X158" s="191"/>
      <c r="Y158" s="191"/>
      <c r="Z158" s="191"/>
      <c r="AA158" s="191"/>
      <c r="AB158" s="191"/>
      <c r="AC158" s="191"/>
      <c r="AD158" s="191"/>
      <c r="AE158" s="191"/>
      <c r="AF158" s="191"/>
      <c r="AG158" s="191"/>
      <c r="AH158" s="191"/>
      <c r="AI158" s="127"/>
      <c r="AJ158" s="191"/>
      <c r="AK158" s="191"/>
      <c r="AL158" s="190"/>
      <c r="AM158" s="191"/>
      <c r="AQ158" s="194"/>
      <c r="AR158" s="127"/>
      <c r="AS158" s="194"/>
      <c r="AT158" s="194"/>
      <c r="AU158" s="194"/>
      <c r="AV158" s="194"/>
      <c r="AW158" s="194"/>
      <c r="AX158" s="194"/>
      <c r="AY158" s="193"/>
      <c r="AZ158" s="194"/>
      <c r="BA158" s="21"/>
      <c r="BE158" s="188" t="s">
        <v>1425</v>
      </c>
      <c r="BF158" s="188" t="s">
        <v>3885</v>
      </c>
      <c r="BG158" s="127">
        <v>42905</v>
      </c>
      <c r="BH158" s="188" t="s">
        <v>34</v>
      </c>
      <c r="BI158" s="188" t="s">
        <v>598</v>
      </c>
      <c r="BJ158" s="189">
        <v>5000</v>
      </c>
      <c r="BK158" s="188" t="s">
        <v>493</v>
      </c>
      <c r="BL158" s="188" t="s">
        <v>598</v>
      </c>
      <c r="BM158" s="189">
        <v>0</v>
      </c>
      <c r="BN158" s="188" t="s">
        <v>598</v>
      </c>
      <c r="BO158" s="127">
        <v>42891</v>
      </c>
      <c r="BP158" s="188" t="s">
        <v>48</v>
      </c>
      <c r="BQ158" s="188" t="s">
        <v>84</v>
      </c>
      <c r="BR158" s="188" t="s">
        <v>254</v>
      </c>
      <c r="BS158" s="188" t="s">
        <v>598</v>
      </c>
      <c r="BT158" s="188" t="s">
        <v>79</v>
      </c>
      <c r="BU158" s="188" t="s">
        <v>79</v>
      </c>
      <c r="BV158" s="188" t="s">
        <v>598</v>
      </c>
      <c r="BZ158" s="188">
        <v>157</v>
      </c>
      <c r="CA158" s="127">
        <v>42903</v>
      </c>
      <c r="CB158" s="188" t="s">
        <v>4426</v>
      </c>
      <c r="CC158" s="188" t="s">
        <v>320</v>
      </c>
      <c r="CD158" s="188" t="s">
        <v>321</v>
      </c>
      <c r="CE158" s="188"/>
      <c r="CF158" s="188" t="s">
        <v>34</v>
      </c>
      <c r="CG158" s="188"/>
      <c r="CH158" s="189">
        <v>500</v>
      </c>
      <c r="CI158" s="188"/>
    </row>
    <row r="159" spans="5:87">
      <c r="E159" s="21"/>
      <c r="Q159" s="191"/>
      <c r="R159" s="191"/>
      <c r="S159" s="191"/>
      <c r="T159" s="127"/>
      <c r="U159" s="127"/>
      <c r="V159" s="191"/>
      <c r="W159" s="190"/>
      <c r="X159" s="191"/>
      <c r="Y159" s="191"/>
      <c r="Z159" s="191"/>
      <c r="AA159" s="191"/>
      <c r="AB159" s="191"/>
      <c r="AC159" s="191"/>
      <c r="AD159" s="191"/>
      <c r="AE159" s="191"/>
      <c r="AF159" s="191"/>
      <c r="AG159" s="191"/>
      <c r="AH159" s="191"/>
      <c r="AI159" s="127"/>
      <c r="AJ159" s="191"/>
      <c r="AK159" s="191"/>
      <c r="AL159" s="190"/>
      <c r="AM159" s="191"/>
      <c r="AQ159" s="194"/>
      <c r="AR159" s="127"/>
      <c r="AS159" s="194"/>
      <c r="AT159" s="194"/>
      <c r="AU159" s="194"/>
      <c r="AV159" s="194"/>
      <c r="AW159" s="194"/>
      <c r="AX159" s="194"/>
      <c r="AY159" s="193"/>
      <c r="AZ159" s="194"/>
      <c r="BA159" s="21"/>
      <c r="BE159" s="188" t="s">
        <v>1427</v>
      </c>
      <c r="BF159" s="188" t="s">
        <v>3886</v>
      </c>
      <c r="BG159" s="127">
        <v>42896</v>
      </c>
      <c r="BH159" s="188" t="s">
        <v>34</v>
      </c>
      <c r="BI159" s="188" t="s">
        <v>598</v>
      </c>
      <c r="BJ159" s="189">
        <v>5000</v>
      </c>
      <c r="BK159" s="188" t="s">
        <v>493</v>
      </c>
      <c r="BL159" s="188" t="s">
        <v>598</v>
      </c>
      <c r="BM159" s="189">
        <v>0</v>
      </c>
      <c r="BN159" s="188" t="s">
        <v>598</v>
      </c>
      <c r="BO159" s="127">
        <v>42891</v>
      </c>
      <c r="BP159" s="188" t="s">
        <v>134</v>
      </c>
      <c r="BQ159" s="188" t="s">
        <v>84</v>
      </c>
      <c r="BR159" s="188" t="s">
        <v>254</v>
      </c>
      <c r="BS159" s="188" t="s">
        <v>598</v>
      </c>
      <c r="BT159" s="188" t="s">
        <v>79</v>
      </c>
      <c r="BU159" s="188" t="s">
        <v>79</v>
      </c>
      <c r="BV159" s="188" t="s">
        <v>598</v>
      </c>
      <c r="BZ159" s="188">
        <v>158</v>
      </c>
      <c r="CA159" s="127">
        <v>42903</v>
      </c>
      <c r="CB159" s="188" t="s">
        <v>495</v>
      </c>
      <c r="CC159" s="188" t="s">
        <v>322</v>
      </c>
      <c r="CD159" s="188" t="s">
        <v>63</v>
      </c>
      <c r="CE159" s="188"/>
      <c r="CF159" s="188" t="s">
        <v>34</v>
      </c>
      <c r="CG159" s="188"/>
      <c r="CH159" s="189">
        <v>900</v>
      </c>
      <c r="CI159" s="188"/>
    </row>
    <row r="160" spans="5:87">
      <c r="E160" s="21"/>
      <c r="Q160" s="191"/>
      <c r="R160" s="191"/>
      <c r="S160" s="191"/>
      <c r="T160" s="127"/>
      <c r="U160" s="127"/>
      <c r="V160" s="191"/>
      <c r="W160" s="190"/>
      <c r="X160" s="191"/>
      <c r="Y160" s="191"/>
      <c r="Z160" s="191"/>
      <c r="AA160" s="191"/>
      <c r="AB160" s="191"/>
      <c r="AC160" s="191"/>
      <c r="AD160" s="191"/>
      <c r="AE160" s="191"/>
      <c r="AF160" s="191"/>
      <c r="AG160" s="191"/>
      <c r="AH160" s="191"/>
      <c r="AI160" s="127"/>
      <c r="AJ160" s="191"/>
      <c r="AK160" s="191"/>
      <c r="AL160" s="190"/>
      <c r="AM160" s="191"/>
      <c r="AQ160" s="194"/>
      <c r="AR160" s="127"/>
      <c r="AS160" s="194"/>
      <c r="AT160" s="194"/>
      <c r="AU160" s="194"/>
      <c r="AV160" s="194"/>
      <c r="AW160" s="194"/>
      <c r="AX160" s="194"/>
      <c r="AY160" s="193"/>
      <c r="AZ160" s="194"/>
      <c r="BA160" s="21"/>
      <c r="BE160" s="188" t="s">
        <v>1429</v>
      </c>
      <c r="BF160" s="188" t="s">
        <v>3887</v>
      </c>
      <c r="BG160" s="127">
        <v>42896</v>
      </c>
      <c r="BH160" s="188" t="s">
        <v>34</v>
      </c>
      <c r="BI160" s="188" t="s">
        <v>598</v>
      </c>
      <c r="BJ160" s="189">
        <v>4000</v>
      </c>
      <c r="BK160" s="188" t="s">
        <v>493</v>
      </c>
      <c r="BL160" s="188" t="s">
        <v>598</v>
      </c>
      <c r="BM160" s="189">
        <v>0</v>
      </c>
      <c r="BN160" s="188" t="s">
        <v>598</v>
      </c>
      <c r="BO160" s="127">
        <v>42891</v>
      </c>
      <c r="BP160" s="188" t="s">
        <v>134</v>
      </c>
      <c r="BQ160" s="188" t="s">
        <v>84</v>
      </c>
      <c r="BR160" s="188" t="s">
        <v>255</v>
      </c>
      <c r="BS160" s="188" t="s">
        <v>598</v>
      </c>
      <c r="BT160" s="188" t="s">
        <v>79</v>
      </c>
      <c r="BU160" s="188" t="s">
        <v>112</v>
      </c>
      <c r="BV160" s="188" t="s">
        <v>598</v>
      </c>
      <c r="BZ160" s="188">
        <v>159</v>
      </c>
      <c r="CA160" s="127">
        <v>42903</v>
      </c>
      <c r="CB160" s="188" t="s">
        <v>495</v>
      </c>
      <c r="CC160" s="188" t="s">
        <v>322</v>
      </c>
      <c r="CD160" s="188" t="s">
        <v>85</v>
      </c>
      <c r="CE160" s="188"/>
      <c r="CF160" s="188" t="s">
        <v>34</v>
      </c>
      <c r="CG160" s="188"/>
      <c r="CH160" s="189">
        <v>700</v>
      </c>
      <c r="CI160" s="188"/>
    </row>
    <row r="161" spans="5:87">
      <c r="E161" s="21"/>
      <c r="Q161" s="191"/>
      <c r="R161" s="191"/>
      <c r="S161" s="191"/>
      <c r="T161" s="127"/>
      <c r="U161" s="127"/>
      <c r="V161" s="191"/>
      <c r="W161" s="190"/>
      <c r="X161" s="191"/>
      <c r="Y161" s="191"/>
      <c r="Z161" s="191"/>
      <c r="AA161" s="191"/>
      <c r="AB161" s="191"/>
      <c r="AC161" s="191"/>
      <c r="AD161" s="191"/>
      <c r="AE161" s="191"/>
      <c r="AF161" s="191"/>
      <c r="AG161" s="191"/>
      <c r="AH161" s="191"/>
      <c r="AI161" s="127"/>
      <c r="AJ161" s="191"/>
      <c r="AK161" s="191"/>
      <c r="AL161" s="190"/>
      <c r="AM161" s="191"/>
      <c r="AQ161" s="194"/>
      <c r="AR161" s="127"/>
      <c r="AS161" s="194"/>
      <c r="AT161" s="194"/>
      <c r="AU161" s="194"/>
      <c r="AV161" s="194"/>
      <c r="AW161" s="194"/>
      <c r="AX161" s="194"/>
      <c r="AY161" s="193"/>
      <c r="AZ161" s="194"/>
      <c r="BA161" s="21"/>
      <c r="BE161" s="188" t="s">
        <v>1437</v>
      </c>
      <c r="BF161" s="188" t="s">
        <v>3888</v>
      </c>
      <c r="BG161" s="127">
        <v>42892</v>
      </c>
      <c r="BH161" s="188" t="s">
        <v>34</v>
      </c>
      <c r="BI161" s="188" t="s">
        <v>598</v>
      </c>
      <c r="BJ161" s="189">
        <v>750</v>
      </c>
      <c r="BK161" s="188" t="s">
        <v>558</v>
      </c>
      <c r="BL161" s="188" t="s">
        <v>598</v>
      </c>
      <c r="BM161" s="189">
        <v>0</v>
      </c>
      <c r="BN161" s="188" t="s">
        <v>598</v>
      </c>
      <c r="BO161" s="127">
        <v>42892</v>
      </c>
      <c r="BP161" s="188" t="s">
        <v>132</v>
      </c>
      <c r="BQ161" s="188" t="s">
        <v>84</v>
      </c>
      <c r="BR161" s="188" t="s">
        <v>257</v>
      </c>
      <c r="BS161" s="188" t="s">
        <v>598</v>
      </c>
      <c r="BT161" s="188" t="s">
        <v>79</v>
      </c>
      <c r="BU161" s="188" t="s">
        <v>65</v>
      </c>
      <c r="BV161" s="188" t="s">
        <v>598</v>
      </c>
      <c r="BZ161" s="188">
        <v>160</v>
      </c>
      <c r="CA161" s="127">
        <v>42903</v>
      </c>
      <c r="CB161" s="188" t="s">
        <v>495</v>
      </c>
      <c r="CC161" s="188" t="s">
        <v>322</v>
      </c>
      <c r="CD161" s="188" t="s">
        <v>79</v>
      </c>
      <c r="CE161" s="188"/>
      <c r="CF161" s="188" t="s">
        <v>34</v>
      </c>
      <c r="CG161" s="188"/>
      <c r="CH161" s="189">
        <v>500</v>
      </c>
      <c r="CI161" s="188"/>
    </row>
    <row r="162" spans="5:87">
      <c r="E162" s="21"/>
      <c r="Q162" s="191"/>
      <c r="R162" s="191"/>
      <c r="S162" s="191"/>
      <c r="T162" s="127"/>
      <c r="U162" s="127"/>
      <c r="V162" s="191"/>
      <c r="W162" s="190"/>
      <c r="X162" s="191"/>
      <c r="Y162" s="191"/>
      <c r="Z162" s="191"/>
      <c r="AA162" s="191"/>
      <c r="AB162" s="191"/>
      <c r="AC162" s="191"/>
      <c r="AD162" s="191"/>
      <c r="AE162" s="191"/>
      <c r="AF162" s="191"/>
      <c r="AG162" s="191"/>
      <c r="AH162" s="191"/>
      <c r="AI162" s="127"/>
      <c r="AJ162" s="191"/>
      <c r="AK162" s="191"/>
      <c r="AL162" s="190"/>
      <c r="AM162" s="191"/>
      <c r="AQ162" s="194"/>
      <c r="AR162" s="127"/>
      <c r="AS162" s="194"/>
      <c r="AT162" s="194"/>
      <c r="AU162" s="194"/>
      <c r="AV162" s="194"/>
      <c r="AW162" s="194"/>
      <c r="AX162" s="194"/>
      <c r="AY162" s="193"/>
      <c r="AZ162" s="194"/>
      <c r="BA162" s="21"/>
      <c r="BE162" s="188" t="s">
        <v>1438</v>
      </c>
      <c r="BF162" s="188" t="s">
        <v>3889</v>
      </c>
      <c r="BG162" s="127">
        <v>42892</v>
      </c>
      <c r="BH162" s="188" t="s">
        <v>34</v>
      </c>
      <c r="BI162" s="188" t="s">
        <v>598</v>
      </c>
      <c r="BJ162" s="189">
        <v>1000</v>
      </c>
      <c r="BK162" s="188" t="s">
        <v>493</v>
      </c>
      <c r="BL162" s="188" t="s">
        <v>598</v>
      </c>
      <c r="BM162" s="189">
        <v>0</v>
      </c>
      <c r="BN162" s="188" t="s">
        <v>598</v>
      </c>
      <c r="BO162" s="127">
        <v>42892</v>
      </c>
      <c r="BP162" s="188" t="s">
        <v>126</v>
      </c>
      <c r="BQ162" s="188" t="s">
        <v>84</v>
      </c>
      <c r="BR162" s="188" t="s">
        <v>598</v>
      </c>
      <c r="BS162" s="188" t="s">
        <v>598</v>
      </c>
      <c r="BT162" s="188" t="s">
        <v>79</v>
      </c>
      <c r="BU162" s="188" t="s">
        <v>598</v>
      </c>
      <c r="BV162" s="188" t="s">
        <v>598</v>
      </c>
      <c r="BZ162" s="188">
        <v>161</v>
      </c>
      <c r="CA162" s="127">
        <v>42903</v>
      </c>
      <c r="CB162" s="188" t="s">
        <v>495</v>
      </c>
      <c r="CC162" s="188" t="s">
        <v>322</v>
      </c>
      <c r="CD162" s="188" t="s">
        <v>98</v>
      </c>
      <c r="CE162" s="188"/>
      <c r="CF162" s="188" t="s">
        <v>34</v>
      </c>
      <c r="CG162" s="188"/>
      <c r="CH162" s="189">
        <v>500</v>
      </c>
      <c r="CI162" s="188"/>
    </row>
    <row r="163" spans="5:87">
      <c r="E163" s="21"/>
      <c r="Q163" s="191"/>
      <c r="R163" s="191"/>
      <c r="S163" s="191"/>
      <c r="T163" s="127"/>
      <c r="U163" s="127"/>
      <c r="V163" s="191"/>
      <c r="W163" s="190"/>
      <c r="X163" s="191"/>
      <c r="Y163" s="191"/>
      <c r="Z163" s="191"/>
      <c r="AA163" s="191"/>
      <c r="AB163" s="191"/>
      <c r="AC163" s="191"/>
      <c r="AD163" s="191"/>
      <c r="AE163" s="191"/>
      <c r="AF163" s="191"/>
      <c r="AG163" s="191"/>
      <c r="AH163" s="191"/>
      <c r="AI163" s="127"/>
      <c r="AJ163" s="191"/>
      <c r="AK163" s="191"/>
      <c r="AL163" s="190"/>
      <c r="AM163" s="191"/>
      <c r="AQ163" s="194"/>
      <c r="AR163" s="127"/>
      <c r="AS163" s="194"/>
      <c r="AT163" s="194"/>
      <c r="AU163" s="194"/>
      <c r="AV163" s="194"/>
      <c r="AW163" s="194"/>
      <c r="AX163" s="194"/>
      <c r="AY163" s="193"/>
      <c r="AZ163" s="194"/>
      <c r="BA163" s="21"/>
      <c r="BE163" s="188" t="s">
        <v>1440</v>
      </c>
      <c r="BF163" s="188" t="s">
        <v>3890</v>
      </c>
      <c r="BG163" s="127">
        <v>42915</v>
      </c>
      <c r="BH163" s="188" t="s">
        <v>34</v>
      </c>
      <c r="BI163" s="188" t="s">
        <v>598</v>
      </c>
      <c r="BJ163" s="189">
        <v>1500</v>
      </c>
      <c r="BK163" s="188" t="s">
        <v>493</v>
      </c>
      <c r="BL163" s="188" t="s">
        <v>598</v>
      </c>
      <c r="BM163" s="189">
        <v>0</v>
      </c>
      <c r="BN163" s="188" t="s">
        <v>598</v>
      </c>
      <c r="BO163" s="127">
        <v>42893</v>
      </c>
      <c r="BP163" s="188" t="s">
        <v>122</v>
      </c>
      <c r="BQ163" s="188" t="s">
        <v>84</v>
      </c>
      <c r="BR163" s="188" t="s">
        <v>244</v>
      </c>
      <c r="BS163" s="188" t="s">
        <v>598</v>
      </c>
      <c r="BT163" s="188" t="s">
        <v>79</v>
      </c>
      <c r="BU163" s="188" t="s">
        <v>79</v>
      </c>
      <c r="BV163" s="188" t="s">
        <v>598</v>
      </c>
      <c r="BZ163" s="188">
        <v>162</v>
      </c>
      <c r="CA163" s="127">
        <v>42903</v>
      </c>
      <c r="CB163" s="188" t="s">
        <v>495</v>
      </c>
      <c r="CC163" s="188" t="s">
        <v>322</v>
      </c>
      <c r="CD163" s="188" t="s">
        <v>51</v>
      </c>
      <c r="CE163" s="188"/>
      <c r="CF163" s="188" t="s">
        <v>34</v>
      </c>
      <c r="CG163" s="188"/>
      <c r="CH163" s="189">
        <v>600</v>
      </c>
      <c r="CI163" s="188"/>
    </row>
    <row r="164" spans="5:87">
      <c r="E164" s="21"/>
      <c r="Q164" s="191"/>
      <c r="R164" s="191"/>
      <c r="S164" s="191"/>
      <c r="T164" s="127"/>
      <c r="U164" s="127"/>
      <c r="V164" s="191"/>
      <c r="W164" s="190"/>
      <c r="X164" s="191"/>
      <c r="Y164" s="191"/>
      <c r="Z164" s="191"/>
      <c r="AA164" s="191"/>
      <c r="AB164" s="191"/>
      <c r="AC164" s="191"/>
      <c r="AD164" s="191"/>
      <c r="AE164" s="191"/>
      <c r="AF164" s="191"/>
      <c r="AG164" s="191"/>
      <c r="AH164" s="191"/>
      <c r="AI164" s="127"/>
      <c r="AJ164" s="191"/>
      <c r="AK164" s="191"/>
      <c r="AL164" s="190"/>
      <c r="AM164" s="191"/>
      <c r="AQ164" s="194"/>
      <c r="AR164" s="127"/>
      <c r="AS164" s="194"/>
      <c r="AT164" s="194"/>
      <c r="AU164" s="194"/>
      <c r="AV164" s="194"/>
      <c r="AW164" s="194"/>
      <c r="AX164" s="194"/>
      <c r="AY164" s="193"/>
      <c r="AZ164" s="194"/>
      <c r="BA164" s="21"/>
      <c r="BE164" s="188" t="s">
        <v>1444</v>
      </c>
      <c r="BF164" s="188" t="s">
        <v>3891</v>
      </c>
      <c r="BG164" s="127">
        <v>42900</v>
      </c>
      <c r="BH164" s="188" t="s">
        <v>34</v>
      </c>
      <c r="BI164" s="188" t="s">
        <v>598</v>
      </c>
      <c r="BJ164" s="189">
        <v>3000</v>
      </c>
      <c r="BK164" s="188" t="s">
        <v>493</v>
      </c>
      <c r="BL164" s="188" t="s">
        <v>598</v>
      </c>
      <c r="BM164" s="189">
        <v>0</v>
      </c>
      <c r="BN164" s="188" t="s">
        <v>598</v>
      </c>
      <c r="BO164" s="127">
        <v>42893</v>
      </c>
      <c r="BP164" s="188" t="s">
        <v>598</v>
      </c>
      <c r="BQ164" s="188" t="s">
        <v>84</v>
      </c>
      <c r="BR164" s="188" t="s">
        <v>254</v>
      </c>
      <c r="BS164" s="188" t="s">
        <v>598</v>
      </c>
      <c r="BT164" s="188" t="s">
        <v>79</v>
      </c>
      <c r="BU164" s="188" t="s">
        <v>79</v>
      </c>
      <c r="BV164" s="188" t="s">
        <v>598</v>
      </c>
      <c r="BZ164" s="188">
        <v>163</v>
      </c>
      <c r="CA164" s="127">
        <v>42903</v>
      </c>
      <c r="CB164" s="188" t="s">
        <v>495</v>
      </c>
      <c r="CC164" s="188" t="s">
        <v>322</v>
      </c>
      <c r="CD164" s="188" t="s">
        <v>112</v>
      </c>
      <c r="CE164" s="188"/>
      <c r="CF164" s="188" t="s">
        <v>34</v>
      </c>
      <c r="CG164" s="188"/>
      <c r="CH164" s="189">
        <v>600</v>
      </c>
      <c r="CI164" s="188"/>
    </row>
    <row r="165" spans="5:87">
      <c r="E165" s="21"/>
      <c r="Q165" s="191"/>
      <c r="R165" s="191"/>
      <c r="S165" s="191"/>
      <c r="T165" s="127"/>
      <c r="U165" s="127"/>
      <c r="V165" s="191"/>
      <c r="W165" s="190"/>
      <c r="X165" s="191"/>
      <c r="Y165" s="191"/>
      <c r="Z165" s="191"/>
      <c r="AA165" s="191"/>
      <c r="AB165" s="191"/>
      <c r="AC165" s="191"/>
      <c r="AD165" s="191"/>
      <c r="AE165" s="191"/>
      <c r="AF165" s="191"/>
      <c r="AG165" s="191"/>
      <c r="AH165" s="191"/>
      <c r="AI165" s="127"/>
      <c r="AJ165" s="191"/>
      <c r="AK165" s="191"/>
      <c r="AL165" s="190"/>
      <c r="AM165" s="191"/>
      <c r="AQ165" s="194"/>
      <c r="AR165" s="127"/>
      <c r="AS165" s="194"/>
      <c r="AT165" s="194"/>
      <c r="AU165" s="194"/>
      <c r="AV165" s="194"/>
      <c r="AW165" s="194"/>
      <c r="AX165" s="194"/>
      <c r="AY165" s="193"/>
      <c r="AZ165" s="194"/>
      <c r="BA165" s="21"/>
      <c r="BE165" s="188" t="s">
        <v>1446</v>
      </c>
      <c r="BF165" s="188" t="s">
        <v>3892</v>
      </c>
      <c r="BG165" s="127">
        <v>42894</v>
      </c>
      <c r="BH165" s="188" t="s">
        <v>34</v>
      </c>
      <c r="BI165" s="188" t="s">
        <v>598</v>
      </c>
      <c r="BJ165" s="189">
        <v>4500</v>
      </c>
      <c r="BK165" s="188" t="s">
        <v>493</v>
      </c>
      <c r="BL165" s="188" t="s">
        <v>598</v>
      </c>
      <c r="BM165" s="189">
        <v>0</v>
      </c>
      <c r="BN165" s="188" t="s">
        <v>598</v>
      </c>
      <c r="BO165" s="127">
        <v>42894</v>
      </c>
      <c r="BP165" s="188" t="s">
        <v>135</v>
      </c>
      <c r="BQ165" s="188" t="s">
        <v>84</v>
      </c>
      <c r="BR165" s="188" t="s">
        <v>258</v>
      </c>
      <c r="BS165" s="188" t="s">
        <v>598</v>
      </c>
      <c r="BT165" s="188" t="s">
        <v>79</v>
      </c>
      <c r="BU165" s="188" t="s">
        <v>112</v>
      </c>
      <c r="BV165" s="188" t="s">
        <v>598</v>
      </c>
      <c r="BZ165" s="188">
        <v>164</v>
      </c>
      <c r="CA165" s="127">
        <v>42903</v>
      </c>
      <c r="CB165" s="188" t="s">
        <v>495</v>
      </c>
      <c r="CC165" s="188" t="s">
        <v>322</v>
      </c>
      <c r="CD165" s="188" t="s">
        <v>65</v>
      </c>
      <c r="CE165" s="188"/>
      <c r="CF165" s="188" t="s">
        <v>34</v>
      </c>
      <c r="CG165" s="188"/>
      <c r="CH165" s="189">
        <v>500</v>
      </c>
      <c r="CI165" s="188"/>
    </row>
    <row r="166" spans="5:87">
      <c r="E166" s="21"/>
      <c r="Q166" s="191"/>
      <c r="R166" s="191"/>
      <c r="S166" s="191"/>
      <c r="T166" s="127"/>
      <c r="U166" s="127"/>
      <c r="V166" s="191"/>
      <c r="W166" s="190"/>
      <c r="X166" s="191"/>
      <c r="Y166" s="191"/>
      <c r="Z166" s="191"/>
      <c r="AA166" s="191"/>
      <c r="AB166" s="191"/>
      <c r="AC166" s="191"/>
      <c r="AD166" s="191"/>
      <c r="AE166" s="191"/>
      <c r="AF166" s="191"/>
      <c r="AG166" s="191"/>
      <c r="AH166" s="191"/>
      <c r="AI166" s="127"/>
      <c r="AJ166" s="191"/>
      <c r="AK166" s="191"/>
      <c r="AL166" s="190"/>
      <c r="AM166" s="191"/>
      <c r="AQ166" s="194"/>
      <c r="AR166" s="127"/>
      <c r="AS166" s="194"/>
      <c r="AT166" s="194"/>
      <c r="AU166" s="194"/>
      <c r="AV166" s="194"/>
      <c r="AW166" s="194"/>
      <c r="AX166" s="194"/>
      <c r="AY166" s="193"/>
      <c r="AZ166" s="194"/>
      <c r="BA166" s="21"/>
      <c r="BE166" s="188" t="s">
        <v>1450</v>
      </c>
      <c r="BF166" s="188" t="s">
        <v>3893</v>
      </c>
      <c r="BG166" s="127">
        <v>42896</v>
      </c>
      <c r="BH166" s="188" t="s">
        <v>34</v>
      </c>
      <c r="BI166" s="188" t="s">
        <v>598</v>
      </c>
      <c r="BJ166" s="189">
        <v>1000</v>
      </c>
      <c r="BK166" s="188" t="s">
        <v>493</v>
      </c>
      <c r="BL166" s="188" t="s">
        <v>598</v>
      </c>
      <c r="BM166" s="189">
        <v>0</v>
      </c>
      <c r="BN166" s="188" t="s">
        <v>598</v>
      </c>
      <c r="BO166" s="127">
        <v>42894</v>
      </c>
      <c r="BP166" s="188" t="s">
        <v>126</v>
      </c>
      <c r="BQ166" s="188" t="s">
        <v>84</v>
      </c>
      <c r="BR166" s="188" t="s">
        <v>598</v>
      </c>
      <c r="BS166" s="188" t="s">
        <v>598</v>
      </c>
      <c r="BT166" s="188" t="s">
        <v>79</v>
      </c>
      <c r="BU166" s="188" t="s">
        <v>598</v>
      </c>
      <c r="BV166" s="188" t="s">
        <v>598</v>
      </c>
      <c r="BZ166" s="188">
        <v>165</v>
      </c>
      <c r="CA166" s="127">
        <v>42904</v>
      </c>
      <c r="CB166" s="188" t="s">
        <v>495</v>
      </c>
      <c r="CC166" s="188" t="s">
        <v>322</v>
      </c>
      <c r="CD166" s="188" t="s">
        <v>88</v>
      </c>
      <c r="CE166" s="188"/>
      <c r="CF166" s="188" t="s">
        <v>34</v>
      </c>
      <c r="CG166" s="188"/>
      <c r="CH166" s="189">
        <v>500</v>
      </c>
      <c r="CI166" s="188"/>
    </row>
    <row r="167" spans="5:87">
      <c r="E167" s="21"/>
      <c r="Q167" s="191"/>
      <c r="R167" s="191"/>
      <c r="S167" s="191"/>
      <c r="T167" s="127"/>
      <c r="U167" s="127"/>
      <c r="V167" s="191"/>
      <c r="W167" s="190"/>
      <c r="X167" s="191"/>
      <c r="Y167" s="191"/>
      <c r="Z167" s="191"/>
      <c r="AA167" s="191"/>
      <c r="AB167" s="191"/>
      <c r="AC167" s="191"/>
      <c r="AD167" s="191"/>
      <c r="AE167" s="191"/>
      <c r="AF167" s="191"/>
      <c r="AG167" s="191"/>
      <c r="AH167" s="191"/>
      <c r="AI167" s="127"/>
      <c r="AJ167" s="191"/>
      <c r="AK167" s="191"/>
      <c r="AL167" s="190"/>
      <c r="AM167" s="191"/>
      <c r="AQ167" s="194"/>
      <c r="AR167" s="127"/>
      <c r="AS167" s="194"/>
      <c r="AT167" s="194"/>
      <c r="AU167" s="194"/>
      <c r="AV167" s="194"/>
      <c r="AW167" s="194"/>
      <c r="AX167" s="194"/>
      <c r="AY167" s="193"/>
      <c r="AZ167" s="194"/>
      <c r="BA167" s="21"/>
      <c r="BE167" s="188" t="s">
        <v>1454</v>
      </c>
      <c r="BF167" s="188" t="s">
        <v>3894</v>
      </c>
      <c r="BG167" s="127">
        <v>42898</v>
      </c>
      <c r="BH167" s="188" t="s">
        <v>34</v>
      </c>
      <c r="BI167" s="188" t="s">
        <v>598</v>
      </c>
      <c r="BJ167" s="189">
        <v>3000</v>
      </c>
      <c r="BK167" s="188" t="s">
        <v>493</v>
      </c>
      <c r="BL167" s="188" t="s">
        <v>598</v>
      </c>
      <c r="BM167" s="189">
        <v>0</v>
      </c>
      <c r="BN167" s="188" t="s">
        <v>598</v>
      </c>
      <c r="BO167" s="127">
        <v>42895</v>
      </c>
      <c r="BP167" s="188" t="s">
        <v>864</v>
      </c>
      <c r="BQ167" s="188" t="s">
        <v>84</v>
      </c>
      <c r="BR167" s="188" t="s">
        <v>598</v>
      </c>
      <c r="BS167" s="188" t="s">
        <v>598</v>
      </c>
      <c r="BT167" s="188" t="s">
        <v>79</v>
      </c>
      <c r="BU167" s="188" t="s">
        <v>598</v>
      </c>
      <c r="BV167" s="188" t="s">
        <v>598</v>
      </c>
      <c r="BZ167" s="188">
        <v>166</v>
      </c>
      <c r="CA167" s="127">
        <v>42905</v>
      </c>
      <c r="CB167" s="188" t="s">
        <v>495</v>
      </c>
      <c r="CC167" s="188" t="s">
        <v>322</v>
      </c>
      <c r="CD167" s="188" t="s">
        <v>73</v>
      </c>
      <c r="CE167" s="188"/>
      <c r="CF167" s="188" t="s">
        <v>34</v>
      </c>
      <c r="CG167" s="188"/>
      <c r="CH167" s="189">
        <v>600</v>
      </c>
      <c r="CI167" s="188"/>
    </row>
    <row r="168" spans="5:87">
      <c r="E168" s="21"/>
      <c r="Q168" s="191"/>
      <c r="R168" s="191"/>
      <c r="S168" s="191"/>
      <c r="T168" s="127"/>
      <c r="U168" s="127"/>
      <c r="V168" s="191"/>
      <c r="W168" s="190"/>
      <c r="X168" s="191"/>
      <c r="Y168" s="191"/>
      <c r="Z168" s="191"/>
      <c r="AA168" s="191"/>
      <c r="AB168" s="191"/>
      <c r="AC168" s="191"/>
      <c r="AD168" s="191"/>
      <c r="AE168" s="191"/>
      <c r="AF168" s="191"/>
      <c r="AG168" s="191"/>
      <c r="AH168" s="191"/>
      <c r="AI168" s="127"/>
      <c r="AJ168" s="191"/>
      <c r="AK168" s="191"/>
      <c r="AL168" s="190"/>
      <c r="AM168" s="191"/>
      <c r="AQ168" s="194"/>
      <c r="AR168" s="127"/>
      <c r="AS168" s="194"/>
      <c r="AT168" s="194"/>
      <c r="AU168" s="194"/>
      <c r="AV168" s="194"/>
      <c r="AW168" s="194"/>
      <c r="AX168" s="194"/>
      <c r="AY168" s="193"/>
      <c r="AZ168" s="194"/>
      <c r="BA168" s="21"/>
      <c r="BE168" s="188" t="s">
        <v>1456</v>
      </c>
      <c r="BF168" s="188" t="s">
        <v>3895</v>
      </c>
      <c r="BG168" s="127">
        <v>42896</v>
      </c>
      <c r="BH168" s="188" t="s">
        <v>34</v>
      </c>
      <c r="BI168" s="188" t="s">
        <v>598</v>
      </c>
      <c r="BJ168" s="189">
        <v>1000</v>
      </c>
      <c r="BK168" s="188" t="s">
        <v>493</v>
      </c>
      <c r="BL168" s="188" t="s">
        <v>598</v>
      </c>
      <c r="BM168" s="189">
        <v>0</v>
      </c>
      <c r="BN168" s="188" t="s">
        <v>598</v>
      </c>
      <c r="BO168" s="127">
        <v>42895</v>
      </c>
      <c r="BP168" s="188" t="s">
        <v>126</v>
      </c>
      <c r="BQ168" s="188" t="s">
        <v>84</v>
      </c>
      <c r="BR168" s="188" t="s">
        <v>598</v>
      </c>
      <c r="BS168" s="188" t="s">
        <v>598</v>
      </c>
      <c r="BT168" s="188" t="s">
        <v>79</v>
      </c>
      <c r="BU168" s="188" t="s">
        <v>598</v>
      </c>
      <c r="BV168" s="188" t="s">
        <v>598</v>
      </c>
      <c r="BZ168" s="188">
        <v>167</v>
      </c>
      <c r="CA168" s="127">
        <v>42905</v>
      </c>
      <c r="CB168" s="188" t="s">
        <v>495</v>
      </c>
      <c r="CC168" s="188" t="s">
        <v>322</v>
      </c>
      <c r="CD168" s="188" t="s">
        <v>30</v>
      </c>
      <c r="CE168" s="188"/>
      <c r="CF168" s="188" t="s">
        <v>34</v>
      </c>
      <c r="CG168" s="188"/>
      <c r="CH168" s="189">
        <v>800</v>
      </c>
      <c r="CI168" s="188"/>
    </row>
    <row r="169" spans="5:87">
      <c r="E169" s="21"/>
      <c r="Q169" s="191"/>
      <c r="R169" s="191"/>
      <c r="S169" s="191"/>
      <c r="T169" s="127"/>
      <c r="U169" s="127"/>
      <c r="V169" s="191"/>
      <c r="W169" s="190"/>
      <c r="X169" s="191"/>
      <c r="Y169" s="191"/>
      <c r="Z169" s="191"/>
      <c r="AA169" s="191"/>
      <c r="AB169" s="191"/>
      <c r="AC169" s="191"/>
      <c r="AD169" s="191"/>
      <c r="AE169" s="191"/>
      <c r="AF169" s="191"/>
      <c r="AG169" s="191"/>
      <c r="AH169" s="191"/>
      <c r="AI169" s="127"/>
      <c r="AJ169" s="191"/>
      <c r="AK169" s="191"/>
      <c r="AL169" s="190"/>
      <c r="AM169" s="191"/>
      <c r="AQ169" s="194"/>
      <c r="AR169" s="127"/>
      <c r="AS169" s="194"/>
      <c r="AT169" s="194"/>
      <c r="AU169" s="194"/>
      <c r="AV169" s="194"/>
      <c r="AW169" s="194"/>
      <c r="AX169" s="194"/>
      <c r="AY169" s="193"/>
      <c r="AZ169" s="194"/>
      <c r="BA169" s="21"/>
      <c r="BE169" s="188" t="s">
        <v>1457</v>
      </c>
      <c r="BF169" s="188" t="s">
        <v>3896</v>
      </c>
      <c r="BG169" s="127">
        <v>42908</v>
      </c>
      <c r="BH169" s="188" t="s">
        <v>34</v>
      </c>
      <c r="BI169" s="188" t="s">
        <v>598</v>
      </c>
      <c r="BJ169" s="189">
        <v>3500</v>
      </c>
      <c r="BK169" s="188" t="s">
        <v>493</v>
      </c>
      <c r="BL169" s="188" t="s">
        <v>598</v>
      </c>
      <c r="BM169" s="189">
        <v>0</v>
      </c>
      <c r="BN169" s="188" t="s">
        <v>598</v>
      </c>
      <c r="BO169" s="127">
        <v>42896</v>
      </c>
      <c r="BP169" s="188" t="s">
        <v>134</v>
      </c>
      <c r="BQ169" s="188" t="s">
        <v>84</v>
      </c>
      <c r="BR169" s="188" t="s">
        <v>260</v>
      </c>
      <c r="BS169" s="188" t="s">
        <v>598</v>
      </c>
      <c r="BT169" s="188" t="s">
        <v>79</v>
      </c>
      <c r="BU169" s="188" t="s">
        <v>79</v>
      </c>
      <c r="BV169" s="188" t="s">
        <v>598</v>
      </c>
      <c r="BZ169" s="188">
        <v>168</v>
      </c>
      <c r="CA169" s="127">
        <v>42905</v>
      </c>
      <c r="CB169" s="188" t="s">
        <v>495</v>
      </c>
      <c r="CC169" s="188" t="s">
        <v>322</v>
      </c>
      <c r="CD169" s="188" t="s">
        <v>86</v>
      </c>
      <c r="CE169" s="188"/>
      <c r="CF169" s="188" t="s">
        <v>34</v>
      </c>
      <c r="CG169" s="188"/>
      <c r="CH169" s="189">
        <v>500</v>
      </c>
      <c r="CI169" s="188"/>
    </row>
    <row r="170" spans="5:87">
      <c r="E170" s="21"/>
      <c r="Q170" s="191"/>
      <c r="R170" s="191"/>
      <c r="S170" s="191"/>
      <c r="T170" s="127"/>
      <c r="U170" s="127"/>
      <c r="V170" s="191"/>
      <c r="W170" s="190"/>
      <c r="X170" s="191"/>
      <c r="Y170" s="191"/>
      <c r="Z170" s="191"/>
      <c r="AA170" s="191"/>
      <c r="AB170" s="191"/>
      <c r="AC170" s="191"/>
      <c r="AD170" s="191"/>
      <c r="AE170" s="191"/>
      <c r="AF170" s="191"/>
      <c r="AG170" s="191"/>
      <c r="AH170" s="191"/>
      <c r="AI170" s="127"/>
      <c r="AJ170" s="191"/>
      <c r="AK170" s="191"/>
      <c r="AL170" s="190"/>
      <c r="AM170" s="191"/>
      <c r="AQ170" s="194"/>
      <c r="AR170" s="127"/>
      <c r="AS170" s="194"/>
      <c r="AT170" s="194"/>
      <c r="AU170" s="194"/>
      <c r="AV170" s="194"/>
      <c r="AW170" s="194"/>
      <c r="AX170" s="194"/>
      <c r="AY170" s="193"/>
      <c r="AZ170" s="194"/>
      <c r="BA170" s="21"/>
      <c r="BE170" s="188" t="s">
        <v>1466</v>
      </c>
      <c r="BF170" s="188" t="s">
        <v>3897</v>
      </c>
      <c r="BG170" s="127">
        <v>42908</v>
      </c>
      <c r="BH170" s="188" t="s">
        <v>10</v>
      </c>
      <c r="BI170" s="188" t="s">
        <v>598</v>
      </c>
      <c r="BJ170" s="189">
        <v>3000</v>
      </c>
      <c r="BK170" s="188" t="s">
        <v>493</v>
      </c>
      <c r="BL170" s="188" t="s">
        <v>598</v>
      </c>
      <c r="BM170" s="189">
        <v>0</v>
      </c>
      <c r="BN170" s="188" t="s">
        <v>598</v>
      </c>
      <c r="BO170" s="127">
        <v>42898</v>
      </c>
      <c r="BP170" s="188" t="s">
        <v>134</v>
      </c>
      <c r="BQ170" s="188" t="s">
        <v>84</v>
      </c>
      <c r="BR170" s="188" t="s">
        <v>264</v>
      </c>
      <c r="BS170" s="188" t="s">
        <v>50</v>
      </c>
      <c r="BT170" s="188" t="s">
        <v>79</v>
      </c>
      <c r="BU170" s="188" t="s">
        <v>65</v>
      </c>
      <c r="BV170" s="188" t="s">
        <v>598</v>
      </c>
      <c r="BZ170" s="188">
        <v>169</v>
      </c>
      <c r="CA170" s="127">
        <v>42905</v>
      </c>
      <c r="CB170" s="188" t="s">
        <v>495</v>
      </c>
      <c r="CC170" s="188" t="s">
        <v>322</v>
      </c>
      <c r="CD170" s="188" t="s">
        <v>324</v>
      </c>
      <c r="CE170" s="188"/>
      <c r="CF170" s="188" t="s">
        <v>34</v>
      </c>
      <c r="CG170" s="188"/>
      <c r="CH170" s="189">
        <v>600</v>
      </c>
      <c r="CI170" s="188"/>
    </row>
    <row r="171" spans="5:87">
      <c r="E171" s="21"/>
      <c r="Q171" s="191"/>
      <c r="R171" s="191"/>
      <c r="S171" s="191"/>
      <c r="T171" s="127"/>
      <c r="U171" s="127"/>
      <c r="V171" s="191"/>
      <c r="W171" s="190"/>
      <c r="X171" s="191"/>
      <c r="Y171" s="191"/>
      <c r="Z171" s="191"/>
      <c r="AA171" s="191"/>
      <c r="AB171" s="191"/>
      <c r="AC171" s="191"/>
      <c r="AD171" s="191"/>
      <c r="AE171" s="191"/>
      <c r="AF171" s="191"/>
      <c r="AG171" s="191"/>
      <c r="AH171" s="191"/>
      <c r="AI171" s="127"/>
      <c r="AJ171" s="191"/>
      <c r="AK171" s="191"/>
      <c r="AL171" s="190"/>
      <c r="AM171" s="191"/>
      <c r="AQ171" s="194"/>
      <c r="AR171" s="127"/>
      <c r="AS171" s="194"/>
      <c r="AT171" s="194"/>
      <c r="AU171" s="194"/>
      <c r="AV171" s="194"/>
      <c r="AW171" s="194"/>
      <c r="AX171" s="194"/>
      <c r="AY171" s="193"/>
      <c r="AZ171" s="194"/>
      <c r="BA171" s="21"/>
      <c r="BE171" s="188" t="s">
        <v>1468</v>
      </c>
      <c r="BF171" s="188" t="s">
        <v>3898</v>
      </c>
      <c r="BG171" s="127">
        <v>42908</v>
      </c>
      <c r="BH171" s="188" t="s">
        <v>10</v>
      </c>
      <c r="BI171" s="188" t="s">
        <v>598</v>
      </c>
      <c r="BJ171" s="189">
        <v>3000</v>
      </c>
      <c r="BK171" s="188" t="s">
        <v>493</v>
      </c>
      <c r="BL171" s="188" t="s">
        <v>598</v>
      </c>
      <c r="BM171" s="189">
        <v>0</v>
      </c>
      <c r="BN171" s="188" t="s">
        <v>598</v>
      </c>
      <c r="BO171" s="127">
        <v>42898</v>
      </c>
      <c r="BP171" s="188" t="s">
        <v>598</v>
      </c>
      <c r="BQ171" s="188" t="s">
        <v>84</v>
      </c>
      <c r="BR171" s="188" t="s">
        <v>264</v>
      </c>
      <c r="BS171" s="188" t="s">
        <v>50</v>
      </c>
      <c r="BT171" s="188" t="s">
        <v>79</v>
      </c>
      <c r="BU171" s="188" t="s">
        <v>79</v>
      </c>
      <c r="BV171" s="188" t="s">
        <v>598</v>
      </c>
      <c r="BZ171" s="188">
        <v>170</v>
      </c>
      <c r="CA171" s="127">
        <v>42905</v>
      </c>
      <c r="CB171" s="188" t="s">
        <v>495</v>
      </c>
      <c r="CC171" s="188" t="s">
        <v>322</v>
      </c>
      <c r="CD171" s="188" t="s">
        <v>176</v>
      </c>
      <c r="CE171" s="188"/>
      <c r="CF171" s="188" t="s">
        <v>34</v>
      </c>
      <c r="CG171" s="188"/>
      <c r="CH171" s="189">
        <v>500</v>
      </c>
      <c r="CI171" s="188"/>
    </row>
    <row r="172" spans="5:87">
      <c r="E172" s="21"/>
      <c r="Q172" s="191"/>
      <c r="R172" s="191"/>
      <c r="S172" s="191"/>
      <c r="T172" s="127"/>
      <c r="U172" s="127"/>
      <c r="V172" s="191"/>
      <c r="W172" s="190"/>
      <c r="X172" s="191"/>
      <c r="Y172" s="191"/>
      <c r="Z172" s="191"/>
      <c r="AA172" s="191"/>
      <c r="AB172" s="191"/>
      <c r="AC172" s="191"/>
      <c r="AD172" s="191"/>
      <c r="AE172" s="191"/>
      <c r="AF172" s="191"/>
      <c r="AG172" s="191"/>
      <c r="AH172" s="191"/>
      <c r="AI172" s="127"/>
      <c r="AJ172" s="191"/>
      <c r="AK172" s="191"/>
      <c r="AL172" s="190"/>
      <c r="AM172" s="191"/>
      <c r="AQ172" s="194"/>
      <c r="AR172" s="127"/>
      <c r="AS172" s="194"/>
      <c r="AT172" s="194"/>
      <c r="AU172" s="194"/>
      <c r="AV172" s="194"/>
      <c r="AW172" s="194"/>
      <c r="AX172" s="194"/>
      <c r="AY172" s="193"/>
      <c r="AZ172" s="194"/>
      <c r="BA172" s="21"/>
      <c r="BE172" s="188" t="s">
        <v>1474</v>
      </c>
      <c r="BF172" s="188" t="s">
        <v>3899</v>
      </c>
      <c r="BG172" s="127">
        <v>42899</v>
      </c>
      <c r="BH172" s="188" t="s">
        <v>34</v>
      </c>
      <c r="BI172" s="188" t="s">
        <v>598</v>
      </c>
      <c r="BJ172" s="189">
        <v>1000</v>
      </c>
      <c r="BK172" s="188" t="s">
        <v>493</v>
      </c>
      <c r="BL172" s="188" t="s">
        <v>598</v>
      </c>
      <c r="BM172" s="189">
        <v>0</v>
      </c>
      <c r="BN172" s="188" t="s">
        <v>598</v>
      </c>
      <c r="BO172" s="127">
        <v>42899</v>
      </c>
      <c r="BP172" s="188" t="s">
        <v>126</v>
      </c>
      <c r="BQ172" s="188" t="s">
        <v>84</v>
      </c>
      <c r="BR172" s="188" t="s">
        <v>598</v>
      </c>
      <c r="BS172" s="188" t="s">
        <v>598</v>
      </c>
      <c r="BT172" s="188" t="s">
        <v>79</v>
      </c>
      <c r="BU172" s="188" t="s">
        <v>598</v>
      </c>
      <c r="BV172" s="188" t="s">
        <v>598</v>
      </c>
      <c r="BZ172" s="188">
        <v>171</v>
      </c>
      <c r="CA172" s="127">
        <v>42906</v>
      </c>
      <c r="CB172" s="188" t="s">
        <v>4426</v>
      </c>
      <c r="CC172" s="188" t="s">
        <v>320</v>
      </c>
      <c r="CD172" s="188" t="s">
        <v>321</v>
      </c>
      <c r="CE172" s="188"/>
      <c r="CF172" s="188" t="s">
        <v>34</v>
      </c>
      <c r="CG172" s="188"/>
      <c r="CH172" s="189">
        <v>500</v>
      </c>
      <c r="CI172" s="188"/>
    </row>
    <row r="173" spans="5:87">
      <c r="E173" s="21"/>
      <c r="Q173" s="191"/>
      <c r="R173" s="191"/>
      <c r="S173" s="191"/>
      <c r="T173" s="127"/>
      <c r="U173" s="127"/>
      <c r="V173" s="191"/>
      <c r="W173" s="190"/>
      <c r="X173" s="191"/>
      <c r="Y173" s="191"/>
      <c r="Z173" s="191"/>
      <c r="AA173" s="191"/>
      <c r="AB173" s="191"/>
      <c r="AC173" s="191"/>
      <c r="AD173" s="191"/>
      <c r="AE173" s="191"/>
      <c r="AF173" s="191"/>
      <c r="AG173" s="191"/>
      <c r="AH173" s="191"/>
      <c r="AI173" s="127"/>
      <c r="AJ173" s="191"/>
      <c r="AK173" s="191"/>
      <c r="AL173" s="190"/>
      <c r="AM173" s="191"/>
      <c r="AQ173" s="194"/>
      <c r="AR173" s="127"/>
      <c r="AS173" s="194"/>
      <c r="AT173" s="194"/>
      <c r="AU173" s="194"/>
      <c r="AV173" s="194"/>
      <c r="AW173" s="194"/>
      <c r="AX173" s="194"/>
      <c r="AY173" s="193"/>
      <c r="AZ173" s="194"/>
      <c r="BA173" s="21"/>
      <c r="BE173" s="188" t="s">
        <v>1476</v>
      </c>
      <c r="BF173" s="188" t="s">
        <v>3900</v>
      </c>
      <c r="BG173" s="127">
        <v>42902</v>
      </c>
      <c r="BH173" s="188" t="s">
        <v>34</v>
      </c>
      <c r="BI173" s="188" t="s">
        <v>598</v>
      </c>
      <c r="BJ173" s="189">
        <v>5000</v>
      </c>
      <c r="BK173" s="188" t="s">
        <v>493</v>
      </c>
      <c r="BL173" s="188" t="s">
        <v>598</v>
      </c>
      <c r="BM173" s="189">
        <v>0</v>
      </c>
      <c r="BN173" s="188" t="s">
        <v>598</v>
      </c>
      <c r="BO173" s="127">
        <v>42900</v>
      </c>
      <c r="BP173" s="188" t="s">
        <v>132</v>
      </c>
      <c r="BQ173" s="188" t="s">
        <v>84</v>
      </c>
      <c r="BR173" s="188" t="s">
        <v>254</v>
      </c>
      <c r="BS173" s="188" t="s">
        <v>598</v>
      </c>
      <c r="BT173" s="188" t="s">
        <v>79</v>
      </c>
      <c r="BU173" s="188" t="s">
        <v>79</v>
      </c>
      <c r="BV173" s="188" t="s">
        <v>598</v>
      </c>
      <c r="BZ173" s="188">
        <v>172</v>
      </c>
      <c r="CA173" s="127">
        <v>42906</v>
      </c>
      <c r="CB173" s="188" t="s">
        <v>4429</v>
      </c>
      <c r="CC173" s="188" t="s">
        <v>323</v>
      </c>
      <c r="CD173" s="188" t="s">
        <v>79</v>
      </c>
      <c r="CE173" s="188"/>
      <c r="CF173" s="188" t="s">
        <v>34</v>
      </c>
      <c r="CG173" s="188"/>
      <c r="CH173" s="189">
        <v>3250</v>
      </c>
      <c r="CI173" s="188"/>
    </row>
    <row r="174" spans="5:87">
      <c r="E174" s="21"/>
      <c r="Q174" s="191"/>
      <c r="R174" s="191"/>
      <c r="S174" s="191"/>
      <c r="T174" s="127"/>
      <c r="U174" s="127"/>
      <c r="V174" s="191"/>
      <c r="W174" s="190"/>
      <c r="X174" s="191"/>
      <c r="Y174" s="191"/>
      <c r="Z174" s="191"/>
      <c r="AA174" s="191"/>
      <c r="AB174" s="191"/>
      <c r="AC174" s="191"/>
      <c r="AD174" s="191"/>
      <c r="AE174" s="191"/>
      <c r="AF174" s="191"/>
      <c r="AG174" s="191"/>
      <c r="AH174" s="191"/>
      <c r="AI174" s="127"/>
      <c r="AJ174" s="191"/>
      <c r="AK174" s="191"/>
      <c r="AL174" s="190"/>
      <c r="AM174" s="191"/>
      <c r="AQ174" s="194"/>
      <c r="AR174" s="127"/>
      <c r="AS174" s="194"/>
      <c r="AT174" s="194"/>
      <c r="AU174" s="194"/>
      <c r="AV174" s="194"/>
      <c r="AW174" s="194"/>
      <c r="AX174" s="194"/>
      <c r="AY174" s="193"/>
      <c r="AZ174" s="194"/>
      <c r="BA174" s="21"/>
      <c r="BE174" s="188" t="s">
        <v>1483</v>
      </c>
      <c r="BF174" s="188" t="s">
        <v>3901</v>
      </c>
      <c r="BG174" s="127">
        <v>42902</v>
      </c>
      <c r="BH174" s="188" t="s">
        <v>34</v>
      </c>
      <c r="BI174" s="188" t="s">
        <v>598</v>
      </c>
      <c r="BJ174" s="189">
        <v>8000</v>
      </c>
      <c r="BK174" s="188" t="s">
        <v>493</v>
      </c>
      <c r="BL174" s="188" t="s">
        <v>598</v>
      </c>
      <c r="BM174" s="189">
        <v>0</v>
      </c>
      <c r="BN174" s="188" t="s">
        <v>598</v>
      </c>
      <c r="BO174" s="127">
        <v>42901</v>
      </c>
      <c r="BP174" s="188" t="s">
        <v>132</v>
      </c>
      <c r="BQ174" s="188" t="s">
        <v>84</v>
      </c>
      <c r="BR174" s="188" t="s">
        <v>257</v>
      </c>
      <c r="BS174" s="188" t="s">
        <v>598</v>
      </c>
      <c r="BT174" s="188" t="s">
        <v>79</v>
      </c>
      <c r="BU174" s="188" t="s">
        <v>79</v>
      </c>
      <c r="BV174" s="188" t="s">
        <v>598</v>
      </c>
      <c r="BZ174" s="188">
        <v>173</v>
      </c>
      <c r="CA174" s="127">
        <v>42906</v>
      </c>
      <c r="CB174" s="188" t="s">
        <v>495</v>
      </c>
      <c r="CC174" s="188" t="s">
        <v>322</v>
      </c>
      <c r="CD174" s="188" t="s">
        <v>42</v>
      </c>
      <c r="CE174" s="188"/>
      <c r="CF174" s="188" t="s">
        <v>34</v>
      </c>
      <c r="CG174" s="188"/>
      <c r="CH174" s="189">
        <v>600</v>
      </c>
      <c r="CI174" s="188"/>
    </row>
    <row r="175" spans="5:87">
      <c r="E175" s="21"/>
      <c r="Q175" s="191"/>
      <c r="R175" s="191"/>
      <c r="S175" s="191"/>
      <c r="T175" s="127"/>
      <c r="U175" s="127"/>
      <c r="V175" s="191"/>
      <c r="W175" s="190"/>
      <c r="X175" s="191"/>
      <c r="Y175" s="191"/>
      <c r="Z175" s="191"/>
      <c r="AA175" s="191"/>
      <c r="AB175" s="191"/>
      <c r="AC175" s="191"/>
      <c r="AD175" s="191"/>
      <c r="AE175" s="191"/>
      <c r="AF175" s="191"/>
      <c r="AG175" s="191"/>
      <c r="AH175" s="191"/>
      <c r="AI175" s="127"/>
      <c r="AJ175" s="191"/>
      <c r="AK175" s="191"/>
      <c r="AL175" s="190"/>
      <c r="AM175" s="191"/>
      <c r="AQ175" s="194"/>
      <c r="AR175" s="127"/>
      <c r="AS175" s="194"/>
      <c r="AT175" s="194"/>
      <c r="AU175" s="194"/>
      <c r="AV175" s="194"/>
      <c r="AW175" s="194"/>
      <c r="AX175" s="194"/>
      <c r="AY175" s="193"/>
      <c r="AZ175" s="194"/>
      <c r="BA175" s="21"/>
      <c r="BE175" s="188" t="s">
        <v>1489</v>
      </c>
      <c r="BF175" s="188" t="s">
        <v>3902</v>
      </c>
      <c r="BG175" s="127">
        <v>42908</v>
      </c>
      <c r="BH175" s="188" t="s">
        <v>10</v>
      </c>
      <c r="BI175" s="188" t="s">
        <v>598</v>
      </c>
      <c r="BJ175" s="189">
        <v>3000</v>
      </c>
      <c r="BK175" s="188" t="s">
        <v>493</v>
      </c>
      <c r="BL175" s="188" t="s">
        <v>598</v>
      </c>
      <c r="BM175" s="189">
        <v>0</v>
      </c>
      <c r="BN175" s="188" t="s">
        <v>598</v>
      </c>
      <c r="BO175" s="127">
        <v>42902</v>
      </c>
      <c r="BP175" s="188" t="s">
        <v>134</v>
      </c>
      <c r="BQ175" s="188" t="s">
        <v>84</v>
      </c>
      <c r="BR175" s="188" t="s">
        <v>184</v>
      </c>
      <c r="BS175" s="188" t="s">
        <v>598</v>
      </c>
      <c r="BT175" s="188" t="s">
        <v>79</v>
      </c>
      <c r="BU175" s="188" t="s">
        <v>79</v>
      </c>
      <c r="BV175" s="188" t="s">
        <v>598</v>
      </c>
      <c r="BZ175" s="188">
        <v>174</v>
      </c>
      <c r="CA175" s="127">
        <v>42906</v>
      </c>
      <c r="CB175" s="188" t="s">
        <v>495</v>
      </c>
      <c r="CC175" s="188" t="s">
        <v>322</v>
      </c>
      <c r="CD175" s="188" t="s">
        <v>42</v>
      </c>
      <c r="CE175" s="188"/>
      <c r="CF175" s="188" t="s">
        <v>34</v>
      </c>
      <c r="CG175" s="188"/>
      <c r="CH175" s="189">
        <v>600</v>
      </c>
      <c r="CI175" s="188"/>
    </row>
    <row r="176" spans="5:87">
      <c r="E176" s="21"/>
      <c r="Q176" s="191"/>
      <c r="R176" s="191"/>
      <c r="S176" s="191"/>
      <c r="T176" s="127"/>
      <c r="U176" s="127"/>
      <c r="V176" s="191"/>
      <c r="W176" s="190"/>
      <c r="X176" s="191"/>
      <c r="Y176" s="191"/>
      <c r="Z176" s="191"/>
      <c r="AA176" s="191"/>
      <c r="AB176" s="191"/>
      <c r="AC176" s="191"/>
      <c r="AD176" s="191"/>
      <c r="AE176" s="191"/>
      <c r="AF176" s="191"/>
      <c r="AG176" s="191"/>
      <c r="AH176" s="191"/>
      <c r="AI176" s="127"/>
      <c r="AJ176" s="191"/>
      <c r="AK176" s="191"/>
      <c r="AL176" s="190"/>
      <c r="AM176" s="191"/>
      <c r="AQ176" s="194"/>
      <c r="AR176" s="127"/>
      <c r="AS176" s="194"/>
      <c r="AT176" s="194"/>
      <c r="AU176" s="194"/>
      <c r="AV176" s="194"/>
      <c r="AW176" s="194"/>
      <c r="AX176" s="194"/>
      <c r="AY176" s="193"/>
      <c r="AZ176" s="194"/>
      <c r="BA176" s="21"/>
      <c r="BE176" s="188" t="s">
        <v>1490</v>
      </c>
      <c r="BF176" s="188" t="s">
        <v>3903</v>
      </c>
      <c r="BG176" s="127">
        <v>42903</v>
      </c>
      <c r="BH176" s="188" t="s">
        <v>10</v>
      </c>
      <c r="BI176" s="188" t="s">
        <v>598</v>
      </c>
      <c r="BJ176" s="189">
        <v>1000</v>
      </c>
      <c r="BK176" s="188" t="s">
        <v>493</v>
      </c>
      <c r="BL176" s="188" t="s">
        <v>598</v>
      </c>
      <c r="BM176" s="189">
        <v>0</v>
      </c>
      <c r="BN176" s="188" t="s">
        <v>598</v>
      </c>
      <c r="BO176" s="127">
        <v>42903</v>
      </c>
      <c r="BP176" s="188" t="s">
        <v>864</v>
      </c>
      <c r="BQ176" s="188" t="s">
        <v>84</v>
      </c>
      <c r="BR176" s="188" t="s">
        <v>598</v>
      </c>
      <c r="BS176" s="188" t="s">
        <v>598</v>
      </c>
      <c r="BT176" s="188" t="s">
        <v>79</v>
      </c>
      <c r="BU176" s="188" t="s">
        <v>598</v>
      </c>
      <c r="BV176" s="188" t="s">
        <v>598</v>
      </c>
      <c r="BZ176" s="188">
        <v>175</v>
      </c>
      <c r="CA176" s="127">
        <v>42910</v>
      </c>
      <c r="CB176" s="188" t="s">
        <v>4447</v>
      </c>
      <c r="CC176" s="188" t="s">
        <v>320</v>
      </c>
      <c r="CD176" s="188"/>
      <c r="CE176" s="188"/>
      <c r="CF176" s="188" t="s">
        <v>34</v>
      </c>
      <c r="CG176" s="188"/>
      <c r="CH176" s="189">
        <v>460</v>
      </c>
      <c r="CI176" s="188"/>
    </row>
    <row r="177" spans="5:87">
      <c r="E177" s="21"/>
      <c r="Q177" s="191"/>
      <c r="R177" s="191"/>
      <c r="S177" s="191"/>
      <c r="T177" s="127"/>
      <c r="U177" s="127"/>
      <c r="V177" s="191"/>
      <c r="W177" s="190"/>
      <c r="X177" s="191"/>
      <c r="Y177" s="191"/>
      <c r="Z177" s="191"/>
      <c r="AA177" s="191"/>
      <c r="AB177" s="191"/>
      <c r="AC177" s="191"/>
      <c r="AD177" s="191"/>
      <c r="AE177" s="191"/>
      <c r="AF177" s="191"/>
      <c r="AG177" s="191"/>
      <c r="AH177" s="191"/>
      <c r="AI177" s="127"/>
      <c r="AJ177" s="191"/>
      <c r="AK177" s="191"/>
      <c r="AL177" s="190"/>
      <c r="AM177" s="191"/>
      <c r="AQ177" s="194"/>
      <c r="AR177" s="127"/>
      <c r="AS177" s="194"/>
      <c r="AT177" s="194"/>
      <c r="AU177" s="194"/>
      <c r="AV177" s="194"/>
      <c r="AW177" s="194"/>
      <c r="AX177" s="194"/>
      <c r="AY177" s="193"/>
      <c r="AZ177" s="194"/>
      <c r="BA177" s="21"/>
      <c r="BE177" s="188" t="s">
        <v>1492</v>
      </c>
      <c r="BF177" s="188" t="s">
        <v>3904</v>
      </c>
      <c r="BG177" s="127">
        <v>42908</v>
      </c>
      <c r="BH177" s="188" t="s">
        <v>10</v>
      </c>
      <c r="BI177" s="188" t="s">
        <v>598</v>
      </c>
      <c r="BJ177" s="189">
        <v>10000</v>
      </c>
      <c r="BK177" s="188" t="s">
        <v>493</v>
      </c>
      <c r="BL177" s="188" t="s">
        <v>598</v>
      </c>
      <c r="BM177" s="189">
        <v>0</v>
      </c>
      <c r="BN177" s="188" t="s">
        <v>598</v>
      </c>
      <c r="BO177" s="127">
        <v>42902</v>
      </c>
      <c r="BP177" s="188" t="s">
        <v>598</v>
      </c>
      <c r="BQ177" s="188" t="s">
        <v>84</v>
      </c>
      <c r="BR177" s="188" t="s">
        <v>267</v>
      </c>
      <c r="BS177" s="188" t="s">
        <v>598</v>
      </c>
      <c r="BT177" s="188" t="s">
        <v>79</v>
      </c>
      <c r="BU177" s="188" t="s">
        <v>112</v>
      </c>
      <c r="BV177" s="188" t="s">
        <v>598</v>
      </c>
      <c r="BZ177" s="188">
        <v>176</v>
      </c>
      <c r="CA177" s="127">
        <v>42910</v>
      </c>
      <c r="CB177" s="188" t="s">
        <v>3001</v>
      </c>
      <c r="CC177" s="188" t="s">
        <v>320</v>
      </c>
      <c r="CD177" s="188" t="s">
        <v>3001</v>
      </c>
      <c r="CE177" s="188"/>
      <c r="CF177" s="188" t="s">
        <v>34</v>
      </c>
      <c r="CG177" s="188"/>
      <c r="CH177" s="189">
        <v>300</v>
      </c>
      <c r="CI177" s="188"/>
    </row>
    <row r="178" spans="5:87">
      <c r="E178" s="21"/>
      <c r="Q178" s="191"/>
      <c r="R178" s="191"/>
      <c r="S178" s="191"/>
      <c r="T178" s="127"/>
      <c r="U178" s="127"/>
      <c r="V178" s="191"/>
      <c r="W178" s="190"/>
      <c r="X178" s="191"/>
      <c r="Y178" s="191"/>
      <c r="Z178" s="191"/>
      <c r="AA178" s="191"/>
      <c r="AB178" s="191"/>
      <c r="AC178" s="191"/>
      <c r="AD178" s="191"/>
      <c r="AE178" s="191"/>
      <c r="AF178" s="191"/>
      <c r="AG178" s="191"/>
      <c r="AH178" s="191"/>
      <c r="AI178" s="127"/>
      <c r="AJ178" s="191"/>
      <c r="AK178" s="191"/>
      <c r="AL178" s="190"/>
      <c r="AM178" s="191"/>
      <c r="AQ178" s="194"/>
      <c r="AR178" s="127"/>
      <c r="AS178" s="194"/>
      <c r="AT178" s="194"/>
      <c r="AU178" s="194"/>
      <c r="AV178" s="194"/>
      <c r="AW178" s="194"/>
      <c r="AX178" s="194"/>
      <c r="AY178" s="193"/>
      <c r="AZ178" s="194"/>
      <c r="BA178" s="21"/>
      <c r="BE178" s="188" t="s">
        <v>1494</v>
      </c>
      <c r="BF178" s="188" t="s">
        <v>3905</v>
      </c>
      <c r="BG178" s="127">
        <v>42907</v>
      </c>
      <c r="BH178" s="188" t="s">
        <v>34</v>
      </c>
      <c r="BI178" s="188" t="s">
        <v>598</v>
      </c>
      <c r="BJ178" s="189">
        <v>3000</v>
      </c>
      <c r="BK178" s="188" t="s">
        <v>493</v>
      </c>
      <c r="BL178" s="188" t="s">
        <v>598</v>
      </c>
      <c r="BM178" s="189">
        <v>0</v>
      </c>
      <c r="BN178" s="188" t="s">
        <v>598</v>
      </c>
      <c r="BO178" s="127">
        <v>42901</v>
      </c>
      <c r="BP178" s="188" t="s">
        <v>96</v>
      </c>
      <c r="BQ178" s="188" t="s">
        <v>84</v>
      </c>
      <c r="BR178" s="188" t="s">
        <v>241</v>
      </c>
      <c r="BS178" s="188" t="s">
        <v>598</v>
      </c>
      <c r="BT178" s="188" t="s">
        <v>79</v>
      </c>
      <c r="BU178" s="188" t="s">
        <v>112</v>
      </c>
      <c r="BV178" s="188" t="s">
        <v>598</v>
      </c>
      <c r="BZ178" s="188">
        <v>177</v>
      </c>
      <c r="CA178" s="127">
        <v>42910</v>
      </c>
      <c r="CB178" s="188" t="s">
        <v>4426</v>
      </c>
      <c r="CC178" s="188" t="s">
        <v>320</v>
      </c>
      <c r="CD178" s="188" t="s">
        <v>321</v>
      </c>
      <c r="CE178" s="188"/>
      <c r="CF178" s="188" t="s">
        <v>34</v>
      </c>
      <c r="CG178" s="188"/>
      <c r="CH178" s="189">
        <v>500</v>
      </c>
      <c r="CI178" s="188"/>
    </row>
    <row r="179" spans="5:87">
      <c r="E179" s="21"/>
      <c r="Q179" s="191"/>
      <c r="R179" s="191"/>
      <c r="S179" s="191"/>
      <c r="T179" s="127"/>
      <c r="U179" s="127"/>
      <c r="V179" s="191"/>
      <c r="W179" s="190"/>
      <c r="X179" s="191"/>
      <c r="Y179" s="191"/>
      <c r="Z179" s="191"/>
      <c r="AA179" s="191"/>
      <c r="AB179" s="191"/>
      <c r="AC179" s="191"/>
      <c r="AD179" s="191"/>
      <c r="AE179" s="191"/>
      <c r="AF179" s="191"/>
      <c r="AG179" s="191"/>
      <c r="AH179" s="191"/>
      <c r="AI179" s="127"/>
      <c r="AJ179" s="191"/>
      <c r="AK179" s="191"/>
      <c r="AL179" s="190"/>
      <c r="AM179" s="191"/>
      <c r="AQ179" s="194"/>
      <c r="AR179" s="127"/>
      <c r="AS179" s="194"/>
      <c r="AT179" s="194"/>
      <c r="AU179" s="194"/>
      <c r="AV179" s="194"/>
      <c r="AW179" s="194"/>
      <c r="AX179" s="194"/>
      <c r="AY179" s="193"/>
      <c r="AZ179" s="194"/>
      <c r="BA179" s="21"/>
      <c r="BE179" s="188" t="s">
        <v>1499</v>
      </c>
      <c r="BF179" s="188" t="s">
        <v>3906</v>
      </c>
      <c r="BG179" s="127">
        <v>42908</v>
      </c>
      <c r="BH179" s="188" t="s">
        <v>10</v>
      </c>
      <c r="BI179" s="188" t="s">
        <v>598</v>
      </c>
      <c r="BJ179" s="189">
        <v>8000</v>
      </c>
      <c r="BK179" s="188" t="s">
        <v>493</v>
      </c>
      <c r="BL179" s="188" t="s">
        <v>598</v>
      </c>
      <c r="BM179" s="189">
        <v>0</v>
      </c>
      <c r="BN179" s="188" t="s">
        <v>598</v>
      </c>
      <c r="BO179" s="127">
        <v>42904</v>
      </c>
      <c r="BP179" s="188" t="s">
        <v>134</v>
      </c>
      <c r="BQ179" s="188" t="s">
        <v>84</v>
      </c>
      <c r="BR179" s="188" t="s">
        <v>184</v>
      </c>
      <c r="BS179" s="188" t="s">
        <v>50</v>
      </c>
      <c r="BT179" s="188" t="s">
        <v>79</v>
      </c>
      <c r="BU179" s="188" t="s">
        <v>79</v>
      </c>
      <c r="BV179" s="188" t="s">
        <v>598</v>
      </c>
      <c r="BZ179" s="188">
        <v>178</v>
      </c>
      <c r="CA179" s="127">
        <v>42910</v>
      </c>
      <c r="CB179" s="188" t="s">
        <v>495</v>
      </c>
      <c r="CC179" s="188" t="s">
        <v>322</v>
      </c>
      <c r="CD179" s="188" t="s">
        <v>42</v>
      </c>
      <c r="CE179" s="188"/>
      <c r="CF179" s="188" t="s">
        <v>34</v>
      </c>
      <c r="CG179" s="188"/>
      <c r="CH179" s="189">
        <v>700</v>
      </c>
      <c r="CI179" s="188"/>
    </row>
    <row r="180" spans="5:87">
      <c r="E180" s="21"/>
      <c r="Q180" s="191"/>
      <c r="R180" s="191"/>
      <c r="S180" s="191"/>
      <c r="T180" s="127"/>
      <c r="U180" s="127"/>
      <c r="V180" s="191"/>
      <c r="W180" s="190"/>
      <c r="X180" s="191"/>
      <c r="Y180" s="191"/>
      <c r="Z180" s="191"/>
      <c r="AA180" s="191"/>
      <c r="AB180" s="191"/>
      <c r="AC180" s="191"/>
      <c r="AD180" s="191"/>
      <c r="AE180" s="191"/>
      <c r="AF180" s="191"/>
      <c r="AG180" s="191"/>
      <c r="AH180" s="191"/>
      <c r="AI180" s="127"/>
      <c r="AJ180" s="191"/>
      <c r="AK180" s="191"/>
      <c r="AL180" s="190"/>
      <c r="AM180" s="191"/>
      <c r="AQ180" s="194"/>
      <c r="AR180" s="127"/>
      <c r="AS180" s="194"/>
      <c r="AT180" s="194"/>
      <c r="AU180" s="194"/>
      <c r="AV180" s="194"/>
      <c r="AW180" s="194"/>
      <c r="AX180" s="194"/>
      <c r="AY180" s="193"/>
      <c r="AZ180" s="194"/>
      <c r="BA180" s="21"/>
      <c r="BE180" s="188" t="s">
        <v>1503</v>
      </c>
      <c r="BF180" s="188" t="s">
        <v>3907</v>
      </c>
      <c r="BG180" s="127">
        <v>42907</v>
      </c>
      <c r="BH180" s="188" t="s">
        <v>34</v>
      </c>
      <c r="BI180" s="188" t="s">
        <v>598</v>
      </c>
      <c r="BJ180" s="189">
        <v>3000</v>
      </c>
      <c r="BK180" s="188" t="s">
        <v>493</v>
      </c>
      <c r="BL180" s="188" t="s">
        <v>598</v>
      </c>
      <c r="BM180" s="189">
        <v>0</v>
      </c>
      <c r="BN180" s="188" t="s">
        <v>598</v>
      </c>
      <c r="BO180" s="127">
        <v>42905</v>
      </c>
      <c r="BP180" s="188" t="s">
        <v>132</v>
      </c>
      <c r="BQ180" s="188" t="s">
        <v>84</v>
      </c>
      <c r="BR180" s="188" t="s">
        <v>257</v>
      </c>
      <c r="BS180" s="188" t="s">
        <v>598</v>
      </c>
      <c r="BT180" s="188" t="s">
        <v>79</v>
      </c>
      <c r="BU180" s="188" t="s">
        <v>65</v>
      </c>
      <c r="BV180" s="188" t="s">
        <v>598</v>
      </c>
      <c r="BZ180" s="188">
        <v>179</v>
      </c>
      <c r="CA180" s="127">
        <v>42910</v>
      </c>
      <c r="CB180" s="188" t="s">
        <v>495</v>
      </c>
      <c r="CC180" s="188" t="s">
        <v>322</v>
      </c>
      <c r="CD180" s="188" t="s">
        <v>85</v>
      </c>
      <c r="CE180" s="188"/>
      <c r="CF180" s="188" t="s">
        <v>34</v>
      </c>
      <c r="CG180" s="188"/>
      <c r="CH180" s="189">
        <v>600</v>
      </c>
      <c r="CI180" s="188"/>
    </row>
    <row r="181" spans="5:87">
      <c r="E181" s="21"/>
      <c r="Q181" s="191"/>
      <c r="R181" s="191"/>
      <c r="S181" s="191"/>
      <c r="T181" s="127"/>
      <c r="U181" s="127"/>
      <c r="V181" s="191"/>
      <c r="W181" s="190"/>
      <c r="X181" s="191"/>
      <c r="Y181" s="191"/>
      <c r="Z181" s="191"/>
      <c r="AA181" s="191"/>
      <c r="AB181" s="191"/>
      <c r="AC181" s="191"/>
      <c r="AD181" s="191"/>
      <c r="AE181" s="191"/>
      <c r="AF181" s="191"/>
      <c r="AG181" s="191"/>
      <c r="AH181" s="191"/>
      <c r="AI181" s="127"/>
      <c r="AJ181" s="191"/>
      <c r="AK181" s="191"/>
      <c r="AL181" s="190"/>
      <c r="AM181" s="191"/>
      <c r="AQ181" s="194"/>
      <c r="AR181" s="127"/>
      <c r="AS181" s="194"/>
      <c r="AT181" s="194"/>
      <c r="AU181" s="194"/>
      <c r="AV181" s="194"/>
      <c r="AW181" s="194"/>
      <c r="AX181" s="194"/>
      <c r="AY181" s="193"/>
      <c r="AZ181" s="194"/>
      <c r="BA181" s="21"/>
      <c r="BE181" s="188" t="s">
        <v>1505</v>
      </c>
      <c r="BF181" s="188" t="s">
        <v>3908</v>
      </c>
      <c r="BG181" s="127">
        <v>42909</v>
      </c>
      <c r="BH181" s="188" t="s">
        <v>10</v>
      </c>
      <c r="BI181" s="188" t="s">
        <v>598</v>
      </c>
      <c r="BJ181" s="189">
        <v>5000</v>
      </c>
      <c r="BK181" s="188" t="s">
        <v>493</v>
      </c>
      <c r="BL181" s="188" t="s">
        <v>598</v>
      </c>
      <c r="BM181" s="189">
        <v>0</v>
      </c>
      <c r="BN181" s="188" t="s">
        <v>598</v>
      </c>
      <c r="BO181" s="127">
        <v>42906</v>
      </c>
      <c r="BP181" s="188" t="s">
        <v>134</v>
      </c>
      <c r="BQ181" s="188" t="s">
        <v>84</v>
      </c>
      <c r="BR181" s="188" t="s">
        <v>192</v>
      </c>
      <c r="BS181" s="188" t="s">
        <v>598</v>
      </c>
      <c r="BT181" s="188" t="s">
        <v>79</v>
      </c>
      <c r="BU181" s="188" t="s">
        <v>79</v>
      </c>
      <c r="BV181" s="188" t="s">
        <v>598</v>
      </c>
      <c r="BZ181" s="188">
        <v>180</v>
      </c>
      <c r="CA181" s="127">
        <v>42910</v>
      </c>
      <c r="CB181" s="188" t="s">
        <v>495</v>
      </c>
      <c r="CC181" s="188" t="s">
        <v>322</v>
      </c>
      <c r="CD181" s="188" t="s">
        <v>73</v>
      </c>
      <c r="CE181" s="188"/>
      <c r="CF181" s="188" t="s">
        <v>34</v>
      </c>
      <c r="CG181" s="188"/>
      <c r="CH181" s="189">
        <v>600</v>
      </c>
      <c r="CI181" s="188"/>
    </row>
    <row r="182" spans="5:87">
      <c r="E182" s="21"/>
      <c r="Q182" s="191"/>
      <c r="R182" s="191"/>
      <c r="S182" s="191"/>
      <c r="T182" s="127"/>
      <c r="U182" s="127"/>
      <c r="V182" s="191"/>
      <c r="W182" s="190"/>
      <c r="X182" s="191"/>
      <c r="Y182" s="191"/>
      <c r="Z182" s="191"/>
      <c r="AA182" s="191"/>
      <c r="AB182" s="191"/>
      <c r="AC182" s="191"/>
      <c r="AD182" s="191"/>
      <c r="AE182" s="191"/>
      <c r="AF182" s="191"/>
      <c r="AG182" s="191"/>
      <c r="AH182" s="191"/>
      <c r="AI182" s="127"/>
      <c r="AJ182" s="191"/>
      <c r="AK182" s="191"/>
      <c r="AL182" s="190"/>
      <c r="AM182" s="191"/>
      <c r="AQ182" s="194"/>
      <c r="AR182" s="127"/>
      <c r="AS182" s="194"/>
      <c r="AT182" s="194"/>
      <c r="AU182" s="194"/>
      <c r="AV182" s="194"/>
      <c r="AW182" s="194"/>
      <c r="AX182" s="194"/>
      <c r="AY182" s="193"/>
      <c r="AZ182" s="194"/>
      <c r="BA182" s="21"/>
      <c r="BE182" s="188" t="s">
        <v>1511</v>
      </c>
      <c r="BF182" s="188" t="s">
        <v>3909</v>
      </c>
      <c r="BG182" s="127">
        <v>42916</v>
      </c>
      <c r="BH182" s="188" t="s">
        <v>10</v>
      </c>
      <c r="BI182" s="188" t="s">
        <v>598</v>
      </c>
      <c r="BJ182" s="189">
        <v>3000</v>
      </c>
      <c r="BK182" s="188" t="s">
        <v>493</v>
      </c>
      <c r="BL182" s="188" t="s">
        <v>598</v>
      </c>
      <c r="BM182" s="189">
        <v>0</v>
      </c>
      <c r="BN182" s="188" t="s">
        <v>598</v>
      </c>
      <c r="BO182" s="127">
        <v>42906</v>
      </c>
      <c r="BP182" s="188" t="s">
        <v>120</v>
      </c>
      <c r="BQ182" s="188" t="s">
        <v>84</v>
      </c>
      <c r="BR182" s="188" t="s">
        <v>269</v>
      </c>
      <c r="BS182" s="188" t="s">
        <v>598</v>
      </c>
      <c r="BT182" s="188" t="s">
        <v>79</v>
      </c>
      <c r="BU182" s="188" t="s">
        <v>112</v>
      </c>
      <c r="BV182" s="188" t="s">
        <v>598</v>
      </c>
      <c r="BZ182" s="188">
        <v>181</v>
      </c>
      <c r="CA182" s="127">
        <v>42910</v>
      </c>
      <c r="CB182" s="188" t="s">
        <v>495</v>
      </c>
      <c r="CC182" s="188" t="s">
        <v>322</v>
      </c>
      <c r="CD182" s="188" t="s">
        <v>79</v>
      </c>
      <c r="CE182" s="188"/>
      <c r="CF182" s="188" t="s">
        <v>34</v>
      </c>
      <c r="CG182" s="188"/>
      <c r="CH182" s="189">
        <v>600</v>
      </c>
      <c r="CI182" s="188"/>
    </row>
    <row r="183" spans="5:87">
      <c r="E183" s="21"/>
      <c r="Q183" s="191"/>
      <c r="R183" s="191"/>
      <c r="S183" s="191"/>
      <c r="T183" s="127"/>
      <c r="U183" s="127"/>
      <c r="V183" s="191"/>
      <c r="W183" s="190"/>
      <c r="X183" s="191"/>
      <c r="Y183" s="191"/>
      <c r="Z183" s="191"/>
      <c r="AA183" s="191"/>
      <c r="AB183" s="191"/>
      <c r="AC183" s="191"/>
      <c r="AD183" s="191"/>
      <c r="AE183" s="191"/>
      <c r="AF183" s="191"/>
      <c r="AG183" s="191"/>
      <c r="AH183" s="191"/>
      <c r="AI183" s="127"/>
      <c r="AJ183" s="191"/>
      <c r="AK183" s="191"/>
      <c r="AL183" s="190"/>
      <c r="AM183" s="191"/>
      <c r="AQ183" s="194"/>
      <c r="AR183" s="127"/>
      <c r="AS183" s="194"/>
      <c r="AT183" s="194"/>
      <c r="AU183" s="194"/>
      <c r="AV183" s="194"/>
      <c r="AW183" s="194"/>
      <c r="AX183" s="194"/>
      <c r="AY183" s="193"/>
      <c r="AZ183" s="194"/>
      <c r="BA183" s="21"/>
      <c r="BE183" s="188" t="s">
        <v>1516</v>
      </c>
      <c r="BF183" s="188" t="s">
        <v>3910</v>
      </c>
      <c r="BG183" s="127">
        <v>42912</v>
      </c>
      <c r="BH183" s="188" t="s">
        <v>34</v>
      </c>
      <c r="BI183" s="188" t="s">
        <v>598</v>
      </c>
      <c r="BJ183" s="189">
        <v>5000</v>
      </c>
      <c r="BK183" s="188" t="s">
        <v>493</v>
      </c>
      <c r="BL183" s="188" t="s">
        <v>598</v>
      </c>
      <c r="BM183" s="189">
        <v>0</v>
      </c>
      <c r="BN183" s="188" t="s">
        <v>598</v>
      </c>
      <c r="BO183" s="127">
        <v>42907</v>
      </c>
      <c r="BP183" s="188" t="s">
        <v>134</v>
      </c>
      <c r="BQ183" s="188" t="s">
        <v>84</v>
      </c>
      <c r="BR183" s="188" t="s">
        <v>270</v>
      </c>
      <c r="BS183" s="188" t="s">
        <v>598</v>
      </c>
      <c r="BT183" s="188" t="s">
        <v>79</v>
      </c>
      <c r="BU183" s="188" t="s">
        <v>112</v>
      </c>
      <c r="BV183" s="188" t="s">
        <v>598</v>
      </c>
      <c r="BZ183" s="188">
        <v>182</v>
      </c>
      <c r="CA183" s="127">
        <v>42910</v>
      </c>
      <c r="CB183" s="188" t="s">
        <v>495</v>
      </c>
      <c r="CC183" s="188" t="s">
        <v>322</v>
      </c>
      <c r="CD183" s="188" t="s">
        <v>30</v>
      </c>
      <c r="CE183" s="188"/>
      <c r="CF183" s="188" t="s">
        <v>34</v>
      </c>
      <c r="CG183" s="188"/>
      <c r="CH183" s="189">
        <v>700</v>
      </c>
      <c r="CI183" s="188"/>
    </row>
    <row r="184" spans="5:87">
      <c r="E184" s="21"/>
      <c r="Q184" s="191"/>
      <c r="R184" s="191"/>
      <c r="S184" s="191"/>
      <c r="T184" s="127"/>
      <c r="U184" s="127"/>
      <c r="V184" s="191"/>
      <c r="W184" s="190"/>
      <c r="X184" s="191"/>
      <c r="Y184" s="191"/>
      <c r="Z184" s="191"/>
      <c r="AA184" s="191"/>
      <c r="AB184" s="191"/>
      <c r="AC184" s="191"/>
      <c r="AD184" s="191"/>
      <c r="AE184" s="191"/>
      <c r="AF184" s="191"/>
      <c r="AG184" s="191"/>
      <c r="AH184" s="191"/>
      <c r="AI184" s="127"/>
      <c r="AJ184" s="191"/>
      <c r="AK184" s="191"/>
      <c r="AL184" s="190"/>
      <c r="AM184" s="191"/>
      <c r="AQ184" s="194"/>
      <c r="AR184" s="127"/>
      <c r="AS184" s="194"/>
      <c r="AT184" s="194"/>
      <c r="AU184" s="194"/>
      <c r="AV184" s="194"/>
      <c r="AW184" s="194"/>
      <c r="AX184" s="194"/>
      <c r="AY184" s="193"/>
      <c r="AZ184" s="194"/>
      <c r="BA184" s="21"/>
      <c r="BE184" s="188" t="s">
        <v>1518</v>
      </c>
      <c r="BF184" s="188" t="s">
        <v>3911</v>
      </c>
      <c r="BG184" s="127">
        <v>42914</v>
      </c>
      <c r="BH184" s="188" t="s">
        <v>34</v>
      </c>
      <c r="BI184" s="188" t="s">
        <v>598</v>
      </c>
      <c r="BJ184" s="189">
        <v>4500</v>
      </c>
      <c r="BK184" s="188" t="s">
        <v>493</v>
      </c>
      <c r="BL184" s="188" t="s">
        <v>598</v>
      </c>
      <c r="BM184" s="189">
        <v>0</v>
      </c>
      <c r="BN184" s="188" t="s">
        <v>598</v>
      </c>
      <c r="BO184" s="127">
        <v>42907</v>
      </c>
      <c r="BP184" s="188" t="s">
        <v>134</v>
      </c>
      <c r="BQ184" s="188" t="s">
        <v>84</v>
      </c>
      <c r="BR184" s="188" t="s">
        <v>1520</v>
      </c>
      <c r="BS184" s="188" t="s">
        <v>1521</v>
      </c>
      <c r="BT184" s="188" t="s">
        <v>79</v>
      </c>
      <c r="BU184" s="188" t="s">
        <v>112</v>
      </c>
      <c r="BV184" s="188" t="s">
        <v>598</v>
      </c>
      <c r="BZ184" s="188">
        <v>183</v>
      </c>
      <c r="CA184" s="127">
        <v>42910</v>
      </c>
      <c r="CB184" s="188" t="s">
        <v>495</v>
      </c>
      <c r="CC184" s="188" t="s">
        <v>322</v>
      </c>
      <c r="CD184" s="188" t="s">
        <v>86</v>
      </c>
      <c r="CE184" s="188"/>
      <c r="CF184" s="188" t="s">
        <v>34</v>
      </c>
      <c r="CG184" s="188"/>
      <c r="CH184" s="189">
        <v>800</v>
      </c>
      <c r="CI184" s="188"/>
    </row>
    <row r="185" spans="5:87">
      <c r="E185" s="21"/>
      <c r="Q185" s="191"/>
      <c r="R185" s="191"/>
      <c r="S185" s="191"/>
      <c r="T185" s="127"/>
      <c r="U185" s="127"/>
      <c r="V185" s="191"/>
      <c r="W185" s="190"/>
      <c r="X185" s="191"/>
      <c r="Y185" s="191"/>
      <c r="Z185" s="191"/>
      <c r="AA185" s="191"/>
      <c r="AB185" s="191"/>
      <c r="AC185" s="191"/>
      <c r="AD185" s="191"/>
      <c r="AE185" s="191"/>
      <c r="AF185" s="191"/>
      <c r="AG185" s="191"/>
      <c r="AH185" s="191"/>
      <c r="AI185" s="127"/>
      <c r="AJ185" s="191"/>
      <c r="AK185" s="191"/>
      <c r="AL185" s="190"/>
      <c r="AM185" s="191"/>
      <c r="AQ185" s="194"/>
      <c r="AR185" s="127"/>
      <c r="AS185" s="194"/>
      <c r="AT185" s="194"/>
      <c r="AU185" s="194"/>
      <c r="AV185" s="194"/>
      <c r="AW185" s="194"/>
      <c r="AX185" s="194"/>
      <c r="AY185" s="193"/>
      <c r="AZ185" s="194"/>
      <c r="BA185" s="21"/>
      <c r="BE185" s="188" t="s">
        <v>1531</v>
      </c>
      <c r="BF185" s="188" t="s">
        <v>3912</v>
      </c>
      <c r="BG185" s="127">
        <v>42908</v>
      </c>
      <c r="BH185" s="188" t="s">
        <v>34</v>
      </c>
      <c r="BI185" s="188" t="s">
        <v>598</v>
      </c>
      <c r="BJ185" s="189">
        <v>500</v>
      </c>
      <c r="BK185" s="188" t="s">
        <v>549</v>
      </c>
      <c r="BL185" s="188" t="s">
        <v>598</v>
      </c>
      <c r="BM185" s="189">
        <v>0</v>
      </c>
      <c r="BN185" s="188" t="s">
        <v>493</v>
      </c>
      <c r="BO185" s="127">
        <v>42908</v>
      </c>
      <c r="BP185" s="188" t="s">
        <v>134</v>
      </c>
      <c r="BQ185" s="188" t="s">
        <v>84</v>
      </c>
      <c r="BR185" s="188" t="s">
        <v>598</v>
      </c>
      <c r="BS185" s="188" t="s">
        <v>598</v>
      </c>
      <c r="BT185" s="188" t="s">
        <v>79</v>
      </c>
      <c r="BU185" s="188" t="s">
        <v>112</v>
      </c>
      <c r="BV185" s="188" t="s">
        <v>598</v>
      </c>
      <c r="BZ185" s="188">
        <v>184</v>
      </c>
      <c r="CA185" s="127">
        <v>42910</v>
      </c>
      <c r="CB185" s="188" t="s">
        <v>495</v>
      </c>
      <c r="CC185" s="188" t="s">
        <v>322</v>
      </c>
      <c r="CD185" s="188" t="s">
        <v>324</v>
      </c>
      <c r="CE185" s="188"/>
      <c r="CF185" s="188" t="s">
        <v>34</v>
      </c>
      <c r="CG185" s="188"/>
      <c r="CH185" s="189">
        <v>500</v>
      </c>
      <c r="CI185" s="188"/>
    </row>
    <row r="186" spans="5:87">
      <c r="E186" s="21"/>
      <c r="Q186" s="191"/>
      <c r="R186" s="191"/>
      <c r="S186" s="191"/>
      <c r="T186" s="127"/>
      <c r="U186" s="127"/>
      <c r="V186" s="191"/>
      <c r="W186" s="190"/>
      <c r="X186" s="191"/>
      <c r="Y186" s="191"/>
      <c r="Z186" s="191"/>
      <c r="AA186" s="191"/>
      <c r="AB186" s="191"/>
      <c r="AC186" s="191"/>
      <c r="AD186" s="191"/>
      <c r="AE186" s="191"/>
      <c r="AF186" s="191"/>
      <c r="AG186" s="191"/>
      <c r="AH186" s="191"/>
      <c r="AI186" s="127"/>
      <c r="AJ186" s="191"/>
      <c r="AK186" s="191"/>
      <c r="AL186" s="190"/>
      <c r="AM186" s="191"/>
      <c r="AQ186" s="194"/>
      <c r="AR186" s="127"/>
      <c r="AS186" s="194"/>
      <c r="AT186" s="194"/>
      <c r="AU186" s="194"/>
      <c r="AV186" s="194"/>
      <c r="AW186" s="194"/>
      <c r="AX186" s="194"/>
      <c r="AY186" s="193"/>
      <c r="AZ186" s="194"/>
      <c r="BA186" s="21"/>
      <c r="BE186" s="188" t="s">
        <v>1533</v>
      </c>
      <c r="BF186" s="188" t="s">
        <v>3913</v>
      </c>
      <c r="BG186" s="127">
        <v>42910</v>
      </c>
      <c r="BH186" s="188" t="s">
        <v>10</v>
      </c>
      <c r="BI186" s="188" t="s">
        <v>598</v>
      </c>
      <c r="BJ186" s="189">
        <v>3000</v>
      </c>
      <c r="BK186" s="188" t="s">
        <v>493</v>
      </c>
      <c r="BL186" s="188" t="s">
        <v>598</v>
      </c>
      <c r="BM186" s="189">
        <v>0</v>
      </c>
      <c r="BN186" s="188" t="s">
        <v>598</v>
      </c>
      <c r="BO186" s="127">
        <v>42908</v>
      </c>
      <c r="BP186" s="188" t="s">
        <v>134</v>
      </c>
      <c r="BQ186" s="188" t="s">
        <v>84</v>
      </c>
      <c r="BR186" s="188" t="s">
        <v>271</v>
      </c>
      <c r="BS186" s="188" t="s">
        <v>598</v>
      </c>
      <c r="BT186" s="188" t="s">
        <v>79</v>
      </c>
      <c r="BU186" s="188" t="s">
        <v>79</v>
      </c>
      <c r="BV186" s="188" t="s">
        <v>598</v>
      </c>
      <c r="BZ186" s="188">
        <v>185</v>
      </c>
      <c r="CA186" s="127">
        <v>42910</v>
      </c>
      <c r="CB186" s="188" t="s">
        <v>495</v>
      </c>
      <c r="CC186" s="188" t="s">
        <v>322</v>
      </c>
      <c r="CD186" s="188" t="s">
        <v>98</v>
      </c>
      <c r="CE186" s="188"/>
      <c r="CF186" s="188" t="s">
        <v>34</v>
      </c>
      <c r="CG186" s="188"/>
      <c r="CH186" s="189">
        <v>700</v>
      </c>
      <c r="CI186" s="188"/>
    </row>
    <row r="187" spans="5:87">
      <c r="E187" s="21"/>
      <c r="Q187" s="191"/>
      <c r="R187" s="191"/>
      <c r="S187" s="191"/>
      <c r="T187" s="127"/>
      <c r="U187" s="127"/>
      <c r="V187" s="191"/>
      <c r="W187" s="190"/>
      <c r="X187" s="191"/>
      <c r="Y187" s="191"/>
      <c r="Z187" s="191"/>
      <c r="AA187" s="191"/>
      <c r="AB187" s="191"/>
      <c r="AC187" s="191"/>
      <c r="AD187" s="191"/>
      <c r="AE187" s="191"/>
      <c r="AF187" s="191"/>
      <c r="AG187" s="191"/>
      <c r="AH187" s="191"/>
      <c r="AI187" s="127"/>
      <c r="AJ187" s="191"/>
      <c r="AK187" s="191"/>
      <c r="AL187" s="190"/>
      <c r="AM187" s="191"/>
      <c r="AQ187" s="194"/>
      <c r="AR187" s="127"/>
      <c r="AS187" s="194"/>
      <c r="AT187" s="194"/>
      <c r="AU187" s="194"/>
      <c r="AV187" s="194"/>
      <c r="AW187" s="194"/>
      <c r="AX187" s="194"/>
      <c r="AY187" s="193"/>
      <c r="AZ187" s="194"/>
      <c r="BA187" s="21"/>
      <c r="BE187" s="188" t="s">
        <v>1537</v>
      </c>
      <c r="BF187" s="188" t="s">
        <v>3914</v>
      </c>
      <c r="BG187" s="127">
        <v>42909</v>
      </c>
      <c r="BH187" s="188" t="s">
        <v>34</v>
      </c>
      <c r="BI187" s="188" t="s">
        <v>598</v>
      </c>
      <c r="BJ187" s="189">
        <v>2500</v>
      </c>
      <c r="BK187" s="188" t="s">
        <v>493</v>
      </c>
      <c r="BL187" s="188" t="s">
        <v>598</v>
      </c>
      <c r="BM187" s="189">
        <v>0</v>
      </c>
      <c r="BN187" s="188" t="s">
        <v>598</v>
      </c>
      <c r="BO187" s="127">
        <v>42908</v>
      </c>
      <c r="BP187" s="188" t="s">
        <v>864</v>
      </c>
      <c r="BQ187" s="188" t="s">
        <v>84</v>
      </c>
      <c r="BR187" s="188" t="s">
        <v>598</v>
      </c>
      <c r="BS187" s="188" t="s">
        <v>598</v>
      </c>
      <c r="BT187" s="188" t="s">
        <v>79</v>
      </c>
      <c r="BU187" s="188" t="s">
        <v>598</v>
      </c>
      <c r="BV187" s="188" t="s">
        <v>598</v>
      </c>
      <c r="BZ187" s="188">
        <v>186</v>
      </c>
      <c r="CA187" s="127">
        <v>42910</v>
      </c>
      <c r="CB187" s="188" t="s">
        <v>495</v>
      </c>
      <c r="CC187" s="188" t="s">
        <v>322</v>
      </c>
      <c r="CD187" s="188" t="s">
        <v>51</v>
      </c>
      <c r="CE187" s="188"/>
      <c r="CF187" s="188" t="s">
        <v>34</v>
      </c>
      <c r="CG187" s="188"/>
      <c r="CH187" s="189">
        <v>500</v>
      </c>
      <c r="CI187" s="188"/>
    </row>
    <row r="188" spans="5:87">
      <c r="E188" s="21"/>
      <c r="Q188" s="191"/>
      <c r="R188" s="191"/>
      <c r="S188" s="191"/>
      <c r="T188" s="127"/>
      <c r="U188" s="127"/>
      <c r="V188" s="191"/>
      <c r="W188" s="190"/>
      <c r="X188" s="191"/>
      <c r="Y188" s="191"/>
      <c r="Z188" s="191"/>
      <c r="AA188" s="191"/>
      <c r="AB188" s="191"/>
      <c r="AC188" s="191"/>
      <c r="AD188" s="191"/>
      <c r="AE188" s="191"/>
      <c r="AF188" s="191"/>
      <c r="AG188" s="191"/>
      <c r="AH188" s="191"/>
      <c r="AI188" s="127"/>
      <c r="AJ188" s="191"/>
      <c r="AK188" s="191"/>
      <c r="AL188" s="190"/>
      <c r="AM188" s="191"/>
      <c r="AQ188" s="194"/>
      <c r="AR188" s="127"/>
      <c r="AS188" s="194"/>
      <c r="AT188" s="194"/>
      <c r="AU188" s="194"/>
      <c r="AV188" s="194"/>
      <c r="AW188" s="194"/>
      <c r="AX188" s="194"/>
      <c r="AY188" s="193"/>
      <c r="AZ188" s="194"/>
      <c r="BA188" s="21"/>
      <c r="BE188" s="188" t="s">
        <v>1541</v>
      </c>
      <c r="BF188" s="188" t="s">
        <v>3915</v>
      </c>
      <c r="BG188" s="127">
        <v>42915</v>
      </c>
      <c r="BH188" s="188" t="s">
        <v>10</v>
      </c>
      <c r="BI188" s="188" t="s">
        <v>598</v>
      </c>
      <c r="BJ188" s="189">
        <v>3000</v>
      </c>
      <c r="BK188" s="188" t="s">
        <v>493</v>
      </c>
      <c r="BL188" s="188" t="s">
        <v>598</v>
      </c>
      <c r="BM188" s="189">
        <v>0</v>
      </c>
      <c r="BN188" s="188" t="s">
        <v>598</v>
      </c>
      <c r="BO188" s="127">
        <v>42910</v>
      </c>
      <c r="BP188" s="188" t="s">
        <v>134</v>
      </c>
      <c r="BQ188" s="188" t="s">
        <v>84</v>
      </c>
      <c r="BR188" s="188" t="s">
        <v>254</v>
      </c>
      <c r="BS188" s="188" t="s">
        <v>598</v>
      </c>
      <c r="BT188" s="188" t="s">
        <v>79</v>
      </c>
      <c r="BU188" s="188" t="s">
        <v>79</v>
      </c>
      <c r="BV188" s="188" t="s">
        <v>598</v>
      </c>
      <c r="BZ188" s="188">
        <v>187</v>
      </c>
      <c r="CA188" s="127">
        <v>42910</v>
      </c>
      <c r="CB188" s="188" t="s">
        <v>495</v>
      </c>
      <c r="CC188" s="188" t="s">
        <v>322</v>
      </c>
      <c r="CD188" s="188" t="s">
        <v>112</v>
      </c>
      <c r="CE188" s="188"/>
      <c r="CF188" s="188" t="s">
        <v>34</v>
      </c>
      <c r="CG188" s="188"/>
      <c r="CH188" s="189">
        <v>700</v>
      </c>
      <c r="CI188" s="188"/>
    </row>
    <row r="189" spans="5:87">
      <c r="E189" s="21"/>
      <c r="Q189" s="191"/>
      <c r="R189" s="191"/>
      <c r="S189" s="191"/>
      <c r="T189" s="127"/>
      <c r="U189" s="127"/>
      <c r="V189" s="191"/>
      <c r="W189" s="190"/>
      <c r="X189" s="191"/>
      <c r="Y189" s="191"/>
      <c r="Z189" s="191"/>
      <c r="AA189" s="191"/>
      <c r="AB189" s="191"/>
      <c r="AC189" s="191"/>
      <c r="AD189" s="191"/>
      <c r="AE189" s="191"/>
      <c r="AF189" s="191"/>
      <c r="AG189" s="191"/>
      <c r="AH189" s="191"/>
      <c r="AI189" s="127"/>
      <c r="AJ189" s="191"/>
      <c r="AK189" s="191"/>
      <c r="AL189" s="190"/>
      <c r="AM189" s="191"/>
      <c r="AQ189" s="194"/>
      <c r="AR189" s="127"/>
      <c r="AS189" s="194"/>
      <c r="AT189" s="194"/>
      <c r="AU189" s="194"/>
      <c r="AV189" s="194"/>
      <c r="AW189" s="194"/>
      <c r="AX189" s="194"/>
      <c r="AY189" s="193"/>
      <c r="AZ189" s="194"/>
      <c r="BA189" s="21"/>
      <c r="BE189" s="188" t="s">
        <v>1543</v>
      </c>
      <c r="BF189" s="188" t="s">
        <v>3916</v>
      </c>
      <c r="BG189" s="127">
        <v>42910</v>
      </c>
      <c r="BH189" s="188" t="s">
        <v>34</v>
      </c>
      <c r="BI189" s="188" t="s">
        <v>598</v>
      </c>
      <c r="BJ189" s="189">
        <v>5000</v>
      </c>
      <c r="BK189" s="188" t="s">
        <v>493</v>
      </c>
      <c r="BL189" s="188" t="s">
        <v>598</v>
      </c>
      <c r="BM189" s="189">
        <v>0</v>
      </c>
      <c r="BN189" s="188" t="s">
        <v>598</v>
      </c>
      <c r="BO189" s="127">
        <v>42910</v>
      </c>
      <c r="BP189" s="188" t="s">
        <v>132</v>
      </c>
      <c r="BQ189" s="188" t="s">
        <v>84</v>
      </c>
      <c r="BR189" s="188" t="s">
        <v>254</v>
      </c>
      <c r="BS189" s="188" t="s">
        <v>598</v>
      </c>
      <c r="BT189" s="188" t="s">
        <v>79</v>
      </c>
      <c r="BU189" s="188" t="s">
        <v>112</v>
      </c>
      <c r="BV189" s="188" t="s">
        <v>598</v>
      </c>
      <c r="BZ189" s="188">
        <v>188</v>
      </c>
      <c r="CA189" s="127">
        <v>42910</v>
      </c>
      <c r="CB189" s="188" t="s">
        <v>495</v>
      </c>
      <c r="CC189" s="188" t="s">
        <v>322</v>
      </c>
      <c r="CD189" s="188" t="s">
        <v>178</v>
      </c>
      <c r="CE189" s="188"/>
      <c r="CF189" s="188" t="s">
        <v>34</v>
      </c>
      <c r="CG189" s="188"/>
      <c r="CH189" s="189">
        <v>300</v>
      </c>
      <c r="CI189" s="188"/>
    </row>
    <row r="190" spans="5:87">
      <c r="E190" s="21"/>
      <c r="Q190" s="191"/>
      <c r="R190" s="191"/>
      <c r="S190" s="191"/>
      <c r="T190" s="127"/>
      <c r="U190" s="127"/>
      <c r="V190" s="191"/>
      <c r="W190" s="190"/>
      <c r="X190" s="191"/>
      <c r="Y190" s="191"/>
      <c r="Z190" s="191"/>
      <c r="AA190" s="191"/>
      <c r="AB190" s="191"/>
      <c r="AC190" s="191"/>
      <c r="AD190" s="191"/>
      <c r="AE190" s="191"/>
      <c r="AF190" s="191"/>
      <c r="AG190" s="191"/>
      <c r="AH190" s="191"/>
      <c r="AI190" s="127"/>
      <c r="AJ190" s="191"/>
      <c r="AK190" s="191"/>
      <c r="AL190" s="190"/>
      <c r="AM190" s="191"/>
      <c r="AQ190" s="194"/>
      <c r="AR190" s="127"/>
      <c r="AS190" s="194"/>
      <c r="AT190" s="194"/>
      <c r="AU190" s="194"/>
      <c r="AV190" s="194"/>
      <c r="AW190" s="194"/>
      <c r="AX190" s="194"/>
      <c r="AY190" s="193"/>
      <c r="AZ190" s="194"/>
      <c r="BA190" s="21"/>
      <c r="BE190" s="188" t="s">
        <v>1545</v>
      </c>
      <c r="BF190" s="188" t="s">
        <v>3917</v>
      </c>
      <c r="BG190" s="127">
        <v>42910</v>
      </c>
      <c r="BH190" s="188" t="s">
        <v>34</v>
      </c>
      <c r="BI190" s="188" t="s">
        <v>598</v>
      </c>
      <c r="BJ190" s="189">
        <v>5000</v>
      </c>
      <c r="BK190" s="188" t="s">
        <v>493</v>
      </c>
      <c r="BL190" s="188" t="s">
        <v>598</v>
      </c>
      <c r="BM190" s="189">
        <v>0</v>
      </c>
      <c r="BN190" s="188" t="s">
        <v>598</v>
      </c>
      <c r="BO190" s="127">
        <v>42910</v>
      </c>
      <c r="BP190" s="188" t="s">
        <v>50</v>
      </c>
      <c r="BQ190" s="188" t="s">
        <v>84</v>
      </c>
      <c r="BR190" s="188" t="s">
        <v>262</v>
      </c>
      <c r="BS190" s="188" t="s">
        <v>598</v>
      </c>
      <c r="BT190" s="188" t="s">
        <v>79</v>
      </c>
      <c r="BU190" s="188" t="s">
        <v>112</v>
      </c>
      <c r="BV190" s="188" t="s">
        <v>598</v>
      </c>
      <c r="BZ190" s="188">
        <v>189</v>
      </c>
      <c r="CA190" s="127">
        <v>42910</v>
      </c>
      <c r="CB190" s="188" t="s">
        <v>495</v>
      </c>
      <c r="CC190" s="188" t="s">
        <v>322</v>
      </c>
      <c r="CD190" s="188" t="s">
        <v>65</v>
      </c>
      <c r="CE190" s="188"/>
      <c r="CF190" s="188" t="s">
        <v>34</v>
      </c>
      <c r="CG190" s="188"/>
      <c r="CH190" s="189">
        <v>500</v>
      </c>
      <c r="CI190" s="188"/>
    </row>
    <row r="191" spans="5:87">
      <c r="E191" s="21"/>
      <c r="Q191" s="191"/>
      <c r="R191" s="191"/>
      <c r="S191" s="191"/>
      <c r="T191" s="127"/>
      <c r="U191" s="127"/>
      <c r="V191" s="191"/>
      <c r="W191" s="190"/>
      <c r="X191" s="191"/>
      <c r="Y191" s="191"/>
      <c r="Z191" s="191"/>
      <c r="AA191" s="191"/>
      <c r="AB191" s="191"/>
      <c r="AC191" s="191"/>
      <c r="AD191" s="191"/>
      <c r="AE191" s="191"/>
      <c r="AF191" s="191"/>
      <c r="AG191" s="191"/>
      <c r="AH191" s="191"/>
      <c r="AI191" s="127"/>
      <c r="AJ191" s="191"/>
      <c r="AK191" s="191"/>
      <c r="AL191" s="190"/>
      <c r="AM191" s="191"/>
      <c r="AQ191" s="194"/>
      <c r="AR191" s="127"/>
      <c r="AS191" s="194"/>
      <c r="AT191" s="194"/>
      <c r="AU191" s="194"/>
      <c r="AV191" s="194"/>
      <c r="AW191" s="194"/>
      <c r="AX191" s="194"/>
      <c r="AY191" s="193"/>
      <c r="AZ191" s="194"/>
      <c r="BA191" s="21"/>
      <c r="BE191" s="188" t="s">
        <v>1549</v>
      </c>
      <c r="BF191" s="188" t="s">
        <v>3918</v>
      </c>
      <c r="BG191" s="127">
        <v>42912</v>
      </c>
      <c r="BH191" s="188" t="s">
        <v>34</v>
      </c>
      <c r="BI191" s="188" t="s">
        <v>598</v>
      </c>
      <c r="BJ191" s="189">
        <v>5000</v>
      </c>
      <c r="BK191" s="188" t="s">
        <v>493</v>
      </c>
      <c r="BL191" s="188" t="s">
        <v>598</v>
      </c>
      <c r="BM191" s="189">
        <v>0</v>
      </c>
      <c r="BN191" s="188" t="s">
        <v>598</v>
      </c>
      <c r="BO191" s="127">
        <v>42910</v>
      </c>
      <c r="BP191" s="188" t="s">
        <v>134</v>
      </c>
      <c r="BQ191" s="188" t="s">
        <v>84</v>
      </c>
      <c r="BR191" s="188" t="s">
        <v>272</v>
      </c>
      <c r="BS191" s="188" t="s">
        <v>598</v>
      </c>
      <c r="BT191" s="188" t="s">
        <v>79</v>
      </c>
      <c r="BU191" s="188" t="s">
        <v>79</v>
      </c>
      <c r="BV191" s="188" t="s">
        <v>598</v>
      </c>
      <c r="BZ191" s="188">
        <v>190</v>
      </c>
      <c r="CA191" s="127">
        <v>42910</v>
      </c>
      <c r="CB191" s="188" t="s">
        <v>495</v>
      </c>
      <c r="CC191" s="188" t="s">
        <v>322</v>
      </c>
      <c r="CD191" s="188" t="s">
        <v>176</v>
      </c>
      <c r="CE191" s="188"/>
      <c r="CF191" s="188" t="s">
        <v>34</v>
      </c>
      <c r="CG191" s="188"/>
      <c r="CH191" s="189">
        <v>500</v>
      </c>
      <c r="CI191" s="188"/>
    </row>
    <row r="192" spans="5:87">
      <c r="E192" s="21"/>
      <c r="Q192" s="191"/>
      <c r="R192" s="191"/>
      <c r="S192" s="191"/>
      <c r="T192" s="127"/>
      <c r="U192" s="127"/>
      <c r="V192" s="191"/>
      <c r="W192" s="190"/>
      <c r="X192" s="191"/>
      <c r="Y192" s="191"/>
      <c r="Z192" s="191"/>
      <c r="AA192" s="191"/>
      <c r="AB192" s="191"/>
      <c r="AC192" s="191"/>
      <c r="AD192" s="191"/>
      <c r="AE192" s="191"/>
      <c r="AF192" s="191"/>
      <c r="AG192" s="191"/>
      <c r="AH192" s="191"/>
      <c r="AI192" s="127"/>
      <c r="AJ192" s="191"/>
      <c r="AK192" s="191"/>
      <c r="AL192" s="190"/>
      <c r="AM192" s="191"/>
      <c r="AQ192" s="194"/>
      <c r="AR192" s="127"/>
      <c r="AS192" s="194"/>
      <c r="AT192" s="194"/>
      <c r="AU192" s="194"/>
      <c r="AV192" s="194"/>
      <c r="AW192" s="194"/>
      <c r="AX192" s="194"/>
      <c r="AY192" s="193"/>
      <c r="AZ192" s="194"/>
      <c r="BA192" s="21"/>
      <c r="BE192" s="188" t="s">
        <v>1554</v>
      </c>
      <c r="BF192" s="188" t="s">
        <v>3919</v>
      </c>
      <c r="BG192" s="127">
        <v>42913</v>
      </c>
      <c r="BH192" s="188" t="s">
        <v>34</v>
      </c>
      <c r="BI192" s="188" t="s">
        <v>598</v>
      </c>
      <c r="BJ192" s="189">
        <v>2500</v>
      </c>
      <c r="BK192" s="188" t="s">
        <v>493</v>
      </c>
      <c r="BL192" s="188" t="s">
        <v>598</v>
      </c>
      <c r="BM192" s="189">
        <v>0</v>
      </c>
      <c r="BN192" s="188" t="s">
        <v>598</v>
      </c>
      <c r="BO192" s="127">
        <v>42912</v>
      </c>
      <c r="BP192" s="188" t="s">
        <v>132</v>
      </c>
      <c r="BQ192" s="188" t="s">
        <v>84</v>
      </c>
      <c r="BR192" s="188" t="s">
        <v>1520</v>
      </c>
      <c r="BS192" s="188" t="s">
        <v>598</v>
      </c>
      <c r="BT192" s="188" t="s">
        <v>79</v>
      </c>
      <c r="BU192" s="188" t="s">
        <v>79</v>
      </c>
      <c r="BV192" s="188" t="s">
        <v>598</v>
      </c>
      <c r="BZ192" s="188">
        <v>191</v>
      </c>
      <c r="CA192" s="127">
        <v>42910</v>
      </c>
      <c r="CB192" s="188" t="s">
        <v>495</v>
      </c>
      <c r="CC192" s="188" t="s">
        <v>322</v>
      </c>
      <c r="CD192" s="188" t="s">
        <v>88</v>
      </c>
      <c r="CE192" s="188"/>
      <c r="CF192" s="188" t="s">
        <v>34</v>
      </c>
      <c r="CG192" s="188"/>
      <c r="CH192" s="189">
        <v>600</v>
      </c>
      <c r="CI192" s="188"/>
    </row>
    <row r="193" spans="5:87">
      <c r="E193" s="21"/>
      <c r="Q193" s="191"/>
      <c r="R193" s="191"/>
      <c r="S193" s="191"/>
      <c r="T193" s="127"/>
      <c r="U193" s="127"/>
      <c r="V193" s="191"/>
      <c r="W193" s="190"/>
      <c r="X193" s="191"/>
      <c r="Y193" s="191"/>
      <c r="Z193" s="191"/>
      <c r="AA193" s="191"/>
      <c r="AB193" s="191"/>
      <c r="AC193" s="191"/>
      <c r="AD193" s="191"/>
      <c r="AE193" s="191"/>
      <c r="AF193" s="191"/>
      <c r="AG193" s="191"/>
      <c r="AH193" s="191"/>
      <c r="AI193" s="127"/>
      <c r="AJ193" s="191"/>
      <c r="AK193" s="191"/>
      <c r="AL193" s="190"/>
      <c r="AM193" s="191"/>
      <c r="AQ193" s="194"/>
      <c r="AR193" s="127"/>
      <c r="AS193" s="194"/>
      <c r="AT193" s="194"/>
      <c r="AU193" s="194"/>
      <c r="AV193" s="194"/>
      <c r="AW193" s="194"/>
      <c r="AX193" s="194"/>
      <c r="AY193" s="193"/>
      <c r="AZ193" s="194"/>
      <c r="BA193" s="21"/>
      <c r="BE193" s="188" t="s">
        <v>1558</v>
      </c>
      <c r="BF193" s="188" t="s">
        <v>3920</v>
      </c>
      <c r="BG193" s="127">
        <v>42913</v>
      </c>
      <c r="BH193" s="188" t="s">
        <v>34</v>
      </c>
      <c r="BI193" s="188" t="s">
        <v>598</v>
      </c>
      <c r="BJ193" s="189">
        <v>2500</v>
      </c>
      <c r="BK193" s="188" t="s">
        <v>493</v>
      </c>
      <c r="BL193" s="188" t="s">
        <v>598</v>
      </c>
      <c r="BM193" s="189">
        <v>0</v>
      </c>
      <c r="BN193" s="188" t="s">
        <v>598</v>
      </c>
      <c r="BO193" s="127">
        <v>42912</v>
      </c>
      <c r="BP193" s="188" t="s">
        <v>598</v>
      </c>
      <c r="BQ193" s="188" t="s">
        <v>84</v>
      </c>
      <c r="BR193" s="188" t="s">
        <v>598</v>
      </c>
      <c r="BS193" s="188" t="s">
        <v>598</v>
      </c>
      <c r="BT193" s="188" t="s">
        <v>79</v>
      </c>
      <c r="BU193" s="188" t="s">
        <v>598</v>
      </c>
      <c r="BV193" s="188" t="s">
        <v>598</v>
      </c>
      <c r="BZ193" s="188">
        <v>192</v>
      </c>
      <c r="CA193" s="127">
        <v>42911</v>
      </c>
      <c r="CB193" s="188" t="s">
        <v>497</v>
      </c>
      <c r="CC193" s="188" t="s">
        <v>326</v>
      </c>
      <c r="CD193" s="188"/>
      <c r="CE193" s="188"/>
      <c r="CF193" s="188" t="s">
        <v>34</v>
      </c>
      <c r="CG193" s="188"/>
      <c r="CH193" s="189">
        <v>85000</v>
      </c>
      <c r="CI193" s="188"/>
    </row>
    <row r="194" spans="5:87">
      <c r="E194" s="21"/>
      <c r="Q194" s="191"/>
      <c r="R194" s="191"/>
      <c r="S194" s="191"/>
      <c r="T194" s="127"/>
      <c r="U194" s="127"/>
      <c r="V194" s="191"/>
      <c r="W194" s="190"/>
      <c r="X194" s="191"/>
      <c r="Y194" s="191"/>
      <c r="Z194" s="191"/>
      <c r="AA194" s="191"/>
      <c r="AB194" s="191"/>
      <c r="AC194" s="191"/>
      <c r="AD194" s="191"/>
      <c r="AE194" s="191"/>
      <c r="AF194" s="191"/>
      <c r="AG194" s="191"/>
      <c r="AH194" s="191"/>
      <c r="AI194" s="127"/>
      <c r="AJ194" s="191"/>
      <c r="AK194" s="191"/>
      <c r="AL194" s="190"/>
      <c r="AM194" s="191"/>
      <c r="AQ194" s="194"/>
      <c r="AR194" s="127"/>
      <c r="AS194" s="194"/>
      <c r="AT194" s="194"/>
      <c r="AU194" s="194"/>
      <c r="AV194" s="194"/>
      <c r="AW194" s="194"/>
      <c r="AX194" s="194"/>
      <c r="AY194" s="193"/>
      <c r="AZ194" s="194"/>
      <c r="BA194" s="21"/>
      <c r="BE194" s="188" t="s">
        <v>1560</v>
      </c>
      <c r="BF194" s="188" t="s">
        <v>3921</v>
      </c>
      <c r="BG194" s="127">
        <v>42916</v>
      </c>
      <c r="BH194" s="188" t="s">
        <v>10</v>
      </c>
      <c r="BI194" s="188" t="s">
        <v>598</v>
      </c>
      <c r="BJ194" s="189">
        <v>3000</v>
      </c>
      <c r="BK194" s="188" t="s">
        <v>493</v>
      </c>
      <c r="BL194" s="188" t="s">
        <v>598</v>
      </c>
      <c r="BM194" s="189">
        <v>0</v>
      </c>
      <c r="BN194" s="188" t="s">
        <v>598</v>
      </c>
      <c r="BO194" s="127">
        <v>42912</v>
      </c>
      <c r="BP194" s="188" t="s">
        <v>134</v>
      </c>
      <c r="BQ194" s="188" t="s">
        <v>84</v>
      </c>
      <c r="BR194" s="188" t="s">
        <v>1562</v>
      </c>
      <c r="BS194" s="188" t="s">
        <v>50</v>
      </c>
      <c r="BT194" s="188" t="s">
        <v>79</v>
      </c>
      <c r="BU194" s="188" t="s">
        <v>112</v>
      </c>
      <c r="BV194" s="188" t="s">
        <v>598</v>
      </c>
      <c r="BZ194" s="188">
        <v>193</v>
      </c>
      <c r="CA194" s="127">
        <v>42914</v>
      </c>
      <c r="CB194" s="188" t="s">
        <v>4433</v>
      </c>
      <c r="CC194" s="188" t="s">
        <v>320</v>
      </c>
      <c r="CD194" s="188"/>
      <c r="CE194" s="188"/>
      <c r="CF194" s="188" t="s">
        <v>34</v>
      </c>
      <c r="CG194" s="188"/>
      <c r="CH194" s="189">
        <v>1200</v>
      </c>
      <c r="CI194" s="188"/>
    </row>
    <row r="195" spans="5:87">
      <c r="E195" s="21"/>
      <c r="Q195" s="191"/>
      <c r="R195" s="191"/>
      <c r="S195" s="191"/>
      <c r="T195" s="127"/>
      <c r="U195" s="127"/>
      <c r="V195" s="191"/>
      <c r="W195" s="190"/>
      <c r="X195" s="191"/>
      <c r="Y195" s="191"/>
      <c r="Z195" s="191"/>
      <c r="AA195" s="191"/>
      <c r="AB195" s="191"/>
      <c r="AC195" s="191"/>
      <c r="AD195" s="191"/>
      <c r="AE195" s="191"/>
      <c r="AF195" s="191"/>
      <c r="AG195" s="191"/>
      <c r="AH195" s="191"/>
      <c r="AI195" s="127"/>
      <c r="AJ195" s="191"/>
      <c r="AK195" s="191"/>
      <c r="AL195" s="190"/>
      <c r="AM195" s="191"/>
      <c r="AQ195" s="194"/>
      <c r="AR195" s="127"/>
      <c r="AS195" s="194"/>
      <c r="AT195" s="194"/>
      <c r="AU195" s="194"/>
      <c r="AV195" s="194"/>
      <c r="AW195" s="194"/>
      <c r="AX195" s="194"/>
      <c r="AY195" s="193"/>
      <c r="AZ195" s="194"/>
      <c r="BA195" s="21"/>
      <c r="BE195" s="188" t="s">
        <v>1563</v>
      </c>
      <c r="BF195" s="188" t="s">
        <v>3922</v>
      </c>
      <c r="BG195" s="127">
        <v>42915</v>
      </c>
      <c r="BH195" s="188" t="s">
        <v>10</v>
      </c>
      <c r="BI195" s="188" t="s">
        <v>598</v>
      </c>
      <c r="BJ195" s="189">
        <v>3000</v>
      </c>
      <c r="BK195" s="188" t="s">
        <v>493</v>
      </c>
      <c r="BL195" s="188" t="s">
        <v>598</v>
      </c>
      <c r="BM195" s="189">
        <v>0</v>
      </c>
      <c r="BN195" s="188" t="s">
        <v>598</v>
      </c>
      <c r="BO195" s="127">
        <v>42912</v>
      </c>
      <c r="BP195" s="188" t="s">
        <v>120</v>
      </c>
      <c r="BQ195" s="188" t="s">
        <v>84</v>
      </c>
      <c r="BR195" s="188" t="s">
        <v>254</v>
      </c>
      <c r="BS195" s="188" t="s">
        <v>598</v>
      </c>
      <c r="BT195" s="188" t="s">
        <v>79</v>
      </c>
      <c r="BU195" s="188" t="s">
        <v>112</v>
      </c>
      <c r="BV195" s="188" t="s">
        <v>598</v>
      </c>
      <c r="BZ195" s="188">
        <v>194</v>
      </c>
      <c r="CA195" s="127">
        <v>42916</v>
      </c>
      <c r="CB195" s="23" t="s">
        <v>4448</v>
      </c>
      <c r="CC195" s="188" t="s">
        <v>328</v>
      </c>
      <c r="CD195" s="188"/>
      <c r="CE195" s="188"/>
      <c r="CF195" s="188" t="s">
        <v>34</v>
      </c>
      <c r="CG195" s="188"/>
      <c r="CH195" s="189">
        <v>218600</v>
      </c>
      <c r="CI195" s="188"/>
    </row>
    <row r="196" spans="5:87">
      <c r="E196" s="21"/>
      <c r="Q196" s="191"/>
      <c r="R196" s="191"/>
      <c r="S196" s="191"/>
      <c r="T196" s="127"/>
      <c r="U196" s="127"/>
      <c r="V196" s="191"/>
      <c r="W196" s="190"/>
      <c r="X196" s="191"/>
      <c r="Y196" s="191"/>
      <c r="Z196" s="191"/>
      <c r="AA196" s="191"/>
      <c r="AB196" s="191"/>
      <c r="AC196" s="191"/>
      <c r="AD196" s="191"/>
      <c r="AE196" s="191"/>
      <c r="AF196" s="191"/>
      <c r="AG196" s="191"/>
      <c r="AH196" s="191"/>
      <c r="AI196" s="127"/>
      <c r="AJ196" s="191"/>
      <c r="AK196" s="191"/>
      <c r="AL196" s="190"/>
      <c r="AM196" s="191"/>
      <c r="AQ196" s="194"/>
      <c r="AR196" s="127"/>
      <c r="AS196" s="194"/>
      <c r="AT196" s="194"/>
      <c r="AU196" s="194"/>
      <c r="AV196" s="194"/>
      <c r="AW196" s="194"/>
      <c r="AX196" s="194"/>
      <c r="AY196" s="193"/>
      <c r="AZ196" s="194"/>
      <c r="BA196" s="21"/>
      <c r="BE196" s="188" t="s">
        <v>1571</v>
      </c>
      <c r="BF196" s="188" t="s">
        <v>3923</v>
      </c>
      <c r="BG196" s="127">
        <v>42916</v>
      </c>
      <c r="BH196" s="188" t="s">
        <v>10</v>
      </c>
      <c r="BI196" s="188" t="s">
        <v>598</v>
      </c>
      <c r="BJ196" s="189">
        <v>4000</v>
      </c>
      <c r="BK196" s="188" t="s">
        <v>493</v>
      </c>
      <c r="BL196" s="188" t="s">
        <v>598</v>
      </c>
      <c r="BM196" s="189">
        <v>0</v>
      </c>
      <c r="BN196" s="188" t="s">
        <v>598</v>
      </c>
      <c r="BO196" s="127">
        <v>42913</v>
      </c>
      <c r="BP196" s="188" t="s">
        <v>134</v>
      </c>
      <c r="BQ196" s="188" t="s">
        <v>84</v>
      </c>
      <c r="BR196" s="188" t="s">
        <v>251</v>
      </c>
      <c r="BS196" s="188" t="s">
        <v>50</v>
      </c>
      <c r="BT196" s="188" t="s">
        <v>79</v>
      </c>
      <c r="BU196" s="188" t="s">
        <v>79</v>
      </c>
      <c r="BV196" s="188" t="s">
        <v>598</v>
      </c>
      <c r="BZ196" s="188">
        <v>195</v>
      </c>
      <c r="CA196" s="127">
        <v>42916</v>
      </c>
      <c r="CB196" s="23" t="s">
        <v>4448</v>
      </c>
      <c r="CC196" s="188" t="s">
        <v>328</v>
      </c>
      <c r="CD196" s="188"/>
      <c r="CE196" s="188"/>
      <c r="CF196" s="188" t="s">
        <v>10</v>
      </c>
      <c r="CG196" s="188"/>
      <c r="CH196" s="189">
        <v>133000</v>
      </c>
      <c r="CI196" s="188"/>
    </row>
    <row r="197" spans="5:87">
      <c r="E197" s="21"/>
      <c r="Q197" s="191"/>
      <c r="R197" s="191"/>
      <c r="S197" s="191"/>
      <c r="T197" s="127"/>
      <c r="U197" s="127"/>
      <c r="V197" s="191"/>
      <c r="W197" s="190"/>
      <c r="X197" s="191"/>
      <c r="Y197" s="191"/>
      <c r="Z197" s="191"/>
      <c r="AA197" s="191"/>
      <c r="AB197" s="191"/>
      <c r="AC197" s="191"/>
      <c r="AD197" s="191"/>
      <c r="AE197" s="191"/>
      <c r="AF197" s="191"/>
      <c r="AG197" s="191"/>
      <c r="AH197" s="191"/>
      <c r="AI197" s="127"/>
      <c r="AJ197" s="191"/>
      <c r="AK197" s="191"/>
      <c r="AL197" s="190"/>
      <c r="AM197" s="191"/>
      <c r="AQ197" s="194"/>
      <c r="AR197" s="127"/>
      <c r="AS197" s="194"/>
      <c r="AT197" s="194"/>
      <c r="AU197" s="194"/>
      <c r="AV197" s="194"/>
      <c r="AW197" s="194"/>
      <c r="AX197" s="194"/>
      <c r="AY197" s="193"/>
      <c r="AZ197" s="194"/>
      <c r="BA197" s="21"/>
      <c r="BE197" s="188" t="s">
        <v>1573</v>
      </c>
      <c r="BF197" s="188" t="s">
        <v>3924</v>
      </c>
      <c r="BG197" s="127">
        <v>42916</v>
      </c>
      <c r="BH197" s="188" t="s">
        <v>10</v>
      </c>
      <c r="BI197" s="188" t="s">
        <v>598</v>
      </c>
      <c r="BJ197" s="189">
        <v>3000</v>
      </c>
      <c r="BK197" s="188" t="s">
        <v>493</v>
      </c>
      <c r="BL197" s="188" t="s">
        <v>598</v>
      </c>
      <c r="BM197" s="189">
        <v>0</v>
      </c>
      <c r="BN197" s="188" t="s">
        <v>598</v>
      </c>
      <c r="BO197" s="127">
        <v>42913</v>
      </c>
      <c r="BP197" s="188" t="s">
        <v>107</v>
      </c>
      <c r="BQ197" s="188" t="s">
        <v>84</v>
      </c>
      <c r="BR197" s="188" t="s">
        <v>264</v>
      </c>
      <c r="BS197" s="188" t="s">
        <v>50</v>
      </c>
      <c r="BT197" s="188" t="s">
        <v>79</v>
      </c>
      <c r="BU197" s="188" t="s">
        <v>79</v>
      </c>
      <c r="BV197" s="188" t="s">
        <v>598</v>
      </c>
      <c r="BZ197" s="188">
        <v>196</v>
      </c>
      <c r="CA197" s="127">
        <v>42885</v>
      </c>
      <c r="CB197" s="23" t="s">
        <v>4449</v>
      </c>
      <c r="CC197" s="188" t="s">
        <v>328</v>
      </c>
      <c r="CD197" s="188"/>
      <c r="CE197" s="188"/>
      <c r="CF197" s="188" t="s">
        <v>34</v>
      </c>
      <c r="CG197" s="188"/>
      <c r="CH197" s="189">
        <v>219900</v>
      </c>
      <c r="CI197" s="188"/>
    </row>
    <row r="198" spans="5:87">
      <c r="E198" s="21"/>
      <c r="Q198" s="191"/>
      <c r="R198" s="191"/>
      <c r="S198" s="191"/>
      <c r="T198" s="127"/>
      <c r="U198" s="127"/>
      <c r="V198" s="191"/>
      <c r="W198" s="190"/>
      <c r="X198" s="191"/>
      <c r="Y198" s="191"/>
      <c r="Z198" s="191"/>
      <c r="AA198" s="191"/>
      <c r="AB198" s="191"/>
      <c r="AC198" s="191"/>
      <c r="AD198" s="191"/>
      <c r="AE198" s="191"/>
      <c r="AF198" s="191"/>
      <c r="AG198" s="191"/>
      <c r="AH198" s="191"/>
      <c r="AI198" s="127"/>
      <c r="AJ198" s="191"/>
      <c r="AK198" s="191"/>
      <c r="AL198" s="190"/>
      <c r="AM198" s="191"/>
      <c r="AQ198" s="194"/>
      <c r="AR198" s="127"/>
      <c r="AS198" s="194"/>
      <c r="AT198" s="194"/>
      <c r="AU198" s="194"/>
      <c r="AV198" s="194"/>
      <c r="AW198" s="194"/>
      <c r="AX198" s="194"/>
      <c r="AY198" s="193"/>
      <c r="AZ198" s="194"/>
      <c r="BA198" s="21"/>
      <c r="BE198" s="188" t="s">
        <v>1583</v>
      </c>
      <c r="BF198" s="188" t="s">
        <v>3925</v>
      </c>
      <c r="BG198" s="127">
        <v>42915</v>
      </c>
      <c r="BH198" s="188" t="s">
        <v>34</v>
      </c>
      <c r="BI198" s="188" t="s">
        <v>598</v>
      </c>
      <c r="BJ198" s="189">
        <v>1000</v>
      </c>
      <c r="BK198" s="188" t="s">
        <v>493</v>
      </c>
      <c r="BL198" s="188" t="s">
        <v>598</v>
      </c>
      <c r="BM198" s="189">
        <v>0</v>
      </c>
      <c r="BN198" s="188" t="s">
        <v>598</v>
      </c>
      <c r="BO198" s="127">
        <v>42915</v>
      </c>
      <c r="BP198" s="188" t="s">
        <v>864</v>
      </c>
      <c r="BQ198" s="188" t="s">
        <v>84</v>
      </c>
      <c r="BR198" s="188" t="s">
        <v>598</v>
      </c>
      <c r="BS198" s="188" t="s">
        <v>598</v>
      </c>
      <c r="BT198" s="188" t="s">
        <v>79</v>
      </c>
      <c r="BU198" s="188" t="s">
        <v>598</v>
      </c>
      <c r="BV198" s="188" t="s">
        <v>598</v>
      </c>
      <c r="BZ198" s="188">
        <v>197</v>
      </c>
      <c r="CA198" s="127">
        <v>42885</v>
      </c>
      <c r="CB198" s="23" t="s">
        <v>4449</v>
      </c>
      <c r="CC198" s="188" t="s">
        <v>328</v>
      </c>
      <c r="CD198" s="188"/>
      <c r="CE198" s="188"/>
      <c r="CF198" s="188" t="s">
        <v>10</v>
      </c>
      <c r="CG198" s="188"/>
      <c r="CH198" s="189">
        <v>133000</v>
      </c>
      <c r="CI198" s="188"/>
    </row>
    <row r="199" spans="5:87">
      <c r="E199" s="21"/>
      <c r="Q199" s="191"/>
      <c r="R199" s="191"/>
      <c r="S199" s="191"/>
      <c r="T199" s="127"/>
      <c r="U199" s="127"/>
      <c r="V199" s="191"/>
      <c r="W199" s="190"/>
      <c r="X199" s="191"/>
      <c r="Y199" s="191"/>
      <c r="Z199" s="191"/>
      <c r="AA199" s="191"/>
      <c r="AB199" s="191"/>
      <c r="AC199" s="191"/>
      <c r="AD199" s="191"/>
      <c r="AE199" s="191"/>
      <c r="AF199" s="191"/>
      <c r="AG199" s="191"/>
      <c r="AH199" s="191"/>
      <c r="AI199" s="127"/>
      <c r="AJ199" s="191"/>
      <c r="AK199" s="191"/>
      <c r="AL199" s="190"/>
      <c r="AM199" s="191"/>
      <c r="AQ199" s="194"/>
      <c r="AR199" s="127"/>
      <c r="AS199" s="194"/>
      <c r="AT199" s="194"/>
      <c r="AU199" s="194"/>
      <c r="AV199" s="194"/>
      <c r="AW199" s="194"/>
      <c r="AX199" s="194"/>
      <c r="AY199" s="193"/>
      <c r="AZ199" s="194"/>
      <c r="BA199" s="21"/>
      <c r="BE199" s="188" t="s">
        <v>1591</v>
      </c>
      <c r="BF199" s="188" t="s">
        <v>3926</v>
      </c>
      <c r="BG199" s="127">
        <v>42895</v>
      </c>
      <c r="BH199" s="188" t="s">
        <v>34</v>
      </c>
      <c r="BI199" s="188" t="s">
        <v>598</v>
      </c>
      <c r="BJ199" s="189">
        <v>1000</v>
      </c>
      <c r="BK199" s="188" t="s">
        <v>493</v>
      </c>
      <c r="BL199" s="188" t="s">
        <v>598</v>
      </c>
      <c r="BM199" s="189">
        <v>0</v>
      </c>
      <c r="BN199" s="188" t="s">
        <v>598</v>
      </c>
      <c r="BO199" s="127">
        <v>42895</v>
      </c>
      <c r="BP199" s="188" t="s">
        <v>598</v>
      </c>
      <c r="BQ199" s="188" t="s">
        <v>84</v>
      </c>
      <c r="BR199" s="188" t="s">
        <v>598</v>
      </c>
      <c r="BS199" s="188" t="s">
        <v>275</v>
      </c>
      <c r="BT199" s="188" t="s">
        <v>79</v>
      </c>
      <c r="BU199" s="188" t="s">
        <v>598</v>
      </c>
      <c r="BV199" s="188" t="s">
        <v>598</v>
      </c>
      <c r="BZ199" s="188">
        <v>198</v>
      </c>
      <c r="CA199" s="127">
        <v>42885</v>
      </c>
      <c r="CB199" s="23" t="s">
        <v>329</v>
      </c>
      <c r="CC199" s="188" t="s">
        <v>329</v>
      </c>
      <c r="CD199" s="188" t="s">
        <v>63</v>
      </c>
      <c r="CE199" s="188"/>
      <c r="CF199" s="188" t="s">
        <v>10</v>
      </c>
      <c r="CG199" s="188"/>
      <c r="CH199" s="189">
        <v>16800</v>
      </c>
      <c r="CI199" s="188"/>
    </row>
    <row r="200" spans="5:87">
      <c r="E200" s="21"/>
      <c r="Q200" s="191"/>
      <c r="R200" s="191"/>
      <c r="S200" s="191"/>
      <c r="T200" s="127"/>
      <c r="U200" s="127"/>
      <c r="V200" s="191"/>
      <c r="W200" s="190"/>
      <c r="X200" s="191"/>
      <c r="Y200" s="191"/>
      <c r="Z200" s="191"/>
      <c r="AA200" s="191"/>
      <c r="AB200" s="191"/>
      <c r="AC200" s="191"/>
      <c r="AD200" s="191"/>
      <c r="AE200" s="191"/>
      <c r="AF200" s="191"/>
      <c r="AG200" s="191"/>
      <c r="AH200" s="191"/>
      <c r="AI200" s="127"/>
      <c r="AJ200" s="191"/>
      <c r="AK200" s="191"/>
      <c r="AL200" s="190"/>
      <c r="AM200" s="191"/>
      <c r="AQ200" s="194"/>
      <c r="AR200" s="127"/>
      <c r="AS200" s="194"/>
      <c r="AT200" s="194"/>
      <c r="AU200" s="194"/>
      <c r="AV200" s="194"/>
      <c r="AW200" s="194"/>
      <c r="AX200" s="194"/>
      <c r="AY200" s="193"/>
      <c r="AZ200" s="194"/>
      <c r="BA200" s="21"/>
      <c r="BE200" s="188" t="s">
        <v>1592</v>
      </c>
      <c r="BF200" s="188" t="s">
        <v>3927</v>
      </c>
      <c r="BG200" s="127">
        <v>42900</v>
      </c>
      <c r="BH200" s="188" t="s">
        <v>34</v>
      </c>
      <c r="BI200" s="188" t="s">
        <v>598</v>
      </c>
      <c r="BJ200" s="189">
        <v>3000</v>
      </c>
      <c r="BK200" s="188" t="s">
        <v>493</v>
      </c>
      <c r="BL200" s="188" t="s">
        <v>598</v>
      </c>
      <c r="BM200" s="189">
        <v>0</v>
      </c>
      <c r="BN200" s="188" t="s">
        <v>598</v>
      </c>
      <c r="BO200" s="127">
        <v>42900</v>
      </c>
      <c r="BP200" s="188" t="s">
        <v>598</v>
      </c>
      <c r="BQ200" s="188" t="s">
        <v>84</v>
      </c>
      <c r="BR200" s="188" t="s">
        <v>598</v>
      </c>
      <c r="BS200" s="188" t="s">
        <v>275</v>
      </c>
      <c r="BT200" s="188" t="s">
        <v>79</v>
      </c>
      <c r="BU200" s="188" t="s">
        <v>598</v>
      </c>
      <c r="BV200" s="188" t="s">
        <v>598</v>
      </c>
      <c r="BZ200" s="188">
        <v>199</v>
      </c>
      <c r="CA200" s="127">
        <v>42885</v>
      </c>
      <c r="CB200" s="23" t="s">
        <v>329</v>
      </c>
      <c r="CC200" s="188" t="s">
        <v>329</v>
      </c>
      <c r="CD200" s="188" t="s">
        <v>42</v>
      </c>
      <c r="CE200" s="188"/>
      <c r="CF200" s="188" t="s">
        <v>10</v>
      </c>
      <c r="CG200" s="188"/>
      <c r="CH200" s="189">
        <v>27800</v>
      </c>
      <c r="CI200" s="188"/>
    </row>
    <row r="201" spans="5:87">
      <c r="E201" s="21"/>
      <c r="Q201" s="191"/>
      <c r="R201" s="191"/>
      <c r="S201" s="191"/>
      <c r="T201" s="127"/>
      <c r="U201" s="127"/>
      <c r="V201" s="191"/>
      <c r="W201" s="190"/>
      <c r="X201" s="191"/>
      <c r="Y201" s="191"/>
      <c r="Z201" s="191"/>
      <c r="AA201" s="191"/>
      <c r="AB201" s="191"/>
      <c r="AC201" s="191"/>
      <c r="AD201" s="191"/>
      <c r="AE201" s="191"/>
      <c r="AF201" s="191"/>
      <c r="AG201" s="191"/>
      <c r="AH201" s="191"/>
      <c r="AI201" s="127"/>
      <c r="AJ201" s="191"/>
      <c r="AK201" s="191"/>
      <c r="AL201" s="190"/>
      <c r="AM201" s="191"/>
      <c r="AQ201" s="194"/>
      <c r="AR201" s="127"/>
      <c r="AS201" s="194"/>
      <c r="AT201" s="194"/>
      <c r="AU201" s="194"/>
      <c r="AV201" s="194"/>
      <c r="AW201" s="194"/>
      <c r="AX201" s="194"/>
      <c r="AY201" s="193"/>
      <c r="AZ201" s="194"/>
      <c r="BA201" s="21"/>
      <c r="BE201" s="188" t="s">
        <v>1593</v>
      </c>
      <c r="BF201" s="188" t="s">
        <v>3928</v>
      </c>
      <c r="BG201" s="127">
        <v>42902</v>
      </c>
      <c r="BH201" s="188" t="s">
        <v>10</v>
      </c>
      <c r="BI201" s="188" t="s">
        <v>598</v>
      </c>
      <c r="BJ201" s="189">
        <v>3000</v>
      </c>
      <c r="BK201" s="188" t="s">
        <v>493</v>
      </c>
      <c r="BL201" s="188" t="s">
        <v>598</v>
      </c>
      <c r="BM201" s="189">
        <v>0</v>
      </c>
      <c r="BN201" s="188" t="s">
        <v>598</v>
      </c>
      <c r="BO201" s="127">
        <v>42902</v>
      </c>
      <c r="BP201" s="188" t="s">
        <v>598</v>
      </c>
      <c r="BQ201" s="188" t="s">
        <v>84</v>
      </c>
      <c r="BR201" s="188" t="s">
        <v>598</v>
      </c>
      <c r="BS201" s="188" t="s">
        <v>275</v>
      </c>
      <c r="BT201" s="188" t="s">
        <v>79</v>
      </c>
      <c r="BU201" s="188" t="s">
        <v>598</v>
      </c>
      <c r="BV201" s="188" t="s">
        <v>598</v>
      </c>
      <c r="BZ201" s="188">
        <v>200</v>
      </c>
      <c r="CA201" s="127">
        <v>42885</v>
      </c>
      <c r="CB201" s="23" t="s">
        <v>329</v>
      </c>
      <c r="CC201" s="188" t="s">
        <v>329</v>
      </c>
      <c r="CD201" s="188" t="s">
        <v>30</v>
      </c>
      <c r="CE201" s="188"/>
      <c r="CF201" s="188" t="s">
        <v>10</v>
      </c>
      <c r="CG201" s="188"/>
      <c r="CH201" s="189">
        <v>3190</v>
      </c>
      <c r="CI201" s="188"/>
    </row>
    <row r="202" spans="5:87">
      <c r="E202" s="21"/>
      <c r="Q202" s="191"/>
      <c r="R202" s="191"/>
      <c r="S202" s="191"/>
      <c r="T202" s="127"/>
      <c r="U202" s="127"/>
      <c r="V202" s="191"/>
      <c r="W202" s="190"/>
      <c r="X202" s="191"/>
      <c r="Y202" s="191"/>
      <c r="Z202" s="191"/>
      <c r="AA202" s="191"/>
      <c r="AB202" s="191"/>
      <c r="AC202" s="191"/>
      <c r="AD202" s="191"/>
      <c r="AE202" s="191"/>
      <c r="AF202" s="191"/>
      <c r="AG202" s="191"/>
      <c r="AH202" s="191"/>
      <c r="AI202" s="127"/>
      <c r="AJ202" s="191"/>
      <c r="AK202" s="191"/>
      <c r="AL202" s="190"/>
      <c r="AM202" s="191"/>
      <c r="AQ202" s="194"/>
      <c r="AR202" s="127"/>
      <c r="AS202" s="194"/>
      <c r="AT202" s="194"/>
      <c r="AU202" s="194"/>
      <c r="AV202" s="194"/>
      <c r="AW202" s="194"/>
      <c r="AX202" s="194"/>
      <c r="AY202" s="193"/>
      <c r="AZ202" s="194"/>
      <c r="BA202" s="21"/>
      <c r="BE202" s="188" t="s">
        <v>1595</v>
      </c>
      <c r="BF202" s="188" t="s">
        <v>3929</v>
      </c>
      <c r="BG202" s="127">
        <v>42902</v>
      </c>
      <c r="BH202" s="188" t="s">
        <v>34</v>
      </c>
      <c r="BI202" s="188" t="s">
        <v>598</v>
      </c>
      <c r="BJ202" s="189">
        <v>1500</v>
      </c>
      <c r="BK202" s="188" t="s">
        <v>493</v>
      </c>
      <c r="BL202" s="188" t="s">
        <v>598</v>
      </c>
      <c r="BM202" s="189">
        <v>0</v>
      </c>
      <c r="BN202" s="188" t="s">
        <v>598</v>
      </c>
      <c r="BO202" s="127">
        <v>42902</v>
      </c>
      <c r="BP202" s="188" t="s">
        <v>598</v>
      </c>
      <c r="BQ202" s="188" t="s">
        <v>84</v>
      </c>
      <c r="BR202" s="188" t="s">
        <v>598</v>
      </c>
      <c r="BS202" s="188" t="s">
        <v>275</v>
      </c>
      <c r="BT202" s="188" t="s">
        <v>79</v>
      </c>
      <c r="BU202" s="188" t="s">
        <v>598</v>
      </c>
      <c r="BV202" s="188" t="s">
        <v>598</v>
      </c>
      <c r="BZ202" s="188">
        <v>201</v>
      </c>
      <c r="CA202" s="127">
        <v>42916</v>
      </c>
      <c r="CB202" s="23" t="s">
        <v>329</v>
      </c>
      <c r="CC202" s="188" t="s">
        <v>329</v>
      </c>
      <c r="CD202" s="188" t="s">
        <v>63</v>
      </c>
      <c r="CE202" s="188"/>
      <c r="CF202" s="188" t="s">
        <v>10</v>
      </c>
      <c r="CG202" s="188"/>
      <c r="CH202" s="189">
        <v>2400</v>
      </c>
      <c r="CI202" s="188"/>
    </row>
    <row r="203" spans="5:87">
      <c r="E203" s="21"/>
      <c r="Q203" s="191"/>
      <c r="R203" s="191"/>
      <c r="S203" s="191"/>
      <c r="T203" s="127"/>
      <c r="U203" s="127"/>
      <c r="V203" s="191"/>
      <c r="W203" s="190"/>
      <c r="X203" s="191"/>
      <c r="Y203" s="191"/>
      <c r="Z203" s="191"/>
      <c r="AA203" s="191"/>
      <c r="AB203" s="191"/>
      <c r="AC203" s="191"/>
      <c r="AD203" s="191"/>
      <c r="AE203" s="191"/>
      <c r="AF203" s="191"/>
      <c r="AG203" s="191"/>
      <c r="AH203" s="191"/>
      <c r="AI203" s="127"/>
      <c r="AJ203" s="191"/>
      <c r="AK203" s="191"/>
      <c r="AL203" s="190"/>
      <c r="AM203" s="191"/>
      <c r="AQ203" s="194"/>
      <c r="AR203" s="127"/>
      <c r="AS203" s="194"/>
      <c r="AT203" s="194"/>
      <c r="AU203" s="194"/>
      <c r="AV203" s="194"/>
      <c r="AW203" s="194"/>
      <c r="AX203" s="194"/>
      <c r="AY203" s="193"/>
      <c r="AZ203" s="194"/>
      <c r="BA203" s="21"/>
      <c r="BE203" s="188" t="s">
        <v>1605</v>
      </c>
      <c r="BF203" s="188" t="s">
        <v>3930</v>
      </c>
      <c r="BG203" s="127">
        <v>42915</v>
      </c>
      <c r="BH203" s="188" t="s">
        <v>34</v>
      </c>
      <c r="BI203" s="188" t="s">
        <v>598</v>
      </c>
      <c r="BJ203" s="189">
        <v>4000</v>
      </c>
      <c r="BK203" s="188" t="s">
        <v>493</v>
      </c>
      <c r="BL203" s="188" t="s">
        <v>598</v>
      </c>
      <c r="BM203" s="189">
        <v>0</v>
      </c>
      <c r="BN203" s="188" t="s">
        <v>598</v>
      </c>
      <c r="BO203" s="127">
        <v>42758</v>
      </c>
      <c r="BP203" s="188" t="s">
        <v>134</v>
      </c>
      <c r="BQ203" s="188" t="s">
        <v>84</v>
      </c>
      <c r="BR203" s="188" t="s">
        <v>195</v>
      </c>
      <c r="BS203" s="188" t="s">
        <v>62</v>
      </c>
      <c r="BT203" s="188" t="s">
        <v>79</v>
      </c>
      <c r="BU203" s="188" t="s">
        <v>79</v>
      </c>
      <c r="BV203" s="188" t="s">
        <v>598</v>
      </c>
      <c r="BZ203" s="188">
        <v>202</v>
      </c>
      <c r="CA203" s="127">
        <v>42916</v>
      </c>
      <c r="CB203" s="23" t="s">
        <v>329</v>
      </c>
      <c r="CC203" s="188" t="s">
        <v>329</v>
      </c>
      <c r="CD203" s="188" t="s">
        <v>85</v>
      </c>
      <c r="CE203" s="188"/>
      <c r="CF203" s="188" t="s">
        <v>10</v>
      </c>
      <c r="CG203" s="188"/>
      <c r="CH203" s="189">
        <v>8275</v>
      </c>
      <c r="CI203" s="188"/>
    </row>
    <row r="204" spans="5:87">
      <c r="E204" s="21"/>
      <c r="Q204" s="191"/>
      <c r="R204" s="191"/>
      <c r="S204" s="191"/>
      <c r="T204" s="127"/>
      <c r="U204" s="127"/>
      <c r="V204" s="191"/>
      <c r="W204" s="190"/>
      <c r="X204" s="191"/>
      <c r="Y204" s="191"/>
      <c r="Z204" s="191"/>
      <c r="AA204" s="191"/>
      <c r="AB204" s="191"/>
      <c r="AC204" s="191"/>
      <c r="AD204" s="191"/>
      <c r="AE204" s="191"/>
      <c r="AF204" s="191"/>
      <c r="AG204" s="191"/>
      <c r="AH204" s="191"/>
      <c r="AI204" s="127"/>
      <c r="AJ204" s="191"/>
      <c r="AK204" s="191"/>
      <c r="AL204" s="190"/>
      <c r="AM204" s="191"/>
      <c r="AQ204" s="194"/>
      <c r="AR204" s="127"/>
      <c r="AS204" s="194"/>
      <c r="AT204" s="194"/>
      <c r="AU204" s="194"/>
      <c r="AV204" s="194"/>
      <c r="AW204" s="194"/>
      <c r="AX204" s="194"/>
      <c r="AY204" s="193"/>
      <c r="AZ204" s="194"/>
      <c r="BA204" s="21"/>
      <c r="BE204" s="188" t="s">
        <v>1607</v>
      </c>
      <c r="BF204" s="188" t="s">
        <v>3931</v>
      </c>
      <c r="BG204" s="127">
        <v>42915</v>
      </c>
      <c r="BH204" s="188" t="s">
        <v>34</v>
      </c>
      <c r="BI204" s="188" t="s">
        <v>598</v>
      </c>
      <c r="BJ204" s="189">
        <v>4000</v>
      </c>
      <c r="BK204" s="188" t="s">
        <v>493</v>
      </c>
      <c r="BL204" s="188" t="s">
        <v>598</v>
      </c>
      <c r="BM204" s="189">
        <v>0</v>
      </c>
      <c r="BN204" s="188" t="s">
        <v>598</v>
      </c>
      <c r="BO204" s="127">
        <v>42758</v>
      </c>
      <c r="BP204" s="188" t="s">
        <v>598</v>
      </c>
      <c r="BQ204" s="188" t="s">
        <v>84</v>
      </c>
      <c r="BR204" s="188" t="s">
        <v>195</v>
      </c>
      <c r="BS204" s="188" t="s">
        <v>62</v>
      </c>
      <c r="BT204" s="188" t="s">
        <v>79</v>
      </c>
      <c r="BU204" s="188" t="s">
        <v>79</v>
      </c>
      <c r="BV204" s="188" t="s">
        <v>598</v>
      </c>
      <c r="BZ204" s="188">
        <v>203</v>
      </c>
      <c r="CA204" s="127">
        <v>42916</v>
      </c>
      <c r="CB204" s="23" t="s">
        <v>329</v>
      </c>
      <c r="CC204" s="188" t="s">
        <v>329</v>
      </c>
      <c r="CD204" s="188" t="s">
        <v>30</v>
      </c>
      <c r="CE204" s="188"/>
      <c r="CF204" s="188" t="s">
        <v>10</v>
      </c>
      <c r="CG204" s="188"/>
      <c r="CH204" s="189">
        <v>3640</v>
      </c>
      <c r="CI204" s="188"/>
    </row>
    <row r="205" spans="5:87">
      <c r="E205" s="21"/>
      <c r="Q205" s="191"/>
      <c r="R205" s="191"/>
      <c r="S205" s="191"/>
      <c r="T205" s="127"/>
      <c r="U205" s="127"/>
      <c r="V205" s="191"/>
      <c r="W205" s="190"/>
      <c r="X205" s="191"/>
      <c r="Y205" s="191"/>
      <c r="Z205" s="191"/>
      <c r="AA205" s="191"/>
      <c r="AB205" s="191"/>
      <c r="AC205" s="191"/>
      <c r="AD205" s="191"/>
      <c r="AE205" s="191"/>
      <c r="AF205" s="191"/>
      <c r="AG205" s="191"/>
      <c r="AH205" s="191"/>
      <c r="AI205" s="127"/>
      <c r="AJ205" s="191"/>
      <c r="AK205" s="191"/>
      <c r="AL205" s="190"/>
      <c r="AM205" s="191"/>
      <c r="AQ205" s="194"/>
      <c r="AR205" s="127"/>
      <c r="AS205" s="194"/>
      <c r="AT205" s="194"/>
      <c r="AU205" s="194"/>
      <c r="AV205" s="194"/>
      <c r="AW205" s="194"/>
      <c r="AX205" s="194"/>
      <c r="AY205" s="193"/>
      <c r="AZ205" s="194"/>
      <c r="BA205" s="21"/>
      <c r="BE205" s="188" t="s">
        <v>1609</v>
      </c>
      <c r="BF205" s="188" t="s">
        <v>3932</v>
      </c>
      <c r="BG205" s="127">
        <v>42915</v>
      </c>
      <c r="BH205" s="188" t="s">
        <v>34</v>
      </c>
      <c r="BI205" s="188" t="s">
        <v>598</v>
      </c>
      <c r="BJ205" s="189">
        <v>4000</v>
      </c>
      <c r="BK205" s="188" t="s">
        <v>493</v>
      </c>
      <c r="BL205" s="188" t="s">
        <v>598</v>
      </c>
      <c r="BM205" s="189">
        <v>0</v>
      </c>
      <c r="BN205" s="188" t="s">
        <v>598</v>
      </c>
      <c r="BO205" s="127">
        <v>42758</v>
      </c>
      <c r="BP205" s="188" t="s">
        <v>598</v>
      </c>
      <c r="BQ205" s="188" t="s">
        <v>84</v>
      </c>
      <c r="BR205" s="188" t="s">
        <v>184</v>
      </c>
      <c r="BS205" s="188" t="s">
        <v>62</v>
      </c>
      <c r="BT205" s="188" t="s">
        <v>79</v>
      </c>
      <c r="BU205" s="188" t="s">
        <v>79</v>
      </c>
      <c r="BV205" s="188" t="s">
        <v>598</v>
      </c>
      <c r="BZ205" s="188">
        <v>204</v>
      </c>
      <c r="CA205" s="127">
        <v>42887</v>
      </c>
      <c r="CB205" s="188" t="s">
        <v>4450</v>
      </c>
      <c r="CC205" s="188" t="s">
        <v>275</v>
      </c>
      <c r="CD205" s="188" t="s">
        <v>30</v>
      </c>
      <c r="CE205" s="188" t="s">
        <v>108</v>
      </c>
      <c r="CF205" s="188" t="s">
        <v>10</v>
      </c>
      <c r="CG205" s="188"/>
      <c r="CH205" s="189">
        <v>30500</v>
      </c>
      <c r="CI205" s="188"/>
    </row>
    <row r="206" spans="5:87">
      <c r="E206" s="21"/>
      <c r="Q206" s="191"/>
      <c r="R206" s="191"/>
      <c r="S206" s="191"/>
      <c r="T206" s="127"/>
      <c r="U206" s="127"/>
      <c r="V206" s="191"/>
      <c r="W206" s="190"/>
      <c r="X206" s="191"/>
      <c r="Y206" s="191"/>
      <c r="Z206" s="191"/>
      <c r="AA206" s="191"/>
      <c r="AB206" s="191"/>
      <c r="AC206" s="191"/>
      <c r="AD206" s="191"/>
      <c r="AE206" s="191"/>
      <c r="AF206" s="191"/>
      <c r="AG206" s="191"/>
      <c r="AH206" s="191"/>
      <c r="AI206" s="127"/>
      <c r="AJ206" s="191"/>
      <c r="AK206" s="191"/>
      <c r="AL206" s="190"/>
      <c r="AM206" s="191"/>
      <c r="AQ206" s="194"/>
      <c r="AR206" s="127"/>
      <c r="AS206" s="194"/>
      <c r="AT206" s="194"/>
      <c r="AU206" s="194"/>
      <c r="AV206" s="194"/>
      <c r="AW206" s="194"/>
      <c r="AX206" s="194"/>
      <c r="AY206" s="193"/>
      <c r="AZ206" s="194"/>
      <c r="BA206" s="21"/>
      <c r="BE206" s="188" t="s">
        <v>1611</v>
      </c>
      <c r="BF206" s="188" t="s">
        <v>3933</v>
      </c>
      <c r="BG206" s="127">
        <v>42915</v>
      </c>
      <c r="BH206" s="188" t="s">
        <v>34</v>
      </c>
      <c r="BI206" s="188" t="s">
        <v>598</v>
      </c>
      <c r="BJ206" s="189">
        <v>3000</v>
      </c>
      <c r="BK206" s="188" t="s">
        <v>493</v>
      </c>
      <c r="BL206" s="188" t="s">
        <v>598</v>
      </c>
      <c r="BM206" s="189">
        <v>0</v>
      </c>
      <c r="BN206" s="188" t="s">
        <v>598</v>
      </c>
      <c r="BO206" s="127">
        <v>42758</v>
      </c>
      <c r="BP206" s="188" t="s">
        <v>598</v>
      </c>
      <c r="BQ206" s="188" t="s">
        <v>84</v>
      </c>
      <c r="BR206" s="188" t="s">
        <v>195</v>
      </c>
      <c r="BS206" s="188" t="s">
        <v>62</v>
      </c>
      <c r="BT206" s="188" t="s">
        <v>79</v>
      </c>
      <c r="BU206" s="188" t="s">
        <v>79</v>
      </c>
      <c r="BV206" s="188" t="s">
        <v>598</v>
      </c>
      <c r="BZ206" s="188">
        <v>205</v>
      </c>
      <c r="CA206" s="127">
        <v>42905</v>
      </c>
      <c r="CB206" s="188" t="s">
        <v>4451</v>
      </c>
      <c r="CC206" s="188" t="s">
        <v>275</v>
      </c>
      <c r="CD206" s="188" t="s">
        <v>30</v>
      </c>
      <c r="CE206" s="188" t="s">
        <v>121</v>
      </c>
      <c r="CF206" s="188" t="s">
        <v>34</v>
      </c>
      <c r="CG206" s="188"/>
      <c r="CH206" s="189">
        <v>1000</v>
      </c>
      <c r="CI206" s="188"/>
    </row>
    <row r="207" spans="5:87">
      <c r="E207" s="21"/>
      <c r="Q207" s="191"/>
      <c r="R207" s="191"/>
      <c r="S207" s="191"/>
      <c r="T207" s="127"/>
      <c r="U207" s="127"/>
      <c r="V207" s="191"/>
      <c r="W207" s="190"/>
      <c r="X207" s="191"/>
      <c r="Y207" s="191"/>
      <c r="Z207" s="191"/>
      <c r="AA207" s="191"/>
      <c r="AB207" s="191"/>
      <c r="AC207" s="191"/>
      <c r="AD207" s="191"/>
      <c r="AE207" s="191"/>
      <c r="AF207" s="191"/>
      <c r="AG207" s="191"/>
      <c r="AH207" s="191"/>
      <c r="AI207" s="127"/>
      <c r="AJ207" s="191"/>
      <c r="AK207" s="191"/>
      <c r="AL207" s="190"/>
      <c r="AM207" s="191"/>
      <c r="AQ207" s="194"/>
      <c r="AR207" s="127"/>
      <c r="AS207" s="194"/>
      <c r="AT207" s="194"/>
      <c r="AU207" s="194"/>
      <c r="AV207" s="194"/>
      <c r="AW207" s="194"/>
      <c r="AX207" s="194"/>
      <c r="AY207" s="193"/>
      <c r="AZ207" s="194"/>
      <c r="BA207" s="21"/>
      <c r="BE207" s="188" t="s">
        <v>1613</v>
      </c>
      <c r="BF207" s="188" t="s">
        <v>3934</v>
      </c>
      <c r="BG207" s="127">
        <v>42915</v>
      </c>
      <c r="BH207" s="188" t="s">
        <v>34</v>
      </c>
      <c r="BI207" s="188" t="s">
        <v>598</v>
      </c>
      <c r="BJ207" s="189">
        <v>3000</v>
      </c>
      <c r="BK207" s="188" t="s">
        <v>493</v>
      </c>
      <c r="BL207" s="188" t="s">
        <v>598</v>
      </c>
      <c r="BM207" s="189">
        <v>0</v>
      </c>
      <c r="BN207" s="188" t="s">
        <v>598</v>
      </c>
      <c r="BO207" s="127">
        <v>42760</v>
      </c>
      <c r="BP207" s="188" t="s">
        <v>134</v>
      </c>
      <c r="BQ207" s="188" t="s">
        <v>84</v>
      </c>
      <c r="BR207" s="188" t="s">
        <v>264</v>
      </c>
      <c r="BS207" s="188" t="s">
        <v>62</v>
      </c>
      <c r="BT207" s="188" t="s">
        <v>79</v>
      </c>
      <c r="BU207" s="188" t="s">
        <v>79</v>
      </c>
      <c r="BV207" s="188" t="s">
        <v>598</v>
      </c>
      <c r="BZ207" s="188">
        <v>206</v>
      </c>
      <c r="CA207" s="127">
        <v>42913</v>
      </c>
      <c r="CB207" s="188" t="s">
        <v>4452</v>
      </c>
      <c r="CC207" s="188" t="s">
        <v>275</v>
      </c>
      <c r="CD207" s="188" t="s">
        <v>30</v>
      </c>
      <c r="CE207" s="188" t="s">
        <v>26</v>
      </c>
      <c r="CF207" s="188" t="s">
        <v>10</v>
      </c>
      <c r="CG207" s="188"/>
      <c r="CH207" s="189">
        <v>32760</v>
      </c>
      <c r="CI207" s="188"/>
    </row>
    <row r="208" spans="5:87">
      <c r="E208" s="21"/>
      <c r="Q208" s="191"/>
      <c r="R208" s="191"/>
      <c r="S208" s="191"/>
      <c r="T208" s="127"/>
      <c r="U208" s="127"/>
      <c r="V208" s="191"/>
      <c r="W208" s="190"/>
      <c r="X208" s="191"/>
      <c r="Y208" s="191"/>
      <c r="Z208" s="191"/>
      <c r="AA208" s="191"/>
      <c r="AB208" s="191"/>
      <c r="AC208" s="191"/>
      <c r="AD208" s="191"/>
      <c r="AE208" s="191"/>
      <c r="AF208" s="191"/>
      <c r="AG208" s="191"/>
      <c r="AH208" s="191"/>
      <c r="AI208" s="127"/>
      <c r="AJ208" s="191"/>
      <c r="AK208" s="191"/>
      <c r="AL208" s="190"/>
      <c r="AM208" s="191"/>
      <c r="AQ208" s="194"/>
      <c r="AR208" s="127"/>
      <c r="AS208" s="194"/>
      <c r="AT208" s="194"/>
      <c r="AU208" s="194"/>
      <c r="AV208" s="194"/>
      <c r="AW208" s="194"/>
      <c r="AX208" s="194"/>
      <c r="AY208" s="193"/>
      <c r="AZ208" s="194"/>
      <c r="BA208" s="21"/>
      <c r="BE208" s="188" t="s">
        <v>1615</v>
      </c>
      <c r="BF208" s="188" t="s">
        <v>3935</v>
      </c>
      <c r="BG208" s="127">
        <v>42915</v>
      </c>
      <c r="BH208" s="188" t="s">
        <v>34</v>
      </c>
      <c r="BI208" s="188" t="s">
        <v>598</v>
      </c>
      <c r="BJ208" s="189">
        <v>3000</v>
      </c>
      <c r="BK208" s="188" t="s">
        <v>493</v>
      </c>
      <c r="BL208" s="188" t="s">
        <v>598</v>
      </c>
      <c r="BM208" s="189">
        <v>0</v>
      </c>
      <c r="BN208" s="188" t="s">
        <v>598</v>
      </c>
      <c r="BO208" s="127">
        <v>42763</v>
      </c>
      <c r="BP208" s="188" t="s">
        <v>134</v>
      </c>
      <c r="BQ208" s="188" t="s">
        <v>84</v>
      </c>
      <c r="BR208" s="188" t="s">
        <v>277</v>
      </c>
      <c r="BS208" s="188" t="s">
        <v>62</v>
      </c>
      <c r="BT208" s="188" t="s">
        <v>79</v>
      </c>
      <c r="BU208" s="188" t="s">
        <v>112</v>
      </c>
      <c r="BV208" s="188" t="s">
        <v>598</v>
      </c>
      <c r="BZ208" s="188">
        <v>207</v>
      </c>
      <c r="CA208" s="127">
        <v>42889</v>
      </c>
      <c r="CB208" s="188" t="s">
        <v>4453</v>
      </c>
      <c r="CC208" s="188" t="s">
        <v>275</v>
      </c>
      <c r="CD208" s="188" t="s">
        <v>63</v>
      </c>
      <c r="CE208" s="188" t="s">
        <v>38</v>
      </c>
      <c r="CF208" s="188" t="s">
        <v>10</v>
      </c>
      <c r="CG208" s="188"/>
      <c r="CH208" s="189">
        <v>4500</v>
      </c>
      <c r="CI208" s="188"/>
    </row>
    <row r="209" spans="5:87">
      <c r="E209" s="21"/>
      <c r="Q209" s="191"/>
      <c r="R209" s="191"/>
      <c r="S209" s="191"/>
      <c r="T209" s="127"/>
      <c r="U209" s="127"/>
      <c r="V209" s="191"/>
      <c r="W209" s="190"/>
      <c r="X209" s="191"/>
      <c r="Y209" s="191"/>
      <c r="Z209" s="191"/>
      <c r="AA209" s="191"/>
      <c r="AB209" s="191"/>
      <c r="AC209" s="191"/>
      <c r="AD209" s="191"/>
      <c r="AE209" s="191"/>
      <c r="AF209" s="191"/>
      <c r="AG209" s="191"/>
      <c r="AH209" s="191"/>
      <c r="AI209" s="127"/>
      <c r="AJ209" s="191"/>
      <c r="AK209" s="191"/>
      <c r="AL209" s="190"/>
      <c r="AM209" s="191"/>
      <c r="AQ209" s="194"/>
      <c r="AR209" s="127"/>
      <c r="AS209" s="194"/>
      <c r="AT209" s="194"/>
      <c r="AU209" s="194"/>
      <c r="AV209" s="194"/>
      <c r="AW209" s="194"/>
      <c r="AX209" s="194"/>
      <c r="AY209" s="193"/>
      <c r="AZ209" s="194"/>
      <c r="BA209" s="21"/>
      <c r="BE209" s="188" t="s">
        <v>1617</v>
      </c>
      <c r="BF209" s="188" t="s">
        <v>3936</v>
      </c>
      <c r="BG209" s="127">
        <v>42915</v>
      </c>
      <c r="BH209" s="188" t="s">
        <v>34</v>
      </c>
      <c r="BI209" s="188" t="s">
        <v>598</v>
      </c>
      <c r="BJ209" s="189">
        <v>3000</v>
      </c>
      <c r="BK209" s="188" t="s">
        <v>493</v>
      </c>
      <c r="BL209" s="188" t="s">
        <v>598</v>
      </c>
      <c r="BM209" s="189">
        <v>0</v>
      </c>
      <c r="BN209" s="188" t="s">
        <v>598</v>
      </c>
      <c r="BO209" s="127">
        <v>42763</v>
      </c>
      <c r="BP209" s="188" t="s">
        <v>598</v>
      </c>
      <c r="BQ209" s="188" t="s">
        <v>84</v>
      </c>
      <c r="BR209" s="188" t="s">
        <v>598</v>
      </c>
      <c r="BS209" s="188" t="s">
        <v>62</v>
      </c>
      <c r="BT209" s="188" t="s">
        <v>79</v>
      </c>
      <c r="BU209" s="188" t="s">
        <v>79</v>
      </c>
      <c r="BV209" s="188" t="s">
        <v>598</v>
      </c>
      <c r="BZ209" s="188">
        <v>208</v>
      </c>
      <c r="CA209" s="127">
        <v>42893</v>
      </c>
      <c r="CB209" s="188" t="s">
        <v>4454</v>
      </c>
      <c r="CC209" s="188" t="s">
        <v>275</v>
      </c>
      <c r="CD209" s="188" t="s">
        <v>63</v>
      </c>
      <c r="CE209" s="188" t="s">
        <v>49</v>
      </c>
      <c r="CF209" s="188" t="s">
        <v>34</v>
      </c>
      <c r="CG209" s="188"/>
      <c r="CH209" s="189">
        <v>20000</v>
      </c>
      <c r="CI209" s="188"/>
    </row>
    <row r="210" spans="5:87">
      <c r="E210" s="21"/>
      <c r="Q210" s="191"/>
      <c r="R210" s="191"/>
      <c r="S210" s="191"/>
      <c r="T210" s="127"/>
      <c r="U210" s="127"/>
      <c r="V210" s="191"/>
      <c r="W210" s="190"/>
      <c r="X210" s="191"/>
      <c r="Y210" s="191"/>
      <c r="Z210" s="191"/>
      <c r="AA210" s="191"/>
      <c r="AB210" s="191"/>
      <c r="AC210" s="191"/>
      <c r="AD210" s="191"/>
      <c r="AE210" s="191"/>
      <c r="AF210" s="191"/>
      <c r="AG210" s="191"/>
      <c r="AH210" s="191"/>
      <c r="AI210" s="127"/>
      <c r="AJ210" s="191"/>
      <c r="AK210" s="191"/>
      <c r="AL210" s="190"/>
      <c r="AM210" s="191"/>
      <c r="AQ210" s="194"/>
      <c r="AR210" s="127"/>
      <c r="AS210" s="194"/>
      <c r="AT210" s="194"/>
      <c r="AU210" s="194"/>
      <c r="AV210" s="194"/>
      <c r="AW210" s="194"/>
      <c r="AX210" s="194"/>
      <c r="AY210" s="193"/>
      <c r="AZ210" s="194"/>
      <c r="BA210" s="21"/>
      <c r="BE210" s="188" t="s">
        <v>1619</v>
      </c>
      <c r="BF210" s="188" t="s">
        <v>3937</v>
      </c>
      <c r="BG210" s="127">
        <v>42915</v>
      </c>
      <c r="BH210" s="188" t="s">
        <v>34</v>
      </c>
      <c r="BI210" s="188" t="s">
        <v>598</v>
      </c>
      <c r="BJ210" s="189">
        <v>3000</v>
      </c>
      <c r="BK210" s="188" t="s">
        <v>493</v>
      </c>
      <c r="BL210" s="188" t="s">
        <v>598</v>
      </c>
      <c r="BM210" s="189">
        <v>0</v>
      </c>
      <c r="BN210" s="188" t="s">
        <v>598</v>
      </c>
      <c r="BO210" s="127">
        <v>42774</v>
      </c>
      <c r="BP210" s="188" t="s">
        <v>134</v>
      </c>
      <c r="BQ210" s="188" t="s">
        <v>84</v>
      </c>
      <c r="BR210" s="188" t="s">
        <v>195</v>
      </c>
      <c r="BS210" s="188" t="s">
        <v>62</v>
      </c>
      <c r="BT210" s="188" t="s">
        <v>79</v>
      </c>
      <c r="BU210" s="188" t="s">
        <v>112</v>
      </c>
      <c r="BV210" s="188" t="s">
        <v>598</v>
      </c>
      <c r="BZ210" s="188">
        <v>209</v>
      </c>
      <c r="CA210" s="127">
        <v>42895</v>
      </c>
      <c r="CB210" s="188" t="s">
        <v>4455</v>
      </c>
      <c r="CC210" s="188" t="s">
        <v>275</v>
      </c>
      <c r="CD210" s="188" t="s">
        <v>63</v>
      </c>
      <c r="CE210" s="188" t="s">
        <v>121</v>
      </c>
      <c r="CF210" s="188" t="s">
        <v>10</v>
      </c>
      <c r="CG210" s="188"/>
      <c r="CH210" s="189">
        <v>5000</v>
      </c>
      <c r="CI210" s="188"/>
    </row>
    <row r="211" spans="5:87">
      <c r="E211" s="21"/>
      <c r="Q211" s="191"/>
      <c r="R211" s="191"/>
      <c r="S211" s="191"/>
      <c r="T211" s="127"/>
      <c r="U211" s="127"/>
      <c r="V211" s="191"/>
      <c r="W211" s="190"/>
      <c r="X211" s="191"/>
      <c r="Y211" s="191"/>
      <c r="Z211" s="191"/>
      <c r="AA211" s="191"/>
      <c r="AB211" s="191"/>
      <c r="AC211" s="191"/>
      <c r="AD211" s="191"/>
      <c r="AE211" s="191"/>
      <c r="AF211" s="191"/>
      <c r="AG211" s="191"/>
      <c r="AH211" s="191"/>
      <c r="AI211" s="127"/>
      <c r="AJ211" s="191"/>
      <c r="AK211" s="191"/>
      <c r="AL211" s="190"/>
      <c r="AM211" s="191"/>
      <c r="AQ211" s="194"/>
      <c r="AR211" s="127"/>
      <c r="AS211" s="194"/>
      <c r="AT211" s="194"/>
      <c r="AU211" s="194"/>
      <c r="AV211" s="194"/>
      <c r="AW211" s="194"/>
      <c r="AX211" s="194"/>
      <c r="AY211" s="193"/>
      <c r="AZ211" s="194"/>
      <c r="BA211" s="21"/>
      <c r="BE211" s="188" t="s">
        <v>1621</v>
      </c>
      <c r="BF211" s="188" t="s">
        <v>3938</v>
      </c>
      <c r="BG211" s="127">
        <v>42915</v>
      </c>
      <c r="BH211" s="188" t="s">
        <v>34</v>
      </c>
      <c r="BI211" s="188" t="s">
        <v>598</v>
      </c>
      <c r="BJ211" s="189">
        <v>3000</v>
      </c>
      <c r="BK211" s="188" t="s">
        <v>493</v>
      </c>
      <c r="BL211" s="188" t="s">
        <v>598</v>
      </c>
      <c r="BM211" s="189">
        <v>0</v>
      </c>
      <c r="BN211" s="188" t="s">
        <v>598</v>
      </c>
      <c r="BO211" s="127">
        <v>42780</v>
      </c>
      <c r="BP211" s="188" t="s">
        <v>598</v>
      </c>
      <c r="BQ211" s="188" t="s">
        <v>84</v>
      </c>
      <c r="BR211" s="188" t="s">
        <v>195</v>
      </c>
      <c r="BS211" s="188" t="s">
        <v>62</v>
      </c>
      <c r="BT211" s="188" t="s">
        <v>79</v>
      </c>
      <c r="BU211" s="188" t="s">
        <v>79</v>
      </c>
      <c r="BV211" s="188" t="s">
        <v>598</v>
      </c>
      <c r="BZ211" s="188">
        <v>210</v>
      </c>
      <c r="CA211" s="127">
        <v>42898</v>
      </c>
      <c r="CB211" s="188" t="s">
        <v>4456</v>
      </c>
      <c r="CC211" s="188" t="s">
        <v>275</v>
      </c>
      <c r="CD211" s="188" t="s">
        <v>63</v>
      </c>
      <c r="CE211" s="188" t="s">
        <v>121</v>
      </c>
      <c r="CF211" s="188" t="s">
        <v>10</v>
      </c>
      <c r="CG211" s="188"/>
      <c r="CH211" s="189">
        <v>5000</v>
      </c>
      <c r="CI211" s="188"/>
    </row>
    <row r="212" spans="5:87">
      <c r="E212" s="21"/>
      <c r="Q212" s="191"/>
      <c r="R212" s="191"/>
      <c r="S212" s="191"/>
      <c r="T212" s="127"/>
      <c r="U212" s="127"/>
      <c r="V212" s="191"/>
      <c r="W212" s="190"/>
      <c r="X212" s="191"/>
      <c r="Y212" s="191"/>
      <c r="Z212" s="191"/>
      <c r="AA212" s="191"/>
      <c r="AB212" s="191"/>
      <c r="AC212" s="191"/>
      <c r="AD212" s="191"/>
      <c r="AE212" s="191"/>
      <c r="AF212" s="191"/>
      <c r="AG212" s="191"/>
      <c r="AH212" s="191"/>
      <c r="AI212" s="127"/>
      <c r="AJ212" s="191"/>
      <c r="AK212" s="191"/>
      <c r="AL212" s="190"/>
      <c r="AM212" s="191"/>
      <c r="AQ212" s="194"/>
      <c r="AR212" s="127"/>
      <c r="AS212" s="194"/>
      <c r="AT212" s="194"/>
      <c r="AU212" s="194"/>
      <c r="AV212" s="194"/>
      <c r="AW212" s="194"/>
      <c r="AX212" s="194"/>
      <c r="AY212" s="193"/>
      <c r="AZ212" s="194"/>
      <c r="BA212" s="21"/>
      <c r="BE212" s="188" t="s">
        <v>1623</v>
      </c>
      <c r="BF212" s="188" t="s">
        <v>3939</v>
      </c>
      <c r="BG212" s="127">
        <v>42915</v>
      </c>
      <c r="BH212" s="188" t="s">
        <v>34</v>
      </c>
      <c r="BI212" s="188" t="s">
        <v>598</v>
      </c>
      <c r="BJ212" s="189">
        <v>3000</v>
      </c>
      <c r="BK212" s="188" t="s">
        <v>493</v>
      </c>
      <c r="BL212" s="188" t="s">
        <v>598</v>
      </c>
      <c r="BM212" s="189">
        <v>0</v>
      </c>
      <c r="BN212" s="188" t="s">
        <v>598</v>
      </c>
      <c r="BO212" s="127">
        <v>42781</v>
      </c>
      <c r="BP212" s="188" t="s">
        <v>134</v>
      </c>
      <c r="BQ212" s="188" t="s">
        <v>84</v>
      </c>
      <c r="BR212" s="188" t="s">
        <v>184</v>
      </c>
      <c r="BS212" s="188" t="s">
        <v>62</v>
      </c>
      <c r="BT212" s="188" t="s">
        <v>79</v>
      </c>
      <c r="BU212" s="188" t="s">
        <v>79</v>
      </c>
      <c r="BV212" s="188" t="s">
        <v>598</v>
      </c>
      <c r="BZ212" s="188">
        <v>211</v>
      </c>
      <c r="CA212" s="127">
        <v>42907</v>
      </c>
      <c r="CB212" s="188" t="s">
        <v>4457</v>
      </c>
      <c r="CC212" s="188" t="s">
        <v>275</v>
      </c>
      <c r="CD212" s="188" t="s">
        <v>63</v>
      </c>
      <c r="CE212" s="188" t="s">
        <v>38</v>
      </c>
      <c r="CF212" s="188" t="s">
        <v>10</v>
      </c>
      <c r="CG212" s="188"/>
      <c r="CH212" s="189">
        <v>17100</v>
      </c>
      <c r="CI212" s="188"/>
    </row>
    <row r="213" spans="5:87">
      <c r="E213" s="21"/>
      <c r="Q213" s="191"/>
      <c r="R213" s="191"/>
      <c r="S213" s="191"/>
      <c r="T213" s="127"/>
      <c r="U213" s="127"/>
      <c r="V213" s="191"/>
      <c r="W213" s="190"/>
      <c r="X213" s="191"/>
      <c r="Y213" s="191"/>
      <c r="Z213" s="191"/>
      <c r="AA213" s="191"/>
      <c r="AB213" s="191"/>
      <c r="AC213" s="191"/>
      <c r="AD213" s="191"/>
      <c r="AE213" s="191"/>
      <c r="AF213" s="191"/>
      <c r="AG213" s="191"/>
      <c r="AH213" s="191"/>
      <c r="AI213" s="127"/>
      <c r="AJ213" s="191"/>
      <c r="AK213" s="191"/>
      <c r="AL213" s="190"/>
      <c r="AM213" s="191"/>
      <c r="AQ213" s="194"/>
      <c r="AR213" s="127"/>
      <c r="AS213" s="194"/>
      <c r="AT213" s="194"/>
      <c r="AU213" s="194"/>
      <c r="AV213" s="194"/>
      <c r="AW213" s="194"/>
      <c r="AX213" s="194"/>
      <c r="AY213" s="193"/>
      <c r="AZ213" s="194"/>
      <c r="BA213" s="21"/>
      <c r="BE213" s="188" t="s">
        <v>1624</v>
      </c>
      <c r="BF213" s="188" t="s">
        <v>3940</v>
      </c>
      <c r="BG213" s="127">
        <v>42915</v>
      </c>
      <c r="BH213" s="188" t="s">
        <v>34</v>
      </c>
      <c r="BI213" s="188" t="s">
        <v>598</v>
      </c>
      <c r="BJ213" s="189">
        <v>8000</v>
      </c>
      <c r="BK213" s="188" t="s">
        <v>493</v>
      </c>
      <c r="BL213" s="188" t="s">
        <v>598</v>
      </c>
      <c r="BM213" s="189">
        <v>0</v>
      </c>
      <c r="BN213" s="188" t="s">
        <v>598</v>
      </c>
      <c r="BO213" s="127">
        <v>42781</v>
      </c>
      <c r="BP213" s="188" t="s">
        <v>598</v>
      </c>
      <c r="BQ213" s="188" t="s">
        <v>84</v>
      </c>
      <c r="BR213" s="188" t="s">
        <v>184</v>
      </c>
      <c r="BS213" s="188" t="s">
        <v>62</v>
      </c>
      <c r="BT213" s="188" t="s">
        <v>79</v>
      </c>
      <c r="BU213" s="188" t="s">
        <v>79</v>
      </c>
      <c r="BV213" s="188" t="s">
        <v>598</v>
      </c>
      <c r="BZ213" s="188">
        <v>212</v>
      </c>
      <c r="CA213" s="127">
        <v>42914</v>
      </c>
      <c r="CB213" s="188" t="s">
        <v>4458</v>
      </c>
      <c r="CC213" s="188" t="s">
        <v>275</v>
      </c>
      <c r="CD213" s="188" t="s">
        <v>63</v>
      </c>
      <c r="CE213" s="188" t="s">
        <v>102</v>
      </c>
      <c r="CF213" s="188" t="s">
        <v>10</v>
      </c>
      <c r="CG213" s="188"/>
      <c r="CH213" s="189">
        <v>5000</v>
      </c>
      <c r="CI213" s="188"/>
    </row>
    <row r="214" spans="5:87">
      <c r="E214" s="21"/>
      <c r="Q214" s="191"/>
      <c r="R214" s="191"/>
      <c r="S214" s="191"/>
      <c r="T214" s="127"/>
      <c r="U214" s="127"/>
      <c r="V214" s="191"/>
      <c r="W214" s="190"/>
      <c r="X214" s="191"/>
      <c r="Y214" s="191"/>
      <c r="Z214" s="191"/>
      <c r="AA214" s="191"/>
      <c r="AB214" s="191"/>
      <c r="AC214" s="191"/>
      <c r="AD214" s="191"/>
      <c r="AE214" s="191"/>
      <c r="AF214" s="191"/>
      <c r="AG214" s="191"/>
      <c r="AH214" s="191"/>
      <c r="AI214" s="127"/>
      <c r="AJ214" s="191"/>
      <c r="AK214" s="191"/>
      <c r="AL214" s="190"/>
      <c r="AM214" s="191"/>
      <c r="AQ214" s="194"/>
      <c r="AR214" s="127"/>
      <c r="AS214" s="194"/>
      <c r="AT214" s="194"/>
      <c r="AU214" s="194"/>
      <c r="AV214" s="194"/>
      <c r="AW214" s="194"/>
      <c r="AX214" s="194"/>
      <c r="AY214" s="193"/>
      <c r="AZ214" s="194"/>
      <c r="BA214" s="21"/>
      <c r="BE214" s="188" t="s">
        <v>1626</v>
      </c>
      <c r="BF214" s="188" t="s">
        <v>3941</v>
      </c>
      <c r="BG214" s="127">
        <v>42915</v>
      </c>
      <c r="BH214" s="188" t="s">
        <v>34</v>
      </c>
      <c r="BI214" s="188" t="s">
        <v>598</v>
      </c>
      <c r="BJ214" s="189">
        <v>3000</v>
      </c>
      <c r="BK214" s="188" t="s">
        <v>493</v>
      </c>
      <c r="BL214" s="188" t="s">
        <v>598</v>
      </c>
      <c r="BM214" s="189">
        <v>0</v>
      </c>
      <c r="BN214" s="188" t="s">
        <v>598</v>
      </c>
      <c r="BO214" s="127">
        <v>42782</v>
      </c>
      <c r="BP214" s="188" t="s">
        <v>134</v>
      </c>
      <c r="BQ214" s="188" t="s">
        <v>84</v>
      </c>
      <c r="BR214" s="188" t="s">
        <v>278</v>
      </c>
      <c r="BS214" s="188" t="s">
        <v>62</v>
      </c>
      <c r="BT214" s="188" t="s">
        <v>79</v>
      </c>
      <c r="BU214" s="188" t="s">
        <v>79</v>
      </c>
      <c r="BV214" s="188" t="s">
        <v>598</v>
      </c>
      <c r="BZ214" s="188">
        <v>213</v>
      </c>
      <c r="CA214" s="127">
        <v>42895</v>
      </c>
      <c r="CB214" s="188" t="s">
        <v>4459</v>
      </c>
      <c r="CC214" s="188" t="s">
        <v>275</v>
      </c>
      <c r="CD214" s="188" t="s">
        <v>79</v>
      </c>
      <c r="CE214" s="188" t="s">
        <v>92</v>
      </c>
      <c r="CF214" s="188" t="s">
        <v>10</v>
      </c>
      <c r="CG214" s="188"/>
      <c r="CH214" s="189">
        <v>2350</v>
      </c>
      <c r="CI214" s="188"/>
    </row>
    <row r="215" spans="5:87">
      <c r="E215" s="21"/>
      <c r="Q215" s="191"/>
      <c r="R215" s="191"/>
      <c r="S215" s="191"/>
      <c r="T215" s="127"/>
      <c r="U215" s="127"/>
      <c r="V215" s="191"/>
      <c r="W215" s="190"/>
      <c r="X215" s="191"/>
      <c r="Y215" s="191"/>
      <c r="Z215" s="191"/>
      <c r="AA215" s="191"/>
      <c r="AB215" s="191"/>
      <c r="AC215" s="191"/>
      <c r="AD215" s="191"/>
      <c r="AE215" s="191"/>
      <c r="AF215" s="191"/>
      <c r="AG215" s="191"/>
      <c r="AH215" s="191"/>
      <c r="AI215" s="127"/>
      <c r="AJ215" s="191"/>
      <c r="AK215" s="191"/>
      <c r="AL215" s="190"/>
      <c r="AM215" s="191"/>
      <c r="AQ215" s="194"/>
      <c r="AR215" s="127"/>
      <c r="AS215" s="194"/>
      <c r="AT215" s="194"/>
      <c r="AU215" s="194"/>
      <c r="AV215" s="194"/>
      <c r="AW215" s="194"/>
      <c r="AX215" s="194"/>
      <c r="AY215" s="193"/>
      <c r="AZ215" s="194"/>
      <c r="BA215" s="21"/>
      <c r="BE215" s="188" t="s">
        <v>1628</v>
      </c>
      <c r="BF215" s="188" t="s">
        <v>3942</v>
      </c>
      <c r="BG215" s="127">
        <v>42915</v>
      </c>
      <c r="BH215" s="188" t="s">
        <v>34</v>
      </c>
      <c r="BI215" s="188" t="s">
        <v>598</v>
      </c>
      <c r="BJ215" s="189">
        <v>3000</v>
      </c>
      <c r="BK215" s="188" t="s">
        <v>493</v>
      </c>
      <c r="BL215" s="188" t="s">
        <v>598</v>
      </c>
      <c r="BM215" s="189">
        <v>0</v>
      </c>
      <c r="BN215" s="188" t="s">
        <v>598</v>
      </c>
      <c r="BO215" s="127">
        <v>42782</v>
      </c>
      <c r="BP215" s="188" t="s">
        <v>134</v>
      </c>
      <c r="BQ215" s="188" t="s">
        <v>84</v>
      </c>
      <c r="BR215" s="188" t="s">
        <v>279</v>
      </c>
      <c r="BS215" s="188" t="s">
        <v>62</v>
      </c>
      <c r="BT215" s="188" t="s">
        <v>79</v>
      </c>
      <c r="BU215" s="188" t="s">
        <v>79</v>
      </c>
      <c r="BV215" s="188" t="s">
        <v>598</v>
      </c>
      <c r="BZ215" s="188">
        <v>214</v>
      </c>
      <c r="CA215" s="127">
        <v>42902</v>
      </c>
      <c r="CB215" s="188" t="s">
        <v>4460</v>
      </c>
      <c r="CC215" s="188" t="s">
        <v>275</v>
      </c>
      <c r="CD215" s="188" t="s">
        <v>79</v>
      </c>
      <c r="CE215" s="188" t="s">
        <v>92</v>
      </c>
      <c r="CF215" s="188" t="s">
        <v>10</v>
      </c>
      <c r="CG215" s="188"/>
      <c r="CH215" s="189">
        <v>1500</v>
      </c>
      <c r="CI215" s="188"/>
    </row>
    <row r="216" spans="5:87">
      <c r="E216" s="21"/>
      <c r="Q216" s="191"/>
      <c r="R216" s="191"/>
      <c r="S216" s="191"/>
      <c r="T216" s="127"/>
      <c r="U216" s="127"/>
      <c r="V216" s="191"/>
      <c r="W216" s="190"/>
      <c r="X216" s="191"/>
      <c r="Y216" s="191"/>
      <c r="Z216" s="191"/>
      <c r="AA216" s="191"/>
      <c r="AB216" s="191"/>
      <c r="AC216" s="191"/>
      <c r="AD216" s="191"/>
      <c r="AE216" s="191"/>
      <c r="AF216" s="191"/>
      <c r="AG216" s="191"/>
      <c r="AH216" s="191"/>
      <c r="AI216" s="127"/>
      <c r="AJ216" s="191"/>
      <c r="AK216" s="191"/>
      <c r="AL216" s="190"/>
      <c r="AM216" s="191"/>
      <c r="AQ216" s="194"/>
      <c r="AR216" s="127"/>
      <c r="AS216" s="194"/>
      <c r="AT216" s="194"/>
      <c r="AU216" s="194"/>
      <c r="AV216" s="194"/>
      <c r="AW216" s="194"/>
      <c r="AX216" s="194"/>
      <c r="AY216" s="193"/>
      <c r="AZ216" s="194"/>
      <c r="BA216" s="21"/>
      <c r="BE216" s="188" t="s">
        <v>1634</v>
      </c>
      <c r="BF216" s="188" t="s">
        <v>3943</v>
      </c>
      <c r="BG216" s="127">
        <v>42915</v>
      </c>
      <c r="BH216" s="188" t="s">
        <v>34</v>
      </c>
      <c r="BI216" s="188" t="s">
        <v>598</v>
      </c>
      <c r="BJ216" s="189">
        <v>3000</v>
      </c>
      <c r="BK216" s="188" t="s">
        <v>493</v>
      </c>
      <c r="BL216" s="188" t="s">
        <v>598</v>
      </c>
      <c r="BM216" s="189">
        <v>0</v>
      </c>
      <c r="BN216" s="188" t="s">
        <v>598</v>
      </c>
      <c r="BO216" s="127">
        <v>42790</v>
      </c>
      <c r="BP216" s="188" t="s">
        <v>134</v>
      </c>
      <c r="BQ216" s="188" t="s">
        <v>84</v>
      </c>
      <c r="BR216" s="188" t="s">
        <v>263</v>
      </c>
      <c r="BS216" s="188" t="s">
        <v>62</v>
      </c>
      <c r="BT216" s="188" t="s">
        <v>79</v>
      </c>
      <c r="BU216" s="188" t="s">
        <v>112</v>
      </c>
      <c r="BV216" s="188" t="s">
        <v>598</v>
      </c>
      <c r="BZ216" s="188">
        <v>215</v>
      </c>
      <c r="CA216" s="127">
        <v>42908</v>
      </c>
      <c r="CB216" s="188" t="s">
        <v>4461</v>
      </c>
      <c r="CC216" s="188" t="s">
        <v>275</v>
      </c>
      <c r="CD216" s="188" t="s">
        <v>79</v>
      </c>
      <c r="CE216" s="188" t="s">
        <v>92</v>
      </c>
      <c r="CF216" s="188" t="s">
        <v>10</v>
      </c>
      <c r="CG216" s="188"/>
      <c r="CH216" s="189">
        <v>4000</v>
      </c>
      <c r="CI216" s="188"/>
    </row>
    <row r="217" spans="5:87">
      <c r="E217" s="21"/>
      <c r="Q217" s="191"/>
      <c r="R217" s="191"/>
      <c r="S217" s="191"/>
      <c r="T217" s="127"/>
      <c r="U217" s="127"/>
      <c r="V217" s="191"/>
      <c r="W217" s="190"/>
      <c r="X217" s="191"/>
      <c r="Y217" s="191"/>
      <c r="Z217" s="191"/>
      <c r="AA217" s="191"/>
      <c r="AB217" s="191"/>
      <c r="AC217" s="191"/>
      <c r="AD217" s="191"/>
      <c r="AE217" s="191"/>
      <c r="AF217" s="191"/>
      <c r="AG217" s="191"/>
      <c r="AH217" s="191"/>
      <c r="AI217" s="127"/>
      <c r="AJ217" s="191"/>
      <c r="AK217" s="191"/>
      <c r="AL217" s="190"/>
      <c r="AM217" s="191"/>
      <c r="AQ217" s="194"/>
      <c r="AR217" s="127"/>
      <c r="AS217" s="194"/>
      <c r="AT217" s="194"/>
      <c r="AU217" s="194"/>
      <c r="AV217" s="194"/>
      <c r="AW217" s="194"/>
      <c r="AX217" s="194"/>
      <c r="AY217" s="193"/>
      <c r="AZ217" s="194"/>
      <c r="BA217" s="21"/>
      <c r="BE217" s="188" t="s">
        <v>1655</v>
      </c>
      <c r="BF217" s="188" t="s">
        <v>3944</v>
      </c>
      <c r="BG217" s="127">
        <v>42916</v>
      </c>
      <c r="BH217" s="188" t="s">
        <v>10</v>
      </c>
      <c r="BI217" s="188" t="s">
        <v>598</v>
      </c>
      <c r="BJ217" s="189">
        <v>10000</v>
      </c>
      <c r="BK217" s="188" t="s">
        <v>493</v>
      </c>
      <c r="BL217" s="188" t="s">
        <v>598</v>
      </c>
      <c r="BM217" s="189">
        <v>0</v>
      </c>
      <c r="BN217" s="188" t="s">
        <v>598</v>
      </c>
      <c r="BO217" s="127">
        <v>42805</v>
      </c>
      <c r="BP217" s="188" t="s">
        <v>134</v>
      </c>
      <c r="BQ217" s="188" t="s">
        <v>84</v>
      </c>
      <c r="BR217" s="188" t="s">
        <v>254</v>
      </c>
      <c r="BS217" s="188" t="s">
        <v>598</v>
      </c>
      <c r="BT217" s="188" t="s">
        <v>79</v>
      </c>
      <c r="BU217" s="188" t="s">
        <v>79</v>
      </c>
      <c r="BV217" s="188" t="s">
        <v>598</v>
      </c>
      <c r="BZ217" s="188">
        <v>216</v>
      </c>
      <c r="CA217" s="127">
        <v>42903</v>
      </c>
      <c r="CB217" s="188" t="s">
        <v>4462</v>
      </c>
      <c r="CC217" s="188" t="s">
        <v>275</v>
      </c>
      <c r="CD217" s="188" t="s">
        <v>42</v>
      </c>
      <c r="CE217" s="188" t="s">
        <v>84</v>
      </c>
      <c r="CF217" s="188" t="s">
        <v>10</v>
      </c>
      <c r="CG217" s="188"/>
      <c r="CH217" s="189">
        <v>4000</v>
      </c>
      <c r="CI217" s="188"/>
    </row>
    <row r="218" spans="5:87">
      <c r="E218" s="21"/>
      <c r="Q218" s="191"/>
      <c r="R218" s="191"/>
      <c r="S218" s="191"/>
      <c r="T218" s="127"/>
      <c r="U218" s="127"/>
      <c r="V218" s="191"/>
      <c r="W218" s="190"/>
      <c r="X218" s="191"/>
      <c r="Y218" s="191"/>
      <c r="Z218" s="191"/>
      <c r="AA218" s="191"/>
      <c r="AB218" s="191"/>
      <c r="AC218" s="191"/>
      <c r="AD218" s="191"/>
      <c r="AE218" s="191"/>
      <c r="AF218" s="191"/>
      <c r="AG218" s="191"/>
      <c r="AH218" s="191"/>
      <c r="AI218" s="127"/>
      <c r="AJ218" s="191"/>
      <c r="AK218" s="191"/>
      <c r="AL218" s="190"/>
      <c r="AM218" s="191"/>
      <c r="AQ218" s="194"/>
      <c r="AR218" s="127"/>
      <c r="AS218" s="194"/>
      <c r="AT218" s="194"/>
      <c r="AU218" s="194"/>
      <c r="AV218" s="194"/>
      <c r="AW218" s="194"/>
      <c r="AX218" s="194"/>
      <c r="AY218" s="193"/>
      <c r="AZ218" s="194"/>
      <c r="BA218" s="21"/>
      <c r="BE218" s="188" t="s">
        <v>1677</v>
      </c>
      <c r="BF218" s="188" t="s">
        <v>3945</v>
      </c>
      <c r="BG218" s="127">
        <v>42903</v>
      </c>
      <c r="BH218" s="188" t="s">
        <v>34</v>
      </c>
      <c r="BI218" s="188" t="s">
        <v>598</v>
      </c>
      <c r="BJ218" s="189">
        <v>2500</v>
      </c>
      <c r="BK218" s="188" t="s">
        <v>493</v>
      </c>
      <c r="BL218" s="188" t="s">
        <v>598</v>
      </c>
      <c r="BM218" s="189">
        <v>0</v>
      </c>
      <c r="BN218" s="188" t="s">
        <v>598</v>
      </c>
      <c r="BO218" s="127">
        <v>42818</v>
      </c>
      <c r="BP218" s="188" t="s">
        <v>134</v>
      </c>
      <c r="BQ218" s="188" t="s">
        <v>84</v>
      </c>
      <c r="BR218" s="188" t="s">
        <v>280</v>
      </c>
      <c r="BS218" s="188" t="s">
        <v>598</v>
      </c>
      <c r="BT218" s="188" t="s">
        <v>79</v>
      </c>
      <c r="BU218" s="188" t="s">
        <v>112</v>
      </c>
      <c r="BV218" s="188" t="s">
        <v>598</v>
      </c>
      <c r="BZ218" s="188">
        <v>217</v>
      </c>
      <c r="CA218" s="127">
        <v>42902</v>
      </c>
      <c r="CB218" s="188" t="s">
        <v>4463</v>
      </c>
      <c r="CC218" s="188" t="s">
        <v>275</v>
      </c>
      <c r="CD218" s="188" t="s">
        <v>42</v>
      </c>
      <c r="CE218" s="188" t="s">
        <v>84</v>
      </c>
      <c r="CF218" s="188" t="s">
        <v>34</v>
      </c>
      <c r="CG218" s="188"/>
      <c r="CH218" s="189">
        <v>1000</v>
      </c>
      <c r="CI218" s="188"/>
    </row>
    <row r="219" spans="5:87">
      <c r="E219" s="21"/>
      <c r="Q219" s="191"/>
      <c r="R219" s="191"/>
      <c r="S219" s="191"/>
      <c r="T219" s="127"/>
      <c r="U219" s="127"/>
      <c r="V219" s="191"/>
      <c r="W219" s="190"/>
      <c r="X219" s="191"/>
      <c r="Y219" s="191"/>
      <c r="Z219" s="191"/>
      <c r="AA219" s="191"/>
      <c r="AB219" s="191"/>
      <c r="AC219" s="191"/>
      <c r="AD219" s="191"/>
      <c r="AE219" s="191"/>
      <c r="AF219" s="191"/>
      <c r="AG219" s="191"/>
      <c r="AH219" s="191"/>
      <c r="AI219" s="127"/>
      <c r="AJ219" s="191"/>
      <c r="AK219" s="191"/>
      <c r="AL219" s="190"/>
      <c r="AM219" s="191"/>
      <c r="AQ219" s="194"/>
      <c r="AR219" s="127"/>
      <c r="AS219" s="194"/>
      <c r="AT219" s="194"/>
      <c r="AU219" s="194"/>
      <c r="AV219" s="194"/>
      <c r="AW219" s="194"/>
      <c r="AX219" s="194"/>
      <c r="AY219" s="193"/>
      <c r="AZ219" s="194"/>
      <c r="BA219" s="21"/>
      <c r="BE219" s="188" t="s">
        <v>1710</v>
      </c>
      <c r="BF219" s="188" t="s">
        <v>3946</v>
      </c>
      <c r="BG219" s="127">
        <v>42891</v>
      </c>
      <c r="BH219" s="188" t="s">
        <v>34</v>
      </c>
      <c r="BI219" s="188" t="s">
        <v>598</v>
      </c>
      <c r="BJ219" s="189">
        <v>7500</v>
      </c>
      <c r="BK219" s="188" t="s">
        <v>493</v>
      </c>
      <c r="BL219" s="188" t="s">
        <v>598</v>
      </c>
      <c r="BM219" s="189">
        <v>0</v>
      </c>
      <c r="BN219" s="188" t="s">
        <v>598</v>
      </c>
      <c r="BO219" s="127">
        <v>42837</v>
      </c>
      <c r="BP219" s="188" t="s">
        <v>598</v>
      </c>
      <c r="BQ219" s="188" t="s">
        <v>84</v>
      </c>
      <c r="BR219" s="188" t="s">
        <v>282</v>
      </c>
      <c r="BS219" s="188" t="s">
        <v>62</v>
      </c>
      <c r="BT219" s="188" t="s">
        <v>79</v>
      </c>
      <c r="BU219" s="188" t="s">
        <v>79</v>
      </c>
      <c r="BV219" s="188" t="s">
        <v>598</v>
      </c>
      <c r="BZ219" s="188">
        <v>218</v>
      </c>
      <c r="CA219" s="127">
        <v>42902</v>
      </c>
      <c r="CB219" s="188" t="s">
        <v>4464</v>
      </c>
      <c r="CC219" s="188" t="s">
        <v>275</v>
      </c>
      <c r="CD219" s="188" t="s">
        <v>42</v>
      </c>
      <c r="CE219" s="188" t="s">
        <v>84</v>
      </c>
      <c r="CF219" s="188" t="s">
        <v>34</v>
      </c>
      <c r="CG219" s="188"/>
      <c r="CH219" s="189">
        <v>1000</v>
      </c>
      <c r="CI219" s="188"/>
    </row>
    <row r="220" spans="5:87">
      <c r="E220" s="21"/>
      <c r="Q220" s="191"/>
      <c r="R220" s="191"/>
      <c r="S220" s="191"/>
      <c r="T220" s="127"/>
      <c r="U220" s="127"/>
      <c r="V220" s="191"/>
      <c r="W220" s="190"/>
      <c r="X220" s="191"/>
      <c r="Y220" s="191"/>
      <c r="Z220" s="191"/>
      <c r="AA220" s="191"/>
      <c r="AB220" s="191"/>
      <c r="AC220" s="191"/>
      <c r="AD220" s="191"/>
      <c r="AE220" s="191"/>
      <c r="AF220" s="191"/>
      <c r="AG220" s="191"/>
      <c r="AH220" s="191"/>
      <c r="AI220" s="127"/>
      <c r="AJ220" s="191"/>
      <c r="AK220" s="191"/>
      <c r="AL220" s="190"/>
      <c r="AM220" s="191"/>
      <c r="AQ220" s="194"/>
      <c r="AR220" s="127"/>
      <c r="AS220" s="194"/>
      <c r="AT220" s="194"/>
      <c r="AU220" s="194"/>
      <c r="AV220" s="194"/>
      <c r="AW220" s="194"/>
      <c r="AX220" s="194"/>
      <c r="AY220" s="193"/>
      <c r="AZ220" s="194"/>
      <c r="BA220" s="21"/>
      <c r="BE220" s="188" t="s">
        <v>1712</v>
      </c>
      <c r="BF220" s="188" t="s">
        <v>3947</v>
      </c>
      <c r="BG220" s="127">
        <v>42891</v>
      </c>
      <c r="BH220" s="188" t="s">
        <v>34</v>
      </c>
      <c r="BI220" s="188" t="s">
        <v>598</v>
      </c>
      <c r="BJ220" s="189">
        <v>7500</v>
      </c>
      <c r="BK220" s="188" t="s">
        <v>493</v>
      </c>
      <c r="BL220" s="188" t="s">
        <v>598</v>
      </c>
      <c r="BM220" s="189">
        <v>0</v>
      </c>
      <c r="BN220" s="188" t="s">
        <v>598</v>
      </c>
      <c r="BO220" s="127">
        <v>42837</v>
      </c>
      <c r="BP220" s="188" t="s">
        <v>598</v>
      </c>
      <c r="BQ220" s="188" t="s">
        <v>84</v>
      </c>
      <c r="BR220" s="188" t="s">
        <v>282</v>
      </c>
      <c r="BS220" s="188" t="s">
        <v>62</v>
      </c>
      <c r="BT220" s="188" t="s">
        <v>79</v>
      </c>
      <c r="BU220" s="188" t="s">
        <v>79</v>
      </c>
      <c r="BV220" s="188" t="s">
        <v>598</v>
      </c>
      <c r="BZ220" s="188">
        <v>219</v>
      </c>
      <c r="CA220" s="127">
        <v>42902</v>
      </c>
      <c r="CB220" s="188" t="s">
        <v>4465</v>
      </c>
      <c r="CC220" s="188" t="s">
        <v>275</v>
      </c>
      <c r="CD220" s="188" t="s">
        <v>42</v>
      </c>
      <c r="CE220" s="188" t="s">
        <v>84</v>
      </c>
      <c r="CF220" s="188" t="s">
        <v>34</v>
      </c>
      <c r="CG220" s="188"/>
      <c r="CH220" s="189">
        <v>1000</v>
      </c>
      <c r="CI220" s="188"/>
    </row>
    <row r="221" spans="5:87">
      <c r="E221" s="21"/>
      <c r="Q221" s="191"/>
      <c r="R221" s="191"/>
      <c r="S221" s="191"/>
      <c r="T221" s="127"/>
      <c r="U221" s="127"/>
      <c r="V221" s="191"/>
      <c r="W221" s="190"/>
      <c r="X221" s="191"/>
      <c r="Y221" s="191"/>
      <c r="Z221" s="191"/>
      <c r="AA221" s="191"/>
      <c r="AB221" s="191"/>
      <c r="AC221" s="191"/>
      <c r="AD221" s="191"/>
      <c r="AE221" s="191"/>
      <c r="AF221" s="191"/>
      <c r="AG221" s="191"/>
      <c r="AH221" s="191"/>
      <c r="AI221" s="127"/>
      <c r="AJ221" s="191"/>
      <c r="AK221" s="191"/>
      <c r="AL221" s="190"/>
      <c r="AM221" s="191"/>
      <c r="AQ221" s="194"/>
      <c r="AR221" s="127"/>
      <c r="AS221" s="194"/>
      <c r="AT221" s="194"/>
      <c r="AU221" s="194"/>
      <c r="AV221" s="194"/>
      <c r="AW221" s="194"/>
      <c r="AX221" s="194"/>
      <c r="AY221" s="193"/>
      <c r="AZ221" s="194"/>
      <c r="BA221" s="21"/>
      <c r="BE221" s="188" t="s">
        <v>1719</v>
      </c>
      <c r="BF221" s="188" t="s">
        <v>3948</v>
      </c>
      <c r="BG221" s="127">
        <v>42894</v>
      </c>
      <c r="BH221" s="188" t="s">
        <v>34</v>
      </c>
      <c r="BI221" s="188" t="s">
        <v>598</v>
      </c>
      <c r="BJ221" s="189">
        <v>3000</v>
      </c>
      <c r="BK221" s="188" t="s">
        <v>493</v>
      </c>
      <c r="BL221" s="188" t="s">
        <v>598</v>
      </c>
      <c r="BM221" s="189">
        <v>0</v>
      </c>
      <c r="BN221" s="188" t="s">
        <v>598</v>
      </c>
      <c r="BO221" s="127">
        <v>42846</v>
      </c>
      <c r="BP221" s="188" t="s">
        <v>132</v>
      </c>
      <c r="BQ221" s="188" t="s">
        <v>84</v>
      </c>
      <c r="BR221" s="188" t="s">
        <v>283</v>
      </c>
      <c r="BS221" s="188" t="s">
        <v>598</v>
      </c>
      <c r="BT221" s="188" t="s">
        <v>79</v>
      </c>
      <c r="BU221" s="188" t="s">
        <v>112</v>
      </c>
      <c r="BV221" s="188" t="s">
        <v>598</v>
      </c>
      <c r="BZ221" s="188">
        <v>220</v>
      </c>
      <c r="CA221" s="127">
        <v>42902</v>
      </c>
      <c r="CB221" s="188" t="s">
        <v>4466</v>
      </c>
      <c r="CC221" s="188" t="s">
        <v>275</v>
      </c>
      <c r="CD221" s="188" t="s">
        <v>42</v>
      </c>
      <c r="CE221" s="188" t="s">
        <v>84</v>
      </c>
      <c r="CF221" s="188" t="s">
        <v>34</v>
      </c>
      <c r="CG221" s="188"/>
      <c r="CH221" s="189">
        <v>1000</v>
      </c>
      <c r="CI221" s="188"/>
    </row>
    <row r="222" spans="5:87">
      <c r="E222" s="21"/>
      <c r="Q222" s="191"/>
      <c r="R222" s="191"/>
      <c r="S222" s="191"/>
      <c r="T222" s="127"/>
      <c r="U222" s="127"/>
      <c r="V222" s="191"/>
      <c r="W222" s="190"/>
      <c r="X222" s="191"/>
      <c r="Y222" s="191"/>
      <c r="Z222" s="191"/>
      <c r="AA222" s="191"/>
      <c r="AB222" s="191"/>
      <c r="AC222" s="191"/>
      <c r="AD222" s="191"/>
      <c r="AE222" s="191"/>
      <c r="AF222" s="191"/>
      <c r="AG222" s="191"/>
      <c r="AH222" s="191"/>
      <c r="AI222" s="127"/>
      <c r="AJ222" s="191"/>
      <c r="AK222" s="191"/>
      <c r="AL222" s="190"/>
      <c r="AM222" s="191"/>
      <c r="AQ222" s="194"/>
      <c r="AR222" s="127"/>
      <c r="AS222" s="194"/>
      <c r="AT222" s="194"/>
      <c r="AU222" s="194"/>
      <c r="AV222" s="194"/>
      <c r="AW222" s="194"/>
      <c r="AX222" s="194"/>
      <c r="AY222" s="193"/>
      <c r="AZ222" s="194"/>
      <c r="BA222" s="21"/>
      <c r="BE222" s="188" t="s">
        <v>1721</v>
      </c>
      <c r="BF222" s="188" t="s">
        <v>3949</v>
      </c>
      <c r="BG222" s="127">
        <v>42914</v>
      </c>
      <c r="BH222" s="188" t="s">
        <v>10</v>
      </c>
      <c r="BI222" s="188" t="s">
        <v>598</v>
      </c>
      <c r="BJ222" s="189">
        <v>2000</v>
      </c>
      <c r="BK222" s="188" t="s">
        <v>493</v>
      </c>
      <c r="BL222" s="188" t="s">
        <v>598</v>
      </c>
      <c r="BM222" s="189">
        <v>0</v>
      </c>
      <c r="BN222" s="188" t="s">
        <v>598</v>
      </c>
      <c r="BO222" s="127">
        <v>42847</v>
      </c>
      <c r="BP222" s="188" t="s">
        <v>134</v>
      </c>
      <c r="BQ222" s="188" t="s">
        <v>84</v>
      </c>
      <c r="BR222" s="188" t="s">
        <v>254</v>
      </c>
      <c r="BS222" s="188" t="s">
        <v>598</v>
      </c>
      <c r="BT222" s="188" t="s">
        <v>79</v>
      </c>
      <c r="BU222" s="188" t="s">
        <v>79</v>
      </c>
      <c r="BV222" s="188" t="s">
        <v>598</v>
      </c>
      <c r="BZ222" s="188">
        <v>221</v>
      </c>
      <c r="CA222" s="127">
        <v>42902</v>
      </c>
      <c r="CB222" s="188" t="s">
        <v>4467</v>
      </c>
      <c r="CC222" s="188" t="s">
        <v>275</v>
      </c>
      <c r="CD222" s="188" t="s">
        <v>42</v>
      </c>
      <c r="CE222" s="188" t="s">
        <v>84</v>
      </c>
      <c r="CF222" s="188" t="s">
        <v>34</v>
      </c>
      <c r="CG222" s="188"/>
      <c r="CH222" s="189">
        <v>1000</v>
      </c>
      <c r="CI222" s="188"/>
    </row>
    <row r="223" spans="5:87">
      <c r="E223" s="21"/>
      <c r="Q223" s="191"/>
      <c r="R223" s="191"/>
      <c r="S223" s="191"/>
      <c r="T223" s="127"/>
      <c r="U223" s="127"/>
      <c r="V223" s="191"/>
      <c r="W223" s="190"/>
      <c r="X223" s="191"/>
      <c r="Y223" s="191"/>
      <c r="Z223" s="191"/>
      <c r="AA223" s="191"/>
      <c r="AB223" s="191"/>
      <c r="AC223" s="191"/>
      <c r="AD223" s="191"/>
      <c r="AE223" s="191"/>
      <c r="AF223" s="191"/>
      <c r="AG223" s="191"/>
      <c r="AH223" s="191"/>
      <c r="AI223" s="127"/>
      <c r="AJ223" s="191"/>
      <c r="AK223" s="191"/>
      <c r="AL223" s="190"/>
      <c r="AM223" s="191"/>
      <c r="AQ223" s="194"/>
      <c r="AR223" s="127"/>
      <c r="AS223" s="194"/>
      <c r="AT223" s="194"/>
      <c r="AU223" s="194"/>
      <c r="AV223" s="194"/>
      <c r="AW223" s="194"/>
      <c r="AX223" s="194"/>
      <c r="AY223" s="193"/>
      <c r="AZ223" s="194"/>
      <c r="BA223" s="21"/>
      <c r="BE223" s="188" t="s">
        <v>1745</v>
      </c>
      <c r="BF223" s="188" t="s">
        <v>3950</v>
      </c>
      <c r="BG223" s="127">
        <v>42894</v>
      </c>
      <c r="BH223" s="188" t="s">
        <v>34</v>
      </c>
      <c r="BI223" s="188" t="s">
        <v>598</v>
      </c>
      <c r="BJ223" s="189">
        <v>3000</v>
      </c>
      <c r="BK223" s="188" t="s">
        <v>493</v>
      </c>
      <c r="BL223" s="188" t="s">
        <v>598</v>
      </c>
      <c r="BM223" s="189">
        <v>0</v>
      </c>
      <c r="BN223" s="188" t="s">
        <v>598</v>
      </c>
      <c r="BO223" s="127">
        <v>42859</v>
      </c>
      <c r="BP223" s="188" t="s">
        <v>96</v>
      </c>
      <c r="BQ223" s="188" t="s">
        <v>84</v>
      </c>
      <c r="BR223" s="188" t="s">
        <v>259</v>
      </c>
      <c r="BS223" s="188" t="s">
        <v>598</v>
      </c>
      <c r="BT223" s="188" t="s">
        <v>79</v>
      </c>
      <c r="BU223" s="188" t="s">
        <v>112</v>
      </c>
      <c r="BV223" s="188" t="s">
        <v>598</v>
      </c>
      <c r="BZ223" s="188">
        <v>222</v>
      </c>
      <c r="CA223" s="127">
        <v>42895</v>
      </c>
      <c r="CB223" s="188" t="s">
        <v>4468</v>
      </c>
      <c r="CC223" s="188" t="s">
        <v>275</v>
      </c>
      <c r="CD223" s="188" t="s">
        <v>42</v>
      </c>
      <c r="CE223" s="188" t="s">
        <v>84</v>
      </c>
      <c r="CF223" s="188" t="s">
        <v>10</v>
      </c>
      <c r="CG223" s="188"/>
      <c r="CH223" s="189">
        <v>2000</v>
      </c>
      <c r="CI223" s="188"/>
    </row>
    <row r="224" spans="5:87">
      <c r="E224" s="21"/>
      <c r="Q224" s="191"/>
      <c r="R224" s="191"/>
      <c r="S224" s="191"/>
      <c r="T224" s="127"/>
      <c r="U224" s="127"/>
      <c r="V224" s="191"/>
      <c r="W224" s="190"/>
      <c r="X224" s="191"/>
      <c r="Y224" s="191"/>
      <c r="Z224" s="191"/>
      <c r="AA224" s="191"/>
      <c r="AB224" s="191"/>
      <c r="AC224" s="191"/>
      <c r="AD224" s="191"/>
      <c r="AE224" s="191"/>
      <c r="AF224" s="191"/>
      <c r="AG224" s="191"/>
      <c r="AH224" s="191"/>
      <c r="AI224" s="127"/>
      <c r="AJ224" s="191"/>
      <c r="AK224" s="191"/>
      <c r="AL224" s="190"/>
      <c r="AM224" s="191"/>
      <c r="AQ224" s="194"/>
      <c r="AR224" s="127"/>
      <c r="AS224" s="194"/>
      <c r="AT224" s="194"/>
      <c r="AU224" s="194"/>
      <c r="AV224" s="194"/>
      <c r="AW224" s="194"/>
      <c r="AX224" s="194"/>
      <c r="AY224" s="193"/>
      <c r="AZ224" s="194"/>
      <c r="BA224" s="21"/>
      <c r="BE224" s="188" t="s">
        <v>1755</v>
      </c>
      <c r="BF224" s="188" t="s">
        <v>3951</v>
      </c>
      <c r="BG224" s="127">
        <v>42891</v>
      </c>
      <c r="BH224" s="188" t="s">
        <v>34</v>
      </c>
      <c r="BI224" s="188" t="s">
        <v>598</v>
      </c>
      <c r="BJ224" s="189">
        <v>10000</v>
      </c>
      <c r="BK224" s="188" t="s">
        <v>493</v>
      </c>
      <c r="BL224" s="188" t="s">
        <v>598</v>
      </c>
      <c r="BM224" s="189">
        <v>0</v>
      </c>
      <c r="BN224" s="188" t="s">
        <v>598</v>
      </c>
      <c r="BO224" s="127">
        <v>42865</v>
      </c>
      <c r="BP224" s="188" t="s">
        <v>129</v>
      </c>
      <c r="BQ224" s="188" t="s">
        <v>84</v>
      </c>
      <c r="BR224" s="188" t="s">
        <v>282</v>
      </c>
      <c r="BS224" s="188" t="s">
        <v>598</v>
      </c>
      <c r="BT224" s="188" t="s">
        <v>79</v>
      </c>
      <c r="BU224" s="188" t="s">
        <v>79</v>
      </c>
      <c r="BV224" s="188" t="s">
        <v>598</v>
      </c>
      <c r="BZ224" s="188">
        <v>223</v>
      </c>
      <c r="CA224" s="127">
        <v>42895</v>
      </c>
      <c r="CB224" s="188" t="s">
        <v>4469</v>
      </c>
      <c r="CC224" s="188" t="s">
        <v>275</v>
      </c>
      <c r="CD224" s="188" t="s">
        <v>42</v>
      </c>
      <c r="CE224" s="188" t="s">
        <v>84</v>
      </c>
      <c r="CF224" s="188" t="s">
        <v>10</v>
      </c>
      <c r="CG224" s="188"/>
      <c r="CH224" s="189">
        <v>2000</v>
      </c>
      <c r="CI224" s="188"/>
    </row>
    <row r="225" spans="5:87">
      <c r="E225" s="21"/>
      <c r="Q225" s="191"/>
      <c r="R225" s="191"/>
      <c r="S225" s="191"/>
      <c r="T225" s="127"/>
      <c r="U225" s="127"/>
      <c r="V225" s="191"/>
      <c r="W225" s="190"/>
      <c r="X225" s="191"/>
      <c r="Y225" s="191"/>
      <c r="Z225" s="191"/>
      <c r="AA225" s="191"/>
      <c r="AB225" s="191"/>
      <c r="AC225" s="191"/>
      <c r="AD225" s="191"/>
      <c r="AE225" s="191"/>
      <c r="AF225" s="191"/>
      <c r="AG225" s="191"/>
      <c r="AH225" s="191"/>
      <c r="AI225" s="127"/>
      <c r="AJ225" s="191"/>
      <c r="AK225" s="191"/>
      <c r="AL225" s="190"/>
      <c r="AM225" s="191"/>
      <c r="AQ225" s="194"/>
      <c r="AR225" s="127"/>
      <c r="AS225" s="194"/>
      <c r="AT225" s="194"/>
      <c r="AU225" s="194"/>
      <c r="AV225" s="194"/>
      <c r="AW225" s="194"/>
      <c r="AX225" s="194"/>
      <c r="AY225" s="193"/>
      <c r="AZ225" s="194"/>
      <c r="BA225" s="21"/>
      <c r="BE225" s="188" t="s">
        <v>1770</v>
      </c>
      <c r="BF225" s="188" t="s">
        <v>3952</v>
      </c>
      <c r="BG225" s="127">
        <v>42891</v>
      </c>
      <c r="BH225" s="188" t="s">
        <v>34</v>
      </c>
      <c r="BI225" s="188" t="s">
        <v>598</v>
      </c>
      <c r="BJ225" s="189">
        <v>10000</v>
      </c>
      <c r="BK225" s="188" t="s">
        <v>493</v>
      </c>
      <c r="BL225" s="188" t="s">
        <v>598</v>
      </c>
      <c r="BM225" s="189">
        <v>0</v>
      </c>
      <c r="BN225" s="188" t="s">
        <v>598</v>
      </c>
      <c r="BO225" s="127">
        <v>42872</v>
      </c>
      <c r="BP225" s="188" t="s">
        <v>598</v>
      </c>
      <c r="BQ225" s="188" t="s">
        <v>84</v>
      </c>
      <c r="BR225" s="188" t="s">
        <v>282</v>
      </c>
      <c r="BS225" s="188" t="s">
        <v>598</v>
      </c>
      <c r="BT225" s="188" t="s">
        <v>79</v>
      </c>
      <c r="BU225" s="188" t="s">
        <v>79</v>
      </c>
      <c r="BV225" s="188" t="s">
        <v>598</v>
      </c>
      <c r="BZ225" s="188">
        <v>224</v>
      </c>
      <c r="CA225" s="127">
        <v>42907</v>
      </c>
      <c r="CB225" s="188" t="s">
        <v>4470</v>
      </c>
      <c r="CC225" s="188" t="s">
        <v>275</v>
      </c>
      <c r="CD225" s="188" t="s">
        <v>85</v>
      </c>
      <c r="CE225" s="188" t="s">
        <v>84</v>
      </c>
      <c r="CF225" s="188" t="s">
        <v>34</v>
      </c>
      <c r="CG225" s="188"/>
      <c r="CH225" s="189">
        <v>2500</v>
      </c>
      <c r="CI225" s="188"/>
    </row>
    <row r="226" spans="5:87">
      <c r="E226" s="21"/>
      <c r="Q226" s="191"/>
      <c r="R226" s="191"/>
      <c r="S226" s="191"/>
      <c r="T226" s="127"/>
      <c r="U226" s="127"/>
      <c r="V226" s="191"/>
      <c r="W226" s="190"/>
      <c r="X226" s="191"/>
      <c r="Y226" s="191"/>
      <c r="Z226" s="191"/>
      <c r="AA226" s="191"/>
      <c r="AB226" s="191"/>
      <c r="AC226" s="191"/>
      <c r="AD226" s="191"/>
      <c r="AE226" s="191"/>
      <c r="AF226" s="191"/>
      <c r="AG226" s="191"/>
      <c r="AH226" s="191"/>
      <c r="AI226" s="127"/>
      <c r="AJ226" s="191"/>
      <c r="AK226" s="191"/>
      <c r="AL226" s="190"/>
      <c r="AM226" s="191"/>
      <c r="AQ226" s="194"/>
      <c r="AR226" s="127"/>
      <c r="AS226" s="194"/>
      <c r="AT226" s="194"/>
      <c r="AU226" s="194"/>
      <c r="AV226" s="194"/>
      <c r="AW226" s="194"/>
      <c r="AX226" s="194"/>
      <c r="AY226" s="193"/>
      <c r="AZ226" s="194"/>
      <c r="BA226" s="21"/>
      <c r="BE226" s="188" t="s">
        <v>1773</v>
      </c>
      <c r="BF226" s="188" t="s">
        <v>3953</v>
      </c>
      <c r="BG226" s="127">
        <v>42898</v>
      </c>
      <c r="BH226" s="188" t="s">
        <v>10</v>
      </c>
      <c r="BI226" s="188" t="s">
        <v>598</v>
      </c>
      <c r="BJ226" s="189">
        <v>3000</v>
      </c>
      <c r="BK226" s="188" t="s">
        <v>493</v>
      </c>
      <c r="BL226" s="188" t="s">
        <v>598</v>
      </c>
      <c r="BM226" s="189">
        <v>0</v>
      </c>
      <c r="BN226" s="188" t="s">
        <v>598</v>
      </c>
      <c r="BO226" s="127">
        <v>42874</v>
      </c>
      <c r="BP226" s="188" t="s">
        <v>122</v>
      </c>
      <c r="BQ226" s="188" t="s">
        <v>84</v>
      </c>
      <c r="BR226" s="188" t="s">
        <v>284</v>
      </c>
      <c r="BS226" s="188" t="s">
        <v>598</v>
      </c>
      <c r="BT226" s="188" t="s">
        <v>79</v>
      </c>
      <c r="BU226" s="188" t="s">
        <v>112</v>
      </c>
      <c r="BV226" s="188" t="s">
        <v>598</v>
      </c>
      <c r="BZ226" s="188">
        <v>225</v>
      </c>
      <c r="CA226" s="127">
        <v>42894</v>
      </c>
      <c r="CB226" s="188" t="s">
        <v>4471</v>
      </c>
      <c r="CC226" s="188" t="s">
        <v>275</v>
      </c>
      <c r="CD226" s="188" t="s">
        <v>85</v>
      </c>
      <c r="CE226" s="188" t="s">
        <v>84</v>
      </c>
      <c r="CF226" s="188" t="s">
        <v>34</v>
      </c>
      <c r="CG226" s="188"/>
      <c r="CH226" s="189">
        <v>2000</v>
      </c>
      <c r="CI226" s="188"/>
    </row>
    <row r="227" spans="5:87">
      <c r="E227" s="21"/>
      <c r="Q227" s="191"/>
      <c r="R227" s="191"/>
      <c r="S227" s="191"/>
      <c r="T227" s="127"/>
      <c r="U227" s="127"/>
      <c r="V227" s="191"/>
      <c r="W227" s="190"/>
      <c r="X227" s="191"/>
      <c r="Y227" s="191"/>
      <c r="Z227" s="191"/>
      <c r="AA227" s="191"/>
      <c r="AB227" s="191"/>
      <c r="AC227" s="191"/>
      <c r="AD227" s="191"/>
      <c r="AE227" s="191"/>
      <c r="AF227" s="191"/>
      <c r="AG227" s="191"/>
      <c r="AH227" s="191"/>
      <c r="AI227" s="127"/>
      <c r="AJ227" s="191"/>
      <c r="AK227" s="191"/>
      <c r="AL227" s="190"/>
      <c r="AM227" s="191"/>
      <c r="AQ227" s="194"/>
      <c r="AR227" s="127"/>
      <c r="AS227" s="194"/>
      <c r="AT227" s="194"/>
      <c r="AU227" s="194"/>
      <c r="AV227" s="194"/>
      <c r="AW227" s="194"/>
      <c r="AX227" s="194"/>
      <c r="AY227" s="193"/>
      <c r="AZ227" s="194"/>
      <c r="BA227" s="21"/>
      <c r="BE227" s="188" t="s">
        <v>1776</v>
      </c>
      <c r="BF227" s="188" t="s">
        <v>3954</v>
      </c>
      <c r="BG227" s="127">
        <v>42888</v>
      </c>
      <c r="BH227" s="188" t="s">
        <v>10</v>
      </c>
      <c r="BI227" s="188" t="s">
        <v>598</v>
      </c>
      <c r="BJ227" s="189">
        <v>3000</v>
      </c>
      <c r="BK227" s="188" t="s">
        <v>493</v>
      </c>
      <c r="BL227" s="188" t="s">
        <v>598</v>
      </c>
      <c r="BM227" s="189">
        <v>0</v>
      </c>
      <c r="BN227" s="188" t="s">
        <v>598</v>
      </c>
      <c r="BO227" s="127">
        <v>42877</v>
      </c>
      <c r="BP227" s="188" t="s">
        <v>134</v>
      </c>
      <c r="BQ227" s="188" t="s">
        <v>84</v>
      </c>
      <c r="BR227" s="188" t="s">
        <v>598</v>
      </c>
      <c r="BS227" s="188" t="s">
        <v>50</v>
      </c>
      <c r="BT227" s="188" t="s">
        <v>79</v>
      </c>
      <c r="BU227" s="188" t="s">
        <v>112</v>
      </c>
      <c r="BV227" s="188" t="s">
        <v>598</v>
      </c>
      <c r="BZ227" s="188">
        <v>226</v>
      </c>
      <c r="CA227" s="127">
        <v>42860</v>
      </c>
      <c r="CB227" s="188" t="s">
        <v>4472</v>
      </c>
      <c r="CC227" s="188" t="s">
        <v>275</v>
      </c>
      <c r="CD227" s="188" t="s">
        <v>63</v>
      </c>
      <c r="CE227" s="188" t="s">
        <v>38</v>
      </c>
      <c r="CF227" s="188" t="s">
        <v>10</v>
      </c>
      <c r="CG227" s="188"/>
      <c r="CH227" s="189">
        <v>3600</v>
      </c>
      <c r="CI227" s="188"/>
    </row>
    <row r="228" spans="5:87">
      <c r="E228" s="21"/>
      <c r="Q228" s="191"/>
      <c r="R228" s="191"/>
      <c r="S228" s="191"/>
      <c r="T228" s="127"/>
      <c r="U228" s="127"/>
      <c r="V228" s="191"/>
      <c r="W228" s="190"/>
      <c r="X228" s="191"/>
      <c r="Y228" s="191"/>
      <c r="Z228" s="191"/>
      <c r="AA228" s="191"/>
      <c r="AB228" s="191"/>
      <c r="AC228" s="191"/>
      <c r="AD228" s="191"/>
      <c r="AE228" s="191"/>
      <c r="AF228" s="191"/>
      <c r="AG228" s="191"/>
      <c r="AH228" s="191"/>
      <c r="AI228" s="127"/>
      <c r="AJ228" s="191"/>
      <c r="AK228" s="191"/>
      <c r="AL228" s="190"/>
      <c r="AM228" s="191"/>
      <c r="AQ228" s="194"/>
      <c r="AR228" s="127"/>
      <c r="AS228" s="194"/>
      <c r="AT228" s="194"/>
      <c r="AU228" s="194"/>
      <c r="AV228" s="194"/>
      <c r="AW228" s="194"/>
      <c r="AX228" s="194"/>
      <c r="AY228" s="193"/>
      <c r="AZ228" s="194"/>
      <c r="BA228" s="21"/>
      <c r="BE228" s="188" t="s">
        <v>1789</v>
      </c>
      <c r="BF228" s="188" t="s">
        <v>3955</v>
      </c>
      <c r="BG228" s="127">
        <v>42887</v>
      </c>
      <c r="BH228" s="188" t="s">
        <v>10</v>
      </c>
      <c r="BI228" s="188" t="s">
        <v>598</v>
      </c>
      <c r="BJ228" s="189">
        <v>5000</v>
      </c>
      <c r="BK228" s="188" t="s">
        <v>493</v>
      </c>
      <c r="BL228" s="188" t="s">
        <v>598</v>
      </c>
      <c r="BM228" s="189">
        <v>0</v>
      </c>
      <c r="BN228" s="188" t="s">
        <v>598</v>
      </c>
      <c r="BO228" s="127">
        <v>42880</v>
      </c>
      <c r="BP228" s="188" t="s">
        <v>132</v>
      </c>
      <c r="BQ228" s="188" t="s">
        <v>84</v>
      </c>
      <c r="BR228" s="188" t="s">
        <v>252</v>
      </c>
      <c r="BS228" s="188" t="s">
        <v>598</v>
      </c>
      <c r="BT228" s="188" t="s">
        <v>79</v>
      </c>
      <c r="BU228" s="188" t="s">
        <v>112</v>
      </c>
      <c r="BV228" s="188" t="s">
        <v>598</v>
      </c>
      <c r="BZ228" s="188">
        <v>227</v>
      </c>
      <c r="CA228" s="127">
        <v>42864</v>
      </c>
      <c r="CB228" s="188" t="s">
        <v>4473</v>
      </c>
      <c r="CC228" s="188" t="s">
        <v>275</v>
      </c>
      <c r="CD228" s="188" t="s">
        <v>63</v>
      </c>
      <c r="CE228" s="188" t="s">
        <v>38</v>
      </c>
      <c r="CF228" s="188" t="s">
        <v>10</v>
      </c>
      <c r="CG228" s="188"/>
      <c r="CH228" s="189">
        <v>11700</v>
      </c>
      <c r="CI228" s="188"/>
    </row>
    <row r="229" spans="5:87">
      <c r="E229" s="21"/>
      <c r="Q229" s="191"/>
      <c r="R229" s="191"/>
      <c r="S229" s="191"/>
      <c r="T229" s="127"/>
      <c r="U229" s="127"/>
      <c r="V229" s="191"/>
      <c r="W229" s="190"/>
      <c r="X229" s="191"/>
      <c r="Y229" s="191"/>
      <c r="Z229" s="191"/>
      <c r="AA229" s="191"/>
      <c r="AB229" s="191"/>
      <c r="AC229" s="191"/>
      <c r="AD229" s="191"/>
      <c r="AE229" s="191"/>
      <c r="AF229" s="191"/>
      <c r="AG229" s="191"/>
      <c r="AH229" s="191"/>
      <c r="AI229" s="127"/>
      <c r="AJ229" s="191"/>
      <c r="AK229" s="191"/>
      <c r="AL229" s="190"/>
      <c r="AM229" s="191"/>
      <c r="AQ229" s="194"/>
      <c r="AR229" s="127"/>
      <c r="AS229" s="194"/>
      <c r="AT229" s="194"/>
      <c r="AU229" s="194"/>
      <c r="AV229" s="194"/>
      <c r="AW229" s="194"/>
      <c r="AX229" s="194"/>
      <c r="AY229" s="193"/>
      <c r="AZ229" s="194"/>
      <c r="BA229" s="21"/>
      <c r="BE229" s="188" t="s">
        <v>1791</v>
      </c>
      <c r="BF229" s="188" t="s">
        <v>3956</v>
      </c>
      <c r="BG229" s="127">
        <v>42888</v>
      </c>
      <c r="BH229" s="188" t="s">
        <v>10</v>
      </c>
      <c r="BI229" s="188" t="s">
        <v>598</v>
      </c>
      <c r="BJ229" s="189">
        <v>5000</v>
      </c>
      <c r="BK229" s="188" t="s">
        <v>493</v>
      </c>
      <c r="BL229" s="188" t="s">
        <v>598</v>
      </c>
      <c r="BM229" s="189">
        <v>0</v>
      </c>
      <c r="BN229" s="188" t="s">
        <v>598</v>
      </c>
      <c r="BO229" s="127">
        <v>42881</v>
      </c>
      <c r="BP229" s="188" t="s">
        <v>132</v>
      </c>
      <c r="BQ229" s="188" t="s">
        <v>84</v>
      </c>
      <c r="BR229" s="188" t="s">
        <v>252</v>
      </c>
      <c r="BS229" s="188" t="s">
        <v>598</v>
      </c>
      <c r="BT229" s="188" t="s">
        <v>79</v>
      </c>
      <c r="BU229" s="188" t="s">
        <v>79</v>
      </c>
      <c r="BV229" s="188" t="s">
        <v>598</v>
      </c>
      <c r="BZ229" s="188">
        <v>228</v>
      </c>
      <c r="CA229" s="127">
        <v>42871</v>
      </c>
      <c r="CB229" s="188" t="s">
        <v>4474</v>
      </c>
      <c r="CC229" s="188" t="s">
        <v>275</v>
      </c>
      <c r="CD229" s="188" t="s">
        <v>63</v>
      </c>
      <c r="CE229" s="188" t="s">
        <v>38</v>
      </c>
      <c r="CF229" s="188" t="s">
        <v>10</v>
      </c>
      <c r="CG229" s="188"/>
      <c r="CH229" s="189">
        <v>2700</v>
      </c>
      <c r="CI229" s="188"/>
    </row>
    <row r="230" spans="5:87">
      <c r="E230" s="21"/>
      <c r="Q230" s="191"/>
      <c r="R230" s="191"/>
      <c r="S230" s="191"/>
      <c r="T230" s="127"/>
      <c r="U230" s="127"/>
      <c r="V230" s="191"/>
      <c r="W230" s="190"/>
      <c r="X230" s="191"/>
      <c r="Y230" s="191"/>
      <c r="Z230" s="191"/>
      <c r="AA230" s="191"/>
      <c r="AB230" s="191"/>
      <c r="AC230" s="191"/>
      <c r="AD230" s="191"/>
      <c r="AE230" s="191"/>
      <c r="AF230" s="191"/>
      <c r="AG230" s="191"/>
      <c r="AH230" s="191"/>
      <c r="AI230" s="127"/>
      <c r="AJ230" s="191"/>
      <c r="AK230" s="191"/>
      <c r="AL230" s="190"/>
      <c r="AM230" s="191"/>
      <c r="AQ230" s="194"/>
      <c r="AR230" s="127"/>
      <c r="AS230" s="194"/>
      <c r="AT230" s="194"/>
      <c r="AU230" s="194"/>
      <c r="AV230" s="194"/>
      <c r="AW230" s="194"/>
      <c r="AX230" s="194"/>
      <c r="AY230" s="193"/>
      <c r="AZ230" s="194"/>
      <c r="BA230" s="21"/>
      <c r="BE230" s="188" t="s">
        <v>1799</v>
      </c>
      <c r="BF230" s="188" t="s">
        <v>3957</v>
      </c>
      <c r="BG230" s="127">
        <v>42907</v>
      </c>
      <c r="BH230" s="188" t="s">
        <v>10</v>
      </c>
      <c r="BI230" s="188" t="s">
        <v>598</v>
      </c>
      <c r="BJ230" s="189">
        <v>3000</v>
      </c>
      <c r="BK230" s="188" t="s">
        <v>493</v>
      </c>
      <c r="BL230" s="188" t="s">
        <v>598</v>
      </c>
      <c r="BM230" s="189">
        <v>0</v>
      </c>
      <c r="BN230" s="188" t="s">
        <v>598</v>
      </c>
      <c r="BO230" s="127">
        <v>42882</v>
      </c>
      <c r="BP230" s="188" t="s">
        <v>132</v>
      </c>
      <c r="BQ230" s="188" t="s">
        <v>84</v>
      </c>
      <c r="BR230" s="188" t="s">
        <v>252</v>
      </c>
      <c r="BS230" s="188" t="s">
        <v>598</v>
      </c>
      <c r="BT230" s="188" t="s">
        <v>79</v>
      </c>
      <c r="BU230" s="188" t="s">
        <v>79</v>
      </c>
      <c r="BV230" s="188" t="s">
        <v>598</v>
      </c>
      <c r="BZ230" s="188">
        <v>229</v>
      </c>
      <c r="CA230" s="127">
        <v>42871</v>
      </c>
      <c r="CB230" s="188" t="s">
        <v>4475</v>
      </c>
      <c r="CC230" s="188" t="s">
        <v>275</v>
      </c>
      <c r="CD230" s="188" t="s">
        <v>63</v>
      </c>
      <c r="CE230" s="188" t="s">
        <v>38</v>
      </c>
      <c r="CF230" s="188" t="s">
        <v>10</v>
      </c>
      <c r="CG230" s="188"/>
      <c r="CH230" s="189">
        <v>4500</v>
      </c>
      <c r="CI230" s="188"/>
    </row>
    <row r="231" spans="5:87">
      <c r="E231" s="21"/>
      <c r="Q231" s="191"/>
      <c r="R231" s="191"/>
      <c r="S231" s="191"/>
      <c r="T231" s="127"/>
      <c r="U231" s="127"/>
      <c r="V231" s="191"/>
      <c r="W231" s="190"/>
      <c r="X231" s="191"/>
      <c r="Y231" s="191"/>
      <c r="Z231" s="191"/>
      <c r="AA231" s="191"/>
      <c r="AB231" s="191"/>
      <c r="AC231" s="191"/>
      <c r="AD231" s="191"/>
      <c r="AE231" s="191"/>
      <c r="AF231" s="191"/>
      <c r="AG231" s="191"/>
      <c r="AH231" s="191"/>
      <c r="AI231" s="127"/>
      <c r="AJ231" s="191"/>
      <c r="AK231" s="191"/>
      <c r="AL231" s="190"/>
      <c r="AM231" s="191"/>
      <c r="AQ231" s="194"/>
      <c r="AR231" s="127"/>
      <c r="AS231" s="194"/>
      <c r="AT231" s="194"/>
      <c r="AU231" s="194"/>
      <c r="AV231" s="194"/>
      <c r="AW231" s="194"/>
      <c r="AX231" s="194"/>
      <c r="AY231" s="193"/>
      <c r="AZ231" s="194"/>
      <c r="BA231" s="21"/>
      <c r="BE231" s="188" t="s">
        <v>1805</v>
      </c>
      <c r="BF231" s="188" t="s">
        <v>3958</v>
      </c>
      <c r="BG231" s="127">
        <v>42889</v>
      </c>
      <c r="BH231" s="188" t="s">
        <v>34</v>
      </c>
      <c r="BI231" s="188" t="s">
        <v>598</v>
      </c>
      <c r="BJ231" s="189">
        <v>4500</v>
      </c>
      <c r="BK231" s="188" t="s">
        <v>493</v>
      </c>
      <c r="BL231" s="188" t="s">
        <v>598</v>
      </c>
      <c r="BM231" s="189">
        <v>0</v>
      </c>
      <c r="BN231" s="188" t="s">
        <v>598</v>
      </c>
      <c r="BO231" s="127">
        <v>42886</v>
      </c>
      <c r="BP231" s="188" t="s">
        <v>132</v>
      </c>
      <c r="BQ231" s="188" t="s">
        <v>84</v>
      </c>
      <c r="BR231" s="188" t="s">
        <v>171</v>
      </c>
      <c r="BS231" s="188" t="s">
        <v>598</v>
      </c>
      <c r="BT231" s="188" t="s">
        <v>79</v>
      </c>
      <c r="BU231" s="188" t="s">
        <v>112</v>
      </c>
      <c r="BV231" s="188" t="s">
        <v>598</v>
      </c>
      <c r="BZ231" s="188">
        <v>230</v>
      </c>
      <c r="CA231" s="127">
        <v>42871</v>
      </c>
      <c r="CB231" s="188" t="s">
        <v>4476</v>
      </c>
      <c r="CC231" s="188" t="s">
        <v>275</v>
      </c>
      <c r="CD231" s="188" t="s">
        <v>63</v>
      </c>
      <c r="CE231" s="188" t="s">
        <v>38</v>
      </c>
      <c r="CF231" s="188" t="s">
        <v>10</v>
      </c>
      <c r="CG231" s="188"/>
      <c r="CH231" s="189">
        <v>2700</v>
      </c>
      <c r="CI231" s="188"/>
    </row>
    <row r="232" spans="5:87">
      <c r="E232" s="21"/>
      <c r="Q232" s="191"/>
      <c r="R232" s="191"/>
      <c r="S232" s="191"/>
      <c r="T232" s="127"/>
      <c r="U232" s="127"/>
      <c r="V232" s="191"/>
      <c r="W232" s="190"/>
      <c r="X232" s="191"/>
      <c r="Y232" s="191"/>
      <c r="Z232" s="191"/>
      <c r="AA232" s="191"/>
      <c r="AB232" s="191"/>
      <c r="AC232" s="191"/>
      <c r="AD232" s="191"/>
      <c r="AE232" s="191"/>
      <c r="AF232" s="191"/>
      <c r="AG232" s="191"/>
      <c r="AH232" s="191"/>
      <c r="AI232" s="127"/>
      <c r="AJ232" s="191"/>
      <c r="AK232" s="191"/>
      <c r="AL232" s="190"/>
      <c r="AM232" s="191"/>
      <c r="AQ232" s="194"/>
      <c r="AR232" s="127"/>
      <c r="AS232" s="194"/>
      <c r="AT232" s="194"/>
      <c r="AU232" s="194"/>
      <c r="AV232" s="194"/>
      <c r="AW232" s="194"/>
      <c r="AX232" s="194"/>
      <c r="AY232" s="193"/>
      <c r="AZ232" s="194"/>
      <c r="BA232" s="21"/>
      <c r="BE232" s="188" t="s">
        <v>1807</v>
      </c>
      <c r="BF232" s="188" t="s">
        <v>3959</v>
      </c>
      <c r="BG232" s="127">
        <v>42909</v>
      </c>
      <c r="BH232" s="188" t="s">
        <v>10</v>
      </c>
      <c r="BI232" s="188" t="s">
        <v>598</v>
      </c>
      <c r="BJ232" s="189">
        <v>3000</v>
      </c>
      <c r="BK232" s="188" t="s">
        <v>493</v>
      </c>
      <c r="BL232" s="188" t="s">
        <v>598</v>
      </c>
      <c r="BM232" s="189">
        <v>0</v>
      </c>
      <c r="BN232" s="188" t="s">
        <v>598</v>
      </c>
      <c r="BO232" s="127">
        <v>42886</v>
      </c>
      <c r="BP232" s="188" t="s">
        <v>122</v>
      </c>
      <c r="BQ232" s="188" t="s">
        <v>84</v>
      </c>
      <c r="BR232" s="188" t="s">
        <v>1809</v>
      </c>
      <c r="BS232" s="188" t="s">
        <v>598</v>
      </c>
      <c r="BT232" s="188" t="s">
        <v>79</v>
      </c>
      <c r="BU232" s="188" t="s">
        <v>79</v>
      </c>
      <c r="BV232" s="188" t="s">
        <v>598</v>
      </c>
      <c r="BZ232" s="188">
        <v>231</v>
      </c>
      <c r="CA232" s="127">
        <v>42871</v>
      </c>
      <c r="CB232" s="188" t="s">
        <v>4477</v>
      </c>
      <c r="CC232" s="188" t="s">
        <v>275</v>
      </c>
      <c r="CD232" s="188" t="s">
        <v>63</v>
      </c>
      <c r="CE232" s="188" t="s">
        <v>38</v>
      </c>
      <c r="CF232" s="188" t="s">
        <v>10</v>
      </c>
      <c r="CG232" s="188"/>
      <c r="CH232" s="189">
        <v>3600</v>
      </c>
      <c r="CI232" s="188"/>
    </row>
    <row r="233" spans="5:87">
      <c r="E233" s="21"/>
      <c r="Q233" s="191"/>
      <c r="R233" s="191"/>
      <c r="S233" s="191"/>
      <c r="T233" s="127"/>
      <c r="U233" s="127"/>
      <c r="V233" s="191"/>
      <c r="W233" s="190"/>
      <c r="X233" s="191"/>
      <c r="Y233" s="191"/>
      <c r="Z233" s="191"/>
      <c r="AA233" s="191"/>
      <c r="AB233" s="191"/>
      <c r="AC233" s="191"/>
      <c r="AD233" s="191"/>
      <c r="AE233" s="191"/>
      <c r="AF233" s="191"/>
      <c r="AG233" s="191"/>
      <c r="AH233" s="191"/>
      <c r="AI233" s="127"/>
      <c r="AJ233" s="191"/>
      <c r="AK233" s="191"/>
      <c r="AL233" s="190"/>
      <c r="AM233" s="191"/>
      <c r="AQ233" s="194"/>
      <c r="AR233" s="127"/>
      <c r="AS233" s="194"/>
      <c r="AT233" s="194"/>
      <c r="AU233" s="194"/>
      <c r="AV233" s="194"/>
      <c r="AW233" s="194"/>
      <c r="AX233" s="194"/>
      <c r="AY233" s="193"/>
      <c r="AZ233" s="194"/>
      <c r="BA233" s="21"/>
      <c r="BE233" s="188" t="s">
        <v>1812</v>
      </c>
      <c r="BF233" s="188" t="s">
        <v>3960</v>
      </c>
      <c r="BG233" s="127">
        <v>42887</v>
      </c>
      <c r="BH233" s="188" t="s">
        <v>34</v>
      </c>
      <c r="BI233" s="188" t="s">
        <v>598</v>
      </c>
      <c r="BJ233" s="189">
        <v>2500</v>
      </c>
      <c r="BK233" s="188" t="s">
        <v>493</v>
      </c>
      <c r="BL233" s="188" t="s">
        <v>598</v>
      </c>
      <c r="BM233" s="189">
        <v>0</v>
      </c>
      <c r="BN233" s="188" t="s">
        <v>598</v>
      </c>
      <c r="BO233" s="127">
        <v>42887</v>
      </c>
      <c r="BP233" s="188" t="s">
        <v>134</v>
      </c>
      <c r="BQ233" s="188" t="s">
        <v>92</v>
      </c>
      <c r="BR233" s="188" t="s">
        <v>285</v>
      </c>
      <c r="BS233" s="188" t="s">
        <v>598</v>
      </c>
      <c r="BT233" s="188" t="s">
        <v>79</v>
      </c>
      <c r="BU233" s="188" t="s">
        <v>112</v>
      </c>
      <c r="BV233" s="188" t="s">
        <v>598</v>
      </c>
      <c r="BZ233" s="188">
        <v>232</v>
      </c>
      <c r="CA233" s="127">
        <v>42871</v>
      </c>
      <c r="CB233" s="188" t="s">
        <v>4478</v>
      </c>
      <c r="CC233" s="188" t="s">
        <v>275</v>
      </c>
      <c r="CD233" s="188" t="s">
        <v>63</v>
      </c>
      <c r="CE233" s="188" t="s">
        <v>38</v>
      </c>
      <c r="CF233" s="188" t="s">
        <v>10</v>
      </c>
      <c r="CG233" s="188"/>
      <c r="CH233" s="189">
        <v>2700</v>
      </c>
      <c r="CI233" s="188"/>
    </row>
    <row r="234" spans="5:87">
      <c r="E234" s="21"/>
      <c r="Q234" s="191"/>
      <c r="R234" s="191"/>
      <c r="S234" s="191"/>
      <c r="T234" s="127"/>
      <c r="U234" s="127"/>
      <c r="V234" s="191"/>
      <c r="W234" s="190"/>
      <c r="X234" s="191"/>
      <c r="Y234" s="191"/>
      <c r="Z234" s="191"/>
      <c r="AA234" s="191"/>
      <c r="AB234" s="191"/>
      <c r="AC234" s="191"/>
      <c r="AD234" s="191"/>
      <c r="AE234" s="191"/>
      <c r="AF234" s="191"/>
      <c r="AG234" s="191"/>
      <c r="AH234" s="191"/>
      <c r="AI234" s="127"/>
      <c r="AJ234" s="191"/>
      <c r="AK234" s="191"/>
      <c r="AL234" s="190"/>
      <c r="AM234" s="191"/>
      <c r="AQ234" s="194"/>
      <c r="AR234" s="127"/>
      <c r="AS234" s="194"/>
      <c r="AT234" s="194"/>
      <c r="AU234" s="194"/>
      <c r="AV234" s="194"/>
      <c r="AW234" s="194"/>
      <c r="AX234" s="194"/>
      <c r="AY234" s="193"/>
      <c r="AZ234" s="194"/>
      <c r="BA234" s="21"/>
      <c r="BE234" s="188" t="s">
        <v>1816</v>
      </c>
      <c r="BF234" s="188" t="s">
        <v>3961</v>
      </c>
      <c r="BG234" s="127">
        <v>42902</v>
      </c>
      <c r="BH234" s="188" t="s">
        <v>34</v>
      </c>
      <c r="BI234" s="188" t="s">
        <v>598</v>
      </c>
      <c r="BJ234" s="189">
        <v>2500</v>
      </c>
      <c r="BK234" s="188" t="s">
        <v>493</v>
      </c>
      <c r="BL234" s="188" t="s">
        <v>598</v>
      </c>
      <c r="BM234" s="189">
        <v>0</v>
      </c>
      <c r="BN234" s="188" t="s">
        <v>598</v>
      </c>
      <c r="BO234" s="127">
        <v>42891</v>
      </c>
      <c r="BP234" s="188" t="s">
        <v>598</v>
      </c>
      <c r="BQ234" s="188" t="s">
        <v>92</v>
      </c>
      <c r="BR234" s="188" t="s">
        <v>286</v>
      </c>
      <c r="BS234" s="188" t="s">
        <v>598</v>
      </c>
      <c r="BT234" s="188" t="s">
        <v>79</v>
      </c>
      <c r="BU234" s="188" t="s">
        <v>112</v>
      </c>
      <c r="BV234" s="188" t="s">
        <v>598</v>
      </c>
      <c r="BZ234" s="188">
        <v>233</v>
      </c>
      <c r="CA234" s="127">
        <v>42859</v>
      </c>
      <c r="CB234" s="188" t="s">
        <v>4479</v>
      </c>
      <c r="CC234" s="188" t="s">
        <v>275</v>
      </c>
      <c r="CD234" s="188" t="s">
        <v>30</v>
      </c>
      <c r="CE234" s="188" t="s">
        <v>121</v>
      </c>
      <c r="CF234" s="188" t="s">
        <v>10</v>
      </c>
      <c r="CG234" s="188"/>
      <c r="CH234" s="189">
        <v>17370</v>
      </c>
      <c r="CI234" s="188"/>
    </row>
    <row r="235" spans="5:87">
      <c r="E235" s="21"/>
      <c r="Q235" s="191"/>
      <c r="R235" s="191"/>
      <c r="S235" s="191"/>
      <c r="T235" s="127"/>
      <c r="U235" s="127"/>
      <c r="V235" s="191"/>
      <c r="W235" s="190"/>
      <c r="X235" s="191"/>
      <c r="Y235" s="191"/>
      <c r="Z235" s="191"/>
      <c r="AA235" s="191"/>
      <c r="AB235" s="191"/>
      <c r="AC235" s="191"/>
      <c r="AD235" s="191"/>
      <c r="AE235" s="191"/>
      <c r="AF235" s="191"/>
      <c r="AG235" s="191"/>
      <c r="AH235" s="191"/>
      <c r="AI235" s="127"/>
      <c r="AJ235" s="191"/>
      <c r="AK235" s="191"/>
      <c r="AL235" s="190"/>
      <c r="AM235" s="191"/>
      <c r="AQ235" s="194"/>
      <c r="AR235" s="127"/>
      <c r="AS235" s="194"/>
      <c r="AT235" s="194"/>
      <c r="AU235" s="194"/>
      <c r="AV235" s="194"/>
      <c r="AW235" s="194"/>
      <c r="AX235" s="194"/>
      <c r="AY235" s="193"/>
      <c r="AZ235" s="194"/>
      <c r="BA235" s="21"/>
      <c r="BE235" s="188" t="s">
        <v>1818</v>
      </c>
      <c r="BF235" s="188" t="s">
        <v>3962</v>
      </c>
      <c r="BG235" s="127">
        <v>42892</v>
      </c>
      <c r="BH235" s="188" t="s">
        <v>34</v>
      </c>
      <c r="BI235" s="188" t="s">
        <v>598</v>
      </c>
      <c r="BJ235" s="189">
        <v>2000</v>
      </c>
      <c r="BK235" s="188" t="s">
        <v>493</v>
      </c>
      <c r="BL235" s="188" t="s">
        <v>598</v>
      </c>
      <c r="BM235" s="189">
        <v>0</v>
      </c>
      <c r="BN235" s="188" t="s">
        <v>598</v>
      </c>
      <c r="BO235" s="127">
        <v>42891</v>
      </c>
      <c r="BP235" s="188" t="s">
        <v>118</v>
      </c>
      <c r="BQ235" s="188" t="s">
        <v>92</v>
      </c>
      <c r="BR235" s="188" t="s">
        <v>186</v>
      </c>
      <c r="BS235" s="188" t="s">
        <v>598</v>
      </c>
      <c r="BT235" s="188" t="s">
        <v>79</v>
      </c>
      <c r="BU235" s="188" t="s">
        <v>79</v>
      </c>
      <c r="BV235" s="188" t="s">
        <v>598</v>
      </c>
      <c r="BZ235" s="188">
        <v>234</v>
      </c>
      <c r="CA235" s="127">
        <v>42881</v>
      </c>
      <c r="CB235" s="188" t="s">
        <v>4479</v>
      </c>
      <c r="CC235" s="188" t="s">
        <v>275</v>
      </c>
      <c r="CD235" s="188" t="s">
        <v>30</v>
      </c>
      <c r="CE235" s="188" t="s">
        <v>121</v>
      </c>
      <c r="CF235" s="188" t="s">
        <v>10</v>
      </c>
      <c r="CG235" s="188"/>
      <c r="CH235" s="189">
        <v>11340</v>
      </c>
      <c r="CI235" s="188"/>
    </row>
    <row r="236" spans="5:87">
      <c r="E236" s="21"/>
      <c r="Q236" s="191"/>
      <c r="R236" s="191"/>
      <c r="S236" s="191"/>
      <c r="T236" s="127"/>
      <c r="U236" s="127"/>
      <c r="V236" s="191"/>
      <c r="W236" s="190"/>
      <c r="X236" s="191"/>
      <c r="Y236" s="191"/>
      <c r="Z236" s="191"/>
      <c r="AA236" s="191"/>
      <c r="AB236" s="191"/>
      <c r="AC236" s="191"/>
      <c r="AD236" s="191"/>
      <c r="AE236" s="191"/>
      <c r="AF236" s="191"/>
      <c r="AG236" s="191"/>
      <c r="AH236" s="191"/>
      <c r="AI236" s="127"/>
      <c r="AJ236" s="191"/>
      <c r="AK236" s="191"/>
      <c r="AL236" s="190"/>
      <c r="AM236" s="191"/>
      <c r="AQ236" s="194"/>
      <c r="AR236" s="127"/>
      <c r="AS236" s="194"/>
      <c r="AT236" s="194"/>
      <c r="AU236" s="194"/>
      <c r="AV236" s="194"/>
      <c r="AW236" s="194"/>
      <c r="AX236" s="194"/>
      <c r="AY236" s="193"/>
      <c r="AZ236" s="194"/>
      <c r="BA236" s="21"/>
      <c r="BE236" s="188" t="s">
        <v>1820</v>
      </c>
      <c r="BF236" s="188" t="s">
        <v>3963</v>
      </c>
      <c r="BG236" s="127">
        <v>42901</v>
      </c>
      <c r="BH236" s="188" t="s">
        <v>34</v>
      </c>
      <c r="BI236" s="188" t="s">
        <v>598</v>
      </c>
      <c r="BJ236" s="189">
        <v>8000</v>
      </c>
      <c r="BK236" s="188" t="s">
        <v>493</v>
      </c>
      <c r="BL236" s="188" t="s">
        <v>598</v>
      </c>
      <c r="BM236" s="189">
        <v>0</v>
      </c>
      <c r="BN236" s="188" t="s">
        <v>598</v>
      </c>
      <c r="BO236" s="127">
        <v>42893</v>
      </c>
      <c r="BP236" s="188" t="s">
        <v>107</v>
      </c>
      <c r="BQ236" s="188" t="s">
        <v>92</v>
      </c>
      <c r="BR236" s="188" t="s">
        <v>287</v>
      </c>
      <c r="BS236" s="188" t="s">
        <v>598</v>
      </c>
      <c r="BT236" s="188" t="s">
        <v>79</v>
      </c>
      <c r="BU236" s="188" t="s">
        <v>112</v>
      </c>
      <c r="BV236" s="188" t="s">
        <v>598</v>
      </c>
      <c r="BZ236" s="188">
        <v>235</v>
      </c>
      <c r="CA236" s="127">
        <v>42866</v>
      </c>
      <c r="CB236" s="188" t="s">
        <v>4480</v>
      </c>
      <c r="CC236" s="188" t="s">
        <v>275</v>
      </c>
      <c r="CD236" s="188" t="s">
        <v>42</v>
      </c>
      <c r="CE236" s="188" t="s">
        <v>84</v>
      </c>
      <c r="CF236" s="188" t="s">
        <v>34</v>
      </c>
      <c r="CG236" s="188"/>
      <c r="CH236" s="189">
        <v>1500</v>
      </c>
      <c r="CI236" s="188"/>
    </row>
    <row r="237" spans="5:87">
      <c r="E237" s="21"/>
      <c r="Q237" s="191"/>
      <c r="R237" s="191"/>
      <c r="S237" s="191"/>
      <c r="T237" s="127"/>
      <c r="U237" s="127"/>
      <c r="V237" s="191"/>
      <c r="W237" s="190"/>
      <c r="X237" s="191"/>
      <c r="Y237" s="191"/>
      <c r="Z237" s="191"/>
      <c r="AA237" s="191"/>
      <c r="AB237" s="191"/>
      <c r="AC237" s="191"/>
      <c r="AD237" s="191"/>
      <c r="AE237" s="191"/>
      <c r="AF237" s="191"/>
      <c r="AG237" s="191"/>
      <c r="AH237" s="191"/>
      <c r="AI237" s="127"/>
      <c r="AJ237" s="191"/>
      <c r="AK237" s="191"/>
      <c r="AL237" s="190"/>
      <c r="AM237" s="191"/>
      <c r="AQ237" s="194"/>
      <c r="AR237" s="127"/>
      <c r="AS237" s="194"/>
      <c r="AT237" s="194"/>
      <c r="AU237" s="194"/>
      <c r="AV237" s="194"/>
      <c r="AW237" s="194"/>
      <c r="AX237" s="194"/>
      <c r="AY237" s="193"/>
      <c r="AZ237" s="194"/>
      <c r="BA237" s="21"/>
      <c r="BE237" s="188" t="s">
        <v>1822</v>
      </c>
      <c r="BF237" s="188" t="s">
        <v>3964</v>
      </c>
      <c r="BG237" s="127">
        <v>42908</v>
      </c>
      <c r="BH237" s="188" t="s">
        <v>34</v>
      </c>
      <c r="BI237" s="188" t="s">
        <v>598</v>
      </c>
      <c r="BJ237" s="189">
        <v>1500</v>
      </c>
      <c r="BK237" s="188" t="s">
        <v>493</v>
      </c>
      <c r="BL237" s="188" t="s">
        <v>598</v>
      </c>
      <c r="BM237" s="189">
        <v>0</v>
      </c>
      <c r="BN237" s="188" t="s">
        <v>598</v>
      </c>
      <c r="BO237" s="127">
        <v>42900</v>
      </c>
      <c r="BP237" s="188" t="s">
        <v>598</v>
      </c>
      <c r="BQ237" s="188" t="s">
        <v>92</v>
      </c>
      <c r="BR237" s="188" t="s">
        <v>285</v>
      </c>
      <c r="BS237" s="188" t="s">
        <v>598</v>
      </c>
      <c r="BT237" s="188" t="s">
        <v>79</v>
      </c>
      <c r="BU237" s="188" t="s">
        <v>112</v>
      </c>
      <c r="BV237" s="188" t="s">
        <v>598</v>
      </c>
      <c r="BZ237" s="188">
        <v>236</v>
      </c>
      <c r="CA237" s="127">
        <v>42877</v>
      </c>
      <c r="CB237" s="188" t="s">
        <v>4481</v>
      </c>
      <c r="CC237" s="188" t="s">
        <v>275</v>
      </c>
      <c r="CD237" s="188" t="s">
        <v>42</v>
      </c>
      <c r="CE237" s="188" t="s">
        <v>84</v>
      </c>
      <c r="CF237" s="188" t="s">
        <v>34</v>
      </c>
      <c r="CG237" s="188"/>
      <c r="CH237" s="189">
        <v>3000</v>
      </c>
      <c r="CI237" s="188"/>
    </row>
    <row r="238" spans="5:87">
      <c r="E238" s="21"/>
      <c r="Q238" s="191"/>
      <c r="R238" s="191"/>
      <c r="S238" s="191"/>
      <c r="T238" s="127"/>
      <c r="U238" s="127"/>
      <c r="V238" s="191"/>
      <c r="W238" s="190"/>
      <c r="X238" s="191"/>
      <c r="Y238" s="191"/>
      <c r="Z238" s="191"/>
      <c r="AA238" s="191"/>
      <c r="AB238" s="191"/>
      <c r="AC238" s="191"/>
      <c r="AD238" s="191"/>
      <c r="AE238" s="191"/>
      <c r="AF238" s="191"/>
      <c r="AG238" s="191"/>
      <c r="AH238" s="191"/>
      <c r="AI238" s="127"/>
      <c r="AJ238" s="191"/>
      <c r="AK238" s="191"/>
      <c r="AL238" s="190"/>
      <c r="AM238" s="191"/>
      <c r="AQ238" s="194"/>
      <c r="AR238" s="127"/>
      <c r="AS238" s="194"/>
      <c r="AT238" s="194"/>
      <c r="AU238" s="194"/>
      <c r="AV238" s="194"/>
      <c r="AW238" s="194"/>
      <c r="AX238" s="194"/>
      <c r="AY238" s="193"/>
      <c r="AZ238" s="194"/>
      <c r="BA238" s="21"/>
      <c r="BE238" s="188" t="s">
        <v>1823</v>
      </c>
      <c r="BF238" s="188" t="s">
        <v>3965</v>
      </c>
      <c r="BG238" s="127">
        <v>42903</v>
      </c>
      <c r="BH238" s="188" t="s">
        <v>34</v>
      </c>
      <c r="BI238" s="188" t="s">
        <v>598</v>
      </c>
      <c r="BJ238" s="189">
        <v>25000</v>
      </c>
      <c r="BK238" s="188" t="s">
        <v>493</v>
      </c>
      <c r="BL238" s="188" t="s">
        <v>598</v>
      </c>
      <c r="BM238" s="189">
        <v>0</v>
      </c>
      <c r="BN238" s="188" t="s">
        <v>598</v>
      </c>
      <c r="BO238" s="127">
        <v>42901</v>
      </c>
      <c r="BP238" s="188" t="s">
        <v>131</v>
      </c>
      <c r="BQ238" s="188" t="s">
        <v>92</v>
      </c>
      <c r="BR238" s="188" t="s">
        <v>249</v>
      </c>
      <c r="BS238" s="188" t="s">
        <v>598</v>
      </c>
      <c r="BT238" s="188" t="s">
        <v>79</v>
      </c>
      <c r="BU238" s="188" t="s">
        <v>79</v>
      </c>
      <c r="BV238" s="188" t="s">
        <v>598</v>
      </c>
      <c r="BZ238" s="188">
        <v>237</v>
      </c>
      <c r="CA238" s="127">
        <v>42877</v>
      </c>
      <c r="CB238" s="188" t="s">
        <v>4482</v>
      </c>
      <c r="CC238" s="188" t="s">
        <v>275</v>
      </c>
      <c r="CD238" s="188" t="s">
        <v>42</v>
      </c>
      <c r="CE238" s="188" t="s">
        <v>84</v>
      </c>
      <c r="CF238" s="188" t="s">
        <v>34</v>
      </c>
      <c r="CG238" s="188"/>
      <c r="CH238" s="189">
        <v>3000</v>
      </c>
      <c r="CI238" s="188"/>
    </row>
    <row r="239" spans="5:87">
      <c r="E239" s="21"/>
      <c r="Q239" s="191"/>
      <c r="R239" s="191"/>
      <c r="S239" s="191"/>
      <c r="T239" s="127"/>
      <c r="U239" s="127"/>
      <c r="V239" s="191"/>
      <c r="W239" s="190"/>
      <c r="X239" s="191"/>
      <c r="Y239" s="191"/>
      <c r="Z239" s="191"/>
      <c r="AA239" s="191"/>
      <c r="AB239" s="191"/>
      <c r="AC239" s="191"/>
      <c r="AD239" s="191"/>
      <c r="AE239" s="191"/>
      <c r="AF239" s="191"/>
      <c r="AG239" s="191"/>
      <c r="AH239" s="191"/>
      <c r="AI239" s="127"/>
      <c r="AJ239" s="191"/>
      <c r="AK239" s="191"/>
      <c r="AL239" s="190"/>
      <c r="AM239" s="191"/>
      <c r="AQ239" s="194"/>
      <c r="AR239" s="127"/>
      <c r="AS239" s="194"/>
      <c r="AT239" s="194"/>
      <c r="AU239" s="194"/>
      <c r="AV239" s="194"/>
      <c r="AW239" s="194"/>
      <c r="AX239" s="194"/>
      <c r="AY239" s="193"/>
      <c r="AZ239" s="194"/>
      <c r="BA239" s="21"/>
      <c r="BE239" s="188" t="s">
        <v>1827</v>
      </c>
      <c r="BF239" s="188" t="s">
        <v>3966</v>
      </c>
      <c r="BG239" s="127">
        <v>42906</v>
      </c>
      <c r="BH239" s="188" t="s">
        <v>34</v>
      </c>
      <c r="BI239" s="188" t="s">
        <v>598</v>
      </c>
      <c r="BJ239" s="189">
        <v>4000</v>
      </c>
      <c r="BK239" s="188" t="s">
        <v>493</v>
      </c>
      <c r="BL239" s="188" t="s">
        <v>598</v>
      </c>
      <c r="BM239" s="189">
        <v>0</v>
      </c>
      <c r="BN239" s="188" t="s">
        <v>598</v>
      </c>
      <c r="BO239" s="127">
        <v>42906</v>
      </c>
      <c r="BP239" s="188" t="s">
        <v>132</v>
      </c>
      <c r="BQ239" s="188" t="s">
        <v>92</v>
      </c>
      <c r="BR239" s="188" t="s">
        <v>285</v>
      </c>
      <c r="BS239" s="188" t="s">
        <v>598</v>
      </c>
      <c r="BT239" s="188" t="s">
        <v>79</v>
      </c>
      <c r="BU239" s="188" t="s">
        <v>79</v>
      </c>
      <c r="BV239" s="188" t="s">
        <v>598</v>
      </c>
      <c r="BZ239" s="188">
        <v>238</v>
      </c>
      <c r="CA239" s="127">
        <v>42880</v>
      </c>
      <c r="CB239" s="188" t="s">
        <v>4483</v>
      </c>
      <c r="CC239" s="188" t="s">
        <v>275</v>
      </c>
      <c r="CD239" s="188" t="s">
        <v>42</v>
      </c>
      <c r="CE239" s="188" t="s">
        <v>84</v>
      </c>
      <c r="CF239" s="188" t="s">
        <v>10</v>
      </c>
      <c r="CG239" s="188"/>
      <c r="CH239" s="189">
        <v>13500</v>
      </c>
      <c r="CI239" s="188"/>
    </row>
    <row r="240" spans="5:87">
      <c r="E240" s="21"/>
      <c r="Q240" s="191"/>
      <c r="R240" s="191"/>
      <c r="S240" s="191"/>
      <c r="T240" s="127"/>
      <c r="U240" s="127"/>
      <c r="V240" s="191"/>
      <c r="W240" s="190"/>
      <c r="X240" s="191"/>
      <c r="Y240" s="191"/>
      <c r="Z240" s="191"/>
      <c r="AA240" s="191"/>
      <c r="AB240" s="191"/>
      <c r="AC240" s="191"/>
      <c r="AD240" s="191"/>
      <c r="AE240" s="191"/>
      <c r="AF240" s="191"/>
      <c r="AG240" s="191"/>
      <c r="AH240" s="191"/>
      <c r="AI240" s="127"/>
      <c r="AJ240" s="191"/>
      <c r="AK240" s="191"/>
      <c r="AL240" s="190"/>
      <c r="AM240" s="191"/>
      <c r="AQ240" s="194"/>
      <c r="AR240" s="127"/>
      <c r="AS240" s="194"/>
      <c r="AT240" s="194"/>
      <c r="AU240" s="194"/>
      <c r="AV240" s="194"/>
      <c r="AW240" s="194"/>
      <c r="AX240" s="194"/>
      <c r="AY240" s="193"/>
      <c r="AZ240" s="194"/>
      <c r="BA240" s="21"/>
      <c r="BE240" s="188" t="s">
        <v>1844</v>
      </c>
      <c r="BF240" s="188" t="s">
        <v>3967</v>
      </c>
      <c r="BG240" s="127">
        <v>42909</v>
      </c>
      <c r="BH240" s="188" t="s">
        <v>10</v>
      </c>
      <c r="BI240" s="188" t="s">
        <v>598</v>
      </c>
      <c r="BJ240" s="189">
        <v>6000</v>
      </c>
      <c r="BK240" s="188" t="s">
        <v>493</v>
      </c>
      <c r="BL240" s="188" t="s">
        <v>598</v>
      </c>
      <c r="BM240" s="189">
        <v>0</v>
      </c>
      <c r="BN240" s="188" t="s">
        <v>598</v>
      </c>
      <c r="BO240" s="127">
        <v>42773</v>
      </c>
      <c r="BP240" s="188" t="s">
        <v>118</v>
      </c>
      <c r="BQ240" s="188" t="s">
        <v>92</v>
      </c>
      <c r="BR240" s="188" t="s">
        <v>1846</v>
      </c>
      <c r="BS240" s="188" t="s">
        <v>598</v>
      </c>
      <c r="BT240" s="188" t="s">
        <v>79</v>
      </c>
      <c r="BU240" s="188" t="s">
        <v>112</v>
      </c>
      <c r="BV240" s="188" t="s">
        <v>598</v>
      </c>
      <c r="BZ240" s="188">
        <v>239</v>
      </c>
      <c r="CA240" s="127">
        <v>42880</v>
      </c>
      <c r="CB240" s="188" t="s">
        <v>4483</v>
      </c>
      <c r="CC240" s="188" t="s">
        <v>275</v>
      </c>
      <c r="CD240" s="188" t="s">
        <v>42</v>
      </c>
      <c r="CE240" s="188" t="s">
        <v>84</v>
      </c>
      <c r="CF240" s="188" t="s">
        <v>10</v>
      </c>
      <c r="CG240" s="188"/>
      <c r="CH240" s="189">
        <v>13500</v>
      </c>
      <c r="CI240" s="188"/>
    </row>
    <row r="241" spans="5:87">
      <c r="E241" s="21"/>
      <c r="Q241" s="191"/>
      <c r="R241" s="191"/>
      <c r="S241" s="191"/>
      <c r="T241" s="127"/>
      <c r="U241" s="127"/>
      <c r="V241" s="191"/>
      <c r="W241" s="190"/>
      <c r="X241" s="191"/>
      <c r="Y241" s="191"/>
      <c r="Z241" s="191"/>
      <c r="AA241" s="191"/>
      <c r="AB241" s="191"/>
      <c r="AC241" s="191"/>
      <c r="AD241" s="191"/>
      <c r="AE241" s="191"/>
      <c r="AF241" s="191"/>
      <c r="AG241" s="191"/>
      <c r="AH241" s="191"/>
      <c r="AI241" s="127"/>
      <c r="AJ241" s="191"/>
      <c r="AK241" s="191"/>
      <c r="AL241" s="190"/>
      <c r="AM241" s="191"/>
      <c r="AQ241" s="194"/>
      <c r="AR241" s="127"/>
      <c r="AS241" s="194"/>
      <c r="AT241" s="194"/>
      <c r="AU241" s="194"/>
      <c r="AV241" s="194"/>
      <c r="AW241" s="194"/>
      <c r="AX241" s="194"/>
      <c r="AY241" s="193"/>
      <c r="AZ241" s="194"/>
      <c r="BA241" s="21"/>
      <c r="BE241" s="188" t="s">
        <v>1849</v>
      </c>
      <c r="BF241" s="188" t="s">
        <v>3968</v>
      </c>
      <c r="BG241" s="127">
        <v>42888</v>
      </c>
      <c r="BH241" s="188" t="s">
        <v>34</v>
      </c>
      <c r="BI241" s="188" t="s">
        <v>598</v>
      </c>
      <c r="BJ241" s="189">
        <v>1500</v>
      </c>
      <c r="BK241" s="188" t="s">
        <v>493</v>
      </c>
      <c r="BL241" s="188" t="s">
        <v>598</v>
      </c>
      <c r="BM241" s="189">
        <v>0</v>
      </c>
      <c r="BN241" s="188" t="s">
        <v>598</v>
      </c>
      <c r="BO241" s="127">
        <v>42814</v>
      </c>
      <c r="BP241" s="188" t="s">
        <v>134</v>
      </c>
      <c r="BQ241" s="188" t="s">
        <v>92</v>
      </c>
      <c r="BR241" s="188" t="s">
        <v>289</v>
      </c>
      <c r="BS241" s="188" t="s">
        <v>598</v>
      </c>
      <c r="BT241" s="188" t="s">
        <v>79</v>
      </c>
      <c r="BU241" s="188" t="s">
        <v>112</v>
      </c>
      <c r="BV241" s="188" t="s">
        <v>598</v>
      </c>
      <c r="BZ241" s="188">
        <v>240</v>
      </c>
      <c r="CA241" s="127">
        <v>42880</v>
      </c>
      <c r="CB241" s="188" t="s">
        <v>4483</v>
      </c>
      <c r="CC241" s="188" t="s">
        <v>275</v>
      </c>
      <c r="CD241" s="188" t="s">
        <v>42</v>
      </c>
      <c r="CE241" s="188" t="s">
        <v>84</v>
      </c>
      <c r="CF241" s="188" t="s">
        <v>10</v>
      </c>
      <c r="CG241" s="188"/>
      <c r="CH241" s="189">
        <v>13500</v>
      </c>
      <c r="CI241" s="188"/>
    </row>
    <row r="242" spans="5:87">
      <c r="E242" s="21"/>
      <c r="Q242" s="191"/>
      <c r="R242" s="191"/>
      <c r="S242" s="191"/>
      <c r="T242" s="127"/>
      <c r="U242" s="127"/>
      <c r="V242" s="191"/>
      <c r="W242" s="190"/>
      <c r="X242" s="191"/>
      <c r="Y242" s="191"/>
      <c r="Z242" s="191"/>
      <c r="AA242" s="191"/>
      <c r="AB242" s="191"/>
      <c r="AC242" s="191"/>
      <c r="AD242" s="191"/>
      <c r="AE242" s="191"/>
      <c r="AF242" s="191"/>
      <c r="AG242" s="191"/>
      <c r="AH242" s="191"/>
      <c r="AI242" s="127"/>
      <c r="AJ242" s="191"/>
      <c r="AK242" s="191"/>
      <c r="AL242" s="190"/>
      <c r="AM242" s="191"/>
      <c r="AQ242" s="194"/>
      <c r="AR242" s="127"/>
      <c r="AS242" s="194"/>
      <c r="AT242" s="194"/>
      <c r="AU242" s="194"/>
      <c r="AV242" s="194"/>
      <c r="AW242" s="194"/>
      <c r="AX242" s="194"/>
      <c r="AY242" s="193"/>
      <c r="AZ242" s="194"/>
      <c r="BA242" s="21"/>
      <c r="BE242" s="188" t="s">
        <v>1852</v>
      </c>
      <c r="BF242" s="188" t="s">
        <v>3969</v>
      </c>
      <c r="BG242" s="127">
        <v>42903</v>
      </c>
      <c r="BH242" s="188" t="s">
        <v>10</v>
      </c>
      <c r="BI242" s="188" t="s">
        <v>598</v>
      </c>
      <c r="BJ242" s="189">
        <v>2000</v>
      </c>
      <c r="BK242" s="188" t="s">
        <v>493</v>
      </c>
      <c r="BL242" s="188" t="s">
        <v>598</v>
      </c>
      <c r="BM242" s="189">
        <v>0</v>
      </c>
      <c r="BN242" s="188" t="s">
        <v>598</v>
      </c>
      <c r="BO242" s="127">
        <v>42824</v>
      </c>
      <c r="BP242" s="188" t="s">
        <v>107</v>
      </c>
      <c r="BQ242" s="188" t="s">
        <v>92</v>
      </c>
      <c r="BR242" s="188" t="s">
        <v>288</v>
      </c>
      <c r="BS242" s="188" t="s">
        <v>598</v>
      </c>
      <c r="BT242" s="188" t="s">
        <v>79</v>
      </c>
      <c r="BU242" s="188" t="s">
        <v>598</v>
      </c>
      <c r="BV242" s="188" t="s">
        <v>598</v>
      </c>
      <c r="BZ242" s="188">
        <v>241</v>
      </c>
      <c r="CA242" s="127">
        <v>42880</v>
      </c>
      <c r="CB242" s="188" t="s">
        <v>4483</v>
      </c>
      <c r="CC242" s="188" t="s">
        <v>275</v>
      </c>
      <c r="CD242" s="188" t="s">
        <v>42</v>
      </c>
      <c r="CE242" s="188" t="s">
        <v>84</v>
      </c>
      <c r="CF242" s="188" t="s">
        <v>10</v>
      </c>
      <c r="CG242" s="188"/>
      <c r="CH242" s="189">
        <v>13500</v>
      </c>
      <c r="CI242" s="188"/>
    </row>
    <row r="243" spans="5:87">
      <c r="E243" s="21"/>
      <c r="Q243" s="191"/>
      <c r="R243" s="191"/>
      <c r="S243" s="191"/>
      <c r="T243" s="127"/>
      <c r="U243" s="127"/>
      <c r="V243" s="191"/>
      <c r="W243" s="190"/>
      <c r="X243" s="191"/>
      <c r="Y243" s="191"/>
      <c r="Z243" s="191"/>
      <c r="AA243" s="191"/>
      <c r="AB243" s="191"/>
      <c r="AC243" s="191"/>
      <c r="AD243" s="191"/>
      <c r="AE243" s="191"/>
      <c r="AF243" s="191"/>
      <c r="AG243" s="191"/>
      <c r="AH243" s="191"/>
      <c r="AI243" s="127"/>
      <c r="AJ243" s="191"/>
      <c r="AK243" s="191"/>
      <c r="AL243" s="190"/>
      <c r="AM243" s="191"/>
      <c r="AQ243" s="194"/>
      <c r="AR243" s="127"/>
      <c r="AS243" s="194"/>
      <c r="AT243" s="194"/>
      <c r="AU243" s="194"/>
      <c r="AV243" s="194"/>
      <c r="AW243" s="194"/>
      <c r="AX243" s="194"/>
      <c r="AY243" s="193"/>
      <c r="AZ243" s="194"/>
      <c r="BA243" s="21"/>
      <c r="BE243" s="188" t="s">
        <v>1858</v>
      </c>
      <c r="BF243" s="188" t="s">
        <v>3970</v>
      </c>
      <c r="BG243" s="127">
        <v>42887</v>
      </c>
      <c r="BH243" s="188" t="s">
        <v>10</v>
      </c>
      <c r="BI243" s="188" t="s">
        <v>598</v>
      </c>
      <c r="BJ243" s="189">
        <v>1500</v>
      </c>
      <c r="BK243" s="188" t="s">
        <v>493</v>
      </c>
      <c r="BL243" s="188" t="s">
        <v>598</v>
      </c>
      <c r="BM243" s="189">
        <v>0</v>
      </c>
      <c r="BN243" s="188" t="s">
        <v>598</v>
      </c>
      <c r="BO243" s="127">
        <v>42831</v>
      </c>
      <c r="BP243" s="188" t="s">
        <v>135</v>
      </c>
      <c r="BQ243" s="188" t="s">
        <v>92</v>
      </c>
      <c r="BR243" s="188" t="s">
        <v>196</v>
      </c>
      <c r="BS243" s="188" t="s">
        <v>598</v>
      </c>
      <c r="BT243" s="188" t="s">
        <v>79</v>
      </c>
      <c r="BU243" s="188" t="s">
        <v>112</v>
      </c>
      <c r="BV243" s="188" t="s">
        <v>598</v>
      </c>
      <c r="BZ243" s="188">
        <v>242</v>
      </c>
      <c r="CA243" s="127">
        <v>42880</v>
      </c>
      <c r="CB243" s="188" t="s">
        <v>4483</v>
      </c>
      <c r="CC243" s="188" t="s">
        <v>275</v>
      </c>
      <c r="CD243" s="188" t="s">
        <v>42</v>
      </c>
      <c r="CE243" s="188" t="s">
        <v>84</v>
      </c>
      <c r="CF243" s="188" t="s">
        <v>10</v>
      </c>
      <c r="CG243" s="188"/>
      <c r="CH243" s="189">
        <v>13500</v>
      </c>
      <c r="CI243" s="188"/>
    </row>
    <row r="244" spans="5:87">
      <c r="E244" s="21"/>
      <c r="Q244" s="191"/>
      <c r="R244" s="191"/>
      <c r="S244" s="191"/>
      <c r="T244" s="127"/>
      <c r="U244" s="127"/>
      <c r="V244" s="191"/>
      <c r="W244" s="190"/>
      <c r="X244" s="191"/>
      <c r="Y244" s="191"/>
      <c r="Z244" s="191"/>
      <c r="AA244" s="191"/>
      <c r="AB244" s="191"/>
      <c r="AC244" s="191"/>
      <c r="AD244" s="191"/>
      <c r="AE244" s="191"/>
      <c r="AF244" s="191"/>
      <c r="AG244" s="191"/>
      <c r="AH244" s="191"/>
      <c r="AI244" s="127"/>
      <c r="AJ244" s="191"/>
      <c r="AK244" s="191"/>
      <c r="AL244" s="190"/>
      <c r="AM244" s="191"/>
      <c r="AQ244" s="194"/>
      <c r="AR244" s="127"/>
      <c r="AS244" s="194"/>
      <c r="AT244" s="194"/>
      <c r="AU244" s="194"/>
      <c r="AV244" s="194"/>
      <c r="AW244" s="194"/>
      <c r="AX244" s="194"/>
      <c r="AY244" s="193"/>
      <c r="AZ244" s="194"/>
      <c r="BA244" s="21"/>
      <c r="BE244" s="188" t="s">
        <v>1866</v>
      </c>
      <c r="BF244" s="188" t="s">
        <v>3971</v>
      </c>
      <c r="BG244" s="127">
        <v>42893</v>
      </c>
      <c r="BH244" s="188" t="s">
        <v>10</v>
      </c>
      <c r="BI244" s="188" t="s">
        <v>598</v>
      </c>
      <c r="BJ244" s="189">
        <v>5000</v>
      </c>
      <c r="BK244" s="188" t="s">
        <v>493</v>
      </c>
      <c r="BL244" s="188" t="s">
        <v>598</v>
      </c>
      <c r="BM244" s="189">
        <v>0</v>
      </c>
      <c r="BN244" s="188" t="s">
        <v>598</v>
      </c>
      <c r="BO244" s="127">
        <v>42843</v>
      </c>
      <c r="BP244" s="188" t="s">
        <v>118</v>
      </c>
      <c r="BQ244" s="188" t="s">
        <v>92</v>
      </c>
      <c r="BR244" s="188" t="s">
        <v>598</v>
      </c>
      <c r="BS244" s="188" t="s">
        <v>598</v>
      </c>
      <c r="BT244" s="188" t="s">
        <v>79</v>
      </c>
      <c r="BU244" s="188" t="s">
        <v>79</v>
      </c>
      <c r="BV244" s="188" t="s">
        <v>598</v>
      </c>
      <c r="BZ244" s="188">
        <v>243</v>
      </c>
      <c r="CA244" s="127">
        <v>42886</v>
      </c>
      <c r="CB244" s="188" t="s">
        <v>4484</v>
      </c>
      <c r="CC244" s="188" t="s">
        <v>275</v>
      </c>
      <c r="CD244" s="188" t="s">
        <v>79</v>
      </c>
      <c r="CE244" s="188" t="s">
        <v>84</v>
      </c>
      <c r="CF244" s="188" t="s">
        <v>10</v>
      </c>
      <c r="CG244" s="188"/>
      <c r="CH244" s="189">
        <v>1500</v>
      </c>
      <c r="CI244" s="188"/>
    </row>
    <row r="245" spans="5:87">
      <c r="E245" s="21"/>
      <c r="Q245" s="191"/>
      <c r="R245" s="191"/>
      <c r="S245" s="191"/>
      <c r="T245" s="127"/>
      <c r="U245" s="127"/>
      <c r="V245" s="191"/>
      <c r="W245" s="190"/>
      <c r="X245" s="191"/>
      <c r="Y245" s="191"/>
      <c r="Z245" s="191"/>
      <c r="AA245" s="191"/>
      <c r="AB245" s="191"/>
      <c r="AC245" s="191"/>
      <c r="AD245" s="191"/>
      <c r="AE245" s="191"/>
      <c r="AF245" s="191"/>
      <c r="AG245" s="191"/>
      <c r="AH245" s="191"/>
      <c r="AI245" s="127"/>
      <c r="AJ245" s="191"/>
      <c r="AK245" s="191"/>
      <c r="AL245" s="190"/>
      <c r="AM245" s="191"/>
      <c r="AQ245" s="194"/>
      <c r="AR245" s="127"/>
      <c r="AS245" s="194"/>
      <c r="AT245" s="194"/>
      <c r="AU245" s="194"/>
      <c r="AV245" s="194"/>
      <c r="AW245" s="194"/>
      <c r="AX245" s="194"/>
      <c r="AY245" s="193"/>
      <c r="AZ245" s="194"/>
      <c r="BA245" s="21"/>
      <c r="BE245" s="188" t="s">
        <v>1877</v>
      </c>
      <c r="BF245" s="188" t="s">
        <v>3972</v>
      </c>
      <c r="BG245" s="127">
        <v>42899</v>
      </c>
      <c r="BH245" s="188" t="s">
        <v>10</v>
      </c>
      <c r="BI245" s="188" t="s">
        <v>598</v>
      </c>
      <c r="BJ245" s="189">
        <v>4000</v>
      </c>
      <c r="BK245" s="188" t="s">
        <v>493</v>
      </c>
      <c r="BL245" s="188" t="s">
        <v>598</v>
      </c>
      <c r="BM245" s="189">
        <v>0</v>
      </c>
      <c r="BN245" s="188" t="s">
        <v>598</v>
      </c>
      <c r="BO245" s="127">
        <v>42867</v>
      </c>
      <c r="BP245" s="188" t="s">
        <v>134</v>
      </c>
      <c r="BQ245" s="188" t="s">
        <v>92</v>
      </c>
      <c r="BR245" s="188" t="s">
        <v>290</v>
      </c>
      <c r="BS245" s="188" t="s">
        <v>598</v>
      </c>
      <c r="BT245" s="188" t="s">
        <v>79</v>
      </c>
      <c r="BU245" s="188" t="s">
        <v>112</v>
      </c>
      <c r="BV245" s="188" t="s">
        <v>598</v>
      </c>
      <c r="BZ245" s="188">
        <v>244</v>
      </c>
      <c r="CA245" s="127">
        <v>42857</v>
      </c>
      <c r="CB245" s="188" t="s">
        <v>4485</v>
      </c>
      <c r="CC245" s="188" t="s">
        <v>275</v>
      </c>
      <c r="CD245" s="188" t="s">
        <v>30</v>
      </c>
      <c r="CE245" s="188" t="s">
        <v>108</v>
      </c>
      <c r="CF245" s="188" t="s">
        <v>10</v>
      </c>
      <c r="CG245" s="188"/>
      <c r="CH245" s="189">
        <v>6000</v>
      </c>
      <c r="CI245" s="188"/>
    </row>
    <row r="246" spans="5:87">
      <c r="E246" s="21"/>
      <c r="Q246" s="191"/>
      <c r="R246" s="191"/>
      <c r="S246" s="191"/>
      <c r="T246" s="127"/>
      <c r="U246" s="127"/>
      <c r="V246" s="191"/>
      <c r="W246" s="190"/>
      <c r="X246" s="191"/>
      <c r="Y246" s="191"/>
      <c r="Z246" s="191"/>
      <c r="AA246" s="191"/>
      <c r="AB246" s="191"/>
      <c r="AC246" s="191"/>
      <c r="AD246" s="191"/>
      <c r="AE246" s="191"/>
      <c r="AF246" s="191"/>
      <c r="AG246" s="191"/>
      <c r="AH246" s="191"/>
      <c r="AI246" s="127"/>
      <c r="AJ246" s="191"/>
      <c r="AK246" s="191"/>
      <c r="AL246" s="190"/>
      <c r="AM246" s="191"/>
      <c r="AQ246" s="194"/>
      <c r="AR246" s="127"/>
      <c r="AS246" s="194"/>
      <c r="AT246" s="194"/>
      <c r="AU246" s="194"/>
      <c r="AV246" s="194"/>
      <c r="AW246" s="194"/>
      <c r="AX246" s="194"/>
      <c r="AY246" s="193"/>
      <c r="AZ246" s="194"/>
      <c r="BA246" s="21"/>
      <c r="BE246" s="188" t="s">
        <v>1883</v>
      </c>
      <c r="BF246" s="188" t="s">
        <v>3973</v>
      </c>
      <c r="BG246" s="127">
        <v>42887</v>
      </c>
      <c r="BH246" s="188" t="s">
        <v>34</v>
      </c>
      <c r="BI246" s="188" t="s">
        <v>598</v>
      </c>
      <c r="BJ246" s="189">
        <v>2300</v>
      </c>
      <c r="BK246" s="188" t="s">
        <v>493</v>
      </c>
      <c r="BL246" s="188" t="s">
        <v>598</v>
      </c>
      <c r="BM246" s="189">
        <v>0</v>
      </c>
      <c r="BN246" s="188" t="s">
        <v>598</v>
      </c>
      <c r="BO246" s="127">
        <v>42878</v>
      </c>
      <c r="BP246" s="188" t="s">
        <v>118</v>
      </c>
      <c r="BQ246" s="188" t="s">
        <v>92</v>
      </c>
      <c r="BR246" s="188" t="s">
        <v>285</v>
      </c>
      <c r="BS246" s="188" t="s">
        <v>598</v>
      </c>
      <c r="BT246" s="188" t="s">
        <v>79</v>
      </c>
      <c r="BU246" s="188" t="s">
        <v>112</v>
      </c>
      <c r="BV246" s="188" t="s">
        <v>598</v>
      </c>
      <c r="BZ246" s="188">
        <v>245</v>
      </c>
      <c r="CA246" s="127">
        <v>42860</v>
      </c>
      <c r="CB246" s="188" t="s">
        <v>4486</v>
      </c>
      <c r="CC246" s="188" t="s">
        <v>275</v>
      </c>
      <c r="CD246" s="188" t="s">
        <v>30</v>
      </c>
      <c r="CE246" s="188" t="s">
        <v>108</v>
      </c>
      <c r="CF246" s="188" t="s">
        <v>10</v>
      </c>
      <c r="CG246" s="188"/>
      <c r="CH246" s="189">
        <v>10000</v>
      </c>
      <c r="CI246" s="188"/>
    </row>
    <row r="247" spans="5:87">
      <c r="E247" s="21"/>
      <c r="Q247" s="191"/>
      <c r="R247" s="191"/>
      <c r="S247" s="191"/>
      <c r="T247" s="127"/>
      <c r="U247" s="127"/>
      <c r="V247" s="191"/>
      <c r="W247" s="190"/>
      <c r="X247" s="191"/>
      <c r="Y247" s="191"/>
      <c r="Z247" s="191"/>
      <c r="AA247" s="191"/>
      <c r="AB247" s="191"/>
      <c r="AC247" s="191"/>
      <c r="AD247" s="191"/>
      <c r="AE247" s="191"/>
      <c r="AF247" s="191"/>
      <c r="AG247" s="191"/>
      <c r="AH247" s="191"/>
      <c r="AI247" s="127"/>
      <c r="AJ247" s="191"/>
      <c r="AK247" s="191"/>
      <c r="AL247" s="190"/>
      <c r="AM247" s="191"/>
      <c r="AQ247" s="194"/>
      <c r="AR247" s="127"/>
      <c r="AS247" s="194"/>
      <c r="AT247" s="194"/>
      <c r="AU247" s="194"/>
      <c r="AV247" s="194"/>
      <c r="AW247" s="194"/>
      <c r="AX247" s="194"/>
      <c r="AY247" s="193"/>
      <c r="AZ247" s="194"/>
      <c r="BA247" s="21"/>
      <c r="BE247" s="188" t="s">
        <v>1889</v>
      </c>
      <c r="BF247" s="188" t="s">
        <v>3974</v>
      </c>
      <c r="BG247" s="127">
        <v>42916</v>
      </c>
      <c r="BH247" s="188" t="s">
        <v>34</v>
      </c>
      <c r="BI247" s="188" t="s">
        <v>598</v>
      </c>
      <c r="BJ247" s="189">
        <v>2500</v>
      </c>
      <c r="BK247" s="188" t="s">
        <v>493</v>
      </c>
      <c r="BL247" s="188" t="s">
        <v>598</v>
      </c>
      <c r="BM247" s="189">
        <v>0</v>
      </c>
      <c r="BN247" s="188" t="s">
        <v>598</v>
      </c>
      <c r="BO247" s="127">
        <v>42882</v>
      </c>
      <c r="BP247" s="188" t="s">
        <v>134</v>
      </c>
      <c r="BQ247" s="188" t="s">
        <v>92</v>
      </c>
      <c r="BR247" s="188" t="s">
        <v>285</v>
      </c>
      <c r="BS247" s="188" t="s">
        <v>598</v>
      </c>
      <c r="BT247" s="188" t="s">
        <v>79</v>
      </c>
      <c r="BU247" s="188" t="s">
        <v>79</v>
      </c>
      <c r="BV247" s="188" t="s">
        <v>598</v>
      </c>
      <c r="BZ247" s="188">
        <v>246</v>
      </c>
      <c r="CA247" s="127">
        <v>42866</v>
      </c>
      <c r="CB247" s="188" t="s">
        <v>4487</v>
      </c>
      <c r="CC247" s="188" t="s">
        <v>275</v>
      </c>
      <c r="CD247" s="188" t="s">
        <v>30</v>
      </c>
      <c r="CE247" s="188" t="s">
        <v>108</v>
      </c>
      <c r="CF247" s="188" t="s">
        <v>10</v>
      </c>
      <c r="CG247" s="188"/>
      <c r="CH247" s="189">
        <v>1500</v>
      </c>
      <c r="CI247" s="188"/>
    </row>
    <row r="248" spans="5:87">
      <c r="E248" s="21"/>
      <c r="Q248" s="191"/>
      <c r="R248" s="191"/>
      <c r="S248" s="191"/>
      <c r="T248" s="127"/>
      <c r="U248" s="127"/>
      <c r="V248" s="191"/>
      <c r="W248" s="190"/>
      <c r="X248" s="191"/>
      <c r="Y248" s="191"/>
      <c r="Z248" s="191"/>
      <c r="AA248" s="191"/>
      <c r="AB248" s="191"/>
      <c r="AC248" s="191"/>
      <c r="AD248" s="191"/>
      <c r="AE248" s="191"/>
      <c r="AF248" s="191"/>
      <c r="AG248" s="191"/>
      <c r="AH248" s="191"/>
      <c r="AI248" s="127"/>
      <c r="AJ248" s="191"/>
      <c r="AK248" s="191"/>
      <c r="AL248" s="190"/>
      <c r="AM248" s="191"/>
      <c r="AQ248" s="194"/>
      <c r="AR248" s="127"/>
      <c r="AS248" s="194"/>
      <c r="AT248" s="194"/>
      <c r="AU248" s="194"/>
      <c r="AV248" s="194"/>
      <c r="AW248" s="194"/>
      <c r="AX248" s="194"/>
      <c r="AY248" s="193"/>
      <c r="AZ248" s="194"/>
      <c r="BA248" s="21"/>
      <c r="BE248" s="188" t="s">
        <v>1891</v>
      </c>
      <c r="BF248" s="188" t="s">
        <v>3975</v>
      </c>
      <c r="BG248" s="127">
        <v>42891</v>
      </c>
      <c r="BH248" s="188" t="s">
        <v>34</v>
      </c>
      <c r="BI248" s="188" t="s">
        <v>598</v>
      </c>
      <c r="BJ248" s="189">
        <v>6000</v>
      </c>
      <c r="BK248" s="188" t="s">
        <v>493</v>
      </c>
      <c r="BL248" s="188" t="s">
        <v>598</v>
      </c>
      <c r="BM248" s="189">
        <v>0</v>
      </c>
      <c r="BN248" s="188" t="s">
        <v>598</v>
      </c>
      <c r="BO248" s="127">
        <v>42884</v>
      </c>
      <c r="BP248" s="188" t="s">
        <v>598</v>
      </c>
      <c r="BQ248" s="188" t="s">
        <v>92</v>
      </c>
      <c r="BR248" s="188" t="s">
        <v>598</v>
      </c>
      <c r="BS248" s="188" t="s">
        <v>598</v>
      </c>
      <c r="BT248" s="188" t="s">
        <v>79</v>
      </c>
      <c r="BU248" s="188" t="s">
        <v>112</v>
      </c>
      <c r="BV248" s="188" t="s">
        <v>598</v>
      </c>
      <c r="BZ248" s="188">
        <v>247</v>
      </c>
      <c r="CA248" s="127">
        <v>42866</v>
      </c>
      <c r="CB248" s="188" t="s">
        <v>4488</v>
      </c>
      <c r="CC248" s="188" t="s">
        <v>275</v>
      </c>
      <c r="CD248" s="188" t="s">
        <v>30</v>
      </c>
      <c r="CE248" s="188" t="s">
        <v>108</v>
      </c>
      <c r="CF248" s="188" t="s">
        <v>10</v>
      </c>
      <c r="CG248" s="188"/>
      <c r="CH248" s="189">
        <v>4000</v>
      </c>
      <c r="CI248" s="188"/>
    </row>
    <row r="249" spans="5:87">
      <c r="E249" s="21"/>
      <c r="Q249" s="191"/>
      <c r="R249" s="191"/>
      <c r="S249" s="191"/>
      <c r="T249" s="127"/>
      <c r="U249" s="127"/>
      <c r="V249" s="191"/>
      <c r="W249" s="190"/>
      <c r="X249" s="191"/>
      <c r="Y249" s="191"/>
      <c r="Z249" s="191"/>
      <c r="AA249" s="191"/>
      <c r="AB249" s="191"/>
      <c r="AC249" s="191"/>
      <c r="AD249" s="191"/>
      <c r="AE249" s="191"/>
      <c r="AF249" s="191"/>
      <c r="AG249" s="191"/>
      <c r="AH249" s="191"/>
      <c r="AI249" s="127"/>
      <c r="AJ249" s="191"/>
      <c r="AK249" s="191"/>
      <c r="AL249" s="190"/>
      <c r="AM249" s="191"/>
      <c r="AQ249" s="194"/>
      <c r="AR249" s="127"/>
      <c r="AS249" s="194"/>
      <c r="AT249" s="194"/>
      <c r="AU249" s="194"/>
      <c r="AV249" s="194"/>
      <c r="AW249" s="194"/>
      <c r="AX249" s="194"/>
      <c r="AY249" s="193"/>
      <c r="AZ249" s="194"/>
      <c r="BA249" s="21"/>
      <c r="BE249" s="188" t="s">
        <v>1915</v>
      </c>
      <c r="BF249" s="188" t="s">
        <v>3976</v>
      </c>
      <c r="BG249" s="127">
        <v>42910</v>
      </c>
      <c r="BH249" s="188" t="s">
        <v>34</v>
      </c>
      <c r="BI249" s="188" t="s">
        <v>598</v>
      </c>
      <c r="BJ249" s="189">
        <v>3000</v>
      </c>
      <c r="BK249" s="188" t="s">
        <v>493</v>
      </c>
      <c r="BL249" s="188" t="s">
        <v>598</v>
      </c>
      <c r="BM249" s="189">
        <v>0</v>
      </c>
      <c r="BN249" s="188" t="s">
        <v>598</v>
      </c>
      <c r="BO249" s="127">
        <v>42908</v>
      </c>
      <c r="BP249" s="188" t="s">
        <v>134</v>
      </c>
      <c r="BQ249" s="188" t="s">
        <v>84</v>
      </c>
      <c r="BR249" s="188" t="s">
        <v>598</v>
      </c>
      <c r="BS249" s="188" t="s">
        <v>1911</v>
      </c>
      <c r="BT249" s="188" t="s">
        <v>42</v>
      </c>
      <c r="BU249" s="188" t="s">
        <v>598</v>
      </c>
      <c r="BV249" s="188" t="s">
        <v>598</v>
      </c>
      <c r="BZ249" s="188">
        <v>248</v>
      </c>
      <c r="CA249" s="127">
        <v>42866</v>
      </c>
      <c r="CB249" s="188" t="s">
        <v>4489</v>
      </c>
      <c r="CC249" s="188" t="s">
        <v>275</v>
      </c>
      <c r="CD249" s="188" t="s">
        <v>30</v>
      </c>
      <c r="CE249" s="188" t="s">
        <v>108</v>
      </c>
      <c r="CF249" s="188" t="s">
        <v>10</v>
      </c>
      <c r="CG249" s="188"/>
      <c r="CH249" s="189">
        <v>3500</v>
      </c>
      <c r="CI249" s="188"/>
    </row>
    <row r="250" spans="5:87">
      <c r="E250" s="21"/>
      <c r="Q250" s="191"/>
      <c r="R250" s="191"/>
      <c r="S250" s="191"/>
      <c r="T250" s="127"/>
      <c r="U250" s="127"/>
      <c r="V250" s="191"/>
      <c r="W250" s="190"/>
      <c r="X250" s="191"/>
      <c r="Y250" s="191"/>
      <c r="Z250" s="191"/>
      <c r="AA250" s="191"/>
      <c r="AB250" s="191"/>
      <c r="AC250" s="191"/>
      <c r="AD250" s="191"/>
      <c r="AE250" s="191"/>
      <c r="AF250" s="191"/>
      <c r="AG250" s="191"/>
      <c r="AH250" s="191"/>
      <c r="AI250" s="127"/>
      <c r="AJ250" s="191"/>
      <c r="AK250" s="191"/>
      <c r="AL250" s="190"/>
      <c r="AM250" s="191"/>
      <c r="AQ250" s="194"/>
      <c r="AR250" s="127"/>
      <c r="AS250" s="194"/>
      <c r="AT250" s="194"/>
      <c r="AU250" s="194"/>
      <c r="AV250" s="194"/>
      <c r="AW250" s="194"/>
      <c r="AX250" s="194"/>
      <c r="AY250" s="193"/>
      <c r="AZ250" s="194"/>
      <c r="BA250" s="21"/>
      <c r="BE250" s="188" t="s">
        <v>1931</v>
      </c>
      <c r="BF250" s="188" t="s">
        <v>3977</v>
      </c>
      <c r="BG250" s="127">
        <v>42914</v>
      </c>
      <c r="BH250" s="188" t="s">
        <v>10</v>
      </c>
      <c r="BI250" s="188" t="s">
        <v>598</v>
      </c>
      <c r="BJ250" s="189">
        <v>10000</v>
      </c>
      <c r="BK250" s="188" t="s">
        <v>493</v>
      </c>
      <c r="BL250" s="188" t="s">
        <v>598</v>
      </c>
      <c r="BM250" s="189">
        <v>0</v>
      </c>
      <c r="BN250" s="188" t="s">
        <v>598</v>
      </c>
      <c r="BO250" s="127">
        <v>42908</v>
      </c>
      <c r="BP250" s="188" t="s">
        <v>134</v>
      </c>
      <c r="BQ250" s="188" t="s">
        <v>84</v>
      </c>
      <c r="BR250" s="188" t="s">
        <v>281</v>
      </c>
      <c r="BS250" s="188" t="s">
        <v>1933</v>
      </c>
      <c r="BT250" s="188" t="s">
        <v>42</v>
      </c>
      <c r="BU250" s="188" t="s">
        <v>598</v>
      </c>
      <c r="BV250" s="188" t="s">
        <v>598</v>
      </c>
      <c r="BZ250" s="188">
        <v>249</v>
      </c>
      <c r="CA250" s="127">
        <v>42866</v>
      </c>
      <c r="CB250" s="188" t="s">
        <v>4490</v>
      </c>
      <c r="CC250" s="188" t="s">
        <v>275</v>
      </c>
      <c r="CD250" s="188" t="s">
        <v>30</v>
      </c>
      <c r="CE250" s="188" t="s">
        <v>108</v>
      </c>
      <c r="CF250" s="188" t="s">
        <v>10</v>
      </c>
      <c r="CG250" s="188"/>
      <c r="CH250" s="189">
        <v>3000</v>
      </c>
      <c r="CI250" s="188"/>
    </row>
    <row r="251" spans="5:87">
      <c r="E251" s="21"/>
      <c r="Q251" s="191"/>
      <c r="R251" s="191"/>
      <c r="S251" s="191"/>
      <c r="T251" s="127"/>
      <c r="U251" s="127"/>
      <c r="V251" s="191"/>
      <c r="W251" s="190"/>
      <c r="X251" s="191"/>
      <c r="Y251" s="191"/>
      <c r="Z251" s="191"/>
      <c r="AA251" s="191"/>
      <c r="AB251" s="191"/>
      <c r="AC251" s="191"/>
      <c r="AD251" s="191"/>
      <c r="AE251" s="191"/>
      <c r="AF251" s="191"/>
      <c r="AG251" s="191"/>
      <c r="AH251" s="191"/>
      <c r="AI251" s="127"/>
      <c r="AJ251" s="191"/>
      <c r="AK251" s="191"/>
      <c r="AL251" s="190"/>
      <c r="AM251" s="191"/>
      <c r="AQ251" s="194"/>
      <c r="AR251" s="127"/>
      <c r="AS251" s="194"/>
      <c r="AT251" s="194"/>
      <c r="AU251" s="194"/>
      <c r="AV251" s="194"/>
      <c r="AW251" s="194"/>
      <c r="AX251" s="194"/>
      <c r="AY251" s="193"/>
      <c r="AZ251" s="194"/>
      <c r="BA251" s="21"/>
      <c r="BE251" s="188" t="s">
        <v>1945</v>
      </c>
      <c r="BF251" s="188" t="s">
        <v>3978</v>
      </c>
      <c r="BG251" s="127">
        <v>42910</v>
      </c>
      <c r="BH251" s="188" t="s">
        <v>10</v>
      </c>
      <c r="BI251" s="188" t="s">
        <v>598</v>
      </c>
      <c r="BJ251" s="189">
        <v>3000</v>
      </c>
      <c r="BK251" s="188" t="s">
        <v>493</v>
      </c>
      <c r="BL251" s="188" t="s">
        <v>598</v>
      </c>
      <c r="BM251" s="189">
        <v>0</v>
      </c>
      <c r="BN251" s="188" t="s">
        <v>598</v>
      </c>
      <c r="BO251" s="127">
        <v>42905</v>
      </c>
      <c r="BP251" s="188" t="s">
        <v>48</v>
      </c>
      <c r="BQ251" s="188" t="s">
        <v>84</v>
      </c>
      <c r="BR251" s="188" t="s">
        <v>276</v>
      </c>
      <c r="BS251" s="188" t="s">
        <v>1941</v>
      </c>
      <c r="BT251" s="188" t="s">
        <v>42</v>
      </c>
      <c r="BU251" s="188" t="s">
        <v>598</v>
      </c>
      <c r="BV251" s="188" t="s">
        <v>598</v>
      </c>
      <c r="BZ251" s="188">
        <v>250</v>
      </c>
      <c r="CA251" s="127">
        <v>42866</v>
      </c>
      <c r="CB251" s="188" t="s">
        <v>4491</v>
      </c>
      <c r="CC251" s="188" t="s">
        <v>275</v>
      </c>
      <c r="CD251" s="188" t="s">
        <v>30</v>
      </c>
      <c r="CE251" s="188" t="s">
        <v>108</v>
      </c>
      <c r="CF251" s="188" t="s">
        <v>10</v>
      </c>
      <c r="CG251" s="188"/>
      <c r="CH251" s="189">
        <v>5000</v>
      </c>
      <c r="CI251" s="188"/>
    </row>
    <row r="252" spans="5:87">
      <c r="E252" s="21"/>
      <c r="Q252" s="191"/>
      <c r="R252" s="191"/>
      <c r="S252" s="191"/>
      <c r="T252" s="127"/>
      <c r="U252" s="127"/>
      <c r="V252" s="191"/>
      <c r="W252" s="190"/>
      <c r="X252" s="191"/>
      <c r="Y252" s="191"/>
      <c r="Z252" s="191"/>
      <c r="AA252" s="191"/>
      <c r="AB252" s="191"/>
      <c r="AC252" s="191"/>
      <c r="AD252" s="191"/>
      <c r="AE252" s="191"/>
      <c r="AF252" s="191"/>
      <c r="AG252" s="191"/>
      <c r="AH252" s="191"/>
      <c r="AI252" s="127"/>
      <c r="AJ252" s="191"/>
      <c r="AK252" s="191"/>
      <c r="AL252" s="190"/>
      <c r="AM252" s="191"/>
      <c r="AQ252" s="194"/>
      <c r="AR252" s="127"/>
      <c r="AS252" s="194"/>
      <c r="AT252" s="194"/>
      <c r="AU252" s="194"/>
      <c r="AV252" s="194"/>
      <c r="AW252" s="194"/>
      <c r="AX252" s="194"/>
      <c r="AY252" s="193"/>
      <c r="AZ252" s="194"/>
      <c r="BA252" s="21"/>
      <c r="BE252" s="188" t="s">
        <v>1955</v>
      </c>
      <c r="BF252" s="188" t="s">
        <v>3979</v>
      </c>
      <c r="BG252" s="127">
        <v>42898</v>
      </c>
      <c r="BH252" s="188" t="s">
        <v>34</v>
      </c>
      <c r="BI252" s="188" t="s">
        <v>598</v>
      </c>
      <c r="BJ252" s="189">
        <v>3000</v>
      </c>
      <c r="BK252" s="188" t="s">
        <v>493</v>
      </c>
      <c r="BL252" s="188" t="s">
        <v>598</v>
      </c>
      <c r="BM252" s="189">
        <v>0</v>
      </c>
      <c r="BN252" s="188" t="s">
        <v>598</v>
      </c>
      <c r="BO252" s="127">
        <v>42898</v>
      </c>
      <c r="BP252" s="188" t="s">
        <v>134</v>
      </c>
      <c r="BQ252" s="188" t="s">
        <v>84</v>
      </c>
      <c r="BR252" s="188" t="s">
        <v>293</v>
      </c>
      <c r="BS252" s="188" t="s">
        <v>1957</v>
      </c>
      <c r="BT252" s="188" t="s">
        <v>42</v>
      </c>
      <c r="BU252" s="188" t="s">
        <v>42</v>
      </c>
      <c r="BV252" s="188" t="s">
        <v>598</v>
      </c>
      <c r="BZ252" s="188">
        <v>251</v>
      </c>
      <c r="CA252" s="127">
        <v>42866</v>
      </c>
      <c r="CB252" s="188" t="s">
        <v>4492</v>
      </c>
      <c r="CC252" s="188" t="s">
        <v>275</v>
      </c>
      <c r="CD252" s="188" t="s">
        <v>30</v>
      </c>
      <c r="CE252" s="188" t="s">
        <v>108</v>
      </c>
      <c r="CF252" s="188" t="s">
        <v>10</v>
      </c>
      <c r="CG252" s="188"/>
      <c r="CH252" s="189">
        <v>5000</v>
      </c>
      <c r="CI252" s="188"/>
    </row>
    <row r="253" spans="5:87">
      <c r="E253" s="21"/>
      <c r="Q253" s="191"/>
      <c r="R253" s="191"/>
      <c r="S253" s="191"/>
      <c r="T253" s="127"/>
      <c r="U253" s="127"/>
      <c r="V253" s="191"/>
      <c r="W253" s="190"/>
      <c r="X253" s="191"/>
      <c r="Y253" s="191"/>
      <c r="Z253" s="191"/>
      <c r="AA253" s="191"/>
      <c r="AB253" s="191"/>
      <c r="AC253" s="191"/>
      <c r="AD253" s="191"/>
      <c r="AE253" s="191"/>
      <c r="AF253" s="191"/>
      <c r="AG253" s="191"/>
      <c r="AH253" s="191"/>
      <c r="AI253" s="127"/>
      <c r="AJ253" s="191"/>
      <c r="AK253" s="191"/>
      <c r="AL253" s="190"/>
      <c r="AM253" s="191"/>
      <c r="AQ253" s="194"/>
      <c r="AR253" s="127"/>
      <c r="AS253" s="194"/>
      <c r="AT253" s="194"/>
      <c r="AU253" s="194"/>
      <c r="AV253" s="194"/>
      <c r="AW253" s="194"/>
      <c r="AX253" s="194"/>
      <c r="AY253" s="193"/>
      <c r="AZ253" s="194"/>
      <c r="BA253" s="21"/>
      <c r="BE253" s="188" t="s">
        <v>1958</v>
      </c>
      <c r="BF253" s="188" t="s">
        <v>3980</v>
      </c>
      <c r="BG253" s="127">
        <v>42903</v>
      </c>
      <c r="BH253" s="188" t="s">
        <v>10</v>
      </c>
      <c r="BI253" s="188" t="s">
        <v>598</v>
      </c>
      <c r="BJ253" s="189">
        <v>3000</v>
      </c>
      <c r="BK253" s="188" t="s">
        <v>493</v>
      </c>
      <c r="BL253" s="188" t="s">
        <v>598</v>
      </c>
      <c r="BM253" s="189">
        <v>0</v>
      </c>
      <c r="BN253" s="188" t="s">
        <v>598</v>
      </c>
      <c r="BO253" s="127">
        <v>42898</v>
      </c>
      <c r="BP253" s="188" t="s">
        <v>134</v>
      </c>
      <c r="BQ253" s="188" t="s">
        <v>84</v>
      </c>
      <c r="BR253" s="188" t="s">
        <v>293</v>
      </c>
      <c r="BS253" s="188" t="s">
        <v>1957</v>
      </c>
      <c r="BT253" s="188" t="s">
        <v>42</v>
      </c>
      <c r="BU253" s="188" t="s">
        <v>51</v>
      </c>
      <c r="BV253" s="188" t="s">
        <v>598</v>
      </c>
      <c r="BZ253" s="188">
        <v>252</v>
      </c>
      <c r="CA253" s="127">
        <v>42866</v>
      </c>
      <c r="CB253" s="188" t="s">
        <v>4493</v>
      </c>
      <c r="CC253" s="188" t="s">
        <v>275</v>
      </c>
      <c r="CD253" s="188" t="s">
        <v>30</v>
      </c>
      <c r="CE253" s="188" t="s">
        <v>108</v>
      </c>
      <c r="CF253" s="188" t="s">
        <v>10</v>
      </c>
      <c r="CG253" s="188"/>
      <c r="CH253" s="189">
        <v>8500</v>
      </c>
      <c r="CI253" s="188"/>
    </row>
    <row r="254" spans="5:87">
      <c r="E254" s="21"/>
      <c r="Q254" s="191"/>
      <c r="R254" s="191"/>
      <c r="S254" s="191"/>
      <c r="T254" s="127"/>
      <c r="U254" s="127"/>
      <c r="V254" s="191"/>
      <c r="W254" s="190"/>
      <c r="X254" s="191"/>
      <c r="Y254" s="191"/>
      <c r="Z254" s="191"/>
      <c r="AA254" s="191"/>
      <c r="AB254" s="191"/>
      <c r="AC254" s="191"/>
      <c r="AD254" s="191"/>
      <c r="AE254" s="191"/>
      <c r="AF254" s="191"/>
      <c r="AG254" s="191"/>
      <c r="AH254" s="191"/>
      <c r="AI254" s="127"/>
      <c r="AJ254" s="191"/>
      <c r="AK254" s="191"/>
      <c r="AL254" s="190"/>
      <c r="AM254" s="191"/>
      <c r="AQ254" s="194"/>
      <c r="AR254" s="127"/>
      <c r="AS254" s="194"/>
      <c r="AT254" s="194"/>
      <c r="AU254" s="194"/>
      <c r="AV254" s="194"/>
      <c r="AW254" s="194"/>
      <c r="AX254" s="194"/>
      <c r="AY254" s="193"/>
      <c r="AZ254" s="194"/>
      <c r="BA254" s="21"/>
      <c r="BE254" s="188" t="s">
        <v>1963</v>
      </c>
      <c r="BF254" s="188" t="s">
        <v>3981</v>
      </c>
      <c r="BG254" s="127">
        <v>42902</v>
      </c>
      <c r="BH254" s="188" t="s">
        <v>10</v>
      </c>
      <c r="BI254" s="188" t="s">
        <v>598</v>
      </c>
      <c r="BJ254" s="189">
        <v>3000</v>
      </c>
      <c r="BK254" s="188" t="s">
        <v>493</v>
      </c>
      <c r="BL254" s="188" t="s">
        <v>598</v>
      </c>
      <c r="BM254" s="189">
        <v>0</v>
      </c>
      <c r="BN254" s="188" t="s">
        <v>598</v>
      </c>
      <c r="BO254" s="127">
        <v>42898</v>
      </c>
      <c r="BP254" s="188" t="s">
        <v>122</v>
      </c>
      <c r="BQ254" s="188" t="s">
        <v>84</v>
      </c>
      <c r="BR254" s="188" t="s">
        <v>276</v>
      </c>
      <c r="BS254" s="188" t="s">
        <v>1965</v>
      </c>
      <c r="BT254" s="188" t="s">
        <v>42</v>
      </c>
      <c r="BU254" s="188" t="s">
        <v>98</v>
      </c>
      <c r="BV254" s="188" t="s">
        <v>598</v>
      </c>
      <c r="BZ254" s="188">
        <v>253</v>
      </c>
      <c r="CA254" s="127">
        <v>42867</v>
      </c>
      <c r="CB254" s="188" t="s">
        <v>4494</v>
      </c>
      <c r="CC254" s="188" t="s">
        <v>275</v>
      </c>
      <c r="CD254" s="188" t="s">
        <v>30</v>
      </c>
      <c r="CE254" s="188" t="s">
        <v>108</v>
      </c>
      <c r="CF254" s="188" t="s">
        <v>10</v>
      </c>
      <c r="CG254" s="188"/>
      <c r="CH254" s="189">
        <v>2000</v>
      </c>
      <c r="CI254" s="188"/>
    </row>
    <row r="255" spans="5:87">
      <c r="E255" s="21"/>
      <c r="Q255" s="191"/>
      <c r="R255" s="191"/>
      <c r="S255" s="191"/>
      <c r="T255" s="127"/>
      <c r="U255" s="127"/>
      <c r="V255" s="191"/>
      <c r="W255" s="190"/>
      <c r="X255" s="191"/>
      <c r="Y255" s="191"/>
      <c r="Z255" s="191"/>
      <c r="AA255" s="191"/>
      <c r="AB255" s="191"/>
      <c r="AC255" s="191"/>
      <c r="AD255" s="191"/>
      <c r="AE255" s="191"/>
      <c r="AF255" s="191"/>
      <c r="AG255" s="191"/>
      <c r="AH255" s="191"/>
      <c r="AI255" s="127"/>
      <c r="AJ255" s="191"/>
      <c r="AK255" s="191"/>
      <c r="AL255" s="190"/>
      <c r="AM255" s="191"/>
      <c r="AQ255" s="194"/>
      <c r="AR255" s="127"/>
      <c r="AS255" s="194"/>
      <c r="AT255" s="194"/>
      <c r="AU255" s="194"/>
      <c r="AV255" s="194"/>
      <c r="AW255" s="194"/>
      <c r="AX255" s="194"/>
      <c r="AY255" s="193"/>
      <c r="AZ255" s="194"/>
      <c r="BA255" s="21"/>
      <c r="BE255" s="188" t="s">
        <v>1966</v>
      </c>
      <c r="BF255" s="188" t="s">
        <v>3982</v>
      </c>
      <c r="BG255" s="127">
        <v>42896</v>
      </c>
      <c r="BH255" s="188" t="s">
        <v>34</v>
      </c>
      <c r="BI255" s="188" t="s">
        <v>598</v>
      </c>
      <c r="BJ255" s="189">
        <v>6000</v>
      </c>
      <c r="BK255" s="188" t="s">
        <v>493</v>
      </c>
      <c r="BL255" s="188" t="s">
        <v>598</v>
      </c>
      <c r="BM255" s="189">
        <v>0</v>
      </c>
      <c r="BN255" s="188" t="s">
        <v>598</v>
      </c>
      <c r="BO255" s="127">
        <v>42896</v>
      </c>
      <c r="BP255" s="188" t="s">
        <v>134</v>
      </c>
      <c r="BQ255" s="188" t="s">
        <v>84</v>
      </c>
      <c r="BR255" s="188" t="s">
        <v>281</v>
      </c>
      <c r="BS255" s="188" t="s">
        <v>598</v>
      </c>
      <c r="BT255" s="188" t="s">
        <v>42</v>
      </c>
      <c r="BU255" s="188" t="s">
        <v>598</v>
      </c>
      <c r="BV255" s="188" t="s">
        <v>598</v>
      </c>
      <c r="BZ255" s="188">
        <v>254</v>
      </c>
      <c r="CA255" s="127">
        <v>42867</v>
      </c>
      <c r="CB255" s="188" t="s">
        <v>4495</v>
      </c>
      <c r="CC255" s="188" t="s">
        <v>275</v>
      </c>
      <c r="CD255" s="188" t="s">
        <v>30</v>
      </c>
      <c r="CE255" s="188" t="s">
        <v>108</v>
      </c>
      <c r="CF255" s="188" t="s">
        <v>10</v>
      </c>
      <c r="CG255" s="188"/>
      <c r="CH255" s="189">
        <v>3500</v>
      </c>
      <c r="CI255" s="188"/>
    </row>
    <row r="256" spans="5:87">
      <c r="E256" s="21"/>
      <c r="Q256" s="191"/>
      <c r="R256" s="191"/>
      <c r="S256" s="191"/>
      <c r="T256" s="127"/>
      <c r="U256" s="127"/>
      <c r="V256" s="191"/>
      <c r="W256" s="190"/>
      <c r="X256" s="191"/>
      <c r="Y256" s="191"/>
      <c r="Z256" s="191"/>
      <c r="AA256" s="191"/>
      <c r="AB256" s="191"/>
      <c r="AC256" s="191"/>
      <c r="AD256" s="191"/>
      <c r="AE256" s="191"/>
      <c r="AF256" s="191"/>
      <c r="AG256" s="191"/>
      <c r="AH256" s="191"/>
      <c r="AI256" s="127"/>
      <c r="AJ256" s="191"/>
      <c r="AK256" s="191"/>
      <c r="AL256" s="190"/>
      <c r="AM256" s="191"/>
      <c r="AQ256" s="194"/>
      <c r="AR256" s="127"/>
      <c r="AS256" s="194"/>
      <c r="AT256" s="194"/>
      <c r="AU256" s="194"/>
      <c r="AV256" s="194"/>
      <c r="AW256" s="194"/>
      <c r="AX256" s="194"/>
      <c r="AY256" s="193"/>
      <c r="AZ256" s="194"/>
      <c r="BA256" s="21"/>
      <c r="BE256" s="188" t="s">
        <v>1972</v>
      </c>
      <c r="BF256" s="188" t="s">
        <v>3983</v>
      </c>
      <c r="BG256" s="127">
        <v>42908</v>
      </c>
      <c r="BH256" s="188" t="s">
        <v>10</v>
      </c>
      <c r="BI256" s="188" t="s">
        <v>598</v>
      </c>
      <c r="BJ256" s="189">
        <v>3000</v>
      </c>
      <c r="BK256" s="188" t="s">
        <v>493</v>
      </c>
      <c r="BL256" s="188" t="s">
        <v>598</v>
      </c>
      <c r="BM256" s="189">
        <v>0</v>
      </c>
      <c r="BN256" s="188" t="s">
        <v>598</v>
      </c>
      <c r="BO256" s="127">
        <v>42895</v>
      </c>
      <c r="BP256" s="188" t="s">
        <v>120</v>
      </c>
      <c r="BQ256" s="188" t="s">
        <v>84</v>
      </c>
      <c r="BR256" s="188" t="s">
        <v>295</v>
      </c>
      <c r="BS256" s="188" t="s">
        <v>72</v>
      </c>
      <c r="BT256" s="188" t="s">
        <v>42</v>
      </c>
      <c r="BU256" s="188" t="s">
        <v>598</v>
      </c>
      <c r="BV256" s="188" t="s">
        <v>598</v>
      </c>
      <c r="BZ256" s="188">
        <v>255</v>
      </c>
      <c r="CA256" s="127">
        <v>42875</v>
      </c>
      <c r="CB256" s="188" t="s">
        <v>4496</v>
      </c>
      <c r="CC256" s="188" t="s">
        <v>275</v>
      </c>
      <c r="CD256" s="188" t="s">
        <v>30</v>
      </c>
      <c r="CE256" s="188" t="s">
        <v>108</v>
      </c>
      <c r="CF256" s="188" t="s">
        <v>10</v>
      </c>
      <c r="CG256" s="188"/>
      <c r="CH256" s="189">
        <v>2000</v>
      </c>
      <c r="CI256" s="188"/>
    </row>
    <row r="257" spans="5:87">
      <c r="E257" s="21"/>
      <c r="Q257" s="191"/>
      <c r="R257" s="191"/>
      <c r="S257" s="191"/>
      <c r="T257" s="127"/>
      <c r="U257" s="127"/>
      <c r="V257" s="191"/>
      <c r="W257" s="190"/>
      <c r="X257" s="191"/>
      <c r="Y257" s="191"/>
      <c r="Z257" s="191"/>
      <c r="AA257" s="191"/>
      <c r="AB257" s="191"/>
      <c r="AC257" s="191"/>
      <c r="AD257" s="191"/>
      <c r="AE257" s="191"/>
      <c r="AF257" s="191"/>
      <c r="AG257" s="191"/>
      <c r="AH257" s="191"/>
      <c r="AI257" s="127"/>
      <c r="AJ257" s="191"/>
      <c r="AK257" s="191"/>
      <c r="AL257" s="190"/>
      <c r="AM257" s="191"/>
      <c r="AQ257" s="194"/>
      <c r="AR257" s="127"/>
      <c r="AS257" s="194"/>
      <c r="AT257" s="194"/>
      <c r="AU257" s="194"/>
      <c r="AV257" s="194"/>
      <c r="AW257" s="194"/>
      <c r="AX257" s="194"/>
      <c r="AY257" s="193"/>
      <c r="AZ257" s="194"/>
      <c r="BA257" s="21"/>
      <c r="BE257" s="188" t="s">
        <v>1987</v>
      </c>
      <c r="BF257" s="188" t="s">
        <v>3984</v>
      </c>
      <c r="BG257" s="127">
        <v>42898</v>
      </c>
      <c r="BH257" s="188" t="s">
        <v>10</v>
      </c>
      <c r="BI257" s="188" t="s">
        <v>598</v>
      </c>
      <c r="BJ257" s="189">
        <v>4000</v>
      </c>
      <c r="BK257" s="188" t="s">
        <v>493</v>
      </c>
      <c r="BL257" s="188" t="s">
        <v>598</v>
      </c>
      <c r="BM257" s="189">
        <v>0</v>
      </c>
      <c r="BN257" s="188" t="s">
        <v>598</v>
      </c>
      <c r="BO257" s="127">
        <v>42893</v>
      </c>
      <c r="BP257" s="188" t="s">
        <v>134</v>
      </c>
      <c r="BQ257" s="188" t="s">
        <v>84</v>
      </c>
      <c r="BR257" s="188" t="s">
        <v>293</v>
      </c>
      <c r="BS257" s="188" t="s">
        <v>598</v>
      </c>
      <c r="BT257" s="188" t="s">
        <v>42</v>
      </c>
      <c r="BU257" s="188" t="s">
        <v>42</v>
      </c>
      <c r="BV257" s="188" t="s">
        <v>598</v>
      </c>
      <c r="BZ257" s="188">
        <v>256</v>
      </c>
      <c r="CA257" s="127">
        <v>42880</v>
      </c>
      <c r="CB257" s="188" t="s">
        <v>4497</v>
      </c>
      <c r="CC257" s="188" t="s">
        <v>275</v>
      </c>
      <c r="CD257" s="188" t="s">
        <v>30</v>
      </c>
      <c r="CE257" s="188" t="s">
        <v>108</v>
      </c>
      <c r="CF257" s="188" t="s">
        <v>10</v>
      </c>
      <c r="CG257" s="188"/>
      <c r="CH257" s="189">
        <v>2000</v>
      </c>
      <c r="CI257" s="188"/>
    </row>
    <row r="258" spans="5:87">
      <c r="E258" s="21"/>
      <c r="Q258" s="191"/>
      <c r="R258" s="191"/>
      <c r="S258" s="191"/>
      <c r="T258" s="127"/>
      <c r="U258" s="127"/>
      <c r="V258" s="191"/>
      <c r="W258" s="190"/>
      <c r="X258" s="191"/>
      <c r="Y258" s="191"/>
      <c r="Z258" s="191"/>
      <c r="AA258" s="191"/>
      <c r="AB258" s="191"/>
      <c r="AC258" s="191"/>
      <c r="AD258" s="191"/>
      <c r="AE258" s="191"/>
      <c r="AF258" s="191"/>
      <c r="AG258" s="191"/>
      <c r="AH258" s="191"/>
      <c r="AI258" s="127"/>
      <c r="AJ258" s="191"/>
      <c r="AK258" s="191"/>
      <c r="AL258" s="190"/>
      <c r="AM258" s="191"/>
      <c r="AQ258" s="194"/>
      <c r="AR258" s="127"/>
      <c r="AS258" s="194"/>
      <c r="AT258" s="194"/>
      <c r="AU258" s="194"/>
      <c r="AV258" s="194"/>
      <c r="AW258" s="194"/>
      <c r="AX258" s="194"/>
      <c r="AY258" s="193"/>
      <c r="AZ258" s="194"/>
      <c r="BA258" s="21"/>
      <c r="BE258" s="188" t="s">
        <v>1989</v>
      </c>
      <c r="BF258" s="188" t="s">
        <v>3985</v>
      </c>
      <c r="BG258" s="127">
        <v>42895</v>
      </c>
      <c r="BH258" s="188" t="s">
        <v>10</v>
      </c>
      <c r="BI258" s="188" t="s">
        <v>598</v>
      </c>
      <c r="BJ258" s="189">
        <v>3000</v>
      </c>
      <c r="BK258" s="188" t="s">
        <v>493</v>
      </c>
      <c r="BL258" s="188" t="s">
        <v>598</v>
      </c>
      <c r="BM258" s="189">
        <v>0</v>
      </c>
      <c r="BN258" s="188" t="s">
        <v>598</v>
      </c>
      <c r="BO258" s="127">
        <v>42893</v>
      </c>
      <c r="BP258" s="188" t="s">
        <v>134</v>
      </c>
      <c r="BQ258" s="188" t="s">
        <v>84</v>
      </c>
      <c r="BR258" s="188" t="s">
        <v>293</v>
      </c>
      <c r="BS258" s="188" t="s">
        <v>598</v>
      </c>
      <c r="BT258" s="188" t="s">
        <v>42</v>
      </c>
      <c r="BU258" s="188" t="s">
        <v>42</v>
      </c>
      <c r="BV258" s="188" t="s">
        <v>598</v>
      </c>
      <c r="BZ258" s="188">
        <v>257</v>
      </c>
      <c r="CA258" s="127">
        <v>42884</v>
      </c>
      <c r="CB258" s="188" t="s">
        <v>4498</v>
      </c>
      <c r="CC258" s="188" t="s">
        <v>275</v>
      </c>
      <c r="CD258" s="188" t="s">
        <v>30</v>
      </c>
      <c r="CE258" s="188" t="s">
        <v>108</v>
      </c>
      <c r="CF258" s="188" t="s">
        <v>10</v>
      </c>
      <c r="CG258" s="188"/>
      <c r="CH258" s="189">
        <v>2000</v>
      </c>
      <c r="CI258" s="188"/>
    </row>
    <row r="259" spans="5:87">
      <c r="E259" s="21"/>
      <c r="Q259" s="191"/>
      <c r="R259" s="191"/>
      <c r="S259" s="191"/>
      <c r="T259" s="127"/>
      <c r="U259" s="127"/>
      <c r="V259" s="191"/>
      <c r="W259" s="190"/>
      <c r="X259" s="191"/>
      <c r="Y259" s="191"/>
      <c r="Z259" s="191"/>
      <c r="AA259" s="191"/>
      <c r="AB259" s="191"/>
      <c r="AC259" s="191"/>
      <c r="AD259" s="191"/>
      <c r="AE259" s="191"/>
      <c r="AF259" s="191"/>
      <c r="AG259" s="191"/>
      <c r="AH259" s="191"/>
      <c r="AI259" s="127"/>
      <c r="AJ259" s="191"/>
      <c r="AK259" s="191"/>
      <c r="AL259" s="190"/>
      <c r="AM259" s="191"/>
      <c r="AQ259" s="194"/>
      <c r="AR259" s="127"/>
      <c r="AS259" s="194"/>
      <c r="AT259" s="194"/>
      <c r="AU259" s="194"/>
      <c r="AV259" s="194"/>
      <c r="AW259" s="194"/>
      <c r="AX259" s="194"/>
      <c r="AY259" s="193"/>
      <c r="AZ259" s="194"/>
      <c r="BE259" s="188" t="s">
        <v>1993</v>
      </c>
      <c r="BF259" s="188" t="s">
        <v>3986</v>
      </c>
      <c r="BG259" s="127">
        <v>42898</v>
      </c>
      <c r="BH259" s="188" t="s">
        <v>10</v>
      </c>
      <c r="BI259" s="188" t="s">
        <v>598</v>
      </c>
      <c r="BJ259" s="189">
        <v>3000</v>
      </c>
      <c r="BK259" s="188" t="s">
        <v>493</v>
      </c>
      <c r="BL259" s="188" t="s">
        <v>598</v>
      </c>
      <c r="BM259" s="189">
        <v>0</v>
      </c>
      <c r="BN259" s="188" t="s">
        <v>598</v>
      </c>
      <c r="BO259" s="127">
        <v>42891</v>
      </c>
      <c r="BP259" s="188" t="s">
        <v>134</v>
      </c>
      <c r="BQ259" s="188" t="s">
        <v>84</v>
      </c>
      <c r="BR259" s="188" t="s">
        <v>598</v>
      </c>
      <c r="BS259" s="188" t="s">
        <v>598</v>
      </c>
      <c r="BT259" s="188" t="s">
        <v>42</v>
      </c>
      <c r="BU259" s="188" t="s">
        <v>598</v>
      </c>
      <c r="BV259" s="188" t="s">
        <v>598</v>
      </c>
      <c r="BZ259" s="188">
        <v>258</v>
      </c>
      <c r="CA259" s="127">
        <v>42885</v>
      </c>
      <c r="CB259" s="188" t="s">
        <v>4499</v>
      </c>
      <c r="CC259" s="188" t="s">
        <v>275</v>
      </c>
      <c r="CD259" s="188" t="s">
        <v>30</v>
      </c>
      <c r="CE259" s="188" t="s">
        <v>108</v>
      </c>
      <c r="CF259" s="188" t="s">
        <v>10</v>
      </c>
      <c r="CG259" s="188"/>
      <c r="CH259" s="189">
        <v>5000</v>
      </c>
      <c r="CI259" s="188"/>
    </row>
    <row r="260" spans="5:87">
      <c r="E260" s="21"/>
      <c r="Q260" s="191"/>
      <c r="R260" s="191"/>
      <c r="S260" s="191"/>
      <c r="T260" s="127"/>
      <c r="U260" s="127"/>
      <c r="V260" s="191"/>
      <c r="W260" s="190"/>
      <c r="X260" s="191"/>
      <c r="Y260" s="191"/>
      <c r="Z260" s="191"/>
      <c r="AA260" s="191"/>
      <c r="AB260" s="191"/>
      <c r="AC260" s="191"/>
      <c r="AD260" s="191"/>
      <c r="AE260" s="191"/>
      <c r="AF260" s="191"/>
      <c r="AG260" s="191"/>
      <c r="AH260" s="191"/>
      <c r="AI260" s="127"/>
      <c r="AJ260" s="191"/>
      <c r="AK260" s="191"/>
      <c r="AL260" s="190"/>
      <c r="AM260" s="191"/>
      <c r="AQ260" s="194"/>
      <c r="AR260" s="127"/>
      <c r="AS260" s="194"/>
      <c r="AT260" s="194"/>
      <c r="AU260" s="194"/>
      <c r="AV260" s="194"/>
      <c r="AW260" s="194"/>
      <c r="AX260" s="194"/>
      <c r="AY260" s="193"/>
      <c r="AZ260" s="194"/>
      <c r="BE260" s="188" t="s">
        <v>1994</v>
      </c>
      <c r="BF260" s="188" t="s">
        <v>3987</v>
      </c>
      <c r="BG260" s="127">
        <v>42892</v>
      </c>
      <c r="BH260" s="188" t="s">
        <v>34</v>
      </c>
      <c r="BI260" s="188" t="s">
        <v>598</v>
      </c>
      <c r="BJ260" s="189">
        <v>3000</v>
      </c>
      <c r="BK260" s="188" t="s">
        <v>493</v>
      </c>
      <c r="BL260" s="188" t="s">
        <v>598</v>
      </c>
      <c r="BM260" s="189">
        <v>0</v>
      </c>
      <c r="BN260" s="188" t="s">
        <v>598</v>
      </c>
      <c r="BO260" s="127">
        <v>42889</v>
      </c>
      <c r="BP260" s="188" t="s">
        <v>134</v>
      </c>
      <c r="BQ260" s="188" t="s">
        <v>84</v>
      </c>
      <c r="BR260" s="188" t="s">
        <v>297</v>
      </c>
      <c r="BS260" s="188" t="s">
        <v>73</v>
      </c>
      <c r="BT260" s="188" t="s">
        <v>42</v>
      </c>
      <c r="BU260" s="188" t="s">
        <v>598</v>
      </c>
      <c r="BV260" s="188" t="s">
        <v>598</v>
      </c>
      <c r="BZ260" s="188">
        <v>259</v>
      </c>
      <c r="CA260" s="127">
        <v>42885</v>
      </c>
      <c r="CB260" s="188" t="s">
        <v>757</v>
      </c>
      <c r="CC260" s="188" t="s">
        <v>275</v>
      </c>
      <c r="CD260" s="188" t="s">
        <v>30</v>
      </c>
      <c r="CE260" s="188" t="s">
        <v>108</v>
      </c>
      <c r="CF260" s="188" t="s">
        <v>10</v>
      </c>
      <c r="CG260" s="188"/>
      <c r="CH260" s="189">
        <v>15000</v>
      </c>
      <c r="CI260" s="188"/>
    </row>
    <row r="261" spans="5:87">
      <c r="E261" s="21"/>
      <c r="Q261" s="191"/>
      <c r="R261" s="191"/>
      <c r="S261" s="191"/>
      <c r="T261" s="127"/>
      <c r="U261" s="127"/>
      <c r="V261" s="191"/>
      <c r="W261" s="190"/>
      <c r="X261" s="191"/>
      <c r="Y261" s="191"/>
      <c r="Z261" s="191"/>
      <c r="AA261" s="191"/>
      <c r="AB261" s="191"/>
      <c r="AC261" s="191"/>
      <c r="AD261" s="191"/>
      <c r="AE261" s="191"/>
      <c r="AF261" s="191"/>
      <c r="AG261" s="191"/>
      <c r="AH261" s="191"/>
      <c r="AI261" s="127"/>
      <c r="AJ261" s="191"/>
      <c r="AK261" s="191"/>
      <c r="AL261" s="190"/>
      <c r="AM261" s="191"/>
      <c r="AQ261" s="194"/>
      <c r="AR261" s="127"/>
      <c r="AS261" s="194"/>
      <c r="AT261" s="194"/>
      <c r="AU261" s="194"/>
      <c r="AV261" s="194"/>
      <c r="AW261" s="194"/>
      <c r="AX261" s="194"/>
      <c r="AY261" s="193"/>
      <c r="AZ261" s="194"/>
      <c r="BE261" s="188" t="s">
        <v>2011</v>
      </c>
      <c r="BF261" s="188" t="s">
        <v>3988</v>
      </c>
      <c r="BG261" s="127">
        <v>42915</v>
      </c>
      <c r="BH261" s="188" t="s">
        <v>10</v>
      </c>
      <c r="BI261" s="188" t="s">
        <v>598</v>
      </c>
      <c r="BJ261" s="189">
        <v>4000</v>
      </c>
      <c r="BK261" s="188" t="s">
        <v>493</v>
      </c>
      <c r="BL261" s="188" t="s">
        <v>598</v>
      </c>
      <c r="BM261" s="189">
        <v>0</v>
      </c>
      <c r="BN261" s="188" t="s">
        <v>598</v>
      </c>
      <c r="BO261" s="127">
        <v>42886</v>
      </c>
      <c r="BP261" s="188" t="s">
        <v>598</v>
      </c>
      <c r="BQ261" s="188" t="s">
        <v>84</v>
      </c>
      <c r="BR261" s="188" t="s">
        <v>281</v>
      </c>
      <c r="BS261" s="188" t="s">
        <v>2013</v>
      </c>
      <c r="BT261" s="188" t="s">
        <v>42</v>
      </c>
      <c r="BU261" s="188" t="s">
        <v>42</v>
      </c>
      <c r="BV261" s="188" t="s">
        <v>598</v>
      </c>
      <c r="BZ261" s="188">
        <v>260</v>
      </c>
      <c r="CA261" s="127">
        <v>42885</v>
      </c>
      <c r="CB261" s="188" t="s">
        <v>4500</v>
      </c>
      <c r="CC261" s="188" t="s">
        <v>275</v>
      </c>
      <c r="CD261" s="188" t="s">
        <v>30</v>
      </c>
      <c r="CE261" s="188" t="s">
        <v>108</v>
      </c>
      <c r="CF261" s="188" t="s">
        <v>10</v>
      </c>
      <c r="CG261" s="188"/>
      <c r="CH261" s="189">
        <v>5000</v>
      </c>
      <c r="CI261" s="188"/>
    </row>
    <row r="262" spans="5:87">
      <c r="E262" s="21"/>
      <c r="Q262" s="191"/>
      <c r="R262" s="191"/>
      <c r="S262" s="191"/>
      <c r="T262" s="127"/>
      <c r="U262" s="127"/>
      <c r="V262" s="191"/>
      <c r="W262" s="190"/>
      <c r="X262" s="191"/>
      <c r="Y262" s="191"/>
      <c r="Z262" s="191"/>
      <c r="AA262" s="191"/>
      <c r="AB262" s="191"/>
      <c r="AC262" s="191"/>
      <c r="AD262" s="191"/>
      <c r="AE262" s="191"/>
      <c r="AF262" s="191"/>
      <c r="AG262" s="191"/>
      <c r="AH262" s="191"/>
      <c r="AI262" s="127"/>
      <c r="AJ262" s="191"/>
      <c r="AK262" s="191"/>
      <c r="AL262" s="190"/>
      <c r="AM262" s="191"/>
      <c r="AQ262" s="194"/>
      <c r="AR262" s="127"/>
      <c r="AS262" s="194"/>
      <c r="AT262" s="194"/>
      <c r="AU262" s="194"/>
      <c r="AV262" s="194"/>
      <c r="AW262" s="194"/>
      <c r="AX262" s="194"/>
      <c r="AY262" s="193"/>
      <c r="AZ262" s="194"/>
      <c r="BE262" s="188" t="s">
        <v>2014</v>
      </c>
      <c r="BF262" s="188" t="s">
        <v>3989</v>
      </c>
      <c r="BG262" s="127">
        <v>42915</v>
      </c>
      <c r="BH262" s="188" t="s">
        <v>10</v>
      </c>
      <c r="BI262" s="188" t="s">
        <v>598</v>
      </c>
      <c r="BJ262" s="189">
        <v>4000</v>
      </c>
      <c r="BK262" s="188" t="s">
        <v>493</v>
      </c>
      <c r="BL262" s="188" t="s">
        <v>598</v>
      </c>
      <c r="BM262" s="189">
        <v>0</v>
      </c>
      <c r="BN262" s="188" t="s">
        <v>598</v>
      </c>
      <c r="BO262" s="127">
        <v>42886</v>
      </c>
      <c r="BP262" s="188" t="s">
        <v>598</v>
      </c>
      <c r="BQ262" s="188" t="s">
        <v>84</v>
      </c>
      <c r="BR262" s="188" t="s">
        <v>281</v>
      </c>
      <c r="BS262" s="188" t="s">
        <v>2013</v>
      </c>
      <c r="BT262" s="188" t="s">
        <v>42</v>
      </c>
      <c r="BU262" s="188" t="s">
        <v>42</v>
      </c>
      <c r="BV262" s="188" t="s">
        <v>598</v>
      </c>
      <c r="BZ262" s="188">
        <v>261</v>
      </c>
      <c r="CA262" s="127">
        <v>42885</v>
      </c>
      <c r="CB262" s="188" t="s">
        <v>751</v>
      </c>
      <c r="CC262" s="188" t="s">
        <v>275</v>
      </c>
      <c r="CD262" s="188" t="s">
        <v>30</v>
      </c>
      <c r="CE262" s="188" t="s">
        <v>108</v>
      </c>
      <c r="CF262" s="188" t="s">
        <v>10</v>
      </c>
      <c r="CG262" s="188"/>
      <c r="CH262" s="189">
        <v>5000</v>
      </c>
      <c r="CI262" s="188"/>
    </row>
    <row r="263" spans="5:87">
      <c r="E263" s="21"/>
      <c r="Q263" s="191"/>
      <c r="R263" s="191"/>
      <c r="S263" s="191"/>
      <c r="T263" s="127"/>
      <c r="U263" s="127"/>
      <c r="V263" s="191"/>
      <c r="W263" s="190"/>
      <c r="X263" s="191"/>
      <c r="Y263" s="191"/>
      <c r="Z263" s="191"/>
      <c r="AA263" s="191"/>
      <c r="AB263" s="191"/>
      <c r="AC263" s="191"/>
      <c r="AD263" s="191"/>
      <c r="AE263" s="191"/>
      <c r="AF263" s="191"/>
      <c r="AG263" s="191"/>
      <c r="AH263" s="191"/>
      <c r="AI263" s="127"/>
      <c r="AJ263" s="191"/>
      <c r="AK263" s="191"/>
      <c r="AL263" s="190"/>
      <c r="AM263" s="191"/>
      <c r="AQ263" s="114"/>
      <c r="AR263" s="21"/>
      <c r="AS263" s="114"/>
      <c r="AT263" s="114"/>
      <c r="AU263" s="114"/>
      <c r="AV263" s="114"/>
      <c r="AW263" s="114"/>
      <c r="AX263" s="114"/>
      <c r="AY263" s="114"/>
      <c r="AZ263" s="114"/>
      <c r="BE263" s="188" t="s">
        <v>2025</v>
      </c>
      <c r="BF263" s="188" t="s">
        <v>3990</v>
      </c>
      <c r="BG263" s="127">
        <v>42906</v>
      </c>
      <c r="BH263" s="188" t="s">
        <v>34</v>
      </c>
      <c r="BI263" s="188" t="s">
        <v>598</v>
      </c>
      <c r="BJ263" s="189">
        <v>2500</v>
      </c>
      <c r="BK263" s="188" t="s">
        <v>493</v>
      </c>
      <c r="BL263" s="188" t="s">
        <v>598</v>
      </c>
      <c r="BM263" s="189">
        <v>0</v>
      </c>
      <c r="BN263" s="188" t="s">
        <v>598</v>
      </c>
      <c r="BO263" s="127">
        <v>42886</v>
      </c>
      <c r="BP263" s="188" t="s">
        <v>598</v>
      </c>
      <c r="BQ263" s="188" t="s">
        <v>84</v>
      </c>
      <c r="BR263" s="188" t="s">
        <v>299</v>
      </c>
      <c r="BS263" s="188" t="s">
        <v>1176</v>
      </c>
      <c r="BT263" s="188" t="s">
        <v>42</v>
      </c>
      <c r="BU263" s="188" t="s">
        <v>42</v>
      </c>
      <c r="BV263" s="188" t="s">
        <v>598</v>
      </c>
    </row>
    <row r="264" spans="5:87">
      <c r="E264" s="21"/>
      <c r="Q264" s="191"/>
      <c r="R264" s="191"/>
      <c r="S264" s="191"/>
      <c r="T264" s="127"/>
      <c r="U264" s="127"/>
      <c r="V264" s="191"/>
      <c r="W264" s="190"/>
      <c r="X264" s="191"/>
      <c r="Y264" s="191"/>
      <c r="Z264" s="191"/>
      <c r="AA264" s="191"/>
      <c r="AB264" s="191"/>
      <c r="AC264" s="191"/>
      <c r="AD264" s="191"/>
      <c r="AE264" s="191"/>
      <c r="AF264" s="191"/>
      <c r="AG264" s="191"/>
      <c r="AH264" s="191"/>
      <c r="AI264" s="127"/>
      <c r="AJ264" s="191"/>
      <c r="AK264" s="191"/>
      <c r="AL264" s="190"/>
      <c r="AM264" s="191"/>
      <c r="AR264" s="21"/>
      <c r="BE264" s="188" t="s">
        <v>2027</v>
      </c>
      <c r="BF264" s="188" t="s">
        <v>3991</v>
      </c>
      <c r="BG264" s="127">
        <v>42895</v>
      </c>
      <c r="BH264" s="188" t="s">
        <v>10</v>
      </c>
      <c r="BI264" s="188" t="s">
        <v>598</v>
      </c>
      <c r="BJ264" s="189">
        <v>5000</v>
      </c>
      <c r="BK264" s="188" t="s">
        <v>493</v>
      </c>
      <c r="BL264" s="188" t="s">
        <v>598</v>
      </c>
      <c r="BM264" s="189">
        <v>0</v>
      </c>
      <c r="BN264" s="188" t="s">
        <v>598</v>
      </c>
      <c r="BO264" s="127">
        <v>42886</v>
      </c>
      <c r="BP264" s="188" t="s">
        <v>598</v>
      </c>
      <c r="BQ264" s="188" t="s">
        <v>84</v>
      </c>
      <c r="BR264" s="188" t="s">
        <v>192</v>
      </c>
      <c r="BS264" s="188" t="s">
        <v>598</v>
      </c>
      <c r="BT264" s="188" t="s">
        <v>42</v>
      </c>
      <c r="BU264" s="188" t="s">
        <v>42</v>
      </c>
      <c r="BV264" s="188" t="s">
        <v>598</v>
      </c>
    </row>
    <row r="265" spans="5:87">
      <c r="E265" s="21"/>
      <c r="Q265" s="191"/>
      <c r="R265" s="191"/>
      <c r="S265" s="191"/>
      <c r="T265" s="127"/>
      <c r="U265" s="127"/>
      <c r="V265" s="191"/>
      <c r="W265" s="190"/>
      <c r="X265" s="191"/>
      <c r="Y265" s="191"/>
      <c r="Z265" s="191"/>
      <c r="AA265" s="191"/>
      <c r="AB265" s="191"/>
      <c r="AC265" s="191"/>
      <c r="AD265" s="191"/>
      <c r="AE265" s="191"/>
      <c r="AF265" s="191"/>
      <c r="AG265" s="191"/>
      <c r="AH265" s="191"/>
      <c r="AI265" s="127"/>
      <c r="AJ265" s="191"/>
      <c r="AK265" s="191"/>
      <c r="AL265" s="190"/>
      <c r="AM265" s="191"/>
      <c r="AR265" s="21"/>
      <c r="AY265" s="22"/>
      <c r="BE265" s="188" t="s">
        <v>2039</v>
      </c>
      <c r="BF265" s="188" t="s">
        <v>3992</v>
      </c>
      <c r="BG265" s="127">
        <v>42888</v>
      </c>
      <c r="BH265" s="188" t="s">
        <v>10</v>
      </c>
      <c r="BI265" s="188" t="s">
        <v>598</v>
      </c>
      <c r="BJ265" s="189">
        <v>10000</v>
      </c>
      <c r="BK265" s="188" t="s">
        <v>493</v>
      </c>
      <c r="BL265" s="188" t="s">
        <v>598</v>
      </c>
      <c r="BM265" s="189">
        <v>0</v>
      </c>
      <c r="BN265" s="188" t="s">
        <v>598</v>
      </c>
      <c r="BO265" s="127">
        <v>42881</v>
      </c>
      <c r="BP265" s="188" t="s">
        <v>118</v>
      </c>
      <c r="BQ265" s="188" t="s">
        <v>84</v>
      </c>
      <c r="BR265" s="188" t="s">
        <v>300</v>
      </c>
      <c r="BS265" s="188" t="s">
        <v>598</v>
      </c>
      <c r="BT265" s="188" t="s">
        <v>42</v>
      </c>
      <c r="BU265" s="188" t="s">
        <v>598</v>
      </c>
      <c r="BV265" s="188" t="s">
        <v>598</v>
      </c>
    </row>
    <row r="266" spans="5:87">
      <c r="E266" s="21"/>
      <c r="Q266" s="191"/>
      <c r="R266" s="191"/>
      <c r="S266" s="191"/>
      <c r="T266" s="127"/>
      <c r="U266" s="127"/>
      <c r="V266" s="191"/>
      <c r="W266" s="190"/>
      <c r="X266" s="191"/>
      <c r="Y266" s="191"/>
      <c r="Z266" s="191"/>
      <c r="AA266" s="191"/>
      <c r="AB266" s="191"/>
      <c r="AC266" s="191"/>
      <c r="AD266" s="191"/>
      <c r="AE266" s="191"/>
      <c r="AF266" s="191"/>
      <c r="AG266" s="191"/>
      <c r="AH266" s="191"/>
      <c r="AI266" s="127"/>
      <c r="AJ266" s="191"/>
      <c r="AK266" s="191"/>
      <c r="AL266" s="190"/>
      <c r="AM266" s="191"/>
      <c r="BE266" s="188" t="s">
        <v>2041</v>
      </c>
      <c r="BF266" s="188" t="s">
        <v>3993</v>
      </c>
      <c r="BG266" s="127">
        <v>42888</v>
      </c>
      <c r="BH266" s="188" t="s">
        <v>10</v>
      </c>
      <c r="BI266" s="188" t="s">
        <v>598</v>
      </c>
      <c r="BJ266" s="189">
        <v>10000</v>
      </c>
      <c r="BK266" s="188" t="s">
        <v>493</v>
      </c>
      <c r="BL266" s="188" t="s">
        <v>598</v>
      </c>
      <c r="BM266" s="189">
        <v>0</v>
      </c>
      <c r="BN266" s="188" t="s">
        <v>598</v>
      </c>
      <c r="BO266" s="127">
        <v>42881</v>
      </c>
      <c r="BP266" s="188" t="s">
        <v>118</v>
      </c>
      <c r="BQ266" s="188" t="s">
        <v>84</v>
      </c>
      <c r="BR266" s="188" t="s">
        <v>300</v>
      </c>
      <c r="BS266" s="188" t="s">
        <v>598</v>
      </c>
      <c r="BT266" s="188" t="s">
        <v>42</v>
      </c>
      <c r="BU266" s="188" t="s">
        <v>598</v>
      </c>
      <c r="BV266" s="188" t="s">
        <v>598</v>
      </c>
    </row>
    <row r="267" spans="5:87">
      <c r="E267" s="21"/>
      <c r="Q267" s="191"/>
      <c r="R267" s="191"/>
      <c r="S267" s="191"/>
      <c r="T267" s="127"/>
      <c r="U267" s="127"/>
      <c r="V267" s="191"/>
      <c r="W267" s="190"/>
      <c r="X267" s="191"/>
      <c r="Y267" s="191"/>
      <c r="Z267" s="191"/>
      <c r="AA267" s="191"/>
      <c r="AB267" s="191"/>
      <c r="AC267" s="191"/>
      <c r="AD267" s="191"/>
      <c r="AE267" s="191"/>
      <c r="AF267" s="191"/>
      <c r="AG267" s="191"/>
      <c r="AH267" s="191"/>
      <c r="AI267" s="127"/>
      <c r="AJ267" s="191"/>
      <c r="AK267" s="191"/>
      <c r="AL267" s="190"/>
      <c r="AM267" s="191"/>
      <c r="BE267" s="188" t="s">
        <v>2045</v>
      </c>
      <c r="BF267" s="188" t="s">
        <v>3994</v>
      </c>
      <c r="BG267" s="127">
        <v>42889</v>
      </c>
      <c r="BH267" s="188" t="s">
        <v>10</v>
      </c>
      <c r="BI267" s="188" t="s">
        <v>598</v>
      </c>
      <c r="BJ267" s="189">
        <v>3000</v>
      </c>
      <c r="BK267" s="188" t="s">
        <v>493</v>
      </c>
      <c r="BL267" s="188" t="s">
        <v>598</v>
      </c>
      <c r="BM267" s="189">
        <v>0</v>
      </c>
      <c r="BN267" s="188" t="s">
        <v>598</v>
      </c>
      <c r="BO267" s="127">
        <v>42879</v>
      </c>
      <c r="BP267" s="188" t="s">
        <v>134</v>
      </c>
      <c r="BQ267" s="188" t="s">
        <v>84</v>
      </c>
      <c r="BR267" s="188" t="s">
        <v>276</v>
      </c>
      <c r="BS267" s="188" t="s">
        <v>598</v>
      </c>
      <c r="BT267" s="188" t="s">
        <v>42</v>
      </c>
      <c r="BU267" s="188" t="s">
        <v>598</v>
      </c>
      <c r="BV267" s="188" t="s">
        <v>598</v>
      </c>
    </row>
    <row r="268" spans="5:87">
      <c r="E268" s="21"/>
      <c r="Q268" s="191"/>
      <c r="R268" s="191"/>
      <c r="S268" s="191"/>
      <c r="T268" s="127"/>
      <c r="U268" s="127"/>
      <c r="V268" s="191"/>
      <c r="W268" s="190"/>
      <c r="X268" s="191"/>
      <c r="Y268" s="191"/>
      <c r="Z268" s="191"/>
      <c r="AA268" s="191"/>
      <c r="AB268" s="191"/>
      <c r="AC268" s="191"/>
      <c r="AD268" s="191"/>
      <c r="AE268" s="191"/>
      <c r="AF268" s="191"/>
      <c r="AG268" s="191"/>
      <c r="AH268" s="191"/>
      <c r="AI268" s="127"/>
      <c r="AJ268" s="191"/>
      <c r="AK268" s="191"/>
      <c r="AL268" s="190"/>
      <c r="AM268" s="191"/>
      <c r="BE268" s="188" t="s">
        <v>2052</v>
      </c>
      <c r="BF268" s="188" t="s">
        <v>3995</v>
      </c>
      <c r="BG268" s="127">
        <v>42895</v>
      </c>
      <c r="BH268" s="188" t="s">
        <v>10</v>
      </c>
      <c r="BI268" s="188" t="s">
        <v>598</v>
      </c>
      <c r="BJ268" s="189">
        <v>10000</v>
      </c>
      <c r="BK268" s="188" t="s">
        <v>493</v>
      </c>
      <c r="BL268" s="188" t="s">
        <v>598</v>
      </c>
      <c r="BM268" s="189">
        <v>0</v>
      </c>
      <c r="BN268" s="188" t="s">
        <v>598</v>
      </c>
      <c r="BO268" s="127">
        <v>42878</v>
      </c>
      <c r="BP268" s="188" t="s">
        <v>120</v>
      </c>
      <c r="BQ268" s="188" t="s">
        <v>84</v>
      </c>
      <c r="BR268" s="188" t="s">
        <v>276</v>
      </c>
      <c r="BS268" s="188" t="s">
        <v>598</v>
      </c>
      <c r="BT268" s="188" t="s">
        <v>42</v>
      </c>
      <c r="BU268" s="188" t="s">
        <v>42</v>
      </c>
      <c r="BV268" s="188" t="s">
        <v>598</v>
      </c>
    </row>
    <row r="269" spans="5:87">
      <c r="E269" s="21"/>
      <c r="Q269" s="191"/>
      <c r="R269" s="191"/>
      <c r="S269" s="191"/>
      <c r="T269" s="127"/>
      <c r="U269" s="127"/>
      <c r="V269" s="191"/>
      <c r="W269" s="190"/>
      <c r="X269" s="191"/>
      <c r="Y269" s="191"/>
      <c r="Z269" s="191"/>
      <c r="AA269" s="191"/>
      <c r="AB269" s="191"/>
      <c r="AC269" s="191"/>
      <c r="AD269" s="191"/>
      <c r="AE269" s="191"/>
      <c r="AF269" s="191"/>
      <c r="AG269" s="191"/>
      <c r="AH269" s="191"/>
      <c r="AI269" s="127"/>
      <c r="AJ269" s="191"/>
      <c r="AK269" s="191"/>
      <c r="AL269" s="190"/>
      <c r="AM269" s="191"/>
      <c r="BE269" s="188" t="s">
        <v>2054</v>
      </c>
      <c r="BF269" s="188" t="s">
        <v>3996</v>
      </c>
      <c r="BG269" s="127">
        <v>42889</v>
      </c>
      <c r="BH269" s="188" t="s">
        <v>10</v>
      </c>
      <c r="BI269" s="188" t="s">
        <v>598</v>
      </c>
      <c r="BJ269" s="189">
        <v>3000</v>
      </c>
      <c r="BK269" s="188" t="s">
        <v>493</v>
      </c>
      <c r="BL269" s="188" t="s">
        <v>598</v>
      </c>
      <c r="BM269" s="189">
        <v>0</v>
      </c>
      <c r="BN269" s="188" t="s">
        <v>598</v>
      </c>
      <c r="BO269" s="127">
        <v>42877</v>
      </c>
      <c r="BP269" s="188" t="s">
        <v>598</v>
      </c>
      <c r="BQ269" s="188" t="s">
        <v>84</v>
      </c>
      <c r="BR269" s="188" t="s">
        <v>598</v>
      </c>
      <c r="BS269" s="188" t="s">
        <v>598</v>
      </c>
      <c r="BT269" s="188" t="s">
        <v>42</v>
      </c>
      <c r="BU269" s="188" t="s">
        <v>598</v>
      </c>
      <c r="BV269" s="188" t="s">
        <v>598</v>
      </c>
    </row>
    <row r="270" spans="5:87">
      <c r="E270" s="21"/>
      <c r="Q270" s="191"/>
      <c r="R270" s="191"/>
      <c r="S270" s="191"/>
      <c r="T270" s="127"/>
      <c r="U270" s="127"/>
      <c r="V270" s="191"/>
      <c r="W270" s="190"/>
      <c r="X270" s="191"/>
      <c r="Y270" s="191"/>
      <c r="Z270" s="191"/>
      <c r="AA270" s="191"/>
      <c r="AB270" s="191"/>
      <c r="AC270" s="191"/>
      <c r="AD270" s="191"/>
      <c r="AE270" s="191"/>
      <c r="AF270" s="191"/>
      <c r="AG270" s="191"/>
      <c r="AH270" s="191"/>
      <c r="AI270" s="127"/>
      <c r="AJ270" s="191"/>
      <c r="AK270" s="191"/>
      <c r="AL270" s="190"/>
      <c r="AM270" s="191"/>
      <c r="BE270" s="188" t="s">
        <v>2061</v>
      </c>
      <c r="BF270" s="188" t="s">
        <v>3997</v>
      </c>
      <c r="BG270" s="127">
        <v>42888</v>
      </c>
      <c r="BH270" s="188" t="s">
        <v>10</v>
      </c>
      <c r="BI270" s="188" t="s">
        <v>598</v>
      </c>
      <c r="BJ270" s="189">
        <v>3000</v>
      </c>
      <c r="BK270" s="188" t="s">
        <v>493</v>
      </c>
      <c r="BL270" s="188" t="s">
        <v>598</v>
      </c>
      <c r="BM270" s="189">
        <v>0</v>
      </c>
      <c r="BN270" s="188" t="s">
        <v>598</v>
      </c>
      <c r="BO270" s="127">
        <v>42875</v>
      </c>
      <c r="BP270" s="188" t="s">
        <v>122</v>
      </c>
      <c r="BQ270" s="188" t="s">
        <v>84</v>
      </c>
      <c r="BR270" s="188" t="s">
        <v>598</v>
      </c>
      <c r="BS270" s="188" t="s">
        <v>598</v>
      </c>
      <c r="BT270" s="188" t="s">
        <v>42</v>
      </c>
      <c r="BU270" s="188" t="s">
        <v>598</v>
      </c>
      <c r="BV270" s="188" t="s">
        <v>598</v>
      </c>
    </row>
    <row r="271" spans="5:87">
      <c r="E271" s="21"/>
      <c r="Q271" s="191"/>
      <c r="R271" s="191"/>
      <c r="S271" s="191"/>
      <c r="T271" s="127"/>
      <c r="U271" s="127"/>
      <c r="V271" s="191"/>
      <c r="W271" s="190"/>
      <c r="X271" s="191"/>
      <c r="Y271" s="191"/>
      <c r="Z271" s="191"/>
      <c r="AA271" s="191"/>
      <c r="AB271" s="191"/>
      <c r="AC271" s="191"/>
      <c r="AD271" s="191"/>
      <c r="AE271" s="191"/>
      <c r="AF271" s="191"/>
      <c r="AG271" s="191"/>
      <c r="AH271" s="191"/>
      <c r="AI271" s="127"/>
      <c r="AJ271" s="191"/>
      <c r="AK271" s="191"/>
      <c r="AL271" s="190"/>
      <c r="AM271" s="191"/>
      <c r="BE271" s="188" t="s">
        <v>2076</v>
      </c>
      <c r="BF271" s="188" t="s">
        <v>3998</v>
      </c>
      <c r="BG271" s="127">
        <v>42888</v>
      </c>
      <c r="BH271" s="188" t="s">
        <v>10</v>
      </c>
      <c r="BI271" s="188" t="s">
        <v>598</v>
      </c>
      <c r="BJ271" s="189">
        <v>3000</v>
      </c>
      <c r="BK271" s="188" t="s">
        <v>493</v>
      </c>
      <c r="BL271" s="188" t="s">
        <v>598</v>
      </c>
      <c r="BM271" s="189">
        <v>0</v>
      </c>
      <c r="BN271" s="188" t="s">
        <v>598</v>
      </c>
      <c r="BO271" s="127">
        <v>42872</v>
      </c>
      <c r="BP271" s="188" t="s">
        <v>598</v>
      </c>
      <c r="BQ271" s="188" t="s">
        <v>84</v>
      </c>
      <c r="BR271" s="188" t="s">
        <v>598</v>
      </c>
      <c r="BS271" s="188" t="s">
        <v>2078</v>
      </c>
      <c r="BT271" s="188" t="s">
        <v>42</v>
      </c>
      <c r="BU271" s="188" t="s">
        <v>42</v>
      </c>
      <c r="BV271" s="188" t="s">
        <v>598</v>
      </c>
    </row>
    <row r="272" spans="5:87">
      <c r="E272" s="21"/>
      <c r="Q272" s="191"/>
      <c r="R272" s="191"/>
      <c r="S272" s="191"/>
      <c r="T272" s="127"/>
      <c r="U272" s="127"/>
      <c r="V272" s="191"/>
      <c r="W272" s="190"/>
      <c r="X272" s="191"/>
      <c r="Y272" s="191"/>
      <c r="Z272" s="191"/>
      <c r="AA272" s="191"/>
      <c r="AB272" s="191"/>
      <c r="AC272" s="191"/>
      <c r="AD272" s="191"/>
      <c r="AE272" s="191"/>
      <c r="AF272" s="191"/>
      <c r="AG272" s="191"/>
      <c r="AH272" s="191"/>
      <c r="AI272" s="127"/>
      <c r="AJ272" s="191"/>
      <c r="AK272" s="191"/>
      <c r="AL272" s="190"/>
      <c r="AM272" s="191"/>
      <c r="BE272" s="188" t="s">
        <v>2079</v>
      </c>
      <c r="BF272" s="188" t="s">
        <v>3999</v>
      </c>
      <c r="BG272" s="127">
        <v>42888</v>
      </c>
      <c r="BH272" s="188" t="s">
        <v>10</v>
      </c>
      <c r="BI272" s="188" t="s">
        <v>598</v>
      </c>
      <c r="BJ272" s="189">
        <v>3000</v>
      </c>
      <c r="BK272" s="188" t="s">
        <v>493</v>
      </c>
      <c r="BL272" s="188" t="s">
        <v>598</v>
      </c>
      <c r="BM272" s="189">
        <v>0</v>
      </c>
      <c r="BN272" s="188" t="s">
        <v>598</v>
      </c>
      <c r="BO272" s="127">
        <v>42871</v>
      </c>
      <c r="BP272" s="188" t="s">
        <v>122</v>
      </c>
      <c r="BQ272" s="188" t="s">
        <v>84</v>
      </c>
      <c r="BR272" s="188" t="s">
        <v>293</v>
      </c>
      <c r="BS272" s="188" t="s">
        <v>598</v>
      </c>
      <c r="BT272" s="188" t="s">
        <v>42</v>
      </c>
      <c r="BU272" s="188" t="s">
        <v>598</v>
      </c>
      <c r="BV272" s="188" t="s">
        <v>598</v>
      </c>
    </row>
    <row r="273" spans="5:74">
      <c r="E273" s="21"/>
      <c r="Q273" s="191"/>
      <c r="R273" s="191"/>
      <c r="S273" s="191"/>
      <c r="T273" s="127"/>
      <c r="U273" s="127"/>
      <c r="V273" s="191"/>
      <c r="W273" s="190"/>
      <c r="X273" s="191"/>
      <c r="Y273" s="191"/>
      <c r="Z273" s="191"/>
      <c r="AA273" s="191"/>
      <c r="AB273" s="191"/>
      <c r="AC273" s="191"/>
      <c r="AD273" s="191"/>
      <c r="AE273" s="191"/>
      <c r="AF273" s="191"/>
      <c r="AG273" s="191"/>
      <c r="AH273" s="191"/>
      <c r="AI273" s="127"/>
      <c r="AJ273" s="191"/>
      <c r="AK273" s="191"/>
      <c r="AL273" s="190"/>
      <c r="AM273" s="191"/>
      <c r="BE273" s="188" t="s">
        <v>2089</v>
      </c>
      <c r="BF273" s="188" t="s">
        <v>4000</v>
      </c>
      <c r="BG273" s="127">
        <v>42888</v>
      </c>
      <c r="BH273" s="188" t="s">
        <v>10</v>
      </c>
      <c r="BI273" s="188" t="s">
        <v>598</v>
      </c>
      <c r="BJ273" s="189">
        <v>3000</v>
      </c>
      <c r="BK273" s="188" t="s">
        <v>493</v>
      </c>
      <c r="BL273" s="188" t="s">
        <v>598</v>
      </c>
      <c r="BM273" s="189">
        <v>0</v>
      </c>
      <c r="BN273" s="188" t="s">
        <v>598</v>
      </c>
      <c r="BO273" s="127">
        <v>42865</v>
      </c>
      <c r="BP273" s="188" t="s">
        <v>135</v>
      </c>
      <c r="BQ273" s="188" t="s">
        <v>84</v>
      </c>
      <c r="BR273" s="188" t="s">
        <v>192</v>
      </c>
      <c r="BS273" s="188" t="s">
        <v>598</v>
      </c>
      <c r="BT273" s="188" t="s">
        <v>42</v>
      </c>
      <c r="BU273" s="188" t="s">
        <v>42</v>
      </c>
      <c r="BV273" s="188" t="s">
        <v>598</v>
      </c>
    </row>
    <row r="274" spans="5:74">
      <c r="E274" s="21"/>
      <c r="Q274" s="191"/>
      <c r="R274" s="191"/>
      <c r="S274" s="191"/>
      <c r="T274" s="127"/>
      <c r="U274" s="127"/>
      <c r="V274" s="191"/>
      <c r="W274" s="190"/>
      <c r="X274" s="191"/>
      <c r="Y274" s="191"/>
      <c r="Z274" s="191"/>
      <c r="AA274" s="191"/>
      <c r="AB274" s="191"/>
      <c r="AC274" s="191"/>
      <c r="AD274" s="191"/>
      <c r="AE274" s="191"/>
      <c r="AF274" s="191"/>
      <c r="AG274" s="191"/>
      <c r="AH274" s="191"/>
      <c r="AI274" s="127"/>
      <c r="AJ274" s="191"/>
      <c r="AK274" s="191"/>
      <c r="AL274" s="190"/>
      <c r="AM274" s="191"/>
      <c r="BE274" s="188" t="s">
        <v>2119</v>
      </c>
      <c r="BF274" s="188" t="s">
        <v>4001</v>
      </c>
      <c r="BG274" s="127">
        <v>42888</v>
      </c>
      <c r="BH274" s="188" t="s">
        <v>10</v>
      </c>
      <c r="BI274" s="188" t="s">
        <v>598</v>
      </c>
      <c r="BJ274" s="189">
        <v>3000</v>
      </c>
      <c r="BK274" s="188" t="s">
        <v>493</v>
      </c>
      <c r="BL274" s="188" t="s">
        <v>598</v>
      </c>
      <c r="BM274" s="189">
        <v>0</v>
      </c>
      <c r="BN274" s="188" t="s">
        <v>598</v>
      </c>
      <c r="BO274" s="127">
        <v>42850</v>
      </c>
      <c r="BP274" s="188" t="s">
        <v>135</v>
      </c>
      <c r="BQ274" s="188" t="s">
        <v>84</v>
      </c>
      <c r="BR274" s="188" t="s">
        <v>192</v>
      </c>
      <c r="BS274" s="188" t="s">
        <v>1954</v>
      </c>
      <c r="BT274" s="188" t="s">
        <v>42</v>
      </c>
      <c r="BU274" s="188" t="s">
        <v>598</v>
      </c>
      <c r="BV274" s="188" t="s">
        <v>598</v>
      </c>
    </row>
    <row r="275" spans="5:74">
      <c r="E275" s="21"/>
      <c r="Q275" s="191"/>
      <c r="R275" s="191"/>
      <c r="S275" s="191"/>
      <c r="T275" s="127"/>
      <c r="U275" s="127"/>
      <c r="V275" s="191"/>
      <c r="W275" s="190"/>
      <c r="X275" s="191"/>
      <c r="Y275" s="191"/>
      <c r="Z275" s="191"/>
      <c r="AA275" s="191"/>
      <c r="AB275" s="191"/>
      <c r="AC275" s="191"/>
      <c r="AD275" s="191"/>
      <c r="AE275" s="191"/>
      <c r="AF275" s="191"/>
      <c r="AG275" s="191"/>
      <c r="AH275" s="191"/>
      <c r="AI275" s="127"/>
      <c r="AJ275" s="191"/>
      <c r="AK275" s="191"/>
      <c r="AL275" s="190"/>
      <c r="AM275" s="191"/>
      <c r="BE275" s="188" t="s">
        <v>2125</v>
      </c>
      <c r="BF275" s="188" t="s">
        <v>4002</v>
      </c>
      <c r="BG275" s="127">
        <v>42898</v>
      </c>
      <c r="BH275" s="188" t="s">
        <v>10</v>
      </c>
      <c r="BI275" s="188" t="s">
        <v>598</v>
      </c>
      <c r="BJ275" s="189">
        <v>3000</v>
      </c>
      <c r="BK275" s="188" t="s">
        <v>493</v>
      </c>
      <c r="BL275" s="188" t="s">
        <v>598</v>
      </c>
      <c r="BM275" s="189">
        <v>0</v>
      </c>
      <c r="BN275" s="188" t="s">
        <v>598</v>
      </c>
      <c r="BO275" s="127">
        <v>42844</v>
      </c>
      <c r="BP275" s="188" t="s">
        <v>134</v>
      </c>
      <c r="BQ275" s="188" t="s">
        <v>84</v>
      </c>
      <c r="BR275" s="188" t="s">
        <v>303</v>
      </c>
      <c r="BS275" s="188" t="s">
        <v>1944</v>
      </c>
      <c r="BT275" s="188" t="s">
        <v>42</v>
      </c>
      <c r="BU275" s="188" t="s">
        <v>42</v>
      </c>
      <c r="BV275" s="188" t="s">
        <v>598</v>
      </c>
    </row>
    <row r="276" spans="5:74">
      <c r="E276" s="21"/>
      <c r="Q276" s="191"/>
      <c r="R276" s="191"/>
      <c r="S276" s="191"/>
      <c r="T276" s="127"/>
      <c r="U276" s="127"/>
      <c r="V276" s="191"/>
      <c r="W276" s="190"/>
      <c r="X276" s="191"/>
      <c r="Y276" s="191"/>
      <c r="Z276" s="191"/>
      <c r="AA276" s="191"/>
      <c r="AB276" s="191"/>
      <c r="AC276" s="191"/>
      <c r="AD276" s="191"/>
      <c r="AE276" s="191"/>
      <c r="AF276" s="191"/>
      <c r="AG276" s="191"/>
      <c r="AH276" s="191"/>
      <c r="AI276" s="127"/>
      <c r="AJ276" s="191"/>
      <c r="AK276" s="191"/>
      <c r="AL276" s="190"/>
      <c r="AM276" s="191"/>
      <c r="BE276" s="188" t="s">
        <v>2131</v>
      </c>
      <c r="BF276" s="188" t="s">
        <v>4003</v>
      </c>
      <c r="BG276" s="127">
        <v>42903</v>
      </c>
      <c r="BH276" s="188" t="s">
        <v>10</v>
      </c>
      <c r="BI276" s="188" t="s">
        <v>598</v>
      </c>
      <c r="BJ276" s="189">
        <v>3000</v>
      </c>
      <c r="BK276" s="188" t="s">
        <v>493</v>
      </c>
      <c r="BL276" s="188" t="s">
        <v>598</v>
      </c>
      <c r="BM276" s="189">
        <v>0</v>
      </c>
      <c r="BN276" s="188" t="s">
        <v>598</v>
      </c>
      <c r="BO276" s="127">
        <v>42843</v>
      </c>
      <c r="BP276" s="188" t="s">
        <v>135</v>
      </c>
      <c r="BQ276" s="188" t="s">
        <v>84</v>
      </c>
      <c r="BR276" s="188" t="s">
        <v>192</v>
      </c>
      <c r="BS276" s="188" t="s">
        <v>1954</v>
      </c>
      <c r="BT276" s="188" t="s">
        <v>42</v>
      </c>
      <c r="BU276" s="188" t="s">
        <v>98</v>
      </c>
      <c r="BV276" s="188" t="s">
        <v>598</v>
      </c>
    </row>
    <row r="277" spans="5:74">
      <c r="E277" s="21"/>
      <c r="Q277" s="191"/>
      <c r="R277" s="191"/>
      <c r="S277" s="191"/>
      <c r="T277" s="127"/>
      <c r="U277" s="127"/>
      <c r="V277" s="191"/>
      <c r="W277" s="190"/>
      <c r="X277" s="191"/>
      <c r="Y277" s="191"/>
      <c r="Z277" s="191"/>
      <c r="AA277" s="191"/>
      <c r="AB277" s="191"/>
      <c r="AC277" s="191"/>
      <c r="AD277" s="191"/>
      <c r="AE277" s="191"/>
      <c r="AF277" s="191"/>
      <c r="AG277" s="191"/>
      <c r="AH277" s="191"/>
      <c r="AI277" s="127"/>
      <c r="AJ277" s="191"/>
      <c r="AK277" s="191"/>
      <c r="AL277" s="190"/>
      <c r="AM277" s="191"/>
      <c r="BE277" s="188" t="s">
        <v>2337</v>
      </c>
      <c r="BF277" s="188" t="s">
        <v>4004</v>
      </c>
      <c r="BG277" s="127">
        <v>42912</v>
      </c>
      <c r="BH277" s="188" t="s">
        <v>34</v>
      </c>
      <c r="BI277" s="188" t="s">
        <v>598</v>
      </c>
      <c r="BJ277" s="189">
        <v>10000</v>
      </c>
      <c r="BK277" s="188" t="s">
        <v>493</v>
      </c>
      <c r="BL277" s="188" t="s">
        <v>598</v>
      </c>
      <c r="BM277" s="189">
        <v>0</v>
      </c>
      <c r="BN277" s="188" t="s">
        <v>598</v>
      </c>
      <c r="BO277" s="127">
        <v>42916</v>
      </c>
      <c r="BP277" s="188" t="s">
        <v>598</v>
      </c>
      <c r="BQ277" s="188" t="s">
        <v>551</v>
      </c>
      <c r="BR277" s="188" t="s">
        <v>302</v>
      </c>
      <c r="BS277" s="188" t="s">
        <v>598</v>
      </c>
      <c r="BT277" s="188" t="s">
        <v>85</v>
      </c>
      <c r="BU277" s="188" t="s">
        <v>598</v>
      </c>
      <c r="BV277" s="188" t="s">
        <v>598</v>
      </c>
    </row>
    <row r="278" spans="5:74">
      <c r="E278" s="21"/>
      <c r="Q278" s="191"/>
      <c r="R278" s="191"/>
      <c r="S278" s="191"/>
      <c r="T278" s="127"/>
      <c r="U278" s="127"/>
      <c r="V278" s="191"/>
      <c r="W278" s="190"/>
      <c r="X278" s="191"/>
      <c r="Y278" s="191"/>
      <c r="Z278" s="191"/>
      <c r="AA278" s="191"/>
      <c r="AB278" s="191"/>
      <c r="AC278" s="191"/>
      <c r="AD278" s="191"/>
      <c r="AE278" s="191"/>
      <c r="AF278" s="191"/>
      <c r="AG278" s="191"/>
      <c r="AH278" s="191"/>
      <c r="AI278" s="127"/>
      <c r="AJ278" s="191"/>
      <c r="AK278" s="191"/>
      <c r="AL278" s="190"/>
      <c r="AM278" s="191"/>
      <c r="BE278" s="188" t="s">
        <v>2339</v>
      </c>
      <c r="BF278" s="188" t="s">
        <v>4005</v>
      </c>
      <c r="BG278" s="127">
        <v>42916</v>
      </c>
      <c r="BH278" s="188" t="s">
        <v>34</v>
      </c>
      <c r="BI278" s="188" t="s">
        <v>598</v>
      </c>
      <c r="BJ278" s="189">
        <v>500</v>
      </c>
      <c r="BK278" s="188" t="s">
        <v>493</v>
      </c>
      <c r="BL278" s="188" t="s">
        <v>598</v>
      </c>
      <c r="BM278" s="189">
        <v>0</v>
      </c>
      <c r="BN278" s="188" t="s">
        <v>598</v>
      </c>
      <c r="BO278" s="127">
        <v>42916</v>
      </c>
      <c r="BP278" s="188" t="s">
        <v>127</v>
      </c>
      <c r="BQ278" s="188" t="s">
        <v>551</v>
      </c>
      <c r="BR278" s="188" t="s">
        <v>598</v>
      </c>
      <c r="BS278" s="188" t="s">
        <v>598</v>
      </c>
      <c r="BT278" s="188" t="s">
        <v>85</v>
      </c>
      <c r="BU278" s="188" t="s">
        <v>598</v>
      </c>
      <c r="BV278" s="188" t="s">
        <v>598</v>
      </c>
    </row>
    <row r="279" spans="5:74">
      <c r="E279" s="21"/>
      <c r="Q279" s="191"/>
      <c r="R279" s="191"/>
      <c r="S279" s="191"/>
      <c r="T279" s="127"/>
      <c r="U279" s="127"/>
      <c r="V279" s="191"/>
      <c r="W279" s="190"/>
      <c r="X279" s="191"/>
      <c r="Y279" s="191"/>
      <c r="Z279" s="191"/>
      <c r="AA279" s="191"/>
      <c r="AB279" s="191"/>
      <c r="AC279" s="191"/>
      <c r="AD279" s="191"/>
      <c r="AE279" s="191"/>
      <c r="AF279" s="191"/>
      <c r="AG279" s="191"/>
      <c r="AH279" s="191"/>
      <c r="AI279" s="127"/>
      <c r="AJ279" s="191"/>
      <c r="AK279" s="191"/>
      <c r="AL279" s="190"/>
      <c r="AM279" s="191"/>
      <c r="BE279" s="188" t="s">
        <v>2343</v>
      </c>
      <c r="BF279" s="188" t="s">
        <v>4006</v>
      </c>
      <c r="BG279" s="127">
        <v>42916</v>
      </c>
      <c r="BH279" s="188" t="s">
        <v>34</v>
      </c>
      <c r="BI279" s="188" t="s">
        <v>598</v>
      </c>
      <c r="BJ279" s="189">
        <v>2000</v>
      </c>
      <c r="BK279" s="188" t="s">
        <v>493</v>
      </c>
      <c r="BL279" s="188" t="s">
        <v>598</v>
      </c>
      <c r="BM279" s="189">
        <v>0</v>
      </c>
      <c r="BN279" s="188" t="s">
        <v>598</v>
      </c>
      <c r="BO279" s="127">
        <v>42915</v>
      </c>
      <c r="BP279" s="188" t="s">
        <v>598</v>
      </c>
      <c r="BQ279" s="188" t="s">
        <v>551</v>
      </c>
      <c r="BR279" s="188" t="s">
        <v>307</v>
      </c>
      <c r="BS279" s="188" t="s">
        <v>598</v>
      </c>
      <c r="BT279" s="188" t="s">
        <v>85</v>
      </c>
      <c r="BU279" s="188" t="s">
        <v>598</v>
      </c>
      <c r="BV279" s="188" t="s">
        <v>598</v>
      </c>
    </row>
    <row r="280" spans="5:74">
      <c r="E280" s="21"/>
      <c r="Q280" s="191"/>
      <c r="R280" s="191"/>
      <c r="S280" s="191"/>
      <c r="T280" s="127"/>
      <c r="U280" s="127"/>
      <c r="V280" s="191"/>
      <c r="W280" s="190"/>
      <c r="X280" s="191"/>
      <c r="Y280" s="191"/>
      <c r="Z280" s="191"/>
      <c r="AA280" s="191"/>
      <c r="AB280" s="191"/>
      <c r="AC280" s="191"/>
      <c r="AD280" s="191"/>
      <c r="AE280" s="191"/>
      <c r="AF280" s="191"/>
      <c r="AG280" s="191"/>
      <c r="AH280" s="191"/>
      <c r="AI280" s="127"/>
      <c r="AJ280" s="191"/>
      <c r="AK280" s="191"/>
      <c r="AL280" s="190"/>
      <c r="AM280" s="191"/>
      <c r="BE280" s="188" t="s">
        <v>2345</v>
      </c>
      <c r="BF280" s="188" t="s">
        <v>4007</v>
      </c>
      <c r="BG280" s="127">
        <v>42915</v>
      </c>
      <c r="BH280" s="188" t="s">
        <v>34</v>
      </c>
      <c r="BI280" s="188" t="s">
        <v>598</v>
      </c>
      <c r="BJ280" s="189">
        <v>6000</v>
      </c>
      <c r="BK280" s="188" t="s">
        <v>493</v>
      </c>
      <c r="BL280" s="188" t="s">
        <v>598</v>
      </c>
      <c r="BM280" s="189">
        <v>0</v>
      </c>
      <c r="BN280" s="188" t="s">
        <v>598</v>
      </c>
      <c r="BO280" s="127">
        <v>42913</v>
      </c>
      <c r="BP280" s="188" t="s">
        <v>58</v>
      </c>
      <c r="BQ280" s="188" t="s">
        <v>551</v>
      </c>
      <c r="BR280" s="188" t="s">
        <v>308</v>
      </c>
      <c r="BS280" s="188" t="s">
        <v>598</v>
      </c>
      <c r="BT280" s="188" t="s">
        <v>85</v>
      </c>
      <c r="BU280" s="188" t="s">
        <v>73</v>
      </c>
      <c r="BV280" s="188" t="s">
        <v>598</v>
      </c>
    </row>
    <row r="281" spans="5:74">
      <c r="E281" s="21"/>
      <c r="Q281" s="191"/>
      <c r="R281" s="191"/>
      <c r="S281" s="191"/>
      <c r="T281" s="127"/>
      <c r="U281" s="127"/>
      <c r="V281" s="191"/>
      <c r="W281" s="190"/>
      <c r="X281" s="191"/>
      <c r="Y281" s="191"/>
      <c r="Z281" s="191"/>
      <c r="AA281" s="191"/>
      <c r="AB281" s="191"/>
      <c r="AC281" s="191"/>
      <c r="AD281" s="191"/>
      <c r="AE281" s="191"/>
      <c r="AF281" s="191"/>
      <c r="AG281" s="191"/>
      <c r="AH281" s="191"/>
      <c r="AI281" s="127"/>
      <c r="AJ281" s="191"/>
      <c r="AK281" s="191"/>
      <c r="AL281" s="190"/>
      <c r="AM281" s="191"/>
      <c r="BE281" s="188" t="s">
        <v>2363</v>
      </c>
      <c r="BF281" s="188" t="s">
        <v>4008</v>
      </c>
      <c r="BG281" s="127">
        <v>42907</v>
      </c>
      <c r="BH281" s="188" t="s">
        <v>34</v>
      </c>
      <c r="BI281" s="188" t="s">
        <v>598</v>
      </c>
      <c r="BJ281" s="189">
        <v>3000</v>
      </c>
      <c r="BK281" s="188" t="s">
        <v>493</v>
      </c>
      <c r="BL281" s="188" t="s">
        <v>598</v>
      </c>
      <c r="BM281" s="189">
        <v>0</v>
      </c>
      <c r="BN281" s="188" t="s">
        <v>598</v>
      </c>
      <c r="BO281" s="127">
        <v>42906</v>
      </c>
      <c r="BP281" s="188" t="s">
        <v>598</v>
      </c>
      <c r="BQ281" s="188" t="s">
        <v>551</v>
      </c>
      <c r="BR281" s="188" t="s">
        <v>310</v>
      </c>
      <c r="BS281" s="188" t="s">
        <v>598</v>
      </c>
      <c r="BT281" s="188" t="s">
        <v>85</v>
      </c>
      <c r="BU281" s="188" t="s">
        <v>85</v>
      </c>
      <c r="BV281" s="188" t="s">
        <v>598</v>
      </c>
    </row>
    <row r="282" spans="5:74">
      <c r="E282" s="21"/>
      <c r="Q282" s="191"/>
      <c r="R282" s="191"/>
      <c r="S282" s="191"/>
      <c r="T282" s="127"/>
      <c r="U282" s="127"/>
      <c r="V282" s="191"/>
      <c r="W282" s="190"/>
      <c r="X282" s="191"/>
      <c r="Y282" s="191"/>
      <c r="Z282" s="191"/>
      <c r="AA282" s="191"/>
      <c r="AB282" s="191"/>
      <c r="AC282" s="191"/>
      <c r="AD282" s="191"/>
      <c r="AE282" s="191"/>
      <c r="AF282" s="191"/>
      <c r="AG282" s="191"/>
      <c r="AH282" s="191"/>
      <c r="AI282" s="127"/>
      <c r="AJ282" s="191"/>
      <c r="AK282" s="191"/>
      <c r="AL282" s="190"/>
      <c r="AM282" s="191"/>
      <c r="BE282" s="188" t="s">
        <v>2364</v>
      </c>
      <c r="BF282" s="188" t="s">
        <v>4009</v>
      </c>
      <c r="BG282" s="127">
        <v>42909</v>
      </c>
      <c r="BH282" s="188" t="s">
        <v>10</v>
      </c>
      <c r="BI282" s="188" t="s">
        <v>598</v>
      </c>
      <c r="BJ282" s="189">
        <v>3000</v>
      </c>
      <c r="BK282" s="188" t="s">
        <v>493</v>
      </c>
      <c r="BL282" s="188" t="s">
        <v>598</v>
      </c>
      <c r="BM282" s="189">
        <v>0</v>
      </c>
      <c r="BN282" s="188" t="s">
        <v>598</v>
      </c>
      <c r="BO282" s="127">
        <v>42905</v>
      </c>
      <c r="BP282" s="188" t="s">
        <v>134</v>
      </c>
      <c r="BQ282" s="188" t="s">
        <v>551</v>
      </c>
      <c r="BR282" s="188" t="s">
        <v>302</v>
      </c>
      <c r="BS282" s="188" t="s">
        <v>598</v>
      </c>
      <c r="BT282" s="188" t="s">
        <v>85</v>
      </c>
      <c r="BU282" s="188" t="s">
        <v>51</v>
      </c>
      <c r="BV282" s="188" t="s">
        <v>598</v>
      </c>
    </row>
    <row r="283" spans="5:74">
      <c r="E283" s="21"/>
      <c r="Q283" s="191"/>
      <c r="R283" s="191"/>
      <c r="S283" s="191"/>
      <c r="T283" s="127"/>
      <c r="U283" s="127"/>
      <c r="V283" s="191"/>
      <c r="W283" s="190"/>
      <c r="X283" s="191"/>
      <c r="Y283" s="191"/>
      <c r="Z283" s="191"/>
      <c r="AA283" s="191"/>
      <c r="AB283" s="191"/>
      <c r="AC283" s="191"/>
      <c r="AD283" s="191"/>
      <c r="AE283" s="191"/>
      <c r="AF283" s="191"/>
      <c r="AG283" s="191"/>
      <c r="AH283" s="191"/>
      <c r="AI283" s="127"/>
      <c r="AJ283" s="191"/>
      <c r="AK283" s="191"/>
      <c r="AL283" s="190"/>
      <c r="AM283" s="191"/>
      <c r="BE283" s="188" t="s">
        <v>2366</v>
      </c>
      <c r="BF283" s="188" t="s">
        <v>4010</v>
      </c>
      <c r="BG283" s="127">
        <v>42916</v>
      </c>
      <c r="BH283" s="188" t="s">
        <v>10</v>
      </c>
      <c r="BI283" s="188" t="s">
        <v>598</v>
      </c>
      <c r="BJ283" s="189">
        <v>6000</v>
      </c>
      <c r="BK283" s="188" t="s">
        <v>493</v>
      </c>
      <c r="BL283" s="188" t="s">
        <v>598</v>
      </c>
      <c r="BM283" s="189">
        <v>0</v>
      </c>
      <c r="BN283" s="188" t="s">
        <v>598</v>
      </c>
      <c r="BO283" s="127">
        <v>42901</v>
      </c>
      <c r="BP283" s="188" t="s">
        <v>48</v>
      </c>
      <c r="BQ283" s="188" t="s">
        <v>551</v>
      </c>
      <c r="BR283" s="188" t="s">
        <v>301</v>
      </c>
      <c r="BS283" s="188" t="s">
        <v>598</v>
      </c>
      <c r="BT283" s="188" t="s">
        <v>85</v>
      </c>
      <c r="BU283" s="188" t="s">
        <v>73</v>
      </c>
      <c r="BV283" s="188" t="s">
        <v>598</v>
      </c>
    </row>
    <row r="284" spans="5:74">
      <c r="E284" s="21"/>
      <c r="Q284" s="191"/>
      <c r="R284" s="191"/>
      <c r="S284" s="191"/>
      <c r="T284" s="127"/>
      <c r="U284" s="127"/>
      <c r="V284" s="191"/>
      <c r="W284" s="190"/>
      <c r="X284" s="191"/>
      <c r="Y284" s="191"/>
      <c r="Z284" s="191"/>
      <c r="AA284" s="191"/>
      <c r="AB284" s="191"/>
      <c r="AC284" s="191"/>
      <c r="AD284" s="191"/>
      <c r="AE284" s="191"/>
      <c r="AF284" s="191"/>
      <c r="AG284" s="191"/>
      <c r="AH284" s="191"/>
      <c r="AI284" s="127"/>
      <c r="AJ284" s="191"/>
      <c r="AK284" s="191"/>
      <c r="AL284" s="190"/>
      <c r="AM284" s="191"/>
      <c r="BE284" s="188" t="s">
        <v>2376</v>
      </c>
      <c r="BF284" s="188" t="s">
        <v>4011</v>
      </c>
      <c r="BG284" s="127">
        <v>42898</v>
      </c>
      <c r="BH284" s="188" t="s">
        <v>34</v>
      </c>
      <c r="BI284" s="188" t="s">
        <v>598</v>
      </c>
      <c r="BJ284" s="189">
        <v>2000</v>
      </c>
      <c r="BK284" s="188" t="s">
        <v>493</v>
      </c>
      <c r="BL284" s="188" t="s">
        <v>598</v>
      </c>
      <c r="BM284" s="189">
        <v>0</v>
      </c>
      <c r="BN284" s="188" t="s">
        <v>598</v>
      </c>
      <c r="BO284" s="127">
        <v>42896</v>
      </c>
      <c r="BP284" s="188" t="s">
        <v>48</v>
      </c>
      <c r="BQ284" s="188" t="s">
        <v>551</v>
      </c>
      <c r="BR284" s="188" t="s">
        <v>309</v>
      </c>
      <c r="BS284" s="188" t="s">
        <v>598</v>
      </c>
      <c r="BT284" s="188" t="s">
        <v>85</v>
      </c>
      <c r="BU284" s="188" t="s">
        <v>598</v>
      </c>
      <c r="BV284" s="188" t="s">
        <v>598</v>
      </c>
    </row>
    <row r="285" spans="5:74">
      <c r="E285" s="21"/>
      <c r="Q285" s="191"/>
      <c r="R285" s="191"/>
      <c r="S285" s="191"/>
      <c r="T285" s="127"/>
      <c r="U285" s="127"/>
      <c r="V285" s="191"/>
      <c r="W285" s="190"/>
      <c r="X285" s="191"/>
      <c r="Y285" s="191"/>
      <c r="Z285" s="191"/>
      <c r="AA285" s="191"/>
      <c r="AB285" s="191"/>
      <c r="AC285" s="191"/>
      <c r="AD285" s="191"/>
      <c r="AE285" s="191"/>
      <c r="AF285" s="191"/>
      <c r="AG285" s="191"/>
      <c r="AH285" s="191"/>
      <c r="AI285" s="127"/>
      <c r="AJ285" s="191"/>
      <c r="AK285" s="191"/>
      <c r="AL285" s="190"/>
      <c r="AM285" s="191"/>
      <c r="BE285" s="188" t="s">
        <v>2380</v>
      </c>
      <c r="BF285" s="188" t="s">
        <v>4012</v>
      </c>
      <c r="BG285" s="127">
        <v>42894</v>
      </c>
      <c r="BH285" s="188" t="s">
        <v>34</v>
      </c>
      <c r="BI285" s="188" t="s">
        <v>598</v>
      </c>
      <c r="BJ285" s="189">
        <v>3000</v>
      </c>
      <c r="BK285" s="188" t="s">
        <v>493</v>
      </c>
      <c r="BL285" s="188" t="s">
        <v>598</v>
      </c>
      <c r="BM285" s="189">
        <v>0</v>
      </c>
      <c r="BN285" s="188" t="s">
        <v>598</v>
      </c>
      <c r="BO285" s="127">
        <v>42894</v>
      </c>
      <c r="BP285" s="188" t="s">
        <v>135</v>
      </c>
      <c r="BQ285" s="188" t="s">
        <v>551</v>
      </c>
      <c r="BR285" s="188" t="s">
        <v>311</v>
      </c>
      <c r="BS285" s="188" t="s">
        <v>598</v>
      </c>
      <c r="BT285" s="188" t="s">
        <v>85</v>
      </c>
      <c r="BU285" s="188" t="s">
        <v>73</v>
      </c>
      <c r="BV285" s="188" t="s">
        <v>598</v>
      </c>
    </row>
    <row r="286" spans="5:74">
      <c r="E286" s="21"/>
      <c r="Q286" s="191"/>
      <c r="R286" s="191"/>
      <c r="S286" s="191"/>
      <c r="T286" s="127"/>
      <c r="U286" s="127"/>
      <c r="V286" s="191"/>
      <c r="W286" s="190"/>
      <c r="X286" s="191"/>
      <c r="Y286" s="191"/>
      <c r="Z286" s="191"/>
      <c r="AA286" s="191"/>
      <c r="AB286" s="191"/>
      <c r="AC286" s="191"/>
      <c r="AD286" s="191"/>
      <c r="AE286" s="191"/>
      <c r="AF286" s="191"/>
      <c r="AG286" s="191"/>
      <c r="AH286" s="191"/>
      <c r="AI286" s="127"/>
      <c r="AJ286" s="191"/>
      <c r="AK286" s="191"/>
      <c r="AL286" s="190"/>
      <c r="AM286" s="191"/>
      <c r="BE286" s="188" t="s">
        <v>2382</v>
      </c>
      <c r="BF286" s="188" t="s">
        <v>4013</v>
      </c>
      <c r="BG286" s="127">
        <v>42901</v>
      </c>
      <c r="BH286" s="188" t="s">
        <v>10</v>
      </c>
      <c r="BI286" s="188" t="s">
        <v>598</v>
      </c>
      <c r="BJ286" s="189">
        <v>3000</v>
      </c>
      <c r="BK286" s="188" t="s">
        <v>493</v>
      </c>
      <c r="BL286" s="188" t="s">
        <v>598</v>
      </c>
      <c r="BM286" s="189">
        <v>0</v>
      </c>
      <c r="BN286" s="188" t="s">
        <v>598</v>
      </c>
      <c r="BO286" s="127">
        <v>42894</v>
      </c>
      <c r="BP286" s="188" t="s">
        <v>132</v>
      </c>
      <c r="BQ286" s="188" t="s">
        <v>551</v>
      </c>
      <c r="BR286" s="188" t="s">
        <v>301</v>
      </c>
      <c r="BS286" s="188" t="s">
        <v>598</v>
      </c>
      <c r="BT286" s="188" t="s">
        <v>85</v>
      </c>
      <c r="BU286" s="188" t="s">
        <v>73</v>
      </c>
      <c r="BV286" s="188" t="s">
        <v>598</v>
      </c>
    </row>
    <row r="287" spans="5:74">
      <c r="E287" s="21"/>
      <c r="Q287" s="191"/>
      <c r="R287" s="191"/>
      <c r="S287" s="191"/>
      <c r="T287" s="127"/>
      <c r="U287" s="127"/>
      <c r="V287" s="191"/>
      <c r="W287" s="190"/>
      <c r="X287" s="191"/>
      <c r="Y287" s="191"/>
      <c r="Z287" s="191"/>
      <c r="AA287" s="191"/>
      <c r="AB287" s="191"/>
      <c r="AC287" s="191"/>
      <c r="AD287" s="191"/>
      <c r="AE287" s="191"/>
      <c r="AF287" s="191"/>
      <c r="AG287" s="191"/>
      <c r="AH287" s="191"/>
      <c r="AI287" s="127"/>
      <c r="AJ287" s="191"/>
      <c r="AK287" s="191"/>
      <c r="AL287" s="190"/>
      <c r="AM287" s="191"/>
      <c r="BE287" s="188" t="s">
        <v>2386</v>
      </c>
      <c r="BF287" s="188" t="s">
        <v>4014</v>
      </c>
      <c r="BG287" s="127">
        <v>42896</v>
      </c>
      <c r="BH287" s="188" t="s">
        <v>34</v>
      </c>
      <c r="BI287" s="188" t="s">
        <v>598</v>
      </c>
      <c r="BJ287" s="189">
        <v>3000</v>
      </c>
      <c r="BK287" s="188" t="s">
        <v>493</v>
      </c>
      <c r="BL287" s="188" t="s">
        <v>598</v>
      </c>
      <c r="BM287" s="189">
        <v>0</v>
      </c>
      <c r="BN287" s="188" t="s">
        <v>598</v>
      </c>
      <c r="BO287" s="127">
        <v>42894</v>
      </c>
      <c r="BP287" s="188" t="s">
        <v>134</v>
      </c>
      <c r="BQ287" s="188" t="s">
        <v>551</v>
      </c>
      <c r="BR287" s="188" t="s">
        <v>262</v>
      </c>
      <c r="BS287" s="188" t="s">
        <v>598</v>
      </c>
      <c r="BT287" s="188" t="s">
        <v>85</v>
      </c>
      <c r="BU287" s="188" t="s">
        <v>51</v>
      </c>
      <c r="BV287" s="188" t="s">
        <v>598</v>
      </c>
    </row>
    <row r="288" spans="5:74">
      <c r="E288" s="21"/>
      <c r="Q288" s="191"/>
      <c r="R288" s="191"/>
      <c r="S288" s="191"/>
      <c r="T288" s="127"/>
      <c r="U288" s="127"/>
      <c r="V288" s="191"/>
      <c r="W288" s="190"/>
      <c r="X288" s="191"/>
      <c r="Y288" s="191"/>
      <c r="Z288" s="191"/>
      <c r="AA288" s="191"/>
      <c r="AB288" s="191"/>
      <c r="AC288" s="191"/>
      <c r="AD288" s="191"/>
      <c r="AE288" s="191"/>
      <c r="AF288" s="191"/>
      <c r="AG288" s="191"/>
      <c r="AH288" s="191"/>
      <c r="AI288" s="127"/>
      <c r="AJ288" s="191"/>
      <c r="AK288" s="191"/>
      <c r="AL288" s="190"/>
      <c r="AM288" s="191"/>
      <c r="BE288" s="188" t="s">
        <v>2390</v>
      </c>
      <c r="BF288" s="188" t="s">
        <v>4015</v>
      </c>
      <c r="BG288" s="127">
        <v>42903</v>
      </c>
      <c r="BH288" s="188" t="s">
        <v>10</v>
      </c>
      <c r="BI288" s="188" t="s">
        <v>598</v>
      </c>
      <c r="BJ288" s="189">
        <v>7920</v>
      </c>
      <c r="BK288" s="188" t="s">
        <v>493</v>
      </c>
      <c r="BL288" s="188" t="s">
        <v>598</v>
      </c>
      <c r="BM288" s="189">
        <v>0</v>
      </c>
      <c r="BN288" s="188" t="s">
        <v>598</v>
      </c>
      <c r="BO288" s="127">
        <v>42891</v>
      </c>
      <c r="BP288" s="188" t="s">
        <v>58</v>
      </c>
      <c r="BQ288" s="188" t="s">
        <v>70</v>
      </c>
      <c r="BR288" s="188" t="s">
        <v>272</v>
      </c>
      <c r="BS288" s="188" t="s">
        <v>598</v>
      </c>
      <c r="BT288" s="188" t="s">
        <v>85</v>
      </c>
      <c r="BU288" s="188" t="s">
        <v>85</v>
      </c>
      <c r="BV288" s="188" t="s">
        <v>598</v>
      </c>
    </row>
    <row r="289" spans="5:74">
      <c r="E289" s="21"/>
      <c r="Q289" s="191"/>
      <c r="R289" s="191"/>
      <c r="S289" s="191"/>
      <c r="T289" s="127"/>
      <c r="U289" s="127"/>
      <c r="V289" s="191"/>
      <c r="W289" s="190"/>
      <c r="X289" s="191"/>
      <c r="Y289" s="191"/>
      <c r="Z289" s="191"/>
      <c r="AA289" s="191"/>
      <c r="AB289" s="191"/>
      <c r="AC289" s="191"/>
      <c r="AD289" s="191"/>
      <c r="AE289" s="191"/>
      <c r="AF289" s="191"/>
      <c r="AG289" s="191"/>
      <c r="AH289" s="191"/>
      <c r="AI289" s="127"/>
      <c r="AJ289" s="191"/>
      <c r="AK289" s="191"/>
      <c r="AL289" s="190"/>
      <c r="AM289" s="191"/>
      <c r="BE289" s="188" t="s">
        <v>2396</v>
      </c>
      <c r="BF289" s="188" t="s">
        <v>4016</v>
      </c>
      <c r="BG289" s="127">
        <v>42903</v>
      </c>
      <c r="BH289" s="188" t="s">
        <v>10</v>
      </c>
      <c r="BI289" s="188" t="s">
        <v>598</v>
      </c>
      <c r="BJ289" s="189">
        <v>5400</v>
      </c>
      <c r="BK289" s="188" t="s">
        <v>493</v>
      </c>
      <c r="BL289" s="188" t="s">
        <v>598</v>
      </c>
      <c r="BM289" s="189">
        <v>0</v>
      </c>
      <c r="BN289" s="188" t="s">
        <v>598</v>
      </c>
      <c r="BO289" s="127">
        <v>42893</v>
      </c>
      <c r="BP289" s="188" t="s">
        <v>58</v>
      </c>
      <c r="BQ289" s="188" t="s">
        <v>70</v>
      </c>
      <c r="BR289" s="188" t="s">
        <v>272</v>
      </c>
      <c r="BS289" s="188" t="s">
        <v>598</v>
      </c>
      <c r="BT289" s="188" t="s">
        <v>85</v>
      </c>
      <c r="BU289" s="188" t="s">
        <v>73</v>
      </c>
      <c r="BV289" s="188" t="s">
        <v>598</v>
      </c>
    </row>
    <row r="290" spans="5:74">
      <c r="E290" s="21"/>
      <c r="Q290" s="191"/>
      <c r="R290" s="191"/>
      <c r="S290" s="191"/>
      <c r="T290" s="127"/>
      <c r="U290" s="127"/>
      <c r="V290" s="191"/>
      <c r="W290" s="190"/>
      <c r="X290" s="191"/>
      <c r="Y290" s="191"/>
      <c r="Z290" s="191"/>
      <c r="AA290" s="191"/>
      <c r="AB290" s="191"/>
      <c r="AC290" s="191"/>
      <c r="AD290" s="191"/>
      <c r="AE290" s="191"/>
      <c r="AF290" s="191"/>
      <c r="AG290" s="191"/>
      <c r="AH290" s="191"/>
      <c r="AI290" s="127"/>
      <c r="AJ290" s="191"/>
      <c r="AK290" s="191"/>
      <c r="AL290" s="190"/>
      <c r="AM290" s="191"/>
      <c r="BE290" s="188" t="s">
        <v>2397</v>
      </c>
      <c r="BF290" s="188" t="s">
        <v>4017</v>
      </c>
      <c r="BG290" s="127">
        <v>42909</v>
      </c>
      <c r="BH290" s="188" t="s">
        <v>10</v>
      </c>
      <c r="BI290" s="188" t="s">
        <v>598</v>
      </c>
      <c r="BJ290" s="189">
        <v>13500</v>
      </c>
      <c r="BK290" s="188" t="s">
        <v>493</v>
      </c>
      <c r="BL290" s="188" t="s">
        <v>598</v>
      </c>
      <c r="BM290" s="189">
        <v>0</v>
      </c>
      <c r="BN290" s="188" t="s">
        <v>598</v>
      </c>
      <c r="BO290" s="127">
        <v>42900</v>
      </c>
      <c r="BP290" s="188" t="s">
        <v>58</v>
      </c>
      <c r="BQ290" s="188" t="s">
        <v>70</v>
      </c>
      <c r="BR290" s="188" t="s">
        <v>272</v>
      </c>
      <c r="BS290" s="188" t="s">
        <v>598</v>
      </c>
      <c r="BT290" s="188" t="s">
        <v>85</v>
      </c>
      <c r="BU290" s="188" t="s">
        <v>85</v>
      </c>
      <c r="BV290" s="188" t="s">
        <v>598</v>
      </c>
    </row>
    <row r="291" spans="5:74">
      <c r="E291" s="21"/>
      <c r="Q291" s="191"/>
      <c r="R291" s="191"/>
      <c r="S291" s="191"/>
      <c r="T291" s="127"/>
      <c r="U291" s="127"/>
      <c r="V291" s="191"/>
      <c r="W291" s="190"/>
      <c r="X291" s="191"/>
      <c r="Y291" s="191"/>
      <c r="Z291" s="191"/>
      <c r="AA291" s="191"/>
      <c r="AB291" s="191"/>
      <c r="AC291" s="191"/>
      <c r="AD291" s="191"/>
      <c r="AE291" s="191"/>
      <c r="AF291" s="191"/>
      <c r="AG291" s="191"/>
      <c r="AH291" s="191"/>
      <c r="AI291" s="127"/>
      <c r="AJ291" s="191"/>
      <c r="AK291" s="191"/>
      <c r="AL291" s="190"/>
      <c r="AM291" s="191"/>
      <c r="BE291" s="188" t="s">
        <v>2409</v>
      </c>
      <c r="BF291" s="188" t="s">
        <v>4018</v>
      </c>
      <c r="BG291" s="127">
        <v>42908</v>
      </c>
      <c r="BH291" s="188" t="s">
        <v>10</v>
      </c>
      <c r="BI291" s="188" t="s">
        <v>598</v>
      </c>
      <c r="BJ291" s="189">
        <v>11025</v>
      </c>
      <c r="BK291" s="188" t="s">
        <v>493</v>
      </c>
      <c r="BL291" s="188" t="s">
        <v>598</v>
      </c>
      <c r="BM291" s="189">
        <v>0</v>
      </c>
      <c r="BN291" s="188" t="s">
        <v>598</v>
      </c>
      <c r="BO291" s="127">
        <v>42908</v>
      </c>
      <c r="BP291" s="188" t="s">
        <v>135</v>
      </c>
      <c r="BQ291" s="188" t="s">
        <v>70</v>
      </c>
      <c r="BR291" s="188" t="s">
        <v>2411</v>
      </c>
      <c r="BS291" s="188" t="s">
        <v>598</v>
      </c>
      <c r="BT291" s="188" t="s">
        <v>85</v>
      </c>
      <c r="BU291" s="188" t="s">
        <v>85</v>
      </c>
      <c r="BV291" s="188" t="s">
        <v>598</v>
      </c>
    </row>
    <row r="292" spans="5:74">
      <c r="E292" s="21"/>
      <c r="Q292" s="191"/>
      <c r="R292" s="191"/>
      <c r="S292" s="191"/>
      <c r="T292" s="127"/>
      <c r="U292" s="127"/>
      <c r="V292" s="191"/>
      <c r="W292" s="190"/>
      <c r="X292" s="191"/>
      <c r="Y292" s="191"/>
      <c r="Z292" s="191"/>
      <c r="AA292" s="191"/>
      <c r="AB292" s="191"/>
      <c r="AC292" s="191"/>
      <c r="AD292" s="191"/>
      <c r="AE292" s="191"/>
      <c r="AF292" s="191"/>
      <c r="AG292" s="191"/>
      <c r="AH292" s="191"/>
      <c r="AI292" s="127"/>
      <c r="AJ292" s="191"/>
      <c r="AK292" s="191"/>
      <c r="AL292" s="190"/>
      <c r="AM292" s="191"/>
      <c r="BE292" s="188" t="s">
        <v>2414</v>
      </c>
      <c r="BF292" s="188" t="s">
        <v>4019</v>
      </c>
      <c r="BG292" s="127">
        <v>42888</v>
      </c>
      <c r="BH292" s="188" t="s">
        <v>10</v>
      </c>
      <c r="BI292" s="188" t="s">
        <v>598</v>
      </c>
      <c r="BJ292" s="189">
        <v>1000</v>
      </c>
      <c r="BK292" s="188" t="s">
        <v>493</v>
      </c>
      <c r="BL292" s="188" t="s">
        <v>598</v>
      </c>
      <c r="BM292" s="189">
        <v>0</v>
      </c>
      <c r="BN292" s="188" t="s">
        <v>598</v>
      </c>
      <c r="BO292" s="127">
        <v>42888</v>
      </c>
      <c r="BP292" s="188" t="s">
        <v>126</v>
      </c>
      <c r="BQ292" s="188" t="s">
        <v>77</v>
      </c>
      <c r="BR292" s="188" t="s">
        <v>162</v>
      </c>
      <c r="BS292" s="188" t="s">
        <v>598</v>
      </c>
      <c r="BT292" s="188" t="s">
        <v>85</v>
      </c>
      <c r="BU292" s="188" t="s">
        <v>598</v>
      </c>
      <c r="BV292" s="188" t="s">
        <v>598</v>
      </c>
    </row>
    <row r="293" spans="5:74">
      <c r="E293" s="21"/>
      <c r="Q293" s="191"/>
      <c r="R293" s="191"/>
      <c r="S293" s="191"/>
      <c r="T293" s="127"/>
      <c r="U293" s="127"/>
      <c r="V293" s="191"/>
      <c r="W293" s="190"/>
      <c r="X293" s="191"/>
      <c r="Y293" s="191"/>
      <c r="Z293" s="191"/>
      <c r="AA293" s="191"/>
      <c r="AB293" s="191"/>
      <c r="AC293" s="191"/>
      <c r="AD293" s="191"/>
      <c r="AE293" s="191"/>
      <c r="AF293" s="191"/>
      <c r="AG293" s="191"/>
      <c r="AH293" s="191"/>
      <c r="AI293" s="127"/>
      <c r="AJ293" s="191"/>
      <c r="AK293" s="191"/>
      <c r="AL293" s="190"/>
      <c r="AM293" s="191"/>
      <c r="BE293" s="188" t="s">
        <v>2416</v>
      </c>
      <c r="BF293" s="188" t="s">
        <v>4020</v>
      </c>
      <c r="BG293" s="127">
        <v>42888</v>
      </c>
      <c r="BH293" s="188" t="s">
        <v>10</v>
      </c>
      <c r="BI293" s="188" t="s">
        <v>598</v>
      </c>
      <c r="BJ293" s="189">
        <v>1000</v>
      </c>
      <c r="BK293" s="188" t="s">
        <v>493</v>
      </c>
      <c r="BL293" s="188" t="s">
        <v>598</v>
      </c>
      <c r="BM293" s="189">
        <v>0</v>
      </c>
      <c r="BN293" s="188" t="s">
        <v>598</v>
      </c>
      <c r="BO293" s="127">
        <v>42889</v>
      </c>
      <c r="BP293" s="188" t="s">
        <v>126</v>
      </c>
      <c r="BQ293" s="188" t="s">
        <v>77</v>
      </c>
      <c r="BR293" s="188" t="s">
        <v>162</v>
      </c>
      <c r="BS293" s="188" t="s">
        <v>598</v>
      </c>
      <c r="BT293" s="188" t="s">
        <v>85</v>
      </c>
      <c r="BU293" s="188" t="s">
        <v>598</v>
      </c>
      <c r="BV293" s="188" t="s">
        <v>598</v>
      </c>
    </row>
    <row r="294" spans="5:74">
      <c r="E294" s="21"/>
      <c r="Q294" s="191"/>
      <c r="R294" s="191"/>
      <c r="S294" s="191"/>
      <c r="T294" s="127"/>
      <c r="U294" s="127"/>
      <c r="V294" s="191"/>
      <c r="W294" s="190"/>
      <c r="X294" s="191"/>
      <c r="Y294" s="191"/>
      <c r="Z294" s="191"/>
      <c r="AA294" s="191"/>
      <c r="AB294" s="191"/>
      <c r="AC294" s="191"/>
      <c r="AD294" s="191"/>
      <c r="AE294" s="191"/>
      <c r="AF294" s="191"/>
      <c r="AG294" s="191"/>
      <c r="AH294" s="191"/>
      <c r="AI294" s="127"/>
      <c r="AJ294" s="191"/>
      <c r="AK294" s="191"/>
      <c r="AL294" s="190"/>
      <c r="AM294" s="191"/>
      <c r="BE294" s="188" t="s">
        <v>2420</v>
      </c>
      <c r="BF294" s="188" t="s">
        <v>4021</v>
      </c>
      <c r="BG294" s="127">
        <v>42900</v>
      </c>
      <c r="BH294" s="188" t="s">
        <v>10</v>
      </c>
      <c r="BI294" s="188" t="s">
        <v>598</v>
      </c>
      <c r="BJ294" s="189">
        <v>5175</v>
      </c>
      <c r="BK294" s="188" t="s">
        <v>493</v>
      </c>
      <c r="BL294" s="188" t="s">
        <v>598</v>
      </c>
      <c r="BM294" s="189">
        <v>0</v>
      </c>
      <c r="BN294" s="188" t="s">
        <v>598</v>
      </c>
      <c r="BO294" s="127">
        <v>42893</v>
      </c>
      <c r="BP294" s="188" t="s">
        <v>130</v>
      </c>
      <c r="BQ294" s="188" t="s">
        <v>77</v>
      </c>
      <c r="BR294" s="188" t="s">
        <v>183</v>
      </c>
      <c r="BS294" s="188" t="s">
        <v>598</v>
      </c>
      <c r="BT294" s="188" t="s">
        <v>85</v>
      </c>
      <c r="BU294" s="188" t="s">
        <v>98</v>
      </c>
      <c r="BV294" s="188" t="s">
        <v>598</v>
      </c>
    </row>
    <row r="295" spans="5:74">
      <c r="E295" s="21"/>
      <c r="Q295" s="191"/>
      <c r="R295" s="191"/>
      <c r="S295" s="191"/>
      <c r="T295" s="127"/>
      <c r="U295" s="127"/>
      <c r="V295" s="191"/>
      <c r="W295" s="190"/>
      <c r="X295" s="191"/>
      <c r="Y295" s="191"/>
      <c r="Z295" s="191"/>
      <c r="AA295" s="191"/>
      <c r="AB295" s="191"/>
      <c r="AC295" s="191"/>
      <c r="AD295" s="191"/>
      <c r="AE295" s="191"/>
      <c r="AF295" s="191"/>
      <c r="AG295" s="191"/>
      <c r="AH295" s="191"/>
      <c r="AI295" s="127"/>
      <c r="AJ295" s="191"/>
      <c r="AK295" s="191"/>
      <c r="AL295" s="190"/>
      <c r="AM295" s="191"/>
      <c r="BE295" s="188" t="s">
        <v>2422</v>
      </c>
      <c r="BF295" s="188" t="s">
        <v>4022</v>
      </c>
      <c r="BG295" s="127">
        <v>42910</v>
      </c>
      <c r="BH295" s="188" t="s">
        <v>34</v>
      </c>
      <c r="BI295" s="188" t="s">
        <v>598</v>
      </c>
      <c r="BJ295" s="189">
        <v>4000</v>
      </c>
      <c r="BK295" s="188" t="s">
        <v>493</v>
      </c>
      <c r="BL295" s="188" t="s">
        <v>598</v>
      </c>
      <c r="BM295" s="189">
        <v>0</v>
      </c>
      <c r="BN295" s="188" t="s">
        <v>598</v>
      </c>
      <c r="BO295" s="127">
        <v>42896</v>
      </c>
      <c r="BP295" s="188" t="s">
        <v>134</v>
      </c>
      <c r="BQ295" s="188" t="s">
        <v>77</v>
      </c>
      <c r="BR295" s="188" t="s">
        <v>183</v>
      </c>
      <c r="BS295" s="188" t="s">
        <v>598</v>
      </c>
      <c r="BT295" s="188" t="s">
        <v>85</v>
      </c>
      <c r="BU295" s="188" t="s">
        <v>598</v>
      </c>
      <c r="BV295" s="188" t="s">
        <v>598</v>
      </c>
    </row>
    <row r="296" spans="5:74">
      <c r="E296" s="21"/>
      <c r="Q296" s="191"/>
      <c r="R296" s="191"/>
      <c r="S296" s="191"/>
      <c r="T296" s="127"/>
      <c r="U296" s="127"/>
      <c r="V296" s="191"/>
      <c r="W296" s="190"/>
      <c r="X296" s="191"/>
      <c r="Y296" s="191"/>
      <c r="Z296" s="191"/>
      <c r="AA296" s="191"/>
      <c r="AB296" s="191"/>
      <c r="AC296" s="191"/>
      <c r="AD296" s="191"/>
      <c r="AE296" s="191"/>
      <c r="AF296" s="191"/>
      <c r="AG296" s="191"/>
      <c r="AH296" s="191"/>
      <c r="AI296" s="127"/>
      <c r="AJ296" s="191"/>
      <c r="AK296" s="191"/>
      <c r="AL296" s="190"/>
      <c r="AM296" s="191"/>
      <c r="BE296" s="188" t="s">
        <v>2424</v>
      </c>
      <c r="BF296" s="188" t="s">
        <v>4023</v>
      </c>
      <c r="BG296" s="127">
        <v>42899</v>
      </c>
      <c r="BH296" s="188" t="s">
        <v>34</v>
      </c>
      <c r="BI296" s="188" t="s">
        <v>598</v>
      </c>
      <c r="BJ296" s="189">
        <v>4000</v>
      </c>
      <c r="BK296" s="188" t="s">
        <v>493</v>
      </c>
      <c r="BL296" s="188" t="s">
        <v>598</v>
      </c>
      <c r="BM296" s="189">
        <v>0</v>
      </c>
      <c r="BN296" s="188" t="s">
        <v>598</v>
      </c>
      <c r="BO296" s="127">
        <v>42899</v>
      </c>
      <c r="BP296" s="188" t="s">
        <v>134</v>
      </c>
      <c r="BQ296" s="188" t="s">
        <v>77</v>
      </c>
      <c r="BR296" s="188" t="s">
        <v>242</v>
      </c>
      <c r="BS296" s="188" t="s">
        <v>598</v>
      </c>
      <c r="BT296" s="188" t="s">
        <v>85</v>
      </c>
      <c r="BU296" s="188" t="s">
        <v>98</v>
      </c>
      <c r="BV296" s="188" t="s">
        <v>598</v>
      </c>
    </row>
    <row r="297" spans="5:74">
      <c r="E297" s="21"/>
      <c r="Q297" s="191"/>
      <c r="R297" s="191"/>
      <c r="S297" s="191"/>
      <c r="T297" s="127"/>
      <c r="U297" s="127"/>
      <c r="V297" s="191"/>
      <c r="W297" s="190"/>
      <c r="X297" s="191"/>
      <c r="Y297" s="191"/>
      <c r="Z297" s="191"/>
      <c r="AA297" s="191"/>
      <c r="AB297" s="191"/>
      <c r="AC297" s="191"/>
      <c r="AD297" s="191"/>
      <c r="AE297" s="191"/>
      <c r="AF297" s="191"/>
      <c r="AG297" s="191"/>
      <c r="AH297" s="191"/>
      <c r="AI297" s="127"/>
      <c r="AJ297" s="191"/>
      <c r="AK297" s="191"/>
      <c r="AL297" s="190"/>
      <c r="AM297" s="191"/>
      <c r="BE297" s="188" t="s">
        <v>2428</v>
      </c>
      <c r="BF297" s="188" t="s">
        <v>4024</v>
      </c>
      <c r="BG297" s="127">
        <v>42901</v>
      </c>
      <c r="BH297" s="188" t="s">
        <v>34</v>
      </c>
      <c r="BI297" s="188" t="s">
        <v>598</v>
      </c>
      <c r="BJ297" s="189">
        <v>2500</v>
      </c>
      <c r="BK297" s="188" t="s">
        <v>493</v>
      </c>
      <c r="BL297" s="188" t="s">
        <v>598</v>
      </c>
      <c r="BM297" s="189">
        <v>0</v>
      </c>
      <c r="BN297" s="188" t="s">
        <v>598</v>
      </c>
      <c r="BO297" s="127">
        <v>42900</v>
      </c>
      <c r="BP297" s="188" t="s">
        <v>118</v>
      </c>
      <c r="BQ297" s="188" t="s">
        <v>77</v>
      </c>
      <c r="BR297" s="188" t="s">
        <v>242</v>
      </c>
      <c r="BS297" s="188" t="s">
        <v>598</v>
      </c>
      <c r="BT297" s="188" t="s">
        <v>85</v>
      </c>
      <c r="BU297" s="188" t="s">
        <v>98</v>
      </c>
      <c r="BV297" s="188" t="s">
        <v>598</v>
      </c>
    </row>
    <row r="298" spans="5:74">
      <c r="E298" s="21"/>
      <c r="Q298" s="191"/>
      <c r="R298" s="191"/>
      <c r="S298" s="191"/>
      <c r="T298" s="127"/>
      <c r="U298" s="127"/>
      <c r="V298" s="191"/>
      <c r="W298" s="190"/>
      <c r="X298" s="191"/>
      <c r="Y298" s="191"/>
      <c r="Z298" s="191"/>
      <c r="AA298" s="191"/>
      <c r="AB298" s="191"/>
      <c r="AC298" s="191"/>
      <c r="AD298" s="191"/>
      <c r="AE298" s="191"/>
      <c r="AF298" s="191"/>
      <c r="AG298" s="191"/>
      <c r="AH298" s="191"/>
      <c r="AI298" s="127"/>
      <c r="AJ298" s="191"/>
      <c r="AK298" s="191"/>
      <c r="AL298" s="190"/>
      <c r="AM298" s="191"/>
      <c r="BE298" s="188" t="s">
        <v>2430</v>
      </c>
      <c r="BF298" s="188" t="s">
        <v>4025</v>
      </c>
      <c r="BG298" s="127">
        <v>42901</v>
      </c>
      <c r="BH298" s="188" t="s">
        <v>34</v>
      </c>
      <c r="BI298" s="188" t="s">
        <v>598</v>
      </c>
      <c r="BJ298" s="189">
        <v>2500</v>
      </c>
      <c r="BK298" s="188" t="s">
        <v>493</v>
      </c>
      <c r="BL298" s="188" t="s">
        <v>598</v>
      </c>
      <c r="BM298" s="189">
        <v>0</v>
      </c>
      <c r="BN298" s="188" t="s">
        <v>598</v>
      </c>
      <c r="BO298" s="127">
        <v>42900</v>
      </c>
      <c r="BP298" s="188" t="s">
        <v>122</v>
      </c>
      <c r="BQ298" s="188" t="s">
        <v>77</v>
      </c>
      <c r="BR298" s="188" t="s">
        <v>242</v>
      </c>
      <c r="BS298" s="188" t="s">
        <v>598</v>
      </c>
      <c r="BT298" s="188" t="s">
        <v>85</v>
      </c>
      <c r="BU298" s="188" t="s">
        <v>98</v>
      </c>
      <c r="BV298" s="188" t="s">
        <v>598</v>
      </c>
    </row>
    <row r="299" spans="5:74">
      <c r="E299" s="21"/>
      <c r="Q299" s="191"/>
      <c r="R299" s="191"/>
      <c r="S299" s="191"/>
      <c r="T299" s="127"/>
      <c r="U299" s="127"/>
      <c r="V299" s="191"/>
      <c r="W299" s="190"/>
      <c r="X299" s="191"/>
      <c r="Y299" s="191"/>
      <c r="Z299" s="191"/>
      <c r="AA299" s="191"/>
      <c r="AB299" s="191"/>
      <c r="AC299" s="191"/>
      <c r="AD299" s="191"/>
      <c r="AE299" s="191"/>
      <c r="AF299" s="191"/>
      <c r="AG299" s="191"/>
      <c r="AH299" s="191"/>
      <c r="AI299" s="127"/>
      <c r="AJ299" s="191"/>
      <c r="AK299" s="191"/>
      <c r="AL299" s="190"/>
      <c r="AM299" s="191"/>
      <c r="BE299" s="188" t="s">
        <v>2436</v>
      </c>
      <c r="BF299" s="188" t="s">
        <v>4026</v>
      </c>
      <c r="BG299" s="127">
        <v>42909</v>
      </c>
      <c r="BH299" s="188" t="s">
        <v>10</v>
      </c>
      <c r="BI299" s="188" t="s">
        <v>598</v>
      </c>
      <c r="BJ299" s="189">
        <v>3000</v>
      </c>
      <c r="BK299" s="188" t="s">
        <v>493</v>
      </c>
      <c r="BL299" s="188" t="s">
        <v>598</v>
      </c>
      <c r="BM299" s="189">
        <v>0</v>
      </c>
      <c r="BN299" s="188" t="s">
        <v>598</v>
      </c>
      <c r="BO299" s="127">
        <v>42909</v>
      </c>
      <c r="BP299" s="188" t="s">
        <v>135</v>
      </c>
      <c r="BQ299" s="188" t="s">
        <v>77</v>
      </c>
      <c r="BR299" s="188" t="s">
        <v>183</v>
      </c>
      <c r="BS299" s="188" t="s">
        <v>598</v>
      </c>
      <c r="BT299" s="188" t="s">
        <v>85</v>
      </c>
      <c r="BU299" s="188" t="s">
        <v>98</v>
      </c>
      <c r="BV299" s="188" t="s">
        <v>598</v>
      </c>
    </row>
    <row r="300" spans="5:74">
      <c r="E300" s="21"/>
      <c r="Q300" s="191"/>
      <c r="R300" s="191"/>
      <c r="S300" s="191"/>
      <c r="T300" s="127"/>
      <c r="U300" s="127"/>
      <c r="V300" s="191"/>
      <c r="W300" s="190"/>
      <c r="X300" s="191"/>
      <c r="Y300" s="191"/>
      <c r="Z300" s="191"/>
      <c r="AA300" s="191"/>
      <c r="AB300" s="191"/>
      <c r="AC300" s="191"/>
      <c r="AD300" s="191"/>
      <c r="AE300" s="191"/>
      <c r="AF300" s="191"/>
      <c r="AG300" s="191"/>
      <c r="AH300" s="191"/>
      <c r="AI300" s="127"/>
      <c r="AJ300" s="191"/>
      <c r="AK300" s="191"/>
      <c r="AL300" s="190"/>
      <c r="AM300" s="191"/>
      <c r="BE300" s="188" t="s">
        <v>2440</v>
      </c>
      <c r="BF300" s="188" t="s">
        <v>4027</v>
      </c>
      <c r="BG300" s="127">
        <v>42894</v>
      </c>
      <c r="BH300" s="188" t="s">
        <v>34</v>
      </c>
      <c r="BI300" s="188" t="s">
        <v>598</v>
      </c>
      <c r="BJ300" s="189">
        <v>3000</v>
      </c>
      <c r="BK300" s="188" t="s">
        <v>493</v>
      </c>
      <c r="BL300" s="188" t="s">
        <v>598</v>
      </c>
      <c r="BM300" s="189">
        <v>0</v>
      </c>
      <c r="BN300" s="188" t="s">
        <v>598</v>
      </c>
      <c r="BO300" s="127">
        <v>42894</v>
      </c>
      <c r="BP300" s="188" t="s">
        <v>134</v>
      </c>
      <c r="BQ300" s="188" t="s">
        <v>551</v>
      </c>
      <c r="BR300" s="188" t="s">
        <v>301</v>
      </c>
      <c r="BS300" s="188" t="s">
        <v>598</v>
      </c>
      <c r="BT300" s="188" t="s">
        <v>85</v>
      </c>
      <c r="BU300" s="188" t="s">
        <v>73</v>
      </c>
      <c r="BV300" s="188" t="s">
        <v>598</v>
      </c>
    </row>
    <row r="301" spans="5:74">
      <c r="E301" s="21"/>
      <c r="Q301" s="191"/>
      <c r="R301" s="191"/>
      <c r="S301" s="191"/>
      <c r="T301" s="127"/>
      <c r="U301" s="127"/>
      <c r="V301" s="191"/>
      <c r="W301" s="190"/>
      <c r="X301" s="191"/>
      <c r="Y301" s="191"/>
      <c r="Z301" s="191"/>
      <c r="AA301" s="191"/>
      <c r="AB301" s="191"/>
      <c r="AC301" s="191"/>
      <c r="AD301" s="191"/>
      <c r="AE301" s="191"/>
      <c r="AF301" s="191"/>
      <c r="AG301" s="191"/>
      <c r="AH301" s="191"/>
      <c r="AI301" s="127"/>
      <c r="AJ301" s="191"/>
      <c r="AK301" s="191"/>
      <c r="AL301" s="190"/>
      <c r="AM301" s="191"/>
      <c r="BE301" s="188" t="s">
        <v>2442</v>
      </c>
      <c r="BF301" s="188" t="s">
        <v>4028</v>
      </c>
      <c r="BG301" s="127">
        <v>42888</v>
      </c>
      <c r="BH301" s="188" t="s">
        <v>34</v>
      </c>
      <c r="BI301" s="188" t="s">
        <v>598</v>
      </c>
      <c r="BJ301" s="189">
        <v>3500</v>
      </c>
      <c r="BK301" s="188" t="s">
        <v>493</v>
      </c>
      <c r="BL301" s="188" t="s">
        <v>598</v>
      </c>
      <c r="BM301" s="189">
        <v>0</v>
      </c>
      <c r="BN301" s="188" t="s">
        <v>598</v>
      </c>
      <c r="BO301" s="127">
        <v>42887</v>
      </c>
      <c r="BP301" s="188" t="s">
        <v>58</v>
      </c>
      <c r="BQ301" s="188" t="s">
        <v>551</v>
      </c>
      <c r="BR301" s="188" t="s">
        <v>306</v>
      </c>
      <c r="BS301" s="188" t="s">
        <v>598</v>
      </c>
      <c r="BT301" s="188" t="s">
        <v>85</v>
      </c>
      <c r="BU301" s="188" t="s">
        <v>98</v>
      </c>
      <c r="BV301" s="188" t="s">
        <v>598</v>
      </c>
    </row>
    <row r="302" spans="5:74">
      <c r="E302" s="21"/>
      <c r="Q302" s="191"/>
      <c r="R302" s="191"/>
      <c r="S302" s="191"/>
      <c r="T302" s="127"/>
      <c r="U302" s="127"/>
      <c r="V302" s="191"/>
      <c r="W302" s="190"/>
      <c r="X302" s="191"/>
      <c r="Y302" s="191"/>
      <c r="Z302" s="191"/>
      <c r="AA302" s="191"/>
      <c r="AB302" s="191"/>
      <c r="AC302" s="191"/>
      <c r="AD302" s="191"/>
      <c r="AE302" s="191"/>
      <c r="AF302" s="191"/>
      <c r="AG302" s="191"/>
      <c r="AH302" s="191"/>
      <c r="AI302" s="127"/>
      <c r="AJ302" s="191"/>
      <c r="AK302" s="191"/>
      <c r="AL302" s="190"/>
      <c r="AM302" s="191"/>
      <c r="BE302" s="188" t="s">
        <v>2448</v>
      </c>
      <c r="BF302" s="188" t="s">
        <v>4029</v>
      </c>
      <c r="BG302" s="127">
        <v>42899</v>
      </c>
      <c r="BH302" s="188" t="s">
        <v>10</v>
      </c>
      <c r="BI302" s="188" t="s">
        <v>598</v>
      </c>
      <c r="BJ302" s="189">
        <v>2000</v>
      </c>
      <c r="BK302" s="188" t="s">
        <v>493</v>
      </c>
      <c r="BL302" s="188" t="s">
        <v>598</v>
      </c>
      <c r="BM302" s="189">
        <v>0</v>
      </c>
      <c r="BN302" s="188" t="s">
        <v>598</v>
      </c>
      <c r="BO302" s="127">
        <v>42884</v>
      </c>
      <c r="BP302" s="188" t="s">
        <v>118</v>
      </c>
      <c r="BQ302" s="188" t="s">
        <v>551</v>
      </c>
      <c r="BR302" s="188" t="s">
        <v>306</v>
      </c>
      <c r="BS302" s="188" t="s">
        <v>598</v>
      </c>
      <c r="BT302" s="188" t="s">
        <v>85</v>
      </c>
      <c r="BU302" s="188" t="s">
        <v>598</v>
      </c>
      <c r="BV302" s="188" t="s">
        <v>598</v>
      </c>
    </row>
    <row r="303" spans="5:74">
      <c r="E303" s="21"/>
      <c r="Q303" s="191"/>
      <c r="R303" s="191"/>
      <c r="S303" s="191"/>
      <c r="T303" s="127"/>
      <c r="U303" s="127"/>
      <c r="V303" s="191"/>
      <c r="W303" s="190"/>
      <c r="X303" s="191"/>
      <c r="Y303" s="191"/>
      <c r="Z303" s="191"/>
      <c r="AA303" s="191"/>
      <c r="AB303" s="191"/>
      <c r="AC303" s="191"/>
      <c r="AD303" s="191"/>
      <c r="AE303" s="191"/>
      <c r="AF303" s="191"/>
      <c r="AG303" s="191"/>
      <c r="AH303" s="191"/>
      <c r="AI303" s="127"/>
      <c r="AJ303" s="191"/>
      <c r="AK303" s="191"/>
      <c r="AL303" s="190"/>
      <c r="AM303" s="191"/>
      <c r="BE303" s="188" t="s">
        <v>2450</v>
      </c>
      <c r="BF303" s="188" t="s">
        <v>4030</v>
      </c>
      <c r="BG303" s="127">
        <v>42899</v>
      </c>
      <c r="BH303" s="188" t="s">
        <v>10</v>
      </c>
      <c r="BI303" s="188" t="s">
        <v>598</v>
      </c>
      <c r="BJ303" s="189">
        <v>10000</v>
      </c>
      <c r="BK303" s="188" t="s">
        <v>493</v>
      </c>
      <c r="BL303" s="188" t="s">
        <v>598</v>
      </c>
      <c r="BM303" s="189">
        <v>0</v>
      </c>
      <c r="BN303" s="188" t="s">
        <v>598</v>
      </c>
      <c r="BO303" s="127">
        <v>42884</v>
      </c>
      <c r="BP303" s="188" t="s">
        <v>118</v>
      </c>
      <c r="BQ303" s="188" t="s">
        <v>551</v>
      </c>
      <c r="BR303" s="188" t="s">
        <v>306</v>
      </c>
      <c r="BS303" s="188" t="s">
        <v>598</v>
      </c>
      <c r="BT303" s="188" t="s">
        <v>85</v>
      </c>
      <c r="BU303" s="188" t="s">
        <v>598</v>
      </c>
      <c r="BV303" s="188" t="s">
        <v>598</v>
      </c>
    </row>
    <row r="304" spans="5:74">
      <c r="E304" s="21"/>
      <c r="Q304" s="191"/>
      <c r="R304" s="191"/>
      <c r="S304" s="191"/>
      <c r="T304" s="127"/>
      <c r="U304" s="127"/>
      <c r="V304" s="191"/>
      <c r="W304" s="190"/>
      <c r="X304" s="191"/>
      <c r="Y304" s="191"/>
      <c r="Z304" s="191"/>
      <c r="AA304" s="191"/>
      <c r="AB304" s="191"/>
      <c r="AC304" s="191"/>
      <c r="AD304" s="191"/>
      <c r="AE304" s="191"/>
      <c r="AF304" s="191"/>
      <c r="AG304" s="191"/>
      <c r="AH304" s="191"/>
      <c r="AI304" s="127"/>
      <c r="AJ304" s="191"/>
      <c r="AK304" s="191"/>
      <c r="AL304" s="190"/>
      <c r="AM304" s="191"/>
      <c r="BE304" s="188" t="s">
        <v>2504</v>
      </c>
      <c r="BF304" s="188" t="s">
        <v>4031</v>
      </c>
      <c r="BG304" s="127">
        <v>42893</v>
      </c>
      <c r="BH304" s="188" t="s">
        <v>10</v>
      </c>
      <c r="BI304" s="188" t="s">
        <v>598</v>
      </c>
      <c r="BJ304" s="189">
        <v>2700</v>
      </c>
      <c r="BK304" s="188" t="s">
        <v>493</v>
      </c>
      <c r="BL304" s="188" t="s">
        <v>598</v>
      </c>
      <c r="BM304" s="189">
        <v>0</v>
      </c>
      <c r="BN304" s="188" t="s">
        <v>598</v>
      </c>
      <c r="BO304" s="127">
        <v>42733</v>
      </c>
      <c r="BP304" s="188" t="s">
        <v>118</v>
      </c>
      <c r="BQ304" s="188" t="s">
        <v>551</v>
      </c>
      <c r="BR304" s="188" t="s">
        <v>314</v>
      </c>
      <c r="BS304" s="188" t="s">
        <v>598</v>
      </c>
      <c r="BT304" s="188" t="s">
        <v>85</v>
      </c>
      <c r="BU304" s="188" t="s">
        <v>85</v>
      </c>
      <c r="BV304" s="188" t="s">
        <v>598</v>
      </c>
    </row>
    <row r="305" spans="5:74">
      <c r="E305" s="21"/>
      <c r="Q305" s="191"/>
      <c r="R305" s="191"/>
      <c r="S305" s="191"/>
      <c r="T305" s="127"/>
      <c r="U305" s="127"/>
      <c r="V305" s="191"/>
      <c r="W305" s="190"/>
      <c r="X305" s="191"/>
      <c r="Y305" s="191"/>
      <c r="Z305" s="191"/>
      <c r="AA305" s="191"/>
      <c r="AB305" s="191"/>
      <c r="AC305" s="191"/>
      <c r="AD305" s="191"/>
      <c r="AE305" s="191"/>
      <c r="AF305" s="191"/>
      <c r="AG305" s="191"/>
      <c r="AH305" s="191"/>
      <c r="AI305" s="127"/>
      <c r="AJ305" s="191"/>
      <c r="AK305" s="191"/>
      <c r="AL305" s="190"/>
      <c r="AM305" s="191"/>
      <c r="BE305" s="188" t="s">
        <v>2508</v>
      </c>
      <c r="BF305" s="188" t="s">
        <v>4032</v>
      </c>
      <c r="BG305" s="127">
        <v>42909</v>
      </c>
      <c r="BH305" s="188" t="s">
        <v>10</v>
      </c>
      <c r="BI305" s="188" t="s">
        <v>598</v>
      </c>
      <c r="BJ305" s="189">
        <v>2375</v>
      </c>
      <c r="BK305" s="188" t="s">
        <v>493</v>
      </c>
      <c r="BL305" s="188">
        <v>2375</v>
      </c>
      <c r="BM305" s="189">
        <v>0</v>
      </c>
      <c r="BN305" s="188" t="s">
        <v>598</v>
      </c>
      <c r="BO305" s="127">
        <v>42598</v>
      </c>
      <c r="BP305" s="188" t="s">
        <v>598</v>
      </c>
      <c r="BQ305" s="188" t="s">
        <v>77</v>
      </c>
      <c r="BR305" s="188" t="s">
        <v>183</v>
      </c>
      <c r="BS305" s="188" t="s">
        <v>598</v>
      </c>
      <c r="BT305" s="188" t="s">
        <v>85</v>
      </c>
      <c r="BU305" s="188" t="s">
        <v>85</v>
      </c>
      <c r="BV305" s="188" t="s">
        <v>598</v>
      </c>
    </row>
    <row r="306" spans="5:74">
      <c r="E306" s="21"/>
      <c r="Q306" s="191"/>
      <c r="R306" s="191"/>
      <c r="S306" s="191"/>
      <c r="T306" s="127"/>
      <c r="U306" s="127"/>
      <c r="V306" s="191"/>
      <c r="W306" s="190"/>
      <c r="X306" s="191"/>
      <c r="Y306" s="191"/>
      <c r="Z306" s="191"/>
      <c r="AA306" s="191"/>
      <c r="AB306" s="191"/>
      <c r="AC306" s="191"/>
      <c r="AD306" s="191"/>
      <c r="AE306" s="191"/>
      <c r="AF306" s="191"/>
      <c r="AG306" s="191"/>
      <c r="AH306" s="191"/>
      <c r="AI306" s="127"/>
      <c r="AJ306" s="191"/>
      <c r="AK306" s="191"/>
      <c r="AL306" s="190"/>
      <c r="AM306" s="191"/>
      <c r="BE306" s="188" t="s">
        <v>2538</v>
      </c>
      <c r="BF306" s="188" t="s">
        <v>4033</v>
      </c>
      <c r="BG306" s="127">
        <v>42909</v>
      </c>
      <c r="BH306" s="188" t="s">
        <v>10</v>
      </c>
      <c r="BI306" s="188" t="s">
        <v>598</v>
      </c>
      <c r="BJ306" s="189">
        <v>3125</v>
      </c>
      <c r="BK306" s="188" t="s">
        <v>493</v>
      </c>
      <c r="BL306" s="188">
        <v>3125</v>
      </c>
      <c r="BM306" s="189">
        <v>0</v>
      </c>
      <c r="BN306" s="188" t="s">
        <v>598</v>
      </c>
      <c r="BO306" s="127">
        <v>42682</v>
      </c>
      <c r="BP306" s="188" t="s">
        <v>134</v>
      </c>
      <c r="BQ306" s="188" t="s">
        <v>77</v>
      </c>
      <c r="BR306" s="188" t="s">
        <v>183</v>
      </c>
      <c r="BS306" s="188" t="s">
        <v>598</v>
      </c>
      <c r="BT306" s="188" t="s">
        <v>85</v>
      </c>
      <c r="BU306" s="188" t="s">
        <v>85</v>
      </c>
      <c r="BV306" s="188" t="s">
        <v>598</v>
      </c>
    </row>
    <row r="307" spans="5:74">
      <c r="E307" s="21"/>
      <c r="Q307" s="191"/>
      <c r="R307" s="191"/>
      <c r="S307" s="191"/>
      <c r="T307" s="127"/>
      <c r="U307" s="127"/>
      <c r="V307" s="191"/>
      <c r="W307" s="190"/>
      <c r="X307" s="191"/>
      <c r="Y307" s="191"/>
      <c r="Z307" s="191"/>
      <c r="AA307" s="191"/>
      <c r="AB307" s="191"/>
      <c r="AC307" s="191"/>
      <c r="AD307" s="191"/>
      <c r="AE307" s="191"/>
      <c r="AF307" s="191"/>
      <c r="AG307" s="191"/>
      <c r="AH307" s="191"/>
      <c r="AI307" s="127"/>
      <c r="AJ307" s="191"/>
      <c r="AK307" s="191"/>
      <c r="AL307" s="190"/>
      <c r="AM307" s="191"/>
      <c r="BE307" s="188" t="s">
        <v>2553</v>
      </c>
      <c r="BF307" s="188" t="s">
        <v>4034</v>
      </c>
      <c r="BG307" s="127">
        <v>42909</v>
      </c>
      <c r="BH307" s="188" t="s">
        <v>10</v>
      </c>
      <c r="BI307" s="188" t="s">
        <v>598</v>
      </c>
      <c r="BJ307" s="189">
        <v>3000</v>
      </c>
      <c r="BK307" s="188" t="s">
        <v>493</v>
      </c>
      <c r="BL307" s="188">
        <v>3000</v>
      </c>
      <c r="BM307" s="189">
        <v>0</v>
      </c>
      <c r="BN307" s="188" t="s">
        <v>598</v>
      </c>
      <c r="BO307" s="127">
        <v>42707</v>
      </c>
      <c r="BP307" s="188" t="s">
        <v>134</v>
      </c>
      <c r="BQ307" s="188" t="s">
        <v>77</v>
      </c>
      <c r="BR307" s="188" t="s">
        <v>183</v>
      </c>
      <c r="BS307" s="188" t="s">
        <v>598</v>
      </c>
      <c r="BT307" s="188" t="s">
        <v>85</v>
      </c>
      <c r="BU307" s="188" t="s">
        <v>85</v>
      </c>
      <c r="BV307" s="188" t="s">
        <v>598</v>
      </c>
    </row>
    <row r="308" spans="5:74">
      <c r="E308" s="21"/>
      <c r="Q308" s="191"/>
      <c r="R308" s="191"/>
      <c r="S308" s="191"/>
      <c r="T308" s="127"/>
      <c r="U308" s="127"/>
      <c r="V308" s="191"/>
      <c r="W308" s="190"/>
      <c r="X308" s="191"/>
      <c r="Y308" s="191"/>
      <c r="Z308" s="191"/>
      <c r="AA308" s="191"/>
      <c r="AB308" s="191"/>
      <c r="AC308" s="191"/>
      <c r="AD308" s="191"/>
      <c r="AE308" s="191"/>
      <c r="AF308" s="191"/>
      <c r="AG308" s="191"/>
      <c r="AH308" s="191"/>
      <c r="AI308" s="127"/>
      <c r="AJ308" s="191"/>
      <c r="AK308" s="191"/>
      <c r="AL308" s="190"/>
      <c r="AM308" s="191"/>
      <c r="BE308" s="188" t="s">
        <v>2569</v>
      </c>
      <c r="BF308" s="188" t="s">
        <v>4035</v>
      </c>
      <c r="BG308" s="127">
        <v>42909</v>
      </c>
      <c r="BH308" s="188" t="s">
        <v>10</v>
      </c>
      <c r="BI308" s="188" t="s">
        <v>598</v>
      </c>
      <c r="BJ308" s="189">
        <v>3375</v>
      </c>
      <c r="BK308" s="188" t="s">
        <v>493</v>
      </c>
      <c r="BL308" s="188">
        <v>3375</v>
      </c>
      <c r="BM308" s="189">
        <v>0</v>
      </c>
      <c r="BN308" s="188" t="s">
        <v>598</v>
      </c>
      <c r="BO308" s="127">
        <v>42741</v>
      </c>
      <c r="BP308" s="188" t="s">
        <v>134</v>
      </c>
      <c r="BQ308" s="188" t="s">
        <v>77</v>
      </c>
      <c r="BR308" s="188" t="s">
        <v>183</v>
      </c>
      <c r="BS308" s="188" t="s">
        <v>598</v>
      </c>
      <c r="BT308" s="188" t="s">
        <v>85</v>
      </c>
      <c r="BU308" s="188" t="s">
        <v>85</v>
      </c>
      <c r="BV308" s="188" t="s">
        <v>598</v>
      </c>
    </row>
    <row r="309" spans="5:74">
      <c r="E309" s="21"/>
      <c r="Q309" s="191"/>
      <c r="R309" s="191"/>
      <c r="S309" s="191"/>
      <c r="T309" s="127"/>
      <c r="U309" s="127"/>
      <c r="V309" s="191"/>
      <c r="W309" s="190"/>
      <c r="X309" s="191"/>
      <c r="Y309" s="191"/>
      <c r="Z309" s="191"/>
      <c r="AA309" s="191"/>
      <c r="AB309" s="191"/>
      <c r="AC309" s="191"/>
      <c r="AD309" s="191"/>
      <c r="AE309" s="191"/>
      <c r="AF309" s="191"/>
      <c r="AG309" s="191"/>
      <c r="AH309" s="191"/>
      <c r="AI309" s="127"/>
      <c r="AJ309" s="191"/>
      <c r="AK309" s="191"/>
      <c r="AL309" s="190"/>
      <c r="AM309" s="191"/>
      <c r="BE309" s="188" t="s">
        <v>2571</v>
      </c>
      <c r="BF309" s="188" t="s">
        <v>4036</v>
      </c>
      <c r="BG309" s="127">
        <v>42909</v>
      </c>
      <c r="BH309" s="188" t="s">
        <v>10</v>
      </c>
      <c r="BI309" s="188" t="s">
        <v>598</v>
      </c>
      <c r="BJ309" s="189">
        <v>3875</v>
      </c>
      <c r="BK309" s="188" t="s">
        <v>493</v>
      </c>
      <c r="BL309" s="188">
        <v>3875</v>
      </c>
      <c r="BM309" s="189">
        <v>0</v>
      </c>
      <c r="BN309" s="188" t="s">
        <v>598</v>
      </c>
      <c r="BO309" s="127">
        <v>42745</v>
      </c>
      <c r="BP309" s="188" t="s">
        <v>118</v>
      </c>
      <c r="BQ309" s="188" t="s">
        <v>77</v>
      </c>
      <c r="BR309" s="188" t="s">
        <v>183</v>
      </c>
      <c r="BS309" s="188" t="s">
        <v>598</v>
      </c>
      <c r="BT309" s="188" t="s">
        <v>85</v>
      </c>
      <c r="BU309" s="188" t="s">
        <v>85</v>
      </c>
      <c r="BV309" s="188" t="s">
        <v>598</v>
      </c>
    </row>
    <row r="310" spans="5:74">
      <c r="E310" s="21"/>
      <c r="Q310" s="191"/>
      <c r="R310" s="191"/>
      <c r="S310" s="191"/>
      <c r="T310" s="127"/>
      <c r="U310" s="127"/>
      <c r="V310" s="191"/>
      <c r="W310" s="190"/>
      <c r="X310" s="191"/>
      <c r="Y310" s="191"/>
      <c r="Z310" s="191"/>
      <c r="AA310" s="191"/>
      <c r="AB310" s="191"/>
      <c r="AC310" s="191"/>
      <c r="AD310" s="191"/>
      <c r="AE310" s="191"/>
      <c r="AF310" s="191"/>
      <c r="AG310" s="191"/>
      <c r="AH310" s="191"/>
      <c r="AI310" s="127"/>
      <c r="AJ310" s="191"/>
      <c r="AK310" s="191"/>
      <c r="AL310" s="190"/>
      <c r="AM310" s="191"/>
      <c r="BE310" s="188" t="s">
        <v>2590</v>
      </c>
      <c r="BF310" s="188" t="s">
        <v>4037</v>
      </c>
      <c r="BG310" s="127">
        <v>42899</v>
      </c>
      <c r="BH310" s="188" t="s">
        <v>10</v>
      </c>
      <c r="BI310" s="188" t="s">
        <v>598</v>
      </c>
      <c r="BJ310" s="189">
        <v>6187</v>
      </c>
      <c r="BK310" s="188" t="s">
        <v>493</v>
      </c>
      <c r="BL310" s="188" t="s">
        <v>598</v>
      </c>
      <c r="BM310" s="189">
        <v>0</v>
      </c>
      <c r="BN310" s="188" t="s">
        <v>598</v>
      </c>
      <c r="BO310" s="127">
        <v>42458</v>
      </c>
      <c r="BP310" s="188" t="s">
        <v>48</v>
      </c>
      <c r="BQ310" s="188" t="s">
        <v>551</v>
      </c>
      <c r="BR310" s="188" t="s">
        <v>315</v>
      </c>
      <c r="BS310" s="188" t="s">
        <v>598</v>
      </c>
      <c r="BT310" s="188" t="s">
        <v>85</v>
      </c>
      <c r="BU310" s="188" t="s">
        <v>73</v>
      </c>
      <c r="BV310" s="188" t="s">
        <v>598</v>
      </c>
    </row>
    <row r="311" spans="5:74">
      <c r="E311" s="21"/>
      <c r="Q311" s="191"/>
      <c r="R311" s="191"/>
      <c r="S311" s="191"/>
      <c r="T311" s="127"/>
      <c r="U311" s="127"/>
      <c r="V311" s="191"/>
      <c r="W311" s="190"/>
      <c r="X311" s="191"/>
      <c r="Y311" s="191"/>
      <c r="Z311" s="191"/>
      <c r="AA311" s="191"/>
      <c r="AB311" s="191"/>
      <c r="AC311" s="191"/>
      <c r="AD311" s="191"/>
      <c r="AE311" s="191"/>
      <c r="AF311" s="191"/>
      <c r="AG311" s="191"/>
      <c r="AH311" s="191"/>
      <c r="AI311" s="127"/>
      <c r="AJ311" s="191"/>
      <c r="AK311" s="191"/>
      <c r="AL311" s="190"/>
      <c r="AM311" s="191"/>
      <c r="BE311" s="188" t="s">
        <v>2592</v>
      </c>
      <c r="BF311" s="188" t="s">
        <v>4038</v>
      </c>
      <c r="BG311" s="127">
        <v>42899</v>
      </c>
      <c r="BH311" s="188" t="s">
        <v>10</v>
      </c>
      <c r="BI311" s="188" t="s">
        <v>598</v>
      </c>
      <c r="BJ311" s="189">
        <v>9000</v>
      </c>
      <c r="BK311" s="188" t="s">
        <v>493</v>
      </c>
      <c r="BL311" s="188" t="s">
        <v>598</v>
      </c>
      <c r="BM311" s="189">
        <v>0</v>
      </c>
      <c r="BN311" s="188" t="s">
        <v>598</v>
      </c>
      <c r="BO311" s="127">
        <v>42458</v>
      </c>
      <c r="BP311" s="188" t="s">
        <v>48</v>
      </c>
      <c r="BQ311" s="188" t="s">
        <v>551</v>
      </c>
      <c r="BR311" s="188" t="s">
        <v>315</v>
      </c>
      <c r="BS311" s="188" t="s">
        <v>598</v>
      </c>
      <c r="BT311" s="188" t="s">
        <v>85</v>
      </c>
      <c r="BU311" s="188" t="s">
        <v>85</v>
      </c>
      <c r="BV311" s="188" t="s">
        <v>598</v>
      </c>
    </row>
    <row r="312" spans="5:74">
      <c r="E312" s="21"/>
      <c r="Q312" s="191"/>
      <c r="R312" s="191"/>
      <c r="S312" s="191"/>
      <c r="T312" s="127"/>
      <c r="U312" s="127"/>
      <c r="V312" s="191"/>
      <c r="W312" s="190"/>
      <c r="X312" s="191"/>
      <c r="Y312" s="191"/>
      <c r="Z312" s="191"/>
      <c r="AA312" s="191"/>
      <c r="AB312" s="191"/>
      <c r="AC312" s="191"/>
      <c r="AD312" s="191"/>
      <c r="AE312" s="191"/>
      <c r="AF312" s="191"/>
      <c r="AG312" s="191"/>
      <c r="AH312" s="191"/>
      <c r="AI312" s="127"/>
      <c r="AJ312" s="191"/>
      <c r="AK312" s="191"/>
      <c r="AL312" s="190"/>
      <c r="AM312" s="191"/>
      <c r="BE312" s="188" t="s">
        <v>2605</v>
      </c>
      <c r="BF312" s="188" t="s">
        <v>4039</v>
      </c>
      <c r="BG312" s="127">
        <v>42909</v>
      </c>
      <c r="BH312" s="188" t="s">
        <v>10</v>
      </c>
      <c r="BI312" s="188" t="s">
        <v>598</v>
      </c>
      <c r="BJ312" s="189">
        <v>3000</v>
      </c>
      <c r="BK312" s="188" t="s">
        <v>493</v>
      </c>
      <c r="BL312" s="188">
        <v>3000</v>
      </c>
      <c r="BM312" s="189">
        <v>0</v>
      </c>
      <c r="BN312" s="188" t="s">
        <v>598</v>
      </c>
      <c r="BO312" s="127">
        <v>42556</v>
      </c>
      <c r="BP312" s="188" t="s">
        <v>598</v>
      </c>
      <c r="BQ312" s="188" t="s">
        <v>77</v>
      </c>
      <c r="BR312" s="188" t="s">
        <v>183</v>
      </c>
      <c r="BS312" s="188" t="s">
        <v>598</v>
      </c>
      <c r="BT312" s="188" t="s">
        <v>85</v>
      </c>
      <c r="BU312" s="188" t="s">
        <v>598</v>
      </c>
      <c r="BV312" s="188" t="s">
        <v>598</v>
      </c>
    </row>
    <row r="313" spans="5:74">
      <c r="E313" s="21"/>
      <c r="Q313" s="191"/>
      <c r="R313" s="191"/>
      <c r="S313" s="191"/>
      <c r="T313" s="127"/>
      <c r="U313" s="127"/>
      <c r="V313" s="191"/>
      <c r="W313" s="190"/>
      <c r="X313" s="191"/>
      <c r="Y313" s="191"/>
      <c r="Z313" s="191"/>
      <c r="AA313" s="191"/>
      <c r="AB313" s="191"/>
      <c r="AC313" s="191"/>
      <c r="AD313" s="191"/>
      <c r="AE313" s="191"/>
      <c r="AF313" s="191"/>
      <c r="AG313" s="191"/>
      <c r="AH313" s="191"/>
      <c r="AI313" s="127"/>
      <c r="AJ313" s="191"/>
      <c r="AK313" s="191"/>
      <c r="AL313" s="190"/>
      <c r="AM313" s="191"/>
      <c r="BE313" s="188" t="s">
        <v>2607</v>
      </c>
      <c r="BF313" s="188" t="s">
        <v>4040</v>
      </c>
      <c r="BG313" s="127">
        <v>42909</v>
      </c>
      <c r="BH313" s="188" t="s">
        <v>10</v>
      </c>
      <c r="BI313" s="188" t="s">
        <v>598</v>
      </c>
      <c r="BJ313" s="189">
        <v>4625</v>
      </c>
      <c r="BK313" s="188" t="s">
        <v>493</v>
      </c>
      <c r="BL313" s="188">
        <v>4625</v>
      </c>
      <c r="BM313" s="189">
        <v>0</v>
      </c>
      <c r="BN313" s="188" t="s">
        <v>598</v>
      </c>
      <c r="BO313" s="127">
        <v>42555</v>
      </c>
      <c r="BP313" s="188" t="s">
        <v>134</v>
      </c>
      <c r="BQ313" s="188" t="s">
        <v>77</v>
      </c>
      <c r="BR313" s="188" t="s">
        <v>183</v>
      </c>
      <c r="BS313" s="188" t="s">
        <v>598</v>
      </c>
      <c r="BT313" s="188" t="s">
        <v>85</v>
      </c>
      <c r="BU313" s="188" t="s">
        <v>598</v>
      </c>
      <c r="BV313" s="188" t="s">
        <v>598</v>
      </c>
    </row>
    <row r="314" spans="5:74">
      <c r="E314" s="21"/>
      <c r="Q314" s="191"/>
      <c r="R314" s="191"/>
      <c r="S314" s="191"/>
      <c r="T314" s="127"/>
      <c r="U314" s="127"/>
      <c r="V314" s="191"/>
      <c r="W314" s="190"/>
      <c r="X314" s="191"/>
      <c r="Y314" s="191"/>
      <c r="Z314" s="191"/>
      <c r="AA314" s="191"/>
      <c r="AB314" s="191"/>
      <c r="AC314" s="191"/>
      <c r="AD314" s="191"/>
      <c r="AE314" s="191"/>
      <c r="AF314" s="191"/>
      <c r="AG314" s="191"/>
      <c r="AH314" s="191"/>
      <c r="AI314" s="127"/>
      <c r="AJ314" s="191"/>
      <c r="AK314" s="191"/>
      <c r="AL314" s="190"/>
      <c r="AM314" s="191"/>
      <c r="BE314" s="188" t="s">
        <v>2609</v>
      </c>
      <c r="BF314" s="188" t="s">
        <v>4041</v>
      </c>
      <c r="BG314" s="127">
        <v>42909</v>
      </c>
      <c r="BH314" s="188" t="s">
        <v>10</v>
      </c>
      <c r="BI314" s="188" t="s">
        <v>598</v>
      </c>
      <c r="BJ314" s="189">
        <v>2378</v>
      </c>
      <c r="BK314" s="188" t="s">
        <v>493</v>
      </c>
      <c r="BL314" s="188">
        <v>3000</v>
      </c>
      <c r="BM314" s="189">
        <v>0</v>
      </c>
      <c r="BN314" s="188" t="s">
        <v>598</v>
      </c>
      <c r="BO314" s="127">
        <v>42545</v>
      </c>
      <c r="BP314" s="188" t="s">
        <v>118</v>
      </c>
      <c r="BQ314" s="188" t="s">
        <v>77</v>
      </c>
      <c r="BR314" s="188" t="s">
        <v>183</v>
      </c>
      <c r="BS314" s="188" t="s">
        <v>598</v>
      </c>
      <c r="BT314" s="188" t="s">
        <v>85</v>
      </c>
      <c r="BU314" s="188" t="s">
        <v>598</v>
      </c>
      <c r="BV314" s="188" t="s">
        <v>598</v>
      </c>
    </row>
    <row r="315" spans="5:74">
      <c r="E315" s="21"/>
      <c r="Q315" s="191"/>
      <c r="R315" s="191"/>
      <c r="S315" s="191"/>
      <c r="T315" s="127"/>
      <c r="U315" s="127"/>
      <c r="V315" s="191"/>
      <c r="W315" s="190"/>
      <c r="X315" s="191"/>
      <c r="Y315" s="191"/>
      <c r="Z315" s="191"/>
      <c r="AA315" s="191"/>
      <c r="AB315" s="191"/>
      <c r="AC315" s="191"/>
      <c r="AD315" s="191"/>
      <c r="AE315" s="191"/>
      <c r="AF315" s="191"/>
      <c r="AG315" s="191"/>
      <c r="AH315" s="191"/>
      <c r="AI315" s="127"/>
      <c r="AJ315" s="191"/>
      <c r="AK315" s="191"/>
      <c r="AL315" s="190"/>
      <c r="AM315" s="191"/>
      <c r="BE315" s="188" t="s">
        <v>2636</v>
      </c>
      <c r="BF315" s="188" t="s">
        <v>4042</v>
      </c>
      <c r="BG315" s="127">
        <v>42903</v>
      </c>
      <c r="BH315" s="188" t="s">
        <v>10</v>
      </c>
      <c r="BI315" s="188" t="s">
        <v>598</v>
      </c>
      <c r="BJ315" s="189">
        <v>8325</v>
      </c>
      <c r="BK315" s="188" t="s">
        <v>493</v>
      </c>
      <c r="BL315" s="188" t="s">
        <v>598</v>
      </c>
      <c r="BM315" s="189">
        <v>0</v>
      </c>
      <c r="BN315" s="188" t="s">
        <v>598</v>
      </c>
      <c r="BO315" s="127">
        <v>42871</v>
      </c>
      <c r="BP315" s="188" t="s">
        <v>598</v>
      </c>
      <c r="BQ315" s="188" t="s">
        <v>70</v>
      </c>
      <c r="BR315" s="188" t="s">
        <v>272</v>
      </c>
      <c r="BS315" s="188" t="s">
        <v>598</v>
      </c>
      <c r="BT315" s="188" t="s">
        <v>85</v>
      </c>
      <c r="BU315" s="188" t="s">
        <v>98</v>
      </c>
      <c r="BV315" s="188" t="s">
        <v>598</v>
      </c>
    </row>
    <row r="316" spans="5:74">
      <c r="E316" s="21"/>
      <c r="Q316" s="191"/>
      <c r="R316" s="191"/>
      <c r="S316" s="191"/>
      <c r="T316" s="127"/>
      <c r="U316" s="127"/>
      <c r="V316" s="191"/>
      <c r="W316" s="190"/>
      <c r="X316" s="191"/>
      <c r="Y316" s="191"/>
      <c r="Z316" s="191"/>
      <c r="AA316" s="191"/>
      <c r="AB316" s="191"/>
      <c r="AC316" s="191"/>
      <c r="AD316" s="191"/>
      <c r="AE316" s="191"/>
      <c r="AF316" s="191"/>
      <c r="AG316" s="191"/>
      <c r="AH316" s="191"/>
      <c r="AI316" s="127"/>
      <c r="AJ316" s="191"/>
      <c r="AK316" s="191"/>
      <c r="AL316" s="190"/>
      <c r="AM316" s="191"/>
      <c r="BE316" s="188" t="s">
        <v>2638</v>
      </c>
      <c r="BF316" s="188" t="s">
        <v>4043</v>
      </c>
      <c r="BG316" s="127">
        <v>42903</v>
      </c>
      <c r="BH316" s="188" t="s">
        <v>10</v>
      </c>
      <c r="BI316" s="188" t="s">
        <v>598</v>
      </c>
      <c r="BJ316" s="189">
        <v>8775</v>
      </c>
      <c r="BK316" s="188" t="s">
        <v>493</v>
      </c>
      <c r="BL316" s="188" t="s">
        <v>598</v>
      </c>
      <c r="BM316" s="189">
        <v>0</v>
      </c>
      <c r="BN316" s="188" t="s">
        <v>598</v>
      </c>
      <c r="BO316" s="127">
        <v>42871</v>
      </c>
      <c r="BP316" s="188" t="s">
        <v>598</v>
      </c>
      <c r="BQ316" s="188" t="s">
        <v>70</v>
      </c>
      <c r="BR316" s="188" t="s">
        <v>272</v>
      </c>
      <c r="BS316" s="188" t="s">
        <v>598</v>
      </c>
      <c r="BT316" s="188" t="s">
        <v>85</v>
      </c>
      <c r="BU316" s="188" t="s">
        <v>98</v>
      </c>
      <c r="BV316" s="188" t="s">
        <v>598</v>
      </c>
    </row>
    <row r="317" spans="5:74">
      <c r="E317" s="21"/>
      <c r="Q317" s="191"/>
      <c r="R317" s="191"/>
      <c r="S317" s="191"/>
      <c r="T317" s="127"/>
      <c r="U317" s="127"/>
      <c r="V317" s="191"/>
      <c r="W317" s="190"/>
      <c r="X317" s="191"/>
      <c r="Y317" s="191"/>
      <c r="Z317" s="191"/>
      <c r="AA317" s="191"/>
      <c r="AB317" s="191"/>
      <c r="AC317" s="191"/>
      <c r="AD317" s="191"/>
      <c r="AE317" s="191"/>
      <c r="AF317" s="191"/>
      <c r="AG317" s="191"/>
      <c r="AH317" s="191"/>
      <c r="AI317" s="127"/>
      <c r="AJ317" s="191"/>
      <c r="AK317" s="191"/>
      <c r="AL317" s="190"/>
      <c r="AM317" s="191"/>
      <c r="BE317" s="188" t="s">
        <v>2642</v>
      </c>
      <c r="BF317" s="188" t="s">
        <v>4044</v>
      </c>
      <c r="BG317" s="127">
        <v>42903</v>
      </c>
      <c r="BH317" s="188" t="s">
        <v>10</v>
      </c>
      <c r="BI317" s="188" t="s">
        <v>598</v>
      </c>
      <c r="BJ317" s="189">
        <v>8775</v>
      </c>
      <c r="BK317" s="188" t="s">
        <v>493</v>
      </c>
      <c r="BL317" s="188" t="s">
        <v>598</v>
      </c>
      <c r="BM317" s="189">
        <v>0</v>
      </c>
      <c r="BN317" s="188" t="s">
        <v>598</v>
      </c>
      <c r="BO317" s="127">
        <v>42871</v>
      </c>
      <c r="BP317" s="188" t="s">
        <v>598</v>
      </c>
      <c r="BQ317" s="188" t="s">
        <v>70</v>
      </c>
      <c r="BR317" s="188" t="s">
        <v>272</v>
      </c>
      <c r="BS317" s="188" t="s">
        <v>598</v>
      </c>
      <c r="BT317" s="188" t="s">
        <v>85</v>
      </c>
      <c r="BU317" s="188" t="s">
        <v>73</v>
      </c>
      <c r="BV317" s="188" t="s">
        <v>598</v>
      </c>
    </row>
    <row r="318" spans="5:74">
      <c r="E318" s="21"/>
      <c r="Q318" s="191"/>
      <c r="R318" s="191"/>
      <c r="S318" s="191"/>
      <c r="T318" s="127"/>
      <c r="U318" s="127"/>
      <c r="V318" s="191"/>
      <c r="W318" s="190"/>
      <c r="X318" s="191"/>
      <c r="Y318" s="191"/>
      <c r="Z318" s="191"/>
      <c r="AA318" s="191"/>
      <c r="AB318" s="191"/>
      <c r="AC318" s="191"/>
      <c r="AD318" s="191"/>
      <c r="AE318" s="191"/>
      <c r="AF318" s="191"/>
      <c r="AG318" s="191"/>
      <c r="AH318" s="191"/>
      <c r="AI318" s="127"/>
      <c r="AJ318" s="191"/>
      <c r="AK318" s="191"/>
      <c r="AL318" s="190"/>
      <c r="AM318" s="191"/>
      <c r="BE318" s="188" t="s">
        <v>2644</v>
      </c>
      <c r="BF318" s="188" t="s">
        <v>4045</v>
      </c>
      <c r="BG318" s="127">
        <v>42903</v>
      </c>
      <c r="BH318" s="188" t="s">
        <v>10</v>
      </c>
      <c r="BI318" s="188" t="s">
        <v>598</v>
      </c>
      <c r="BJ318" s="189">
        <v>8775</v>
      </c>
      <c r="BK318" s="188" t="s">
        <v>493</v>
      </c>
      <c r="BL318" s="188" t="s">
        <v>598</v>
      </c>
      <c r="BM318" s="189">
        <v>0</v>
      </c>
      <c r="BN318" s="188" t="s">
        <v>598</v>
      </c>
      <c r="BO318" s="127">
        <v>42871</v>
      </c>
      <c r="BP318" s="188" t="s">
        <v>598</v>
      </c>
      <c r="BQ318" s="188" t="s">
        <v>70</v>
      </c>
      <c r="BR318" s="188" t="s">
        <v>272</v>
      </c>
      <c r="BS318" s="188" t="s">
        <v>598</v>
      </c>
      <c r="BT318" s="188" t="s">
        <v>85</v>
      </c>
      <c r="BU318" s="188" t="s">
        <v>73</v>
      </c>
      <c r="BV318" s="188" t="s">
        <v>598</v>
      </c>
    </row>
    <row r="319" spans="5:74">
      <c r="E319" s="21"/>
      <c r="Q319" s="191"/>
      <c r="R319" s="191"/>
      <c r="S319" s="191"/>
      <c r="T319" s="127"/>
      <c r="U319" s="127"/>
      <c r="V319" s="191"/>
      <c r="W319" s="190"/>
      <c r="X319" s="191"/>
      <c r="Y319" s="191"/>
      <c r="Z319" s="191"/>
      <c r="AA319" s="191"/>
      <c r="AB319" s="191"/>
      <c r="AC319" s="191"/>
      <c r="AD319" s="191"/>
      <c r="AE319" s="191"/>
      <c r="AF319" s="191"/>
      <c r="AG319" s="191"/>
      <c r="AH319" s="191"/>
      <c r="AI319" s="127"/>
      <c r="AJ319" s="191"/>
      <c r="AK319" s="191"/>
      <c r="AL319" s="190"/>
      <c r="AM319" s="191"/>
      <c r="BE319" s="188" t="s">
        <v>2648</v>
      </c>
      <c r="BF319" s="188" t="s">
        <v>4046</v>
      </c>
      <c r="BG319" s="127">
        <v>42909</v>
      </c>
      <c r="BH319" s="188" t="s">
        <v>10</v>
      </c>
      <c r="BI319" s="188" t="s">
        <v>598</v>
      </c>
      <c r="BJ319" s="189">
        <v>3000</v>
      </c>
      <c r="BK319" s="188" t="s">
        <v>493</v>
      </c>
      <c r="BL319" s="188">
        <v>3000</v>
      </c>
      <c r="BM319" s="189">
        <v>0</v>
      </c>
      <c r="BN319" s="188" t="s">
        <v>598</v>
      </c>
      <c r="BO319" s="127">
        <v>42858</v>
      </c>
      <c r="BP319" s="188" t="s">
        <v>132</v>
      </c>
      <c r="BQ319" s="188" t="s">
        <v>77</v>
      </c>
      <c r="BR319" s="188" t="s">
        <v>183</v>
      </c>
      <c r="BS319" s="188" t="s">
        <v>598</v>
      </c>
      <c r="BT319" s="188" t="s">
        <v>85</v>
      </c>
      <c r="BU319" s="188" t="s">
        <v>98</v>
      </c>
      <c r="BV319" s="188" t="s">
        <v>598</v>
      </c>
    </row>
    <row r="320" spans="5:74">
      <c r="E320" s="21"/>
      <c r="Q320" s="191"/>
      <c r="R320" s="191"/>
      <c r="S320" s="191"/>
      <c r="T320" s="127"/>
      <c r="U320" s="127"/>
      <c r="V320" s="191"/>
      <c r="W320" s="190"/>
      <c r="X320" s="191"/>
      <c r="Y320" s="191"/>
      <c r="Z320" s="191"/>
      <c r="AA320" s="191"/>
      <c r="AB320" s="191"/>
      <c r="AC320" s="191"/>
      <c r="AD320" s="191"/>
      <c r="AE320" s="191"/>
      <c r="AF320" s="191"/>
      <c r="AG320" s="191"/>
      <c r="AH320" s="191"/>
      <c r="AI320" s="127"/>
      <c r="AJ320" s="191"/>
      <c r="AK320" s="191"/>
      <c r="AL320" s="190"/>
      <c r="AM320" s="191"/>
      <c r="BE320" s="188" t="s">
        <v>2650</v>
      </c>
      <c r="BF320" s="188" t="s">
        <v>4047</v>
      </c>
      <c r="BG320" s="127">
        <v>42909</v>
      </c>
      <c r="BH320" s="188" t="s">
        <v>10</v>
      </c>
      <c r="BI320" s="188" t="s">
        <v>598</v>
      </c>
      <c r="BJ320" s="189">
        <v>3000</v>
      </c>
      <c r="BK320" s="188" t="s">
        <v>493</v>
      </c>
      <c r="BL320" s="188">
        <v>3000</v>
      </c>
      <c r="BM320" s="189">
        <v>0</v>
      </c>
      <c r="BN320" s="188" t="s">
        <v>598</v>
      </c>
      <c r="BO320" s="127">
        <v>42858</v>
      </c>
      <c r="BP320" s="188" t="s">
        <v>132</v>
      </c>
      <c r="BQ320" s="188" t="s">
        <v>77</v>
      </c>
      <c r="BR320" s="188" t="s">
        <v>183</v>
      </c>
      <c r="BS320" s="188" t="s">
        <v>598</v>
      </c>
      <c r="BT320" s="188" t="s">
        <v>85</v>
      </c>
      <c r="BU320" s="188" t="s">
        <v>98</v>
      </c>
      <c r="BV320" s="188" t="s">
        <v>598</v>
      </c>
    </row>
    <row r="321" spans="5:74">
      <c r="E321" s="21"/>
      <c r="Q321" s="191"/>
      <c r="R321" s="191"/>
      <c r="S321" s="191"/>
      <c r="T321" s="127"/>
      <c r="U321" s="127"/>
      <c r="V321" s="191"/>
      <c r="W321" s="190"/>
      <c r="X321" s="191"/>
      <c r="Y321" s="191"/>
      <c r="Z321" s="191"/>
      <c r="AA321" s="191"/>
      <c r="AB321" s="191"/>
      <c r="AC321" s="191"/>
      <c r="AD321" s="191"/>
      <c r="AE321" s="191"/>
      <c r="AF321" s="191"/>
      <c r="AG321" s="191"/>
      <c r="AH321" s="191"/>
      <c r="AI321" s="127"/>
      <c r="AJ321" s="191"/>
      <c r="AK321" s="191"/>
      <c r="AL321" s="190"/>
      <c r="AM321" s="191"/>
      <c r="BE321" s="188" t="s">
        <v>2653</v>
      </c>
      <c r="BF321" s="188" t="s">
        <v>4048</v>
      </c>
      <c r="BG321" s="127">
        <v>42909</v>
      </c>
      <c r="BH321" s="188" t="s">
        <v>10</v>
      </c>
      <c r="BI321" s="188" t="s">
        <v>598</v>
      </c>
      <c r="BJ321" s="189">
        <v>1000</v>
      </c>
      <c r="BK321" s="188" t="s">
        <v>493</v>
      </c>
      <c r="BL321" s="188">
        <v>1000</v>
      </c>
      <c r="BM321" s="189">
        <v>0</v>
      </c>
      <c r="BN321" s="188" t="s">
        <v>598</v>
      </c>
      <c r="BO321" s="127">
        <v>42868</v>
      </c>
      <c r="BP321" s="188" t="s">
        <v>83</v>
      </c>
      <c r="BQ321" s="188" t="s">
        <v>77</v>
      </c>
      <c r="BR321" s="188" t="s">
        <v>183</v>
      </c>
      <c r="BS321" s="188" t="s">
        <v>598</v>
      </c>
      <c r="BT321" s="188" t="s">
        <v>85</v>
      </c>
      <c r="BU321" s="188" t="s">
        <v>85</v>
      </c>
      <c r="BV321" s="188" t="s">
        <v>598</v>
      </c>
    </row>
    <row r="322" spans="5:74">
      <c r="E322" s="21"/>
      <c r="Q322" s="191"/>
      <c r="R322" s="191"/>
      <c r="S322" s="191"/>
      <c r="T322" s="127"/>
      <c r="U322" s="127"/>
      <c r="V322" s="191"/>
      <c r="W322" s="190"/>
      <c r="X322" s="191"/>
      <c r="Y322" s="191"/>
      <c r="Z322" s="191"/>
      <c r="AA322" s="191"/>
      <c r="AB322" s="191"/>
      <c r="AC322" s="191"/>
      <c r="AD322" s="191"/>
      <c r="AE322" s="191"/>
      <c r="AF322" s="191"/>
      <c r="AG322" s="191"/>
      <c r="AH322" s="191"/>
      <c r="AI322" s="127"/>
      <c r="AJ322" s="191"/>
      <c r="AK322" s="191"/>
      <c r="AL322" s="190"/>
      <c r="AM322" s="191"/>
      <c r="BE322" s="188" t="s">
        <v>2655</v>
      </c>
      <c r="BF322" s="188" t="s">
        <v>4049</v>
      </c>
      <c r="BG322" s="127">
        <v>42887</v>
      </c>
      <c r="BH322" s="188" t="s">
        <v>10</v>
      </c>
      <c r="BI322" s="188" t="s">
        <v>598</v>
      </c>
      <c r="BJ322" s="189">
        <v>2625</v>
      </c>
      <c r="BK322" s="188" t="s">
        <v>493</v>
      </c>
      <c r="BL322" s="188" t="s">
        <v>598</v>
      </c>
      <c r="BM322" s="189">
        <v>0</v>
      </c>
      <c r="BN322" s="188" t="s">
        <v>598</v>
      </c>
      <c r="BO322" s="127">
        <v>42871</v>
      </c>
      <c r="BP322" s="188" t="s">
        <v>598</v>
      </c>
      <c r="BQ322" s="188" t="s">
        <v>77</v>
      </c>
      <c r="BR322" s="188" t="s">
        <v>183</v>
      </c>
      <c r="BS322" s="188" t="s">
        <v>598</v>
      </c>
      <c r="BT322" s="188" t="s">
        <v>85</v>
      </c>
      <c r="BU322" s="188" t="s">
        <v>85</v>
      </c>
      <c r="BV322" s="188" t="s">
        <v>598</v>
      </c>
    </row>
    <row r="323" spans="5:74">
      <c r="E323" s="21"/>
      <c r="Q323" s="191"/>
      <c r="R323" s="191"/>
      <c r="S323" s="191"/>
      <c r="T323" s="127"/>
      <c r="U323" s="127"/>
      <c r="V323" s="191"/>
      <c r="W323" s="190"/>
      <c r="X323" s="191"/>
      <c r="Y323" s="191"/>
      <c r="Z323" s="191"/>
      <c r="AA323" s="191"/>
      <c r="AB323" s="191"/>
      <c r="AC323" s="191"/>
      <c r="AD323" s="191"/>
      <c r="AE323" s="191"/>
      <c r="AF323" s="191"/>
      <c r="AG323" s="191"/>
      <c r="AH323" s="191"/>
      <c r="AI323" s="127"/>
      <c r="AJ323" s="191"/>
      <c r="AK323" s="191"/>
      <c r="AL323" s="190"/>
      <c r="AM323" s="191"/>
      <c r="BE323" s="188" t="s">
        <v>2663</v>
      </c>
      <c r="BF323" s="188" t="s">
        <v>4050</v>
      </c>
      <c r="BG323" s="127">
        <v>42909</v>
      </c>
      <c r="BH323" s="188" t="s">
        <v>10</v>
      </c>
      <c r="BI323" s="188" t="s">
        <v>598</v>
      </c>
      <c r="BJ323" s="189">
        <v>2875</v>
      </c>
      <c r="BK323" s="188" t="s">
        <v>493</v>
      </c>
      <c r="BL323" s="188">
        <v>2875</v>
      </c>
      <c r="BM323" s="189">
        <v>0</v>
      </c>
      <c r="BN323" s="188" t="s">
        <v>598</v>
      </c>
      <c r="BO323" s="127">
        <v>42874</v>
      </c>
      <c r="BP323" s="188" t="s">
        <v>134</v>
      </c>
      <c r="BQ323" s="188" t="s">
        <v>77</v>
      </c>
      <c r="BR323" s="188" t="s">
        <v>183</v>
      </c>
      <c r="BS323" s="188" t="s">
        <v>598</v>
      </c>
      <c r="BT323" s="188" t="s">
        <v>85</v>
      </c>
      <c r="BU323" s="188" t="s">
        <v>85</v>
      </c>
      <c r="BV323" s="188" t="s">
        <v>598</v>
      </c>
    </row>
    <row r="324" spans="5:74">
      <c r="E324" s="21"/>
      <c r="Q324" s="191"/>
      <c r="R324" s="191"/>
      <c r="S324" s="191"/>
      <c r="T324" s="127"/>
      <c r="U324" s="127"/>
      <c r="V324" s="191"/>
      <c r="W324" s="190"/>
      <c r="X324" s="191"/>
      <c r="Y324" s="191"/>
      <c r="Z324" s="191"/>
      <c r="AA324" s="191"/>
      <c r="AB324" s="191"/>
      <c r="AC324" s="191"/>
      <c r="AD324" s="191"/>
      <c r="AE324" s="191"/>
      <c r="AF324" s="191"/>
      <c r="AG324" s="191"/>
      <c r="AH324" s="191"/>
      <c r="AI324" s="127"/>
      <c r="AJ324" s="191"/>
      <c r="AK324" s="191"/>
      <c r="AL324" s="190"/>
      <c r="AM324" s="191"/>
      <c r="BE324" s="188" t="s">
        <v>2990</v>
      </c>
      <c r="BF324" s="188" t="s">
        <v>4051</v>
      </c>
      <c r="BG324" s="127">
        <v>42895</v>
      </c>
      <c r="BH324" s="188" t="s">
        <v>10</v>
      </c>
      <c r="BI324" s="188" t="s">
        <v>598</v>
      </c>
      <c r="BJ324" s="189">
        <v>10000</v>
      </c>
      <c r="BK324" s="188" t="s">
        <v>493</v>
      </c>
      <c r="BL324" s="188">
        <v>3813</v>
      </c>
      <c r="BM324" s="189">
        <v>17000</v>
      </c>
      <c r="BN324" s="188" t="s">
        <v>598</v>
      </c>
      <c r="BO324" s="127">
        <v>42802</v>
      </c>
      <c r="BP324" s="188" t="s">
        <v>598</v>
      </c>
      <c r="BQ324" s="188" t="s">
        <v>102</v>
      </c>
      <c r="BR324" s="188" t="s">
        <v>169</v>
      </c>
      <c r="BS324" s="188" t="s">
        <v>598</v>
      </c>
      <c r="BT324" s="188" t="s">
        <v>63</v>
      </c>
      <c r="BU324" s="188" t="s">
        <v>598</v>
      </c>
      <c r="BV324" s="188" t="s">
        <v>598</v>
      </c>
    </row>
    <row r="325" spans="5:74">
      <c r="E325" s="21"/>
      <c r="Q325" s="191"/>
      <c r="R325" s="191"/>
      <c r="S325" s="191"/>
      <c r="T325" s="127"/>
      <c r="U325" s="127"/>
      <c r="V325" s="191"/>
      <c r="W325" s="190"/>
      <c r="X325" s="191"/>
      <c r="Y325" s="191"/>
      <c r="Z325" s="191"/>
      <c r="AA325" s="191"/>
      <c r="AB325" s="191"/>
      <c r="AC325" s="191"/>
      <c r="AD325" s="191"/>
      <c r="AE325" s="191"/>
      <c r="AF325" s="191"/>
      <c r="AG325" s="191"/>
      <c r="AH325" s="191"/>
      <c r="AI325" s="127"/>
      <c r="AJ325" s="191"/>
      <c r="AK325" s="191"/>
      <c r="AL325" s="190"/>
      <c r="AM325" s="191"/>
      <c r="BE325" s="188" t="s">
        <v>2992</v>
      </c>
      <c r="BF325" s="188" t="s">
        <v>4052</v>
      </c>
      <c r="BG325" s="127">
        <v>42895</v>
      </c>
      <c r="BH325" s="188" t="s">
        <v>10</v>
      </c>
      <c r="BI325" s="188" t="s">
        <v>598</v>
      </c>
      <c r="BJ325" s="189">
        <v>10000</v>
      </c>
      <c r="BK325" s="188" t="s">
        <v>493</v>
      </c>
      <c r="BL325" s="188">
        <v>3813</v>
      </c>
      <c r="BM325" s="189">
        <v>17000</v>
      </c>
      <c r="BN325" s="188" t="s">
        <v>598</v>
      </c>
      <c r="BO325" s="127">
        <v>42802</v>
      </c>
      <c r="BP325" s="188" t="s">
        <v>598</v>
      </c>
      <c r="BQ325" s="188" t="s">
        <v>102</v>
      </c>
      <c r="BR325" s="188" t="s">
        <v>169</v>
      </c>
      <c r="BS325" s="188" t="s">
        <v>598</v>
      </c>
      <c r="BT325" s="188" t="s">
        <v>63</v>
      </c>
      <c r="BU325" s="188" t="s">
        <v>598</v>
      </c>
      <c r="BV325" s="188" t="s">
        <v>598</v>
      </c>
    </row>
    <row r="326" spans="5:74">
      <c r="E326" s="21"/>
      <c r="Q326" s="191"/>
      <c r="R326" s="191"/>
      <c r="S326" s="191"/>
      <c r="T326" s="127"/>
      <c r="U326" s="127"/>
      <c r="V326" s="191"/>
      <c r="W326" s="190"/>
      <c r="X326" s="191"/>
      <c r="Y326" s="191"/>
      <c r="Z326" s="191"/>
      <c r="AA326" s="191"/>
      <c r="AB326" s="191"/>
      <c r="AC326" s="191"/>
      <c r="AD326" s="191"/>
      <c r="AE326" s="191"/>
      <c r="AF326" s="191"/>
      <c r="AG326" s="191"/>
      <c r="AH326" s="191"/>
      <c r="AI326" s="127"/>
      <c r="AJ326" s="191"/>
      <c r="AK326" s="191"/>
      <c r="AL326" s="190"/>
      <c r="AM326" s="191"/>
      <c r="BE326" s="188" t="s">
        <v>2993</v>
      </c>
      <c r="BF326" s="188" t="s">
        <v>4053</v>
      </c>
      <c r="BG326" s="127">
        <v>42895</v>
      </c>
      <c r="BH326" s="188" t="s">
        <v>10</v>
      </c>
      <c r="BI326" s="188" t="s">
        <v>598</v>
      </c>
      <c r="BJ326" s="189">
        <v>10000</v>
      </c>
      <c r="BK326" s="188" t="s">
        <v>493</v>
      </c>
      <c r="BL326" s="188">
        <v>3813</v>
      </c>
      <c r="BM326" s="189">
        <v>16000</v>
      </c>
      <c r="BN326" s="188" t="s">
        <v>598</v>
      </c>
      <c r="BO326" s="127">
        <v>42802</v>
      </c>
      <c r="BP326" s="188" t="s">
        <v>598</v>
      </c>
      <c r="BQ326" s="188" t="s">
        <v>102</v>
      </c>
      <c r="BR326" s="188" t="s">
        <v>169</v>
      </c>
      <c r="BS326" s="188" t="s">
        <v>598</v>
      </c>
      <c r="BT326" s="188" t="s">
        <v>63</v>
      </c>
      <c r="BU326" s="188" t="s">
        <v>598</v>
      </c>
      <c r="BV326" s="188" t="s">
        <v>598</v>
      </c>
    </row>
    <row r="327" spans="5:74">
      <c r="E327" s="21"/>
      <c r="Q327" s="191"/>
      <c r="R327" s="191"/>
      <c r="S327" s="191"/>
      <c r="T327" s="127"/>
      <c r="U327" s="127"/>
      <c r="V327" s="191"/>
      <c r="W327" s="190"/>
      <c r="X327" s="191"/>
      <c r="Y327" s="191"/>
      <c r="Z327" s="191"/>
      <c r="AA327" s="191"/>
      <c r="AB327" s="191"/>
      <c r="AC327" s="191"/>
      <c r="AD327" s="191"/>
      <c r="AE327" s="191"/>
      <c r="AF327" s="191"/>
      <c r="AG327" s="191"/>
      <c r="AH327" s="191"/>
      <c r="AI327" s="127"/>
      <c r="AJ327" s="191"/>
      <c r="AK327" s="191"/>
      <c r="AL327" s="190"/>
      <c r="AM327" s="191"/>
      <c r="BE327" s="188" t="s">
        <v>2994</v>
      </c>
      <c r="BF327" s="188" t="s">
        <v>4054</v>
      </c>
      <c r="BG327" s="127">
        <v>42895</v>
      </c>
      <c r="BH327" s="188" t="s">
        <v>10</v>
      </c>
      <c r="BI327" s="188" t="s">
        <v>598</v>
      </c>
      <c r="BJ327" s="189">
        <v>10000</v>
      </c>
      <c r="BK327" s="188" t="s">
        <v>493</v>
      </c>
      <c r="BL327" s="188">
        <v>3811</v>
      </c>
      <c r="BM327" s="189">
        <v>15000</v>
      </c>
      <c r="BN327" s="188" t="s">
        <v>598</v>
      </c>
      <c r="BO327" s="127">
        <v>42805</v>
      </c>
      <c r="BP327" s="188" t="s">
        <v>598</v>
      </c>
      <c r="BQ327" s="188" t="s">
        <v>102</v>
      </c>
      <c r="BR327" s="188" t="s">
        <v>233</v>
      </c>
      <c r="BS327" s="188" t="s">
        <v>598</v>
      </c>
      <c r="BT327" s="188" t="s">
        <v>63</v>
      </c>
      <c r="BU327" s="188" t="s">
        <v>63</v>
      </c>
      <c r="BV327" s="188" t="s">
        <v>598</v>
      </c>
    </row>
    <row r="328" spans="5:74">
      <c r="E328" s="21"/>
      <c r="Q328" s="191"/>
      <c r="R328" s="191"/>
      <c r="S328" s="191"/>
      <c r="T328" s="127"/>
      <c r="U328" s="127"/>
      <c r="V328" s="191"/>
      <c r="W328" s="190"/>
      <c r="X328" s="191"/>
      <c r="Y328" s="191"/>
      <c r="Z328" s="191"/>
      <c r="AA328" s="191"/>
      <c r="AB328" s="191"/>
      <c r="AC328" s="191"/>
      <c r="AD328" s="191"/>
      <c r="AE328" s="191"/>
      <c r="AF328" s="191"/>
      <c r="AG328" s="191"/>
      <c r="AH328" s="191"/>
      <c r="AI328" s="127"/>
      <c r="AJ328" s="191"/>
      <c r="AK328" s="191"/>
      <c r="AL328" s="190"/>
      <c r="AM328" s="191"/>
      <c r="BE328" s="188" t="s">
        <v>3017</v>
      </c>
      <c r="BF328" s="188" t="s">
        <v>4055</v>
      </c>
      <c r="BG328" s="127">
        <v>42877</v>
      </c>
      <c r="BH328" s="188" t="s">
        <v>34</v>
      </c>
      <c r="BI328" s="188" t="s">
        <v>598</v>
      </c>
      <c r="BJ328" s="189">
        <v>17500</v>
      </c>
      <c r="BK328" s="188" t="s">
        <v>493</v>
      </c>
      <c r="BL328" s="188" t="s">
        <v>598</v>
      </c>
      <c r="BM328" s="189">
        <v>0</v>
      </c>
      <c r="BN328" s="188" t="s">
        <v>598</v>
      </c>
      <c r="BO328" s="127">
        <v>42872</v>
      </c>
      <c r="BP328" s="188" t="s">
        <v>598</v>
      </c>
      <c r="BQ328" s="188" t="s">
        <v>38</v>
      </c>
      <c r="BR328" s="188" t="s">
        <v>352</v>
      </c>
      <c r="BS328" s="188" t="s">
        <v>598</v>
      </c>
      <c r="BT328" s="188" t="s">
        <v>63</v>
      </c>
      <c r="BU328" s="188" t="s">
        <v>1479</v>
      </c>
      <c r="BV328" s="188" t="s">
        <v>598</v>
      </c>
    </row>
    <row r="329" spans="5:74">
      <c r="E329" s="21"/>
      <c r="Q329" s="191"/>
      <c r="R329" s="191"/>
      <c r="S329" s="191"/>
      <c r="T329" s="127"/>
      <c r="U329" s="127"/>
      <c r="V329" s="191"/>
      <c r="W329" s="190"/>
      <c r="X329" s="191"/>
      <c r="Y329" s="191"/>
      <c r="Z329" s="191"/>
      <c r="AA329" s="191"/>
      <c r="AB329" s="191"/>
      <c r="AC329" s="191"/>
      <c r="AD329" s="191"/>
      <c r="AE329" s="191"/>
      <c r="AF329" s="191"/>
      <c r="AG329" s="191"/>
      <c r="AH329" s="191"/>
      <c r="AI329" s="127"/>
      <c r="AJ329" s="191"/>
      <c r="AK329" s="191"/>
      <c r="AL329" s="190"/>
      <c r="AM329" s="191"/>
      <c r="BE329" s="188" t="s">
        <v>3019</v>
      </c>
      <c r="BF329" s="188" t="s">
        <v>4056</v>
      </c>
      <c r="BG329" s="127">
        <v>42877</v>
      </c>
      <c r="BH329" s="188" t="s">
        <v>34</v>
      </c>
      <c r="BI329" s="188" t="s">
        <v>598</v>
      </c>
      <c r="BJ329" s="189">
        <v>17500</v>
      </c>
      <c r="BK329" s="188" t="s">
        <v>493</v>
      </c>
      <c r="BL329" s="188" t="s">
        <v>598</v>
      </c>
      <c r="BM329" s="189">
        <v>0</v>
      </c>
      <c r="BN329" s="188" t="s">
        <v>598</v>
      </c>
      <c r="BO329" s="127">
        <v>42872</v>
      </c>
      <c r="BP329" s="188" t="s">
        <v>598</v>
      </c>
      <c r="BQ329" s="188" t="s">
        <v>38</v>
      </c>
      <c r="BR329" s="188" t="s">
        <v>352</v>
      </c>
      <c r="BS329" s="188" t="s">
        <v>598</v>
      </c>
      <c r="BT329" s="188" t="s">
        <v>63</v>
      </c>
      <c r="BU329" s="188" t="s">
        <v>3021</v>
      </c>
      <c r="BV329" s="188" t="s">
        <v>598</v>
      </c>
    </row>
    <row r="330" spans="5:74">
      <c r="E330" s="21"/>
      <c r="Q330" s="191"/>
      <c r="R330" s="191"/>
      <c r="S330" s="191"/>
      <c r="T330" s="127"/>
      <c r="U330" s="127"/>
      <c r="V330" s="191"/>
      <c r="W330" s="190"/>
      <c r="X330" s="191"/>
      <c r="Y330" s="191"/>
      <c r="Z330" s="191"/>
      <c r="AA330" s="191"/>
      <c r="AB330" s="191"/>
      <c r="AC330" s="191"/>
      <c r="AD330" s="191"/>
      <c r="AE330" s="191"/>
      <c r="AF330" s="191"/>
      <c r="AG330" s="191"/>
      <c r="AH330" s="191"/>
      <c r="AI330" s="127"/>
      <c r="AJ330" s="191"/>
      <c r="AK330" s="191"/>
      <c r="AL330" s="190"/>
      <c r="AM330" s="191"/>
      <c r="BE330" s="188" t="s">
        <v>3022</v>
      </c>
      <c r="BF330" s="188" t="s">
        <v>4057</v>
      </c>
      <c r="BG330" s="127">
        <v>42858</v>
      </c>
      <c r="BH330" s="188" t="s">
        <v>10</v>
      </c>
      <c r="BI330" s="188" t="s">
        <v>598</v>
      </c>
      <c r="BJ330" s="189">
        <v>5000</v>
      </c>
      <c r="BK330" s="188" t="s">
        <v>493</v>
      </c>
      <c r="BL330" s="188" t="s">
        <v>598</v>
      </c>
      <c r="BM330" s="189">
        <v>0</v>
      </c>
      <c r="BN330" s="188" t="s">
        <v>598</v>
      </c>
      <c r="BO330" s="127">
        <v>42839</v>
      </c>
      <c r="BP330" s="188" t="s">
        <v>598</v>
      </c>
      <c r="BQ330" s="188" t="s">
        <v>38</v>
      </c>
      <c r="BR330" s="188" t="s">
        <v>354</v>
      </c>
      <c r="BS330" s="188" t="s">
        <v>598</v>
      </c>
      <c r="BT330" s="188" t="s">
        <v>63</v>
      </c>
      <c r="BU330" s="188" t="s">
        <v>86</v>
      </c>
      <c r="BV330" s="188" t="s">
        <v>598</v>
      </c>
    </row>
    <row r="331" spans="5:74">
      <c r="E331" s="21"/>
      <c r="Q331" s="191"/>
      <c r="R331" s="191"/>
      <c r="S331" s="191"/>
      <c r="T331" s="127"/>
      <c r="U331" s="127"/>
      <c r="V331" s="191"/>
      <c r="W331" s="190"/>
      <c r="X331" s="191"/>
      <c r="Y331" s="191"/>
      <c r="Z331" s="191"/>
      <c r="AA331" s="191"/>
      <c r="AB331" s="191"/>
      <c r="AC331" s="191"/>
      <c r="AD331" s="191"/>
      <c r="AE331" s="191"/>
      <c r="AF331" s="191"/>
      <c r="AG331" s="191"/>
      <c r="AH331" s="191"/>
      <c r="AI331" s="127"/>
      <c r="AJ331" s="191"/>
      <c r="AK331" s="191"/>
      <c r="AL331" s="190"/>
      <c r="AM331" s="191"/>
      <c r="BE331" s="188" t="s">
        <v>3024</v>
      </c>
      <c r="BF331" s="188" t="s">
        <v>4058</v>
      </c>
      <c r="BG331" s="127">
        <v>42858</v>
      </c>
      <c r="BH331" s="188" t="s">
        <v>10</v>
      </c>
      <c r="BI331" s="188" t="s">
        <v>598</v>
      </c>
      <c r="BJ331" s="189">
        <v>5000</v>
      </c>
      <c r="BK331" s="188" t="s">
        <v>493</v>
      </c>
      <c r="BL331" s="188" t="s">
        <v>598</v>
      </c>
      <c r="BM331" s="189">
        <v>0</v>
      </c>
      <c r="BN331" s="188" t="s">
        <v>598</v>
      </c>
      <c r="BO331" s="127">
        <v>42839</v>
      </c>
      <c r="BP331" s="188" t="s">
        <v>598</v>
      </c>
      <c r="BQ331" s="188" t="s">
        <v>38</v>
      </c>
      <c r="BR331" s="188" t="s">
        <v>354</v>
      </c>
      <c r="BS331" s="188" t="s">
        <v>598</v>
      </c>
      <c r="BT331" s="188" t="s">
        <v>63</v>
      </c>
      <c r="BU331" s="188" t="s">
        <v>86</v>
      </c>
      <c r="BV331" s="188" t="s">
        <v>598</v>
      </c>
    </row>
    <row r="332" spans="5:74">
      <c r="E332" s="21"/>
      <c r="Q332" s="191"/>
      <c r="R332" s="191"/>
      <c r="S332" s="191"/>
      <c r="T332" s="127"/>
      <c r="U332" s="127"/>
      <c r="V332" s="191"/>
      <c r="W332" s="190"/>
      <c r="X332" s="191"/>
      <c r="Y332" s="191"/>
      <c r="Z332" s="191"/>
      <c r="AA332" s="191"/>
      <c r="AB332" s="191"/>
      <c r="AC332" s="191"/>
      <c r="AD332" s="191"/>
      <c r="AE332" s="191"/>
      <c r="AF332" s="191"/>
      <c r="AG332" s="191"/>
      <c r="AH332" s="191"/>
      <c r="AI332" s="127"/>
      <c r="AJ332" s="191"/>
      <c r="AK332" s="191"/>
      <c r="AL332" s="190"/>
      <c r="AM332" s="191"/>
      <c r="BE332" s="188" t="s">
        <v>3026</v>
      </c>
      <c r="BF332" s="188" t="s">
        <v>4059</v>
      </c>
      <c r="BG332" s="127">
        <v>42858</v>
      </c>
      <c r="BH332" s="188" t="s">
        <v>10</v>
      </c>
      <c r="BI332" s="188" t="s">
        <v>598</v>
      </c>
      <c r="BJ332" s="189">
        <v>5000</v>
      </c>
      <c r="BK332" s="188" t="s">
        <v>493</v>
      </c>
      <c r="BL332" s="188" t="s">
        <v>598</v>
      </c>
      <c r="BM332" s="189">
        <v>0</v>
      </c>
      <c r="BN332" s="188" t="s">
        <v>598</v>
      </c>
      <c r="BO332" s="127">
        <v>42839</v>
      </c>
      <c r="BP332" s="188" t="s">
        <v>598</v>
      </c>
      <c r="BQ332" s="188" t="s">
        <v>38</v>
      </c>
      <c r="BR332" s="188" t="s">
        <v>354</v>
      </c>
      <c r="BS332" s="188" t="s">
        <v>598</v>
      </c>
      <c r="BT332" s="188" t="s">
        <v>63</v>
      </c>
      <c r="BU332" s="188" t="s">
        <v>86</v>
      </c>
      <c r="BV332" s="188" t="s">
        <v>598</v>
      </c>
    </row>
    <row r="333" spans="5:74">
      <c r="E333" s="21"/>
      <c r="Q333" s="191"/>
      <c r="R333" s="191"/>
      <c r="S333" s="191"/>
      <c r="T333" s="127"/>
      <c r="U333" s="127"/>
      <c r="V333" s="191"/>
      <c r="W333" s="190"/>
      <c r="X333" s="191"/>
      <c r="Y333" s="191"/>
      <c r="Z333" s="191"/>
      <c r="AA333" s="191"/>
      <c r="AB333" s="191"/>
      <c r="AC333" s="191"/>
      <c r="AD333" s="191"/>
      <c r="AE333" s="191"/>
      <c r="AF333" s="191"/>
      <c r="AG333" s="191"/>
      <c r="AH333" s="191"/>
      <c r="AI333" s="127"/>
      <c r="AJ333" s="191"/>
      <c r="AK333" s="191"/>
      <c r="AL333" s="190"/>
      <c r="AM333" s="191"/>
      <c r="BE333" s="188" t="s">
        <v>3028</v>
      </c>
      <c r="BF333" s="188" t="s">
        <v>4060</v>
      </c>
      <c r="BG333" s="127">
        <v>42877</v>
      </c>
      <c r="BH333" s="188" t="s">
        <v>10</v>
      </c>
      <c r="BI333" s="188" t="s">
        <v>598</v>
      </c>
      <c r="BJ333" s="189">
        <v>2700</v>
      </c>
      <c r="BK333" s="188" t="s">
        <v>493</v>
      </c>
      <c r="BL333" s="188" t="s">
        <v>598</v>
      </c>
      <c r="BM333" s="189">
        <v>0</v>
      </c>
      <c r="BN333" s="188" t="s">
        <v>598</v>
      </c>
      <c r="BO333" s="127">
        <v>42856</v>
      </c>
      <c r="BP333" s="188" t="s">
        <v>598</v>
      </c>
      <c r="BQ333" s="188" t="s">
        <v>38</v>
      </c>
      <c r="BR333" s="188" t="s">
        <v>354</v>
      </c>
      <c r="BS333" s="188" t="s">
        <v>598</v>
      </c>
      <c r="BT333" s="188" t="s">
        <v>63</v>
      </c>
      <c r="BU333" s="188" t="s">
        <v>598</v>
      </c>
      <c r="BV333" s="188" t="s">
        <v>598</v>
      </c>
    </row>
    <row r="334" spans="5:74">
      <c r="E334" s="21"/>
      <c r="Q334" s="191"/>
      <c r="R334" s="191"/>
      <c r="S334" s="191"/>
      <c r="T334" s="127"/>
      <c r="U334" s="127"/>
      <c r="V334" s="191"/>
      <c r="W334" s="190"/>
      <c r="X334" s="191"/>
      <c r="Y334" s="191"/>
      <c r="Z334" s="191"/>
      <c r="AA334" s="191"/>
      <c r="AB334" s="191"/>
      <c r="AC334" s="191"/>
      <c r="AD334" s="191"/>
      <c r="AE334" s="191"/>
      <c r="AF334" s="191"/>
      <c r="AG334" s="191"/>
      <c r="AH334" s="191"/>
      <c r="AI334" s="127"/>
      <c r="AJ334" s="191"/>
      <c r="AK334" s="191"/>
      <c r="AL334" s="190"/>
      <c r="AM334" s="191"/>
      <c r="BE334" s="188" t="s">
        <v>3030</v>
      </c>
      <c r="BF334" s="188" t="s">
        <v>4061</v>
      </c>
      <c r="BG334" s="127">
        <v>42863</v>
      </c>
      <c r="BH334" s="188" t="s">
        <v>10</v>
      </c>
      <c r="BI334" s="188" t="s">
        <v>598</v>
      </c>
      <c r="BJ334" s="189">
        <v>4500</v>
      </c>
      <c r="BK334" s="188" t="s">
        <v>493</v>
      </c>
      <c r="BL334" s="188" t="s">
        <v>3032</v>
      </c>
      <c r="BM334" s="189">
        <v>4000</v>
      </c>
      <c r="BN334" s="188" t="s">
        <v>598</v>
      </c>
      <c r="BO334" s="127">
        <v>42739</v>
      </c>
      <c r="BP334" s="188" t="s">
        <v>598</v>
      </c>
      <c r="BQ334" s="188" t="s">
        <v>38</v>
      </c>
      <c r="BR334" s="188" t="s">
        <v>442</v>
      </c>
      <c r="BS334" s="188" t="s">
        <v>598</v>
      </c>
      <c r="BT334" s="188" t="s">
        <v>63</v>
      </c>
      <c r="BU334" s="188" t="s">
        <v>86</v>
      </c>
      <c r="BV334" s="188" t="s">
        <v>598</v>
      </c>
    </row>
    <row r="335" spans="5:74">
      <c r="E335" s="21"/>
      <c r="Q335" s="191"/>
      <c r="R335" s="191"/>
      <c r="S335" s="191"/>
      <c r="T335" s="127"/>
      <c r="U335" s="127"/>
      <c r="V335" s="191"/>
      <c r="W335" s="190"/>
      <c r="X335" s="191"/>
      <c r="Y335" s="191"/>
      <c r="Z335" s="191"/>
      <c r="AA335" s="191"/>
      <c r="AB335" s="191"/>
      <c r="AC335" s="191"/>
      <c r="AD335" s="191"/>
      <c r="AE335" s="191"/>
      <c r="AF335" s="191"/>
      <c r="AG335" s="191"/>
      <c r="AH335" s="191"/>
      <c r="AI335" s="127"/>
      <c r="AJ335" s="191"/>
      <c r="AK335" s="191"/>
      <c r="AL335" s="190"/>
      <c r="AM335" s="191"/>
      <c r="BE335" s="188" t="s">
        <v>3033</v>
      </c>
      <c r="BF335" s="188" t="s">
        <v>4062</v>
      </c>
      <c r="BG335" s="127">
        <v>42860</v>
      </c>
      <c r="BH335" s="188" t="s">
        <v>10</v>
      </c>
      <c r="BI335" s="188" t="s">
        <v>598</v>
      </c>
      <c r="BJ335" s="189">
        <v>9000</v>
      </c>
      <c r="BK335" s="188" t="s">
        <v>493</v>
      </c>
      <c r="BL335" s="188" t="s">
        <v>598</v>
      </c>
      <c r="BM335" s="189">
        <v>0</v>
      </c>
      <c r="BN335" s="188" t="s">
        <v>598</v>
      </c>
      <c r="BO335" s="127">
        <v>42738</v>
      </c>
      <c r="BP335" s="188" t="s">
        <v>598</v>
      </c>
      <c r="BQ335" s="188" t="s">
        <v>38</v>
      </c>
      <c r="BR335" s="188" t="s">
        <v>239</v>
      </c>
      <c r="BS335" s="188" t="s">
        <v>598</v>
      </c>
      <c r="BT335" s="188" t="s">
        <v>63</v>
      </c>
      <c r="BU335" s="188" t="s">
        <v>86</v>
      </c>
      <c r="BV335" s="188" t="s">
        <v>598</v>
      </c>
    </row>
    <row r="336" spans="5:74">
      <c r="E336" s="21"/>
      <c r="Q336" s="191"/>
      <c r="R336" s="191"/>
      <c r="S336" s="191"/>
      <c r="T336" s="127"/>
      <c r="U336" s="127"/>
      <c r="V336" s="191"/>
      <c r="W336" s="190"/>
      <c r="X336" s="191"/>
      <c r="Y336" s="191"/>
      <c r="Z336" s="191"/>
      <c r="AA336" s="191"/>
      <c r="AB336" s="191"/>
      <c r="AC336" s="191"/>
      <c r="AD336" s="191"/>
      <c r="AE336" s="191"/>
      <c r="AF336" s="191"/>
      <c r="AG336" s="191"/>
      <c r="AH336" s="191"/>
      <c r="AI336" s="127"/>
      <c r="AJ336" s="191"/>
      <c r="AK336" s="191"/>
      <c r="AL336" s="190"/>
      <c r="AM336" s="191"/>
      <c r="BE336" s="188" t="s">
        <v>3035</v>
      </c>
      <c r="BF336" s="188" t="s">
        <v>4063</v>
      </c>
      <c r="BG336" s="127">
        <v>42860</v>
      </c>
      <c r="BH336" s="188" t="s">
        <v>10</v>
      </c>
      <c r="BI336" s="188" t="s">
        <v>598</v>
      </c>
      <c r="BJ336" s="189">
        <v>4500</v>
      </c>
      <c r="BK336" s="188" t="s">
        <v>493</v>
      </c>
      <c r="BL336" s="188" t="s">
        <v>598</v>
      </c>
      <c r="BM336" s="189">
        <v>0</v>
      </c>
      <c r="BN336" s="188" t="s">
        <v>598</v>
      </c>
      <c r="BO336" s="127">
        <v>42738</v>
      </c>
      <c r="BP336" s="188" t="s">
        <v>598</v>
      </c>
      <c r="BQ336" s="188" t="s">
        <v>38</v>
      </c>
      <c r="BR336" s="188" t="s">
        <v>239</v>
      </c>
      <c r="BS336" s="188" t="s">
        <v>598</v>
      </c>
      <c r="BT336" s="188" t="s">
        <v>63</v>
      </c>
      <c r="BU336" s="188" t="s">
        <v>86</v>
      </c>
      <c r="BV336" s="188" t="s">
        <v>598</v>
      </c>
    </row>
    <row r="337" spans="5:74">
      <c r="E337" s="21"/>
      <c r="Q337" s="191"/>
      <c r="R337" s="191"/>
      <c r="S337" s="191"/>
      <c r="T337" s="127"/>
      <c r="U337" s="127"/>
      <c r="V337" s="191"/>
      <c r="W337" s="190"/>
      <c r="X337" s="191"/>
      <c r="Y337" s="191"/>
      <c r="Z337" s="191"/>
      <c r="AA337" s="191"/>
      <c r="AB337" s="191"/>
      <c r="AC337" s="191"/>
      <c r="AD337" s="191"/>
      <c r="AE337" s="191"/>
      <c r="AF337" s="191"/>
      <c r="AG337" s="191"/>
      <c r="AH337" s="191"/>
      <c r="AI337" s="127"/>
      <c r="AJ337" s="191"/>
      <c r="AK337" s="191"/>
      <c r="AL337" s="190"/>
      <c r="AM337" s="191"/>
      <c r="BE337" s="188" t="s">
        <v>3037</v>
      </c>
      <c r="BF337" s="188" t="s">
        <v>4064</v>
      </c>
      <c r="BG337" s="127">
        <v>42860</v>
      </c>
      <c r="BH337" s="188" t="s">
        <v>10</v>
      </c>
      <c r="BI337" s="188" t="s">
        <v>598</v>
      </c>
      <c r="BJ337" s="189">
        <v>6750</v>
      </c>
      <c r="BK337" s="188" t="s">
        <v>493</v>
      </c>
      <c r="BL337" s="188" t="s">
        <v>598</v>
      </c>
      <c r="BM337" s="189">
        <v>0</v>
      </c>
      <c r="BN337" s="188" t="s">
        <v>598</v>
      </c>
      <c r="BO337" s="127">
        <v>42738</v>
      </c>
      <c r="BP337" s="188" t="s">
        <v>598</v>
      </c>
      <c r="BQ337" s="188" t="s">
        <v>38</v>
      </c>
      <c r="BR337" s="188" t="s">
        <v>239</v>
      </c>
      <c r="BS337" s="188" t="s">
        <v>598</v>
      </c>
      <c r="BT337" s="188" t="s">
        <v>63</v>
      </c>
      <c r="BU337" s="188" t="s">
        <v>86</v>
      </c>
      <c r="BV337" s="188" t="s">
        <v>598</v>
      </c>
    </row>
    <row r="338" spans="5:74">
      <c r="E338" s="21"/>
      <c r="Q338" s="191"/>
      <c r="R338" s="191"/>
      <c r="S338" s="191"/>
      <c r="T338" s="127"/>
      <c r="U338" s="127"/>
      <c r="V338" s="191"/>
      <c r="W338" s="190"/>
      <c r="X338" s="191"/>
      <c r="Y338" s="191"/>
      <c r="Z338" s="191"/>
      <c r="AA338" s="191"/>
      <c r="AB338" s="191"/>
      <c r="AC338" s="191"/>
      <c r="AD338" s="191"/>
      <c r="AE338" s="191"/>
      <c r="AF338" s="191"/>
      <c r="AG338" s="191"/>
      <c r="AH338" s="191"/>
      <c r="AI338" s="127"/>
      <c r="AJ338" s="191"/>
      <c r="AK338" s="191"/>
      <c r="AL338" s="190"/>
      <c r="AM338" s="191"/>
      <c r="BE338" s="188" t="s">
        <v>3039</v>
      </c>
      <c r="BF338" s="188" t="s">
        <v>4065</v>
      </c>
      <c r="BG338" s="127">
        <v>42860</v>
      </c>
      <c r="BH338" s="188" t="s">
        <v>10</v>
      </c>
      <c r="BI338" s="188" t="s">
        <v>598</v>
      </c>
      <c r="BJ338" s="189">
        <v>9000</v>
      </c>
      <c r="BK338" s="188" t="s">
        <v>493</v>
      </c>
      <c r="BL338" s="188" t="s">
        <v>598</v>
      </c>
      <c r="BM338" s="189">
        <v>0</v>
      </c>
      <c r="BN338" s="188" t="s">
        <v>598</v>
      </c>
      <c r="BO338" s="127">
        <v>42738</v>
      </c>
      <c r="BP338" s="188" t="s">
        <v>598</v>
      </c>
      <c r="BQ338" s="188" t="s">
        <v>38</v>
      </c>
      <c r="BR338" s="188" t="s">
        <v>239</v>
      </c>
      <c r="BS338" s="188" t="s">
        <v>598</v>
      </c>
      <c r="BT338" s="188" t="s">
        <v>63</v>
      </c>
      <c r="BU338" s="188" t="s">
        <v>86</v>
      </c>
      <c r="BV338" s="188" t="s">
        <v>598</v>
      </c>
    </row>
    <row r="339" spans="5:74">
      <c r="E339" s="21"/>
      <c r="Q339" s="191"/>
      <c r="R339" s="191"/>
      <c r="S339" s="191"/>
      <c r="T339" s="127"/>
      <c r="U339" s="127"/>
      <c r="V339" s="191"/>
      <c r="W339" s="190"/>
      <c r="X339" s="191"/>
      <c r="Y339" s="191"/>
      <c r="Z339" s="191"/>
      <c r="AA339" s="191"/>
      <c r="AB339" s="191"/>
      <c r="AC339" s="191"/>
      <c r="AD339" s="191"/>
      <c r="AE339" s="191"/>
      <c r="AF339" s="191"/>
      <c r="AG339" s="191"/>
      <c r="AH339" s="191"/>
      <c r="AI339" s="127"/>
      <c r="AJ339" s="191"/>
      <c r="AK339" s="191"/>
      <c r="AL339" s="190"/>
      <c r="AM339" s="191"/>
      <c r="BE339" s="188" t="s">
        <v>3041</v>
      </c>
      <c r="BF339" s="188" t="s">
        <v>4066</v>
      </c>
      <c r="BG339" s="127">
        <v>42873</v>
      </c>
      <c r="BH339" s="188" t="s">
        <v>10</v>
      </c>
      <c r="BI339" s="188" t="s">
        <v>598</v>
      </c>
      <c r="BJ339" s="189">
        <v>9000</v>
      </c>
      <c r="BK339" s="188" t="s">
        <v>493</v>
      </c>
      <c r="BL339" s="188" t="s">
        <v>598</v>
      </c>
      <c r="BM339" s="189">
        <v>0</v>
      </c>
      <c r="BN339" s="188" t="s">
        <v>598</v>
      </c>
      <c r="BO339" s="127">
        <v>42762</v>
      </c>
      <c r="BP339" s="188" t="s">
        <v>598</v>
      </c>
      <c r="BQ339" s="188" t="s">
        <v>38</v>
      </c>
      <c r="BR339" s="188" t="s">
        <v>598</v>
      </c>
      <c r="BS339" s="188" t="s">
        <v>598</v>
      </c>
      <c r="BT339" s="188" t="s">
        <v>63</v>
      </c>
      <c r="BU339" s="188" t="s">
        <v>63</v>
      </c>
      <c r="BV339" s="188" t="s">
        <v>598</v>
      </c>
    </row>
    <row r="340" spans="5:74">
      <c r="E340" s="21"/>
      <c r="Q340" s="191"/>
      <c r="R340" s="191"/>
      <c r="S340" s="191"/>
      <c r="T340" s="127"/>
      <c r="U340" s="127"/>
      <c r="V340" s="191"/>
      <c r="W340" s="190"/>
      <c r="X340" s="191"/>
      <c r="Y340" s="191"/>
      <c r="Z340" s="191"/>
      <c r="AA340" s="191"/>
      <c r="AB340" s="191"/>
      <c r="AC340" s="191"/>
      <c r="AD340" s="191"/>
      <c r="AE340" s="191"/>
      <c r="AF340" s="191"/>
      <c r="AG340" s="191"/>
      <c r="AH340" s="191"/>
      <c r="AI340" s="127"/>
      <c r="AJ340" s="191"/>
      <c r="AK340" s="191"/>
      <c r="AL340" s="190"/>
      <c r="AM340" s="191"/>
      <c r="BE340" s="188" t="s">
        <v>3043</v>
      </c>
      <c r="BF340" s="188" t="s">
        <v>4067</v>
      </c>
      <c r="BG340" s="127">
        <v>42860</v>
      </c>
      <c r="BH340" s="188" t="s">
        <v>10</v>
      </c>
      <c r="BI340" s="188" t="s">
        <v>598</v>
      </c>
      <c r="BJ340" s="189">
        <v>4500</v>
      </c>
      <c r="BK340" s="188" t="s">
        <v>493</v>
      </c>
      <c r="BL340" s="188" t="s">
        <v>598</v>
      </c>
      <c r="BM340" s="189">
        <v>0</v>
      </c>
      <c r="BN340" s="188" t="s">
        <v>598</v>
      </c>
      <c r="BO340" s="127">
        <v>42802</v>
      </c>
      <c r="BP340" s="188" t="s">
        <v>118</v>
      </c>
      <c r="BQ340" s="188" t="s">
        <v>38</v>
      </c>
      <c r="BR340" s="188" t="s">
        <v>354</v>
      </c>
      <c r="BS340" s="188" t="s">
        <v>598</v>
      </c>
      <c r="BT340" s="188" t="s">
        <v>63</v>
      </c>
      <c r="BU340" s="188" t="s">
        <v>86</v>
      </c>
      <c r="BV340" s="188" t="s">
        <v>598</v>
      </c>
    </row>
    <row r="341" spans="5:74">
      <c r="E341" s="21"/>
      <c r="Q341" s="191"/>
      <c r="R341" s="191"/>
      <c r="S341" s="191"/>
      <c r="T341" s="127"/>
      <c r="U341" s="127"/>
      <c r="V341" s="191"/>
      <c r="W341" s="190"/>
      <c r="X341" s="191"/>
      <c r="Y341" s="191"/>
      <c r="Z341" s="191"/>
      <c r="AA341" s="191"/>
      <c r="AB341" s="191"/>
      <c r="AC341" s="191"/>
      <c r="AD341" s="191"/>
      <c r="AE341" s="191"/>
      <c r="AF341" s="191"/>
      <c r="AG341" s="191"/>
      <c r="AH341" s="191"/>
      <c r="AI341" s="127"/>
      <c r="AJ341" s="191"/>
      <c r="AK341" s="191"/>
      <c r="AL341" s="190"/>
      <c r="AM341" s="191"/>
      <c r="BE341" s="188" t="s">
        <v>3045</v>
      </c>
      <c r="BF341" s="188" t="s">
        <v>4068</v>
      </c>
      <c r="BG341" s="127">
        <v>42860</v>
      </c>
      <c r="BH341" s="188" t="s">
        <v>10</v>
      </c>
      <c r="BI341" s="188" t="s">
        <v>598</v>
      </c>
      <c r="BJ341" s="189">
        <v>9000</v>
      </c>
      <c r="BK341" s="188" t="s">
        <v>493</v>
      </c>
      <c r="BL341" s="188" t="s">
        <v>598</v>
      </c>
      <c r="BM341" s="189">
        <v>0</v>
      </c>
      <c r="BN341" s="188" t="s">
        <v>598</v>
      </c>
      <c r="BO341" s="127">
        <v>42802</v>
      </c>
      <c r="BP341" s="188" t="s">
        <v>598</v>
      </c>
      <c r="BQ341" s="188" t="s">
        <v>38</v>
      </c>
      <c r="BR341" s="188" t="s">
        <v>354</v>
      </c>
      <c r="BS341" s="188" t="s">
        <v>598</v>
      </c>
      <c r="BT341" s="188" t="s">
        <v>63</v>
      </c>
      <c r="BU341" s="188" t="s">
        <v>86</v>
      </c>
      <c r="BV341" s="188" t="s">
        <v>598</v>
      </c>
    </row>
    <row r="342" spans="5:74">
      <c r="E342" s="21"/>
      <c r="Q342" s="191"/>
      <c r="R342" s="191"/>
      <c r="S342" s="191"/>
      <c r="T342" s="127"/>
      <c r="U342" s="127"/>
      <c r="V342" s="191"/>
      <c r="W342" s="190"/>
      <c r="X342" s="191"/>
      <c r="Y342" s="191"/>
      <c r="Z342" s="191"/>
      <c r="AA342" s="191"/>
      <c r="AB342" s="191"/>
      <c r="AC342" s="191"/>
      <c r="AD342" s="191"/>
      <c r="AE342" s="191"/>
      <c r="AF342" s="191"/>
      <c r="AG342" s="191"/>
      <c r="AH342" s="191"/>
      <c r="AI342" s="127"/>
      <c r="AJ342" s="191"/>
      <c r="AK342" s="191"/>
      <c r="AL342" s="190"/>
      <c r="AM342" s="191"/>
      <c r="BE342" s="188" t="s">
        <v>3047</v>
      </c>
      <c r="BF342" s="188" t="s">
        <v>4069</v>
      </c>
      <c r="BG342" s="127">
        <v>42860</v>
      </c>
      <c r="BH342" s="188" t="s">
        <v>10</v>
      </c>
      <c r="BI342" s="188" t="s">
        <v>598</v>
      </c>
      <c r="BJ342" s="189">
        <v>4500</v>
      </c>
      <c r="BK342" s="188" t="s">
        <v>493</v>
      </c>
      <c r="BL342" s="188" t="s">
        <v>598</v>
      </c>
      <c r="BM342" s="189">
        <v>0</v>
      </c>
      <c r="BN342" s="188" t="s">
        <v>598</v>
      </c>
      <c r="BO342" s="127">
        <v>42802</v>
      </c>
      <c r="BP342" s="188" t="s">
        <v>598</v>
      </c>
      <c r="BQ342" s="188" t="s">
        <v>38</v>
      </c>
      <c r="BR342" s="188" t="s">
        <v>354</v>
      </c>
      <c r="BS342" s="188" t="s">
        <v>598</v>
      </c>
      <c r="BT342" s="188" t="s">
        <v>63</v>
      </c>
      <c r="BU342" s="188" t="s">
        <v>86</v>
      </c>
      <c r="BV342" s="188" t="s">
        <v>598</v>
      </c>
    </row>
    <row r="343" spans="5:74">
      <c r="E343" s="21"/>
      <c r="Q343" s="191"/>
      <c r="R343" s="191"/>
      <c r="S343" s="191"/>
      <c r="T343" s="127"/>
      <c r="U343" s="127"/>
      <c r="V343" s="191"/>
      <c r="W343" s="190"/>
      <c r="X343" s="191"/>
      <c r="Y343" s="191"/>
      <c r="Z343" s="191"/>
      <c r="AA343" s="191"/>
      <c r="AB343" s="191"/>
      <c r="AC343" s="191"/>
      <c r="AD343" s="191"/>
      <c r="AE343" s="191"/>
      <c r="AF343" s="191"/>
      <c r="AG343" s="191"/>
      <c r="AH343" s="191"/>
      <c r="AI343" s="127"/>
      <c r="AJ343" s="191"/>
      <c r="AK343" s="191"/>
      <c r="AL343" s="190"/>
      <c r="AM343" s="191"/>
      <c r="BE343" s="188" t="s">
        <v>3049</v>
      </c>
      <c r="BF343" s="188" t="s">
        <v>4070</v>
      </c>
      <c r="BG343" s="127">
        <v>42860</v>
      </c>
      <c r="BH343" s="188" t="s">
        <v>10</v>
      </c>
      <c r="BI343" s="188" t="s">
        <v>598</v>
      </c>
      <c r="BJ343" s="189">
        <v>7200</v>
      </c>
      <c r="BK343" s="188" t="s">
        <v>493</v>
      </c>
      <c r="BL343" s="188" t="s">
        <v>598</v>
      </c>
      <c r="BM343" s="189">
        <v>0</v>
      </c>
      <c r="BN343" s="188" t="s">
        <v>598</v>
      </c>
      <c r="BO343" s="127">
        <v>42802</v>
      </c>
      <c r="BP343" s="188" t="s">
        <v>598</v>
      </c>
      <c r="BQ343" s="188" t="s">
        <v>38</v>
      </c>
      <c r="BR343" s="188" t="s">
        <v>354</v>
      </c>
      <c r="BS343" s="188" t="s">
        <v>598</v>
      </c>
      <c r="BT343" s="188" t="s">
        <v>63</v>
      </c>
      <c r="BU343" s="188" t="s">
        <v>86</v>
      </c>
      <c r="BV343" s="188" t="s">
        <v>598</v>
      </c>
    </row>
    <row r="344" spans="5:74">
      <c r="E344" s="21"/>
      <c r="Q344" s="191"/>
      <c r="R344" s="191"/>
      <c r="S344" s="191"/>
      <c r="T344" s="127"/>
      <c r="U344" s="127"/>
      <c r="V344" s="191"/>
      <c r="W344" s="190"/>
      <c r="X344" s="191"/>
      <c r="Y344" s="191"/>
      <c r="Z344" s="191"/>
      <c r="AA344" s="191"/>
      <c r="AB344" s="191"/>
      <c r="AC344" s="191"/>
      <c r="AD344" s="191"/>
      <c r="AE344" s="191"/>
      <c r="AF344" s="191"/>
      <c r="AG344" s="191"/>
      <c r="AH344" s="191"/>
      <c r="AI344" s="127"/>
      <c r="AJ344" s="191"/>
      <c r="AK344" s="191"/>
      <c r="AL344" s="190"/>
      <c r="AM344" s="191"/>
      <c r="BE344" s="188" t="s">
        <v>3050</v>
      </c>
      <c r="BF344" s="188" t="s">
        <v>4071</v>
      </c>
      <c r="BG344" s="127">
        <v>42860</v>
      </c>
      <c r="BH344" s="188" t="s">
        <v>10</v>
      </c>
      <c r="BI344" s="188" t="s">
        <v>598</v>
      </c>
      <c r="BJ344" s="189">
        <v>4500</v>
      </c>
      <c r="BK344" s="188" t="s">
        <v>493</v>
      </c>
      <c r="BL344" s="188" t="s">
        <v>598</v>
      </c>
      <c r="BM344" s="189">
        <v>0</v>
      </c>
      <c r="BN344" s="188" t="s">
        <v>598</v>
      </c>
      <c r="BO344" s="127">
        <v>42802</v>
      </c>
      <c r="BP344" s="188" t="s">
        <v>598</v>
      </c>
      <c r="BQ344" s="188" t="s">
        <v>38</v>
      </c>
      <c r="BR344" s="188" t="s">
        <v>354</v>
      </c>
      <c r="BS344" s="188" t="s">
        <v>598</v>
      </c>
      <c r="BT344" s="188" t="s">
        <v>63</v>
      </c>
      <c r="BU344" s="188" t="s">
        <v>86</v>
      </c>
      <c r="BV344" s="188" t="s">
        <v>598</v>
      </c>
    </row>
    <row r="345" spans="5:74">
      <c r="E345" s="21"/>
      <c r="Q345" s="191"/>
      <c r="R345" s="191"/>
      <c r="S345" s="191"/>
      <c r="T345" s="127"/>
      <c r="U345" s="127"/>
      <c r="V345" s="191"/>
      <c r="W345" s="190"/>
      <c r="X345" s="191"/>
      <c r="Y345" s="191"/>
      <c r="Z345" s="191"/>
      <c r="AA345" s="191"/>
      <c r="AB345" s="191"/>
      <c r="AC345" s="191"/>
      <c r="AD345" s="191"/>
      <c r="AE345" s="191"/>
      <c r="AF345" s="191"/>
      <c r="AG345" s="191"/>
      <c r="AH345" s="191"/>
      <c r="AI345" s="127"/>
      <c r="AJ345" s="191"/>
      <c r="AK345" s="191"/>
      <c r="AL345" s="190"/>
      <c r="AM345" s="191"/>
      <c r="BE345" s="188" t="s">
        <v>3052</v>
      </c>
      <c r="BF345" s="188" t="s">
        <v>4072</v>
      </c>
      <c r="BG345" s="127">
        <v>42859</v>
      </c>
      <c r="BH345" s="188" t="s">
        <v>10</v>
      </c>
      <c r="BI345" s="188" t="s">
        <v>598</v>
      </c>
      <c r="BJ345" s="189">
        <v>6000</v>
      </c>
      <c r="BK345" s="188" t="s">
        <v>493</v>
      </c>
      <c r="BL345" s="188" t="s">
        <v>3054</v>
      </c>
      <c r="BM345" s="189">
        <v>10000</v>
      </c>
      <c r="BN345" s="188" t="s">
        <v>598</v>
      </c>
      <c r="BO345" s="127">
        <v>42804</v>
      </c>
      <c r="BP345" s="188" t="s">
        <v>598</v>
      </c>
      <c r="BQ345" s="188" t="s">
        <v>38</v>
      </c>
      <c r="BR345" s="188" t="s">
        <v>598</v>
      </c>
      <c r="BS345" s="188" t="s">
        <v>598</v>
      </c>
      <c r="BT345" s="188" t="s">
        <v>63</v>
      </c>
      <c r="BU345" s="188" t="s">
        <v>63</v>
      </c>
      <c r="BV345" s="188" t="s">
        <v>598</v>
      </c>
    </row>
    <row r="346" spans="5:74">
      <c r="E346" s="21"/>
      <c r="Q346" s="191"/>
      <c r="R346" s="191"/>
      <c r="S346" s="191"/>
      <c r="T346" s="127"/>
      <c r="U346" s="127"/>
      <c r="V346" s="191"/>
      <c r="W346" s="190"/>
      <c r="X346" s="191"/>
      <c r="Y346" s="191"/>
      <c r="Z346" s="191"/>
      <c r="AA346" s="191"/>
      <c r="AB346" s="191"/>
      <c r="AC346" s="191"/>
      <c r="AD346" s="191"/>
      <c r="AE346" s="191"/>
      <c r="AF346" s="191"/>
      <c r="AG346" s="191"/>
      <c r="AH346" s="191"/>
      <c r="AI346" s="127"/>
      <c r="AJ346" s="191"/>
      <c r="AK346" s="191"/>
      <c r="AL346" s="190"/>
      <c r="AM346" s="191"/>
      <c r="BE346" s="188" t="s">
        <v>3055</v>
      </c>
      <c r="BF346" s="188" t="s">
        <v>4073</v>
      </c>
      <c r="BG346" s="127">
        <v>42859</v>
      </c>
      <c r="BH346" s="188" t="s">
        <v>10</v>
      </c>
      <c r="BI346" s="188" t="s">
        <v>598</v>
      </c>
      <c r="BJ346" s="189">
        <v>4500</v>
      </c>
      <c r="BK346" s="188" t="s">
        <v>493</v>
      </c>
      <c r="BL346" s="188" t="s">
        <v>598</v>
      </c>
      <c r="BM346" s="189">
        <v>0</v>
      </c>
      <c r="BN346" s="188" t="s">
        <v>598</v>
      </c>
      <c r="BO346" s="127">
        <v>42807</v>
      </c>
      <c r="BP346" s="188" t="s">
        <v>598</v>
      </c>
      <c r="BQ346" s="188" t="s">
        <v>38</v>
      </c>
      <c r="BR346" s="188" t="s">
        <v>354</v>
      </c>
      <c r="BS346" s="188" t="s">
        <v>598</v>
      </c>
      <c r="BT346" s="188" t="s">
        <v>63</v>
      </c>
      <c r="BU346" s="188" t="s">
        <v>598</v>
      </c>
      <c r="BV346" s="188" t="s">
        <v>598</v>
      </c>
    </row>
    <row r="347" spans="5:74">
      <c r="E347" s="21"/>
      <c r="Q347" s="191"/>
      <c r="R347" s="191"/>
      <c r="S347" s="191"/>
      <c r="T347" s="127"/>
      <c r="U347" s="127"/>
      <c r="V347" s="191"/>
      <c r="W347" s="190"/>
      <c r="X347" s="191"/>
      <c r="Y347" s="191"/>
      <c r="Z347" s="191"/>
      <c r="AA347" s="191"/>
      <c r="AB347" s="191"/>
      <c r="AC347" s="191"/>
      <c r="AD347" s="191"/>
      <c r="AE347" s="191"/>
      <c r="AF347" s="191"/>
      <c r="AG347" s="191"/>
      <c r="AH347" s="191"/>
      <c r="AI347" s="127"/>
      <c r="AJ347" s="191"/>
      <c r="AK347" s="191"/>
      <c r="AL347" s="190"/>
      <c r="AM347" s="191"/>
      <c r="BE347" s="188" t="s">
        <v>3057</v>
      </c>
      <c r="BF347" s="188" t="s">
        <v>4074</v>
      </c>
      <c r="BG347" s="127">
        <v>42859</v>
      </c>
      <c r="BH347" s="188" t="s">
        <v>10</v>
      </c>
      <c r="BI347" s="188" t="s">
        <v>598</v>
      </c>
      <c r="BJ347" s="189">
        <v>1500</v>
      </c>
      <c r="BK347" s="188" t="s">
        <v>485</v>
      </c>
      <c r="BL347" s="188" t="s">
        <v>598</v>
      </c>
      <c r="BM347" s="189">
        <v>0</v>
      </c>
      <c r="BN347" s="188" t="s">
        <v>598</v>
      </c>
      <c r="BO347" s="127">
        <v>42807</v>
      </c>
      <c r="BP347" s="188" t="s">
        <v>598</v>
      </c>
      <c r="BQ347" s="188" t="s">
        <v>38</v>
      </c>
      <c r="BR347" s="188" t="s">
        <v>354</v>
      </c>
      <c r="BS347" s="188" t="s">
        <v>598</v>
      </c>
      <c r="BT347" s="188" t="s">
        <v>63</v>
      </c>
      <c r="BU347" s="188" t="s">
        <v>598</v>
      </c>
      <c r="BV347" s="188" t="s">
        <v>598</v>
      </c>
    </row>
    <row r="348" spans="5:74">
      <c r="E348" s="21"/>
      <c r="Q348" s="191"/>
      <c r="R348" s="191"/>
      <c r="S348" s="191"/>
      <c r="T348" s="127"/>
      <c r="U348" s="127"/>
      <c r="V348" s="191"/>
      <c r="W348" s="190"/>
      <c r="X348" s="191"/>
      <c r="Y348" s="191"/>
      <c r="Z348" s="191"/>
      <c r="AA348" s="191"/>
      <c r="AB348" s="191"/>
      <c r="AC348" s="191"/>
      <c r="AD348" s="191"/>
      <c r="AE348" s="191"/>
      <c r="AF348" s="191"/>
      <c r="AG348" s="191"/>
      <c r="AH348" s="191"/>
      <c r="AI348" s="127"/>
      <c r="AJ348" s="191"/>
      <c r="AK348" s="191"/>
      <c r="AL348" s="190"/>
      <c r="AM348" s="191"/>
      <c r="BE348" s="188" t="s">
        <v>3059</v>
      </c>
      <c r="BF348" s="188" t="s">
        <v>4075</v>
      </c>
      <c r="BG348" s="127">
        <v>42860</v>
      </c>
      <c r="BH348" s="188" t="s">
        <v>10</v>
      </c>
      <c r="BI348" s="188" t="s">
        <v>598</v>
      </c>
      <c r="BJ348" s="189">
        <v>4500</v>
      </c>
      <c r="BK348" s="188" t="s">
        <v>493</v>
      </c>
      <c r="BL348" s="188" t="s">
        <v>3061</v>
      </c>
      <c r="BM348" s="189">
        <v>5000</v>
      </c>
      <c r="BN348" s="188" t="s">
        <v>598</v>
      </c>
      <c r="BO348" s="127">
        <v>42808</v>
      </c>
      <c r="BP348" s="188" t="s">
        <v>598</v>
      </c>
      <c r="BQ348" s="188" t="s">
        <v>38</v>
      </c>
      <c r="BR348" s="188" t="s">
        <v>354</v>
      </c>
      <c r="BS348" s="188" t="s">
        <v>598</v>
      </c>
      <c r="BT348" s="188" t="s">
        <v>63</v>
      </c>
      <c r="BU348" s="188" t="s">
        <v>598</v>
      </c>
      <c r="BV348" s="188" t="s">
        <v>598</v>
      </c>
    </row>
    <row r="349" spans="5:74">
      <c r="E349" s="21"/>
      <c r="Q349" s="191"/>
      <c r="R349" s="191"/>
      <c r="S349" s="191"/>
      <c r="T349" s="127"/>
      <c r="U349" s="127"/>
      <c r="V349" s="191"/>
      <c r="W349" s="190"/>
      <c r="X349" s="191"/>
      <c r="Y349" s="191"/>
      <c r="Z349" s="191"/>
      <c r="AA349" s="191"/>
      <c r="AB349" s="191"/>
      <c r="AC349" s="191"/>
      <c r="AD349" s="191"/>
      <c r="AE349" s="191"/>
      <c r="AF349" s="191"/>
      <c r="AG349" s="191"/>
      <c r="AH349" s="191"/>
      <c r="AI349" s="127"/>
      <c r="AJ349" s="191"/>
      <c r="AK349" s="191"/>
      <c r="AL349" s="190"/>
      <c r="AM349" s="191"/>
      <c r="BE349" s="188" t="s">
        <v>3062</v>
      </c>
      <c r="BF349" s="188" t="s">
        <v>4076</v>
      </c>
      <c r="BG349" s="127">
        <v>42864</v>
      </c>
      <c r="BH349" s="188" t="s">
        <v>10</v>
      </c>
      <c r="BI349" s="188" t="s">
        <v>598</v>
      </c>
      <c r="BJ349" s="189">
        <v>4500</v>
      </c>
      <c r="BK349" s="188" t="s">
        <v>493</v>
      </c>
      <c r="BL349" s="188" t="s">
        <v>598</v>
      </c>
      <c r="BM349" s="189">
        <v>0</v>
      </c>
      <c r="BN349" s="188" t="s">
        <v>598</v>
      </c>
      <c r="BO349" s="127">
        <v>42813</v>
      </c>
      <c r="BP349" s="188" t="s">
        <v>598</v>
      </c>
      <c r="BQ349" s="188" t="s">
        <v>38</v>
      </c>
      <c r="BR349" s="188" t="s">
        <v>354</v>
      </c>
      <c r="BS349" s="188" t="s">
        <v>598</v>
      </c>
      <c r="BT349" s="188" t="s">
        <v>63</v>
      </c>
      <c r="BU349" s="188" t="s">
        <v>598</v>
      </c>
      <c r="BV349" s="188" t="s">
        <v>598</v>
      </c>
    </row>
    <row r="350" spans="5:74">
      <c r="E350" s="21"/>
      <c r="Q350" s="191"/>
      <c r="R350" s="191"/>
      <c r="S350" s="191"/>
      <c r="T350" s="127"/>
      <c r="U350" s="127"/>
      <c r="V350" s="191"/>
      <c r="W350" s="190"/>
      <c r="X350" s="191"/>
      <c r="Y350" s="191"/>
      <c r="Z350" s="191"/>
      <c r="AA350" s="191"/>
      <c r="AB350" s="191"/>
      <c r="AC350" s="191"/>
      <c r="AD350" s="191"/>
      <c r="AE350" s="191"/>
      <c r="AF350" s="191"/>
      <c r="AG350" s="191"/>
      <c r="AH350" s="191"/>
      <c r="AI350" s="127"/>
      <c r="AJ350" s="191"/>
      <c r="AK350" s="191"/>
      <c r="AL350" s="190"/>
      <c r="AM350" s="191"/>
      <c r="BE350" s="188" t="s">
        <v>3064</v>
      </c>
      <c r="BF350" s="188" t="s">
        <v>4077</v>
      </c>
      <c r="BG350" s="127">
        <v>42864</v>
      </c>
      <c r="BH350" s="188" t="s">
        <v>10</v>
      </c>
      <c r="BI350" s="188" t="s">
        <v>598</v>
      </c>
      <c r="BJ350" s="189">
        <v>4500</v>
      </c>
      <c r="BK350" s="188" t="s">
        <v>493</v>
      </c>
      <c r="BL350" s="188" t="s">
        <v>598</v>
      </c>
      <c r="BM350" s="189">
        <v>0</v>
      </c>
      <c r="BN350" s="188" t="s">
        <v>598</v>
      </c>
      <c r="BO350" s="127">
        <v>42813</v>
      </c>
      <c r="BP350" s="188" t="s">
        <v>598</v>
      </c>
      <c r="BQ350" s="188" t="s">
        <v>38</v>
      </c>
      <c r="BR350" s="188" t="s">
        <v>354</v>
      </c>
      <c r="BS350" s="188" t="s">
        <v>598</v>
      </c>
      <c r="BT350" s="188" t="s">
        <v>63</v>
      </c>
      <c r="BU350" s="188" t="s">
        <v>86</v>
      </c>
      <c r="BV350" s="188" t="s">
        <v>598</v>
      </c>
    </row>
    <row r="351" spans="5:74">
      <c r="E351" s="21"/>
      <c r="Q351" s="191"/>
      <c r="R351" s="191"/>
      <c r="S351" s="191"/>
      <c r="T351" s="127"/>
      <c r="U351" s="127"/>
      <c r="V351" s="191"/>
      <c r="W351" s="190"/>
      <c r="X351" s="191"/>
      <c r="Y351" s="191"/>
      <c r="Z351" s="191"/>
      <c r="AA351" s="191"/>
      <c r="AB351" s="191"/>
      <c r="AC351" s="191"/>
      <c r="AD351" s="191"/>
      <c r="AE351" s="191"/>
      <c r="AF351" s="191"/>
      <c r="AG351" s="191"/>
      <c r="AH351" s="191"/>
      <c r="AI351" s="127"/>
      <c r="AJ351" s="191"/>
      <c r="AK351" s="191"/>
      <c r="AL351" s="190"/>
      <c r="AM351" s="191"/>
      <c r="BE351" s="188" t="s">
        <v>3066</v>
      </c>
      <c r="BF351" s="188" t="s">
        <v>4078</v>
      </c>
      <c r="BG351" s="127">
        <v>42860</v>
      </c>
      <c r="BH351" s="188" t="s">
        <v>10</v>
      </c>
      <c r="BI351" s="188" t="s">
        <v>598</v>
      </c>
      <c r="BJ351" s="189">
        <v>2250</v>
      </c>
      <c r="BK351" s="188" t="s">
        <v>493</v>
      </c>
      <c r="BL351" s="188" t="s">
        <v>598</v>
      </c>
      <c r="BM351" s="189">
        <v>0</v>
      </c>
      <c r="BN351" s="188" t="s">
        <v>598</v>
      </c>
      <c r="BO351" s="127">
        <v>42813</v>
      </c>
      <c r="BP351" s="188" t="s">
        <v>598</v>
      </c>
      <c r="BQ351" s="188" t="s">
        <v>38</v>
      </c>
      <c r="BR351" s="188" t="s">
        <v>354</v>
      </c>
      <c r="BS351" s="188" t="s">
        <v>598</v>
      </c>
      <c r="BT351" s="188" t="s">
        <v>63</v>
      </c>
      <c r="BU351" s="188" t="s">
        <v>86</v>
      </c>
      <c r="BV351" s="188" t="s">
        <v>598</v>
      </c>
    </row>
    <row r="352" spans="5:74">
      <c r="E352" s="21"/>
      <c r="Q352" s="191"/>
      <c r="R352" s="191"/>
      <c r="S352" s="191"/>
      <c r="T352" s="127"/>
      <c r="U352" s="127"/>
      <c r="V352" s="191"/>
      <c r="W352" s="190"/>
      <c r="X352" s="191"/>
      <c r="Y352" s="191"/>
      <c r="Z352" s="191"/>
      <c r="AA352" s="191"/>
      <c r="AB352" s="191"/>
      <c r="AC352" s="191"/>
      <c r="AD352" s="191"/>
      <c r="AE352" s="191"/>
      <c r="AF352" s="191"/>
      <c r="AG352" s="191"/>
      <c r="AH352" s="191"/>
      <c r="AI352" s="127"/>
      <c r="AJ352" s="191"/>
      <c r="AK352" s="191"/>
      <c r="AL352" s="190"/>
      <c r="AM352" s="191"/>
      <c r="BE352" s="188" t="s">
        <v>3068</v>
      </c>
      <c r="BF352" s="188" t="s">
        <v>4079</v>
      </c>
      <c r="BG352" s="127">
        <v>42860</v>
      </c>
      <c r="BH352" s="188" t="s">
        <v>10</v>
      </c>
      <c r="BI352" s="188" t="s">
        <v>598</v>
      </c>
      <c r="BJ352" s="189">
        <v>2250</v>
      </c>
      <c r="BK352" s="188" t="s">
        <v>493</v>
      </c>
      <c r="BL352" s="188" t="s">
        <v>598</v>
      </c>
      <c r="BM352" s="189">
        <v>0</v>
      </c>
      <c r="BN352" s="188" t="s">
        <v>598</v>
      </c>
      <c r="BO352" s="127">
        <v>42813</v>
      </c>
      <c r="BP352" s="188" t="s">
        <v>598</v>
      </c>
      <c r="BQ352" s="188" t="s">
        <v>38</v>
      </c>
      <c r="BR352" s="188" t="s">
        <v>354</v>
      </c>
      <c r="BS352" s="188" t="s">
        <v>598</v>
      </c>
      <c r="BT352" s="188" t="s">
        <v>63</v>
      </c>
      <c r="BU352" s="188" t="s">
        <v>86</v>
      </c>
      <c r="BV352" s="188" t="s">
        <v>598</v>
      </c>
    </row>
    <row r="353" spans="5:74">
      <c r="E353" s="21"/>
      <c r="Q353" s="191"/>
      <c r="R353" s="191"/>
      <c r="S353" s="191"/>
      <c r="T353" s="127"/>
      <c r="U353" s="127"/>
      <c r="V353" s="191"/>
      <c r="W353" s="190"/>
      <c r="X353" s="191"/>
      <c r="Y353" s="191"/>
      <c r="Z353" s="191"/>
      <c r="AA353" s="191"/>
      <c r="AB353" s="191"/>
      <c r="AC353" s="191"/>
      <c r="AD353" s="191"/>
      <c r="AE353" s="191"/>
      <c r="AF353" s="191"/>
      <c r="AG353" s="191"/>
      <c r="AH353" s="191"/>
      <c r="AI353" s="127"/>
      <c r="AJ353" s="191"/>
      <c r="AK353" s="191"/>
      <c r="AL353" s="190"/>
      <c r="AM353" s="191"/>
      <c r="BE353" s="188" t="s">
        <v>3070</v>
      </c>
      <c r="BF353" s="188" t="s">
        <v>4080</v>
      </c>
      <c r="BG353" s="127">
        <v>42860</v>
      </c>
      <c r="BH353" s="188" t="s">
        <v>10</v>
      </c>
      <c r="BI353" s="188" t="s">
        <v>598</v>
      </c>
      <c r="BJ353" s="189">
        <v>2250</v>
      </c>
      <c r="BK353" s="188" t="s">
        <v>493</v>
      </c>
      <c r="BL353" s="188" t="s">
        <v>598</v>
      </c>
      <c r="BM353" s="189">
        <v>0</v>
      </c>
      <c r="BN353" s="188" t="s">
        <v>598</v>
      </c>
      <c r="BO353" s="127">
        <v>42813</v>
      </c>
      <c r="BP353" s="188" t="s">
        <v>598</v>
      </c>
      <c r="BQ353" s="188" t="s">
        <v>38</v>
      </c>
      <c r="BR353" s="188" t="s">
        <v>354</v>
      </c>
      <c r="BS353" s="188" t="s">
        <v>598</v>
      </c>
      <c r="BT353" s="188" t="s">
        <v>63</v>
      </c>
      <c r="BU353" s="188" t="s">
        <v>86</v>
      </c>
      <c r="BV353" s="188" t="s">
        <v>598</v>
      </c>
    </row>
    <row r="354" spans="5:74">
      <c r="E354" s="21"/>
      <c r="Q354" s="191"/>
      <c r="R354" s="191"/>
      <c r="S354" s="191"/>
      <c r="T354" s="127"/>
      <c r="U354" s="127"/>
      <c r="V354" s="191"/>
      <c r="W354" s="190"/>
      <c r="X354" s="191"/>
      <c r="Y354" s="191"/>
      <c r="Z354" s="191"/>
      <c r="AA354" s="191"/>
      <c r="AB354" s="191"/>
      <c r="AC354" s="191"/>
      <c r="AD354" s="191"/>
      <c r="AE354" s="191"/>
      <c r="AF354" s="191"/>
      <c r="AG354" s="191"/>
      <c r="AH354" s="191"/>
      <c r="AI354" s="127"/>
      <c r="AJ354" s="191"/>
      <c r="AK354" s="191"/>
      <c r="AL354" s="190"/>
      <c r="AM354" s="191"/>
      <c r="BE354" s="188" t="s">
        <v>3071</v>
      </c>
      <c r="BF354" s="188" t="s">
        <v>4081</v>
      </c>
      <c r="BG354" s="127">
        <v>42864</v>
      </c>
      <c r="BH354" s="188" t="s">
        <v>10</v>
      </c>
      <c r="BI354" s="188" t="s">
        <v>598</v>
      </c>
      <c r="BJ354" s="189">
        <v>4500</v>
      </c>
      <c r="BK354" s="188" t="s">
        <v>493</v>
      </c>
      <c r="BL354" s="188" t="s">
        <v>598</v>
      </c>
      <c r="BM354" s="189">
        <v>0</v>
      </c>
      <c r="BN354" s="188" t="s">
        <v>598</v>
      </c>
      <c r="BO354" s="127">
        <v>42818</v>
      </c>
      <c r="BP354" s="188" t="s">
        <v>598</v>
      </c>
      <c r="BQ354" s="188" t="s">
        <v>38</v>
      </c>
      <c r="BR354" s="188" t="s">
        <v>354</v>
      </c>
      <c r="BS354" s="188" t="s">
        <v>598</v>
      </c>
      <c r="BT354" s="188" t="s">
        <v>63</v>
      </c>
      <c r="BU354" s="188" t="s">
        <v>2984</v>
      </c>
      <c r="BV354" s="188" t="s">
        <v>598</v>
      </c>
    </row>
    <row r="355" spans="5:74">
      <c r="E355" s="21"/>
      <c r="Q355" s="191"/>
      <c r="R355" s="191"/>
      <c r="S355" s="191"/>
      <c r="T355" s="127"/>
      <c r="U355" s="127"/>
      <c r="V355" s="191"/>
      <c r="W355" s="190"/>
      <c r="X355" s="191"/>
      <c r="Y355" s="191"/>
      <c r="Z355" s="191"/>
      <c r="AA355" s="191"/>
      <c r="AB355" s="191"/>
      <c r="AC355" s="191"/>
      <c r="AD355" s="191"/>
      <c r="AE355" s="191"/>
      <c r="AF355" s="191"/>
      <c r="AG355" s="191"/>
      <c r="AH355" s="191"/>
      <c r="AI355" s="127"/>
      <c r="AJ355" s="191"/>
      <c r="AK355" s="191"/>
      <c r="AL355" s="190"/>
      <c r="AM355" s="191"/>
      <c r="BE355" s="188" t="s">
        <v>3072</v>
      </c>
      <c r="BF355" s="188" t="s">
        <v>4082</v>
      </c>
      <c r="BG355" s="127">
        <v>42864</v>
      </c>
      <c r="BH355" s="188" t="s">
        <v>10</v>
      </c>
      <c r="BI355" s="188" t="s">
        <v>598</v>
      </c>
      <c r="BJ355" s="189">
        <v>9000</v>
      </c>
      <c r="BK355" s="188" t="s">
        <v>493</v>
      </c>
      <c r="BL355" s="188" t="s">
        <v>598</v>
      </c>
      <c r="BM355" s="189">
        <v>0</v>
      </c>
      <c r="BN355" s="188" t="s">
        <v>598</v>
      </c>
      <c r="BO355" s="127">
        <v>42822</v>
      </c>
      <c r="BP355" s="188" t="s">
        <v>598</v>
      </c>
      <c r="BQ355" s="188" t="s">
        <v>38</v>
      </c>
      <c r="BR355" s="188" t="s">
        <v>354</v>
      </c>
      <c r="BS355" s="188" t="s">
        <v>598</v>
      </c>
      <c r="BT355" s="188" t="s">
        <v>63</v>
      </c>
      <c r="BU355" s="188" t="s">
        <v>598</v>
      </c>
      <c r="BV355" s="188" t="s">
        <v>598</v>
      </c>
    </row>
    <row r="356" spans="5:74">
      <c r="E356" s="21"/>
      <c r="Q356" s="191"/>
      <c r="R356" s="191"/>
      <c r="S356" s="191"/>
      <c r="T356" s="127"/>
      <c r="U356" s="127"/>
      <c r="V356" s="191"/>
      <c r="W356" s="190"/>
      <c r="X356" s="191"/>
      <c r="Y356" s="191"/>
      <c r="Z356" s="191"/>
      <c r="AA356" s="191"/>
      <c r="AB356" s="191"/>
      <c r="AC356" s="191"/>
      <c r="AD356" s="191"/>
      <c r="AE356" s="191"/>
      <c r="AF356" s="191"/>
      <c r="AG356" s="191"/>
      <c r="AH356" s="191"/>
      <c r="AI356" s="127"/>
      <c r="AJ356" s="191"/>
      <c r="AK356" s="191"/>
      <c r="AL356" s="190"/>
      <c r="AM356" s="191"/>
      <c r="BE356" s="188" t="s">
        <v>3074</v>
      </c>
      <c r="BF356" s="188" t="s">
        <v>4083</v>
      </c>
      <c r="BG356" s="127">
        <v>42873</v>
      </c>
      <c r="BH356" s="188" t="s">
        <v>3077</v>
      </c>
      <c r="BI356" s="188" t="s">
        <v>598</v>
      </c>
      <c r="BJ356" s="189">
        <v>15000</v>
      </c>
      <c r="BK356" s="188" t="s">
        <v>493</v>
      </c>
      <c r="BL356" s="188" t="s">
        <v>598</v>
      </c>
      <c r="BM356" s="189">
        <v>0</v>
      </c>
      <c r="BN356" s="188" t="s">
        <v>598</v>
      </c>
      <c r="BO356" s="127">
        <v>42868</v>
      </c>
      <c r="BP356" s="188" t="s">
        <v>598</v>
      </c>
      <c r="BQ356" s="188" t="s">
        <v>49</v>
      </c>
      <c r="BR356" s="188" t="s">
        <v>3076</v>
      </c>
      <c r="BS356" s="188" t="s">
        <v>598</v>
      </c>
      <c r="BT356" s="188" t="s">
        <v>79</v>
      </c>
      <c r="BU356" s="188" t="s">
        <v>112</v>
      </c>
      <c r="BV356" s="188" t="s">
        <v>598</v>
      </c>
    </row>
    <row r="357" spans="5:74">
      <c r="E357" s="21"/>
      <c r="Q357" s="191"/>
      <c r="R357" s="191"/>
      <c r="S357" s="191"/>
      <c r="T357" s="127"/>
      <c r="U357" s="127"/>
      <c r="V357" s="191"/>
      <c r="W357" s="190"/>
      <c r="X357" s="191"/>
      <c r="Y357" s="191"/>
      <c r="Z357" s="191"/>
      <c r="AA357" s="191"/>
      <c r="AB357" s="191"/>
      <c r="AC357" s="191"/>
      <c r="AD357" s="191"/>
      <c r="AE357" s="191"/>
      <c r="AF357" s="191"/>
      <c r="AG357" s="191"/>
      <c r="AH357" s="191"/>
      <c r="AI357" s="127"/>
      <c r="AJ357" s="191"/>
      <c r="AK357" s="191"/>
      <c r="AL357" s="190"/>
      <c r="AM357" s="191"/>
      <c r="BE357" s="188" t="s">
        <v>3078</v>
      </c>
      <c r="BF357" s="188" t="s">
        <v>4084</v>
      </c>
      <c r="BG357" s="127">
        <v>42879</v>
      </c>
      <c r="BH357" s="188" t="s">
        <v>10</v>
      </c>
      <c r="BI357" s="188" t="s">
        <v>598</v>
      </c>
      <c r="BJ357" s="189">
        <v>2000</v>
      </c>
      <c r="BK357" s="188" t="s">
        <v>493</v>
      </c>
      <c r="BL357" s="188" t="s">
        <v>598</v>
      </c>
      <c r="BM357" s="189">
        <v>0</v>
      </c>
      <c r="BN357" s="188" t="s">
        <v>598</v>
      </c>
      <c r="BO357" s="127">
        <v>42872</v>
      </c>
      <c r="BP357" s="188" t="s">
        <v>134</v>
      </c>
      <c r="BQ357" s="188" t="s">
        <v>49</v>
      </c>
      <c r="BR357" s="188" t="s">
        <v>1449</v>
      </c>
      <c r="BS357" s="188" t="s">
        <v>29</v>
      </c>
      <c r="BT357" s="188" t="s">
        <v>79</v>
      </c>
      <c r="BU357" s="188" t="s">
        <v>112</v>
      </c>
      <c r="BV357" s="188" t="s">
        <v>598</v>
      </c>
    </row>
    <row r="358" spans="5:74">
      <c r="E358" s="21"/>
      <c r="Q358" s="191"/>
      <c r="R358" s="191"/>
      <c r="S358" s="191"/>
      <c r="T358" s="127"/>
      <c r="U358" s="127"/>
      <c r="V358" s="191"/>
      <c r="W358" s="190"/>
      <c r="X358" s="191"/>
      <c r="Y358" s="191"/>
      <c r="Z358" s="191"/>
      <c r="AA358" s="191"/>
      <c r="AB358" s="191"/>
      <c r="AC358" s="191"/>
      <c r="AD358" s="191"/>
      <c r="AE358" s="191"/>
      <c r="AF358" s="191"/>
      <c r="AG358" s="191"/>
      <c r="AH358" s="191"/>
      <c r="AI358" s="127"/>
      <c r="AJ358" s="191"/>
      <c r="AK358" s="191"/>
      <c r="AL358" s="190"/>
      <c r="AM358" s="191"/>
      <c r="BE358" s="188" t="s">
        <v>3080</v>
      </c>
      <c r="BF358" s="188" t="s">
        <v>4085</v>
      </c>
      <c r="BG358" s="127">
        <v>42885</v>
      </c>
      <c r="BH358" s="188" t="s">
        <v>10</v>
      </c>
      <c r="BI358" s="188" t="s">
        <v>598</v>
      </c>
      <c r="BJ358" s="189">
        <v>2500</v>
      </c>
      <c r="BK358" s="188" t="s">
        <v>493</v>
      </c>
      <c r="BL358" s="188" t="s">
        <v>598</v>
      </c>
      <c r="BM358" s="189">
        <v>0</v>
      </c>
      <c r="BN358" s="188" t="s">
        <v>598</v>
      </c>
      <c r="BO358" s="127">
        <v>42878</v>
      </c>
      <c r="BP358" s="188" t="s">
        <v>134</v>
      </c>
      <c r="BQ358" s="188" t="s">
        <v>49</v>
      </c>
      <c r="BR358" s="188" t="s">
        <v>1449</v>
      </c>
      <c r="BS358" s="188" t="s">
        <v>29</v>
      </c>
      <c r="BT358" s="188" t="s">
        <v>79</v>
      </c>
      <c r="BU358" s="188" t="s">
        <v>112</v>
      </c>
      <c r="BV358" s="188" t="s">
        <v>598</v>
      </c>
    </row>
    <row r="359" spans="5:74">
      <c r="E359" s="21"/>
      <c r="Q359" s="191"/>
      <c r="R359" s="191"/>
      <c r="S359" s="191"/>
      <c r="T359" s="127"/>
      <c r="U359" s="127"/>
      <c r="V359" s="191"/>
      <c r="W359" s="190"/>
      <c r="X359" s="191"/>
      <c r="Y359" s="191"/>
      <c r="Z359" s="191"/>
      <c r="AA359" s="191"/>
      <c r="AB359" s="191"/>
      <c r="AC359" s="191"/>
      <c r="AD359" s="191"/>
      <c r="AE359" s="191"/>
      <c r="AF359" s="191"/>
      <c r="AG359" s="191"/>
      <c r="AH359" s="191"/>
      <c r="AI359" s="127"/>
      <c r="AJ359" s="191"/>
      <c r="AK359" s="191"/>
      <c r="AL359" s="190"/>
      <c r="AM359" s="191"/>
      <c r="BE359" s="188" t="s">
        <v>3082</v>
      </c>
      <c r="BF359" s="188" t="s">
        <v>4086</v>
      </c>
      <c r="BG359" s="127">
        <v>42885</v>
      </c>
      <c r="BH359" s="188" t="s">
        <v>10</v>
      </c>
      <c r="BI359" s="188" t="s">
        <v>598</v>
      </c>
      <c r="BJ359" s="189">
        <v>2500</v>
      </c>
      <c r="BK359" s="188" t="s">
        <v>493</v>
      </c>
      <c r="BL359" s="188" t="s">
        <v>598</v>
      </c>
      <c r="BM359" s="189">
        <v>0</v>
      </c>
      <c r="BN359" s="188" t="s">
        <v>598</v>
      </c>
      <c r="BO359" s="127">
        <v>42878</v>
      </c>
      <c r="BP359" s="188" t="s">
        <v>134</v>
      </c>
      <c r="BQ359" s="188" t="s">
        <v>49</v>
      </c>
      <c r="BR359" s="188" t="s">
        <v>1449</v>
      </c>
      <c r="BS359" s="188" t="s">
        <v>29</v>
      </c>
      <c r="BT359" s="188" t="s">
        <v>79</v>
      </c>
      <c r="BU359" s="188" t="s">
        <v>112</v>
      </c>
      <c r="BV359" s="188" t="s">
        <v>598</v>
      </c>
    </row>
    <row r="360" spans="5:74">
      <c r="E360" s="21"/>
      <c r="Q360" s="191"/>
      <c r="R360" s="191"/>
      <c r="S360" s="191"/>
      <c r="T360" s="127"/>
      <c r="U360" s="127"/>
      <c r="V360" s="191"/>
      <c r="W360" s="190"/>
      <c r="X360" s="191"/>
      <c r="Y360" s="191"/>
      <c r="Z360" s="191"/>
      <c r="AA360" s="191"/>
      <c r="AB360" s="191"/>
      <c r="AC360" s="191"/>
      <c r="AD360" s="191"/>
      <c r="AE360" s="191"/>
      <c r="AF360" s="191"/>
      <c r="AG360" s="191"/>
      <c r="AH360" s="191"/>
      <c r="AI360" s="127"/>
      <c r="AJ360" s="191"/>
      <c r="AK360" s="191"/>
      <c r="AL360" s="190"/>
      <c r="AM360" s="191"/>
      <c r="BE360" s="188" t="s">
        <v>3084</v>
      </c>
      <c r="BF360" s="188" t="s">
        <v>4087</v>
      </c>
      <c r="BG360" s="127">
        <v>42885</v>
      </c>
      <c r="BH360" s="188" t="s">
        <v>10</v>
      </c>
      <c r="BI360" s="188" t="s">
        <v>598</v>
      </c>
      <c r="BJ360" s="189">
        <v>2500</v>
      </c>
      <c r="BK360" s="188" t="s">
        <v>493</v>
      </c>
      <c r="BL360" s="188" t="s">
        <v>598</v>
      </c>
      <c r="BM360" s="189">
        <v>0</v>
      </c>
      <c r="BN360" s="188" t="s">
        <v>598</v>
      </c>
      <c r="BO360" s="127">
        <v>42880</v>
      </c>
      <c r="BP360" s="188" t="s">
        <v>134</v>
      </c>
      <c r="BQ360" s="188" t="s">
        <v>49</v>
      </c>
      <c r="BR360" s="188" t="s">
        <v>1449</v>
      </c>
      <c r="BS360" s="188" t="s">
        <v>29</v>
      </c>
      <c r="BT360" s="188" t="s">
        <v>79</v>
      </c>
      <c r="BU360" s="188" t="s">
        <v>65</v>
      </c>
      <c r="BV360" s="188" t="s">
        <v>598</v>
      </c>
    </row>
    <row r="361" spans="5:74">
      <c r="E361" s="21"/>
      <c r="Q361" s="191"/>
      <c r="R361" s="191"/>
      <c r="S361" s="191"/>
      <c r="T361" s="127"/>
      <c r="U361" s="127"/>
      <c r="V361" s="191"/>
      <c r="W361" s="190"/>
      <c r="X361" s="191"/>
      <c r="Y361" s="191"/>
      <c r="Z361" s="191"/>
      <c r="AA361" s="191"/>
      <c r="AB361" s="191"/>
      <c r="AC361" s="191"/>
      <c r="AD361" s="191"/>
      <c r="AE361" s="191"/>
      <c r="AF361" s="191"/>
      <c r="AG361" s="191"/>
      <c r="AH361" s="191"/>
      <c r="AI361" s="127"/>
      <c r="AJ361" s="191"/>
      <c r="AK361" s="191"/>
      <c r="AL361" s="190"/>
      <c r="AM361" s="191"/>
      <c r="BE361" s="188" t="s">
        <v>3085</v>
      </c>
      <c r="BF361" s="188" t="s">
        <v>4088</v>
      </c>
      <c r="BG361" s="127">
        <v>42885</v>
      </c>
      <c r="BH361" s="188" t="s">
        <v>10</v>
      </c>
      <c r="BI361" s="188" t="s">
        <v>598</v>
      </c>
      <c r="BJ361" s="189">
        <v>2500</v>
      </c>
      <c r="BK361" s="188" t="s">
        <v>493</v>
      </c>
      <c r="BL361" s="188" t="s">
        <v>598</v>
      </c>
      <c r="BM361" s="189">
        <v>0</v>
      </c>
      <c r="BN361" s="188" t="s">
        <v>598</v>
      </c>
      <c r="BO361" s="127">
        <v>42882</v>
      </c>
      <c r="BP361" s="188" t="s">
        <v>134</v>
      </c>
      <c r="BQ361" s="188" t="s">
        <v>49</v>
      </c>
      <c r="BR361" s="188" t="s">
        <v>1449</v>
      </c>
      <c r="BS361" s="188" t="s">
        <v>29</v>
      </c>
      <c r="BT361" s="188" t="s">
        <v>79</v>
      </c>
      <c r="BU361" s="188" t="s">
        <v>79</v>
      </c>
      <c r="BV361" s="188" t="s">
        <v>598</v>
      </c>
    </row>
    <row r="362" spans="5:74">
      <c r="E362" s="21"/>
      <c r="Q362" s="191"/>
      <c r="R362" s="191"/>
      <c r="S362" s="191"/>
      <c r="T362" s="127"/>
      <c r="U362" s="127"/>
      <c r="V362" s="191"/>
      <c r="W362" s="190"/>
      <c r="X362" s="191"/>
      <c r="Y362" s="191"/>
      <c r="Z362" s="191"/>
      <c r="AA362" s="191"/>
      <c r="AB362" s="191"/>
      <c r="AC362" s="191"/>
      <c r="AD362" s="191"/>
      <c r="AE362" s="191"/>
      <c r="AF362" s="191"/>
      <c r="AG362" s="191"/>
      <c r="AH362" s="191"/>
      <c r="AI362" s="127"/>
      <c r="AJ362" s="191"/>
      <c r="AK362" s="191"/>
      <c r="AL362" s="190"/>
      <c r="AM362" s="191"/>
      <c r="BE362" s="188" t="s">
        <v>3087</v>
      </c>
      <c r="BF362" s="188" t="s">
        <v>4089</v>
      </c>
      <c r="BG362" s="127">
        <v>42864</v>
      </c>
      <c r="BH362" s="188" t="s">
        <v>34</v>
      </c>
      <c r="BI362" s="188" t="s">
        <v>598</v>
      </c>
      <c r="BJ362" s="189">
        <v>10000</v>
      </c>
      <c r="BK362" s="188" t="s">
        <v>493</v>
      </c>
      <c r="BL362" s="188" t="s">
        <v>598</v>
      </c>
      <c r="BM362" s="189">
        <v>0</v>
      </c>
      <c r="BN362" s="188" t="s">
        <v>598</v>
      </c>
      <c r="BO362" s="127">
        <v>42847</v>
      </c>
      <c r="BP362" s="188" t="s">
        <v>598</v>
      </c>
      <c r="BQ362" s="188" t="s">
        <v>49</v>
      </c>
      <c r="BR362" s="188" t="s">
        <v>184</v>
      </c>
      <c r="BS362" s="188" t="s">
        <v>598</v>
      </c>
      <c r="BT362" s="188" t="s">
        <v>79</v>
      </c>
      <c r="BU362" s="188" t="s">
        <v>79</v>
      </c>
      <c r="BV362" s="188" t="s">
        <v>598</v>
      </c>
    </row>
    <row r="363" spans="5:74">
      <c r="E363" s="21"/>
      <c r="Q363" s="191"/>
      <c r="R363" s="191"/>
      <c r="S363" s="191"/>
      <c r="T363" s="127"/>
      <c r="U363" s="127"/>
      <c r="V363" s="191"/>
      <c r="W363" s="190"/>
      <c r="X363" s="191"/>
      <c r="Y363" s="191"/>
      <c r="Z363" s="191"/>
      <c r="AA363" s="191"/>
      <c r="AB363" s="191"/>
      <c r="AC363" s="191"/>
      <c r="AD363" s="191"/>
      <c r="AE363" s="191"/>
      <c r="AF363" s="191"/>
      <c r="AG363" s="191"/>
      <c r="AH363" s="191"/>
      <c r="AI363" s="127"/>
      <c r="AJ363" s="191"/>
      <c r="AK363" s="191"/>
      <c r="AL363" s="190"/>
      <c r="AM363" s="191"/>
      <c r="BE363" s="188" t="s">
        <v>3088</v>
      </c>
      <c r="BF363" s="188" t="s">
        <v>4090</v>
      </c>
      <c r="BG363" s="127">
        <v>42861</v>
      </c>
      <c r="BH363" s="188" t="s">
        <v>34</v>
      </c>
      <c r="BI363" s="188" t="s">
        <v>598</v>
      </c>
      <c r="BJ363" s="189">
        <v>2500</v>
      </c>
      <c r="BK363" s="188" t="s">
        <v>493</v>
      </c>
      <c r="BL363" s="188" t="s">
        <v>598</v>
      </c>
      <c r="BM363" s="189">
        <v>0</v>
      </c>
      <c r="BN363" s="188" t="s">
        <v>598</v>
      </c>
      <c r="BO363" s="127">
        <v>42851</v>
      </c>
      <c r="BP363" s="188" t="s">
        <v>134</v>
      </c>
      <c r="BQ363" s="188" t="s">
        <v>49</v>
      </c>
      <c r="BR363" s="188" t="s">
        <v>1392</v>
      </c>
      <c r="BS363" s="188" t="s">
        <v>598</v>
      </c>
      <c r="BT363" s="188" t="s">
        <v>79</v>
      </c>
      <c r="BU363" s="188" t="s">
        <v>112</v>
      </c>
      <c r="BV363" s="188" t="s">
        <v>598</v>
      </c>
    </row>
    <row r="364" spans="5:74">
      <c r="E364" s="21"/>
      <c r="Q364" s="191"/>
      <c r="R364" s="191"/>
      <c r="S364" s="191"/>
      <c r="T364" s="127"/>
      <c r="U364" s="127"/>
      <c r="V364" s="191"/>
      <c r="W364" s="190"/>
      <c r="X364" s="191"/>
      <c r="Y364" s="191"/>
      <c r="Z364" s="191"/>
      <c r="AA364" s="191"/>
      <c r="AB364" s="191"/>
      <c r="AC364" s="191"/>
      <c r="AD364" s="191"/>
      <c r="AE364" s="191"/>
      <c r="AF364" s="191"/>
      <c r="AG364" s="191"/>
      <c r="AH364" s="191"/>
      <c r="AI364" s="127"/>
      <c r="AJ364" s="191"/>
      <c r="AK364" s="191"/>
      <c r="AL364" s="190"/>
      <c r="AM364" s="191"/>
      <c r="BE364" s="188" t="s">
        <v>3090</v>
      </c>
      <c r="BF364" s="188" t="s">
        <v>4091</v>
      </c>
      <c r="BG364" s="127">
        <v>42872</v>
      </c>
      <c r="BH364" s="188" t="s">
        <v>34</v>
      </c>
      <c r="BI364" s="188" t="s">
        <v>598</v>
      </c>
      <c r="BJ364" s="189">
        <v>8000</v>
      </c>
      <c r="BK364" s="188" t="s">
        <v>493</v>
      </c>
      <c r="BL364" s="188" t="s">
        <v>598</v>
      </c>
      <c r="BM364" s="189">
        <v>0</v>
      </c>
      <c r="BN364" s="188" t="s">
        <v>598</v>
      </c>
      <c r="BO364" s="127">
        <v>42859</v>
      </c>
      <c r="BP364" s="188" t="s">
        <v>58</v>
      </c>
      <c r="BQ364" s="188" t="s">
        <v>70</v>
      </c>
      <c r="BR364" s="188" t="s">
        <v>272</v>
      </c>
      <c r="BS364" s="188" t="s">
        <v>598</v>
      </c>
      <c r="BT364" s="188" t="s">
        <v>42</v>
      </c>
      <c r="BU364" s="188" t="s">
        <v>85</v>
      </c>
      <c r="BV364" s="188" t="s">
        <v>598</v>
      </c>
    </row>
    <row r="365" spans="5:74">
      <c r="E365" s="21"/>
      <c r="Q365" s="191"/>
      <c r="R365" s="191"/>
      <c r="S365" s="191"/>
      <c r="T365" s="127"/>
      <c r="U365" s="127"/>
      <c r="V365" s="191"/>
      <c r="W365" s="190"/>
      <c r="X365" s="191"/>
      <c r="Y365" s="191"/>
      <c r="Z365" s="191"/>
      <c r="AA365" s="191"/>
      <c r="AB365" s="191"/>
      <c r="AC365" s="191"/>
      <c r="AD365" s="191"/>
      <c r="AE365" s="191"/>
      <c r="AF365" s="191"/>
      <c r="AG365" s="191"/>
      <c r="AH365" s="191"/>
      <c r="AI365" s="127"/>
      <c r="AJ365" s="191"/>
      <c r="AK365" s="191"/>
      <c r="AL365" s="190"/>
      <c r="AM365" s="191"/>
      <c r="BE365" s="188" t="s">
        <v>3092</v>
      </c>
      <c r="BF365" s="188" t="s">
        <v>4092</v>
      </c>
      <c r="BG365" s="127">
        <v>42877</v>
      </c>
      <c r="BH365" s="188" t="s">
        <v>10</v>
      </c>
      <c r="BI365" s="188" t="s">
        <v>598</v>
      </c>
      <c r="BJ365" s="189">
        <v>11020</v>
      </c>
      <c r="BK365" s="188" t="s">
        <v>493</v>
      </c>
      <c r="BL365" s="188" t="s">
        <v>598</v>
      </c>
      <c r="BM365" s="189">
        <v>0</v>
      </c>
      <c r="BN365" s="188" t="s">
        <v>598</v>
      </c>
      <c r="BO365" s="127">
        <v>42861</v>
      </c>
      <c r="BP365" s="188" t="s">
        <v>598</v>
      </c>
      <c r="BQ365" s="188" t="s">
        <v>70</v>
      </c>
      <c r="BR365" s="188" t="s">
        <v>272</v>
      </c>
      <c r="BS365" s="188" t="s">
        <v>598</v>
      </c>
      <c r="BT365" s="188" t="s">
        <v>42</v>
      </c>
      <c r="BU365" s="188" t="s">
        <v>98</v>
      </c>
      <c r="BV365" s="188" t="s">
        <v>598</v>
      </c>
    </row>
    <row r="366" spans="5:74">
      <c r="E366" s="21"/>
      <c r="Q366" s="191"/>
      <c r="R366" s="191"/>
      <c r="S366" s="191"/>
      <c r="T366" s="127"/>
      <c r="U366" s="127"/>
      <c r="V366" s="191"/>
      <c r="W366" s="190"/>
      <c r="X366" s="191"/>
      <c r="Y366" s="191"/>
      <c r="Z366" s="191"/>
      <c r="AA366" s="191"/>
      <c r="AB366" s="191"/>
      <c r="AC366" s="191"/>
      <c r="AD366" s="191"/>
      <c r="AE366" s="191"/>
      <c r="AF366" s="191"/>
      <c r="AG366" s="191"/>
      <c r="AH366" s="191"/>
      <c r="AI366" s="127"/>
      <c r="AJ366" s="191"/>
      <c r="AK366" s="191"/>
      <c r="AL366" s="190"/>
      <c r="AM366" s="191"/>
      <c r="BE366" s="188" t="s">
        <v>3094</v>
      </c>
      <c r="BF366" s="188" t="s">
        <v>4093</v>
      </c>
      <c r="BG366" s="127">
        <v>42877</v>
      </c>
      <c r="BH366" s="188" t="s">
        <v>10</v>
      </c>
      <c r="BI366" s="188" t="s">
        <v>598</v>
      </c>
      <c r="BJ366" s="189">
        <v>13500</v>
      </c>
      <c r="BK366" s="188" t="s">
        <v>493</v>
      </c>
      <c r="BL366" s="188" t="s">
        <v>598</v>
      </c>
      <c r="BM366" s="189">
        <v>0</v>
      </c>
      <c r="BN366" s="188" t="s">
        <v>598</v>
      </c>
      <c r="BO366" s="127">
        <v>42829</v>
      </c>
      <c r="BP366" s="188" t="s">
        <v>598</v>
      </c>
      <c r="BQ366" s="188" t="s">
        <v>70</v>
      </c>
      <c r="BR366" s="188" t="s">
        <v>272</v>
      </c>
      <c r="BS366" s="188" t="s">
        <v>598</v>
      </c>
      <c r="BT366" s="188" t="s">
        <v>42</v>
      </c>
      <c r="BU366" s="188" t="s">
        <v>85</v>
      </c>
      <c r="BV366" s="188" t="s">
        <v>598</v>
      </c>
    </row>
    <row r="367" spans="5:74">
      <c r="E367" s="21"/>
      <c r="Q367" s="191"/>
      <c r="R367" s="191"/>
      <c r="S367" s="191"/>
      <c r="T367" s="127"/>
      <c r="U367" s="127"/>
      <c r="V367" s="191"/>
      <c r="W367" s="190"/>
      <c r="X367" s="191"/>
      <c r="Y367" s="191"/>
      <c r="Z367" s="191"/>
      <c r="AA367" s="191"/>
      <c r="AB367" s="191"/>
      <c r="AC367" s="191"/>
      <c r="AD367" s="191"/>
      <c r="AE367" s="191"/>
      <c r="AF367" s="191"/>
      <c r="AG367" s="191"/>
      <c r="AH367" s="191"/>
      <c r="AI367" s="127"/>
      <c r="AJ367" s="191"/>
      <c r="AK367" s="191"/>
      <c r="AL367" s="190"/>
      <c r="AM367" s="191"/>
      <c r="BE367" s="188" t="s">
        <v>3096</v>
      </c>
      <c r="BF367" s="188" t="s">
        <v>4094</v>
      </c>
      <c r="BG367" s="127">
        <v>42886</v>
      </c>
      <c r="BH367" s="188" t="s">
        <v>10</v>
      </c>
      <c r="BI367" s="188" t="s">
        <v>598</v>
      </c>
      <c r="BJ367" s="189">
        <v>4500</v>
      </c>
      <c r="BK367" s="188" t="s">
        <v>493</v>
      </c>
      <c r="BL367" s="188" t="s">
        <v>598</v>
      </c>
      <c r="BM367" s="189">
        <v>0</v>
      </c>
      <c r="BN367" s="188" t="s">
        <v>598</v>
      </c>
      <c r="BO367" s="127">
        <v>42831</v>
      </c>
      <c r="BP367" s="188" t="s">
        <v>134</v>
      </c>
      <c r="BQ367" s="188" t="s">
        <v>70</v>
      </c>
      <c r="BR367" s="188" t="s">
        <v>313</v>
      </c>
      <c r="BS367" s="188" t="s">
        <v>598</v>
      </c>
      <c r="BT367" s="188" t="s">
        <v>42</v>
      </c>
      <c r="BU367" s="188" t="s">
        <v>73</v>
      </c>
      <c r="BV367" s="188" t="s">
        <v>598</v>
      </c>
    </row>
    <row r="368" spans="5:74">
      <c r="E368" s="21"/>
      <c r="Q368" s="191"/>
      <c r="R368" s="191"/>
      <c r="S368" s="191"/>
      <c r="T368" s="127"/>
      <c r="U368" s="127"/>
      <c r="V368" s="191"/>
      <c r="W368" s="190"/>
      <c r="X368" s="191"/>
      <c r="Y368" s="191"/>
      <c r="Z368" s="191"/>
      <c r="AA368" s="191"/>
      <c r="AB368" s="191"/>
      <c r="AC368" s="191"/>
      <c r="AD368" s="191"/>
      <c r="AE368" s="191"/>
      <c r="AF368" s="191"/>
      <c r="AG368" s="191"/>
      <c r="AH368" s="191"/>
      <c r="AI368" s="127"/>
      <c r="AJ368" s="191"/>
      <c r="AK368" s="191"/>
      <c r="AL368" s="190"/>
      <c r="AM368" s="191"/>
      <c r="BE368" s="188" t="s">
        <v>3098</v>
      </c>
      <c r="BF368" s="188" t="s">
        <v>4095</v>
      </c>
      <c r="BG368" s="127">
        <v>42870</v>
      </c>
      <c r="BH368" s="188" t="s">
        <v>10</v>
      </c>
      <c r="BI368" s="188" t="s">
        <v>598</v>
      </c>
      <c r="BJ368" s="189">
        <v>4500</v>
      </c>
      <c r="BK368" s="188" t="s">
        <v>493</v>
      </c>
      <c r="BL368" s="188" t="s">
        <v>598</v>
      </c>
      <c r="BM368" s="189">
        <v>0</v>
      </c>
      <c r="BN368" s="188" t="s">
        <v>598</v>
      </c>
      <c r="BO368" s="127">
        <v>42831</v>
      </c>
      <c r="BP368" s="188" t="s">
        <v>134</v>
      </c>
      <c r="BQ368" s="188" t="s">
        <v>70</v>
      </c>
      <c r="BR368" s="188" t="s">
        <v>313</v>
      </c>
      <c r="BS368" s="188" t="s">
        <v>598</v>
      </c>
      <c r="BT368" s="188" t="s">
        <v>42</v>
      </c>
      <c r="BU368" s="188" t="s">
        <v>73</v>
      </c>
      <c r="BV368" s="188" t="s">
        <v>598</v>
      </c>
    </row>
    <row r="369" spans="5:74">
      <c r="E369" s="21"/>
      <c r="Q369" s="191"/>
      <c r="R369" s="191"/>
      <c r="S369" s="191"/>
      <c r="T369" s="127"/>
      <c r="U369" s="127"/>
      <c r="V369" s="191"/>
      <c r="W369" s="190"/>
      <c r="X369" s="191"/>
      <c r="Y369" s="191"/>
      <c r="Z369" s="191"/>
      <c r="AA369" s="191"/>
      <c r="AB369" s="191"/>
      <c r="AC369" s="191"/>
      <c r="AD369" s="191"/>
      <c r="AE369" s="191"/>
      <c r="AF369" s="191"/>
      <c r="AG369" s="191"/>
      <c r="AH369" s="191"/>
      <c r="AI369" s="127"/>
      <c r="AJ369" s="191"/>
      <c r="AK369" s="191"/>
      <c r="AL369" s="190"/>
      <c r="AM369" s="191"/>
      <c r="BE369" s="188" t="s">
        <v>3100</v>
      </c>
      <c r="BF369" s="188" t="s">
        <v>4096</v>
      </c>
      <c r="BG369" s="127">
        <v>42870</v>
      </c>
      <c r="BH369" s="188" t="s">
        <v>10</v>
      </c>
      <c r="BI369" s="188" t="s">
        <v>598</v>
      </c>
      <c r="BJ369" s="189">
        <v>4500</v>
      </c>
      <c r="BK369" s="188" t="s">
        <v>493</v>
      </c>
      <c r="BL369" s="188" t="s">
        <v>598</v>
      </c>
      <c r="BM369" s="189">
        <v>0</v>
      </c>
      <c r="BN369" s="188" t="s">
        <v>598</v>
      </c>
      <c r="BO369" s="127">
        <v>42832</v>
      </c>
      <c r="BP369" s="188" t="s">
        <v>134</v>
      </c>
      <c r="BQ369" s="188" t="s">
        <v>70</v>
      </c>
      <c r="BR369" s="188" t="s">
        <v>313</v>
      </c>
      <c r="BS369" s="188" t="s">
        <v>598</v>
      </c>
      <c r="BT369" s="188" t="s">
        <v>42</v>
      </c>
      <c r="BU369" s="188" t="s">
        <v>73</v>
      </c>
      <c r="BV369" s="188" t="s">
        <v>598</v>
      </c>
    </row>
    <row r="370" spans="5:74">
      <c r="E370" s="21"/>
      <c r="Q370" s="191"/>
      <c r="R370" s="191"/>
      <c r="S370" s="191"/>
      <c r="T370" s="127"/>
      <c r="U370" s="127"/>
      <c r="V370" s="191"/>
      <c r="W370" s="190"/>
      <c r="X370" s="191"/>
      <c r="Y370" s="191"/>
      <c r="Z370" s="191"/>
      <c r="AA370" s="191"/>
      <c r="AB370" s="191"/>
      <c r="AC370" s="191"/>
      <c r="AD370" s="191"/>
      <c r="AE370" s="191"/>
      <c r="AF370" s="191"/>
      <c r="AG370" s="191"/>
      <c r="AH370" s="191"/>
      <c r="AI370" s="127"/>
      <c r="AJ370" s="191"/>
      <c r="AK370" s="191"/>
      <c r="AL370" s="190"/>
      <c r="AM370" s="191"/>
      <c r="BE370" s="188" t="s">
        <v>3102</v>
      </c>
      <c r="BF370" s="188" t="s">
        <v>4097</v>
      </c>
      <c r="BG370" s="127">
        <v>42877</v>
      </c>
      <c r="BH370" s="188" t="s">
        <v>10</v>
      </c>
      <c r="BI370" s="188" t="s">
        <v>598</v>
      </c>
      <c r="BJ370" s="189">
        <v>15300</v>
      </c>
      <c r="BK370" s="188" t="s">
        <v>493</v>
      </c>
      <c r="BL370" s="188" t="s">
        <v>598</v>
      </c>
      <c r="BM370" s="189">
        <v>0</v>
      </c>
      <c r="BN370" s="188" t="s">
        <v>598</v>
      </c>
      <c r="BO370" s="127">
        <v>42840</v>
      </c>
      <c r="BP370" s="188" t="s">
        <v>58</v>
      </c>
      <c r="BQ370" s="188" t="s">
        <v>70</v>
      </c>
      <c r="BR370" s="188" t="s">
        <v>272</v>
      </c>
      <c r="BS370" s="188" t="s">
        <v>598</v>
      </c>
      <c r="BT370" s="188" t="s">
        <v>42</v>
      </c>
      <c r="BU370" s="188" t="s">
        <v>73</v>
      </c>
      <c r="BV370" s="188" t="s">
        <v>598</v>
      </c>
    </row>
    <row r="371" spans="5:74">
      <c r="E371" s="21"/>
      <c r="Q371" s="191"/>
      <c r="R371" s="191"/>
      <c r="S371" s="191"/>
      <c r="T371" s="127"/>
      <c r="U371" s="127"/>
      <c r="V371" s="191"/>
      <c r="W371" s="190"/>
      <c r="X371" s="191"/>
      <c r="Y371" s="191"/>
      <c r="Z371" s="191"/>
      <c r="AA371" s="191"/>
      <c r="AB371" s="191"/>
      <c r="AC371" s="191"/>
      <c r="AD371" s="191"/>
      <c r="AE371" s="191"/>
      <c r="AF371" s="191"/>
      <c r="AG371" s="191"/>
      <c r="AH371" s="191"/>
      <c r="AI371" s="127"/>
      <c r="AJ371" s="191"/>
      <c r="AK371" s="191"/>
      <c r="AL371" s="190"/>
      <c r="AM371" s="191"/>
      <c r="BE371" s="188" t="s">
        <v>3104</v>
      </c>
      <c r="BF371" s="188" t="s">
        <v>4098</v>
      </c>
      <c r="BG371" s="127">
        <v>42858</v>
      </c>
      <c r="BH371" s="188" t="s">
        <v>34</v>
      </c>
      <c r="BI371" s="188" t="s">
        <v>598</v>
      </c>
      <c r="BJ371" s="189">
        <v>5000</v>
      </c>
      <c r="BK371" s="188" t="s">
        <v>493</v>
      </c>
      <c r="BL371" s="188" t="s">
        <v>598</v>
      </c>
      <c r="BM371" s="189">
        <v>0</v>
      </c>
      <c r="BN371" s="188" t="s">
        <v>598</v>
      </c>
      <c r="BO371" s="127">
        <v>42852</v>
      </c>
      <c r="BP371" s="188" t="s">
        <v>58</v>
      </c>
      <c r="BQ371" s="188" t="s">
        <v>70</v>
      </c>
      <c r="BR371" s="188" t="s">
        <v>272</v>
      </c>
      <c r="BS371" s="188" t="s">
        <v>598</v>
      </c>
      <c r="BT371" s="188" t="s">
        <v>42</v>
      </c>
      <c r="BU371" s="188" t="s">
        <v>85</v>
      </c>
      <c r="BV371" s="188" t="s">
        <v>598</v>
      </c>
    </row>
    <row r="372" spans="5:74">
      <c r="E372" s="21"/>
      <c r="Q372" s="191"/>
      <c r="R372" s="191"/>
      <c r="S372" s="191"/>
      <c r="T372" s="127"/>
      <c r="U372" s="127"/>
      <c r="V372" s="191"/>
      <c r="W372" s="190"/>
      <c r="X372" s="191"/>
      <c r="Y372" s="191"/>
      <c r="Z372" s="191"/>
      <c r="AA372" s="191"/>
      <c r="AB372" s="191"/>
      <c r="AC372" s="191"/>
      <c r="AD372" s="191"/>
      <c r="AE372" s="191"/>
      <c r="AF372" s="191"/>
      <c r="AG372" s="191"/>
      <c r="AH372" s="191"/>
      <c r="AI372" s="127"/>
      <c r="AJ372" s="191"/>
      <c r="AK372" s="191"/>
      <c r="AL372" s="190"/>
      <c r="AM372" s="191"/>
      <c r="BE372" s="188" t="s">
        <v>3106</v>
      </c>
      <c r="BF372" s="188" t="s">
        <v>4099</v>
      </c>
      <c r="BG372" s="127">
        <v>42868</v>
      </c>
      <c r="BH372" s="188" t="s">
        <v>34</v>
      </c>
      <c r="BI372" s="188" t="s">
        <v>598</v>
      </c>
      <c r="BJ372" s="189">
        <v>2500</v>
      </c>
      <c r="BK372" s="188" t="s">
        <v>493</v>
      </c>
      <c r="BL372" s="188" t="s">
        <v>598</v>
      </c>
      <c r="BM372" s="189">
        <v>0</v>
      </c>
      <c r="BN372" s="188" t="s">
        <v>598</v>
      </c>
      <c r="BO372" s="127">
        <v>42864</v>
      </c>
      <c r="BP372" s="188" t="s">
        <v>132</v>
      </c>
      <c r="BQ372" s="188" t="s">
        <v>77</v>
      </c>
      <c r="BR372" s="188" t="s">
        <v>183</v>
      </c>
      <c r="BS372" s="188" t="s">
        <v>598</v>
      </c>
      <c r="BT372" s="188" t="s">
        <v>42</v>
      </c>
      <c r="BU372" s="188" t="s">
        <v>98</v>
      </c>
      <c r="BV372" s="188" t="s">
        <v>598</v>
      </c>
    </row>
    <row r="373" spans="5:74">
      <c r="E373" s="21"/>
      <c r="Q373" s="191"/>
      <c r="R373" s="191"/>
      <c r="S373" s="191"/>
      <c r="T373" s="127"/>
      <c r="U373" s="127"/>
      <c r="V373" s="191"/>
      <c r="W373" s="190"/>
      <c r="X373" s="191"/>
      <c r="Y373" s="191"/>
      <c r="Z373" s="191"/>
      <c r="AA373" s="191"/>
      <c r="AB373" s="191"/>
      <c r="AC373" s="191"/>
      <c r="AD373" s="191"/>
      <c r="AE373" s="191"/>
      <c r="AF373" s="191"/>
      <c r="AG373" s="191"/>
      <c r="AH373" s="191"/>
      <c r="AI373" s="127"/>
      <c r="AJ373" s="191"/>
      <c r="AK373" s="191"/>
      <c r="AL373" s="190"/>
      <c r="AM373" s="191"/>
      <c r="BE373" s="188" t="s">
        <v>3108</v>
      </c>
      <c r="BF373" s="188" t="s">
        <v>4100</v>
      </c>
      <c r="BG373" s="127">
        <v>42880</v>
      </c>
      <c r="BH373" s="188" t="s">
        <v>10</v>
      </c>
      <c r="BI373" s="188" t="s">
        <v>598</v>
      </c>
      <c r="BJ373" s="189">
        <v>3125</v>
      </c>
      <c r="BK373" s="188" t="s">
        <v>493</v>
      </c>
      <c r="BL373" s="188" t="s">
        <v>598</v>
      </c>
      <c r="BM373" s="189">
        <v>0</v>
      </c>
      <c r="BN373" s="188" t="s">
        <v>598</v>
      </c>
      <c r="BO373" s="127">
        <v>42868</v>
      </c>
      <c r="BP373" s="188" t="s">
        <v>598</v>
      </c>
      <c r="BQ373" s="188" t="s">
        <v>77</v>
      </c>
      <c r="BR373" s="188" t="s">
        <v>598</v>
      </c>
      <c r="BS373" s="188" t="s">
        <v>598</v>
      </c>
      <c r="BT373" s="188" t="s">
        <v>42</v>
      </c>
      <c r="BU373" s="188" t="s">
        <v>98</v>
      </c>
      <c r="BV373" s="188" t="s">
        <v>598</v>
      </c>
    </row>
    <row r="374" spans="5:74">
      <c r="E374" s="21"/>
      <c r="Q374" s="191"/>
      <c r="R374" s="191"/>
      <c r="S374" s="191"/>
      <c r="T374" s="127"/>
      <c r="U374" s="127"/>
      <c r="V374" s="191"/>
      <c r="W374" s="190"/>
      <c r="X374" s="191"/>
      <c r="Y374" s="191"/>
      <c r="Z374" s="191"/>
      <c r="AA374" s="191"/>
      <c r="AB374" s="191"/>
      <c r="AC374" s="191"/>
      <c r="AD374" s="191"/>
      <c r="AE374" s="191"/>
      <c r="AF374" s="191"/>
      <c r="AG374" s="191"/>
      <c r="AH374" s="191"/>
      <c r="AI374" s="127"/>
      <c r="AJ374" s="191"/>
      <c r="AK374" s="191"/>
      <c r="AL374" s="190"/>
      <c r="AM374" s="191"/>
      <c r="BE374" s="188" t="s">
        <v>3110</v>
      </c>
      <c r="BF374" s="188" t="s">
        <v>4101</v>
      </c>
      <c r="BG374" s="127">
        <v>42872</v>
      </c>
      <c r="BH374" s="188" t="s">
        <v>34</v>
      </c>
      <c r="BI374" s="188" t="s">
        <v>598</v>
      </c>
      <c r="BJ374" s="189">
        <v>3000</v>
      </c>
      <c r="BK374" s="188" t="s">
        <v>493</v>
      </c>
      <c r="BL374" s="188" t="s">
        <v>598</v>
      </c>
      <c r="BM374" s="189">
        <v>0</v>
      </c>
      <c r="BN374" s="188" t="s">
        <v>598</v>
      </c>
      <c r="BO374" s="127">
        <v>42871</v>
      </c>
      <c r="BP374" s="188" t="s">
        <v>134</v>
      </c>
      <c r="BQ374" s="188" t="s">
        <v>77</v>
      </c>
      <c r="BR374" s="188" t="s">
        <v>183</v>
      </c>
      <c r="BS374" s="188" t="s">
        <v>598</v>
      </c>
      <c r="BT374" s="188" t="s">
        <v>42</v>
      </c>
      <c r="BU374" s="188" t="s">
        <v>85</v>
      </c>
      <c r="BV374" s="188" t="s">
        <v>598</v>
      </c>
    </row>
    <row r="375" spans="5:74">
      <c r="E375" s="21"/>
      <c r="Q375" s="191"/>
      <c r="R375" s="191"/>
      <c r="S375" s="191"/>
      <c r="T375" s="127"/>
      <c r="U375" s="127"/>
      <c r="V375" s="191"/>
      <c r="W375" s="190"/>
      <c r="X375" s="191"/>
      <c r="Y375" s="191"/>
      <c r="Z375" s="191"/>
      <c r="AA375" s="191"/>
      <c r="AB375" s="191"/>
      <c r="AC375" s="191"/>
      <c r="AD375" s="191"/>
      <c r="AE375" s="191"/>
      <c r="AF375" s="191"/>
      <c r="AG375" s="191"/>
      <c r="AH375" s="191"/>
      <c r="AI375" s="127"/>
      <c r="AJ375" s="191"/>
      <c r="AK375" s="191"/>
      <c r="AL375" s="190"/>
      <c r="AM375" s="191"/>
      <c r="BE375" s="188" t="s">
        <v>3112</v>
      </c>
      <c r="BF375" s="188" t="s">
        <v>4102</v>
      </c>
      <c r="BG375" s="127">
        <v>42874</v>
      </c>
      <c r="BH375" s="188" t="s">
        <v>10</v>
      </c>
      <c r="BI375" s="188" t="s">
        <v>598</v>
      </c>
      <c r="BJ375" s="189">
        <v>1000</v>
      </c>
      <c r="BK375" s="188" t="s">
        <v>493</v>
      </c>
      <c r="BL375" s="188" t="s">
        <v>598</v>
      </c>
      <c r="BM375" s="189">
        <v>0</v>
      </c>
      <c r="BN375" s="188" t="s">
        <v>598</v>
      </c>
      <c r="BO375" s="127">
        <v>42874</v>
      </c>
      <c r="BP375" s="188" t="s">
        <v>126</v>
      </c>
      <c r="BQ375" s="188" t="s">
        <v>77</v>
      </c>
      <c r="BR375" s="188" t="s">
        <v>3114</v>
      </c>
      <c r="BS375" s="188" t="s">
        <v>598</v>
      </c>
      <c r="BT375" s="188" t="s">
        <v>42</v>
      </c>
      <c r="BU375" s="188" t="s">
        <v>598</v>
      </c>
      <c r="BV375" s="188" t="s">
        <v>598</v>
      </c>
    </row>
    <row r="376" spans="5:74">
      <c r="E376" s="21"/>
      <c r="Q376" s="191"/>
      <c r="R376" s="191"/>
      <c r="S376" s="191"/>
      <c r="T376" s="127"/>
      <c r="U376" s="127"/>
      <c r="V376" s="191"/>
      <c r="W376" s="190"/>
      <c r="X376" s="191"/>
      <c r="Y376" s="191"/>
      <c r="Z376" s="191"/>
      <c r="AA376" s="191"/>
      <c r="AB376" s="191"/>
      <c r="AC376" s="191"/>
      <c r="AD376" s="191"/>
      <c r="AE376" s="191"/>
      <c r="AF376" s="191"/>
      <c r="AG376" s="191"/>
      <c r="AH376" s="191"/>
      <c r="AI376" s="127"/>
      <c r="AJ376" s="191"/>
      <c r="AK376" s="191"/>
      <c r="AL376" s="190"/>
      <c r="AM376" s="191"/>
      <c r="BE376" s="188" t="s">
        <v>3115</v>
      </c>
      <c r="BF376" s="188" t="s">
        <v>4103</v>
      </c>
      <c r="BG376" s="127">
        <v>42877</v>
      </c>
      <c r="BH376" s="188" t="s">
        <v>10</v>
      </c>
      <c r="BI376" s="188" t="s">
        <v>598</v>
      </c>
      <c r="BJ376" s="189">
        <v>3200</v>
      </c>
      <c r="BK376" s="188" t="s">
        <v>493</v>
      </c>
      <c r="BL376" s="188" t="s">
        <v>598</v>
      </c>
      <c r="BM376" s="189">
        <v>0</v>
      </c>
      <c r="BN376" s="188" t="s">
        <v>598</v>
      </c>
      <c r="BO376" s="127">
        <v>42875</v>
      </c>
      <c r="BP376" s="188" t="s">
        <v>118</v>
      </c>
      <c r="BQ376" s="188" t="s">
        <v>77</v>
      </c>
      <c r="BR376" s="188" t="s">
        <v>337</v>
      </c>
      <c r="BS376" s="188" t="s">
        <v>598</v>
      </c>
      <c r="BT376" s="188" t="s">
        <v>42</v>
      </c>
      <c r="BU376" s="188" t="s">
        <v>85</v>
      </c>
      <c r="BV376" s="188" t="s">
        <v>598</v>
      </c>
    </row>
    <row r="377" spans="5:74">
      <c r="E377" s="21"/>
      <c r="Q377" s="191"/>
      <c r="R377" s="191"/>
      <c r="S377" s="191"/>
      <c r="T377" s="127"/>
      <c r="U377" s="127"/>
      <c r="V377" s="191"/>
      <c r="W377" s="190"/>
      <c r="X377" s="191"/>
      <c r="Y377" s="191"/>
      <c r="Z377" s="191"/>
      <c r="AA377" s="191"/>
      <c r="AB377" s="191"/>
      <c r="AC377" s="191"/>
      <c r="AD377" s="191"/>
      <c r="AE377" s="191"/>
      <c r="AF377" s="191"/>
      <c r="AG377" s="191"/>
      <c r="AH377" s="191"/>
      <c r="AI377" s="127"/>
      <c r="AJ377" s="191"/>
      <c r="AK377" s="191"/>
      <c r="AL377" s="190"/>
      <c r="AM377" s="191"/>
      <c r="BE377" s="188" t="s">
        <v>3117</v>
      </c>
      <c r="BF377" s="188" t="s">
        <v>4104</v>
      </c>
      <c r="BG377" s="127">
        <v>42877</v>
      </c>
      <c r="BH377" s="188" t="s">
        <v>10</v>
      </c>
      <c r="BI377" s="188" t="s">
        <v>598</v>
      </c>
      <c r="BJ377" s="189">
        <v>4625</v>
      </c>
      <c r="BK377" s="188" t="s">
        <v>493</v>
      </c>
      <c r="BL377" s="188" t="s">
        <v>598</v>
      </c>
      <c r="BM377" s="189">
        <v>0</v>
      </c>
      <c r="BN377" s="188" t="s">
        <v>598</v>
      </c>
      <c r="BO377" s="127">
        <v>42877</v>
      </c>
      <c r="BP377" s="188" t="s">
        <v>118</v>
      </c>
      <c r="BQ377" s="188" t="s">
        <v>77</v>
      </c>
      <c r="BR377" s="188" t="s">
        <v>201</v>
      </c>
      <c r="BS377" s="188" t="s">
        <v>598</v>
      </c>
      <c r="BT377" s="188" t="s">
        <v>42</v>
      </c>
      <c r="BU377" s="188" t="s">
        <v>98</v>
      </c>
      <c r="BV377" s="188" t="s">
        <v>598</v>
      </c>
    </row>
    <row r="378" spans="5:74">
      <c r="E378" s="21"/>
      <c r="Q378" s="191"/>
      <c r="R378" s="191"/>
      <c r="S378" s="191"/>
      <c r="T378" s="127"/>
      <c r="U378" s="127"/>
      <c r="V378" s="191"/>
      <c r="W378" s="190"/>
      <c r="X378" s="191"/>
      <c r="Y378" s="191"/>
      <c r="Z378" s="191"/>
      <c r="AA378" s="191"/>
      <c r="AB378" s="191"/>
      <c r="AC378" s="191"/>
      <c r="AD378" s="191"/>
      <c r="AE378" s="191"/>
      <c r="AF378" s="191"/>
      <c r="AG378" s="191"/>
      <c r="AH378" s="191"/>
      <c r="AI378" s="127"/>
      <c r="AJ378" s="191"/>
      <c r="AK378" s="191"/>
      <c r="AL378" s="190"/>
      <c r="AM378" s="191"/>
      <c r="BE378" s="188" t="s">
        <v>3119</v>
      </c>
      <c r="BF378" s="188" t="s">
        <v>4105</v>
      </c>
      <c r="BG378" s="127">
        <v>42885</v>
      </c>
      <c r="BH378" s="188" t="s">
        <v>494</v>
      </c>
      <c r="BI378" s="188" t="s">
        <v>598</v>
      </c>
      <c r="BJ378" s="189">
        <v>4500</v>
      </c>
      <c r="BK378" s="188" t="s">
        <v>493</v>
      </c>
      <c r="BL378" s="188" t="s">
        <v>598</v>
      </c>
      <c r="BM378" s="189">
        <v>0</v>
      </c>
      <c r="BN378" s="188" t="s">
        <v>598</v>
      </c>
      <c r="BO378" s="127">
        <v>42880</v>
      </c>
      <c r="BP378" s="188" t="s">
        <v>134</v>
      </c>
      <c r="BQ378" s="188" t="s">
        <v>77</v>
      </c>
      <c r="BR378" s="188" t="s">
        <v>183</v>
      </c>
      <c r="BS378" s="188" t="s">
        <v>598</v>
      </c>
      <c r="BT378" s="188" t="s">
        <v>42</v>
      </c>
      <c r="BU378" s="188" t="s">
        <v>98</v>
      </c>
      <c r="BV378" s="188" t="s">
        <v>598</v>
      </c>
    </row>
    <row r="379" spans="5:74">
      <c r="E379" s="21"/>
      <c r="Q379" s="191"/>
      <c r="R379" s="191"/>
      <c r="S379" s="191"/>
      <c r="T379" s="127"/>
      <c r="U379" s="127"/>
      <c r="V379" s="191"/>
      <c r="W379" s="190"/>
      <c r="X379" s="191"/>
      <c r="Y379" s="191"/>
      <c r="Z379" s="191"/>
      <c r="AA379" s="191"/>
      <c r="AB379" s="191"/>
      <c r="AC379" s="191"/>
      <c r="AD379" s="191"/>
      <c r="AE379" s="191"/>
      <c r="AF379" s="191"/>
      <c r="AG379" s="191"/>
      <c r="AH379" s="191"/>
      <c r="AI379" s="127"/>
      <c r="AJ379" s="191"/>
      <c r="AK379" s="191"/>
      <c r="AL379" s="190"/>
      <c r="AM379" s="191"/>
      <c r="BE379" s="188" t="s">
        <v>3121</v>
      </c>
      <c r="BF379" s="188" t="s">
        <v>4106</v>
      </c>
      <c r="BG379" s="127">
        <v>42882</v>
      </c>
      <c r="BH379" s="188" t="s">
        <v>10</v>
      </c>
      <c r="BI379" s="188" t="s">
        <v>598</v>
      </c>
      <c r="BJ379" s="189">
        <v>3000</v>
      </c>
      <c r="BK379" s="188" t="s">
        <v>493</v>
      </c>
      <c r="BL379" s="188" t="s">
        <v>598</v>
      </c>
      <c r="BM379" s="189">
        <v>0</v>
      </c>
      <c r="BN379" s="188" t="s">
        <v>598</v>
      </c>
      <c r="BO379" s="127">
        <v>42880</v>
      </c>
      <c r="BP379" s="188" t="s">
        <v>598</v>
      </c>
      <c r="BQ379" s="188" t="s">
        <v>77</v>
      </c>
      <c r="BR379" s="188" t="s">
        <v>183</v>
      </c>
      <c r="BS379" s="188" t="s">
        <v>598</v>
      </c>
      <c r="BT379" s="188" t="s">
        <v>42</v>
      </c>
      <c r="BU379" s="188" t="s">
        <v>85</v>
      </c>
      <c r="BV379" s="188" t="s">
        <v>598</v>
      </c>
    </row>
    <row r="380" spans="5:74">
      <c r="E380" s="21"/>
      <c r="Q380" s="191"/>
      <c r="R380" s="191"/>
      <c r="S380" s="191"/>
      <c r="T380" s="127"/>
      <c r="U380" s="127"/>
      <c r="V380" s="191"/>
      <c r="W380" s="190"/>
      <c r="X380" s="191"/>
      <c r="Y380" s="191"/>
      <c r="Z380" s="191"/>
      <c r="AA380" s="191"/>
      <c r="AB380" s="191"/>
      <c r="AC380" s="191"/>
      <c r="AD380" s="191"/>
      <c r="AE380" s="191"/>
      <c r="AF380" s="191"/>
      <c r="AG380" s="191"/>
      <c r="AH380" s="191"/>
      <c r="AI380" s="127"/>
      <c r="AJ380" s="191"/>
      <c r="AK380" s="191"/>
      <c r="AL380" s="190"/>
      <c r="AM380" s="191"/>
      <c r="BE380" s="188" t="s">
        <v>3123</v>
      </c>
      <c r="BF380" s="188" t="s">
        <v>4107</v>
      </c>
      <c r="BG380" s="127">
        <v>42882</v>
      </c>
      <c r="BH380" s="188" t="s">
        <v>10</v>
      </c>
      <c r="BI380" s="188" t="s">
        <v>598</v>
      </c>
      <c r="BJ380" s="189">
        <v>6500</v>
      </c>
      <c r="BK380" s="188" t="s">
        <v>493</v>
      </c>
      <c r="BL380" s="188" t="s">
        <v>598</v>
      </c>
      <c r="BM380" s="189">
        <v>0</v>
      </c>
      <c r="BN380" s="188" t="s">
        <v>598</v>
      </c>
      <c r="BO380" s="127">
        <v>42882</v>
      </c>
      <c r="BP380" s="188" t="s">
        <v>118</v>
      </c>
      <c r="BQ380" s="188" t="s">
        <v>77</v>
      </c>
      <c r="BR380" s="188" t="s">
        <v>443</v>
      </c>
      <c r="BS380" s="188" t="s">
        <v>598</v>
      </c>
      <c r="BT380" s="188" t="s">
        <v>42</v>
      </c>
      <c r="BU380" s="188" t="s">
        <v>598</v>
      </c>
      <c r="BV380" s="188" t="s">
        <v>598</v>
      </c>
    </row>
    <row r="381" spans="5:74">
      <c r="E381" s="21"/>
      <c r="Q381" s="191"/>
      <c r="R381" s="191"/>
      <c r="S381" s="191"/>
      <c r="T381" s="127"/>
      <c r="U381" s="127"/>
      <c r="V381" s="191"/>
      <c r="W381" s="190"/>
      <c r="X381" s="191"/>
      <c r="Y381" s="191"/>
      <c r="Z381" s="191"/>
      <c r="AA381" s="191"/>
      <c r="AB381" s="191"/>
      <c r="AC381" s="191"/>
      <c r="AD381" s="191"/>
      <c r="AE381" s="191"/>
      <c r="AF381" s="191"/>
      <c r="AG381" s="191"/>
      <c r="AH381" s="191"/>
      <c r="AI381" s="127"/>
      <c r="AJ381" s="191"/>
      <c r="AK381" s="191"/>
      <c r="AL381" s="190"/>
      <c r="AM381" s="191"/>
      <c r="BE381" s="188" t="s">
        <v>3125</v>
      </c>
      <c r="BF381" s="188" t="s">
        <v>4108</v>
      </c>
      <c r="BG381" s="127">
        <v>42884</v>
      </c>
      <c r="BH381" s="188" t="s">
        <v>10</v>
      </c>
      <c r="BI381" s="188" t="s">
        <v>598</v>
      </c>
      <c r="BJ381" s="189">
        <v>3000</v>
      </c>
      <c r="BK381" s="188" t="s">
        <v>493</v>
      </c>
      <c r="BL381" s="188" t="s">
        <v>598</v>
      </c>
      <c r="BM381" s="189">
        <v>0</v>
      </c>
      <c r="BN381" s="188" t="s">
        <v>598</v>
      </c>
      <c r="BO381" s="127">
        <v>42573</v>
      </c>
      <c r="BP381" s="188" t="s">
        <v>598</v>
      </c>
      <c r="BQ381" s="188" t="s">
        <v>77</v>
      </c>
      <c r="BR381" s="188" t="s">
        <v>407</v>
      </c>
      <c r="BS381" s="188" t="s">
        <v>598</v>
      </c>
      <c r="BT381" s="188" t="s">
        <v>42</v>
      </c>
      <c r="BU381" s="188" t="s">
        <v>85</v>
      </c>
      <c r="BV381" s="188" t="s">
        <v>598</v>
      </c>
    </row>
    <row r="382" spans="5:74">
      <c r="E382" s="21"/>
      <c r="Q382" s="191"/>
      <c r="R382" s="191"/>
      <c r="S382" s="191"/>
      <c r="T382" s="127"/>
      <c r="U382" s="127"/>
      <c r="V382" s="191"/>
      <c r="W382" s="190"/>
      <c r="X382" s="191"/>
      <c r="Y382" s="191"/>
      <c r="Z382" s="191"/>
      <c r="AA382" s="191"/>
      <c r="AB382" s="191"/>
      <c r="AC382" s="191"/>
      <c r="AD382" s="191"/>
      <c r="AE382" s="191"/>
      <c r="AF382" s="191"/>
      <c r="AG382" s="191"/>
      <c r="AH382" s="191"/>
      <c r="AI382" s="127"/>
      <c r="AJ382" s="191"/>
      <c r="AK382" s="191"/>
      <c r="AL382" s="190"/>
      <c r="AM382" s="191"/>
      <c r="BE382" s="188" t="s">
        <v>3127</v>
      </c>
      <c r="BF382" s="188" t="s">
        <v>4109</v>
      </c>
      <c r="BG382" s="127">
        <v>42885</v>
      </c>
      <c r="BH382" s="188" t="s">
        <v>10</v>
      </c>
      <c r="BI382" s="188" t="s">
        <v>598</v>
      </c>
      <c r="BJ382" s="189">
        <v>6000</v>
      </c>
      <c r="BK382" s="188" t="s">
        <v>493</v>
      </c>
      <c r="BL382" s="188" t="s">
        <v>598</v>
      </c>
      <c r="BM382" s="189">
        <v>0</v>
      </c>
      <c r="BN382" s="188" t="s">
        <v>598</v>
      </c>
      <c r="BO382" s="127">
        <v>42747</v>
      </c>
      <c r="BP382" s="188" t="s">
        <v>135</v>
      </c>
      <c r="BQ382" s="188" t="s">
        <v>77</v>
      </c>
      <c r="BR382" s="188" t="s">
        <v>250</v>
      </c>
      <c r="BS382" s="188" t="s">
        <v>598</v>
      </c>
      <c r="BT382" s="188" t="s">
        <v>42</v>
      </c>
      <c r="BU382" s="188" t="s">
        <v>85</v>
      </c>
      <c r="BV382" s="188" t="s">
        <v>598</v>
      </c>
    </row>
    <row r="383" spans="5:74">
      <c r="E383" s="21"/>
      <c r="Q383" s="191"/>
      <c r="R383" s="191"/>
      <c r="S383" s="191"/>
      <c r="T383" s="127"/>
      <c r="U383" s="127"/>
      <c r="V383" s="191"/>
      <c r="W383" s="190"/>
      <c r="X383" s="191"/>
      <c r="Y383" s="191"/>
      <c r="Z383" s="191"/>
      <c r="AA383" s="191"/>
      <c r="AB383" s="191"/>
      <c r="AC383" s="191"/>
      <c r="AD383" s="191"/>
      <c r="AE383" s="191"/>
      <c r="AF383" s="191"/>
      <c r="AG383" s="191"/>
      <c r="AH383" s="191"/>
      <c r="AI383" s="127"/>
      <c r="AJ383" s="191"/>
      <c r="AK383" s="191"/>
      <c r="AL383" s="190"/>
      <c r="AM383" s="191"/>
      <c r="BE383" s="188" t="s">
        <v>3129</v>
      </c>
      <c r="BF383" s="188" t="s">
        <v>4110</v>
      </c>
      <c r="BG383" s="127">
        <v>42880</v>
      </c>
      <c r="BH383" s="188" t="s">
        <v>10</v>
      </c>
      <c r="BI383" s="188" t="s">
        <v>598</v>
      </c>
      <c r="BJ383" s="189">
        <v>5000</v>
      </c>
      <c r="BK383" s="188" t="s">
        <v>493</v>
      </c>
      <c r="BL383" s="188" t="s">
        <v>598</v>
      </c>
      <c r="BM383" s="189">
        <v>0</v>
      </c>
      <c r="BN383" s="188" t="s">
        <v>598</v>
      </c>
      <c r="BO383" s="127">
        <v>42765</v>
      </c>
      <c r="BP383" s="188" t="s">
        <v>598</v>
      </c>
      <c r="BQ383" s="188" t="s">
        <v>77</v>
      </c>
      <c r="BR383" s="188" t="s">
        <v>3131</v>
      </c>
      <c r="BS383" s="188" t="s">
        <v>598</v>
      </c>
      <c r="BT383" s="188" t="s">
        <v>42</v>
      </c>
      <c r="BU383" s="188" t="s">
        <v>85</v>
      </c>
      <c r="BV383" s="188" t="s">
        <v>598</v>
      </c>
    </row>
    <row r="384" spans="5:74">
      <c r="E384" s="21"/>
      <c r="Q384" s="191"/>
      <c r="R384" s="191"/>
      <c r="S384" s="191"/>
      <c r="T384" s="127"/>
      <c r="U384" s="127"/>
      <c r="V384" s="191"/>
      <c r="W384" s="190"/>
      <c r="X384" s="191"/>
      <c r="Y384" s="191"/>
      <c r="Z384" s="191"/>
      <c r="AA384" s="191"/>
      <c r="AB384" s="191"/>
      <c r="AC384" s="191"/>
      <c r="AD384" s="191"/>
      <c r="AE384" s="191"/>
      <c r="AF384" s="191"/>
      <c r="AG384" s="191"/>
      <c r="AH384" s="191"/>
      <c r="AI384" s="127"/>
      <c r="AJ384" s="191"/>
      <c r="AK384" s="191"/>
      <c r="AL384" s="190"/>
      <c r="AM384" s="191"/>
      <c r="BE384" s="188" t="s">
        <v>3132</v>
      </c>
      <c r="BF384" s="188" t="s">
        <v>4111</v>
      </c>
      <c r="BG384" s="127">
        <v>42860</v>
      </c>
      <c r="BH384" s="188" t="s">
        <v>10</v>
      </c>
      <c r="BI384" s="188" t="s">
        <v>598</v>
      </c>
      <c r="BJ384" s="189">
        <v>5700</v>
      </c>
      <c r="BK384" s="188" t="s">
        <v>493</v>
      </c>
      <c r="BL384" s="188" t="s">
        <v>598</v>
      </c>
      <c r="BM384" s="189">
        <v>0</v>
      </c>
      <c r="BN384" s="188" t="s">
        <v>598</v>
      </c>
      <c r="BO384" s="127">
        <v>42777</v>
      </c>
      <c r="BP384" s="188" t="s">
        <v>598</v>
      </c>
      <c r="BQ384" s="188" t="s">
        <v>77</v>
      </c>
      <c r="BR384" s="188" t="s">
        <v>165</v>
      </c>
      <c r="BS384" s="188" t="s">
        <v>598</v>
      </c>
      <c r="BT384" s="188" t="s">
        <v>42</v>
      </c>
      <c r="BU384" s="188" t="s">
        <v>85</v>
      </c>
      <c r="BV384" s="188" t="s">
        <v>598</v>
      </c>
    </row>
    <row r="385" spans="5:74">
      <c r="E385" s="21"/>
      <c r="Q385" s="191"/>
      <c r="R385" s="191"/>
      <c r="S385" s="191"/>
      <c r="T385" s="127"/>
      <c r="U385" s="127"/>
      <c r="V385" s="191"/>
      <c r="W385" s="190"/>
      <c r="X385" s="191"/>
      <c r="Y385" s="191"/>
      <c r="Z385" s="191"/>
      <c r="AA385" s="191"/>
      <c r="AB385" s="191"/>
      <c r="AC385" s="191"/>
      <c r="AD385" s="191"/>
      <c r="AE385" s="191"/>
      <c r="AF385" s="191"/>
      <c r="AG385" s="191"/>
      <c r="AH385" s="191"/>
      <c r="AI385" s="127"/>
      <c r="AJ385" s="191"/>
      <c r="AK385" s="191"/>
      <c r="AL385" s="190"/>
      <c r="AM385" s="191"/>
      <c r="BE385" s="188" t="s">
        <v>3134</v>
      </c>
      <c r="BF385" s="188" t="s">
        <v>4112</v>
      </c>
      <c r="BG385" s="127">
        <v>42877</v>
      </c>
      <c r="BH385" s="188" t="s">
        <v>10</v>
      </c>
      <c r="BI385" s="188" t="s">
        <v>598</v>
      </c>
      <c r="BJ385" s="189">
        <v>3375</v>
      </c>
      <c r="BK385" s="188" t="s">
        <v>493</v>
      </c>
      <c r="BL385" s="188" t="s">
        <v>598</v>
      </c>
      <c r="BM385" s="189">
        <v>0</v>
      </c>
      <c r="BN385" s="188" t="s">
        <v>598</v>
      </c>
      <c r="BO385" s="127">
        <v>42807</v>
      </c>
      <c r="BP385" s="188" t="s">
        <v>134</v>
      </c>
      <c r="BQ385" s="188" t="s">
        <v>77</v>
      </c>
      <c r="BR385" s="188" t="s">
        <v>3131</v>
      </c>
      <c r="BS385" s="188" t="s">
        <v>598</v>
      </c>
      <c r="BT385" s="188" t="s">
        <v>42</v>
      </c>
      <c r="BU385" s="188" t="s">
        <v>85</v>
      </c>
      <c r="BV385" s="188" t="s">
        <v>598</v>
      </c>
    </row>
    <row r="386" spans="5:74">
      <c r="E386" s="21"/>
      <c r="Q386" s="191"/>
      <c r="R386" s="191"/>
      <c r="S386" s="191"/>
      <c r="T386" s="127"/>
      <c r="U386" s="127"/>
      <c r="V386" s="191"/>
      <c r="W386" s="190"/>
      <c r="X386" s="191"/>
      <c r="Y386" s="191"/>
      <c r="Z386" s="191"/>
      <c r="AA386" s="191"/>
      <c r="AB386" s="191"/>
      <c r="AC386" s="191"/>
      <c r="AD386" s="191"/>
      <c r="AE386" s="191"/>
      <c r="AF386" s="191"/>
      <c r="AG386" s="191"/>
      <c r="AH386" s="191"/>
      <c r="AI386" s="127"/>
      <c r="AJ386" s="191"/>
      <c r="AK386" s="191"/>
      <c r="AL386" s="190"/>
      <c r="AM386" s="191"/>
      <c r="BE386" s="188" t="s">
        <v>3136</v>
      </c>
      <c r="BF386" s="188" t="s">
        <v>4113</v>
      </c>
      <c r="BG386" s="127">
        <v>42858</v>
      </c>
      <c r="BH386" s="188" t="s">
        <v>10</v>
      </c>
      <c r="BI386" s="188" t="s">
        <v>598</v>
      </c>
      <c r="BJ386" s="189">
        <v>3000</v>
      </c>
      <c r="BK386" s="188" t="s">
        <v>493</v>
      </c>
      <c r="BL386" s="188" t="s">
        <v>598</v>
      </c>
      <c r="BM386" s="189">
        <v>0</v>
      </c>
      <c r="BN386" s="188" t="s">
        <v>598</v>
      </c>
      <c r="BO386" s="127">
        <v>42817</v>
      </c>
      <c r="BP386" s="188" t="s">
        <v>134</v>
      </c>
      <c r="BQ386" s="188" t="s">
        <v>77</v>
      </c>
      <c r="BR386" s="188" t="s">
        <v>183</v>
      </c>
      <c r="BS386" s="188" t="s">
        <v>598</v>
      </c>
      <c r="BT386" s="188" t="s">
        <v>42</v>
      </c>
      <c r="BU386" s="188" t="s">
        <v>85</v>
      </c>
      <c r="BV386" s="188" t="s">
        <v>598</v>
      </c>
    </row>
    <row r="387" spans="5:74">
      <c r="E387" s="21"/>
      <c r="Q387" s="191"/>
      <c r="R387" s="191"/>
      <c r="S387" s="191"/>
      <c r="T387" s="127"/>
      <c r="U387" s="127"/>
      <c r="V387" s="191"/>
      <c r="W387" s="190"/>
      <c r="X387" s="191"/>
      <c r="Y387" s="191"/>
      <c r="Z387" s="191"/>
      <c r="AA387" s="191"/>
      <c r="AB387" s="191"/>
      <c r="AC387" s="191"/>
      <c r="AD387" s="191"/>
      <c r="AE387" s="191"/>
      <c r="AF387" s="191"/>
      <c r="AG387" s="191"/>
      <c r="AH387" s="191"/>
      <c r="AI387" s="127"/>
      <c r="AJ387" s="191"/>
      <c r="AK387" s="191"/>
      <c r="AL387" s="190"/>
      <c r="AM387" s="191"/>
      <c r="BE387" s="188" t="s">
        <v>3138</v>
      </c>
      <c r="BF387" s="188" t="s">
        <v>4114</v>
      </c>
      <c r="BG387" s="127">
        <v>42860</v>
      </c>
      <c r="BH387" s="188" t="s">
        <v>10</v>
      </c>
      <c r="BI387" s="188" t="s">
        <v>598</v>
      </c>
      <c r="BJ387" s="189">
        <v>3000</v>
      </c>
      <c r="BK387" s="188" t="s">
        <v>493</v>
      </c>
      <c r="BL387" s="188" t="s">
        <v>598</v>
      </c>
      <c r="BM387" s="189">
        <v>0</v>
      </c>
      <c r="BN387" s="188" t="s">
        <v>598</v>
      </c>
      <c r="BO387" s="127">
        <v>42849</v>
      </c>
      <c r="BP387" s="188" t="s">
        <v>134</v>
      </c>
      <c r="BQ387" s="188" t="s">
        <v>77</v>
      </c>
      <c r="BR387" s="188" t="s">
        <v>403</v>
      </c>
      <c r="BS387" s="188" t="s">
        <v>598</v>
      </c>
      <c r="BT387" s="188" t="s">
        <v>42</v>
      </c>
      <c r="BU387" s="188" t="s">
        <v>51</v>
      </c>
      <c r="BV387" s="188" t="s">
        <v>598</v>
      </c>
    </row>
    <row r="388" spans="5:74">
      <c r="E388" s="21"/>
      <c r="Q388" s="191"/>
      <c r="R388" s="191"/>
      <c r="S388" s="191"/>
      <c r="T388" s="127"/>
      <c r="U388" s="127"/>
      <c r="V388" s="191"/>
      <c r="W388" s="190"/>
      <c r="X388" s="191"/>
      <c r="Y388" s="191"/>
      <c r="Z388" s="191"/>
      <c r="AA388" s="191"/>
      <c r="AB388" s="191"/>
      <c r="AC388" s="191"/>
      <c r="AD388" s="191"/>
      <c r="AE388" s="191"/>
      <c r="AF388" s="191"/>
      <c r="AG388" s="191"/>
      <c r="AH388" s="191"/>
      <c r="AI388" s="127"/>
      <c r="AJ388" s="191"/>
      <c r="AK388" s="191"/>
      <c r="AL388" s="190"/>
      <c r="AM388" s="191"/>
      <c r="BE388" s="188" t="s">
        <v>3140</v>
      </c>
      <c r="BF388" s="188" t="s">
        <v>4115</v>
      </c>
      <c r="BG388" s="127">
        <v>42871</v>
      </c>
      <c r="BH388" s="188" t="s">
        <v>10</v>
      </c>
      <c r="BI388" s="188" t="s">
        <v>598</v>
      </c>
      <c r="BJ388" s="189">
        <v>2500</v>
      </c>
      <c r="BK388" s="188" t="s">
        <v>493</v>
      </c>
      <c r="BL388" s="188">
        <v>2169</v>
      </c>
      <c r="BM388" s="189">
        <v>3500</v>
      </c>
      <c r="BN388" s="188" t="s">
        <v>598</v>
      </c>
      <c r="BO388" s="127">
        <v>42614</v>
      </c>
      <c r="BP388" s="188" t="s">
        <v>134</v>
      </c>
      <c r="BQ388" s="188" t="s">
        <v>121</v>
      </c>
      <c r="BR388" s="188" t="s">
        <v>3142</v>
      </c>
      <c r="BS388" s="188" t="s">
        <v>598</v>
      </c>
      <c r="BT388" s="188" t="s">
        <v>63</v>
      </c>
      <c r="BU388" s="188" t="s">
        <v>30</v>
      </c>
      <c r="BV388" s="188" t="s">
        <v>598</v>
      </c>
    </row>
    <row r="389" spans="5:74">
      <c r="E389" s="21"/>
      <c r="Q389" s="191"/>
      <c r="R389" s="191"/>
      <c r="S389" s="191"/>
      <c r="T389" s="127"/>
      <c r="U389" s="127"/>
      <c r="V389" s="191"/>
      <c r="W389" s="190"/>
      <c r="X389" s="191"/>
      <c r="Y389" s="191"/>
      <c r="Z389" s="191"/>
      <c r="AA389" s="191"/>
      <c r="AB389" s="191"/>
      <c r="AC389" s="191"/>
      <c r="AD389" s="191"/>
      <c r="AE389" s="191"/>
      <c r="AF389" s="191"/>
      <c r="AG389" s="191"/>
      <c r="AH389" s="191"/>
      <c r="AI389" s="127"/>
      <c r="AJ389" s="191"/>
      <c r="AK389" s="191"/>
      <c r="AL389" s="190"/>
      <c r="AM389" s="191"/>
      <c r="BE389" s="188" t="s">
        <v>3143</v>
      </c>
      <c r="BF389" s="188" t="s">
        <v>4116</v>
      </c>
      <c r="BG389" s="127">
        <v>42866</v>
      </c>
      <c r="BH389" s="188" t="s">
        <v>10</v>
      </c>
      <c r="BI389" s="188" t="s">
        <v>598</v>
      </c>
      <c r="BJ389" s="189">
        <v>1500</v>
      </c>
      <c r="BK389" s="188" t="s">
        <v>493</v>
      </c>
      <c r="BL389" s="188">
        <v>2236</v>
      </c>
      <c r="BM389" s="189">
        <v>2000</v>
      </c>
      <c r="BN389" s="188" t="s">
        <v>598</v>
      </c>
      <c r="BO389" s="127">
        <v>42720</v>
      </c>
      <c r="BP389" s="188" t="s">
        <v>134</v>
      </c>
      <c r="BQ389" s="188" t="s">
        <v>121</v>
      </c>
      <c r="BR389" s="188" t="s">
        <v>444</v>
      </c>
      <c r="BS389" s="188" t="s">
        <v>598</v>
      </c>
      <c r="BT389" s="188" t="s">
        <v>63</v>
      </c>
      <c r="BU389" s="188" t="s">
        <v>63</v>
      </c>
      <c r="BV389" s="188" t="s">
        <v>598</v>
      </c>
    </row>
    <row r="390" spans="5:74">
      <c r="E390" s="21"/>
      <c r="Q390" s="191"/>
      <c r="R390" s="191"/>
      <c r="S390" s="191"/>
      <c r="T390" s="127"/>
      <c r="U390" s="127"/>
      <c r="V390" s="191"/>
      <c r="W390" s="190"/>
      <c r="X390" s="191"/>
      <c r="Y390" s="191"/>
      <c r="Z390" s="191"/>
      <c r="AA390" s="191"/>
      <c r="AB390" s="191"/>
      <c r="AC390" s="191"/>
      <c r="AD390" s="191"/>
      <c r="AE390" s="191"/>
      <c r="AF390" s="191"/>
      <c r="AG390" s="191"/>
      <c r="AH390" s="191"/>
      <c r="AI390" s="127"/>
      <c r="AJ390" s="191"/>
      <c r="AK390" s="191"/>
      <c r="AL390" s="190"/>
      <c r="AM390" s="191"/>
      <c r="BE390" s="188" t="s">
        <v>3145</v>
      </c>
      <c r="BF390" s="188" t="s">
        <v>4117</v>
      </c>
      <c r="BG390" s="127">
        <v>42871</v>
      </c>
      <c r="BH390" s="188" t="s">
        <v>10</v>
      </c>
      <c r="BI390" s="188" t="s">
        <v>598</v>
      </c>
      <c r="BJ390" s="189">
        <v>2500</v>
      </c>
      <c r="BK390" s="188" t="s">
        <v>493</v>
      </c>
      <c r="BL390" s="188">
        <v>3827</v>
      </c>
      <c r="BM390" s="189">
        <v>3000</v>
      </c>
      <c r="BN390" s="188" t="s">
        <v>598</v>
      </c>
      <c r="BO390" s="127">
        <v>42797</v>
      </c>
      <c r="BP390" s="188" t="s">
        <v>134</v>
      </c>
      <c r="BQ390" s="188" t="s">
        <v>121</v>
      </c>
      <c r="BR390" s="188" t="s">
        <v>219</v>
      </c>
      <c r="BS390" s="188" t="s">
        <v>598</v>
      </c>
      <c r="BT390" s="188" t="s">
        <v>63</v>
      </c>
      <c r="BU390" s="188" t="s">
        <v>63</v>
      </c>
      <c r="BV390" s="188" t="s">
        <v>598</v>
      </c>
    </row>
    <row r="391" spans="5:74">
      <c r="E391" s="21"/>
      <c r="Q391" s="191"/>
      <c r="R391" s="191"/>
      <c r="S391" s="191"/>
      <c r="T391" s="127"/>
      <c r="U391" s="127"/>
      <c r="V391" s="191"/>
      <c r="W391" s="190"/>
      <c r="X391" s="191"/>
      <c r="Y391" s="191"/>
      <c r="Z391" s="191"/>
      <c r="AA391" s="191"/>
      <c r="AB391" s="191"/>
      <c r="AC391" s="191"/>
      <c r="AD391" s="191"/>
      <c r="AE391" s="191"/>
      <c r="AF391" s="191"/>
      <c r="AG391" s="191"/>
      <c r="AH391" s="191"/>
      <c r="AI391" s="127"/>
      <c r="AJ391" s="191"/>
      <c r="AK391" s="191"/>
      <c r="AL391" s="190"/>
      <c r="AM391" s="191"/>
      <c r="BE391" s="188" t="s">
        <v>3147</v>
      </c>
      <c r="BF391" s="188" t="s">
        <v>4118</v>
      </c>
      <c r="BG391" s="127">
        <v>42879</v>
      </c>
      <c r="BH391" s="188" t="s">
        <v>10</v>
      </c>
      <c r="BI391" s="188" t="s">
        <v>598</v>
      </c>
      <c r="BJ391" s="189">
        <v>2000</v>
      </c>
      <c r="BK391" s="188" t="s">
        <v>493</v>
      </c>
      <c r="BL391" s="188">
        <v>3859</v>
      </c>
      <c r="BM391" s="189">
        <v>5000</v>
      </c>
      <c r="BN391" s="188" t="s">
        <v>598</v>
      </c>
      <c r="BO391" s="127">
        <v>42824</v>
      </c>
      <c r="BP391" s="188" t="s">
        <v>118</v>
      </c>
      <c r="BQ391" s="188" t="s">
        <v>121</v>
      </c>
      <c r="BR391" s="188" t="s">
        <v>261</v>
      </c>
      <c r="BS391" s="188" t="s">
        <v>598</v>
      </c>
      <c r="BT391" s="188" t="s">
        <v>63</v>
      </c>
      <c r="BU391" s="188" t="s">
        <v>63</v>
      </c>
      <c r="BV391" s="188" t="s">
        <v>598</v>
      </c>
    </row>
    <row r="392" spans="5:74">
      <c r="E392" s="21"/>
      <c r="Q392" s="191"/>
      <c r="R392" s="191"/>
      <c r="S392" s="191"/>
      <c r="T392" s="127"/>
      <c r="U392" s="127"/>
      <c r="V392" s="191"/>
      <c r="W392" s="190"/>
      <c r="X392" s="191"/>
      <c r="Y392" s="191"/>
      <c r="Z392" s="191"/>
      <c r="AA392" s="191"/>
      <c r="AB392" s="191"/>
      <c r="AC392" s="191"/>
      <c r="AD392" s="191"/>
      <c r="AE392" s="191"/>
      <c r="AF392" s="191"/>
      <c r="AG392" s="191"/>
      <c r="AH392" s="191"/>
      <c r="AI392" s="127"/>
      <c r="AJ392" s="191"/>
      <c r="AK392" s="191"/>
      <c r="AL392" s="190"/>
      <c r="AM392" s="191"/>
      <c r="BE392" s="188" t="s">
        <v>3149</v>
      </c>
      <c r="BF392" s="188" t="s">
        <v>4119</v>
      </c>
      <c r="BG392" s="127">
        <v>42868</v>
      </c>
      <c r="BH392" s="188" t="s">
        <v>10</v>
      </c>
      <c r="BI392" s="188" t="s">
        <v>598</v>
      </c>
      <c r="BJ392" s="189">
        <v>3000</v>
      </c>
      <c r="BK392" s="188" t="s">
        <v>493</v>
      </c>
      <c r="BL392" s="188" t="s">
        <v>598</v>
      </c>
      <c r="BM392" s="189">
        <v>0</v>
      </c>
      <c r="BN392" s="188" t="s">
        <v>598</v>
      </c>
      <c r="BO392" s="127">
        <v>42857</v>
      </c>
      <c r="BP392" s="188" t="s">
        <v>120</v>
      </c>
      <c r="BQ392" s="188" t="s">
        <v>84</v>
      </c>
      <c r="BR392" s="188" t="s">
        <v>445</v>
      </c>
      <c r="BS392" s="188" t="s">
        <v>598</v>
      </c>
      <c r="BT392" s="188" t="s">
        <v>42</v>
      </c>
      <c r="BU392" s="188" t="s">
        <v>73</v>
      </c>
      <c r="BV392" s="188" t="s">
        <v>598</v>
      </c>
    </row>
    <row r="393" spans="5:74">
      <c r="E393" s="21"/>
      <c r="Q393" s="191"/>
      <c r="R393" s="191"/>
      <c r="S393" s="191"/>
      <c r="T393" s="127"/>
      <c r="U393" s="127"/>
      <c r="V393" s="191"/>
      <c r="W393" s="190"/>
      <c r="X393" s="191"/>
      <c r="Y393" s="191"/>
      <c r="Z393" s="191"/>
      <c r="AA393" s="191"/>
      <c r="AB393" s="191"/>
      <c r="AC393" s="191"/>
      <c r="AD393" s="191"/>
      <c r="AE393" s="191"/>
      <c r="AF393" s="191"/>
      <c r="AG393" s="191"/>
      <c r="AH393" s="191"/>
      <c r="AI393" s="127"/>
      <c r="AJ393" s="191"/>
      <c r="AK393" s="191"/>
      <c r="AL393" s="190"/>
      <c r="AM393" s="191"/>
      <c r="BE393" s="188" t="s">
        <v>3151</v>
      </c>
      <c r="BF393" s="188" t="s">
        <v>4120</v>
      </c>
      <c r="BG393" s="127">
        <v>42860</v>
      </c>
      <c r="BH393" s="188" t="s">
        <v>34</v>
      </c>
      <c r="BI393" s="188" t="s">
        <v>598</v>
      </c>
      <c r="BJ393" s="189">
        <v>1500</v>
      </c>
      <c r="BK393" s="188" t="s">
        <v>493</v>
      </c>
      <c r="BL393" s="188" t="s">
        <v>598</v>
      </c>
      <c r="BM393" s="189">
        <v>0</v>
      </c>
      <c r="BN393" s="188" t="s">
        <v>598</v>
      </c>
      <c r="BO393" s="127">
        <v>42857</v>
      </c>
      <c r="BP393" s="188" t="s">
        <v>134</v>
      </c>
      <c r="BQ393" s="188" t="s">
        <v>84</v>
      </c>
      <c r="BR393" s="188" t="s">
        <v>261</v>
      </c>
      <c r="BS393" s="188" t="s">
        <v>598</v>
      </c>
      <c r="BT393" s="188" t="s">
        <v>42</v>
      </c>
      <c r="BU393" s="188" t="s">
        <v>73</v>
      </c>
      <c r="BV393" s="188" t="s">
        <v>598</v>
      </c>
    </row>
    <row r="394" spans="5:74">
      <c r="E394" s="21"/>
      <c r="Q394" s="191"/>
      <c r="R394" s="191"/>
      <c r="S394" s="191"/>
      <c r="T394" s="127"/>
      <c r="U394" s="127"/>
      <c r="V394" s="191"/>
      <c r="W394" s="190"/>
      <c r="X394" s="191"/>
      <c r="Y394" s="191"/>
      <c r="Z394" s="191"/>
      <c r="AA394" s="191"/>
      <c r="AB394" s="191"/>
      <c r="AC394" s="191"/>
      <c r="AD394" s="191"/>
      <c r="AE394" s="191"/>
      <c r="AF394" s="191"/>
      <c r="AG394" s="191"/>
      <c r="AH394" s="191"/>
      <c r="AI394" s="127"/>
      <c r="AJ394" s="191"/>
      <c r="AK394" s="191"/>
      <c r="AL394" s="190"/>
      <c r="AM394" s="191"/>
      <c r="BE394" s="188" t="s">
        <v>3153</v>
      </c>
      <c r="BF394" s="188" t="s">
        <v>4121</v>
      </c>
      <c r="BG394" s="127">
        <v>42870</v>
      </c>
      <c r="BH394" s="188" t="s">
        <v>10</v>
      </c>
      <c r="BI394" s="188" t="s">
        <v>598</v>
      </c>
      <c r="BJ394" s="189">
        <v>3000</v>
      </c>
      <c r="BK394" s="188" t="s">
        <v>493</v>
      </c>
      <c r="BL394" s="188" t="s">
        <v>598</v>
      </c>
      <c r="BM394" s="189">
        <v>0</v>
      </c>
      <c r="BN394" s="188" t="s">
        <v>598</v>
      </c>
      <c r="BO394" s="127">
        <v>42864</v>
      </c>
      <c r="BP394" s="188" t="s">
        <v>132</v>
      </c>
      <c r="BQ394" s="188" t="s">
        <v>84</v>
      </c>
      <c r="BR394" s="188" t="s">
        <v>384</v>
      </c>
      <c r="BS394" s="188" t="s">
        <v>598</v>
      </c>
      <c r="BT394" s="188" t="s">
        <v>42</v>
      </c>
      <c r="BU394" s="188" t="s">
        <v>598</v>
      </c>
      <c r="BV394" s="188" t="s">
        <v>598</v>
      </c>
    </row>
    <row r="395" spans="5:74">
      <c r="E395" s="21"/>
      <c r="Q395" s="191"/>
      <c r="R395" s="191"/>
      <c r="S395" s="191"/>
      <c r="T395" s="127"/>
      <c r="U395" s="127"/>
      <c r="V395" s="191"/>
      <c r="W395" s="190"/>
      <c r="X395" s="191"/>
      <c r="Y395" s="191"/>
      <c r="Z395" s="191"/>
      <c r="AA395" s="191"/>
      <c r="AB395" s="191"/>
      <c r="AC395" s="191"/>
      <c r="AD395" s="191"/>
      <c r="AE395" s="191"/>
      <c r="AF395" s="191"/>
      <c r="AG395" s="191"/>
      <c r="AH395" s="191"/>
      <c r="AI395" s="127"/>
      <c r="AJ395" s="191"/>
      <c r="AK395" s="191"/>
      <c r="AL395" s="190"/>
      <c r="AM395" s="191"/>
      <c r="BE395" s="188" t="s">
        <v>3155</v>
      </c>
      <c r="BF395" s="188" t="s">
        <v>4122</v>
      </c>
      <c r="BG395" s="127">
        <v>42870</v>
      </c>
      <c r="BH395" s="188" t="s">
        <v>10</v>
      </c>
      <c r="BI395" s="188" t="s">
        <v>598</v>
      </c>
      <c r="BJ395" s="189">
        <v>3000</v>
      </c>
      <c r="BK395" s="188" t="s">
        <v>493</v>
      </c>
      <c r="BL395" s="188" t="s">
        <v>598</v>
      </c>
      <c r="BM395" s="189">
        <v>0</v>
      </c>
      <c r="BN395" s="188" t="s">
        <v>598</v>
      </c>
      <c r="BO395" s="127">
        <v>42865</v>
      </c>
      <c r="BP395" s="188" t="s">
        <v>120</v>
      </c>
      <c r="BQ395" s="188" t="s">
        <v>84</v>
      </c>
      <c r="BR395" s="188" t="s">
        <v>192</v>
      </c>
      <c r="BS395" s="188" t="s">
        <v>598</v>
      </c>
      <c r="BT395" s="188" t="s">
        <v>42</v>
      </c>
      <c r="BU395" s="188" t="s">
        <v>42</v>
      </c>
      <c r="BV395" s="188" t="s">
        <v>598</v>
      </c>
    </row>
    <row r="396" spans="5:74">
      <c r="E396" s="21"/>
      <c r="Q396" s="191"/>
      <c r="R396" s="191"/>
      <c r="S396" s="191"/>
      <c r="T396" s="127"/>
      <c r="U396" s="127"/>
      <c r="V396" s="191"/>
      <c r="W396" s="190"/>
      <c r="X396" s="191"/>
      <c r="Y396" s="191"/>
      <c r="Z396" s="191"/>
      <c r="AA396" s="191"/>
      <c r="AB396" s="191"/>
      <c r="AC396" s="191"/>
      <c r="AD396" s="191"/>
      <c r="AE396" s="191"/>
      <c r="AF396" s="191"/>
      <c r="AG396" s="191"/>
      <c r="AH396" s="191"/>
      <c r="AI396" s="127"/>
      <c r="AJ396" s="191"/>
      <c r="AK396" s="191"/>
      <c r="AL396" s="190"/>
      <c r="AM396" s="191"/>
      <c r="BE396" s="188" t="s">
        <v>3157</v>
      </c>
      <c r="BF396" s="188" t="s">
        <v>4123</v>
      </c>
      <c r="BG396" s="127">
        <v>42873</v>
      </c>
      <c r="BH396" s="188" t="s">
        <v>10</v>
      </c>
      <c r="BI396" s="188" t="s">
        <v>598</v>
      </c>
      <c r="BJ396" s="189">
        <v>3000</v>
      </c>
      <c r="BK396" s="188" t="s">
        <v>493</v>
      </c>
      <c r="BL396" s="188" t="s">
        <v>598</v>
      </c>
      <c r="BM396" s="189">
        <v>0</v>
      </c>
      <c r="BN396" s="188" t="s">
        <v>598</v>
      </c>
      <c r="BO396" s="127">
        <v>42866</v>
      </c>
      <c r="BP396" s="188" t="s">
        <v>122</v>
      </c>
      <c r="BQ396" s="188" t="s">
        <v>84</v>
      </c>
      <c r="BR396" s="188" t="s">
        <v>293</v>
      </c>
      <c r="BS396" s="188" t="s">
        <v>3159</v>
      </c>
      <c r="BT396" s="188" t="s">
        <v>42</v>
      </c>
      <c r="BU396" s="188" t="s">
        <v>42</v>
      </c>
      <c r="BV396" s="188" t="s">
        <v>598</v>
      </c>
    </row>
    <row r="397" spans="5:74">
      <c r="E397" s="21"/>
      <c r="Q397" s="191"/>
      <c r="R397" s="191"/>
      <c r="S397" s="191"/>
      <c r="T397" s="127"/>
      <c r="U397" s="127"/>
      <c r="V397" s="191"/>
      <c r="W397" s="190"/>
      <c r="X397" s="191"/>
      <c r="Y397" s="191"/>
      <c r="Z397" s="191"/>
      <c r="AA397" s="191"/>
      <c r="AB397" s="191"/>
      <c r="AC397" s="191"/>
      <c r="AD397" s="191"/>
      <c r="AE397" s="191"/>
      <c r="AF397" s="191"/>
      <c r="AG397" s="191"/>
      <c r="AH397" s="191"/>
      <c r="AI397" s="127"/>
      <c r="AJ397" s="191"/>
      <c r="AK397" s="191"/>
      <c r="AL397" s="190"/>
      <c r="AM397" s="191"/>
      <c r="BE397" s="188" t="s">
        <v>3160</v>
      </c>
      <c r="BF397" s="188" t="s">
        <v>4124</v>
      </c>
      <c r="BG397" s="127">
        <v>42870</v>
      </c>
      <c r="BH397" s="188" t="s">
        <v>10</v>
      </c>
      <c r="BI397" s="188" t="s">
        <v>598</v>
      </c>
      <c r="BJ397" s="189">
        <v>4000</v>
      </c>
      <c r="BK397" s="188" t="s">
        <v>493</v>
      </c>
      <c r="BL397" s="188" t="s">
        <v>598</v>
      </c>
      <c r="BM397" s="189">
        <v>0</v>
      </c>
      <c r="BN397" s="188" t="s">
        <v>598</v>
      </c>
      <c r="BO397" s="127">
        <v>42866</v>
      </c>
      <c r="BP397" s="188" t="s">
        <v>48</v>
      </c>
      <c r="BQ397" s="188" t="s">
        <v>84</v>
      </c>
      <c r="BR397" s="188" t="s">
        <v>192</v>
      </c>
      <c r="BS397" s="188" t="s">
        <v>1029</v>
      </c>
      <c r="BT397" s="188" t="s">
        <v>42</v>
      </c>
      <c r="BU397" s="188" t="s">
        <v>598</v>
      </c>
      <c r="BV397" s="188" t="s">
        <v>598</v>
      </c>
    </row>
    <row r="398" spans="5:74">
      <c r="E398" s="21"/>
      <c r="Q398" s="191"/>
      <c r="R398" s="191"/>
      <c r="S398" s="191"/>
      <c r="T398" s="127"/>
      <c r="U398" s="127"/>
      <c r="V398" s="191"/>
      <c r="W398" s="190"/>
      <c r="X398" s="191"/>
      <c r="Y398" s="191"/>
      <c r="Z398" s="191"/>
      <c r="AA398" s="191"/>
      <c r="AB398" s="191"/>
      <c r="AC398" s="191"/>
      <c r="AD398" s="191"/>
      <c r="AE398" s="191"/>
      <c r="AF398" s="191"/>
      <c r="AG398" s="191"/>
      <c r="AH398" s="191"/>
      <c r="AI398" s="127"/>
      <c r="AJ398" s="191"/>
      <c r="AK398" s="191"/>
      <c r="AL398" s="190"/>
      <c r="AM398" s="191"/>
      <c r="BE398" s="188" t="s">
        <v>3162</v>
      </c>
      <c r="BF398" s="188" t="s">
        <v>4125</v>
      </c>
      <c r="BG398" s="127">
        <v>42878</v>
      </c>
      <c r="BH398" s="188" t="s">
        <v>10</v>
      </c>
      <c r="BI398" s="188" t="s">
        <v>598</v>
      </c>
      <c r="BJ398" s="189">
        <v>5000</v>
      </c>
      <c r="BK398" s="188" t="s">
        <v>493</v>
      </c>
      <c r="BL398" s="188" t="s">
        <v>598</v>
      </c>
      <c r="BM398" s="189">
        <v>0</v>
      </c>
      <c r="BN398" s="188" t="s">
        <v>598</v>
      </c>
      <c r="BO398" s="127">
        <v>42872</v>
      </c>
      <c r="BP398" s="188" t="s">
        <v>122</v>
      </c>
      <c r="BQ398" s="188" t="s">
        <v>84</v>
      </c>
      <c r="BR398" s="188" t="s">
        <v>192</v>
      </c>
      <c r="BS398" s="188" t="s">
        <v>3164</v>
      </c>
      <c r="BT398" s="188" t="s">
        <v>42</v>
      </c>
      <c r="BU398" s="188" t="s">
        <v>42</v>
      </c>
      <c r="BV398" s="188" t="s">
        <v>598</v>
      </c>
    </row>
    <row r="399" spans="5:74">
      <c r="E399" s="21"/>
      <c r="Q399" s="191"/>
      <c r="R399" s="191"/>
      <c r="S399" s="191"/>
      <c r="T399" s="127"/>
      <c r="U399" s="127"/>
      <c r="V399" s="191"/>
      <c r="W399" s="190"/>
      <c r="X399" s="191"/>
      <c r="Y399" s="191"/>
      <c r="Z399" s="191"/>
      <c r="AA399" s="191"/>
      <c r="AB399" s="191"/>
      <c r="AC399" s="191"/>
      <c r="AD399" s="191"/>
      <c r="AE399" s="191"/>
      <c r="AF399" s="191"/>
      <c r="AG399" s="191"/>
      <c r="AH399" s="191"/>
      <c r="AI399" s="127"/>
      <c r="AJ399" s="191"/>
      <c r="AK399" s="191"/>
      <c r="AL399" s="190"/>
      <c r="AM399" s="191"/>
      <c r="BE399" s="188" t="s">
        <v>3165</v>
      </c>
      <c r="BF399" s="188" t="s">
        <v>4126</v>
      </c>
      <c r="BG399" s="127">
        <v>42879</v>
      </c>
      <c r="BH399" s="188" t="s">
        <v>34</v>
      </c>
      <c r="BI399" s="188" t="s">
        <v>598</v>
      </c>
      <c r="BJ399" s="189">
        <v>3000</v>
      </c>
      <c r="BK399" s="188" t="s">
        <v>493</v>
      </c>
      <c r="BL399" s="188" t="s">
        <v>598</v>
      </c>
      <c r="BM399" s="189">
        <v>0</v>
      </c>
      <c r="BN399" s="188" t="s">
        <v>598</v>
      </c>
      <c r="BO399" s="127">
        <v>42875</v>
      </c>
      <c r="BP399" s="188" t="s">
        <v>132</v>
      </c>
      <c r="BQ399" s="188" t="s">
        <v>84</v>
      </c>
      <c r="BR399" s="188" t="s">
        <v>301</v>
      </c>
      <c r="BS399" s="188" t="s">
        <v>598</v>
      </c>
      <c r="BT399" s="188" t="s">
        <v>42</v>
      </c>
      <c r="BU399" s="188" t="s">
        <v>73</v>
      </c>
      <c r="BV399" s="188" t="s">
        <v>598</v>
      </c>
    </row>
    <row r="400" spans="5:74">
      <c r="E400" s="21"/>
      <c r="Q400" s="191"/>
      <c r="R400" s="191"/>
      <c r="S400" s="191"/>
      <c r="T400" s="127"/>
      <c r="U400" s="127"/>
      <c r="V400" s="191"/>
      <c r="W400" s="190"/>
      <c r="X400" s="191"/>
      <c r="Y400" s="191"/>
      <c r="Z400" s="191"/>
      <c r="AA400" s="191"/>
      <c r="AB400" s="191"/>
      <c r="AC400" s="191"/>
      <c r="AD400" s="191"/>
      <c r="AE400" s="191"/>
      <c r="AF400" s="191"/>
      <c r="AG400" s="191"/>
      <c r="AH400" s="191"/>
      <c r="AI400" s="127"/>
      <c r="AJ400" s="191"/>
      <c r="AK400" s="191"/>
      <c r="AL400" s="190"/>
      <c r="AM400" s="191"/>
      <c r="BE400" s="188" t="s">
        <v>3167</v>
      </c>
      <c r="BF400" s="188" t="s">
        <v>4127</v>
      </c>
      <c r="BG400" s="127">
        <v>42868</v>
      </c>
      <c r="BH400" s="188" t="s">
        <v>10</v>
      </c>
      <c r="BI400" s="188" t="s">
        <v>598</v>
      </c>
      <c r="BJ400" s="189">
        <v>3000</v>
      </c>
      <c r="BK400" s="188" t="s">
        <v>493</v>
      </c>
      <c r="BL400" s="188" t="s">
        <v>598</v>
      </c>
      <c r="BM400" s="189">
        <v>0</v>
      </c>
      <c r="BN400" s="188" t="s">
        <v>598</v>
      </c>
      <c r="BO400" s="127">
        <v>42875</v>
      </c>
      <c r="BP400" s="188" t="s">
        <v>120</v>
      </c>
      <c r="BQ400" s="188" t="s">
        <v>84</v>
      </c>
      <c r="BR400" s="188" t="s">
        <v>400</v>
      </c>
      <c r="BS400" s="188" t="s">
        <v>598</v>
      </c>
      <c r="BT400" s="188" t="s">
        <v>42</v>
      </c>
      <c r="BU400" s="188" t="s">
        <v>598</v>
      </c>
      <c r="BV400" s="188" t="s">
        <v>598</v>
      </c>
    </row>
    <row r="401" spans="5:74">
      <c r="E401" s="21"/>
      <c r="Q401" s="191"/>
      <c r="R401" s="191"/>
      <c r="S401" s="191"/>
      <c r="T401" s="127"/>
      <c r="U401" s="127"/>
      <c r="V401" s="191"/>
      <c r="W401" s="190"/>
      <c r="X401" s="191"/>
      <c r="Y401" s="191"/>
      <c r="Z401" s="191"/>
      <c r="AA401" s="191"/>
      <c r="AB401" s="191"/>
      <c r="AC401" s="191"/>
      <c r="AD401" s="191"/>
      <c r="AE401" s="191"/>
      <c r="AF401" s="191"/>
      <c r="AG401" s="191"/>
      <c r="AH401" s="191"/>
      <c r="AI401" s="127"/>
      <c r="AJ401" s="191"/>
      <c r="AK401" s="191"/>
      <c r="AL401" s="190"/>
      <c r="AM401" s="191"/>
      <c r="BE401" s="188" t="s">
        <v>3168</v>
      </c>
      <c r="BF401" s="188" t="s">
        <v>4128</v>
      </c>
      <c r="BG401" s="127">
        <v>42879</v>
      </c>
      <c r="BH401" s="188" t="s">
        <v>34</v>
      </c>
      <c r="BI401" s="188" t="s">
        <v>598</v>
      </c>
      <c r="BJ401" s="189">
        <v>3000</v>
      </c>
      <c r="BK401" s="188" t="s">
        <v>493</v>
      </c>
      <c r="BL401" s="188" t="s">
        <v>598</v>
      </c>
      <c r="BM401" s="189">
        <v>0</v>
      </c>
      <c r="BN401" s="188" t="s">
        <v>598</v>
      </c>
      <c r="BO401" s="127">
        <v>42877</v>
      </c>
      <c r="BP401" s="188" t="s">
        <v>134</v>
      </c>
      <c r="BQ401" s="188" t="s">
        <v>84</v>
      </c>
      <c r="BR401" s="188" t="s">
        <v>297</v>
      </c>
      <c r="BS401" s="188" t="s">
        <v>598</v>
      </c>
      <c r="BT401" s="188" t="s">
        <v>42</v>
      </c>
      <c r="BU401" s="188" t="s">
        <v>73</v>
      </c>
      <c r="BV401" s="188" t="s">
        <v>598</v>
      </c>
    </row>
    <row r="402" spans="5:74">
      <c r="E402" s="21"/>
      <c r="Q402" s="191"/>
      <c r="R402" s="191"/>
      <c r="S402" s="191"/>
      <c r="T402" s="127"/>
      <c r="U402" s="127"/>
      <c r="V402" s="191"/>
      <c r="W402" s="190"/>
      <c r="X402" s="191"/>
      <c r="Y402" s="191"/>
      <c r="Z402" s="191"/>
      <c r="AA402" s="191"/>
      <c r="AB402" s="191"/>
      <c r="AC402" s="191"/>
      <c r="AD402" s="191"/>
      <c r="AE402" s="191"/>
      <c r="AF402" s="191"/>
      <c r="AG402" s="191"/>
      <c r="AH402" s="191"/>
      <c r="AI402" s="127"/>
      <c r="AJ402" s="191"/>
      <c r="AK402" s="191"/>
      <c r="AL402" s="190"/>
      <c r="AM402" s="191"/>
      <c r="BE402" s="188" t="s">
        <v>3170</v>
      </c>
      <c r="BF402" s="188" t="s">
        <v>4129</v>
      </c>
      <c r="BG402" s="127">
        <v>42880</v>
      </c>
      <c r="BH402" s="188" t="s">
        <v>10</v>
      </c>
      <c r="BI402" s="188" t="s">
        <v>598</v>
      </c>
      <c r="BJ402" s="189">
        <v>3000</v>
      </c>
      <c r="BK402" s="188" t="s">
        <v>493</v>
      </c>
      <c r="BL402" s="188" t="s">
        <v>598</v>
      </c>
      <c r="BM402" s="189">
        <v>0</v>
      </c>
      <c r="BN402" s="188" t="s">
        <v>598</v>
      </c>
      <c r="BO402" s="127">
        <v>42877</v>
      </c>
      <c r="BP402" s="188" t="s">
        <v>598</v>
      </c>
      <c r="BQ402" s="188" t="s">
        <v>84</v>
      </c>
      <c r="BR402" s="188" t="s">
        <v>598</v>
      </c>
      <c r="BS402" s="188" t="s">
        <v>598</v>
      </c>
      <c r="BT402" s="188" t="s">
        <v>42</v>
      </c>
      <c r="BU402" s="188" t="s">
        <v>598</v>
      </c>
      <c r="BV402" s="188" t="s">
        <v>598</v>
      </c>
    </row>
    <row r="403" spans="5:74">
      <c r="E403" s="21"/>
      <c r="Q403" s="191"/>
      <c r="R403" s="191"/>
      <c r="S403" s="191"/>
      <c r="T403" s="127"/>
      <c r="U403" s="127"/>
      <c r="V403" s="191"/>
      <c r="W403" s="190"/>
      <c r="X403" s="191"/>
      <c r="Y403" s="191"/>
      <c r="Z403" s="191"/>
      <c r="AA403" s="191"/>
      <c r="AB403" s="191"/>
      <c r="AC403" s="191"/>
      <c r="AD403" s="191"/>
      <c r="AE403" s="191"/>
      <c r="AF403" s="191"/>
      <c r="AG403" s="191"/>
      <c r="AH403" s="191"/>
      <c r="AI403" s="127"/>
      <c r="AJ403" s="191"/>
      <c r="AK403" s="191"/>
      <c r="AL403" s="190"/>
      <c r="AM403" s="191"/>
      <c r="BE403" s="188" t="s">
        <v>3172</v>
      </c>
      <c r="BF403" s="188" t="s">
        <v>4130</v>
      </c>
      <c r="BG403" s="127">
        <v>42881</v>
      </c>
      <c r="BH403" s="188" t="s">
        <v>10</v>
      </c>
      <c r="BI403" s="188" t="s">
        <v>598</v>
      </c>
      <c r="BJ403" s="189">
        <v>3000</v>
      </c>
      <c r="BK403" s="188" t="s">
        <v>493</v>
      </c>
      <c r="BL403" s="188" t="s">
        <v>598</v>
      </c>
      <c r="BM403" s="189">
        <v>0</v>
      </c>
      <c r="BN403" s="188" t="s">
        <v>598</v>
      </c>
      <c r="BO403" s="127">
        <v>42877</v>
      </c>
      <c r="BP403" s="188" t="s">
        <v>134</v>
      </c>
      <c r="BQ403" s="188" t="s">
        <v>84</v>
      </c>
      <c r="BR403" s="188" t="s">
        <v>301</v>
      </c>
      <c r="BS403" s="188" t="s">
        <v>598</v>
      </c>
      <c r="BT403" s="188" t="s">
        <v>42</v>
      </c>
      <c r="BU403" s="188" t="s">
        <v>73</v>
      </c>
      <c r="BV403" s="188" t="s">
        <v>598</v>
      </c>
    </row>
    <row r="404" spans="5:74">
      <c r="E404" s="21"/>
      <c r="Q404" s="191"/>
      <c r="R404" s="191"/>
      <c r="S404" s="191"/>
      <c r="T404" s="127"/>
      <c r="U404" s="127"/>
      <c r="V404" s="191"/>
      <c r="W404" s="190"/>
      <c r="X404" s="191"/>
      <c r="Y404" s="191"/>
      <c r="Z404" s="191"/>
      <c r="AA404" s="191"/>
      <c r="AB404" s="191"/>
      <c r="AC404" s="191"/>
      <c r="AD404" s="191"/>
      <c r="AE404" s="191"/>
      <c r="AF404" s="191"/>
      <c r="AG404" s="191"/>
      <c r="AH404" s="191"/>
      <c r="AI404" s="127"/>
      <c r="AJ404" s="191"/>
      <c r="AK404" s="191"/>
      <c r="AL404" s="190"/>
      <c r="AM404" s="191"/>
      <c r="BE404" s="188" t="s">
        <v>3174</v>
      </c>
      <c r="BF404" s="188" t="s">
        <v>4131</v>
      </c>
      <c r="BG404" s="127">
        <v>42880</v>
      </c>
      <c r="BH404" s="188" t="s">
        <v>34</v>
      </c>
      <c r="BI404" s="188" t="s">
        <v>598</v>
      </c>
      <c r="BJ404" s="189">
        <v>3000</v>
      </c>
      <c r="BK404" s="188" t="s">
        <v>493</v>
      </c>
      <c r="BL404" s="188" t="s">
        <v>598</v>
      </c>
      <c r="BM404" s="189">
        <v>0</v>
      </c>
      <c r="BN404" s="188" t="s">
        <v>598</v>
      </c>
      <c r="BO404" s="127">
        <v>42880</v>
      </c>
      <c r="BP404" s="188" t="s">
        <v>598</v>
      </c>
      <c r="BQ404" s="188" t="s">
        <v>84</v>
      </c>
      <c r="BR404" s="188" t="s">
        <v>598</v>
      </c>
      <c r="BS404" s="188" t="s">
        <v>1488</v>
      </c>
      <c r="BT404" s="188" t="s">
        <v>42</v>
      </c>
      <c r="BU404" s="188" t="s">
        <v>598</v>
      </c>
      <c r="BV404" s="188" t="s">
        <v>598</v>
      </c>
    </row>
    <row r="405" spans="5:74">
      <c r="E405" s="21"/>
      <c r="Q405" s="191"/>
      <c r="R405" s="191"/>
      <c r="S405" s="191"/>
      <c r="T405" s="127"/>
      <c r="U405" s="127"/>
      <c r="V405" s="191"/>
      <c r="W405" s="190"/>
      <c r="X405" s="191"/>
      <c r="Y405" s="191"/>
      <c r="Z405" s="191"/>
      <c r="AA405" s="191"/>
      <c r="AB405" s="191"/>
      <c r="AC405" s="191"/>
      <c r="AD405" s="191"/>
      <c r="AE405" s="191"/>
      <c r="AF405" s="191"/>
      <c r="AG405" s="191"/>
      <c r="AH405" s="191"/>
      <c r="AI405" s="127"/>
      <c r="AJ405" s="191"/>
      <c r="AK405" s="191"/>
      <c r="AL405" s="190"/>
      <c r="AM405" s="191"/>
      <c r="BE405" s="188" t="s">
        <v>3176</v>
      </c>
      <c r="BF405" s="188" t="s">
        <v>4132</v>
      </c>
      <c r="BG405" s="127">
        <v>42884</v>
      </c>
      <c r="BH405" s="188" t="s">
        <v>34</v>
      </c>
      <c r="BI405" s="188" t="s">
        <v>598</v>
      </c>
      <c r="BJ405" s="189">
        <v>2000</v>
      </c>
      <c r="BK405" s="188" t="s">
        <v>493</v>
      </c>
      <c r="BL405" s="188" t="s">
        <v>598</v>
      </c>
      <c r="BM405" s="189">
        <v>0</v>
      </c>
      <c r="BN405" s="188" t="s">
        <v>598</v>
      </c>
      <c r="BO405" s="127">
        <v>42882</v>
      </c>
      <c r="BP405" s="188" t="s">
        <v>120</v>
      </c>
      <c r="BQ405" s="188" t="s">
        <v>84</v>
      </c>
      <c r="BR405" s="188" t="s">
        <v>293</v>
      </c>
      <c r="BS405" s="188" t="s">
        <v>598</v>
      </c>
      <c r="BT405" s="188" t="s">
        <v>42</v>
      </c>
      <c r="BU405" s="188" t="s">
        <v>598</v>
      </c>
      <c r="BV405" s="188" t="s">
        <v>598</v>
      </c>
    </row>
    <row r="406" spans="5:74">
      <c r="E406" s="21"/>
      <c r="Q406" s="191"/>
      <c r="R406" s="191"/>
      <c r="S406" s="191"/>
      <c r="T406" s="127"/>
      <c r="U406" s="127"/>
      <c r="V406" s="191"/>
      <c r="W406" s="190"/>
      <c r="X406" s="191"/>
      <c r="Y406" s="191"/>
      <c r="Z406" s="191"/>
      <c r="AA406" s="191"/>
      <c r="AB406" s="191"/>
      <c r="AC406" s="191"/>
      <c r="AD406" s="191"/>
      <c r="AE406" s="191"/>
      <c r="AF406" s="191"/>
      <c r="AG406" s="191"/>
      <c r="AH406" s="191"/>
      <c r="AI406" s="127"/>
      <c r="AJ406" s="191"/>
      <c r="AK406" s="191"/>
      <c r="AL406" s="190"/>
      <c r="AM406" s="191"/>
      <c r="BE406" s="188" t="s">
        <v>3178</v>
      </c>
      <c r="BF406" s="188" t="s">
        <v>4133</v>
      </c>
      <c r="BG406" s="127">
        <v>42884</v>
      </c>
      <c r="BH406" s="188" t="s">
        <v>34</v>
      </c>
      <c r="BI406" s="188" t="s">
        <v>598</v>
      </c>
      <c r="BJ406" s="189">
        <v>3000</v>
      </c>
      <c r="BK406" s="188" t="s">
        <v>493</v>
      </c>
      <c r="BL406" s="188" t="s">
        <v>598</v>
      </c>
      <c r="BM406" s="189">
        <v>0</v>
      </c>
      <c r="BN406" s="188" t="s">
        <v>598</v>
      </c>
      <c r="BO406" s="127">
        <v>42884</v>
      </c>
      <c r="BP406" s="188" t="s">
        <v>134</v>
      </c>
      <c r="BQ406" s="188" t="s">
        <v>84</v>
      </c>
      <c r="BR406" s="188" t="s">
        <v>192</v>
      </c>
      <c r="BS406" s="188" t="s">
        <v>598</v>
      </c>
      <c r="BT406" s="188" t="s">
        <v>42</v>
      </c>
      <c r="BU406" s="188" t="s">
        <v>42</v>
      </c>
      <c r="BV406" s="188" t="s">
        <v>598</v>
      </c>
    </row>
    <row r="407" spans="5:74">
      <c r="E407" s="21"/>
      <c r="Q407" s="191"/>
      <c r="R407" s="191"/>
      <c r="S407" s="191"/>
      <c r="T407" s="127"/>
      <c r="U407" s="127"/>
      <c r="V407" s="191"/>
      <c r="W407" s="190"/>
      <c r="X407" s="191"/>
      <c r="Y407" s="191"/>
      <c r="Z407" s="191"/>
      <c r="AA407" s="191"/>
      <c r="AB407" s="191"/>
      <c r="AC407" s="191"/>
      <c r="AD407" s="191"/>
      <c r="AE407" s="191"/>
      <c r="AF407" s="191"/>
      <c r="AG407" s="191"/>
      <c r="AH407" s="191"/>
      <c r="AI407" s="127"/>
      <c r="AJ407" s="191"/>
      <c r="AK407" s="191"/>
      <c r="AL407" s="190"/>
      <c r="AM407" s="191"/>
      <c r="BE407" s="188" t="s">
        <v>3180</v>
      </c>
      <c r="BF407" s="188" t="s">
        <v>4134</v>
      </c>
      <c r="BG407" s="127">
        <v>42884</v>
      </c>
      <c r="BH407" s="188" t="s">
        <v>34</v>
      </c>
      <c r="BI407" s="188" t="s">
        <v>598</v>
      </c>
      <c r="BJ407" s="189">
        <v>2000</v>
      </c>
      <c r="BK407" s="188" t="s">
        <v>493</v>
      </c>
      <c r="BL407" s="188" t="s">
        <v>598</v>
      </c>
      <c r="BM407" s="189">
        <v>0</v>
      </c>
      <c r="BN407" s="188" t="s">
        <v>598</v>
      </c>
      <c r="BO407" s="127">
        <v>42884</v>
      </c>
      <c r="BP407" s="188" t="s">
        <v>134</v>
      </c>
      <c r="BQ407" s="188" t="s">
        <v>84</v>
      </c>
      <c r="BR407" s="188" t="s">
        <v>291</v>
      </c>
      <c r="BS407" s="188" t="s">
        <v>1911</v>
      </c>
      <c r="BT407" s="188" t="s">
        <v>42</v>
      </c>
      <c r="BU407" s="188" t="s">
        <v>42</v>
      </c>
      <c r="BV407" s="188" t="s">
        <v>598</v>
      </c>
    </row>
    <row r="408" spans="5:74">
      <c r="E408" s="21"/>
      <c r="Q408" s="191"/>
      <c r="R408" s="191"/>
      <c r="S408" s="191"/>
      <c r="T408" s="127"/>
      <c r="U408" s="127"/>
      <c r="V408" s="191"/>
      <c r="W408" s="190"/>
      <c r="X408" s="191"/>
      <c r="Y408" s="191"/>
      <c r="Z408" s="191"/>
      <c r="AA408" s="191"/>
      <c r="AB408" s="191"/>
      <c r="AC408" s="191"/>
      <c r="AD408" s="191"/>
      <c r="AE408" s="191"/>
      <c r="AF408" s="191"/>
      <c r="AG408" s="191"/>
      <c r="AH408" s="191"/>
      <c r="AI408" s="127"/>
      <c r="AJ408" s="191"/>
      <c r="AK408" s="191"/>
      <c r="AL408" s="190"/>
      <c r="AM408" s="191"/>
      <c r="BE408" s="188" t="s">
        <v>3182</v>
      </c>
      <c r="BF408" s="188" t="s">
        <v>4135</v>
      </c>
      <c r="BG408" s="127">
        <v>42878</v>
      </c>
      <c r="BH408" s="188" t="s">
        <v>34</v>
      </c>
      <c r="BI408" s="188" t="s">
        <v>598</v>
      </c>
      <c r="BJ408" s="189">
        <v>2000</v>
      </c>
      <c r="BK408" s="188" t="s">
        <v>493</v>
      </c>
      <c r="BL408" s="188" t="s">
        <v>598</v>
      </c>
      <c r="BM408" s="189">
        <v>0</v>
      </c>
      <c r="BN408" s="188" t="s">
        <v>598</v>
      </c>
      <c r="BO408" s="127">
        <v>42665</v>
      </c>
      <c r="BP408" s="188" t="s">
        <v>120</v>
      </c>
      <c r="BQ408" s="188" t="s">
        <v>84</v>
      </c>
      <c r="BR408" s="188" t="s">
        <v>291</v>
      </c>
      <c r="BS408" s="188" t="s">
        <v>3184</v>
      </c>
      <c r="BT408" s="188" t="s">
        <v>42</v>
      </c>
      <c r="BU408" s="188" t="s">
        <v>73</v>
      </c>
      <c r="BV408" s="188" t="s">
        <v>598</v>
      </c>
    </row>
    <row r="409" spans="5:74">
      <c r="E409" s="21"/>
      <c r="Q409" s="191"/>
      <c r="R409" s="191"/>
      <c r="S409" s="191"/>
      <c r="T409" s="127"/>
      <c r="U409" s="127"/>
      <c r="V409" s="191"/>
      <c r="W409" s="190"/>
      <c r="X409" s="191"/>
      <c r="Y409" s="191"/>
      <c r="Z409" s="191"/>
      <c r="AA409" s="191"/>
      <c r="AB409" s="191"/>
      <c r="AC409" s="191"/>
      <c r="AD409" s="191"/>
      <c r="AE409" s="191"/>
      <c r="AF409" s="191"/>
      <c r="AG409" s="191"/>
      <c r="AH409" s="191"/>
      <c r="AI409" s="127"/>
      <c r="AJ409" s="191"/>
      <c r="AK409" s="191"/>
      <c r="AL409" s="190"/>
      <c r="AM409" s="191"/>
      <c r="BE409" s="188" t="s">
        <v>3185</v>
      </c>
      <c r="BF409" s="188" t="s">
        <v>4136</v>
      </c>
      <c r="BG409" s="127">
        <v>42878</v>
      </c>
      <c r="BH409" s="188" t="s">
        <v>3077</v>
      </c>
      <c r="BI409" s="188" t="s">
        <v>598</v>
      </c>
      <c r="BJ409" s="189">
        <v>2000</v>
      </c>
      <c r="BK409" s="188" t="s">
        <v>493</v>
      </c>
      <c r="BL409" s="188" t="s">
        <v>598</v>
      </c>
      <c r="BM409" s="189">
        <v>0</v>
      </c>
      <c r="BN409" s="188" t="s">
        <v>598</v>
      </c>
      <c r="BO409" s="127">
        <v>42665</v>
      </c>
      <c r="BP409" s="188" t="s">
        <v>120</v>
      </c>
      <c r="BQ409" s="188" t="s">
        <v>84</v>
      </c>
      <c r="BR409" s="188" t="s">
        <v>291</v>
      </c>
      <c r="BS409" s="188" t="s">
        <v>3184</v>
      </c>
      <c r="BT409" s="188" t="s">
        <v>42</v>
      </c>
      <c r="BU409" s="188" t="s">
        <v>73</v>
      </c>
      <c r="BV409" s="188" t="s">
        <v>598</v>
      </c>
    </row>
    <row r="410" spans="5:74">
      <c r="E410" s="21"/>
      <c r="Q410" s="191"/>
      <c r="R410" s="191"/>
      <c r="S410" s="191"/>
      <c r="T410" s="127"/>
      <c r="U410" s="127"/>
      <c r="V410" s="191"/>
      <c r="W410" s="190"/>
      <c r="X410" s="191"/>
      <c r="Y410" s="191"/>
      <c r="Z410" s="191"/>
      <c r="AA410" s="191"/>
      <c r="AB410" s="191"/>
      <c r="AC410" s="191"/>
      <c r="AD410" s="191"/>
      <c r="AE410" s="191"/>
      <c r="AF410" s="191"/>
      <c r="AG410" s="191"/>
      <c r="AH410" s="191"/>
      <c r="AI410" s="127"/>
      <c r="AJ410" s="191"/>
      <c r="AK410" s="191"/>
      <c r="AL410" s="190"/>
      <c r="AM410" s="191"/>
      <c r="BE410" s="188" t="s">
        <v>3187</v>
      </c>
      <c r="BF410" s="188" t="s">
        <v>4137</v>
      </c>
      <c r="BG410" s="127">
        <v>42878</v>
      </c>
      <c r="BH410" s="188" t="s">
        <v>3077</v>
      </c>
      <c r="BI410" s="188" t="s">
        <v>598</v>
      </c>
      <c r="BJ410" s="189">
        <v>2000</v>
      </c>
      <c r="BK410" s="188" t="s">
        <v>493</v>
      </c>
      <c r="BL410" s="188" t="s">
        <v>598</v>
      </c>
      <c r="BM410" s="189">
        <v>0</v>
      </c>
      <c r="BN410" s="188" t="s">
        <v>598</v>
      </c>
      <c r="BO410" s="127">
        <v>42665</v>
      </c>
      <c r="BP410" s="188" t="s">
        <v>120</v>
      </c>
      <c r="BQ410" s="188" t="s">
        <v>84</v>
      </c>
      <c r="BR410" s="188" t="s">
        <v>291</v>
      </c>
      <c r="BS410" s="188" t="s">
        <v>3184</v>
      </c>
      <c r="BT410" s="188" t="s">
        <v>42</v>
      </c>
      <c r="BU410" s="188" t="s">
        <v>73</v>
      </c>
      <c r="BV410" s="188" t="s">
        <v>598</v>
      </c>
    </row>
    <row r="411" spans="5:74">
      <c r="E411" s="21"/>
      <c r="Q411" s="191"/>
      <c r="R411" s="191"/>
      <c r="S411" s="191"/>
      <c r="T411" s="127"/>
      <c r="U411" s="127"/>
      <c r="V411" s="191"/>
      <c r="W411" s="190"/>
      <c r="X411" s="191"/>
      <c r="Y411" s="191"/>
      <c r="Z411" s="191"/>
      <c r="AA411" s="191"/>
      <c r="AB411" s="191"/>
      <c r="AC411" s="191"/>
      <c r="AD411" s="191"/>
      <c r="AE411" s="191"/>
      <c r="AF411" s="191"/>
      <c r="AG411" s="191"/>
      <c r="AH411" s="191"/>
      <c r="AI411" s="127"/>
      <c r="AJ411" s="191"/>
      <c r="AK411" s="191"/>
      <c r="AL411" s="190"/>
      <c r="AM411" s="191"/>
      <c r="BE411" s="188" t="s">
        <v>3189</v>
      </c>
      <c r="BF411" s="188" t="s">
        <v>4138</v>
      </c>
      <c r="BG411" s="127">
        <v>42878</v>
      </c>
      <c r="BH411" s="188" t="s">
        <v>3077</v>
      </c>
      <c r="BI411" s="188" t="s">
        <v>598</v>
      </c>
      <c r="BJ411" s="189">
        <v>2000</v>
      </c>
      <c r="BK411" s="188" t="s">
        <v>493</v>
      </c>
      <c r="BL411" s="188" t="s">
        <v>598</v>
      </c>
      <c r="BM411" s="189">
        <v>0</v>
      </c>
      <c r="BN411" s="188" t="s">
        <v>598</v>
      </c>
      <c r="BO411" s="127">
        <v>42665</v>
      </c>
      <c r="BP411" s="188" t="s">
        <v>120</v>
      </c>
      <c r="BQ411" s="188" t="s">
        <v>84</v>
      </c>
      <c r="BR411" s="188" t="s">
        <v>291</v>
      </c>
      <c r="BS411" s="188" t="s">
        <v>3184</v>
      </c>
      <c r="BT411" s="188" t="s">
        <v>42</v>
      </c>
      <c r="BU411" s="188" t="s">
        <v>73</v>
      </c>
      <c r="BV411" s="188" t="s">
        <v>598</v>
      </c>
    </row>
    <row r="412" spans="5:74">
      <c r="E412" s="21"/>
      <c r="Q412" s="191"/>
      <c r="R412" s="191"/>
      <c r="S412" s="191"/>
      <c r="T412" s="127"/>
      <c r="U412" s="127"/>
      <c r="V412" s="191"/>
      <c r="W412" s="190"/>
      <c r="X412" s="191"/>
      <c r="Y412" s="191"/>
      <c r="Z412" s="191"/>
      <c r="AA412" s="191"/>
      <c r="AB412" s="191"/>
      <c r="AC412" s="191"/>
      <c r="AD412" s="191"/>
      <c r="AE412" s="191"/>
      <c r="AF412" s="191"/>
      <c r="AG412" s="191"/>
      <c r="AH412" s="191"/>
      <c r="AI412" s="127"/>
      <c r="AJ412" s="191"/>
      <c r="AK412" s="191"/>
      <c r="AL412" s="190"/>
      <c r="AM412" s="191"/>
      <c r="BE412" s="188" t="s">
        <v>3191</v>
      </c>
      <c r="BF412" s="188" t="s">
        <v>4139</v>
      </c>
      <c r="BG412" s="127">
        <v>42861</v>
      </c>
      <c r="BH412" s="188" t="s">
        <v>10</v>
      </c>
      <c r="BI412" s="188" t="s">
        <v>598</v>
      </c>
      <c r="BJ412" s="189">
        <v>2000</v>
      </c>
      <c r="BK412" s="188" t="s">
        <v>493</v>
      </c>
      <c r="BL412" s="188" t="s">
        <v>598</v>
      </c>
      <c r="BM412" s="189">
        <v>0</v>
      </c>
      <c r="BN412" s="188" t="s">
        <v>598</v>
      </c>
      <c r="BO412" s="127">
        <v>42685</v>
      </c>
      <c r="BP412" s="188" t="s">
        <v>598</v>
      </c>
      <c r="BQ412" s="188" t="s">
        <v>84</v>
      </c>
      <c r="BR412" s="188" t="s">
        <v>244</v>
      </c>
      <c r="BS412" s="188" t="s">
        <v>1919</v>
      </c>
      <c r="BT412" s="188" t="s">
        <v>42</v>
      </c>
      <c r="BU412" s="188" t="s">
        <v>42</v>
      </c>
      <c r="BV412" s="188" t="s">
        <v>598</v>
      </c>
    </row>
    <row r="413" spans="5:74">
      <c r="E413" s="21"/>
      <c r="Q413" s="191"/>
      <c r="R413" s="191"/>
      <c r="S413" s="191"/>
      <c r="T413" s="127"/>
      <c r="U413" s="127"/>
      <c r="V413" s="191"/>
      <c r="W413" s="190"/>
      <c r="X413" s="191"/>
      <c r="Y413" s="191"/>
      <c r="Z413" s="191"/>
      <c r="AA413" s="191"/>
      <c r="AB413" s="191"/>
      <c r="AC413" s="191"/>
      <c r="AD413" s="191"/>
      <c r="AE413" s="191"/>
      <c r="AF413" s="191"/>
      <c r="AG413" s="191"/>
      <c r="AH413" s="191"/>
      <c r="AI413" s="127"/>
      <c r="AJ413" s="191"/>
      <c r="AK413" s="191"/>
      <c r="AL413" s="190"/>
      <c r="AM413" s="191"/>
      <c r="BE413" s="188" t="s">
        <v>3193</v>
      </c>
      <c r="BF413" s="188" t="s">
        <v>4140</v>
      </c>
      <c r="BG413" s="127">
        <v>42861</v>
      </c>
      <c r="BH413" s="188" t="s">
        <v>10</v>
      </c>
      <c r="BI413" s="188" t="s">
        <v>598</v>
      </c>
      <c r="BJ413" s="189">
        <v>2000</v>
      </c>
      <c r="BK413" s="188" t="s">
        <v>493</v>
      </c>
      <c r="BL413" s="188" t="s">
        <v>598</v>
      </c>
      <c r="BM413" s="189">
        <v>0</v>
      </c>
      <c r="BN413" s="188" t="s">
        <v>598</v>
      </c>
      <c r="BO413" s="127">
        <v>42685</v>
      </c>
      <c r="BP413" s="188" t="s">
        <v>598</v>
      </c>
      <c r="BQ413" s="188" t="s">
        <v>84</v>
      </c>
      <c r="BR413" s="188" t="s">
        <v>244</v>
      </c>
      <c r="BS413" s="188" t="s">
        <v>1919</v>
      </c>
      <c r="BT413" s="188" t="s">
        <v>42</v>
      </c>
      <c r="BU413" s="188" t="s">
        <v>42</v>
      </c>
      <c r="BV413" s="188" t="s">
        <v>598</v>
      </c>
    </row>
    <row r="414" spans="5:74">
      <c r="E414" s="21"/>
      <c r="Q414" s="191"/>
      <c r="R414" s="191"/>
      <c r="S414" s="191"/>
      <c r="T414" s="127"/>
      <c r="U414" s="127"/>
      <c r="V414" s="191"/>
      <c r="W414" s="190"/>
      <c r="X414" s="191"/>
      <c r="Y414" s="191"/>
      <c r="Z414" s="191"/>
      <c r="AA414" s="191"/>
      <c r="AB414" s="191"/>
      <c r="AC414" s="191"/>
      <c r="AD414" s="191"/>
      <c r="AE414" s="191"/>
      <c r="AF414" s="191"/>
      <c r="AG414" s="191"/>
      <c r="AH414" s="191"/>
      <c r="AI414" s="127"/>
      <c r="AJ414" s="191"/>
      <c r="AK414" s="191"/>
      <c r="AL414" s="190"/>
      <c r="AM414" s="191"/>
      <c r="BE414" s="188" t="s">
        <v>3195</v>
      </c>
      <c r="BF414" s="188" t="s">
        <v>4141</v>
      </c>
      <c r="BG414" s="127">
        <v>42861</v>
      </c>
      <c r="BH414" s="188" t="s">
        <v>10</v>
      </c>
      <c r="BI414" s="188" t="s">
        <v>598</v>
      </c>
      <c r="BJ414" s="189">
        <v>2000</v>
      </c>
      <c r="BK414" s="188" t="s">
        <v>493</v>
      </c>
      <c r="BL414" s="188" t="s">
        <v>598</v>
      </c>
      <c r="BM414" s="189">
        <v>0</v>
      </c>
      <c r="BN414" s="188" t="s">
        <v>598</v>
      </c>
      <c r="BO414" s="127">
        <v>42685</v>
      </c>
      <c r="BP414" s="188" t="s">
        <v>598</v>
      </c>
      <c r="BQ414" s="188" t="s">
        <v>84</v>
      </c>
      <c r="BR414" s="188" t="s">
        <v>244</v>
      </c>
      <c r="BS414" s="188" t="s">
        <v>1919</v>
      </c>
      <c r="BT414" s="188" t="s">
        <v>42</v>
      </c>
      <c r="BU414" s="188" t="s">
        <v>42</v>
      </c>
      <c r="BV414" s="188" t="s">
        <v>598</v>
      </c>
    </row>
    <row r="415" spans="5:74">
      <c r="E415" s="21"/>
      <c r="Q415" s="191"/>
      <c r="R415" s="191"/>
      <c r="S415" s="191"/>
      <c r="T415" s="127"/>
      <c r="U415" s="127"/>
      <c r="V415" s="191"/>
      <c r="W415" s="190"/>
      <c r="X415" s="191"/>
      <c r="Y415" s="191"/>
      <c r="Z415" s="191"/>
      <c r="AA415" s="191"/>
      <c r="AB415" s="191"/>
      <c r="AC415" s="191"/>
      <c r="AD415" s="191"/>
      <c r="AE415" s="191"/>
      <c r="AF415" s="191"/>
      <c r="AG415" s="191"/>
      <c r="AH415" s="191"/>
      <c r="AI415" s="127"/>
      <c r="AJ415" s="191"/>
      <c r="AK415" s="191"/>
      <c r="AL415" s="190"/>
      <c r="AM415" s="191"/>
      <c r="BE415" s="188" t="s">
        <v>3197</v>
      </c>
      <c r="BF415" s="188" t="s">
        <v>4142</v>
      </c>
      <c r="BG415" s="127">
        <v>42861</v>
      </c>
      <c r="BH415" s="188" t="s">
        <v>10</v>
      </c>
      <c r="BI415" s="188" t="s">
        <v>598</v>
      </c>
      <c r="BJ415" s="189">
        <v>2000</v>
      </c>
      <c r="BK415" s="188" t="s">
        <v>493</v>
      </c>
      <c r="BL415" s="188" t="s">
        <v>598</v>
      </c>
      <c r="BM415" s="189">
        <v>0</v>
      </c>
      <c r="BN415" s="188" t="s">
        <v>598</v>
      </c>
      <c r="BO415" s="127">
        <v>42685</v>
      </c>
      <c r="BP415" s="188" t="s">
        <v>134</v>
      </c>
      <c r="BQ415" s="188" t="s">
        <v>84</v>
      </c>
      <c r="BR415" s="188" t="s">
        <v>244</v>
      </c>
      <c r="BS415" s="188" t="s">
        <v>1919</v>
      </c>
      <c r="BT415" s="188" t="s">
        <v>42</v>
      </c>
      <c r="BU415" s="188" t="s">
        <v>42</v>
      </c>
      <c r="BV415" s="188" t="s">
        <v>598</v>
      </c>
    </row>
    <row r="416" spans="5:74">
      <c r="E416" s="21"/>
      <c r="Q416" s="191"/>
      <c r="R416" s="191"/>
      <c r="S416" s="191"/>
      <c r="T416" s="127"/>
      <c r="U416" s="127"/>
      <c r="V416" s="191"/>
      <c r="W416" s="190"/>
      <c r="X416" s="191"/>
      <c r="Y416" s="191"/>
      <c r="Z416" s="191"/>
      <c r="AA416" s="191"/>
      <c r="AB416" s="191"/>
      <c r="AC416" s="191"/>
      <c r="AD416" s="191"/>
      <c r="AE416" s="191"/>
      <c r="AF416" s="191"/>
      <c r="AG416" s="191"/>
      <c r="AH416" s="191"/>
      <c r="AI416" s="127"/>
      <c r="AJ416" s="191"/>
      <c r="AK416" s="191"/>
      <c r="AL416" s="190"/>
      <c r="AM416" s="191"/>
      <c r="BE416" s="188" t="s">
        <v>3199</v>
      </c>
      <c r="BF416" s="188" t="s">
        <v>4143</v>
      </c>
      <c r="BG416" s="127">
        <v>42861</v>
      </c>
      <c r="BH416" s="188" t="s">
        <v>10</v>
      </c>
      <c r="BI416" s="188" t="s">
        <v>598</v>
      </c>
      <c r="BJ416" s="189">
        <v>2000</v>
      </c>
      <c r="BK416" s="188" t="s">
        <v>493</v>
      </c>
      <c r="BL416" s="188" t="s">
        <v>598</v>
      </c>
      <c r="BM416" s="189">
        <v>0</v>
      </c>
      <c r="BN416" s="188" t="s">
        <v>598</v>
      </c>
      <c r="BO416" s="127">
        <v>42685</v>
      </c>
      <c r="BP416" s="188" t="s">
        <v>134</v>
      </c>
      <c r="BQ416" s="188" t="s">
        <v>84</v>
      </c>
      <c r="BR416" s="188" t="s">
        <v>244</v>
      </c>
      <c r="BS416" s="188" t="s">
        <v>1919</v>
      </c>
      <c r="BT416" s="188" t="s">
        <v>42</v>
      </c>
      <c r="BU416" s="188" t="s">
        <v>42</v>
      </c>
      <c r="BV416" s="188" t="s">
        <v>598</v>
      </c>
    </row>
    <row r="417" spans="5:74">
      <c r="E417" s="21"/>
      <c r="Q417" s="191"/>
      <c r="R417" s="191"/>
      <c r="S417" s="191"/>
      <c r="T417" s="127"/>
      <c r="U417" s="127"/>
      <c r="V417" s="191"/>
      <c r="W417" s="190"/>
      <c r="X417" s="191"/>
      <c r="Y417" s="191"/>
      <c r="Z417" s="191"/>
      <c r="AA417" s="191"/>
      <c r="AB417" s="191"/>
      <c r="AC417" s="191"/>
      <c r="AD417" s="191"/>
      <c r="AE417" s="191"/>
      <c r="AF417" s="191"/>
      <c r="AG417" s="191"/>
      <c r="AH417" s="191"/>
      <c r="AI417" s="127"/>
      <c r="AJ417" s="191"/>
      <c r="AK417" s="191"/>
      <c r="AL417" s="190"/>
      <c r="AM417" s="191"/>
      <c r="BE417" s="188" t="s">
        <v>3201</v>
      </c>
      <c r="BF417" s="188" t="s">
        <v>4144</v>
      </c>
      <c r="BG417" s="127">
        <v>42861</v>
      </c>
      <c r="BH417" s="188" t="s">
        <v>10</v>
      </c>
      <c r="BI417" s="188" t="s">
        <v>598</v>
      </c>
      <c r="BJ417" s="189">
        <v>2000</v>
      </c>
      <c r="BK417" s="188" t="s">
        <v>493</v>
      </c>
      <c r="BL417" s="188" t="s">
        <v>598</v>
      </c>
      <c r="BM417" s="189">
        <v>0</v>
      </c>
      <c r="BN417" s="188" t="s">
        <v>598</v>
      </c>
      <c r="BO417" s="127">
        <v>42686</v>
      </c>
      <c r="BP417" s="188" t="s">
        <v>598</v>
      </c>
      <c r="BQ417" s="188" t="s">
        <v>84</v>
      </c>
      <c r="BR417" s="188" t="s">
        <v>281</v>
      </c>
      <c r="BS417" s="188" t="s">
        <v>1919</v>
      </c>
      <c r="BT417" s="188" t="s">
        <v>42</v>
      </c>
      <c r="BU417" s="188" t="s">
        <v>42</v>
      </c>
      <c r="BV417" s="188" t="s">
        <v>598</v>
      </c>
    </row>
    <row r="418" spans="5:74">
      <c r="E418" s="21"/>
      <c r="Q418" s="191"/>
      <c r="R418" s="191"/>
      <c r="S418" s="191"/>
      <c r="T418" s="127"/>
      <c r="U418" s="127"/>
      <c r="V418" s="191"/>
      <c r="W418" s="190"/>
      <c r="X418" s="191"/>
      <c r="Y418" s="191"/>
      <c r="Z418" s="191"/>
      <c r="AA418" s="191"/>
      <c r="AB418" s="191"/>
      <c r="AC418" s="191"/>
      <c r="AD418" s="191"/>
      <c r="AE418" s="191"/>
      <c r="AF418" s="191"/>
      <c r="AG418" s="191"/>
      <c r="AH418" s="191"/>
      <c r="AI418" s="127"/>
      <c r="AJ418" s="191"/>
      <c r="AK418" s="191"/>
      <c r="AL418" s="190"/>
      <c r="AM418" s="191"/>
      <c r="BE418" s="188" t="s">
        <v>3203</v>
      </c>
      <c r="BF418" s="188" t="s">
        <v>4145</v>
      </c>
      <c r="BG418" s="127">
        <v>42861</v>
      </c>
      <c r="BH418" s="188" t="s">
        <v>10</v>
      </c>
      <c r="BI418" s="188" t="s">
        <v>598</v>
      </c>
      <c r="BJ418" s="189">
        <v>2000</v>
      </c>
      <c r="BK418" s="188" t="s">
        <v>493</v>
      </c>
      <c r="BL418" s="188" t="s">
        <v>598</v>
      </c>
      <c r="BM418" s="189">
        <v>0</v>
      </c>
      <c r="BN418" s="188" t="s">
        <v>598</v>
      </c>
      <c r="BO418" s="127">
        <v>42693</v>
      </c>
      <c r="BP418" s="188" t="s">
        <v>134</v>
      </c>
      <c r="BQ418" s="188" t="s">
        <v>84</v>
      </c>
      <c r="BR418" s="188" t="s">
        <v>244</v>
      </c>
      <c r="BS418" s="188" t="s">
        <v>1919</v>
      </c>
      <c r="BT418" s="188" t="s">
        <v>42</v>
      </c>
      <c r="BU418" s="188" t="s">
        <v>598</v>
      </c>
      <c r="BV418" s="188" t="s">
        <v>598</v>
      </c>
    </row>
    <row r="419" spans="5:74">
      <c r="E419" s="21"/>
      <c r="Q419" s="191"/>
      <c r="R419" s="191"/>
      <c r="S419" s="191"/>
      <c r="T419" s="127"/>
      <c r="U419" s="127"/>
      <c r="V419" s="191"/>
      <c r="W419" s="190"/>
      <c r="X419" s="191"/>
      <c r="Y419" s="191"/>
      <c r="Z419" s="191"/>
      <c r="AA419" s="191"/>
      <c r="AB419" s="191"/>
      <c r="AC419" s="191"/>
      <c r="AD419" s="191"/>
      <c r="AE419" s="191"/>
      <c r="AF419" s="191"/>
      <c r="AG419" s="191"/>
      <c r="AH419" s="191"/>
      <c r="AI419" s="127"/>
      <c r="AJ419" s="191"/>
      <c r="AK419" s="191"/>
      <c r="AL419" s="190"/>
      <c r="AM419" s="191"/>
      <c r="BE419" s="188" t="s">
        <v>3205</v>
      </c>
      <c r="BF419" s="188" t="s">
        <v>4146</v>
      </c>
      <c r="BG419" s="127">
        <v>42861</v>
      </c>
      <c r="BH419" s="188" t="s">
        <v>10</v>
      </c>
      <c r="BI419" s="188" t="s">
        <v>598</v>
      </c>
      <c r="BJ419" s="189">
        <v>2000</v>
      </c>
      <c r="BK419" s="188" t="s">
        <v>493</v>
      </c>
      <c r="BL419" s="188" t="s">
        <v>598</v>
      </c>
      <c r="BM419" s="189">
        <v>0</v>
      </c>
      <c r="BN419" s="188" t="s">
        <v>598</v>
      </c>
      <c r="BO419" s="127">
        <v>42693</v>
      </c>
      <c r="BP419" s="188" t="s">
        <v>134</v>
      </c>
      <c r="BQ419" s="188" t="s">
        <v>84</v>
      </c>
      <c r="BR419" s="188" t="s">
        <v>244</v>
      </c>
      <c r="BS419" s="188" t="s">
        <v>1919</v>
      </c>
      <c r="BT419" s="188" t="s">
        <v>42</v>
      </c>
      <c r="BU419" s="188" t="s">
        <v>598</v>
      </c>
      <c r="BV419" s="188" t="s">
        <v>598</v>
      </c>
    </row>
    <row r="420" spans="5:74">
      <c r="E420" s="21"/>
      <c r="Q420" s="191"/>
      <c r="R420" s="191"/>
      <c r="S420" s="191"/>
      <c r="T420" s="127"/>
      <c r="U420" s="127"/>
      <c r="V420" s="191"/>
      <c r="W420" s="190"/>
      <c r="X420" s="191"/>
      <c r="Y420" s="191"/>
      <c r="Z420" s="191"/>
      <c r="AA420" s="191"/>
      <c r="AB420" s="191"/>
      <c r="AC420" s="191"/>
      <c r="AD420" s="191"/>
      <c r="AE420" s="191"/>
      <c r="AF420" s="191"/>
      <c r="AG420" s="191"/>
      <c r="AH420" s="191"/>
      <c r="AI420" s="127"/>
      <c r="AJ420" s="191"/>
      <c r="AK420" s="191"/>
      <c r="AL420" s="190"/>
      <c r="AM420" s="191"/>
      <c r="BE420" s="188" t="s">
        <v>3207</v>
      </c>
      <c r="BF420" s="188" t="s">
        <v>4147</v>
      </c>
      <c r="BG420" s="127">
        <v>42861</v>
      </c>
      <c r="BH420" s="188" t="s">
        <v>10</v>
      </c>
      <c r="BI420" s="188" t="s">
        <v>598</v>
      </c>
      <c r="BJ420" s="189">
        <v>2000</v>
      </c>
      <c r="BK420" s="188" t="s">
        <v>493</v>
      </c>
      <c r="BL420" s="188" t="s">
        <v>598</v>
      </c>
      <c r="BM420" s="189">
        <v>0</v>
      </c>
      <c r="BN420" s="188" t="s">
        <v>598</v>
      </c>
      <c r="BO420" s="127">
        <v>42693</v>
      </c>
      <c r="BP420" s="188" t="s">
        <v>134</v>
      </c>
      <c r="BQ420" s="188" t="s">
        <v>84</v>
      </c>
      <c r="BR420" s="188" t="s">
        <v>244</v>
      </c>
      <c r="BS420" s="188" t="s">
        <v>1919</v>
      </c>
      <c r="BT420" s="188" t="s">
        <v>42</v>
      </c>
      <c r="BU420" s="188" t="s">
        <v>598</v>
      </c>
      <c r="BV420" s="188" t="s">
        <v>598</v>
      </c>
    </row>
    <row r="421" spans="5:74">
      <c r="E421" s="21"/>
      <c r="Q421" s="191"/>
      <c r="R421" s="191"/>
      <c r="S421" s="191"/>
      <c r="T421" s="127"/>
      <c r="U421" s="127"/>
      <c r="V421" s="191"/>
      <c r="W421" s="190"/>
      <c r="X421" s="191"/>
      <c r="Y421" s="191"/>
      <c r="Z421" s="191"/>
      <c r="AA421" s="191"/>
      <c r="AB421" s="191"/>
      <c r="AC421" s="191"/>
      <c r="AD421" s="191"/>
      <c r="AE421" s="191"/>
      <c r="AF421" s="191"/>
      <c r="AG421" s="191"/>
      <c r="AH421" s="191"/>
      <c r="AI421" s="127"/>
      <c r="AJ421" s="191"/>
      <c r="AK421" s="191"/>
      <c r="AL421" s="190"/>
      <c r="AM421" s="191"/>
      <c r="BE421" s="188" t="s">
        <v>3209</v>
      </c>
      <c r="BF421" s="188" t="s">
        <v>4148</v>
      </c>
      <c r="BG421" s="127">
        <v>42867</v>
      </c>
      <c r="BH421" s="188" t="s">
        <v>10</v>
      </c>
      <c r="BI421" s="188" t="s">
        <v>598</v>
      </c>
      <c r="BJ421" s="189">
        <v>9000</v>
      </c>
      <c r="BK421" s="188" t="s">
        <v>493</v>
      </c>
      <c r="BL421" s="188" t="s">
        <v>598</v>
      </c>
      <c r="BM421" s="189">
        <v>0</v>
      </c>
      <c r="BN421" s="188" t="s">
        <v>598</v>
      </c>
      <c r="BO421" s="127">
        <v>42745</v>
      </c>
      <c r="BP421" s="188" t="s">
        <v>48</v>
      </c>
      <c r="BQ421" s="188" t="s">
        <v>84</v>
      </c>
      <c r="BR421" s="188" t="s">
        <v>291</v>
      </c>
      <c r="BS421" s="188" t="s">
        <v>1911</v>
      </c>
      <c r="BT421" s="188" t="s">
        <v>42</v>
      </c>
      <c r="BU421" s="188" t="s">
        <v>42</v>
      </c>
      <c r="BV421" s="188" t="s">
        <v>598</v>
      </c>
    </row>
    <row r="422" spans="5:74">
      <c r="E422" s="21"/>
      <c r="Q422" s="191"/>
      <c r="R422" s="191"/>
      <c r="S422" s="191"/>
      <c r="T422" s="127"/>
      <c r="U422" s="127"/>
      <c r="V422" s="191"/>
      <c r="W422" s="190"/>
      <c r="X422" s="191"/>
      <c r="Y422" s="191"/>
      <c r="Z422" s="191"/>
      <c r="AA422" s="191"/>
      <c r="AB422" s="191"/>
      <c r="AC422" s="191"/>
      <c r="AD422" s="191"/>
      <c r="AE422" s="191"/>
      <c r="AF422" s="191"/>
      <c r="AG422" s="191"/>
      <c r="AH422" s="191"/>
      <c r="AI422" s="127"/>
      <c r="AJ422" s="191"/>
      <c r="AK422" s="191"/>
      <c r="AL422" s="190"/>
      <c r="AM422" s="191"/>
      <c r="BE422" s="188" t="s">
        <v>3211</v>
      </c>
      <c r="BF422" s="188" t="s">
        <v>4149</v>
      </c>
      <c r="BG422" s="127">
        <v>42867</v>
      </c>
      <c r="BH422" s="188" t="s">
        <v>10</v>
      </c>
      <c r="BI422" s="188" t="s">
        <v>598</v>
      </c>
      <c r="BJ422" s="189">
        <v>9000</v>
      </c>
      <c r="BK422" s="188" t="s">
        <v>493</v>
      </c>
      <c r="BL422" s="188" t="s">
        <v>598</v>
      </c>
      <c r="BM422" s="189">
        <v>0</v>
      </c>
      <c r="BN422" s="188" t="s">
        <v>598</v>
      </c>
      <c r="BO422" s="127">
        <v>42755</v>
      </c>
      <c r="BP422" s="188" t="s">
        <v>122</v>
      </c>
      <c r="BQ422" s="188" t="s">
        <v>84</v>
      </c>
      <c r="BR422" s="188" t="s">
        <v>291</v>
      </c>
      <c r="BS422" s="188" t="s">
        <v>1911</v>
      </c>
      <c r="BT422" s="188" t="s">
        <v>42</v>
      </c>
      <c r="BU422" s="188" t="s">
        <v>598</v>
      </c>
      <c r="BV422" s="188" t="s">
        <v>598</v>
      </c>
    </row>
    <row r="423" spans="5:74">
      <c r="E423" s="21"/>
      <c r="Q423" s="191"/>
      <c r="R423" s="191"/>
      <c r="S423" s="191"/>
      <c r="T423" s="127"/>
      <c r="U423" s="127"/>
      <c r="V423" s="191"/>
      <c r="W423" s="190"/>
      <c r="X423" s="191"/>
      <c r="Y423" s="191"/>
      <c r="Z423" s="191"/>
      <c r="AA423" s="191"/>
      <c r="AB423" s="191"/>
      <c r="AC423" s="191"/>
      <c r="AD423" s="191"/>
      <c r="AE423" s="191"/>
      <c r="AF423" s="191"/>
      <c r="AG423" s="191"/>
      <c r="AH423" s="191"/>
      <c r="AI423" s="127"/>
      <c r="AJ423" s="191"/>
      <c r="AK423" s="191"/>
      <c r="AL423" s="190"/>
      <c r="AM423" s="191"/>
      <c r="BE423" s="188" t="s">
        <v>3213</v>
      </c>
      <c r="BF423" s="188" t="s">
        <v>4150</v>
      </c>
      <c r="BG423" s="127">
        <v>42861</v>
      </c>
      <c r="BH423" s="188" t="s">
        <v>10</v>
      </c>
      <c r="BI423" s="188" t="s">
        <v>598</v>
      </c>
      <c r="BJ423" s="189">
        <v>2000</v>
      </c>
      <c r="BK423" s="188" t="s">
        <v>493</v>
      </c>
      <c r="BL423" s="188" t="s">
        <v>598</v>
      </c>
      <c r="BM423" s="189">
        <v>0</v>
      </c>
      <c r="BN423" s="188" t="s">
        <v>598</v>
      </c>
      <c r="BO423" s="127">
        <v>42763</v>
      </c>
      <c r="BP423" s="188" t="s">
        <v>134</v>
      </c>
      <c r="BQ423" s="188" t="s">
        <v>84</v>
      </c>
      <c r="BR423" s="188" t="s">
        <v>3215</v>
      </c>
      <c r="BS423" s="188" t="s">
        <v>1919</v>
      </c>
      <c r="BT423" s="188" t="s">
        <v>42</v>
      </c>
      <c r="BU423" s="188" t="s">
        <v>598</v>
      </c>
      <c r="BV423" s="188" t="s">
        <v>598</v>
      </c>
    </row>
    <row r="424" spans="5:74">
      <c r="E424" s="21"/>
      <c r="Q424" s="191"/>
      <c r="R424" s="191"/>
      <c r="S424" s="191"/>
      <c r="T424" s="127"/>
      <c r="U424" s="127"/>
      <c r="V424" s="191"/>
      <c r="W424" s="190"/>
      <c r="X424" s="191"/>
      <c r="Y424" s="191"/>
      <c r="Z424" s="191"/>
      <c r="AA424" s="191"/>
      <c r="AB424" s="191"/>
      <c r="AC424" s="191"/>
      <c r="AD424" s="191"/>
      <c r="AE424" s="191"/>
      <c r="AF424" s="191"/>
      <c r="AG424" s="191"/>
      <c r="AH424" s="191"/>
      <c r="AI424" s="127"/>
      <c r="AJ424" s="191"/>
      <c r="AK424" s="191"/>
      <c r="AL424" s="190"/>
      <c r="AM424" s="191"/>
      <c r="BE424" s="188" t="s">
        <v>3216</v>
      </c>
      <c r="BF424" s="188" t="s">
        <v>4151</v>
      </c>
      <c r="BG424" s="127">
        <v>42874</v>
      </c>
      <c r="BH424" s="188" t="s">
        <v>10</v>
      </c>
      <c r="BI424" s="188" t="s">
        <v>598</v>
      </c>
      <c r="BJ424" s="189">
        <v>4000</v>
      </c>
      <c r="BK424" s="188" t="s">
        <v>493</v>
      </c>
      <c r="BL424" s="188" t="s">
        <v>598</v>
      </c>
      <c r="BM424" s="189">
        <v>0</v>
      </c>
      <c r="BN424" s="188" t="s">
        <v>598</v>
      </c>
      <c r="BO424" s="127">
        <v>42769</v>
      </c>
      <c r="BP424" s="188" t="s">
        <v>120</v>
      </c>
      <c r="BQ424" s="188" t="s">
        <v>84</v>
      </c>
      <c r="BR424" s="188" t="s">
        <v>281</v>
      </c>
      <c r="BS424" s="188" t="s">
        <v>2872</v>
      </c>
      <c r="BT424" s="188" t="s">
        <v>42</v>
      </c>
      <c r="BU424" s="188" t="s">
        <v>73</v>
      </c>
      <c r="BV424" s="188" t="s">
        <v>598</v>
      </c>
    </row>
    <row r="425" spans="5:74">
      <c r="E425" s="21"/>
      <c r="Q425" s="191"/>
      <c r="R425" s="191"/>
      <c r="S425" s="191"/>
      <c r="T425" s="127"/>
      <c r="U425" s="127"/>
      <c r="V425" s="191"/>
      <c r="W425" s="190"/>
      <c r="X425" s="191"/>
      <c r="Y425" s="191"/>
      <c r="Z425" s="191"/>
      <c r="AA425" s="191"/>
      <c r="AB425" s="191"/>
      <c r="AC425" s="191"/>
      <c r="AD425" s="191"/>
      <c r="AE425" s="191"/>
      <c r="AF425" s="191"/>
      <c r="AG425" s="191"/>
      <c r="AH425" s="191"/>
      <c r="AI425" s="127"/>
      <c r="AJ425" s="191"/>
      <c r="AK425" s="191"/>
      <c r="AL425" s="190"/>
      <c r="AM425" s="191"/>
      <c r="BE425" s="188" t="s">
        <v>3218</v>
      </c>
      <c r="BF425" s="188" t="s">
        <v>4152</v>
      </c>
      <c r="BG425" s="127">
        <v>42863</v>
      </c>
      <c r="BH425" s="188" t="s">
        <v>10</v>
      </c>
      <c r="BI425" s="188" t="s">
        <v>598</v>
      </c>
      <c r="BJ425" s="189">
        <v>7500</v>
      </c>
      <c r="BK425" s="188" t="s">
        <v>493</v>
      </c>
      <c r="BL425" s="188" t="s">
        <v>598</v>
      </c>
      <c r="BM425" s="189">
        <v>0</v>
      </c>
      <c r="BN425" s="188" t="s">
        <v>598</v>
      </c>
      <c r="BO425" s="127">
        <v>42779</v>
      </c>
      <c r="BP425" s="188" t="s">
        <v>58</v>
      </c>
      <c r="BQ425" s="188" t="s">
        <v>84</v>
      </c>
      <c r="BR425" s="188" t="s">
        <v>189</v>
      </c>
      <c r="BS425" s="188" t="s">
        <v>2060</v>
      </c>
      <c r="BT425" s="188" t="s">
        <v>42</v>
      </c>
      <c r="BU425" s="188" t="s">
        <v>73</v>
      </c>
      <c r="BV425" s="188" t="s">
        <v>598</v>
      </c>
    </row>
    <row r="426" spans="5:74">
      <c r="E426" s="21"/>
      <c r="Q426" s="191"/>
      <c r="R426" s="191"/>
      <c r="S426" s="191"/>
      <c r="T426" s="127"/>
      <c r="U426" s="127"/>
      <c r="V426" s="191"/>
      <c r="W426" s="190"/>
      <c r="X426" s="191"/>
      <c r="Y426" s="191"/>
      <c r="Z426" s="191"/>
      <c r="AA426" s="191"/>
      <c r="AB426" s="191"/>
      <c r="AC426" s="191"/>
      <c r="AD426" s="191"/>
      <c r="AE426" s="191"/>
      <c r="AF426" s="191"/>
      <c r="AG426" s="191"/>
      <c r="AH426" s="191"/>
      <c r="AI426" s="127"/>
      <c r="AJ426" s="191"/>
      <c r="AK426" s="191"/>
      <c r="AL426" s="190"/>
      <c r="AM426" s="191"/>
      <c r="BE426" s="188" t="s">
        <v>3220</v>
      </c>
      <c r="BF426" s="188" t="s">
        <v>4153</v>
      </c>
      <c r="BG426" s="127">
        <v>42873</v>
      </c>
      <c r="BH426" s="188" t="s">
        <v>10</v>
      </c>
      <c r="BI426" s="188" t="s">
        <v>598</v>
      </c>
      <c r="BJ426" s="189">
        <v>13500</v>
      </c>
      <c r="BK426" s="188" t="s">
        <v>493</v>
      </c>
      <c r="BL426" s="188" t="s">
        <v>598</v>
      </c>
      <c r="BM426" s="189">
        <v>0</v>
      </c>
      <c r="BN426" s="188" t="s">
        <v>598</v>
      </c>
      <c r="BO426" s="127">
        <v>42800</v>
      </c>
      <c r="BP426" s="188" t="s">
        <v>115</v>
      </c>
      <c r="BQ426" s="188" t="s">
        <v>84</v>
      </c>
      <c r="BR426" s="188" t="s">
        <v>276</v>
      </c>
      <c r="BS426" s="188" t="s">
        <v>1951</v>
      </c>
      <c r="BT426" s="188" t="s">
        <v>42</v>
      </c>
      <c r="BU426" s="188" t="s">
        <v>598</v>
      </c>
      <c r="BV426" s="188" t="s">
        <v>598</v>
      </c>
    </row>
    <row r="427" spans="5:74">
      <c r="E427" s="21"/>
      <c r="Q427" s="191"/>
      <c r="R427" s="191"/>
      <c r="S427" s="191"/>
      <c r="T427" s="127"/>
      <c r="U427" s="127"/>
      <c r="V427" s="191"/>
      <c r="W427" s="190"/>
      <c r="X427" s="191"/>
      <c r="Y427" s="191"/>
      <c r="Z427" s="191"/>
      <c r="AA427" s="191"/>
      <c r="AB427" s="191"/>
      <c r="AC427" s="191"/>
      <c r="AD427" s="191"/>
      <c r="AE427" s="191"/>
      <c r="AF427" s="191"/>
      <c r="AG427" s="191"/>
      <c r="AH427" s="191"/>
      <c r="AI427" s="127"/>
      <c r="AJ427" s="191"/>
      <c r="AK427" s="191"/>
      <c r="AL427" s="190"/>
      <c r="AM427" s="191"/>
      <c r="BE427" s="188" t="s">
        <v>3222</v>
      </c>
      <c r="BF427" s="188" t="s">
        <v>4154</v>
      </c>
      <c r="BG427" s="127">
        <v>42873</v>
      </c>
      <c r="BH427" s="188" t="s">
        <v>10</v>
      </c>
      <c r="BI427" s="188" t="s">
        <v>598</v>
      </c>
      <c r="BJ427" s="189">
        <v>13500</v>
      </c>
      <c r="BK427" s="188" t="s">
        <v>493</v>
      </c>
      <c r="BL427" s="188" t="s">
        <v>598</v>
      </c>
      <c r="BM427" s="189">
        <v>0</v>
      </c>
      <c r="BN427" s="188" t="s">
        <v>598</v>
      </c>
      <c r="BO427" s="127">
        <v>42802</v>
      </c>
      <c r="BP427" s="188" t="s">
        <v>115</v>
      </c>
      <c r="BQ427" s="188" t="s">
        <v>84</v>
      </c>
      <c r="BR427" s="188" t="s">
        <v>446</v>
      </c>
      <c r="BS427" s="188" t="s">
        <v>598</v>
      </c>
      <c r="BT427" s="188" t="s">
        <v>42</v>
      </c>
      <c r="BU427" s="188" t="s">
        <v>598</v>
      </c>
      <c r="BV427" s="188" t="s">
        <v>598</v>
      </c>
    </row>
    <row r="428" spans="5:74">
      <c r="E428" s="21"/>
      <c r="Q428" s="191"/>
      <c r="R428" s="191"/>
      <c r="S428" s="191"/>
      <c r="T428" s="127"/>
      <c r="U428" s="127"/>
      <c r="V428" s="191"/>
      <c r="W428" s="190"/>
      <c r="X428" s="191"/>
      <c r="Y428" s="191"/>
      <c r="Z428" s="191"/>
      <c r="AA428" s="191"/>
      <c r="AB428" s="191"/>
      <c r="AC428" s="191"/>
      <c r="AD428" s="191"/>
      <c r="AE428" s="191"/>
      <c r="AF428" s="191"/>
      <c r="AG428" s="191"/>
      <c r="AH428" s="191"/>
      <c r="AI428" s="127"/>
      <c r="AJ428" s="191"/>
      <c r="AK428" s="191"/>
      <c r="AL428" s="190"/>
      <c r="AM428" s="191"/>
      <c r="BE428" s="188" t="s">
        <v>3224</v>
      </c>
      <c r="BF428" s="188" t="s">
        <v>4155</v>
      </c>
      <c r="BG428" s="127">
        <v>42867</v>
      </c>
      <c r="BH428" s="188" t="s">
        <v>10</v>
      </c>
      <c r="BI428" s="188" t="s">
        <v>598</v>
      </c>
      <c r="BJ428" s="189">
        <v>13500</v>
      </c>
      <c r="BK428" s="188" t="s">
        <v>493</v>
      </c>
      <c r="BL428" s="188" t="s">
        <v>598</v>
      </c>
      <c r="BM428" s="189">
        <v>0</v>
      </c>
      <c r="BN428" s="188" t="s">
        <v>598</v>
      </c>
      <c r="BO428" s="127">
        <v>42803</v>
      </c>
      <c r="BP428" s="188" t="s">
        <v>115</v>
      </c>
      <c r="BQ428" s="188" t="s">
        <v>84</v>
      </c>
      <c r="BR428" s="188" t="s">
        <v>281</v>
      </c>
      <c r="BS428" s="188" t="s">
        <v>1962</v>
      </c>
      <c r="BT428" s="188" t="s">
        <v>42</v>
      </c>
      <c r="BU428" s="188" t="s">
        <v>598</v>
      </c>
      <c r="BV428" s="188" t="s">
        <v>598</v>
      </c>
    </row>
    <row r="429" spans="5:74">
      <c r="E429" s="21"/>
      <c r="Q429" s="191"/>
      <c r="R429" s="191"/>
      <c r="S429" s="191"/>
      <c r="T429" s="127"/>
      <c r="U429" s="127"/>
      <c r="V429" s="191"/>
      <c r="W429" s="190"/>
      <c r="X429" s="191"/>
      <c r="Y429" s="191"/>
      <c r="Z429" s="191"/>
      <c r="AA429" s="191"/>
      <c r="AB429" s="191"/>
      <c r="AC429" s="191"/>
      <c r="AD429" s="191"/>
      <c r="AE429" s="191"/>
      <c r="AF429" s="191"/>
      <c r="AG429" s="191"/>
      <c r="AH429" s="191"/>
      <c r="AI429" s="127"/>
      <c r="AJ429" s="191"/>
      <c r="AK429" s="191"/>
      <c r="AL429" s="190"/>
      <c r="AM429" s="191"/>
      <c r="BE429" s="188" t="s">
        <v>3226</v>
      </c>
      <c r="BF429" s="188" t="s">
        <v>4156</v>
      </c>
      <c r="BG429" s="127">
        <v>42867</v>
      </c>
      <c r="BH429" s="188" t="s">
        <v>10</v>
      </c>
      <c r="BI429" s="188" t="s">
        <v>598</v>
      </c>
      <c r="BJ429" s="189">
        <v>9000</v>
      </c>
      <c r="BK429" s="188" t="s">
        <v>493</v>
      </c>
      <c r="BL429" s="188" t="s">
        <v>598</v>
      </c>
      <c r="BM429" s="189">
        <v>0</v>
      </c>
      <c r="BN429" s="188" t="s">
        <v>598</v>
      </c>
      <c r="BO429" s="127">
        <v>42808</v>
      </c>
      <c r="BP429" s="188" t="s">
        <v>134</v>
      </c>
      <c r="BQ429" s="188" t="s">
        <v>84</v>
      </c>
      <c r="BR429" s="188" t="s">
        <v>386</v>
      </c>
      <c r="BS429" s="188" t="s">
        <v>1488</v>
      </c>
      <c r="BT429" s="188" t="s">
        <v>42</v>
      </c>
      <c r="BU429" s="188" t="s">
        <v>42</v>
      </c>
      <c r="BV429" s="188" t="s">
        <v>598</v>
      </c>
    </row>
    <row r="430" spans="5:74">
      <c r="E430" s="21"/>
      <c r="Q430" s="191"/>
      <c r="R430" s="191"/>
      <c r="S430" s="191"/>
      <c r="T430" s="127"/>
      <c r="U430" s="127"/>
      <c r="V430" s="191"/>
      <c r="W430" s="190"/>
      <c r="X430" s="191"/>
      <c r="Y430" s="191"/>
      <c r="Z430" s="191"/>
      <c r="AA430" s="191"/>
      <c r="AB430" s="191"/>
      <c r="AC430" s="191"/>
      <c r="AD430" s="191"/>
      <c r="AE430" s="191"/>
      <c r="AF430" s="191"/>
      <c r="AG430" s="191"/>
      <c r="AH430" s="191"/>
      <c r="AI430" s="127"/>
      <c r="AJ430" s="191"/>
      <c r="AK430" s="191"/>
      <c r="AL430" s="190"/>
      <c r="AM430" s="191"/>
      <c r="BE430" s="188" t="s">
        <v>3228</v>
      </c>
      <c r="BF430" s="188" t="s">
        <v>4157</v>
      </c>
      <c r="BG430" s="127">
        <v>42858</v>
      </c>
      <c r="BH430" s="188" t="s">
        <v>10</v>
      </c>
      <c r="BI430" s="188" t="s">
        <v>598</v>
      </c>
      <c r="BJ430" s="189">
        <v>4000</v>
      </c>
      <c r="BK430" s="188" t="s">
        <v>493</v>
      </c>
      <c r="BL430" s="188" t="s">
        <v>598</v>
      </c>
      <c r="BM430" s="189">
        <v>0</v>
      </c>
      <c r="BN430" s="188" t="s">
        <v>598</v>
      </c>
      <c r="BO430" s="127">
        <v>42811</v>
      </c>
      <c r="BP430" s="188" t="s">
        <v>134</v>
      </c>
      <c r="BQ430" s="188" t="s">
        <v>84</v>
      </c>
      <c r="BR430" s="188" t="s">
        <v>301</v>
      </c>
      <c r="BS430" s="188" t="s">
        <v>73</v>
      </c>
      <c r="BT430" s="188" t="s">
        <v>42</v>
      </c>
      <c r="BU430" s="188" t="s">
        <v>51</v>
      </c>
      <c r="BV430" s="188" t="s">
        <v>598</v>
      </c>
    </row>
    <row r="431" spans="5:74">
      <c r="E431" s="21"/>
      <c r="Q431" s="191"/>
      <c r="R431" s="191"/>
      <c r="S431" s="191"/>
      <c r="T431" s="127"/>
      <c r="U431" s="127"/>
      <c r="V431" s="191"/>
      <c r="W431" s="190"/>
      <c r="X431" s="191"/>
      <c r="Y431" s="191"/>
      <c r="Z431" s="191"/>
      <c r="AA431" s="191"/>
      <c r="AB431" s="191"/>
      <c r="AC431" s="191"/>
      <c r="AD431" s="191"/>
      <c r="AE431" s="191"/>
      <c r="AF431" s="191"/>
      <c r="AG431" s="191"/>
      <c r="AH431" s="191"/>
      <c r="AI431" s="127"/>
      <c r="AJ431" s="191"/>
      <c r="AK431" s="191"/>
      <c r="AL431" s="190"/>
      <c r="AM431" s="191"/>
      <c r="BE431" s="188" t="s">
        <v>3230</v>
      </c>
      <c r="BF431" s="188" t="s">
        <v>4158</v>
      </c>
      <c r="BG431" s="127">
        <v>42874</v>
      </c>
      <c r="BH431" s="188" t="s">
        <v>10</v>
      </c>
      <c r="BI431" s="188" t="s">
        <v>598</v>
      </c>
      <c r="BJ431" s="189">
        <v>4000</v>
      </c>
      <c r="BK431" s="188" t="s">
        <v>493</v>
      </c>
      <c r="BL431" s="188" t="s">
        <v>598</v>
      </c>
      <c r="BM431" s="189">
        <v>0</v>
      </c>
      <c r="BN431" s="188" t="s">
        <v>598</v>
      </c>
      <c r="BO431" s="127">
        <v>42817</v>
      </c>
      <c r="BP431" s="188" t="s">
        <v>120</v>
      </c>
      <c r="BQ431" s="188" t="s">
        <v>84</v>
      </c>
      <c r="BR431" s="188" t="s">
        <v>3232</v>
      </c>
      <c r="BS431" s="188" t="s">
        <v>3233</v>
      </c>
      <c r="BT431" s="188" t="s">
        <v>42</v>
      </c>
      <c r="BU431" s="188" t="s">
        <v>598</v>
      </c>
      <c r="BV431" s="188" t="s">
        <v>598</v>
      </c>
    </row>
    <row r="432" spans="5:74">
      <c r="E432" s="21"/>
      <c r="Q432" s="191"/>
      <c r="R432" s="191"/>
      <c r="S432" s="191"/>
      <c r="T432" s="127"/>
      <c r="U432" s="127"/>
      <c r="V432" s="191"/>
      <c r="W432" s="190"/>
      <c r="X432" s="191"/>
      <c r="Y432" s="191"/>
      <c r="Z432" s="191"/>
      <c r="AA432" s="191"/>
      <c r="AB432" s="191"/>
      <c r="AC432" s="191"/>
      <c r="AD432" s="191"/>
      <c r="AE432" s="191"/>
      <c r="AF432" s="191"/>
      <c r="AG432" s="191"/>
      <c r="AH432" s="191"/>
      <c r="AI432" s="127"/>
      <c r="AJ432" s="191"/>
      <c r="AK432" s="191"/>
      <c r="AL432" s="190"/>
      <c r="AM432" s="191"/>
      <c r="BE432" s="188" t="s">
        <v>3234</v>
      </c>
      <c r="BF432" s="188" t="s">
        <v>4159</v>
      </c>
      <c r="BG432" s="127">
        <v>42874</v>
      </c>
      <c r="BH432" s="188" t="s">
        <v>10</v>
      </c>
      <c r="BI432" s="188" t="s">
        <v>598</v>
      </c>
      <c r="BJ432" s="189">
        <v>4000</v>
      </c>
      <c r="BK432" s="188" t="s">
        <v>493</v>
      </c>
      <c r="BL432" s="188" t="s">
        <v>598</v>
      </c>
      <c r="BM432" s="189">
        <v>0</v>
      </c>
      <c r="BN432" s="188" t="s">
        <v>598</v>
      </c>
      <c r="BO432" s="127">
        <v>42817</v>
      </c>
      <c r="BP432" s="188" t="s">
        <v>120</v>
      </c>
      <c r="BQ432" s="188" t="s">
        <v>84</v>
      </c>
      <c r="BR432" s="188" t="s">
        <v>281</v>
      </c>
      <c r="BS432" s="188" t="s">
        <v>3233</v>
      </c>
      <c r="BT432" s="188" t="s">
        <v>42</v>
      </c>
      <c r="BU432" s="188" t="s">
        <v>598</v>
      </c>
      <c r="BV432" s="188" t="s">
        <v>598</v>
      </c>
    </row>
    <row r="433" spans="5:74">
      <c r="E433" s="21"/>
      <c r="Q433" s="191"/>
      <c r="R433" s="191"/>
      <c r="S433" s="191"/>
      <c r="T433" s="127"/>
      <c r="U433" s="127"/>
      <c r="V433" s="191"/>
      <c r="W433" s="190"/>
      <c r="X433" s="191"/>
      <c r="Y433" s="191"/>
      <c r="Z433" s="191"/>
      <c r="AA433" s="191"/>
      <c r="AB433" s="191"/>
      <c r="AC433" s="191"/>
      <c r="AD433" s="191"/>
      <c r="AE433" s="191"/>
      <c r="AF433" s="191"/>
      <c r="AG433" s="191"/>
      <c r="AH433" s="191"/>
      <c r="AI433" s="127"/>
      <c r="AJ433" s="191"/>
      <c r="AK433" s="191"/>
      <c r="AL433" s="190"/>
      <c r="AM433" s="191"/>
      <c r="BE433" s="188" t="s">
        <v>3236</v>
      </c>
      <c r="BF433" s="188" t="s">
        <v>4160</v>
      </c>
      <c r="BG433" s="127">
        <v>42867</v>
      </c>
      <c r="BH433" s="188" t="s">
        <v>10</v>
      </c>
      <c r="BI433" s="188" t="s">
        <v>598</v>
      </c>
      <c r="BJ433" s="189">
        <v>13500</v>
      </c>
      <c r="BK433" s="188" t="s">
        <v>493</v>
      </c>
      <c r="BL433" s="188" t="s">
        <v>598</v>
      </c>
      <c r="BM433" s="189">
        <v>0</v>
      </c>
      <c r="BN433" s="188" t="s">
        <v>598</v>
      </c>
      <c r="BO433" s="127">
        <v>42822</v>
      </c>
      <c r="BP433" s="188" t="s">
        <v>115</v>
      </c>
      <c r="BQ433" s="188" t="s">
        <v>84</v>
      </c>
      <c r="BR433" s="188" t="s">
        <v>281</v>
      </c>
      <c r="BS433" s="188" t="s">
        <v>85</v>
      </c>
      <c r="BT433" s="188" t="s">
        <v>42</v>
      </c>
      <c r="BU433" s="188" t="s">
        <v>598</v>
      </c>
      <c r="BV433" s="188" t="s">
        <v>598</v>
      </c>
    </row>
    <row r="434" spans="5:74">
      <c r="E434" s="21"/>
      <c r="Q434" s="191"/>
      <c r="R434" s="191"/>
      <c r="S434" s="191"/>
      <c r="T434" s="127"/>
      <c r="U434" s="127"/>
      <c r="V434" s="191"/>
      <c r="W434" s="190"/>
      <c r="X434" s="191"/>
      <c r="Y434" s="191"/>
      <c r="Z434" s="191"/>
      <c r="AA434" s="191"/>
      <c r="AB434" s="191"/>
      <c r="AC434" s="191"/>
      <c r="AD434" s="191"/>
      <c r="AE434" s="191"/>
      <c r="AF434" s="191"/>
      <c r="AG434" s="191"/>
      <c r="AH434" s="191"/>
      <c r="AI434" s="127"/>
      <c r="AJ434" s="191"/>
      <c r="AK434" s="191"/>
      <c r="AL434" s="190"/>
      <c r="AM434" s="191"/>
      <c r="BE434" s="188" t="s">
        <v>3238</v>
      </c>
      <c r="BF434" s="188" t="s">
        <v>4161</v>
      </c>
      <c r="BG434" s="127">
        <v>42874</v>
      </c>
      <c r="BH434" s="188" t="s">
        <v>10</v>
      </c>
      <c r="BI434" s="188" t="s">
        <v>598</v>
      </c>
      <c r="BJ434" s="189">
        <v>4000</v>
      </c>
      <c r="BK434" s="188" t="s">
        <v>493</v>
      </c>
      <c r="BL434" s="188" t="s">
        <v>598</v>
      </c>
      <c r="BM434" s="189">
        <v>0</v>
      </c>
      <c r="BN434" s="188" t="s">
        <v>598</v>
      </c>
      <c r="BO434" s="127">
        <v>42830</v>
      </c>
      <c r="BP434" s="188" t="s">
        <v>134</v>
      </c>
      <c r="BQ434" s="188" t="s">
        <v>84</v>
      </c>
      <c r="BR434" s="188" t="s">
        <v>380</v>
      </c>
      <c r="BS434" s="188" t="s">
        <v>598</v>
      </c>
      <c r="BT434" s="188" t="s">
        <v>42</v>
      </c>
      <c r="BU434" s="188" t="s">
        <v>42</v>
      </c>
      <c r="BV434" s="188" t="s">
        <v>598</v>
      </c>
    </row>
    <row r="435" spans="5:74">
      <c r="E435" s="21"/>
      <c r="Q435" s="191"/>
      <c r="R435" s="191"/>
      <c r="S435" s="191"/>
      <c r="T435" s="127"/>
      <c r="U435" s="127"/>
      <c r="V435" s="191"/>
      <c r="W435" s="190"/>
      <c r="X435" s="191"/>
      <c r="Y435" s="191"/>
      <c r="Z435" s="191"/>
      <c r="AA435" s="191"/>
      <c r="AB435" s="191"/>
      <c r="AC435" s="191"/>
      <c r="AD435" s="191"/>
      <c r="AE435" s="191"/>
      <c r="AF435" s="191"/>
      <c r="AG435" s="191"/>
      <c r="AH435" s="191"/>
      <c r="AI435" s="127"/>
      <c r="AJ435" s="191"/>
      <c r="AK435" s="191"/>
      <c r="AL435" s="190"/>
      <c r="AM435" s="191"/>
      <c r="BE435" s="188" t="s">
        <v>3240</v>
      </c>
      <c r="BF435" s="188" t="s">
        <v>4162</v>
      </c>
      <c r="BG435" s="127">
        <v>42873</v>
      </c>
      <c r="BH435" s="188" t="s">
        <v>10</v>
      </c>
      <c r="BI435" s="188" t="s">
        <v>598</v>
      </c>
      <c r="BJ435" s="189">
        <v>13500</v>
      </c>
      <c r="BK435" s="188" t="s">
        <v>493</v>
      </c>
      <c r="BL435" s="188" t="s">
        <v>598</v>
      </c>
      <c r="BM435" s="189">
        <v>0</v>
      </c>
      <c r="BN435" s="188" t="s">
        <v>598</v>
      </c>
      <c r="BO435" s="127">
        <v>42836</v>
      </c>
      <c r="BP435" s="188" t="s">
        <v>115</v>
      </c>
      <c r="BQ435" s="188" t="s">
        <v>84</v>
      </c>
      <c r="BR435" s="188" t="s">
        <v>276</v>
      </c>
      <c r="BS435" s="188" t="s">
        <v>1951</v>
      </c>
      <c r="BT435" s="188" t="s">
        <v>42</v>
      </c>
      <c r="BU435" s="188" t="s">
        <v>73</v>
      </c>
      <c r="BV435" s="188" t="s">
        <v>598</v>
      </c>
    </row>
    <row r="436" spans="5:74">
      <c r="E436" s="21"/>
      <c r="Q436" s="191"/>
      <c r="R436" s="191"/>
      <c r="S436" s="191"/>
      <c r="T436" s="127"/>
      <c r="U436" s="127"/>
      <c r="V436" s="191"/>
      <c r="W436" s="190"/>
      <c r="X436" s="191"/>
      <c r="Y436" s="191"/>
      <c r="Z436" s="191"/>
      <c r="AA436" s="191"/>
      <c r="AB436" s="191"/>
      <c r="AC436" s="191"/>
      <c r="AD436" s="191"/>
      <c r="AE436" s="191"/>
      <c r="AF436" s="191"/>
      <c r="AG436" s="191"/>
      <c r="AH436" s="191"/>
      <c r="AI436" s="127"/>
      <c r="AJ436" s="191"/>
      <c r="AK436" s="191"/>
      <c r="AL436" s="190"/>
      <c r="AM436" s="191"/>
      <c r="BE436" s="188" t="s">
        <v>3242</v>
      </c>
      <c r="BF436" s="188" t="s">
        <v>4163</v>
      </c>
      <c r="BG436" s="127">
        <v>42858</v>
      </c>
      <c r="BH436" s="188" t="s">
        <v>10</v>
      </c>
      <c r="BI436" s="188" t="s">
        <v>598</v>
      </c>
      <c r="BJ436" s="189">
        <v>2000</v>
      </c>
      <c r="BK436" s="188" t="s">
        <v>493</v>
      </c>
      <c r="BL436" s="188" t="s">
        <v>598</v>
      </c>
      <c r="BM436" s="189">
        <v>0</v>
      </c>
      <c r="BN436" s="188" t="s">
        <v>598</v>
      </c>
      <c r="BO436" s="127">
        <v>42850</v>
      </c>
      <c r="BP436" s="188" t="s">
        <v>598</v>
      </c>
      <c r="BQ436" s="188" t="s">
        <v>84</v>
      </c>
      <c r="BR436" s="188" t="s">
        <v>281</v>
      </c>
      <c r="BS436" s="188" t="s">
        <v>3244</v>
      </c>
      <c r="BT436" s="188" t="s">
        <v>42</v>
      </c>
      <c r="BU436" s="188" t="s">
        <v>42</v>
      </c>
      <c r="BV436" s="188" t="s">
        <v>598</v>
      </c>
    </row>
    <row r="437" spans="5:74">
      <c r="E437" s="21"/>
      <c r="Q437" s="191"/>
      <c r="R437" s="191"/>
      <c r="S437" s="191"/>
      <c r="T437" s="127"/>
      <c r="U437" s="127"/>
      <c r="V437" s="191"/>
      <c r="W437" s="190"/>
      <c r="X437" s="191"/>
      <c r="Y437" s="191"/>
      <c r="Z437" s="191"/>
      <c r="AA437" s="191"/>
      <c r="AB437" s="191"/>
      <c r="AC437" s="191"/>
      <c r="AD437" s="191"/>
      <c r="AE437" s="191"/>
      <c r="AF437" s="191"/>
      <c r="AG437" s="191"/>
      <c r="AH437" s="191"/>
      <c r="AI437" s="127"/>
      <c r="AJ437" s="191"/>
      <c r="AK437" s="191"/>
      <c r="AL437" s="190"/>
      <c r="AM437" s="191"/>
      <c r="BE437" s="188" t="s">
        <v>3245</v>
      </c>
      <c r="BF437" s="188" t="s">
        <v>4164</v>
      </c>
      <c r="BG437" s="127">
        <v>42859</v>
      </c>
      <c r="BH437" s="188" t="s">
        <v>10</v>
      </c>
      <c r="BI437" s="188" t="s">
        <v>598</v>
      </c>
      <c r="BJ437" s="189">
        <v>3000</v>
      </c>
      <c r="BK437" s="188" t="s">
        <v>493</v>
      </c>
      <c r="BL437" s="188" t="s">
        <v>598</v>
      </c>
      <c r="BM437" s="189">
        <v>0</v>
      </c>
      <c r="BN437" s="188" t="s">
        <v>598</v>
      </c>
      <c r="BO437" s="127">
        <v>42853</v>
      </c>
      <c r="BP437" s="188" t="s">
        <v>134</v>
      </c>
      <c r="BQ437" s="188" t="s">
        <v>84</v>
      </c>
      <c r="BR437" s="188" t="s">
        <v>293</v>
      </c>
      <c r="BS437" s="188" t="s">
        <v>1957</v>
      </c>
      <c r="BT437" s="188" t="s">
        <v>42</v>
      </c>
      <c r="BU437" s="188" t="s">
        <v>51</v>
      </c>
      <c r="BV437" s="188" t="s">
        <v>598</v>
      </c>
    </row>
    <row r="438" spans="5:74">
      <c r="E438" s="21"/>
      <c r="Q438" s="191"/>
      <c r="R438" s="191"/>
      <c r="S438" s="191"/>
      <c r="T438" s="127"/>
      <c r="U438" s="127"/>
      <c r="V438" s="191"/>
      <c r="W438" s="190"/>
      <c r="X438" s="191"/>
      <c r="Y438" s="191"/>
      <c r="Z438" s="191"/>
      <c r="AA438" s="191"/>
      <c r="AB438" s="191"/>
      <c r="AC438" s="191"/>
      <c r="AD438" s="191"/>
      <c r="AE438" s="191"/>
      <c r="AF438" s="191"/>
      <c r="AG438" s="191"/>
      <c r="AH438" s="191"/>
      <c r="AI438" s="127"/>
      <c r="AJ438" s="191"/>
      <c r="AK438" s="191"/>
      <c r="AL438" s="190"/>
      <c r="AM438" s="191"/>
      <c r="BE438" s="188" t="s">
        <v>3247</v>
      </c>
      <c r="BF438" s="188" t="s">
        <v>4165</v>
      </c>
      <c r="BG438" s="127">
        <v>42856</v>
      </c>
      <c r="BH438" s="188" t="s">
        <v>10</v>
      </c>
      <c r="BI438" s="188" t="s">
        <v>598</v>
      </c>
      <c r="BJ438" s="189">
        <v>3000</v>
      </c>
      <c r="BK438" s="188" t="s">
        <v>493</v>
      </c>
      <c r="BL438" s="188" t="s">
        <v>598</v>
      </c>
      <c r="BM438" s="189">
        <v>0</v>
      </c>
      <c r="BN438" s="188" t="s">
        <v>598</v>
      </c>
      <c r="BO438" s="127">
        <v>42854</v>
      </c>
      <c r="BP438" s="188" t="s">
        <v>122</v>
      </c>
      <c r="BQ438" s="188" t="s">
        <v>84</v>
      </c>
      <c r="BR438" s="188" t="s">
        <v>297</v>
      </c>
      <c r="BS438" s="188" t="s">
        <v>598</v>
      </c>
      <c r="BT438" s="188" t="s">
        <v>42</v>
      </c>
      <c r="BU438" s="188" t="s">
        <v>98</v>
      </c>
      <c r="BV438" s="188" t="s">
        <v>598</v>
      </c>
    </row>
    <row r="439" spans="5:74">
      <c r="E439" s="21"/>
      <c r="Q439" s="191"/>
      <c r="R439" s="191"/>
      <c r="S439" s="191"/>
      <c r="T439" s="127"/>
      <c r="U439" s="127"/>
      <c r="V439" s="191"/>
      <c r="W439" s="190"/>
      <c r="X439" s="191"/>
      <c r="Y439" s="191"/>
      <c r="Z439" s="191"/>
      <c r="AA439" s="191"/>
      <c r="AB439" s="191"/>
      <c r="AC439" s="191"/>
      <c r="AD439" s="191"/>
      <c r="AE439" s="191"/>
      <c r="AF439" s="191"/>
      <c r="AG439" s="191"/>
      <c r="AH439" s="191"/>
      <c r="AI439" s="127"/>
      <c r="AJ439" s="191"/>
      <c r="AK439" s="191"/>
      <c r="AL439" s="190"/>
      <c r="AM439" s="191"/>
      <c r="BE439" s="188" t="s">
        <v>3249</v>
      </c>
      <c r="BF439" s="188" t="s">
        <v>4166</v>
      </c>
      <c r="BG439" s="127">
        <v>42856</v>
      </c>
      <c r="BH439" s="188" t="s">
        <v>10</v>
      </c>
      <c r="BI439" s="188" t="s">
        <v>598</v>
      </c>
      <c r="BJ439" s="189">
        <v>7000</v>
      </c>
      <c r="BK439" s="188" t="s">
        <v>493</v>
      </c>
      <c r="BL439" s="188" t="s">
        <v>598</v>
      </c>
      <c r="BM439" s="189">
        <v>0</v>
      </c>
      <c r="BN439" s="188" t="s">
        <v>598</v>
      </c>
      <c r="BO439" s="127">
        <v>42854</v>
      </c>
      <c r="BP439" s="188" t="s">
        <v>134</v>
      </c>
      <c r="BQ439" s="188" t="s">
        <v>84</v>
      </c>
      <c r="BR439" s="188" t="s">
        <v>297</v>
      </c>
      <c r="BS439" s="188" t="s">
        <v>598</v>
      </c>
      <c r="BT439" s="188" t="s">
        <v>42</v>
      </c>
      <c r="BU439" s="188" t="s">
        <v>73</v>
      </c>
      <c r="BV439" s="188" t="s">
        <v>598</v>
      </c>
    </row>
    <row r="440" spans="5:74">
      <c r="E440" s="21"/>
      <c r="Q440" s="191"/>
      <c r="R440" s="191"/>
      <c r="S440" s="191"/>
      <c r="T440" s="127"/>
      <c r="U440" s="127"/>
      <c r="V440" s="191"/>
      <c r="W440" s="190"/>
      <c r="X440" s="191"/>
      <c r="Y440" s="191"/>
      <c r="Z440" s="191"/>
      <c r="AA440" s="191"/>
      <c r="AB440" s="191"/>
      <c r="AC440" s="191"/>
      <c r="AD440" s="191"/>
      <c r="AE440" s="191"/>
      <c r="AF440" s="191"/>
      <c r="AG440" s="191"/>
      <c r="AH440" s="191"/>
      <c r="AI440" s="127"/>
      <c r="AJ440" s="191"/>
      <c r="AK440" s="191"/>
      <c r="AL440" s="190"/>
      <c r="AM440" s="191"/>
      <c r="BE440" s="188" t="s">
        <v>3251</v>
      </c>
      <c r="BF440" s="188" t="s">
        <v>4167</v>
      </c>
      <c r="BG440" s="127">
        <v>42861</v>
      </c>
      <c r="BH440" s="188" t="s">
        <v>34</v>
      </c>
      <c r="BI440" s="188" t="s">
        <v>598</v>
      </c>
      <c r="BJ440" s="189">
        <v>4000</v>
      </c>
      <c r="BK440" s="188" t="s">
        <v>493</v>
      </c>
      <c r="BL440" s="188" t="s">
        <v>598</v>
      </c>
      <c r="BM440" s="189">
        <v>0</v>
      </c>
      <c r="BN440" s="188" t="s">
        <v>598</v>
      </c>
      <c r="BO440" s="127">
        <v>42858</v>
      </c>
      <c r="BP440" s="188" t="s">
        <v>134</v>
      </c>
      <c r="BQ440" s="188" t="s">
        <v>84</v>
      </c>
      <c r="BR440" s="188" t="s">
        <v>415</v>
      </c>
      <c r="BS440" s="188" t="s">
        <v>598</v>
      </c>
      <c r="BT440" s="188" t="s">
        <v>63</v>
      </c>
      <c r="BU440" s="188" t="s">
        <v>86</v>
      </c>
      <c r="BV440" s="188" t="s">
        <v>598</v>
      </c>
    </row>
    <row r="441" spans="5:74">
      <c r="E441" s="21"/>
      <c r="Q441" s="191"/>
      <c r="R441" s="191"/>
      <c r="S441" s="191"/>
      <c r="T441" s="127"/>
      <c r="U441" s="127"/>
      <c r="V441" s="191"/>
      <c r="W441" s="190"/>
      <c r="X441" s="191"/>
      <c r="Y441" s="191"/>
      <c r="Z441" s="191"/>
      <c r="AA441" s="191"/>
      <c r="AB441" s="191"/>
      <c r="AC441" s="191"/>
      <c r="AD441" s="191"/>
      <c r="AE441" s="191"/>
      <c r="AF441" s="191"/>
      <c r="AG441" s="191"/>
      <c r="AH441" s="191"/>
      <c r="AI441" s="127"/>
      <c r="AJ441" s="191"/>
      <c r="AK441" s="191"/>
      <c r="AL441" s="190"/>
      <c r="AM441" s="191"/>
      <c r="BE441" s="188" t="s">
        <v>3253</v>
      </c>
      <c r="BF441" s="188" t="s">
        <v>4168</v>
      </c>
      <c r="BG441" s="127">
        <v>42859</v>
      </c>
      <c r="BH441" s="188" t="s">
        <v>34</v>
      </c>
      <c r="BI441" s="188" t="s">
        <v>598</v>
      </c>
      <c r="BJ441" s="189">
        <v>3000</v>
      </c>
      <c r="BK441" s="188" t="s">
        <v>493</v>
      </c>
      <c r="BL441" s="188" t="s">
        <v>598</v>
      </c>
      <c r="BM441" s="189">
        <v>0</v>
      </c>
      <c r="BN441" s="188" t="s">
        <v>598</v>
      </c>
      <c r="BO441" s="127">
        <v>42859</v>
      </c>
      <c r="BP441" s="188" t="s">
        <v>135</v>
      </c>
      <c r="BQ441" s="188" t="s">
        <v>84</v>
      </c>
      <c r="BR441" s="188" t="s">
        <v>229</v>
      </c>
      <c r="BS441" s="188" t="s">
        <v>598</v>
      </c>
      <c r="BT441" s="188" t="s">
        <v>63</v>
      </c>
      <c r="BU441" s="188" t="s">
        <v>86</v>
      </c>
      <c r="BV441" s="188" t="s">
        <v>598</v>
      </c>
    </row>
    <row r="442" spans="5:74">
      <c r="E442" s="21"/>
      <c r="Q442" s="191"/>
      <c r="R442" s="191"/>
      <c r="S442" s="191"/>
      <c r="T442" s="127"/>
      <c r="U442" s="127"/>
      <c r="V442" s="191"/>
      <c r="W442" s="190"/>
      <c r="X442" s="191"/>
      <c r="Y442" s="191"/>
      <c r="Z442" s="191"/>
      <c r="AA442" s="191"/>
      <c r="AB442" s="191"/>
      <c r="AC442" s="191"/>
      <c r="AD442" s="191"/>
      <c r="AE442" s="191"/>
      <c r="AF442" s="191"/>
      <c r="AG442" s="191"/>
      <c r="AH442" s="191"/>
      <c r="AI442" s="127"/>
      <c r="AJ442" s="191"/>
      <c r="AK442" s="191"/>
      <c r="AL442" s="190"/>
      <c r="AM442" s="191"/>
      <c r="BE442" s="188" t="s">
        <v>3255</v>
      </c>
      <c r="BF442" s="188" t="s">
        <v>4169</v>
      </c>
      <c r="BG442" s="127">
        <v>42861</v>
      </c>
      <c r="BH442" s="188" t="s">
        <v>34</v>
      </c>
      <c r="BI442" s="188" t="s">
        <v>598</v>
      </c>
      <c r="BJ442" s="189">
        <v>1000</v>
      </c>
      <c r="BK442" s="188" t="s">
        <v>549</v>
      </c>
      <c r="BL442" s="188">
        <v>4020</v>
      </c>
      <c r="BM442" s="189">
        <v>10000</v>
      </c>
      <c r="BN442" s="188" t="s">
        <v>493</v>
      </c>
      <c r="BO442" s="127">
        <v>42860</v>
      </c>
      <c r="BP442" s="188" t="s">
        <v>598</v>
      </c>
      <c r="BQ442" s="188" t="s">
        <v>84</v>
      </c>
      <c r="BR442" s="188" t="s">
        <v>198</v>
      </c>
      <c r="BS442" s="188" t="s">
        <v>598</v>
      </c>
      <c r="BT442" s="188" t="s">
        <v>63</v>
      </c>
      <c r="BU442" s="188" t="s">
        <v>86</v>
      </c>
      <c r="BV442" s="188" t="s">
        <v>598</v>
      </c>
    </row>
    <row r="443" spans="5:74">
      <c r="E443" s="21"/>
      <c r="Q443" s="191"/>
      <c r="R443" s="191"/>
      <c r="S443" s="191"/>
      <c r="T443" s="127"/>
      <c r="U443" s="127"/>
      <c r="V443" s="191"/>
      <c r="W443" s="190"/>
      <c r="X443" s="191"/>
      <c r="Y443" s="191"/>
      <c r="Z443" s="191"/>
      <c r="AA443" s="191"/>
      <c r="AB443" s="191"/>
      <c r="AC443" s="191"/>
      <c r="AD443" s="191"/>
      <c r="AE443" s="191"/>
      <c r="AF443" s="191"/>
      <c r="AG443" s="191"/>
      <c r="AH443" s="191"/>
      <c r="AI443" s="127"/>
      <c r="AJ443" s="191"/>
      <c r="AK443" s="191"/>
      <c r="AL443" s="190"/>
      <c r="AM443" s="191"/>
      <c r="BE443" s="188" t="s">
        <v>3256</v>
      </c>
      <c r="BF443" s="188" t="s">
        <v>4170</v>
      </c>
      <c r="BG443" s="127">
        <v>42863</v>
      </c>
      <c r="BH443" s="188" t="s">
        <v>34</v>
      </c>
      <c r="BI443" s="188" t="s">
        <v>598</v>
      </c>
      <c r="BJ443" s="189">
        <v>3000</v>
      </c>
      <c r="BK443" s="188" t="s">
        <v>493</v>
      </c>
      <c r="BL443" s="188" t="s">
        <v>598</v>
      </c>
      <c r="BM443" s="189">
        <v>0</v>
      </c>
      <c r="BN443" s="188" t="s">
        <v>598</v>
      </c>
      <c r="BO443" s="127">
        <v>42861</v>
      </c>
      <c r="BP443" s="188" t="s">
        <v>598</v>
      </c>
      <c r="BQ443" s="188" t="s">
        <v>84</v>
      </c>
      <c r="BR443" s="188" t="s">
        <v>198</v>
      </c>
      <c r="BS443" s="188" t="s">
        <v>598</v>
      </c>
      <c r="BT443" s="188" t="s">
        <v>63</v>
      </c>
      <c r="BU443" s="188" t="s">
        <v>63</v>
      </c>
      <c r="BV443" s="188" t="s">
        <v>598</v>
      </c>
    </row>
    <row r="444" spans="5:74">
      <c r="E444" s="21"/>
      <c r="Q444" s="191"/>
      <c r="R444" s="191"/>
      <c r="S444" s="191"/>
      <c r="T444" s="127"/>
      <c r="U444" s="127"/>
      <c r="V444" s="191"/>
      <c r="W444" s="190"/>
      <c r="X444" s="191"/>
      <c r="Y444" s="191"/>
      <c r="Z444" s="191"/>
      <c r="AA444" s="191"/>
      <c r="AB444" s="191"/>
      <c r="AC444" s="191"/>
      <c r="AD444" s="191"/>
      <c r="AE444" s="191"/>
      <c r="AF444" s="191"/>
      <c r="AG444" s="191"/>
      <c r="AH444" s="191"/>
      <c r="AI444" s="127"/>
      <c r="AJ444" s="191"/>
      <c r="AK444" s="191"/>
      <c r="AL444" s="190"/>
      <c r="AM444" s="191"/>
      <c r="BE444" s="188" t="s">
        <v>3258</v>
      </c>
      <c r="BF444" s="188" t="s">
        <v>4171</v>
      </c>
      <c r="BG444" s="127">
        <v>42863</v>
      </c>
      <c r="BH444" s="188" t="s">
        <v>34</v>
      </c>
      <c r="BI444" s="188" t="s">
        <v>598</v>
      </c>
      <c r="BJ444" s="189">
        <v>1000</v>
      </c>
      <c r="BK444" s="188" t="s">
        <v>550</v>
      </c>
      <c r="BL444" s="188" t="s">
        <v>598</v>
      </c>
      <c r="BM444" s="189">
        <v>0</v>
      </c>
      <c r="BN444" s="188" t="s">
        <v>598</v>
      </c>
      <c r="BO444" s="127">
        <v>42861</v>
      </c>
      <c r="BP444" s="188" t="s">
        <v>598</v>
      </c>
      <c r="BQ444" s="188" t="s">
        <v>84</v>
      </c>
      <c r="BR444" s="188" t="s">
        <v>214</v>
      </c>
      <c r="BS444" s="188" t="s">
        <v>598</v>
      </c>
      <c r="BT444" s="188" t="s">
        <v>63</v>
      </c>
      <c r="BU444" s="188" t="s">
        <v>86</v>
      </c>
      <c r="BV444" s="188" t="s">
        <v>598</v>
      </c>
    </row>
    <row r="445" spans="5:74">
      <c r="E445" s="21"/>
      <c r="Q445" s="191"/>
      <c r="R445" s="191"/>
      <c r="S445" s="191"/>
      <c r="T445" s="127"/>
      <c r="U445" s="127"/>
      <c r="V445" s="191"/>
      <c r="W445" s="190"/>
      <c r="X445" s="191"/>
      <c r="Y445" s="191"/>
      <c r="Z445" s="191"/>
      <c r="AA445" s="191"/>
      <c r="AB445" s="191"/>
      <c r="AC445" s="191"/>
      <c r="AD445" s="191"/>
      <c r="AE445" s="191"/>
      <c r="AF445" s="191"/>
      <c r="AG445" s="191"/>
      <c r="AH445" s="191"/>
      <c r="AI445" s="127"/>
      <c r="AJ445" s="191"/>
      <c r="AK445" s="191"/>
      <c r="AL445" s="190"/>
      <c r="AM445" s="191"/>
      <c r="BE445" s="188" t="s">
        <v>3259</v>
      </c>
      <c r="BF445" s="188" t="s">
        <v>4172</v>
      </c>
      <c r="BG445" s="127">
        <v>42870</v>
      </c>
      <c r="BH445" s="188" t="s">
        <v>34</v>
      </c>
      <c r="BI445" s="188" t="s">
        <v>598</v>
      </c>
      <c r="BJ445" s="189">
        <v>3000</v>
      </c>
      <c r="BK445" s="188" t="s">
        <v>493</v>
      </c>
      <c r="BL445" s="188" t="s">
        <v>598</v>
      </c>
      <c r="BM445" s="189">
        <v>0</v>
      </c>
      <c r="BN445" s="188" t="s">
        <v>598</v>
      </c>
      <c r="BO445" s="127">
        <v>42863</v>
      </c>
      <c r="BP445" s="188" t="s">
        <v>134</v>
      </c>
      <c r="BQ445" s="188" t="s">
        <v>84</v>
      </c>
      <c r="BR445" s="188" t="s">
        <v>240</v>
      </c>
      <c r="BS445" s="188" t="s">
        <v>598</v>
      </c>
      <c r="BT445" s="188" t="s">
        <v>63</v>
      </c>
      <c r="BU445" s="188" t="s">
        <v>86</v>
      </c>
      <c r="BV445" s="188" t="s">
        <v>598</v>
      </c>
    </row>
    <row r="446" spans="5:74">
      <c r="E446" s="21"/>
      <c r="Q446" s="191"/>
      <c r="R446" s="191"/>
      <c r="S446" s="191"/>
      <c r="T446" s="127"/>
      <c r="U446" s="127"/>
      <c r="V446" s="191"/>
      <c r="W446" s="190"/>
      <c r="X446" s="191"/>
      <c r="Y446" s="191"/>
      <c r="Z446" s="191"/>
      <c r="AA446" s="191"/>
      <c r="AB446" s="191"/>
      <c r="AC446" s="191"/>
      <c r="AD446" s="191"/>
      <c r="AE446" s="191"/>
      <c r="AF446" s="191"/>
      <c r="AG446" s="191"/>
      <c r="AH446" s="191"/>
      <c r="AI446" s="127"/>
      <c r="AJ446" s="191"/>
      <c r="AK446" s="191"/>
      <c r="AL446" s="190"/>
      <c r="AM446" s="191"/>
      <c r="BE446" s="188" t="s">
        <v>3261</v>
      </c>
      <c r="BF446" s="188" t="s">
        <v>4173</v>
      </c>
      <c r="BG446" s="127">
        <v>42871</v>
      </c>
      <c r="BH446" s="188" t="s">
        <v>10</v>
      </c>
      <c r="BI446" s="188" t="s">
        <v>598</v>
      </c>
      <c r="BJ446" s="189">
        <v>22500</v>
      </c>
      <c r="BK446" s="188" t="s">
        <v>493</v>
      </c>
      <c r="BL446" s="188" t="s">
        <v>598</v>
      </c>
      <c r="BM446" s="189">
        <v>0</v>
      </c>
      <c r="BN446" s="188" t="s">
        <v>598</v>
      </c>
      <c r="BO446" s="127">
        <v>42863</v>
      </c>
      <c r="BP446" s="188" t="s">
        <v>3263</v>
      </c>
      <c r="BQ446" s="188" t="s">
        <v>84</v>
      </c>
      <c r="BR446" s="188" t="s">
        <v>598</v>
      </c>
      <c r="BS446" s="188" t="s">
        <v>598</v>
      </c>
      <c r="BT446" s="188" t="s">
        <v>63</v>
      </c>
      <c r="BU446" s="188" t="s">
        <v>63</v>
      </c>
      <c r="BV446" s="188" t="s">
        <v>598</v>
      </c>
    </row>
    <row r="447" spans="5:74">
      <c r="E447" s="21"/>
      <c r="Q447" s="191"/>
      <c r="R447" s="191"/>
      <c r="S447" s="191"/>
      <c r="T447" s="127"/>
      <c r="U447" s="127"/>
      <c r="V447" s="191"/>
      <c r="W447" s="190"/>
      <c r="X447" s="191"/>
      <c r="Y447" s="191"/>
      <c r="Z447" s="191"/>
      <c r="AA447" s="191"/>
      <c r="AB447" s="191"/>
      <c r="AC447" s="191"/>
      <c r="AD447" s="191"/>
      <c r="AE447" s="191"/>
      <c r="AF447" s="191"/>
      <c r="AG447" s="191"/>
      <c r="AH447" s="191"/>
      <c r="AI447" s="127"/>
      <c r="AJ447" s="191"/>
      <c r="AK447" s="191"/>
      <c r="AL447" s="190"/>
      <c r="AM447" s="191"/>
      <c r="BE447" s="188" t="s">
        <v>3264</v>
      </c>
      <c r="BF447" s="188" t="s">
        <v>4174</v>
      </c>
      <c r="BG447" s="127">
        <v>42871</v>
      </c>
      <c r="BH447" s="188" t="s">
        <v>10</v>
      </c>
      <c r="BI447" s="188" t="s">
        <v>598</v>
      </c>
      <c r="BJ447" s="189">
        <v>22500</v>
      </c>
      <c r="BK447" s="188" t="s">
        <v>493</v>
      </c>
      <c r="BL447" s="188" t="s">
        <v>598</v>
      </c>
      <c r="BM447" s="189">
        <v>0</v>
      </c>
      <c r="BN447" s="188" t="s">
        <v>598</v>
      </c>
      <c r="BO447" s="127">
        <v>42863</v>
      </c>
      <c r="BP447" s="188" t="s">
        <v>3263</v>
      </c>
      <c r="BQ447" s="188" t="s">
        <v>84</v>
      </c>
      <c r="BR447" s="188" t="s">
        <v>598</v>
      </c>
      <c r="BS447" s="188" t="s">
        <v>598</v>
      </c>
      <c r="BT447" s="188" t="s">
        <v>63</v>
      </c>
      <c r="BU447" s="188" t="s">
        <v>63</v>
      </c>
      <c r="BV447" s="188" t="s">
        <v>598</v>
      </c>
    </row>
    <row r="448" spans="5:74">
      <c r="E448" s="21"/>
      <c r="Q448" s="191"/>
      <c r="R448" s="191"/>
      <c r="S448" s="191"/>
      <c r="T448" s="127"/>
      <c r="U448" s="127"/>
      <c r="V448" s="191"/>
      <c r="W448" s="190"/>
      <c r="X448" s="191"/>
      <c r="Y448" s="191"/>
      <c r="Z448" s="191"/>
      <c r="AA448" s="191"/>
      <c r="AB448" s="191"/>
      <c r="AC448" s="191"/>
      <c r="AD448" s="191"/>
      <c r="AE448" s="191"/>
      <c r="AF448" s="191"/>
      <c r="AG448" s="191"/>
      <c r="AH448" s="191"/>
      <c r="AI448" s="127"/>
      <c r="AJ448" s="191"/>
      <c r="AK448" s="191"/>
      <c r="AL448" s="190"/>
      <c r="AM448" s="191"/>
      <c r="BE448" s="188" t="s">
        <v>3265</v>
      </c>
      <c r="BF448" s="188" t="s">
        <v>4175</v>
      </c>
      <c r="BG448" s="127">
        <v>42867</v>
      </c>
      <c r="BH448" s="188" t="s">
        <v>34</v>
      </c>
      <c r="BI448" s="188" t="s">
        <v>598</v>
      </c>
      <c r="BJ448" s="189">
        <v>3000</v>
      </c>
      <c r="BK448" s="188" t="s">
        <v>493</v>
      </c>
      <c r="BL448" s="188" t="s">
        <v>598</v>
      </c>
      <c r="BM448" s="189">
        <v>0</v>
      </c>
      <c r="BN448" s="188" t="s">
        <v>598</v>
      </c>
      <c r="BO448" s="127">
        <v>42864</v>
      </c>
      <c r="BP448" s="188" t="s">
        <v>132</v>
      </c>
      <c r="BQ448" s="188" t="s">
        <v>84</v>
      </c>
      <c r="BR448" s="188" t="s">
        <v>357</v>
      </c>
      <c r="BS448" s="188" t="s">
        <v>598</v>
      </c>
      <c r="BT448" s="188" t="s">
        <v>63</v>
      </c>
      <c r="BU448" s="188" t="s">
        <v>63</v>
      </c>
      <c r="BV448" s="188" t="s">
        <v>598</v>
      </c>
    </row>
    <row r="449" spans="5:74">
      <c r="E449" s="21"/>
      <c r="Q449" s="191"/>
      <c r="R449" s="191"/>
      <c r="S449" s="191"/>
      <c r="T449" s="127"/>
      <c r="U449" s="127"/>
      <c r="V449" s="191"/>
      <c r="W449" s="190"/>
      <c r="X449" s="191"/>
      <c r="Y449" s="191"/>
      <c r="Z449" s="191"/>
      <c r="AA449" s="191"/>
      <c r="AB449" s="191"/>
      <c r="AC449" s="191"/>
      <c r="AD449" s="191"/>
      <c r="AE449" s="191"/>
      <c r="AF449" s="191"/>
      <c r="AG449" s="191"/>
      <c r="AH449" s="191"/>
      <c r="AI449" s="127"/>
      <c r="AJ449" s="191"/>
      <c r="AK449" s="191"/>
      <c r="AL449" s="190"/>
      <c r="AM449" s="191"/>
      <c r="BE449" s="188" t="s">
        <v>3267</v>
      </c>
      <c r="BF449" s="188" t="s">
        <v>4176</v>
      </c>
      <c r="BG449" s="127">
        <v>42866</v>
      </c>
      <c r="BH449" s="188" t="s">
        <v>34</v>
      </c>
      <c r="BI449" s="188" t="s">
        <v>598</v>
      </c>
      <c r="BJ449" s="189">
        <v>3000</v>
      </c>
      <c r="BK449" s="188" t="s">
        <v>493</v>
      </c>
      <c r="BL449" s="188" t="s">
        <v>598</v>
      </c>
      <c r="BM449" s="189">
        <v>0</v>
      </c>
      <c r="BN449" s="188" t="s">
        <v>598</v>
      </c>
      <c r="BO449" s="127">
        <v>42864</v>
      </c>
      <c r="BP449" s="188" t="s">
        <v>598</v>
      </c>
      <c r="BQ449" s="188" t="s">
        <v>84</v>
      </c>
      <c r="BR449" s="188" t="s">
        <v>447</v>
      </c>
      <c r="BS449" s="188" t="s">
        <v>598</v>
      </c>
      <c r="BT449" s="188" t="s">
        <v>63</v>
      </c>
      <c r="BU449" s="188" t="s">
        <v>63</v>
      </c>
      <c r="BV449" s="188" t="s">
        <v>598</v>
      </c>
    </row>
    <row r="450" spans="5:74">
      <c r="E450" s="21"/>
      <c r="Q450" s="191"/>
      <c r="R450" s="191"/>
      <c r="S450" s="191"/>
      <c r="T450" s="127"/>
      <c r="U450" s="127"/>
      <c r="V450" s="191"/>
      <c r="W450" s="190"/>
      <c r="X450" s="191"/>
      <c r="Y450" s="191"/>
      <c r="Z450" s="191"/>
      <c r="AA450" s="191"/>
      <c r="AB450" s="191"/>
      <c r="AC450" s="191"/>
      <c r="AD450" s="191"/>
      <c r="AE450" s="191"/>
      <c r="AF450" s="191"/>
      <c r="AG450" s="191"/>
      <c r="AH450" s="191"/>
      <c r="AI450" s="127"/>
      <c r="AJ450" s="191"/>
      <c r="AK450" s="191"/>
      <c r="AL450" s="190"/>
      <c r="AM450" s="191"/>
      <c r="BE450" s="188" t="s">
        <v>3269</v>
      </c>
      <c r="BF450" s="188" t="s">
        <v>4177</v>
      </c>
      <c r="BG450" s="127">
        <v>42865</v>
      </c>
      <c r="BH450" s="188" t="s">
        <v>34</v>
      </c>
      <c r="BI450" s="188" t="s">
        <v>598</v>
      </c>
      <c r="BJ450" s="189">
        <v>3000</v>
      </c>
      <c r="BK450" s="188" t="s">
        <v>493</v>
      </c>
      <c r="BL450" s="188" t="s">
        <v>598</v>
      </c>
      <c r="BM450" s="189">
        <v>0</v>
      </c>
      <c r="BN450" s="188" t="s">
        <v>598</v>
      </c>
      <c r="BO450" s="127">
        <v>42865</v>
      </c>
      <c r="BP450" s="188" t="s">
        <v>134</v>
      </c>
      <c r="BQ450" s="188" t="s">
        <v>84</v>
      </c>
      <c r="BR450" s="188" t="s">
        <v>3271</v>
      </c>
      <c r="BS450" s="188" t="s">
        <v>598</v>
      </c>
      <c r="BT450" s="188" t="s">
        <v>63</v>
      </c>
      <c r="BU450" s="188" t="s">
        <v>63</v>
      </c>
      <c r="BV450" s="188" t="s">
        <v>598</v>
      </c>
    </row>
    <row r="451" spans="5:74">
      <c r="E451" s="21"/>
      <c r="Q451" s="191"/>
      <c r="R451" s="191"/>
      <c r="S451" s="191"/>
      <c r="T451" s="127"/>
      <c r="U451" s="127"/>
      <c r="V451" s="191"/>
      <c r="W451" s="190"/>
      <c r="X451" s="191"/>
      <c r="Y451" s="191"/>
      <c r="Z451" s="191"/>
      <c r="AA451" s="191"/>
      <c r="AB451" s="191"/>
      <c r="AC451" s="191"/>
      <c r="AD451" s="191"/>
      <c r="AE451" s="191"/>
      <c r="AF451" s="191"/>
      <c r="AG451" s="191"/>
      <c r="AH451" s="191"/>
      <c r="AI451" s="127"/>
      <c r="AJ451" s="191"/>
      <c r="AK451" s="191"/>
      <c r="AL451" s="190"/>
      <c r="AM451" s="191"/>
      <c r="BE451" s="188" t="s">
        <v>3272</v>
      </c>
      <c r="BF451" s="188" t="s">
        <v>4178</v>
      </c>
      <c r="BG451" s="127">
        <v>42878</v>
      </c>
      <c r="BH451" s="188" t="s">
        <v>10</v>
      </c>
      <c r="BI451" s="188" t="s">
        <v>598</v>
      </c>
      <c r="BJ451" s="189">
        <v>5000</v>
      </c>
      <c r="BK451" s="188" t="s">
        <v>493</v>
      </c>
      <c r="BL451" s="188" t="s">
        <v>598</v>
      </c>
      <c r="BM451" s="189">
        <v>0</v>
      </c>
      <c r="BN451" s="188" t="s">
        <v>598</v>
      </c>
      <c r="BO451" s="127">
        <v>42870</v>
      </c>
      <c r="BP451" s="188" t="s">
        <v>598</v>
      </c>
      <c r="BQ451" s="188" t="s">
        <v>84</v>
      </c>
      <c r="BR451" s="188" t="s">
        <v>189</v>
      </c>
      <c r="BS451" s="188" t="s">
        <v>598</v>
      </c>
      <c r="BT451" s="188" t="s">
        <v>63</v>
      </c>
      <c r="BU451" s="188" t="s">
        <v>3021</v>
      </c>
      <c r="BV451" s="188" t="s">
        <v>598</v>
      </c>
    </row>
    <row r="452" spans="5:74">
      <c r="E452" s="21"/>
      <c r="Q452" s="191"/>
      <c r="R452" s="191"/>
      <c r="S452" s="191"/>
      <c r="T452" s="127"/>
      <c r="U452" s="127"/>
      <c r="V452" s="191"/>
      <c r="W452" s="190"/>
      <c r="X452" s="191"/>
      <c r="Y452" s="191"/>
      <c r="Z452" s="191"/>
      <c r="AA452" s="191"/>
      <c r="AB452" s="191"/>
      <c r="AC452" s="191"/>
      <c r="AD452" s="191"/>
      <c r="AE452" s="191"/>
      <c r="AF452" s="191"/>
      <c r="AG452" s="191"/>
      <c r="AH452" s="191"/>
      <c r="AI452" s="127"/>
      <c r="AJ452" s="191"/>
      <c r="AK452" s="191"/>
      <c r="AL452" s="190"/>
      <c r="AM452" s="191"/>
      <c r="BE452" s="188" t="s">
        <v>3274</v>
      </c>
      <c r="BF452" s="188" t="s">
        <v>4179</v>
      </c>
      <c r="BG452" s="127">
        <v>42872</v>
      </c>
      <c r="BH452" s="188" t="s">
        <v>34</v>
      </c>
      <c r="BI452" s="188" t="s">
        <v>598</v>
      </c>
      <c r="BJ452" s="189">
        <v>4000</v>
      </c>
      <c r="BK452" s="188" t="s">
        <v>493</v>
      </c>
      <c r="BL452" s="188" t="s">
        <v>598</v>
      </c>
      <c r="BM452" s="189">
        <v>0</v>
      </c>
      <c r="BN452" s="188" t="s">
        <v>598</v>
      </c>
      <c r="BO452" s="127">
        <v>42871</v>
      </c>
      <c r="BP452" s="188" t="s">
        <v>598</v>
      </c>
      <c r="BQ452" s="188" t="s">
        <v>84</v>
      </c>
      <c r="BR452" s="188" t="s">
        <v>219</v>
      </c>
      <c r="BS452" s="188" t="s">
        <v>598</v>
      </c>
      <c r="BT452" s="188" t="s">
        <v>63</v>
      </c>
      <c r="BU452" s="188" t="s">
        <v>86</v>
      </c>
      <c r="BV452" s="188" t="s">
        <v>598</v>
      </c>
    </row>
    <row r="453" spans="5:74">
      <c r="E453" s="21"/>
      <c r="Q453" s="191"/>
      <c r="R453" s="191"/>
      <c r="S453" s="191"/>
      <c r="T453" s="127"/>
      <c r="U453" s="127"/>
      <c r="V453" s="191"/>
      <c r="W453" s="190"/>
      <c r="X453" s="191"/>
      <c r="Y453" s="191"/>
      <c r="Z453" s="191"/>
      <c r="AA453" s="191"/>
      <c r="AB453" s="191"/>
      <c r="AC453" s="191"/>
      <c r="AD453" s="191"/>
      <c r="AE453" s="191"/>
      <c r="AF453" s="191"/>
      <c r="AG453" s="191"/>
      <c r="AH453" s="191"/>
      <c r="AI453" s="127"/>
      <c r="AJ453" s="191"/>
      <c r="AK453" s="191"/>
      <c r="AL453" s="190"/>
      <c r="AM453" s="191"/>
      <c r="BE453" s="188" t="s">
        <v>3276</v>
      </c>
      <c r="BF453" s="188" t="s">
        <v>4180</v>
      </c>
      <c r="BG453" s="127">
        <v>42879</v>
      </c>
      <c r="BH453" s="188" t="s">
        <v>10</v>
      </c>
      <c r="BI453" s="188" t="s">
        <v>598</v>
      </c>
      <c r="BJ453" s="189">
        <v>3000</v>
      </c>
      <c r="BK453" s="188" t="s">
        <v>493</v>
      </c>
      <c r="BL453" s="188" t="s">
        <v>598</v>
      </c>
      <c r="BM453" s="189">
        <v>0</v>
      </c>
      <c r="BN453" s="188" t="s">
        <v>598</v>
      </c>
      <c r="BO453" s="127">
        <v>42872</v>
      </c>
      <c r="BP453" s="188" t="s">
        <v>598</v>
      </c>
      <c r="BQ453" s="188" t="s">
        <v>84</v>
      </c>
      <c r="BR453" s="188" t="s">
        <v>209</v>
      </c>
      <c r="BS453" s="188" t="s">
        <v>598</v>
      </c>
      <c r="BT453" s="188" t="s">
        <v>63</v>
      </c>
      <c r="BU453" s="188" t="s">
        <v>86</v>
      </c>
      <c r="BV453" s="188" t="s">
        <v>598</v>
      </c>
    </row>
    <row r="454" spans="5:74">
      <c r="E454" s="21"/>
      <c r="Q454" s="191"/>
      <c r="R454" s="191"/>
      <c r="S454" s="191"/>
      <c r="T454" s="127"/>
      <c r="U454" s="127"/>
      <c r="V454" s="191"/>
      <c r="W454" s="190"/>
      <c r="X454" s="191"/>
      <c r="Y454" s="191"/>
      <c r="Z454" s="191"/>
      <c r="AA454" s="191"/>
      <c r="AB454" s="191"/>
      <c r="AC454" s="191"/>
      <c r="AD454" s="191"/>
      <c r="AE454" s="191"/>
      <c r="AF454" s="191"/>
      <c r="AG454" s="191"/>
      <c r="AH454" s="191"/>
      <c r="AI454" s="127"/>
      <c r="AJ454" s="191"/>
      <c r="AK454" s="191"/>
      <c r="AL454" s="190"/>
      <c r="AM454" s="191"/>
      <c r="BE454" s="188" t="s">
        <v>3277</v>
      </c>
      <c r="BF454" s="188" t="s">
        <v>4181</v>
      </c>
      <c r="BG454" s="127">
        <v>42875</v>
      </c>
      <c r="BH454" s="188" t="s">
        <v>34</v>
      </c>
      <c r="BI454" s="188" t="s">
        <v>598</v>
      </c>
      <c r="BJ454" s="189">
        <v>4000</v>
      </c>
      <c r="BK454" s="188" t="s">
        <v>493</v>
      </c>
      <c r="BL454" s="188" t="s">
        <v>598</v>
      </c>
      <c r="BM454" s="189">
        <v>0</v>
      </c>
      <c r="BN454" s="188" t="s">
        <v>598</v>
      </c>
      <c r="BO454" s="127">
        <v>42873</v>
      </c>
      <c r="BP454" s="188" t="s">
        <v>3263</v>
      </c>
      <c r="BQ454" s="188" t="s">
        <v>84</v>
      </c>
      <c r="BR454" s="188" t="s">
        <v>598</v>
      </c>
      <c r="BS454" s="188" t="s">
        <v>598</v>
      </c>
      <c r="BT454" s="188" t="s">
        <v>63</v>
      </c>
      <c r="BU454" s="188" t="s">
        <v>86</v>
      </c>
      <c r="BV454" s="188" t="s">
        <v>598</v>
      </c>
    </row>
    <row r="455" spans="5:74">
      <c r="E455" s="21"/>
      <c r="Q455" s="191"/>
      <c r="R455" s="191"/>
      <c r="S455" s="191"/>
      <c r="T455" s="127"/>
      <c r="U455" s="127"/>
      <c r="V455" s="191"/>
      <c r="W455" s="190"/>
      <c r="X455" s="191"/>
      <c r="Y455" s="191"/>
      <c r="Z455" s="191"/>
      <c r="AA455" s="191"/>
      <c r="AB455" s="191"/>
      <c r="AC455" s="191"/>
      <c r="AD455" s="191"/>
      <c r="AE455" s="191"/>
      <c r="AF455" s="191"/>
      <c r="AG455" s="191"/>
      <c r="AH455" s="191"/>
      <c r="AI455" s="127"/>
      <c r="AJ455" s="191"/>
      <c r="AK455" s="191"/>
      <c r="AL455" s="190"/>
      <c r="AM455" s="191"/>
      <c r="BE455" s="188" t="s">
        <v>3279</v>
      </c>
      <c r="BF455" s="188" t="s">
        <v>4182</v>
      </c>
      <c r="BG455" s="127">
        <v>42878</v>
      </c>
      <c r="BH455" s="188" t="s">
        <v>34</v>
      </c>
      <c r="BI455" s="188" t="s">
        <v>598</v>
      </c>
      <c r="BJ455" s="189">
        <v>2000</v>
      </c>
      <c r="BK455" s="188" t="s">
        <v>493</v>
      </c>
      <c r="BL455" s="188" t="s">
        <v>598</v>
      </c>
      <c r="BM455" s="189">
        <v>0</v>
      </c>
      <c r="BN455" s="188" t="s">
        <v>598</v>
      </c>
      <c r="BO455" s="127">
        <v>42873</v>
      </c>
      <c r="BP455" s="188" t="s">
        <v>132</v>
      </c>
      <c r="BQ455" s="188" t="s">
        <v>84</v>
      </c>
      <c r="BR455" s="188" t="s">
        <v>448</v>
      </c>
      <c r="BS455" s="188" t="s">
        <v>598</v>
      </c>
      <c r="BT455" s="188" t="s">
        <v>63</v>
      </c>
      <c r="BU455" s="188" t="s">
        <v>86</v>
      </c>
      <c r="BV455" s="188" t="s">
        <v>598</v>
      </c>
    </row>
    <row r="456" spans="5:74">
      <c r="E456" s="21"/>
      <c r="Q456" s="191"/>
      <c r="R456" s="191"/>
      <c r="S456" s="191"/>
      <c r="T456" s="127"/>
      <c r="U456" s="127"/>
      <c r="V456" s="191"/>
      <c r="W456" s="190"/>
      <c r="X456" s="191"/>
      <c r="Y456" s="191"/>
      <c r="Z456" s="191"/>
      <c r="AA456" s="191"/>
      <c r="AB456" s="191"/>
      <c r="AC456" s="191"/>
      <c r="AD456" s="191"/>
      <c r="AE456" s="191"/>
      <c r="AF456" s="191"/>
      <c r="AG456" s="191"/>
      <c r="AH456" s="191"/>
      <c r="AI456" s="127"/>
      <c r="AJ456" s="191"/>
      <c r="AK456" s="191"/>
      <c r="AL456" s="190"/>
      <c r="AM456" s="191"/>
      <c r="BE456" s="188" t="s">
        <v>3281</v>
      </c>
      <c r="BF456" s="188" t="s">
        <v>4183</v>
      </c>
      <c r="BG456" s="127">
        <v>42880</v>
      </c>
      <c r="BH456" s="188" t="s">
        <v>34</v>
      </c>
      <c r="BI456" s="188" t="s">
        <v>598</v>
      </c>
      <c r="BJ456" s="189">
        <v>3000</v>
      </c>
      <c r="BK456" s="188" t="s">
        <v>493</v>
      </c>
      <c r="BL456" s="188" t="s">
        <v>598</v>
      </c>
      <c r="BM456" s="189">
        <v>0</v>
      </c>
      <c r="BN456" s="188" t="s">
        <v>598</v>
      </c>
      <c r="BO456" s="127">
        <v>42873</v>
      </c>
      <c r="BP456" s="188" t="s">
        <v>598</v>
      </c>
      <c r="BQ456" s="188" t="s">
        <v>84</v>
      </c>
      <c r="BR456" s="188" t="s">
        <v>1265</v>
      </c>
      <c r="BS456" s="188" t="s">
        <v>598</v>
      </c>
      <c r="BT456" s="188" t="s">
        <v>63</v>
      </c>
      <c r="BU456" s="188" t="s">
        <v>3021</v>
      </c>
      <c r="BV456" s="188" t="s">
        <v>598</v>
      </c>
    </row>
    <row r="457" spans="5:74">
      <c r="E457" s="21"/>
      <c r="Q457" s="191"/>
      <c r="R457" s="191"/>
      <c r="S457" s="191"/>
      <c r="T457" s="127"/>
      <c r="U457" s="127"/>
      <c r="V457" s="191"/>
      <c r="W457" s="190"/>
      <c r="X457" s="191"/>
      <c r="Y457" s="191"/>
      <c r="Z457" s="191"/>
      <c r="AA457" s="191"/>
      <c r="AB457" s="191"/>
      <c r="AC457" s="191"/>
      <c r="AD457" s="191"/>
      <c r="AE457" s="191"/>
      <c r="AF457" s="191"/>
      <c r="AG457" s="191"/>
      <c r="AH457" s="191"/>
      <c r="AI457" s="127"/>
      <c r="AJ457" s="191"/>
      <c r="AK457" s="191"/>
      <c r="AL457" s="190"/>
      <c r="AM457" s="191"/>
      <c r="BE457" s="188" t="s">
        <v>3283</v>
      </c>
      <c r="BF457" s="188" t="s">
        <v>4184</v>
      </c>
      <c r="BG457" s="127">
        <v>42878</v>
      </c>
      <c r="BH457" s="188" t="s">
        <v>34</v>
      </c>
      <c r="BI457" s="188" t="s">
        <v>598</v>
      </c>
      <c r="BJ457" s="189">
        <v>3000</v>
      </c>
      <c r="BK457" s="188" t="s">
        <v>493</v>
      </c>
      <c r="BL457" s="188" t="s">
        <v>598</v>
      </c>
      <c r="BM457" s="189">
        <v>0</v>
      </c>
      <c r="BN457" s="188" t="s">
        <v>598</v>
      </c>
      <c r="BO457" s="127">
        <v>42873</v>
      </c>
      <c r="BP457" s="188" t="s">
        <v>598</v>
      </c>
      <c r="BQ457" s="188" t="s">
        <v>84</v>
      </c>
      <c r="BR457" s="188" t="s">
        <v>448</v>
      </c>
      <c r="BS457" s="188" t="s">
        <v>598</v>
      </c>
      <c r="BT457" s="188" t="s">
        <v>63</v>
      </c>
      <c r="BU457" s="188" t="s">
        <v>86</v>
      </c>
      <c r="BV457" s="188" t="s">
        <v>598</v>
      </c>
    </row>
    <row r="458" spans="5:74">
      <c r="E458" s="21"/>
      <c r="Q458" s="191"/>
      <c r="R458" s="191"/>
      <c r="S458" s="191"/>
      <c r="T458" s="127"/>
      <c r="U458" s="127"/>
      <c r="V458" s="191"/>
      <c r="W458" s="190"/>
      <c r="X458" s="191"/>
      <c r="Y458" s="191"/>
      <c r="Z458" s="191"/>
      <c r="AA458" s="191"/>
      <c r="AB458" s="191"/>
      <c r="AC458" s="191"/>
      <c r="AD458" s="191"/>
      <c r="AE458" s="191"/>
      <c r="AF458" s="191"/>
      <c r="AG458" s="191"/>
      <c r="AH458" s="191"/>
      <c r="AI458" s="127"/>
      <c r="AJ458" s="191"/>
      <c r="AK458" s="191"/>
      <c r="AL458" s="190"/>
      <c r="AM458" s="191"/>
      <c r="BE458" s="188" t="s">
        <v>3285</v>
      </c>
      <c r="BF458" s="188" t="s">
        <v>4185</v>
      </c>
      <c r="BG458" s="127">
        <v>42877</v>
      </c>
      <c r="BH458" s="188" t="s">
        <v>34</v>
      </c>
      <c r="BI458" s="188" t="s">
        <v>598</v>
      </c>
      <c r="BJ458" s="189">
        <v>1000</v>
      </c>
      <c r="BK458" s="188" t="s">
        <v>573</v>
      </c>
      <c r="BL458" s="188" t="s">
        <v>598</v>
      </c>
      <c r="BM458" s="189">
        <v>0</v>
      </c>
      <c r="BN458" s="188" t="s">
        <v>89</v>
      </c>
      <c r="BO458" s="127">
        <v>42877</v>
      </c>
      <c r="BP458" s="188" t="s">
        <v>598</v>
      </c>
      <c r="BQ458" s="188" t="s">
        <v>84</v>
      </c>
      <c r="BR458" s="188" t="s">
        <v>191</v>
      </c>
      <c r="BS458" s="188" t="s">
        <v>598</v>
      </c>
      <c r="BT458" s="188" t="s">
        <v>63</v>
      </c>
      <c r="BU458" s="188" t="s">
        <v>63</v>
      </c>
      <c r="BV458" s="188" t="s">
        <v>598</v>
      </c>
    </row>
    <row r="459" spans="5:74">
      <c r="E459" s="21"/>
      <c r="Q459" s="191"/>
      <c r="R459" s="191"/>
      <c r="S459" s="191"/>
      <c r="T459" s="127"/>
      <c r="U459" s="127"/>
      <c r="V459" s="191"/>
      <c r="W459" s="190"/>
      <c r="X459" s="191"/>
      <c r="Y459" s="191"/>
      <c r="Z459" s="191"/>
      <c r="AA459" s="191"/>
      <c r="AB459" s="191"/>
      <c r="AC459" s="191"/>
      <c r="AD459" s="191"/>
      <c r="AE459" s="191"/>
      <c r="AF459" s="191"/>
      <c r="AG459" s="191"/>
      <c r="AH459" s="191"/>
      <c r="AI459" s="127"/>
      <c r="AJ459" s="191"/>
      <c r="AK459" s="191"/>
      <c r="AL459" s="190"/>
      <c r="AM459" s="191"/>
      <c r="BE459" s="188" t="s">
        <v>3286</v>
      </c>
      <c r="BF459" s="188" t="s">
        <v>4186</v>
      </c>
      <c r="BG459" s="127">
        <v>42881</v>
      </c>
      <c r="BH459" s="188" t="s">
        <v>34</v>
      </c>
      <c r="BI459" s="188" t="s">
        <v>598</v>
      </c>
      <c r="BJ459" s="189">
        <v>3000</v>
      </c>
      <c r="BK459" s="188" t="s">
        <v>493</v>
      </c>
      <c r="BL459" s="188" t="s">
        <v>598</v>
      </c>
      <c r="BM459" s="189">
        <v>0</v>
      </c>
      <c r="BN459" s="188" t="s">
        <v>598</v>
      </c>
      <c r="BO459" s="127">
        <v>42877</v>
      </c>
      <c r="BP459" s="188" t="s">
        <v>598</v>
      </c>
      <c r="BQ459" s="188" t="s">
        <v>84</v>
      </c>
      <c r="BR459" s="188" t="s">
        <v>208</v>
      </c>
      <c r="BS459" s="188" t="s">
        <v>598</v>
      </c>
      <c r="BT459" s="188" t="s">
        <v>63</v>
      </c>
      <c r="BU459" s="188" t="s">
        <v>63</v>
      </c>
      <c r="BV459" s="188" t="s">
        <v>598</v>
      </c>
    </row>
    <row r="460" spans="5:74">
      <c r="E460" s="21"/>
      <c r="Q460" s="191"/>
      <c r="R460" s="191"/>
      <c r="S460" s="191"/>
      <c r="T460" s="127"/>
      <c r="U460" s="127"/>
      <c r="V460" s="191"/>
      <c r="W460" s="190"/>
      <c r="X460" s="191"/>
      <c r="Y460" s="191"/>
      <c r="Z460" s="191"/>
      <c r="AA460" s="191"/>
      <c r="AB460" s="191"/>
      <c r="AC460" s="191"/>
      <c r="AD460" s="191"/>
      <c r="AE460" s="191"/>
      <c r="AF460" s="191"/>
      <c r="AG460" s="191"/>
      <c r="AH460" s="191"/>
      <c r="AI460" s="127"/>
      <c r="AJ460" s="191"/>
      <c r="AK460" s="191"/>
      <c r="AL460" s="190"/>
      <c r="AM460" s="191"/>
      <c r="BE460" s="188" t="s">
        <v>3288</v>
      </c>
      <c r="BF460" s="188" t="s">
        <v>4187</v>
      </c>
      <c r="BG460" s="127">
        <v>42878</v>
      </c>
      <c r="BH460" s="188" t="s">
        <v>34</v>
      </c>
      <c r="BI460" s="188" t="s">
        <v>598</v>
      </c>
      <c r="BJ460" s="189">
        <v>4000</v>
      </c>
      <c r="BK460" s="188" t="s">
        <v>493</v>
      </c>
      <c r="BL460" s="188" t="s">
        <v>598</v>
      </c>
      <c r="BM460" s="189">
        <v>0</v>
      </c>
      <c r="BN460" s="188" t="s">
        <v>598</v>
      </c>
      <c r="BO460" s="127">
        <v>42878</v>
      </c>
      <c r="BP460" s="188" t="s">
        <v>598</v>
      </c>
      <c r="BQ460" s="188" t="s">
        <v>84</v>
      </c>
      <c r="BR460" s="188" t="s">
        <v>191</v>
      </c>
      <c r="BS460" s="188" t="s">
        <v>598</v>
      </c>
      <c r="BT460" s="188" t="s">
        <v>63</v>
      </c>
      <c r="BU460" s="188" t="s">
        <v>63</v>
      </c>
      <c r="BV460" s="188" t="s">
        <v>598</v>
      </c>
    </row>
    <row r="461" spans="5:74">
      <c r="E461" s="21"/>
      <c r="Q461" s="191"/>
      <c r="R461" s="191"/>
      <c r="S461" s="191"/>
      <c r="T461" s="127"/>
      <c r="U461" s="127"/>
      <c r="V461" s="191"/>
      <c r="W461" s="190"/>
      <c r="X461" s="191"/>
      <c r="Y461" s="191"/>
      <c r="Z461" s="191"/>
      <c r="AA461" s="191"/>
      <c r="AB461" s="191"/>
      <c r="AC461" s="191"/>
      <c r="AD461" s="191"/>
      <c r="AE461" s="191"/>
      <c r="AF461" s="191"/>
      <c r="AG461" s="191"/>
      <c r="AH461" s="191"/>
      <c r="AI461" s="127"/>
      <c r="AJ461" s="191"/>
      <c r="AK461" s="191"/>
      <c r="AL461" s="190"/>
      <c r="AM461" s="191"/>
      <c r="BE461" s="188" t="s">
        <v>3290</v>
      </c>
      <c r="BF461" s="188" t="s">
        <v>4188</v>
      </c>
      <c r="BG461" s="127">
        <v>42879</v>
      </c>
      <c r="BH461" s="188" t="s">
        <v>34</v>
      </c>
      <c r="BI461" s="188" t="s">
        <v>598</v>
      </c>
      <c r="BJ461" s="189">
        <v>5000</v>
      </c>
      <c r="BK461" s="188" t="s">
        <v>493</v>
      </c>
      <c r="BL461" s="188" t="s">
        <v>598</v>
      </c>
      <c r="BM461" s="189">
        <v>0</v>
      </c>
      <c r="BN461" s="188" t="s">
        <v>598</v>
      </c>
      <c r="BO461" s="127">
        <v>42878</v>
      </c>
      <c r="BP461" s="188" t="s">
        <v>598</v>
      </c>
      <c r="BQ461" s="188" t="s">
        <v>84</v>
      </c>
      <c r="BR461" s="188" t="s">
        <v>449</v>
      </c>
      <c r="BS461" s="188" t="s">
        <v>598</v>
      </c>
      <c r="BT461" s="188" t="s">
        <v>63</v>
      </c>
      <c r="BU461" s="188" t="s">
        <v>3021</v>
      </c>
      <c r="BV461" s="188" t="s">
        <v>598</v>
      </c>
    </row>
    <row r="462" spans="5:74">
      <c r="E462" s="21"/>
      <c r="Q462" s="191"/>
      <c r="R462" s="191"/>
      <c r="S462" s="191"/>
      <c r="T462" s="127"/>
      <c r="U462" s="127"/>
      <c r="V462" s="191"/>
      <c r="W462" s="190"/>
      <c r="X462" s="191"/>
      <c r="Y462" s="191"/>
      <c r="Z462" s="191"/>
      <c r="AA462" s="191"/>
      <c r="AB462" s="191"/>
      <c r="AC462" s="191"/>
      <c r="AD462" s="191"/>
      <c r="AE462" s="191"/>
      <c r="AF462" s="191"/>
      <c r="AG462" s="191"/>
      <c r="AH462" s="191"/>
      <c r="AI462" s="127"/>
      <c r="AJ462" s="191"/>
      <c r="AK462" s="191"/>
      <c r="AL462" s="190"/>
      <c r="AM462" s="191"/>
      <c r="BE462" s="188" t="s">
        <v>3292</v>
      </c>
      <c r="BF462" s="188" t="s">
        <v>4189</v>
      </c>
      <c r="BG462" s="127">
        <v>42885</v>
      </c>
      <c r="BH462" s="188" t="s">
        <v>10</v>
      </c>
      <c r="BI462" s="188" t="s">
        <v>598</v>
      </c>
      <c r="BJ462" s="189">
        <v>3000</v>
      </c>
      <c r="BK462" s="188" t="s">
        <v>493</v>
      </c>
      <c r="BL462" s="188" t="s">
        <v>598</v>
      </c>
      <c r="BM462" s="189">
        <v>0</v>
      </c>
      <c r="BN462" s="188" t="s">
        <v>598</v>
      </c>
      <c r="BO462" s="127">
        <v>42879</v>
      </c>
      <c r="BP462" s="188" t="s">
        <v>598</v>
      </c>
      <c r="BQ462" s="188" t="s">
        <v>84</v>
      </c>
      <c r="BR462" s="188" t="s">
        <v>222</v>
      </c>
      <c r="BS462" s="188" t="s">
        <v>598</v>
      </c>
      <c r="BT462" s="188" t="s">
        <v>63</v>
      </c>
      <c r="BU462" s="188" t="s">
        <v>63</v>
      </c>
      <c r="BV462" s="188" t="s">
        <v>598</v>
      </c>
    </row>
    <row r="463" spans="5:74">
      <c r="E463" s="21"/>
      <c r="Q463" s="191"/>
      <c r="R463" s="191"/>
      <c r="S463" s="191"/>
      <c r="T463" s="127"/>
      <c r="U463" s="127"/>
      <c r="V463" s="191"/>
      <c r="W463" s="190"/>
      <c r="X463" s="191"/>
      <c r="Y463" s="191"/>
      <c r="Z463" s="191"/>
      <c r="AA463" s="191"/>
      <c r="AB463" s="191"/>
      <c r="AC463" s="191"/>
      <c r="AD463" s="191"/>
      <c r="AE463" s="191"/>
      <c r="AF463" s="191"/>
      <c r="AG463" s="191"/>
      <c r="AH463" s="191"/>
      <c r="AI463" s="127"/>
      <c r="AJ463" s="191"/>
      <c r="AK463" s="191"/>
      <c r="AL463" s="190"/>
      <c r="AM463" s="191"/>
      <c r="BE463" s="188" t="s">
        <v>3294</v>
      </c>
      <c r="BF463" s="188" t="s">
        <v>4190</v>
      </c>
      <c r="BG463" s="127">
        <v>42881</v>
      </c>
      <c r="BH463" s="188" t="s">
        <v>34</v>
      </c>
      <c r="BI463" s="188" t="s">
        <v>598</v>
      </c>
      <c r="BJ463" s="189">
        <v>3000</v>
      </c>
      <c r="BK463" s="188" t="s">
        <v>493</v>
      </c>
      <c r="BL463" s="188" t="s">
        <v>598</v>
      </c>
      <c r="BM463" s="189">
        <v>0</v>
      </c>
      <c r="BN463" s="188" t="s">
        <v>598</v>
      </c>
      <c r="BO463" s="127">
        <v>42879</v>
      </c>
      <c r="BP463" s="188" t="s">
        <v>598</v>
      </c>
      <c r="BQ463" s="188" t="s">
        <v>84</v>
      </c>
      <c r="BR463" s="188" t="s">
        <v>357</v>
      </c>
      <c r="BS463" s="188" t="s">
        <v>598</v>
      </c>
      <c r="BT463" s="188" t="s">
        <v>63</v>
      </c>
      <c r="BU463" s="188" t="s">
        <v>86</v>
      </c>
      <c r="BV463" s="188" t="s">
        <v>598</v>
      </c>
    </row>
    <row r="464" spans="5:74">
      <c r="E464" s="21"/>
      <c r="Q464" s="191"/>
      <c r="R464" s="191"/>
      <c r="S464" s="191"/>
      <c r="T464" s="127"/>
      <c r="U464" s="127"/>
      <c r="V464" s="191"/>
      <c r="W464" s="190"/>
      <c r="X464" s="191"/>
      <c r="Y464" s="191"/>
      <c r="Z464" s="191"/>
      <c r="AA464" s="191"/>
      <c r="AB464" s="191"/>
      <c r="AC464" s="191"/>
      <c r="AD464" s="191"/>
      <c r="AE464" s="191"/>
      <c r="AF464" s="191"/>
      <c r="AG464" s="191"/>
      <c r="AH464" s="191"/>
      <c r="AI464" s="127"/>
      <c r="AJ464" s="191"/>
      <c r="AK464" s="191"/>
      <c r="AL464" s="190"/>
      <c r="AM464" s="191"/>
      <c r="BE464" s="188" t="s">
        <v>3296</v>
      </c>
      <c r="BF464" s="188" t="s">
        <v>4191</v>
      </c>
      <c r="BG464" s="127">
        <v>42885</v>
      </c>
      <c r="BH464" s="188" t="s">
        <v>34</v>
      </c>
      <c r="BI464" s="188" t="s">
        <v>598</v>
      </c>
      <c r="BJ464" s="189">
        <v>10000</v>
      </c>
      <c r="BK464" s="188" t="s">
        <v>493</v>
      </c>
      <c r="BL464" s="188" t="s">
        <v>598</v>
      </c>
      <c r="BM464" s="189">
        <v>0</v>
      </c>
      <c r="BN464" s="188" t="s">
        <v>598</v>
      </c>
      <c r="BO464" s="127">
        <v>42880</v>
      </c>
      <c r="BP464" s="188" t="s">
        <v>134</v>
      </c>
      <c r="BQ464" s="188" t="s">
        <v>84</v>
      </c>
      <c r="BR464" s="188" t="s">
        <v>358</v>
      </c>
      <c r="BS464" s="188" t="s">
        <v>598</v>
      </c>
      <c r="BT464" s="188" t="s">
        <v>63</v>
      </c>
      <c r="BU464" s="188" t="s">
        <v>86</v>
      </c>
      <c r="BV464" s="188" t="s">
        <v>598</v>
      </c>
    </row>
    <row r="465" spans="5:74">
      <c r="E465" s="21"/>
      <c r="Q465" s="191"/>
      <c r="R465" s="191"/>
      <c r="S465" s="191"/>
      <c r="T465" s="127"/>
      <c r="U465" s="127"/>
      <c r="V465" s="191"/>
      <c r="W465" s="190"/>
      <c r="X465" s="191"/>
      <c r="Y465" s="191"/>
      <c r="Z465" s="191"/>
      <c r="AA465" s="191"/>
      <c r="AB465" s="191"/>
      <c r="AC465" s="191"/>
      <c r="AD465" s="191"/>
      <c r="AE465" s="191"/>
      <c r="AF465" s="191"/>
      <c r="AG465" s="191"/>
      <c r="AH465" s="191"/>
      <c r="AI465" s="127"/>
      <c r="AJ465" s="191"/>
      <c r="AK465" s="191"/>
      <c r="AL465" s="190"/>
      <c r="AM465" s="191"/>
      <c r="BE465" s="188" t="s">
        <v>3298</v>
      </c>
      <c r="BF465" s="188" t="s">
        <v>4192</v>
      </c>
      <c r="BG465" s="127">
        <v>42881</v>
      </c>
      <c r="BH465" s="188" t="s">
        <v>34</v>
      </c>
      <c r="BI465" s="188" t="s">
        <v>598</v>
      </c>
      <c r="BJ465" s="189">
        <v>1000</v>
      </c>
      <c r="BK465" s="188" t="s">
        <v>573</v>
      </c>
      <c r="BL465" s="188" t="s">
        <v>598</v>
      </c>
      <c r="BM465" s="189">
        <v>0</v>
      </c>
      <c r="BN465" s="188" t="s">
        <v>598</v>
      </c>
      <c r="BO465" s="127">
        <v>42881</v>
      </c>
      <c r="BP465" s="188" t="s">
        <v>598</v>
      </c>
      <c r="BQ465" s="188" t="s">
        <v>84</v>
      </c>
      <c r="BR465" s="188" t="s">
        <v>1262</v>
      </c>
      <c r="BS465" s="188" t="s">
        <v>598</v>
      </c>
      <c r="BT465" s="188" t="s">
        <v>63</v>
      </c>
      <c r="BU465" s="188" t="s">
        <v>63</v>
      </c>
      <c r="BV465" s="188" t="s">
        <v>598</v>
      </c>
    </row>
    <row r="466" spans="5:74">
      <c r="E466" s="21"/>
      <c r="Q466" s="191"/>
      <c r="R466" s="191"/>
      <c r="S466" s="191"/>
      <c r="T466" s="127"/>
      <c r="U466" s="127"/>
      <c r="V466" s="191"/>
      <c r="W466" s="190"/>
      <c r="X466" s="191"/>
      <c r="Y466" s="191"/>
      <c r="Z466" s="191"/>
      <c r="AA466" s="191"/>
      <c r="AB466" s="191"/>
      <c r="AC466" s="191"/>
      <c r="AD466" s="191"/>
      <c r="AE466" s="191"/>
      <c r="AF466" s="191"/>
      <c r="AG466" s="191"/>
      <c r="AH466" s="191"/>
      <c r="AI466" s="127"/>
      <c r="AJ466" s="191"/>
      <c r="AK466" s="191"/>
      <c r="AL466" s="190"/>
      <c r="AM466" s="191"/>
      <c r="BE466" s="188" t="s">
        <v>3299</v>
      </c>
      <c r="BF466" s="188" t="s">
        <v>4193</v>
      </c>
      <c r="BG466" s="127">
        <v>42881</v>
      </c>
      <c r="BH466" s="188" t="s">
        <v>34</v>
      </c>
      <c r="BI466" s="188" t="s">
        <v>598</v>
      </c>
      <c r="BJ466" s="189">
        <v>1000</v>
      </c>
      <c r="BK466" s="188" t="s">
        <v>549</v>
      </c>
      <c r="BL466" s="188" t="s">
        <v>598</v>
      </c>
      <c r="BM466" s="189">
        <v>0</v>
      </c>
      <c r="BN466" s="188" t="s">
        <v>493</v>
      </c>
      <c r="BO466" s="127">
        <v>42881</v>
      </c>
      <c r="BP466" s="188" t="s">
        <v>134</v>
      </c>
      <c r="BQ466" s="188" t="s">
        <v>84</v>
      </c>
      <c r="BR466" s="188" t="s">
        <v>1265</v>
      </c>
      <c r="BS466" s="188" t="s">
        <v>598</v>
      </c>
      <c r="BT466" s="188" t="s">
        <v>63</v>
      </c>
      <c r="BU466" s="188" t="s">
        <v>3021</v>
      </c>
      <c r="BV466" s="188" t="s">
        <v>598</v>
      </c>
    </row>
    <row r="467" spans="5:74">
      <c r="E467" s="21"/>
      <c r="Q467" s="191"/>
      <c r="R467" s="191"/>
      <c r="S467" s="191"/>
      <c r="T467" s="127"/>
      <c r="U467" s="127"/>
      <c r="V467" s="191"/>
      <c r="W467" s="190"/>
      <c r="X467" s="191"/>
      <c r="Y467" s="191"/>
      <c r="Z467" s="191"/>
      <c r="AA467" s="191"/>
      <c r="AB467" s="191"/>
      <c r="AC467" s="191"/>
      <c r="AD467" s="191"/>
      <c r="AE467" s="191"/>
      <c r="AF467" s="191"/>
      <c r="AG467" s="191"/>
      <c r="AH467" s="191"/>
      <c r="AI467" s="127"/>
      <c r="AJ467" s="191"/>
      <c r="AK467" s="191"/>
      <c r="AL467" s="190"/>
      <c r="AM467" s="191"/>
      <c r="BE467" s="188" t="s">
        <v>3300</v>
      </c>
      <c r="BF467" s="188" t="s">
        <v>4194</v>
      </c>
      <c r="BG467" s="127">
        <v>42881</v>
      </c>
      <c r="BH467" s="188" t="s">
        <v>34</v>
      </c>
      <c r="BI467" s="188" t="s">
        <v>598</v>
      </c>
      <c r="BJ467" s="189">
        <v>3000</v>
      </c>
      <c r="BK467" s="188" t="s">
        <v>493</v>
      </c>
      <c r="BL467" s="188" t="s">
        <v>598</v>
      </c>
      <c r="BM467" s="189">
        <v>0</v>
      </c>
      <c r="BN467" s="188" t="s">
        <v>598</v>
      </c>
      <c r="BO467" s="127">
        <v>42881</v>
      </c>
      <c r="BP467" s="188" t="s">
        <v>120</v>
      </c>
      <c r="BQ467" s="188" t="s">
        <v>84</v>
      </c>
      <c r="BR467" s="188" t="s">
        <v>222</v>
      </c>
      <c r="BS467" s="188" t="s">
        <v>598</v>
      </c>
      <c r="BT467" s="188" t="s">
        <v>63</v>
      </c>
      <c r="BU467" s="188" t="s">
        <v>3021</v>
      </c>
      <c r="BV467" s="188" t="s">
        <v>598</v>
      </c>
    </row>
    <row r="468" spans="5:74">
      <c r="E468" s="21"/>
      <c r="Q468" s="191"/>
      <c r="R468" s="191"/>
      <c r="S468" s="191"/>
      <c r="T468" s="127"/>
      <c r="U468" s="127"/>
      <c r="V468" s="191"/>
      <c r="W468" s="190"/>
      <c r="X468" s="191"/>
      <c r="Y468" s="191"/>
      <c r="Z468" s="191"/>
      <c r="AA468" s="191"/>
      <c r="AB468" s="191"/>
      <c r="AC468" s="191"/>
      <c r="AD468" s="191"/>
      <c r="AE468" s="191"/>
      <c r="AF468" s="191"/>
      <c r="AG468" s="191"/>
      <c r="AH468" s="191"/>
      <c r="AI468" s="127"/>
      <c r="AJ468" s="191"/>
      <c r="AK468" s="191"/>
      <c r="AL468" s="190"/>
      <c r="AM468" s="191"/>
      <c r="BE468" s="188" t="s">
        <v>3302</v>
      </c>
      <c r="BF468" s="188" t="s">
        <v>4195</v>
      </c>
      <c r="BG468" s="127">
        <v>42884</v>
      </c>
      <c r="BH468" s="188" t="s">
        <v>10</v>
      </c>
      <c r="BI468" s="188" t="s">
        <v>598</v>
      </c>
      <c r="BJ468" s="189">
        <v>2500</v>
      </c>
      <c r="BK468" s="188" t="s">
        <v>493</v>
      </c>
      <c r="BL468" s="188" t="s">
        <v>598</v>
      </c>
      <c r="BM468" s="189">
        <v>0</v>
      </c>
      <c r="BN468" s="188" t="s">
        <v>598</v>
      </c>
      <c r="BO468" s="127">
        <v>42881</v>
      </c>
      <c r="BP468" s="188" t="s">
        <v>598</v>
      </c>
      <c r="BQ468" s="188" t="s">
        <v>84</v>
      </c>
      <c r="BR468" s="188" t="s">
        <v>189</v>
      </c>
      <c r="BS468" s="188" t="s">
        <v>598</v>
      </c>
      <c r="BT468" s="188" t="s">
        <v>63</v>
      </c>
      <c r="BU468" s="188" t="s">
        <v>3021</v>
      </c>
      <c r="BV468" s="188" t="s">
        <v>598</v>
      </c>
    </row>
    <row r="469" spans="5:74">
      <c r="E469" s="21"/>
      <c r="Q469" s="191"/>
      <c r="R469" s="191"/>
      <c r="S469" s="191"/>
      <c r="T469" s="127"/>
      <c r="U469" s="127"/>
      <c r="V469" s="191"/>
      <c r="W469" s="190"/>
      <c r="X469" s="191"/>
      <c r="Y469" s="191"/>
      <c r="Z469" s="191"/>
      <c r="AA469" s="191"/>
      <c r="AB469" s="191"/>
      <c r="AC469" s="191"/>
      <c r="AD469" s="191"/>
      <c r="AE469" s="191"/>
      <c r="AF469" s="191"/>
      <c r="AG469" s="191"/>
      <c r="AH469" s="191"/>
      <c r="AI469" s="127"/>
      <c r="AJ469" s="191"/>
      <c r="AK469" s="191"/>
      <c r="AL469" s="190"/>
      <c r="AM469" s="191"/>
      <c r="BE469" s="188" t="s">
        <v>3304</v>
      </c>
      <c r="BF469" s="188" t="s">
        <v>4196</v>
      </c>
      <c r="BG469" s="127">
        <v>42885</v>
      </c>
      <c r="BH469" s="188" t="s">
        <v>34</v>
      </c>
      <c r="BI469" s="188" t="s">
        <v>598</v>
      </c>
      <c r="BJ469" s="189">
        <v>6000</v>
      </c>
      <c r="BK469" s="188" t="s">
        <v>493</v>
      </c>
      <c r="BL469" s="188" t="s">
        <v>598</v>
      </c>
      <c r="BM469" s="189">
        <v>0</v>
      </c>
      <c r="BN469" s="188" t="s">
        <v>598</v>
      </c>
      <c r="BO469" s="127">
        <v>42881</v>
      </c>
      <c r="BP469" s="188" t="s">
        <v>598</v>
      </c>
      <c r="BQ469" s="188" t="s">
        <v>84</v>
      </c>
      <c r="BR469" s="188" t="s">
        <v>205</v>
      </c>
      <c r="BS469" s="188" t="s">
        <v>598</v>
      </c>
      <c r="BT469" s="188" t="s">
        <v>63</v>
      </c>
      <c r="BU469" s="188" t="s">
        <v>86</v>
      </c>
      <c r="BV469" s="188" t="s">
        <v>598</v>
      </c>
    </row>
    <row r="470" spans="5:74">
      <c r="E470" s="21"/>
      <c r="Q470" s="191"/>
      <c r="R470" s="191"/>
      <c r="S470" s="191"/>
      <c r="T470" s="127"/>
      <c r="U470" s="127"/>
      <c r="V470" s="191"/>
      <c r="W470" s="190"/>
      <c r="X470" s="191"/>
      <c r="Y470" s="191"/>
      <c r="Z470" s="191"/>
      <c r="AA470" s="191"/>
      <c r="AB470" s="191"/>
      <c r="AC470" s="191"/>
      <c r="AD470" s="191"/>
      <c r="AE470" s="191"/>
      <c r="AF470" s="191"/>
      <c r="AG470" s="191"/>
      <c r="AH470" s="191"/>
      <c r="AI470" s="127"/>
      <c r="AJ470" s="191"/>
      <c r="AK470" s="191"/>
      <c r="AL470" s="190"/>
      <c r="AM470" s="191"/>
      <c r="BE470" s="188" t="s">
        <v>3305</v>
      </c>
      <c r="BF470" s="188" t="s">
        <v>4197</v>
      </c>
      <c r="BG470" s="127">
        <v>42885</v>
      </c>
      <c r="BH470" s="188" t="s">
        <v>34</v>
      </c>
      <c r="BI470" s="188" t="s">
        <v>598</v>
      </c>
      <c r="BJ470" s="189">
        <v>1000</v>
      </c>
      <c r="BK470" s="188" t="s">
        <v>573</v>
      </c>
      <c r="BL470" s="188" t="s">
        <v>598</v>
      </c>
      <c r="BM470" s="189">
        <v>0</v>
      </c>
      <c r="BN470" s="188" t="s">
        <v>598</v>
      </c>
      <c r="BO470" s="127">
        <v>42884</v>
      </c>
      <c r="BP470" s="188" t="s">
        <v>598</v>
      </c>
      <c r="BQ470" s="188" t="s">
        <v>84</v>
      </c>
      <c r="BR470" s="188" t="s">
        <v>225</v>
      </c>
      <c r="BS470" s="188" t="s">
        <v>598</v>
      </c>
      <c r="BT470" s="188" t="s">
        <v>63</v>
      </c>
      <c r="BU470" s="188" t="s">
        <v>3021</v>
      </c>
      <c r="BV470" s="188" t="s">
        <v>598</v>
      </c>
    </row>
    <row r="471" spans="5:74">
      <c r="E471" s="21"/>
      <c r="Q471" s="191"/>
      <c r="R471" s="191"/>
      <c r="S471" s="191"/>
      <c r="T471" s="127"/>
      <c r="U471" s="127"/>
      <c r="V471" s="191"/>
      <c r="W471" s="190"/>
      <c r="X471" s="191"/>
      <c r="Y471" s="191"/>
      <c r="Z471" s="191"/>
      <c r="AA471" s="191"/>
      <c r="AB471" s="191"/>
      <c r="AC471" s="191"/>
      <c r="AD471" s="191"/>
      <c r="AE471" s="191"/>
      <c r="AF471" s="191"/>
      <c r="AG471" s="191"/>
      <c r="AH471" s="191"/>
      <c r="AI471" s="127"/>
      <c r="AJ471" s="191"/>
      <c r="AK471" s="191"/>
      <c r="AL471" s="190"/>
      <c r="AM471" s="191"/>
      <c r="BE471" s="188" t="s">
        <v>3306</v>
      </c>
      <c r="BF471" s="188" t="s">
        <v>4198</v>
      </c>
      <c r="BG471" s="127">
        <v>42886</v>
      </c>
      <c r="BH471" s="188" t="s">
        <v>34</v>
      </c>
      <c r="BI471" s="188" t="s">
        <v>598</v>
      </c>
      <c r="BJ471" s="189">
        <v>5000</v>
      </c>
      <c r="BK471" s="188" t="s">
        <v>493</v>
      </c>
      <c r="BL471" s="188" t="s">
        <v>598</v>
      </c>
      <c r="BM471" s="189">
        <v>0</v>
      </c>
      <c r="BN471" s="188" t="s">
        <v>598</v>
      </c>
      <c r="BO471" s="127">
        <v>42884</v>
      </c>
      <c r="BP471" s="188" t="s">
        <v>598</v>
      </c>
      <c r="BQ471" s="188" t="s">
        <v>84</v>
      </c>
      <c r="BR471" s="188" t="s">
        <v>214</v>
      </c>
      <c r="BS471" s="188" t="s">
        <v>598</v>
      </c>
      <c r="BT471" s="188" t="s">
        <v>63</v>
      </c>
      <c r="BU471" s="188" t="s">
        <v>3021</v>
      </c>
      <c r="BV471" s="188" t="s">
        <v>598</v>
      </c>
    </row>
    <row r="472" spans="5:74">
      <c r="E472" s="21"/>
      <c r="Q472" s="191"/>
      <c r="R472" s="191"/>
      <c r="S472" s="191"/>
      <c r="T472" s="127"/>
      <c r="U472" s="127"/>
      <c r="V472" s="191"/>
      <c r="W472" s="190"/>
      <c r="X472" s="191"/>
      <c r="Y472" s="191"/>
      <c r="Z472" s="191"/>
      <c r="AA472" s="191"/>
      <c r="AB472" s="191"/>
      <c r="AC472" s="191"/>
      <c r="AD472" s="191"/>
      <c r="AE472" s="191"/>
      <c r="AF472" s="191"/>
      <c r="AG472" s="191"/>
      <c r="AH472" s="191"/>
      <c r="AI472" s="127"/>
      <c r="AJ472" s="191"/>
      <c r="AK472" s="191"/>
      <c r="AL472" s="190"/>
      <c r="AM472" s="191"/>
      <c r="BE472" s="188" t="s">
        <v>3308</v>
      </c>
      <c r="BF472" s="188" t="s">
        <v>4199</v>
      </c>
      <c r="BG472" s="127">
        <v>42886</v>
      </c>
      <c r="BH472" s="188" t="s">
        <v>34</v>
      </c>
      <c r="BI472" s="188" t="s">
        <v>598</v>
      </c>
      <c r="BJ472" s="189">
        <v>1000</v>
      </c>
      <c r="BK472" s="188" t="s">
        <v>549</v>
      </c>
      <c r="BL472" s="188" t="s">
        <v>598</v>
      </c>
      <c r="BM472" s="189">
        <v>0</v>
      </c>
      <c r="BN472" s="188" t="s">
        <v>493</v>
      </c>
      <c r="BO472" s="127">
        <v>42885</v>
      </c>
      <c r="BP472" s="188" t="s">
        <v>598</v>
      </c>
      <c r="BQ472" s="188" t="s">
        <v>84</v>
      </c>
      <c r="BR472" s="188" t="s">
        <v>242</v>
      </c>
      <c r="BS472" s="188" t="s">
        <v>598</v>
      </c>
      <c r="BT472" s="188" t="s">
        <v>63</v>
      </c>
      <c r="BU472" s="188" t="s">
        <v>86</v>
      </c>
      <c r="BV472" s="188" t="s">
        <v>598</v>
      </c>
    </row>
    <row r="473" spans="5:74">
      <c r="E473" s="21"/>
      <c r="Q473" s="191"/>
      <c r="R473" s="191"/>
      <c r="S473" s="191"/>
      <c r="T473" s="127"/>
      <c r="U473" s="127"/>
      <c r="V473" s="191"/>
      <c r="W473" s="190"/>
      <c r="X473" s="191"/>
      <c r="Y473" s="191"/>
      <c r="Z473" s="191"/>
      <c r="AA473" s="191"/>
      <c r="AB473" s="191"/>
      <c r="AC473" s="191"/>
      <c r="AD473" s="191"/>
      <c r="AE473" s="191"/>
      <c r="AF473" s="191"/>
      <c r="AG473" s="191"/>
      <c r="AH473" s="191"/>
      <c r="AI473" s="127"/>
      <c r="AJ473" s="191"/>
      <c r="AK473" s="191"/>
      <c r="AL473" s="190"/>
      <c r="AM473" s="191"/>
      <c r="BE473" s="188" t="s">
        <v>3309</v>
      </c>
      <c r="BF473" s="188" t="s">
        <v>4200</v>
      </c>
      <c r="BG473" s="127">
        <v>42873</v>
      </c>
      <c r="BH473" s="188" t="s">
        <v>34</v>
      </c>
      <c r="BI473" s="188" t="s">
        <v>598</v>
      </c>
      <c r="BJ473" s="189">
        <v>1000</v>
      </c>
      <c r="BK473" s="188" t="s">
        <v>493</v>
      </c>
      <c r="BL473" s="188" t="s">
        <v>598</v>
      </c>
      <c r="BM473" s="189">
        <v>0</v>
      </c>
      <c r="BN473" s="188" t="s">
        <v>598</v>
      </c>
      <c r="BO473" s="127">
        <v>42837</v>
      </c>
      <c r="BP473" s="188" t="s">
        <v>134</v>
      </c>
      <c r="BQ473" s="188" t="s">
        <v>84</v>
      </c>
      <c r="BR473" s="188" t="s">
        <v>221</v>
      </c>
      <c r="BS473" s="188" t="s">
        <v>598</v>
      </c>
      <c r="BT473" s="188" t="s">
        <v>63</v>
      </c>
      <c r="BU473" s="188" t="s">
        <v>63</v>
      </c>
      <c r="BV473" s="188" t="s">
        <v>598</v>
      </c>
    </row>
    <row r="474" spans="5:74">
      <c r="E474" s="21"/>
      <c r="Q474" s="191"/>
      <c r="R474" s="191"/>
      <c r="S474" s="191"/>
      <c r="T474" s="127"/>
      <c r="U474" s="127"/>
      <c r="V474" s="191"/>
      <c r="W474" s="190"/>
      <c r="X474" s="191"/>
      <c r="Y474" s="191"/>
      <c r="Z474" s="191"/>
      <c r="AA474" s="191"/>
      <c r="AB474" s="191"/>
      <c r="AC474" s="191"/>
      <c r="AD474" s="191"/>
      <c r="AE474" s="191"/>
      <c r="AF474" s="191"/>
      <c r="AG474" s="191"/>
      <c r="AH474" s="191"/>
      <c r="AI474" s="127"/>
      <c r="AJ474" s="191"/>
      <c r="AK474" s="191"/>
      <c r="AL474" s="190"/>
      <c r="AM474" s="191"/>
      <c r="BE474" s="188" t="s">
        <v>3311</v>
      </c>
      <c r="BF474" s="188" t="s">
        <v>4201</v>
      </c>
      <c r="BG474" s="127">
        <v>42857</v>
      </c>
      <c r="BH474" s="188" t="s">
        <v>10</v>
      </c>
      <c r="BI474" s="188" t="s">
        <v>598</v>
      </c>
      <c r="BJ474" s="189">
        <v>6000</v>
      </c>
      <c r="BK474" s="188" t="s">
        <v>493</v>
      </c>
      <c r="BL474" s="188" t="s">
        <v>598</v>
      </c>
      <c r="BM474" s="189">
        <v>0</v>
      </c>
      <c r="BN474" s="188" t="s">
        <v>598</v>
      </c>
      <c r="BO474" s="127">
        <v>42849</v>
      </c>
      <c r="BP474" s="188" t="s">
        <v>598</v>
      </c>
      <c r="BQ474" s="188" t="s">
        <v>84</v>
      </c>
      <c r="BR474" s="188" t="s">
        <v>450</v>
      </c>
      <c r="BS474" s="188" t="s">
        <v>598</v>
      </c>
      <c r="BT474" s="188" t="s">
        <v>63</v>
      </c>
      <c r="BU474" s="188" t="s">
        <v>86</v>
      </c>
      <c r="BV474" s="188" t="s">
        <v>598</v>
      </c>
    </row>
    <row r="475" spans="5:74">
      <c r="E475" s="21"/>
      <c r="Q475" s="191"/>
      <c r="R475" s="191"/>
      <c r="S475" s="191"/>
      <c r="T475" s="127"/>
      <c r="U475" s="127"/>
      <c r="V475" s="191"/>
      <c r="W475" s="190"/>
      <c r="X475" s="191"/>
      <c r="Y475" s="191"/>
      <c r="Z475" s="191"/>
      <c r="AA475" s="191"/>
      <c r="AB475" s="191"/>
      <c r="AC475" s="191"/>
      <c r="AD475" s="191"/>
      <c r="AE475" s="191"/>
      <c r="AF475" s="191"/>
      <c r="AG475" s="191"/>
      <c r="AH475" s="191"/>
      <c r="AI475" s="127"/>
      <c r="AJ475" s="191"/>
      <c r="AK475" s="191"/>
      <c r="AL475" s="190"/>
      <c r="AM475" s="191"/>
      <c r="BE475" s="188" t="s">
        <v>3313</v>
      </c>
      <c r="BF475" s="188" t="s">
        <v>4202</v>
      </c>
      <c r="BG475" s="127">
        <v>42861</v>
      </c>
      <c r="BH475" s="188" t="s">
        <v>10</v>
      </c>
      <c r="BI475" s="188" t="s">
        <v>598</v>
      </c>
      <c r="BJ475" s="189">
        <v>3000</v>
      </c>
      <c r="BK475" s="188" t="s">
        <v>493</v>
      </c>
      <c r="BL475" s="188">
        <v>4004</v>
      </c>
      <c r="BM475" s="189">
        <v>3000</v>
      </c>
      <c r="BN475" s="188" t="s">
        <v>598</v>
      </c>
      <c r="BO475" s="127">
        <v>42849</v>
      </c>
      <c r="BP475" s="188" t="s">
        <v>135</v>
      </c>
      <c r="BQ475" s="188" t="s">
        <v>84</v>
      </c>
      <c r="BR475" s="188" t="s">
        <v>191</v>
      </c>
      <c r="BS475" s="188" t="s">
        <v>598</v>
      </c>
      <c r="BT475" s="188" t="s">
        <v>63</v>
      </c>
      <c r="BU475" s="188" t="s">
        <v>86</v>
      </c>
      <c r="BV475" s="188" t="s">
        <v>598</v>
      </c>
    </row>
    <row r="476" spans="5:74">
      <c r="E476" s="21"/>
      <c r="Q476" s="191"/>
      <c r="R476" s="191"/>
      <c r="S476" s="191"/>
      <c r="T476" s="127"/>
      <c r="U476" s="127"/>
      <c r="V476" s="191"/>
      <c r="W476" s="190"/>
      <c r="X476" s="191"/>
      <c r="Y476" s="191"/>
      <c r="Z476" s="191"/>
      <c r="AA476" s="191"/>
      <c r="AB476" s="191"/>
      <c r="AC476" s="191"/>
      <c r="AD476" s="191"/>
      <c r="AE476" s="191"/>
      <c r="AF476" s="191"/>
      <c r="AG476" s="191"/>
      <c r="AH476" s="191"/>
      <c r="AI476" s="127"/>
      <c r="AJ476" s="191"/>
      <c r="AK476" s="191"/>
      <c r="AL476" s="190"/>
      <c r="AM476" s="191"/>
      <c r="BE476" s="188" t="s">
        <v>3315</v>
      </c>
      <c r="BF476" s="188" t="s">
        <v>4203</v>
      </c>
      <c r="BG476" s="127">
        <v>42870</v>
      </c>
      <c r="BH476" s="188" t="s">
        <v>10</v>
      </c>
      <c r="BI476" s="188" t="s">
        <v>598</v>
      </c>
      <c r="BJ476" s="189">
        <v>5000</v>
      </c>
      <c r="BK476" s="188" t="s">
        <v>493</v>
      </c>
      <c r="BL476" s="188">
        <v>3900</v>
      </c>
      <c r="BM476" s="189">
        <v>5000</v>
      </c>
      <c r="BN476" s="188" t="s">
        <v>598</v>
      </c>
      <c r="BO476" s="127">
        <v>42849</v>
      </c>
      <c r="BP476" s="188" t="s">
        <v>132</v>
      </c>
      <c r="BQ476" s="188" t="s">
        <v>84</v>
      </c>
      <c r="BR476" s="188" t="s">
        <v>357</v>
      </c>
      <c r="BS476" s="188" t="s">
        <v>598</v>
      </c>
      <c r="BT476" s="188" t="s">
        <v>63</v>
      </c>
      <c r="BU476" s="188" t="s">
        <v>86</v>
      </c>
      <c r="BV476" s="188" t="s">
        <v>598</v>
      </c>
    </row>
    <row r="477" spans="5:74">
      <c r="E477" s="21"/>
      <c r="Q477" s="191"/>
      <c r="R477" s="191"/>
      <c r="S477" s="191"/>
      <c r="T477" s="127"/>
      <c r="U477" s="127"/>
      <c r="V477" s="191"/>
      <c r="W477" s="190"/>
      <c r="X477" s="191"/>
      <c r="Y477" s="191"/>
      <c r="Z477" s="191"/>
      <c r="AA477" s="191"/>
      <c r="AB477" s="191"/>
      <c r="AC477" s="191"/>
      <c r="AD477" s="191"/>
      <c r="AE477" s="191"/>
      <c r="AF477" s="191"/>
      <c r="AG477" s="191"/>
      <c r="AH477" s="191"/>
      <c r="AI477" s="127"/>
      <c r="AJ477" s="191"/>
      <c r="AK477" s="191"/>
      <c r="AL477" s="190"/>
      <c r="AM477" s="191"/>
      <c r="BE477" s="188" t="s">
        <v>3317</v>
      </c>
      <c r="BF477" s="188" t="s">
        <v>4204</v>
      </c>
      <c r="BG477" s="127">
        <v>42858</v>
      </c>
      <c r="BH477" s="188" t="s">
        <v>34</v>
      </c>
      <c r="BI477" s="188" t="s">
        <v>598</v>
      </c>
      <c r="BJ477" s="189">
        <v>3000</v>
      </c>
      <c r="BK477" s="188" t="s">
        <v>493</v>
      </c>
      <c r="BL477" s="188" t="s">
        <v>598</v>
      </c>
      <c r="BM477" s="189">
        <v>0</v>
      </c>
      <c r="BN477" s="188" t="s">
        <v>598</v>
      </c>
      <c r="BO477" s="127">
        <v>42850</v>
      </c>
      <c r="BP477" s="188" t="s">
        <v>132</v>
      </c>
      <c r="BQ477" s="188" t="s">
        <v>84</v>
      </c>
      <c r="BR477" s="188" t="s">
        <v>245</v>
      </c>
      <c r="BS477" s="188" t="s">
        <v>598</v>
      </c>
      <c r="BT477" s="188" t="s">
        <v>63</v>
      </c>
      <c r="BU477" s="188" t="s">
        <v>63</v>
      </c>
      <c r="BV477" s="188" t="s">
        <v>598</v>
      </c>
    </row>
    <row r="478" spans="5:74">
      <c r="E478" s="21"/>
      <c r="Q478" s="191"/>
      <c r="R478" s="191"/>
      <c r="S478" s="191"/>
      <c r="T478" s="127"/>
      <c r="U478" s="127"/>
      <c r="V478" s="191"/>
      <c r="W478" s="190"/>
      <c r="X478" s="191"/>
      <c r="Y478" s="191"/>
      <c r="Z478" s="191"/>
      <c r="AA478" s="191"/>
      <c r="AB478" s="191"/>
      <c r="AC478" s="191"/>
      <c r="AD478" s="191"/>
      <c r="AE478" s="191"/>
      <c r="AF478" s="191"/>
      <c r="AG478" s="191"/>
      <c r="AH478" s="191"/>
      <c r="AI478" s="127"/>
      <c r="AJ478" s="191"/>
      <c r="AK478" s="191"/>
      <c r="AL478" s="190"/>
      <c r="AM478" s="191"/>
      <c r="BE478" s="188" t="s">
        <v>3319</v>
      </c>
      <c r="BF478" s="188" t="s">
        <v>4205</v>
      </c>
      <c r="BG478" s="127">
        <v>42860</v>
      </c>
      <c r="BH478" s="188" t="s">
        <v>34</v>
      </c>
      <c r="BI478" s="188" t="s">
        <v>598</v>
      </c>
      <c r="BJ478" s="189">
        <v>4500</v>
      </c>
      <c r="BK478" s="188" t="s">
        <v>493</v>
      </c>
      <c r="BL478" s="188" t="s">
        <v>598</v>
      </c>
      <c r="BM478" s="189">
        <v>0</v>
      </c>
      <c r="BN478" s="188" t="s">
        <v>598</v>
      </c>
      <c r="BO478" s="127">
        <v>42850</v>
      </c>
      <c r="BP478" s="188" t="s">
        <v>132</v>
      </c>
      <c r="BQ478" s="188" t="s">
        <v>84</v>
      </c>
      <c r="BR478" s="188" t="s">
        <v>191</v>
      </c>
      <c r="BS478" s="188" t="s">
        <v>598</v>
      </c>
      <c r="BT478" s="188" t="s">
        <v>63</v>
      </c>
      <c r="BU478" s="188" t="s">
        <v>63</v>
      </c>
      <c r="BV478" s="188" t="s">
        <v>598</v>
      </c>
    </row>
    <row r="479" spans="5:74">
      <c r="E479" s="21"/>
      <c r="Q479" s="191"/>
      <c r="R479" s="191"/>
      <c r="S479" s="191"/>
      <c r="T479" s="127"/>
      <c r="U479" s="127"/>
      <c r="V479" s="191"/>
      <c r="W479" s="190"/>
      <c r="X479" s="191"/>
      <c r="Y479" s="191"/>
      <c r="Z479" s="191"/>
      <c r="AA479" s="191"/>
      <c r="AB479" s="191"/>
      <c r="AC479" s="191"/>
      <c r="AD479" s="191"/>
      <c r="AE479" s="191"/>
      <c r="AF479" s="191"/>
      <c r="AG479" s="191"/>
      <c r="AH479" s="191"/>
      <c r="AI479" s="127"/>
      <c r="AJ479" s="191"/>
      <c r="AK479" s="191"/>
      <c r="AL479" s="190"/>
      <c r="AM479" s="191"/>
      <c r="BE479" s="188" t="s">
        <v>3321</v>
      </c>
      <c r="BF479" s="188" t="s">
        <v>4206</v>
      </c>
      <c r="BG479" s="127">
        <v>42861</v>
      </c>
      <c r="BH479" s="188" t="s">
        <v>10</v>
      </c>
      <c r="BI479" s="188" t="s">
        <v>598</v>
      </c>
      <c r="BJ479" s="189">
        <v>3000</v>
      </c>
      <c r="BK479" s="188" t="s">
        <v>493</v>
      </c>
      <c r="BL479" s="188">
        <v>4005</v>
      </c>
      <c r="BM479" s="189">
        <v>5000</v>
      </c>
      <c r="BN479" s="188" t="s">
        <v>598</v>
      </c>
      <c r="BO479" s="127">
        <v>42853</v>
      </c>
      <c r="BP479" s="188" t="s">
        <v>134</v>
      </c>
      <c r="BQ479" s="188" t="s">
        <v>84</v>
      </c>
      <c r="BR479" s="188" t="s">
        <v>3323</v>
      </c>
      <c r="BS479" s="188" t="s">
        <v>598</v>
      </c>
      <c r="BT479" s="188" t="s">
        <v>63</v>
      </c>
      <c r="BU479" s="188" t="s">
        <v>86</v>
      </c>
      <c r="BV479" s="188" t="s">
        <v>598</v>
      </c>
    </row>
    <row r="480" spans="5:74">
      <c r="E480" s="21"/>
      <c r="Q480" s="191"/>
      <c r="R480" s="191"/>
      <c r="S480" s="191"/>
      <c r="T480" s="127"/>
      <c r="U480" s="127"/>
      <c r="V480" s="191"/>
      <c r="W480" s="190"/>
      <c r="X480" s="191"/>
      <c r="Y480" s="191"/>
      <c r="Z480" s="191"/>
      <c r="AA480" s="191"/>
      <c r="AB480" s="191"/>
      <c r="AC480" s="191"/>
      <c r="AD480" s="191"/>
      <c r="AE480" s="191"/>
      <c r="AF480" s="191"/>
      <c r="AG480" s="191"/>
      <c r="AH480" s="191"/>
      <c r="AI480" s="127"/>
      <c r="AJ480" s="191"/>
      <c r="AK480" s="191"/>
      <c r="AL480" s="190"/>
      <c r="AM480" s="191"/>
      <c r="BE480" s="188" t="s">
        <v>3324</v>
      </c>
      <c r="BF480" s="188" t="s">
        <v>4207</v>
      </c>
      <c r="BG480" s="127">
        <v>42857</v>
      </c>
      <c r="BH480" s="188" t="s">
        <v>10</v>
      </c>
      <c r="BI480" s="188" t="s">
        <v>598</v>
      </c>
      <c r="BJ480" s="189">
        <v>3500</v>
      </c>
      <c r="BK480" s="188" t="s">
        <v>493</v>
      </c>
      <c r="BL480" s="188">
        <v>4006</v>
      </c>
      <c r="BM480" s="189">
        <v>3500</v>
      </c>
      <c r="BN480" s="188" t="s">
        <v>598</v>
      </c>
      <c r="BO480" s="127">
        <v>42853</v>
      </c>
      <c r="BP480" s="188" t="s">
        <v>134</v>
      </c>
      <c r="BQ480" s="188" t="s">
        <v>84</v>
      </c>
      <c r="BR480" s="188" t="s">
        <v>3323</v>
      </c>
      <c r="BS480" s="188" t="s">
        <v>598</v>
      </c>
      <c r="BT480" s="188" t="s">
        <v>63</v>
      </c>
      <c r="BU480" s="188" t="s">
        <v>86</v>
      </c>
      <c r="BV480" s="188" t="s">
        <v>598</v>
      </c>
    </row>
    <row r="481" spans="5:74">
      <c r="E481" s="21"/>
      <c r="Q481" s="191"/>
      <c r="R481" s="191"/>
      <c r="S481" s="191"/>
      <c r="T481" s="127"/>
      <c r="U481" s="127"/>
      <c r="V481" s="191"/>
      <c r="W481" s="190"/>
      <c r="X481" s="191"/>
      <c r="Y481" s="191"/>
      <c r="Z481" s="191"/>
      <c r="AA481" s="191"/>
      <c r="AB481" s="191"/>
      <c r="AC481" s="191"/>
      <c r="AD481" s="191"/>
      <c r="AE481" s="191"/>
      <c r="AF481" s="191"/>
      <c r="AG481" s="191"/>
      <c r="AH481" s="191"/>
      <c r="AI481" s="127"/>
      <c r="AJ481" s="191"/>
      <c r="AK481" s="191"/>
      <c r="AL481" s="190"/>
      <c r="AM481" s="191"/>
      <c r="BE481" s="188" t="s">
        <v>3326</v>
      </c>
      <c r="BF481" s="188" t="s">
        <v>4208</v>
      </c>
      <c r="BG481" s="127">
        <v>42856</v>
      </c>
      <c r="BH481" s="188" t="s">
        <v>34</v>
      </c>
      <c r="BI481" s="188" t="s">
        <v>598</v>
      </c>
      <c r="BJ481" s="189">
        <v>2000</v>
      </c>
      <c r="BK481" s="188" t="s">
        <v>493</v>
      </c>
      <c r="BL481" s="188" t="s">
        <v>598</v>
      </c>
      <c r="BM481" s="189">
        <v>0</v>
      </c>
      <c r="BN481" s="188" t="s">
        <v>598</v>
      </c>
      <c r="BO481" s="127">
        <v>42856</v>
      </c>
      <c r="BP481" s="188" t="s">
        <v>864</v>
      </c>
      <c r="BQ481" s="188" t="s">
        <v>84</v>
      </c>
      <c r="BR481" s="188" t="s">
        <v>598</v>
      </c>
      <c r="BS481" s="188" t="s">
        <v>598</v>
      </c>
      <c r="BT481" s="188" t="s">
        <v>79</v>
      </c>
      <c r="BU481" s="188" t="s">
        <v>598</v>
      </c>
      <c r="BV481" s="188" t="s">
        <v>598</v>
      </c>
    </row>
    <row r="482" spans="5:74">
      <c r="E482" s="21"/>
      <c r="Q482" s="191"/>
      <c r="R482" s="191"/>
      <c r="S482" s="191"/>
      <c r="T482" s="127"/>
      <c r="U482" s="127"/>
      <c r="V482" s="191"/>
      <c r="W482" s="190"/>
      <c r="X482" s="191"/>
      <c r="Y482" s="191"/>
      <c r="Z482" s="191"/>
      <c r="AA482" s="191"/>
      <c r="AB482" s="191"/>
      <c r="AC482" s="191"/>
      <c r="AD482" s="191"/>
      <c r="AE482" s="191"/>
      <c r="AF482" s="191"/>
      <c r="AG482" s="191"/>
      <c r="AH482" s="191"/>
      <c r="AI482" s="127"/>
      <c r="AJ482" s="191"/>
      <c r="AK482" s="191"/>
      <c r="AL482" s="190"/>
      <c r="AM482" s="191"/>
      <c r="BE482" s="188" t="s">
        <v>3327</v>
      </c>
      <c r="BF482" s="188" t="s">
        <v>4209</v>
      </c>
      <c r="BG482" s="127">
        <v>42865</v>
      </c>
      <c r="BH482" s="188" t="s">
        <v>10</v>
      </c>
      <c r="BI482" s="188" t="s">
        <v>598</v>
      </c>
      <c r="BJ482" s="189">
        <v>3000</v>
      </c>
      <c r="BK482" s="188" t="s">
        <v>493</v>
      </c>
      <c r="BL482" s="188" t="s">
        <v>598</v>
      </c>
      <c r="BM482" s="189">
        <v>0</v>
      </c>
      <c r="BN482" s="188" t="s">
        <v>598</v>
      </c>
      <c r="BO482" s="127">
        <v>42856</v>
      </c>
      <c r="BP482" s="188" t="s">
        <v>134</v>
      </c>
      <c r="BQ482" s="188" t="s">
        <v>84</v>
      </c>
      <c r="BR482" s="188" t="s">
        <v>192</v>
      </c>
      <c r="BS482" s="188" t="s">
        <v>50</v>
      </c>
      <c r="BT482" s="188" t="s">
        <v>79</v>
      </c>
      <c r="BU482" s="188" t="s">
        <v>112</v>
      </c>
      <c r="BV482" s="188" t="s">
        <v>598</v>
      </c>
    </row>
    <row r="483" spans="5:74">
      <c r="E483" s="21"/>
      <c r="Q483" s="191"/>
      <c r="R483" s="191"/>
      <c r="S483" s="191"/>
      <c r="T483" s="127"/>
      <c r="U483" s="127"/>
      <c r="V483" s="191"/>
      <c r="W483" s="190"/>
      <c r="X483" s="191"/>
      <c r="Y483" s="191"/>
      <c r="Z483" s="191"/>
      <c r="AA483" s="191"/>
      <c r="AB483" s="191"/>
      <c r="AC483" s="191"/>
      <c r="AD483" s="191"/>
      <c r="AE483" s="191"/>
      <c r="AF483" s="191"/>
      <c r="AG483" s="191"/>
      <c r="AH483" s="191"/>
      <c r="AI483" s="127"/>
      <c r="AJ483" s="191"/>
      <c r="AK483" s="191"/>
      <c r="AL483" s="190"/>
      <c r="AM483" s="191"/>
      <c r="BE483" s="188" t="s">
        <v>3329</v>
      </c>
      <c r="BF483" s="188" t="s">
        <v>4210</v>
      </c>
      <c r="BG483" s="127">
        <v>42858</v>
      </c>
      <c r="BH483" s="188" t="s">
        <v>34</v>
      </c>
      <c r="BI483" s="188" t="s">
        <v>598</v>
      </c>
      <c r="BJ483" s="189">
        <v>3000</v>
      </c>
      <c r="BK483" s="188" t="s">
        <v>493</v>
      </c>
      <c r="BL483" s="188" t="s">
        <v>598</v>
      </c>
      <c r="BM483" s="189">
        <v>0</v>
      </c>
      <c r="BN483" s="188" t="s">
        <v>598</v>
      </c>
      <c r="BO483" s="127">
        <v>42856</v>
      </c>
      <c r="BP483" s="188" t="s">
        <v>132</v>
      </c>
      <c r="BQ483" s="188" t="s">
        <v>84</v>
      </c>
      <c r="BR483" s="188" t="s">
        <v>265</v>
      </c>
      <c r="BS483" s="188" t="s">
        <v>598</v>
      </c>
      <c r="BT483" s="188" t="s">
        <v>79</v>
      </c>
      <c r="BU483" s="188" t="s">
        <v>79</v>
      </c>
      <c r="BV483" s="188" t="s">
        <v>598</v>
      </c>
    </row>
    <row r="484" spans="5:74">
      <c r="E484" s="21"/>
      <c r="Q484" s="191"/>
      <c r="R484" s="191"/>
      <c r="S484" s="191"/>
      <c r="T484" s="127"/>
      <c r="U484" s="127"/>
      <c r="V484" s="191"/>
      <c r="W484" s="190"/>
      <c r="X484" s="191"/>
      <c r="Y484" s="191"/>
      <c r="Z484" s="191"/>
      <c r="AA484" s="191"/>
      <c r="AB484" s="191"/>
      <c r="AC484" s="191"/>
      <c r="AD484" s="191"/>
      <c r="AE484" s="191"/>
      <c r="AF484" s="191"/>
      <c r="AG484" s="191"/>
      <c r="AH484" s="191"/>
      <c r="AI484" s="127"/>
      <c r="AJ484" s="191"/>
      <c r="AK484" s="191"/>
      <c r="AL484" s="190"/>
      <c r="AM484" s="191"/>
      <c r="BE484" s="188" t="s">
        <v>3331</v>
      </c>
      <c r="BF484" s="188" t="s">
        <v>4211</v>
      </c>
      <c r="BG484" s="127">
        <v>42865</v>
      </c>
      <c r="BH484" s="188" t="s">
        <v>34</v>
      </c>
      <c r="BI484" s="188" t="s">
        <v>598</v>
      </c>
      <c r="BJ484" s="189">
        <v>3000</v>
      </c>
      <c r="BK484" s="188" t="s">
        <v>493</v>
      </c>
      <c r="BL484" s="188" t="s">
        <v>598</v>
      </c>
      <c r="BM484" s="189">
        <v>0</v>
      </c>
      <c r="BN484" s="188" t="s">
        <v>598</v>
      </c>
      <c r="BO484" s="127">
        <v>42856</v>
      </c>
      <c r="BP484" s="188" t="s">
        <v>122</v>
      </c>
      <c r="BQ484" s="188" t="s">
        <v>84</v>
      </c>
      <c r="BR484" s="188" t="s">
        <v>250</v>
      </c>
      <c r="BS484" s="188" t="s">
        <v>598</v>
      </c>
      <c r="BT484" s="188" t="s">
        <v>79</v>
      </c>
      <c r="BU484" s="188" t="s">
        <v>112</v>
      </c>
      <c r="BV484" s="188" t="s">
        <v>598</v>
      </c>
    </row>
    <row r="485" spans="5:74">
      <c r="E485" s="21"/>
      <c r="Q485" s="191"/>
      <c r="R485" s="191"/>
      <c r="S485" s="191"/>
      <c r="T485" s="127"/>
      <c r="U485" s="127"/>
      <c r="V485" s="191"/>
      <c r="W485" s="190"/>
      <c r="X485" s="191"/>
      <c r="Y485" s="191"/>
      <c r="Z485" s="191"/>
      <c r="AA485" s="191"/>
      <c r="AB485" s="191"/>
      <c r="AC485" s="191"/>
      <c r="AD485" s="191"/>
      <c r="AE485" s="191"/>
      <c r="AF485" s="191"/>
      <c r="AG485" s="191"/>
      <c r="AH485" s="191"/>
      <c r="AI485" s="127"/>
      <c r="AJ485" s="191"/>
      <c r="AK485" s="191"/>
      <c r="AL485" s="190"/>
      <c r="AM485" s="191"/>
      <c r="BE485" s="188" t="s">
        <v>3333</v>
      </c>
      <c r="BF485" s="188" t="s">
        <v>4212</v>
      </c>
      <c r="BG485" s="127">
        <v>42860</v>
      </c>
      <c r="BH485" s="188" t="s">
        <v>34</v>
      </c>
      <c r="BI485" s="188" t="s">
        <v>598</v>
      </c>
      <c r="BJ485" s="189">
        <v>3000</v>
      </c>
      <c r="BK485" s="188" t="s">
        <v>493</v>
      </c>
      <c r="BL485" s="188" t="s">
        <v>598</v>
      </c>
      <c r="BM485" s="189">
        <v>0</v>
      </c>
      <c r="BN485" s="188" t="s">
        <v>598</v>
      </c>
      <c r="BO485" s="127">
        <v>42856</v>
      </c>
      <c r="BP485" s="188" t="s">
        <v>134</v>
      </c>
      <c r="BQ485" s="188" t="s">
        <v>84</v>
      </c>
      <c r="BR485" s="188" t="s">
        <v>277</v>
      </c>
      <c r="BS485" s="188" t="s">
        <v>598</v>
      </c>
      <c r="BT485" s="188" t="s">
        <v>79</v>
      </c>
      <c r="BU485" s="188" t="s">
        <v>112</v>
      </c>
      <c r="BV485" s="188" t="s">
        <v>598</v>
      </c>
    </row>
    <row r="486" spans="5:74">
      <c r="E486" s="21"/>
      <c r="Q486" s="191"/>
      <c r="R486" s="191"/>
      <c r="S486" s="191"/>
      <c r="T486" s="127"/>
      <c r="U486" s="127"/>
      <c r="V486" s="191"/>
      <c r="W486" s="190"/>
      <c r="X486" s="191"/>
      <c r="Y486" s="191"/>
      <c r="Z486" s="191"/>
      <c r="AA486" s="191"/>
      <c r="AB486" s="191"/>
      <c r="AC486" s="191"/>
      <c r="AD486" s="191"/>
      <c r="AE486" s="191"/>
      <c r="AF486" s="191"/>
      <c r="AG486" s="191"/>
      <c r="AH486" s="191"/>
      <c r="AI486" s="127"/>
      <c r="AJ486" s="191"/>
      <c r="AK486" s="191"/>
      <c r="AL486" s="190"/>
      <c r="AM486" s="191"/>
      <c r="BE486" s="188" t="s">
        <v>3335</v>
      </c>
      <c r="BF486" s="188" t="s">
        <v>4213</v>
      </c>
      <c r="BG486" s="127">
        <v>42858</v>
      </c>
      <c r="BH486" s="188" t="s">
        <v>34</v>
      </c>
      <c r="BI486" s="188" t="s">
        <v>598</v>
      </c>
      <c r="BJ486" s="189">
        <v>1000</v>
      </c>
      <c r="BK486" s="188" t="s">
        <v>493</v>
      </c>
      <c r="BL486" s="188" t="s">
        <v>598</v>
      </c>
      <c r="BM486" s="189">
        <v>0</v>
      </c>
      <c r="BN486" s="188" t="s">
        <v>598</v>
      </c>
      <c r="BO486" s="127">
        <v>42858</v>
      </c>
      <c r="BP486" s="188" t="s">
        <v>126</v>
      </c>
      <c r="BQ486" s="188" t="s">
        <v>84</v>
      </c>
      <c r="BR486" s="188" t="s">
        <v>598</v>
      </c>
      <c r="BS486" s="188" t="s">
        <v>598</v>
      </c>
      <c r="BT486" s="188" t="s">
        <v>79</v>
      </c>
      <c r="BU486" s="188" t="s">
        <v>598</v>
      </c>
      <c r="BV486" s="188" t="s">
        <v>598</v>
      </c>
    </row>
    <row r="487" spans="5:74">
      <c r="E487" s="21"/>
      <c r="Q487" s="191"/>
      <c r="R487" s="191"/>
      <c r="S487" s="191"/>
      <c r="T487" s="127"/>
      <c r="U487" s="127"/>
      <c r="V487" s="191"/>
      <c r="W487" s="190"/>
      <c r="X487" s="191"/>
      <c r="Y487" s="191"/>
      <c r="Z487" s="191"/>
      <c r="AA487" s="191"/>
      <c r="AB487" s="191"/>
      <c r="AC487" s="191"/>
      <c r="AD487" s="191"/>
      <c r="AE487" s="191"/>
      <c r="AF487" s="191"/>
      <c r="AG487" s="191"/>
      <c r="AH487" s="191"/>
      <c r="AI487" s="127"/>
      <c r="AJ487" s="191"/>
      <c r="AK487" s="191"/>
      <c r="AL487" s="190"/>
      <c r="AM487" s="191"/>
      <c r="BE487" s="188" t="s">
        <v>3337</v>
      </c>
      <c r="BF487" s="188" t="s">
        <v>4214</v>
      </c>
      <c r="BG487" s="127">
        <v>42864</v>
      </c>
      <c r="BH487" s="188" t="s">
        <v>34</v>
      </c>
      <c r="BI487" s="188" t="s">
        <v>598</v>
      </c>
      <c r="BJ487" s="189">
        <v>1500</v>
      </c>
      <c r="BK487" s="188" t="s">
        <v>493</v>
      </c>
      <c r="BL487" s="188" t="s">
        <v>598</v>
      </c>
      <c r="BM487" s="189">
        <v>0</v>
      </c>
      <c r="BN487" s="188" t="s">
        <v>598</v>
      </c>
      <c r="BO487" s="127">
        <v>42858</v>
      </c>
      <c r="BP487" s="188" t="s">
        <v>134</v>
      </c>
      <c r="BQ487" s="188" t="s">
        <v>84</v>
      </c>
      <c r="BR487" s="188" t="s">
        <v>451</v>
      </c>
      <c r="BS487" s="188" t="s">
        <v>598</v>
      </c>
      <c r="BT487" s="188" t="s">
        <v>79</v>
      </c>
      <c r="BU487" s="188" t="s">
        <v>79</v>
      </c>
      <c r="BV487" s="188" t="s">
        <v>598</v>
      </c>
    </row>
    <row r="488" spans="5:74">
      <c r="E488" s="21"/>
      <c r="Q488" s="191"/>
      <c r="R488" s="191"/>
      <c r="S488" s="191"/>
      <c r="T488" s="127"/>
      <c r="U488" s="127"/>
      <c r="V488" s="191"/>
      <c r="W488" s="190"/>
      <c r="X488" s="191"/>
      <c r="Y488" s="191"/>
      <c r="Z488" s="191"/>
      <c r="AA488" s="191"/>
      <c r="AB488" s="191"/>
      <c r="AC488" s="191"/>
      <c r="AD488" s="191"/>
      <c r="AE488" s="191"/>
      <c r="AF488" s="191"/>
      <c r="AG488" s="191"/>
      <c r="AH488" s="191"/>
      <c r="AI488" s="127"/>
      <c r="AJ488" s="191"/>
      <c r="AK488" s="191"/>
      <c r="AL488" s="190"/>
      <c r="AM488" s="191"/>
      <c r="BE488" s="188" t="s">
        <v>3339</v>
      </c>
      <c r="BF488" s="188" t="s">
        <v>4215</v>
      </c>
      <c r="BG488" s="127">
        <v>42865</v>
      </c>
      <c r="BH488" s="188" t="s">
        <v>10</v>
      </c>
      <c r="BI488" s="188" t="s">
        <v>598</v>
      </c>
      <c r="BJ488" s="189">
        <v>3000</v>
      </c>
      <c r="BK488" s="188" t="s">
        <v>493</v>
      </c>
      <c r="BL488" s="188" t="s">
        <v>598</v>
      </c>
      <c r="BM488" s="189">
        <v>0</v>
      </c>
      <c r="BN488" s="188" t="s">
        <v>598</v>
      </c>
      <c r="BO488" s="127">
        <v>42858</v>
      </c>
      <c r="BP488" s="188" t="s">
        <v>120</v>
      </c>
      <c r="BQ488" s="188" t="s">
        <v>84</v>
      </c>
      <c r="BR488" s="188" t="s">
        <v>452</v>
      </c>
      <c r="BS488" s="188" t="s">
        <v>50</v>
      </c>
      <c r="BT488" s="188" t="s">
        <v>79</v>
      </c>
      <c r="BU488" s="188" t="s">
        <v>79</v>
      </c>
      <c r="BV488" s="188" t="s">
        <v>598</v>
      </c>
    </row>
    <row r="489" spans="5:74">
      <c r="E489" s="21"/>
      <c r="Q489" s="191"/>
      <c r="R489" s="191"/>
      <c r="S489" s="191"/>
      <c r="T489" s="127"/>
      <c r="U489" s="127"/>
      <c r="V489" s="191"/>
      <c r="W489" s="190"/>
      <c r="X489" s="191"/>
      <c r="Y489" s="191"/>
      <c r="Z489" s="191"/>
      <c r="AA489" s="191"/>
      <c r="AB489" s="191"/>
      <c r="AC489" s="191"/>
      <c r="AD489" s="191"/>
      <c r="AE489" s="191"/>
      <c r="AF489" s="191"/>
      <c r="AG489" s="191"/>
      <c r="AH489" s="191"/>
      <c r="AI489" s="127"/>
      <c r="AJ489" s="191"/>
      <c r="AK489" s="191"/>
      <c r="AL489" s="190"/>
      <c r="AM489" s="191"/>
      <c r="BE489" s="188" t="s">
        <v>3341</v>
      </c>
      <c r="BF489" s="188" t="s">
        <v>4216</v>
      </c>
      <c r="BG489" s="127">
        <v>42859</v>
      </c>
      <c r="BH489" s="188" t="s">
        <v>34</v>
      </c>
      <c r="BI489" s="188" t="s">
        <v>598</v>
      </c>
      <c r="BJ489" s="189">
        <v>1000</v>
      </c>
      <c r="BK489" s="188" t="s">
        <v>493</v>
      </c>
      <c r="BL489" s="188" t="s">
        <v>598</v>
      </c>
      <c r="BM489" s="189">
        <v>0</v>
      </c>
      <c r="BN489" s="188" t="s">
        <v>598</v>
      </c>
      <c r="BO489" s="127">
        <v>42859</v>
      </c>
      <c r="BP489" s="188" t="s">
        <v>126</v>
      </c>
      <c r="BQ489" s="188" t="s">
        <v>84</v>
      </c>
      <c r="BR489" s="188" t="s">
        <v>598</v>
      </c>
      <c r="BS489" s="188" t="s">
        <v>598</v>
      </c>
      <c r="BT489" s="188" t="s">
        <v>79</v>
      </c>
      <c r="BU489" s="188" t="s">
        <v>598</v>
      </c>
      <c r="BV489" s="188" t="s">
        <v>598</v>
      </c>
    </row>
    <row r="490" spans="5:74">
      <c r="E490" s="21"/>
      <c r="Q490" s="191"/>
      <c r="R490" s="191"/>
      <c r="S490" s="191"/>
      <c r="T490" s="127"/>
      <c r="U490" s="127"/>
      <c r="V490" s="191"/>
      <c r="W490" s="190"/>
      <c r="X490" s="191"/>
      <c r="Y490" s="191"/>
      <c r="Z490" s="191"/>
      <c r="AA490" s="191"/>
      <c r="AB490" s="191"/>
      <c r="AC490" s="191"/>
      <c r="AD490" s="191"/>
      <c r="AE490" s="191"/>
      <c r="AF490" s="191"/>
      <c r="AG490" s="191"/>
      <c r="AH490" s="191"/>
      <c r="AI490" s="127"/>
      <c r="AJ490" s="191"/>
      <c r="AK490" s="191"/>
      <c r="AL490" s="190"/>
      <c r="AM490" s="191"/>
      <c r="BE490" s="188" t="s">
        <v>3343</v>
      </c>
      <c r="BF490" s="188" t="s">
        <v>4217</v>
      </c>
      <c r="BG490" s="127">
        <v>42861</v>
      </c>
      <c r="BH490" s="188" t="s">
        <v>34</v>
      </c>
      <c r="BI490" s="188" t="s">
        <v>598</v>
      </c>
      <c r="BJ490" s="189">
        <v>3500</v>
      </c>
      <c r="BK490" s="188" t="s">
        <v>493</v>
      </c>
      <c r="BL490" s="188" t="s">
        <v>598</v>
      </c>
      <c r="BM490" s="189">
        <v>0</v>
      </c>
      <c r="BN490" s="188" t="s">
        <v>598</v>
      </c>
      <c r="BO490" s="127">
        <v>42859</v>
      </c>
      <c r="BP490" s="188" t="s">
        <v>132</v>
      </c>
      <c r="BQ490" s="188" t="s">
        <v>84</v>
      </c>
      <c r="BR490" s="188" t="s">
        <v>265</v>
      </c>
      <c r="BS490" s="188" t="s">
        <v>598</v>
      </c>
      <c r="BT490" s="188" t="s">
        <v>79</v>
      </c>
      <c r="BU490" s="188" t="s">
        <v>112</v>
      </c>
      <c r="BV490" s="188" t="s">
        <v>598</v>
      </c>
    </row>
    <row r="491" spans="5:74">
      <c r="E491" s="21"/>
      <c r="Q491" s="191"/>
      <c r="R491" s="191"/>
      <c r="S491" s="191"/>
      <c r="T491" s="127"/>
      <c r="U491" s="127"/>
      <c r="V491" s="191"/>
      <c r="W491" s="190"/>
      <c r="X491" s="191"/>
      <c r="Y491" s="191"/>
      <c r="Z491" s="191"/>
      <c r="AA491" s="191"/>
      <c r="AB491" s="191"/>
      <c r="AC491" s="191"/>
      <c r="AD491" s="191"/>
      <c r="AE491" s="191"/>
      <c r="AF491" s="191"/>
      <c r="AG491" s="191"/>
      <c r="AH491" s="191"/>
      <c r="AI491" s="127"/>
      <c r="AJ491" s="191"/>
      <c r="AK491" s="191"/>
      <c r="AL491" s="190"/>
      <c r="AM491" s="191"/>
      <c r="BE491" s="188" t="s">
        <v>3345</v>
      </c>
      <c r="BF491" s="188" t="s">
        <v>4218</v>
      </c>
      <c r="BG491" s="127">
        <v>42861</v>
      </c>
      <c r="BH491" s="188" t="s">
        <v>34</v>
      </c>
      <c r="BI491" s="188" t="s">
        <v>598</v>
      </c>
      <c r="BJ491" s="189">
        <v>3000</v>
      </c>
      <c r="BK491" s="188" t="s">
        <v>493</v>
      </c>
      <c r="BL491" s="188" t="s">
        <v>598</v>
      </c>
      <c r="BM491" s="189">
        <v>0</v>
      </c>
      <c r="BN491" s="188" t="s">
        <v>598</v>
      </c>
      <c r="BO491" s="127">
        <v>42859</v>
      </c>
      <c r="BP491" s="188" t="s">
        <v>134</v>
      </c>
      <c r="BQ491" s="188" t="s">
        <v>84</v>
      </c>
      <c r="BR491" s="188" t="s">
        <v>168</v>
      </c>
      <c r="BS491" s="188" t="s">
        <v>598</v>
      </c>
      <c r="BT491" s="188" t="s">
        <v>79</v>
      </c>
      <c r="BU491" s="188" t="s">
        <v>112</v>
      </c>
      <c r="BV491" s="188" t="s">
        <v>598</v>
      </c>
    </row>
    <row r="492" spans="5:74">
      <c r="E492" s="21"/>
      <c r="Q492" s="191"/>
      <c r="R492" s="191"/>
      <c r="S492" s="191"/>
      <c r="T492" s="127"/>
      <c r="U492" s="127"/>
      <c r="V492" s="191"/>
      <c r="W492" s="190"/>
      <c r="X492" s="191"/>
      <c r="Y492" s="191"/>
      <c r="Z492" s="191"/>
      <c r="AA492" s="191"/>
      <c r="AB492" s="191"/>
      <c r="AC492" s="191"/>
      <c r="AD492" s="191"/>
      <c r="AE492" s="191"/>
      <c r="AF492" s="191"/>
      <c r="AG492" s="191"/>
      <c r="AH492" s="191"/>
      <c r="AI492" s="127"/>
      <c r="AJ492" s="191"/>
      <c r="AK492" s="191"/>
      <c r="AL492" s="190"/>
      <c r="AM492" s="191"/>
      <c r="BE492" s="188" t="s">
        <v>3347</v>
      </c>
      <c r="BF492" s="188" t="s">
        <v>4219</v>
      </c>
      <c r="BG492" s="127">
        <v>42880</v>
      </c>
      <c r="BH492" s="188" t="s">
        <v>34</v>
      </c>
      <c r="BI492" s="188" t="s">
        <v>598</v>
      </c>
      <c r="BJ492" s="189">
        <v>5000</v>
      </c>
      <c r="BK492" s="188" t="s">
        <v>493</v>
      </c>
      <c r="BL492" s="188" t="s">
        <v>598</v>
      </c>
      <c r="BM492" s="189">
        <v>0</v>
      </c>
      <c r="BN492" s="188" t="s">
        <v>598</v>
      </c>
      <c r="BO492" s="127">
        <v>42860</v>
      </c>
      <c r="BP492" s="188" t="s">
        <v>134</v>
      </c>
      <c r="BQ492" s="188" t="s">
        <v>84</v>
      </c>
      <c r="BR492" s="188" t="s">
        <v>453</v>
      </c>
      <c r="BS492" s="188" t="s">
        <v>598</v>
      </c>
      <c r="BT492" s="188" t="s">
        <v>79</v>
      </c>
      <c r="BU492" s="188" t="s">
        <v>112</v>
      </c>
      <c r="BV492" s="188" t="s">
        <v>598</v>
      </c>
    </row>
    <row r="493" spans="5:74">
      <c r="E493" s="21"/>
      <c r="Q493" s="191"/>
      <c r="R493" s="191"/>
      <c r="S493" s="191"/>
      <c r="T493" s="127"/>
      <c r="U493" s="127"/>
      <c r="V493" s="191"/>
      <c r="W493" s="190"/>
      <c r="X493" s="191"/>
      <c r="Y493" s="191"/>
      <c r="Z493" s="191"/>
      <c r="AA493" s="191"/>
      <c r="AB493" s="191"/>
      <c r="AC493" s="191"/>
      <c r="AD493" s="191"/>
      <c r="AE493" s="191"/>
      <c r="AF493" s="191"/>
      <c r="AG493" s="191"/>
      <c r="AH493" s="191"/>
      <c r="AI493" s="127"/>
      <c r="AJ493" s="191"/>
      <c r="AK493" s="191"/>
      <c r="AL493" s="190"/>
      <c r="AM493" s="191"/>
      <c r="BE493" s="188" t="s">
        <v>3349</v>
      </c>
      <c r="BF493" s="188" t="s">
        <v>4220</v>
      </c>
      <c r="BG493" s="127">
        <v>42865</v>
      </c>
      <c r="BH493" s="188" t="s">
        <v>34</v>
      </c>
      <c r="BI493" s="188" t="s">
        <v>598</v>
      </c>
      <c r="BJ493" s="189">
        <v>3000</v>
      </c>
      <c r="BK493" s="188" t="s">
        <v>493</v>
      </c>
      <c r="BL493" s="188" t="s">
        <v>598</v>
      </c>
      <c r="BM493" s="189">
        <v>0</v>
      </c>
      <c r="BN493" s="188" t="s">
        <v>598</v>
      </c>
      <c r="BO493" s="127">
        <v>42864</v>
      </c>
      <c r="BP493" s="188" t="s">
        <v>132</v>
      </c>
      <c r="BQ493" s="188" t="s">
        <v>84</v>
      </c>
      <c r="BR493" s="188" t="s">
        <v>184</v>
      </c>
      <c r="BS493" s="188" t="s">
        <v>598</v>
      </c>
      <c r="BT493" s="188" t="s">
        <v>79</v>
      </c>
      <c r="BU493" s="188" t="s">
        <v>79</v>
      </c>
      <c r="BV493" s="188" t="s">
        <v>598</v>
      </c>
    </row>
    <row r="494" spans="5:74">
      <c r="E494" s="21"/>
      <c r="Q494" s="191"/>
      <c r="R494" s="191"/>
      <c r="S494" s="191"/>
      <c r="T494" s="127"/>
      <c r="U494" s="127"/>
      <c r="V494" s="191"/>
      <c r="W494" s="190"/>
      <c r="X494" s="191"/>
      <c r="Y494" s="191"/>
      <c r="Z494" s="191"/>
      <c r="AA494" s="191"/>
      <c r="AB494" s="191"/>
      <c r="AC494" s="191"/>
      <c r="AD494" s="191"/>
      <c r="AE494" s="191"/>
      <c r="AF494" s="191"/>
      <c r="AG494" s="191"/>
      <c r="AH494" s="191"/>
      <c r="AI494" s="127"/>
      <c r="AJ494" s="191"/>
      <c r="AK494" s="191"/>
      <c r="AL494" s="190"/>
      <c r="AM494" s="191"/>
      <c r="BE494" s="188" t="s">
        <v>3351</v>
      </c>
      <c r="BF494" s="188" t="s">
        <v>4221</v>
      </c>
      <c r="BG494" s="127">
        <v>42865</v>
      </c>
      <c r="BH494" s="188" t="s">
        <v>34</v>
      </c>
      <c r="BI494" s="188" t="s">
        <v>598</v>
      </c>
      <c r="BJ494" s="189">
        <v>3000</v>
      </c>
      <c r="BK494" s="188" t="s">
        <v>493</v>
      </c>
      <c r="BL494" s="188" t="s">
        <v>598</v>
      </c>
      <c r="BM494" s="189">
        <v>0</v>
      </c>
      <c r="BN494" s="188" t="s">
        <v>598</v>
      </c>
      <c r="BO494" s="127">
        <v>42864</v>
      </c>
      <c r="BP494" s="188" t="s">
        <v>132</v>
      </c>
      <c r="BQ494" s="188" t="s">
        <v>3352</v>
      </c>
      <c r="BR494" s="188" t="s">
        <v>184</v>
      </c>
      <c r="BS494" s="188" t="s">
        <v>598</v>
      </c>
      <c r="BT494" s="188" t="s">
        <v>79</v>
      </c>
      <c r="BU494" s="188" t="s">
        <v>79</v>
      </c>
      <c r="BV494" s="188" t="s">
        <v>598</v>
      </c>
    </row>
    <row r="495" spans="5:74">
      <c r="E495" s="21"/>
      <c r="Q495" s="191"/>
      <c r="R495" s="191"/>
      <c r="S495" s="191"/>
      <c r="T495" s="127"/>
      <c r="U495" s="127"/>
      <c r="V495" s="191"/>
      <c r="W495" s="190"/>
      <c r="X495" s="191"/>
      <c r="Y495" s="191"/>
      <c r="Z495" s="191"/>
      <c r="AA495" s="191"/>
      <c r="AB495" s="191"/>
      <c r="AC495" s="191"/>
      <c r="AD495" s="191"/>
      <c r="AE495" s="191"/>
      <c r="AF495" s="191"/>
      <c r="AG495" s="191"/>
      <c r="AH495" s="191"/>
      <c r="AI495" s="127"/>
      <c r="AJ495" s="191"/>
      <c r="AK495" s="191"/>
      <c r="AL495" s="190"/>
      <c r="AM495" s="191"/>
      <c r="BE495" s="188" t="s">
        <v>3353</v>
      </c>
      <c r="BF495" s="188" t="s">
        <v>4222</v>
      </c>
      <c r="BG495" s="127">
        <v>42879</v>
      </c>
      <c r="BH495" s="188" t="s">
        <v>34</v>
      </c>
      <c r="BI495" s="188" t="s">
        <v>598</v>
      </c>
      <c r="BJ495" s="189">
        <v>5000</v>
      </c>
      <c r="BK495" s="188" t="s">
        <v>493</v>
      </c>
      <c r="BL495" s="188" t="s">
        <v>598</v>
      </c>
      <c r="BM495" s="189">
        <v>0</v>
      </c>
      <c r="BN495" s="188" t="s">
        <v>598</v>
      </c>
      <c r="BO495" s="127">
        <v>42864</v>
      </c>
      <c r="BP495" s="188" t="s">
        <v>134</v>
      </c>
      <c r="BQ495" s="188" t="s">
        <v>84</v>
      </c>
      <c r="BR495" s="188" t="s">
        <v>254</v>
      </c>
      <c r="BS495" s="188" t="s">
        <v>598</v>
      </c>
      <c r="BT495" s="188" t="s">
        <v>79</v>
      </c>
      <c r="BU495" s="188" t="s">
        <v>79</v>
      </c>
      <c r="BV495" s="188" t="s">
        <v>598</v>
      </c>
    </row>
    <row r="496" spans="5:74">
      <c r="E496" s="21"/>
      <c r="Q496" s="191"/>
      <c r="R496" s="191"/>
      <c r="S496" s="191"/>
      <c r="T496" s="127"/>
      <c r="U496" s="127"/>
      <c r="V496" s="191"/>
      <c r="W496" s="190"/>
      <c r="X496" s="191"/>
      <c r="Y496" s="191"/>
      <c r="Z496" s="191"/>
      <c r="AA496" s="191"/>
      <c r="AB496" s="191"/>
      <c r="AC496" s="191"/>
      <c r="AD496" s="191"/>
      <c r="AE496" s="191"/>
      <c r="AF496" s="191"/>
      <c r="AG496" s="191"/>
      <c r="AH496" s="191"/>
      <c r="AI496" s="127"/>
      <c r="AJ496" s="191"/>
      <c r="AK496" s="191"/>
      <c r="AL496" s="190"/>
      <c r="AM496" s="191"/>
      <c r="BE496" s="188" t="s">
        <v>3355</v>
      </c>
      <c r="BF496" s="188" t="s">
        <v>4223</v>
      </c>
      <c r="BG496" s="127">
        <v>42867</v>
      </c>
      <c r="BH496" s="188" t="s">
        <v>34</v>
      </c>
      <c r="BI496" s="188" t="s">
        <v>598</v>
      </c>
      <c r="BJ496" s="189">
        <v>4000</v>
      </c>
      <c r="BK496" s="188" t="s">
        <v>493</v>
      </c>
      <c r="BL496" s="188" t="s">
        <v>598</v>
      </c>
      <c r="BM496" s="189">
        <v>0</v>
      </c>
      <c r="BN496" s="188" t="s">
        <v>598</v>
      </c>
      <c r="BO496" s="127">
        <v>42865</v>
      </c>
      <c r="BP496" s="188" t="s">
        <v>134</v>
      </c>
      <c r="BQ496" s="188" t="s">
        <v>84</v>
      </c>
      <c r="BR496" s="188" t="s">
        <v>370</v>
      </c>
      <c r="BS496" s="188" t="s">
        <v>598</v>
      </c>
      <c r="BT496" s="188" t="s">
        <v>79</v>
      </c>
      <c r="BU496" s="188" t="s">
        <v>112</v>
      </c>
      <c r="BV496" s="188" t="s">
        <v>598</v>
      </c>
    </row>
    <row r="497" spans="5:74">
      <c r="E497" s="21"/>
      <c r="Q497" s="191"/>
      <c r="R497" s="191"/>
      <c r="S497" s="191"/>
      <c r="T497" s="127"/>
      <c r="U497" s="127"/>
      <c r="V497" s="191"/>
      <c r="W497" s="190"/>
      <c r="X497" s="191"/>
      <c r="Y497" s="191"/>
      <c r="Z497" s="191"/>
      <c r="AA497" s="191"/>
      <c r="AB497" s="191"/>
      <c r="AC497" s="191"/>
      <c r="AD497" s="191"/>
      <c r="AE497" s="191"/>
      <c r="AF497" s="191"/>
      <c r="AG497" s="191"/>
      <c r="AH497" s="191"/>
      <c r="AI497" s="127"/>
      <c r="AJ497" s="191"/>
      <c r="AK497" s="191"/>
      <c r="AL497" s="190"/>
      <c r="AM497" s="191"/>
      <c r="BE497" s="188" t="s">
        <v>3357</v>
      </c>
      <c r="BF497" s="188" t="s">
        <v>4224</v>
      </c>
      <c r="BG497" s="127">
        <v>42871</v>
      </c>
      <c r="BH497" s="188" t="s">
        <v>10</v>
      </c>
      <c r="BI497" s="188" t="s">
        <v>598</v>
      </c>
      <c r="BJ497" s="189">
        <v>10000</v>
      </c>
      <c r="BK497" s="188" t="s">
        <v>493</v>
      </c>
      <c r="BL497" s="188" t="s">
        <v>598</v>
      </c>
      <c r="BM497" s="189">
        <v>0</v>
      </c>
      <c r="BN497" s="188" t="s">
        <v>598</v>
      </c>
      <c r="BO497" s="127">
        <v>42865</v>
      </c>
      <c r="BP497" s="188" t="s">
        <v>132</v>
      </c>
      <c r="BQ497" s="188" t="s">
        <v>84</v>
      </c>
      <c r="BR497" s="188" t="s">
        <v>192</v>
      </c>
      <c r="BS497" s="188" t="s">
        <v>598</v>
      </c>
      <c r="BT497" s="188" t="s">
        <v>79</v>
      </c>
      <c r="BU497" s="188" t="s">
        <v>112</v>
      </c>
      <c r="BV497" s="188" t="s">
        <v>598</v>
      </c>
    </row>
    <row r="498" spans="5:74">
      <c r="E498" s="21"/>
      <c r="Q498" s="191"/>
      <c r="R498" s="191"/>
      <c r="S498" s="191"/>
      <c r="T498" s="127"/>
      <c r="U498" s="127"/>
      <c r="V498" s="191"/>
      <c r="W498" s="190"/>
      <c r="X498" s="191"/>
      <c r="Y498" s="191"/>
      <c r="Z498" s="191"/>
      <c r="AA498" s="191"/>
      <c r="AB498" s="191"/>
      <c r="AC498" s="191"/>
      <c r="AD498" s="191"/>
      <c r="AE498" s="191"/>
      <c r="AF498" s="191"/>
      <c r="AG498" s="191"/>
      <c r="AH498" s="191"/>
      <c r="AI498" s="127"/>
      <c r="AJ498" s="191"/>
      <c r="AK498" s="191"/>
      <c r="AL498" s="190"/>
      <c r="AM498" s="191"/>
      <c r="BE498" s="188" t="s">
        <v>3359</v>
      </c>
      <c r="BF498" s="188" t="s">
        <v>4225</v>
      </c>
      <c r="BG498" s="127">
        <v>42870</v>
      </c>
      <c r="BH498" s="188" t="s">
        <v>34</v>
      </c>
      <c r="BI498" s="188" t="s">
        <v>598</v>
      </c>
      <c r="BJ498" s="189">
        <v>5000</v>
      </c>
      <c r="BK498" s="188" t="s">
        <v>493</v>
      </c>
      <c r="BL498" s="188" t="s">
        <v>598</v>
      </c>
      <c r="BM498" s="189">
        <v>0</v>
      </c>
      <c r="BN498" s="188" t="s">
        <v>598</v>
      </c>
      <c r="BO498" s="127">
        <v>42866</v>
      </c>
      <c r="BP498" s="188" t="s">
        <v>134</v>
      </c>
      <c r="BQ498" s="188" t="s">
        <v>84</v>
      </c>
      <c r="BR498" s="188" t="s">
        <v>370</v>
      </c>
      <c r="BS498" s="188" t="s">
        <v>598</v>
      </c>
      <c r="BT498" s="188" t="s">
        <v>79</v>
      </c>
      <c r="BU498" s="188" t="s">
        <v>112</v>
      </c>
      <c r="BV498" s="188" t="s">
        <v>598</v>
      </c>
    </row>
    <row r="499" spans="5:74">
      <c r="E499" s="21"/>
      <c r="Q499" s="191"/>
      <c r="R499" s="191"/>
      <c r="S499" s="191"/>
      <c r="T499" s="127"/>
      <c r="U499" s="127"/>
      <c r="V499" s="191"/>
      <c r="W499" s="190"/>
      <c r="X499" s="191"/>
      <c r="Y499" s="191"/>
      <c r="Z499" s="191"/>
      <c r="AA499" s="191"/>
      <c r="AB499" s="191"/>
      <c r="AC499" s="191"/>
      <c r="AD499" s="191"/>
      <c r="AE499" s="191"/>
      <c r="AF499" s="191"/>
      <c r="AG499" s="191"/>
      <c r="AH499" s="191"/>
      <c r="AI499" s="127"/>
      <c r="AJ499" s="191"/>
      <c r="AK499" s="191"/>
      <c r="AL499" s="190"/>
      <c r="AM499" s="191"/>
      <c r="BE499" s="188" t="s">
        <v>3361</v>
      </c>
      <c r="BF499" s="188" t="s">
        <v>4226</v>
      </c>
      <c r="BG499" s="127">
        <v>42871</v>
      </c>
      <c r="BH499" s="188" t="s">
        <v>34</v>
      </c>
      <c r="BI499" s="188" t="s">
        <v>598</v>
      </c>
      <c r="BJ499" s="189">
        <v>5000</v>
      </c>
      <c r="BK499" s="188" t="s">
        <v>493</v>
      </c>
      <c r="BL499" s="188" t="s">
        <v>598</v>
      </c>
      <c r="BM499" s="189">
        <v>0</v>
      </c>
      <c r="BN499" s="188" t="s">
        <v>598</v>
      </c>
      <c r="BO499" s="127">
        <v>42867</v>
      </c>
      <c r="BP499" s="188" t="s">
        <v>134</v>
      </c>
      <c r="BQ499" s="188" t="s">
        <v>84</v>
      </c>
      <c r="BR499" s="188" t="s">
        <v>3363</v>
      </c>
      <c r="BS499" s="188" t="s">
        <v>598</v>
      </c>
      <c r="BT499" s="188" t="s">
        <v>79</v>
      </c>
      <c r="BU499" s="188" t="s">
        <v>79</v>
      </c>
      <c r="BV499" s="188" t="s">
        <v>598</v>
      </c>
    </row>
    <row r="500" spans="5:74">
      <c r="E500" s="21"/>
      <c r="Q500" s="191"/>
      <c r="R500" s="191"/>
      <c r="S500" s="191"/>
      <c r="T500" s="127"/>
      <c r="U500" s="127"/>
      <c r="V500" s="191"/>
      <c r="W500" s="190"/>
      <c r="X500" s="191"/>
      <c r="Y500" s="191"/>
      <c r="Z500" s="191"/>
      <c r="AA500" s="191"/>
      <c r="AB500" s="191"/>
      <c r="AC500" s="191"/>
      <c r="AD500" s="191"/>
      <c r="AE500" s="191"/>
      <c r="AF500" s="191"/>
      <c r="AG500" s="191"/>
      <c r="AH500" s="191"/>
      <c r="AI500" s="127"/>
      <c r="AJ500" s="191"/>
      <c r="AK500" s="191"/>
      <c r="AL500" s="190"/>
      <c r="AM500" s="191"/>
      <c r="BE500" s="188" t="s">
        <v>3364</v>
      </c>
      <c r="BF500" s="188" t="s">
        <v>4227</v>
      </c>
      <c r="BG500" s="127">
        <v>42873</v>
      </c>
      <c r="BH500" s="188" t="s">
        <v>10</v>
      </c>
      <c r="BI500" s="188" t="s">
        <v>598</v>
      </c>
      <c r="BJ500" s="189">
        <v>4000</v>
      </c>
      <c r="BK500" s="188" t="s">
        <v>493</v>
      </c>
      <c r="BL500" s="188" t="s">
        <v>598</v>
      </c>
      <c r="BM500" s="189">
        <v>0</v>
      </c>
      <c r="BN500" s="188" t="s">
        <v>598</v>
      </c>
      <c r="BO500" s="127">
        <v>42867</v>
      </c>
      <c r="BP500" s="188" t="s">
        <v>598</v>
      </c>
      <c r="BQ500" s="188" t="s">
        <v>84</v>
      </c>
      <c r="BR500" s="188" t="s">
        <v>264</v>
      </c>
      <c r="BS500" s="188" t="s">
        <v>50</v>
      </c>
      <c r="BT500" s="188" t="s">
        <v>79</v>
      </c>
      <c r="BU500" s="188" t="s">
        <v>79</v>
      </c>
      <c r="BV500" s="188" t="s">
        <v>598</v>
      </c>
    </row>
    <row r="501" spans="5:74">
      <c r="E501" s="21"/>
      <c r="Q501" s="191"/>
      <c r="R501" s="191"/>
      <c r="S501" s="191"/>
      <c r="T501" s="127"/>
      <c r="U501" s="127"/>
      <c r="V501" s="191"/>
      <c r="W501" s="190"/>
      <c r="X501" s="191"/>
      <c r="Y501" s="191"/>
      <c r="Z501" s="191"/>
      <c r="AA501" s="191"/>
      <c r="AB501" s="191"/>
      <c r="AC501" s="191"/>
      <c r="AD501" s="191"/>
      <c r="AE501" s="191"/>
      <c r="AF501" s="191"/>
      <c r="AG501" s="191"/>
      <c r="AH501" s="191"/>
      <c r="AI501" s="127"/>
      <c r="AJ501" s="191"/>
      <c r="AK501" s="191"/>
      <c r="AL501" s="190"/>
      <c r="AM501" s="191"/>
      <c r="BE501" s="188" t="s">
        <v>3366</v>
      </c>
      <c r="BF501" s="188" t="s">
        <v>4228</v>
      </c>
      <c r="BG501" s="127">
        <v>42870</v>
      </c>
      <c r="BH501" s="188" t="s">
        <v>34</v>
      </c>
      <c r="BI501" s="188" t="s">
        <v>598</v>
      </c>
      <c r="BJ501" s="189">
        <v>3000</v>
      </c>
      <c r="BK501" s="188" t="s">
        <v>493</v>
      </c>
      <c r="BL501" s="188" t="s">
        <v>598</v>
      </c>
      <c r="BM501" s="189">
        <v>0</v>
      </c>
      <c r="BN501" s="188" t="s">
        <v>598</v>
      </c>
      <c r="BO501" s="127">
        <v>42867</v>
      </c>
      <c r="BP501" s="188" t="s">
        <v>134</v>
      </c>
      <c r="BQ501" s="188" t="s">
        <v>84</v>
      </c>
      <c r="BR501" s="188" t="s">
        <v>370</v>
      </c>
      <c r="BS501" s="188" t="s">
        <v>598</v>
      </c>
      <c r="BT501" s="188" t="s">
        <v>79</v>
      </c>
      <c r="BU501" s="188" t="s">
        <v>79</v>
      </c>
      <c r="BV501" s="188" t="s">
        <v>598</v>
      </c>
    </row>
    <row r="502" spans="5:74">
      <c r="E502" s="21"/>
      <c r="Q502" s="191"/>
      <c r="R502" s="191"/>
      <c r="S502" s="191"/>
      <c r="T502" s="127"/>
      <c r="U502" s="127"/>
      <c r="V502" s="191"/>
      <c r="W502" s="190"/>
      <c r="X502" s="191"/>
      <c r="Y502" s="191"/>
      <c r="Z502" s="191"/>
      <c r="AA502" s="191"/>
      <c r="AB502" s="191"/>
      <c r="AC502" s="191"/>
      <c r="AD502" s="191"/>
      <c r="AE502" s="191"/>
      <c r="AF502" s="191"/>
      <c r="AG502" s="191"/>
      <c r="AH502" s="191"/>
      <c r="AI502" s="127"/>
      <c r="AJ502" s="191"/>
      <c r="AK502" s="191"/>
      <c r="AL502" s="190"/>
      <c r="AM502" s="191"/>
      <c r="BE502" s="188" t="s">
        <v>3368</v>
      </c>
      <c r="BF502" s="188" t="s">
        <v>4229</v>
      </c>
      <c r="BG502" s="127">
        <v>42871</v>
      </c>
      <c r="BH502" s="188" t="s">
        <v>34</v>
      </c>
      <c r="BI502" s="188" t="s">
        <v>598</v>
      </c>
      <c r="BJ502" s="189">
        <v>3000</v>
      </c>
      <c r="BK502" s="188" t="s">
        <v>493</v>
      </c>
      <c r="BL502" s="188" t="s">
        <v>598</v>
      </c>
      <c r="BM502" s="189">
        <v>0</v>
      </c>
      <c r="BN502" s="188" t="s">
        <v>598</v>
      </c>
      <c r="BO502" s="127">
        <v>42867</v>
      </c>
      <c r="BP502" s="188" t="s">
        <v>134</v>
      </c>
      <c r="BQ502" s="188" t="s">
        <v>84</v>
      </c>
      <c r="BR502" s="188" t="s">
        <v>262</v>
      </c>
      <c r="BS502" s="188" t="s">
        <v>598</v>
      </c>
      <c r="BT502" s="188" t="s">
        <v>79</v>
      </c>
      <c r="BU502" s="188" t="s">
        <v>112</v>
      </c>
      <c r="BV502" s="188" t="s">
        <v>598</v>
      </c>
    </row>
    <row r="503" spans="5:74">
      <c r="E503" s="21"/>
      <c r="Q503" s="191"/>
      <c r="R503" s="191"/>
      <c r="S503" s="191"/>
      <c r="T503" s="127"/>
      <c r="U503" s="127"/>
      <c r="V503" s="191"/>
      <c r="W503" s="190"/>
      <c r="X503" s="191"/>
      <c r="Y503" s="191"/>
      <c r="Z503" s="191"/>
      <c r="AA503" s="191"/>
      <c r="AB503" s="191"/>
      <c r="AC503" s="191"/>
      <c r="AD503" s="191"/>
      <c r="AE503" s="191"/>
      <c r="AF503" s="191"/>
      <c r="AG503" s="191"/>
      <c r="AH503" s="191"/>
      <c r="AI503" s="127"/>
      <c r="AJ503" s="191"/>
      <c r="AK503" s="191"/>
      <c r="AL503" s="190"/>
      <c r="AM503" s="191"/>
      <c r="BE503" s="188" t="s">
        <v>3370</v>
      </c>
      <c r="BF503" s="188" t="s">
        <v>4230</v>
      </c>
      <c r="BG503" s="127">
        <v>42873</v>
      </c>
      <c r="BH503" s="188" t="s">
        <v>10</v>
      </c>
      <c r="BI503" s="188" t="s">
        <v>598</v>
      </c>
      <c r="BJ503" s="189">
        <v>3000</v>
      </c>
      <c r="BK503" s="188" t="s">
        <v>493</v>
      </c>
      <c r="BL503" s="188" t="s">
        <v>598</v>
      </c>
      <c r="BM503" s="189">
        <v>0</v>
      </c>
      <c r="BN503" s="188" t="s">
        <v>598</v>
      </c>
      <c r="BO503" s="127">
        <v>42868</v>
      </c>
      <c r="BP503" s="188" t="s">
        <v>134</v>
      </c>
      <c r="BQ503" s="188" t="s">
        <v>84</v>
      </c>
      <c r="BR503" s="188" t="s">
        <v>454</v>
      </c>
      <c r="BS503" s="188" t="s">
        <v>50</v>
      </c>
      <c r="BT503" s="188" t="s">
        <v>79</v>
      </c>
      <c r="BU503" s="188" t="s">
        <v>65</v>
      </c>
      <c r="BV503" s="188" t="s">
        <v>598</v>
      </c>
    </row>
    <row r="504" spans="5:74">
      <c r="E504" s="21"/>
      <c r="Q504" s="191"/>
      <c r="R504" s="191"/>
      <c r="S504" s="191"/>
      <c r="T504" s="127"/>
      <c r="U504" s="127"/>
      <c r="V504" s="191"/>
      <c r="W504" s="190"/>
      <c r="X504" s="191"/>
      <c r="Y504" s="191"/>
      <c r="Z504" s="191"/>
      <c r="AA504" s="191"/>
      <c r="AB504" s="191"/>
      <c r="AC504" s="191"/>
      <c r="AD504" s="191"/>
      <c r="AE504" s="191"/>
      <c r="AF504" s="191"/>
      <c r="AG504" s="191"/>
      <c r="AH504" s="191"/>
      <c r="AI504" s="127"/>
      <c r="AJ504" s="191"/>
      <c r="AK504" s="191"/>
      <c r="AL504" s="190"/>
      <c r="AM504" s="191"/>
      <c r="BE504" s="188" t="s">
        <v>3372</v>
      </c>
      <c r="BF504" s="188" t="s">
        <v>4231</v>
      </c>
      <c r="BG504" s="127">
        <v>42868</v>
      </c>
      <c r="BH504" s="188" t="s">
        <v>34</v>
      </c>
      <c r="BI504" s="188" t="s">
        <v>598</v>
      </c>
      <c r="BJ504" s="189">
        <v>3000</v>
      </c>
      <c r="BK504" s="188" t="s">
        <v>493</v>
      </c>
      <c r="BL504" s="188" t="s">
        <v>598</v>
      </c>
      <c r="BM504" s="189">
        <v>0</v>
      </c>
      <c r="BN504" s="188" t="s">
        <v>598</v>
      </c>
      <c r="BO504" s="127">
        <v>42868</v>
      </c>
      <c r="BP504" s="188" t="s">
        <v>132</v>
      </c>
      <c r="BQ504" s="188" t="s">
        <v>84</v>
      </c>
      <c r="BR504" s="188" t="s">
        <v>598</v>
      </c>
      <c r="BS504" s="188" t="s">
        <v>598</v>
      </c>
      <c r="BT504" s="188" t="s">
        <v>79</v>
      </c>
      <c r="BU504" s="188" t="s">
        <v>79</v>
      </c>
      <c r="BV504" s="188" t="s">
        <v>598</v>
      </c>
    </row>
    <row r="505" spans="5:74">
      <c r="E505" s="21"/>
      <c r="Q505" s="191"/>
      <c r="R505" s="191"/>
      <c r="S505" s="191"/>
      <c r="T505" s="127"/>
      <c r="U505" s="127"/>
      <c r="V505" s="191"/>
      <c r="W505" s="190"/>
      <c r="X505" s="191"/>
      <c r="Y505" s="191"/>
      <c r="Z505" s="191"/>
      <c r="AA505" s="191"/>
      <c r="AB505" s="191"/>
      <c r="AC505" s="191"/>
      <c r="AD505" s="191"/>
      <c r="AE505" s="191"/>
      <c r="AF505" s="191"/>
      <c r="AG505" s="191"/>
      <c r="AH505" s="191"/>
      <c r="AI505" s="127"/>
      <c r="AJ505" s="191"/>
      <c r="AK505" s="191"/>
      <c r="AL505" s="190"/>
      <c r="AM505" s="191"/>
      <c r="BE505" s="188" t="s">
        <v>3374</v>
      </c>
      <c r="BF505" s="188" t="s">
        <v>4232</v>
      </c>
      <c r="BG505" s="127">
        <v>42871</v>
      </c>
      <c r="BH505" s="188" t="s">
        <v>34</v>
      </c>
      <c r="BI505" s="188" t="s">
        <v>598</v>
      </c>
      <c r="BJ505" s="189">
        <v>1000</v>
      </c>
      <c r="BK505" s="188" t="s">
        <v>493</v>
      </c>
      <c r="BL505" s="188" t="s">
        <v>598</v>
      </c>
      <c r="BM505" s="189">
        <v>0</v>
      </c>
      <c r="BN505" s="188" t="s">
        <v>598</v>
      </c>
      <c r="BO505" s="127">
        <v>42870</v>
      </c>
      <c r="BP505" s="188" t="s">
        <v>126</v>
      </c>
      <c r="BQ505" s="188" t="s">
        <v>84</v>
      </c>
      <c r="BR505" s="188" t="s">
        <v>598</v>
      </c>
      <c r="BS505" s="188" t="s">
        <v>598</v>
      </c>
      <c r="BT505" s="188" t="s">
        <v>79</v>
      </c>
      <c r="BU505" s="188" t="s">
        <v>598</v>
      </c>
      <c r="BV505" s="188" t="s">
        <v>598</v>
      </c>
    </row>
    <row r="506" spans="5:74">
      <c r="E506" s="21"/>
      <c r="Q506" s="191"/>
      <c r="R506" s="191"/>
      <c r="S506" s="191"/>
      <c r="T506" s="127"/>
      <c r="U506" s="127"/>
      <c r="V506" s="191"/>
      <c r="W506" s="190"/>
      <c r="X506" s="191"/>
      <c r="Y506" s="191"/>
      <c r="Z506" s="191"/>
      <c r="AA506" s="191"/>
      <c r="AB506" s="191"/>
      <c r="AC506" s="191"/>
      <c r="AD506" s="191"/>
      <c r="AE506" s="191"/>
      <c r="AF506" s="191"/>
      <c r="AG506" s="191"/>
      <c r="AH506" s="191"/>
      <c r="AI506" s="127"/>
      <c r="AJ506" s="191"/>
      <c r="AK506" s="191"/>
      <c r="AL506" s="190"/>
      <c r="AM506" s="191"/>
      <c r="BE506" s="188" t="s">
        <v>3376</v>
      </c>
      <c r="BF506" s="188" t="s">
        <v>4233</v>
      </c>
      <c r="BG506" s="127">
        <v>42871</v>
      </c>
      <c r="BH506" s="188" t="s">
        <v>34</v>
      </c>
      <c r="BI506" s="188" t="s">
        <v>598</v>
      </c>
      <c r="BJ506" s="189">
        <v>1000</v>
      </c>
      <c r="BK506" s="188" t="s">
        <v>493</v>
      </c>
      <c r="BL506" s="188" t="s">
        <v>598</v>
      </c>
      <c r="BM506" s="189">
        <v>0</v>
      </c>
      <c r="BN506" s="188" t="s">
        <v>598</v>
      </c>
      <c r="BO506" s="127">
        <v>42871</v>
      </c>
      <c r="BP506" s="188" t="s">
        <v>126</v>
      </c>
      <c r="BQ506" s="188" t="s">
        <v>84</v>
      </c>
      <c r="BR506" s="188" t="s">
        <v>598</v>
      </c>
      <c r="BS506" s="188" t="s">
        <v>598</v>
      </c>
      <c r="BT506" s="188" t="s">
        <v>79</v>
      </c>
      <c r="BU506" s="188" t="s">
        <v>598</v>
      </c>
      <c r="BV506" s="188" t="s">
        <v>598</v>
      </c>
    </row>
    <row r="507" spans="5:74">
      <c r="E507" s="21"/>
      <c r="Q507" s="191"/>
      <c r="R507" s="191"/>
      <c r="S507" s="191"/>
      <c r="T507" s="127"/>
      <c r="U507" s="127"/>
      <c r="V507" s="191"/>
      <c r="W507" s="190"/>
      <c r="X507" s="191"/>
      <c r="Y507" s="191"/>
      <c r="Z507" s="191"/>
      <c r="AA507" s="191"/>
      <c r="AB507" s="191"/>
      <c r="AC507" s="191"/>
      <c r="AD507" s="191"/>
      <c r="AE507" s="191"/>
      <c r="AF507" s="191"/>
      <c r="AG507" s="191"/>
      <c r="AH507" s="191"/>
      <c r="AI507" s="127"/>
      <c r="AJ507" s="191"/>
      <c r="AK507" s="191"/>
      <c r="AL507" s="190"/>
      <c r="AM507" s="191"/>
      <c r="BE507" s="188" t="s">
        <v>3377</v>
      </c>
      <c r="BF507" s="188" t="s">
        <v>4234</v>
      </c>
      <c r="BG507" s="127">
        <v>42872</v>
      </c>
      <c r="BH507" s="188" t="s">
        <v>34</v>
      </c>
      <c r="BI507" s="188" t="s">
        <v>598</v>
      </c>
      <c r="BJ507" s="189">
        <v>500</v>
      </c>
      <c r="BK507" s="188" t="s">
        <v>493</v>
      </c>
      <c r="BL507" s="188" t="s">
        <v>598</v>
      </c>
      <c r="BM507" s="189">
        <v>0</v>
      </c>
      <c r="BN507" s="188" t="s">
        <v>598</v>
      </c>
      <c r="BO507" s="127">
        <v>42872</v>
      </c>
      <c r="BP507" s="188" t="s">
        <v>83</v>
      </c>
      <c r="BQ507" s="188" t="s">
        <v>84</v>
      </c>
      <c r="BR507" s="188" t="s">
        <v>598</v>
      </c>
      <c r="BS507" s="188" t="s">
        <v>598</v>
      </c>
      <c r="BT507" s="188" t="s">
        <v>79</v>
      </c>
      <c r="BU507" s="188" t="s">
        <v>598</v>
      </c>
      <c r="BV507" s="188" t="s">
        <v>598</v>
      </c>
    </row>
    <row r="508" spans="5:74">
      <c r="E508" s="21"/>
      <c r="Q508" s="191"/>
      <c r="R508" s="191"/>
      <c r="S508" s="191"/>
      <c r="T508" s="127"/>
      <c r="U508" s="127"/>
      <c r="V508" s="191"/>
      <c r="W508" s="190"/>
      <c r="X508" s="191"/>
      <c r="Y508" s="191"/>
      <c r="Z508" s="191"/>
      <c r="AA508" s="191"/>
      <c r="AB508" s="191"/>
      <c r="AC508" s="191"/>
      <c r="AD508" s="191"/>
      <c r="AE508" s="191"/>
      <c r="AF508" s="191"/>
      <c r="AG508" s="191"/>
      <c r="AH508" s="191"/>
      <c r="AI508" s="127"/>
      <c r="AJ508" s="191"/>
      <c r="AK508" s="191"/>
      <c r="AL508" s="190"/>
      <c r="AM508" s="191"/>
      <c r="BE508" s="188" t="s">
        <v>3379</v>
      </c>
      <c r="BF508" s="188" t="s">
        <v>4235</v>
      </c>
      <c r="BG508" s="127">
        <v>42879</v>
      </c>
      <c r="BH508" s="188" t="s">
        <v>494</v>
      </c>
      <c r="BI508" s="188" t="s">
        <v>598</v>
      </c>
      <c r="BJ508" s="189">
        <v>5000</v>
      </c>
      <c r="BK508" s="188" t="s">
        <v>493</v>
      </c>
      <c r="BL508" s="188" t="s">
        <v>598</v>
      </c>
      <c r="BM508" s="189">
        <v>0</v>
      </c>
      <c r="BN508" s="188" t="s">
        <v>598</v>
      </c>
      <c r="BO508" s="127">
        <v>42872</v>
      </c>
      <c r="BP508" s="188" t="s">
        <v>132</v>
      </c>
      <c r="BQ508" s="188" t="s">
        <v>84</v>
      </c>
      <c r="BR508" s="188" t="s">
        <v>186</v>
      </c>
      <c r="BS508" s="188" t="s">
        <v>598</v>
      </c>
      <c r="BT508" s="188" t="s">
        <v>79</v>
      </c>
      <c r="BU508" s="188" t="s">
        <v>112</v>
      </c>
      <c r="BV508" s="188" t="s">
        <v>598</v>
      </c>
    </row>
    <row r="509" spans="5:74">
      <c r="E509" s="21"/>
      <c r="Q509" s="191"/>
      <c r="R509" s="191"/>
      <c r="S509" s="191"/>
      <c r="T509" s="127"/>
      <c r="U509" s="127"/>
      <c r="V509" s="191"/>
      <c r="W509" s="190"/>
      <c r="X509" s="191"/>
      <c r="Y509" s="191"/>
      <c r="Z509" s="191"/>
      <c r="AA509" s="191"/>
      <c r="AB509" s="191"/>
      <c r="AC509" s="191"/>
      <c r="AD509" s="191"/>
      <c r="AE509" s="191"/>
      <c r="AF509" s="191"/>
      <c r="AG509" s="191"/>
      <c r="AH509" s="191"/>
      <c r="AI509" s="127"/>
      <c r="AJ509" s="191"/>
      <c r="AK509" s="191"/>
      <c r="AL509" s="190"/>
      <c r="AM509" s="191"/>
      <c r="BE509" s="188" t="s">
        <v>3381</v>
      </c>
      <c r="BF509" s="188" t="s">
        <v>4236</v>
      </c>
      <c r="BG509" s="127">
        <v>42878</v>
      </c>
      <c r="BH509" s="188" t="s">
        <v>10</v>
      </c>
      <c r="BI509" s="188" t="s">
        <v>598</v>
      </c>
      <c r="BJ509" s="189">
        <v>3000</v>
      </c>
      <c r="BK509" s="188" t="s">
        <v>493</v>
      </c>
      <c r="BL509" s="188" t="s">
        <v>598</v>
      </c>
      <c r="BM509" s="189">
        <v>0</v>
      </c>
      <c r="BN509" s="188" t="s">
        <v>598</v>
      </c>
      <c r="BO509" s="127">
        <v>42872</v>
      </c>
      <c r="BP509" s="188" t="s">
        <v>132</v>
      </c>
      <c r="BQ509" s="188" t="s">
        <v>84</v>
      </c>
      <c r="BR509" s="188" t="s">
        <v>192</v>
      </c>
      <c r="BS509" s="188" t="s">
        <v>598</v>
      </c>
      <c r="BT509" s="188" t="s">
        <v>79</v>
      </c>
      <c r="BU509" s="188" t="s">
        <v>79</v>
      </c>
      <c r="BV509" s="188" t="s">
        <v>598</v>
      </c>
    </row>
    <row r="510" spans="5:74">
      <c r="E510" s="21"/>
      <c r="Q510" s="191"/>
      <c r="R510" s="191"/>
      <c r="S510" s="191"/>
      <c r="T510" s="127"/>
      <c r="U510" s="127"/>
      <c r="V510" s="191"/>
      <c r="W510" s="190"/>
      <c r="X510" s="191"/>
      <c r="Y510" s="191"/>
      <c r="Z510" s="191"/>
      <c r="AA510" s="191"/>
      <c r="AB510" s="191"/>
      <c r="AC510" s="191"/>
      <c r="AD510" s="191"/>
      <c r="AE510" s="191"/>
      <c r="AF510" s="191"/>
      <c r="AG510" s="191"/>
      <c r="AH510" s="191"/>
      <c r="AI510" s="127"/>
      <c r="AJ510" s="191"/>
      <c r="AK510" s="191"/>
      <c r="AL510" s="190"/>
      <c r="AM510" s="191"/>
      <c r="BE510" s="188" t="s">
        <v>3383</v>
      </c>
      <c r="BF510" s="188" t="s">
        <v>4237</v>
      </c>
      <c r="BG510" s="127">
        <v>42875</v>
      </c>
      <c r="BH510" s="188" t="s">
        <v>494</v>
      </c>
      <c r="BI510" s="188" t="s">
        <v>598</v>
      </c>
      <c r="BJ510" s="189">
        <v>3000</v>
      </c>
      <c r="BK510" s="188" t="s">
        <v>493</v>
      </c>
      <c r="BL510" s="188" t="s">
        <v>598</v>
      </c>
      <c r="BM510" s="189">
        <v>0</v>
      </c>
      <c r="BN510" s="188" t="s">
        <v>598</v>
      </c>
      <c r="BO510" s="127">
        <v>42872</v>
      </c>
      <c r="BP510" s="188" t="s">
        <v>598</v>
      </c>
      <c r="BQ510" s="188" t="s">
        <v>84</v>
      </c>
      <c r="BR510" s="188" t="s">
        <v>455</v>
      </c>
      <c r="BS510" s="188" t="s">
        <v>598</v>
      </c>
      <c r="BT510" s="188" t="s">
        <v>79</v>
      </c>
      <c r="BU510" s="188" t="s">
        <v>65</v>
      </c>
      <c r="BV510" s="188" t="s">
        <v>598</v>
      </c>
    </row>
    <row r="511" spans="5:74">
      <c r="E511" s="21"/>
      <c r="Q511" s="191"/>
      <c r="R511" s="191"/>
      <c r="S511" s="191"/>
      <c r="T511" s="127"/>
      <c r="U511" s="127"/>
      <c r="V511" s="191"/>
      <c r="W511" s="190"/>
      <c r="X511" s="191"/>
      <c r="Y511" s="191"/>
      <c r="Z511" s="191"/>
      <c r="AA511" s="191"/>
      <c r="AB511" s="191"/>
      <c r="AC511" s="191"/>
      <c r="AD511" s="191"/>
      <c r="AE511" s="191"/>
      <c r="AF511" s="191"/>
      <c r="AG511" s="191"/>
      <c r="AH511" s="191"/>
      <c r="AI511" s="127"/>
      <c r="AJ511" s="191"/>
      <c r="AK511" s="191"/>
      <c r="AL511" s="190"/>
      <c r="AM511" s="191"/>
      <c r="BE511" s="188" t="s">
        <v>3385</v>
      </c>
      <c r="BF511" s="188" t="s">
        <v>4238</v>
      </c>
      <c r="BG511" s="127">
        <v>42874</v>
      </c>
      <c r="BH511" s="188" t="s">
        <v>34</v>
      </c>
      <c r="BI511" s="188" t="s">
        <v>598</v>
      </c>
      <c r="BJ511" s="189">
        <v>1000</v>
      </c>
      <c r="BK511" s="188" t="s">
        <v>549</v>
      </c>
      <c r="BL511" s="188" t="s">
        <v>598</v>
      </c>
      <c r="BM511" s="189">
        <v>0</v>
      </c>
      <c r="BN511" s="188" t="s">
        <v>493</v>
      </c>
      <c r="BO511" s="127">
        <v>42874</v>
      </c>
      <c r="BP511" s="188" t="s">
        <v>96</v>
      </c>
      <c r="BQ511" s="188" t="s">
        <v>84</v>
      </c>
      <c r="BR511" s="188" t="s">
        <v>196</v>
      </c>
      <c r="BS511" s="188" t="s">
        <v>598</v>
      </c>
      <c r="BT511" s="188" t="s">
        <v>79</v>
      </c>
      <c r="BU511" s="188" t="s">
        <v>79</v>
      </c>
      <c r="BV511" s="188" t="s">
        <v>598</v>
      </c>
    </row>
    <row r="512" spans="5:74">
      <c r="E512" s="21"/>
      <c r="Q512" s="191"/>
      <c r="R512" s="191"/>
      <c r="S512" s="191"/>
      <c r="T512" s="127"/>
      <c r="U512" s="127"/>
      <c r="V512" s="191"/>
      <c r="W512" s="190"/>
      <c r="X512" s="191"/>
      <c r="Y512" s="191"/>
      <c r="Z512" s="191"/>
      <c r="AA512" s="191"/>
      <c r="AB512" s="191"/>
      <c r="AC512" s="191"/>
      <c r="AD512" s="191"/>
      <c r="AE512" s="191"/>
      <c r="AF512" s="191"/>
      <c r="AG512" s="191"/>
      <c r="AH512" s="191"/>
      <c r="AI512" s="127"/>
      <c r="AJ512" s="191"/>
      <c r="AK512" s="191"/>
      <c r="AL512" s="190"/>
      <c r="AM512" s="191"/>
      <c r="BE512" s="188" t="s">
        <v>3386</v>
      </c>
      <c r="BF512" s="188" t="s">
        <v>4239</v>
      </c>
      <c r="BG512" s="127">
        <v>42857</v>
      </c>
      <c r="BH512" s="188" t="s">
        <v>10</v>
      </c>
      <c r="BI512" s="188" t="s">
        <v>598</v>
      </c>
      <c r="BJ512" s="189">
        <v>3000</v>
      </c>
      <c r="BK512" s="188" t="s">
        <v>493</v>
      </c>
      <c r="BL512" s="188" t="s">
        <v>598</v>
      </c>
      <c r="BM512" s="189">
        <v>0</v>
      </c>
      <c r="BN512" s="188" t="s">
        <v>598</v>
      </c>
      <c r="BO512" s="127">
        <v>42875</v>
      </c>
      <c r="BP512" s="188" t="s">
        <v>132</v>
      </c>
      <c r="BQ512" s="188" t="s">
        <v>84</v>
      </c>
      <c r="BR512" s="188" t="s">
        <v>3363</v>
      </c>
      <c r="BS512" s="188" t="s">
        <v>598</v>
      </c>
      <c r="BT512" s="188" t="s">
        <v>79</v>
      </c>
      <c r="BU512" s="188" t="s">
        <v>112</v>
      </c>
      <c r="BV512" s="188" t="s">
        <v>598</v>
      </c>
    </row>
    <row r="513" spans="5:74">
      <c r="E513" s="21"/>
      <c r="Q513" s="191"/>
      <c r="R513" s="191"/>
      <c r="S513" s="191"/>
      <c r="T513" s="127"/>
      <c r="U513" s="127"/>
      <c r="V513" s="191"/>
      <c r="W513" s="190"/>
      <c r="X513" s="191"/>
      <c r="Y513" s="191"/>
      <c r="Z513" s="191"/>
      <c r="AA513" s="191"/>
      <c r="AB513" s="191"/>
      <c r="AC513" s="191"/>
      <c r="AD513" s="191"/>
      <c r="AE513" s="191"/>
      <c r="AF513" s="191"/>
      <c r="AG513" s="191"/>
      <c r="AH513" s="191"/>
      <c r="AI513" s="127"/>
      <c r="AJ513" s="191"/>
      <c r="AK513" s="191"/>
      <c r="AL513" s="190"/>
      <c r="AM513" s="191"/>
      <c r="BE513" s="188" t="s">
        <v>3388</v>
      </c>
      <c r="BF513" s="188" t="s">
        <v>4240</v>
      </c>
      <c r="BG513" s="127">
        <v>42881</v>
      </c>
      <c r="BH513" s="188" t="s">
        <v>494</v>
      </c>
      <c r="BI513" s="188" t="s">
        <v>598</v>
      </c>
      <c r="BJ513" s="189">
        <v>5000</v>
      </c>
      <c r="BK513" s="188" t="s">
        <v>493</v>
      </c>
      <c r="BL513" s="188" t="s">
        <v>598</v>
      </c>
      <c r="BM513" s="189">
        <v>0</v>
      </c>
      <c r="BN513" s="188" t="s">
        <v>598</v>
      </c>
      <c r="BO513" s="127">
        <v>42875</v>
      </c>
      <c r="BP513" s="188" t="s">
        <v>132</v>
      </c>
      <c r="BQ513" s="188" t="s">
        <v>84</v>
      </c>
      <c r="BR513" s="188" t="s">
        <v>455</v>
      </c>
      <c r="BS513" s="188" t="s">
        <v>598</v>
      </c>
      <c r="BT513" s="188" t="s">
        <v>79</v>
      </c>
      <c r="BU513" s="188" t="s">
        <v>112</v>
      </c>
      <c r="BV513" s="188" t="s">
        <v>598</v>
      </c>
    </row>
    <row r="514" spans="5:74">
      <c r="E514" s="21"/>
      <c r="Q514" s="191"/>
      <c r="R514" s="191"/>
      <c r="S514" s="191"/>
      <c r="T514" s="127"/>
      <c r="U514" s="127"/>
      <c r="V514" s="191"/>
      <c r="W514" s="190"/>
      <c r="X514" s="191"/>
      <c r="Y514" s="191"/>
      <c r="Z514" s="191"/>
      <c r="AA514" s="191"/>
      <c r="AB514" s="191"/>
      <c r="AC514" s="191"/>
      <c r="AD514" s="191"/>
      <c r="AE514" s="191"/>
      <c r="AF514" s="191"/>
      <c r="AG514" s="191"/>
      <c r="AH514" s="191"/>
      <c r="AI514" s="127"/>
      <c r="AJ514" s="191"/>
      <c r="AK514" s="191"/>
      <c r="AL514" s="190"/>
      <c r="AM514" s="191"/>
      <c r="BE514" s="188" t="s">
        <v>3390</v>
      </c>
      <c r="BF514" s="188" t="s">
        <v>4241</v>
      </c>
      <c r="BG514" s="127">
        <v>42881</v>
      </c>
      <c r="BH514" s="188" t="s">
        <v>10</v>
      </c>
      <c r="BI514" s="188" t="s">
        <v>598</v>
      </c>
      <c r="BJ514" s="189">
        <v>3000</v>
      </c>
      <c r="BK514" s="188" t="s">
        <v>493</v>
      </c>
      <c r="BL514" s="188" t="s">
        <v>598</v>
      </c>
      <c r="BM514" s="189">
        <v>0</v>
      </c>
      <c r="BN514" s="188" t="s">
        <v>598</v>
      </c>
      <c r="BO514" s="127">
        <v>42877</v>
      </c>
      <c r="BP514" s="188" t="s">
        <v>134</v>
      </c>
      <c r="BQ514" s="188" t="s">
        <v>84</v>
      </c>
      <c r="BR514" s="188" t="s">
        <v>598</v>
      </c>
      <c r="BS514" s="188" t="s">
        <v>41</v>
      </c>
      <c r="BT514" s="188" t="s">
        <v>79</v>
      </c>
      <c r="BU514" s="188" t="s">
        <v>112</v>
      </c>
      <c r="BV514" s="188" t="s">
        <v>598</v>
      </c>
    </row>
    <row r="515" spans="5:74">
      <c r="E515" s="21"/>
      <c r="Q515" s="191"/>
      <c r="R515" s="191"/>
      <c r="S515" s="191"/>
      <c r="T515" s="127"/>
      <c r="U515" s="127"/>
      <c r="V515" s="191"/>
      <c r="W515" s="190"/>
      <c r="X515" s="191"/>
      <c r="Y515" s="191"/>
      <c r="Z515" s="191"/>
      <c r="AA515" s="191"/>
      <c r="AB515" s="191"/>
      <c r="AC515" s="191"/>
      <c r="AD515" s="191"/>
      <c r="AE515" s="191"/>
      <c r="AF515" s="191"/>
      <c r="AG515" s="191"/>
      <c r="AH515" s="191"/>
      <c r="AI515" s="127"/>
      <c r="AJ515" s="191"/>
      <c r="AK515" s="191"/>
      <c r="AL515" s="190"/>
      <c r="AM515" s="191"/>
      <c r="BE515" s="188" t="s">
        <v>3391</v>
      </c>
      <c r="BF515" s="188" t="s">
        <v>4242</v>
      </c>
      <c r="BG515" s="127">
        <v>42884</v>
      </c>
      <c r="BH515" s="188" t="s">
        <v>10</v>
      </c>
      <c r="BI515" s="188" t="s">
        <v>598</v>
      </c>
      <c r="BJ515" s="189">
        <v>3000</v>
      </c>
      <c r="BK515" s="188" t="s">
        <v>493</v>
      </c>
      <c r="BL515" s="188" t="s">
        <v>598</v>
      </c>
      <c r="BM515" s="189">
        <v>0</v>
      </c>
      <c r="BN515" s="188" t="s">
        <v>598</v>
      </c>
      <c r="BO515" s="127">
        <v>42877</v>
      </c>
      <c r="BP515" s="188" t="s">
        <v>134</v>
      </c>
      <c r="BQ515" s="188" t="s">
        <v>84</v>
      </c>
      <c r="BR515" s="188" t="s">
        <v>598</v>
      </c>
      <c r="BS515" s="188" t="s">
        <v>41</v>
      </c>
      <c r="BT515" s="188" t="s">
        <v>79</v>
      </c>
      <c r="BU515" s="188" t="s">
        <v>112</v>
      </c>
      <c r="BV515" s="188" t="s">
        <v>598</v>
      </c>
    </row>
    <row r="516" spans="5:74">
      <c r="E516" s="21"/>
      <c r="Q516" s="191"/>
      <c r="R516" s="191"/>
      <c r="S516" s="191"/>
      <c r="T516" s="127"/>
      <c r="U516" s="127"/>
      <c r="V516" s="191"/>
      <c r="W516" s="190"/>
      <c r="X516" s="191"/>
      <c r="Y516" s="191"/>
      <c r="Z516" s="191"/>
      <c r="AA516" s="191"/>
      <c r="AB516" s="191"/>
      <c r="AC516" s="191"/>
      <c r="AD516" s="191"/>
      <c r="AE516" s="191"/>
      <c r="AF516" s="191"/>
      <c r="AG516" s="191"/>
      <c r="AH516" s="191"/>
      <c r="AI516" s="127"/>
      <c r="AJ516" s="191"/>
      <c r="AK516" s="191"/>
      <c r="AL516" s="190"/>
      <c r="AM516" s="191"/>
      <c r="BE516" s="188" t="s">
        <v>3392</v>
      </c>
      <c r="BF516" s="188" t="s">
        <v>4243</v>
      </c>
      <c r="BG516" s="127">
        <v>42880</v>
      </c>
      <c r="BH516" s="188" t="s">
        <v>34</v>
      </c>
      <c r="BI516" s="188" t="s">
        <v>598</v>
      </c>
      <c r="BJ516" s="189">
        <v>4000</v>
      </c>
      <c r="BK516" s="188" t="s">
        <v>493</v>
      </c>
      <c r="BL516" s="188" t="s">
        <v>598</v>
      </c>
      <c r="BM516" s="189">
        <v>0</v>
      </c>
      <c r="BN516" s="188" t="s">
        <v>598</v>
      </c>
      <c r="BO516" s="127">
        <v>42877</v>
      </c>
      <c r="BP516" s="188" t="s">
        <v>132</v>
      </c>
      <c r="BQ516" s="188" t="s">
        <v>84</v>
      </c>
      <c r="BR516" s="188" t="s">
        <v>598</v>
      </c>
      <c r="BS516" s="188" t="s">
        <v>50</v>
      </c>
      <c r="BT516" s="188" t="s">
        <v>79</v>
      </c>
      <c r="BU516" s="188" t="s">
        <v>79</v>
      </c>
      <c r="BV516" s="188" t="s">
        <v>598</v>
      </c>
    </row>
    <row r="517" spans="5:74">
      <c r="E517" s="21"/>
      <c r="Q517" s="191"/>
      <c r="R517" s="191"/>
      <c r="S517" s="191"/>
      <c r="T517" s="127"/>
      <c r="U517" s="127"/>
      <c r="V517" s="191"/>
      <c r="W517" s="190"/>
      <c r="X517" s="191"/>
      <c r="Y517" s="191"/>
      <c r="Z517" s="191"/>
      <c r="AA517" s="191"/>
      <c r="AB517" s="191"/>
      <c r="AC517" s="191"/>
      <c r="AD517" s="191"/>
      <c r="AE517" s="191"/>
      <c r="AF517" s="191"/>
      <c r="AG517" s="191"/>
      <c r="AH517" s="191"/>
      <c r="AI517" s="127"/>
      <c r="AJ517" s="191"/>
      <c r="AK517" s="191"/>
      <c r="AL517" s="190"/>
      <c r="AM517" s="191"/>
      <c r="BE517" s="188" t="s">
        <v>3393</v>
      </c>
      <c r="BF517" s="188" t="s">
        <v>4244</v>
      </c>
      <c r="BG517" s="127">
        <v>42880</v>
      </c>
      <c r="BH517" s="188" t="s">
        <v>34</v>
      </c>
      <c r="BI517" s="188" t="s">
        <v>598</v>
      </c>
      <c r="BJ517" s="189">
        <v>5000</v>
      </c>
      <c r="BK517" s="188" t="s">
        <v>493</v>
      </c>
      <c r="BL517" s="188" t="s">
        <v>598</v>
      </c>
      <c r="BM517" s="189">
        <v>0</v>
      </c>
      <c r="BN517" s="188" t="s">
        <v>598</v>
      </c>
      <c r="BO517" s="127">
        <v>42878</v>
      </c>
      <c r="BP517" s="188" t="s">
        <v>132</v>
      </c>
      <c r="BQ517" s="188" t="s">
        <v>84</v>
      </c>
      <c r="BR517" s="188" t="s">
        <v>456</v>
      </c>
      <c r="BS517" s="188" t="s">
        <v>598</v>
      </c>
      <c r="BT517" s="188" t="s">
        <v>79</v>
      </c>
      <c r="BU517" s="188" t="s">
        <v>65</v>
      </c>
      <c r="BV517" s="188" t="s">
        <v>598</v>
      </c>
    </row>
    <row r="518" spans="5:74">
      <c r="E518" s="21"/>
      <c r="Q518" s="191"/>
      <c r="R518" s="191"/>
      <c r="S518" s="191"/>
      <c r="T518" s="127"/>
      <c r="U518" s="127"/>
      <c r="V518" s="191"/>
      <c r="W518" s="190"/>
      <c r="X518" s="191"/>
      <c r="Y518" s="191"/>
      <c r="Z518" s="191"/>
      <c r="AA518" s="191"/>
      <c r="AB518" s="191"/>
      <c r="AC518" s="191"/>
      <c r="AD518" s="191"/>
      <c r="AE518" s="191"/>
      <c r="AF518" s="191"/>
      <c r="AG518" s="191"/>
      <c r="AH518" s="191"/>
      <c r="AI518" s="127"/>
      <c r="AJ518" s="191"/>
      <c r="AK518" s="191"/>
      <c r="AL518" s="190"/>
      <c r="AM518" s="191"/>
      <c r="BE518" s="188" t="s">
        <v>3395</v>
      </c>
      <c r="BF518" s="188" t="s">
        <v>4245</v>
      </c>
      <c r="BG518" s="127">
        <v>42878</v>
      </c>
      <c r="BH518" s="188" t="s">
        <v>34</v>
      </c>
      <c r="BI518" s="188" t="s">
        <v>598</v>
      </c>
      <c r="BJ518" s="189">
        <v>1500</v>
      </c>
      <c r="BK518" s="188" t="s">
        <v>493</v>
      </c>
      <c r="BL518" s="188" t="s">
        <v>598</v>
      </c>
      <c r="BM518" s="189">
        <v>0</v>
      </c>
      <c r="BN518" s="188" t="s">
        <v>598</v>
      </c>
      <c r="BO518" s="127">
        <v>42878</v>
      </c>
      <c r="BP518" s="188" t="s">
        <v>864</v>
      </c>
      <c r="BQ518" s="188" t="s">
        <v>84</v>
      </c>
      <c r="BR518" s="188" t="s">
        <v>598</v>
      </c>
      <c r="BS518" s="188" t="s">
        <v>598</v>
      </c>
      <c r="BT518" s="188" t="s">
        <v>79</v>
      </c>
      <c r="BU518" s="188" t="s">
        <v>598</v>
      </c>
      <c r="BV518" s="188" t="s">
        <v>598</v>
      </c>
    </row>
    <row r="519" spans="5:74">
      <c r="E519" s="21"/>
      <c r="Q519" s="191"/>
      <c r="R519" s="191"/>
      <c r="S519" s="191"/>
      <c r="T519" s="127"/>
      <c r="U519" s="127"/>
      <c r="V519" s="191"/>
      <c r="W519" s="190"/>
      <c r="X519" s="191"/>
      <c r="Y519" s="191"/>
      <c r="Z519" s="191"/>
      <c r="AA519" s="191"/>
      <c r="AB519" s="191"/>
      <c r="AC519" s="191"/>
      <c r="AD519" s="191"/>
      <c r="AE519" s="191"/>
      <c r="AF519" s="191"/>
      <c r="AG519" s="191"/>
      <c r="AH519" s="191"/>
      <c r="AI519" s="127"/>
      <c r="AJ519" s="191"/>
      <c r="AK519" s="191"/>
      <c r="AL519" s="190"/>
      <c r="AM519" s="191"/>
      <c r="BE519" s="188" t="s">
        <v>3397</v>
      </c>
      <c r="BF519" s="188" t="s">
        <v>4246</v>
      </c>
      <c r="BG519" s="127">
        <v>42885</v>
      </c>
      <c r="BH519" s="188" t="s">
        <v>10</v>
      </c>
      <c r="BI519" s="188" t="s">
        <v>598</v>
      </c>
      <c r="BJ519" s="189">
        <v>4000</v>
      </c>
      <c r="BK519" s="188" t="s">
        <v>493</v>
      </c>
      <c r="BL519" s="188" t="s">
        <v>598</v>
      </c>
      <c r="BM519" s="189">
        <v>0</v>
      </c>
      <c r="BN519" s="188" t="s">
        <v>598</v>
      </c>
      <c r="BO519" s="127">
        <v>42878</v>
      </c>
      <c r="BP519" s="188" t="s">
        <v>134</v>
      </c>
      <c r="BQ519" s="188" t="s">
        <v>84</v>
      </c>
      <c r="BR519" s="188" t="s">
        <v>191</v>
      </c>
      <c r="BS519" s="188" t="s">
        <v>41</v>
      </c>
      <c r="BT519" s="188" t="s">
        <v>79</v>
      </c>
      <c r="BU519" s="188" t="s">
        <v>112</v>
      </c>
      <c r="BV519" s="188" t="s">
        <v>598</v>
      </c>
    </row>
    <row r="520" spans="5:74">
      <c r="E520" s="21"/>
      <c r="Q520" s="191"/>
      <c r="R520" s="191"/>
      <c r="S520" s="191"/>
      <c r="T520" s="127"/>
      <c r="U520" s="127"/>
      <c r="V520" s="191"/>
      <c r="W520" s="190"/>
      <c r="X520" s="191"/>
      <c r="Y520" s="191"/>
      <c r="Z520" s="191"/>
      <c r="AA520" s="191"/>
      <c r="AB520" s="191"/>
      <c r="AC520" s="191"/>
      <c r="AD520" s="191"/>
      <c r="AE520" s="191"/>
      <c r="AF520" s="191"/>
      <c r="AG520" s="191"/>
      <c r="AH520" s="191"/>
      <c r="AI520" s="127"/>
      <c r="AJ520" s="191"/>
      <c r="AK520" s="191"/>
      <c r="AL520" s="190"/>
      <c r="AM520" s="191"/>
      <c r="BE520" s="188" t="s">
        <v>3398</v>
      </c>
      <c r="BF520" s="188" t="s">
        <v>4247</v>
      </c>
      <c r="BG520" s="127">
        <v>42880</v>
      </c>
      <c r="BH520" s="188" t="s">
        <v>34</v>
      </c>
      <c r="BI520" s="188" t="s">
        <v>598</v>
      </c>
      <c r="BJ520" s="189">
        <v>6000</v>
      </c>
      <c r="BK520" s="188" t="s">
        <v>493</v>
      </c>
      <c r="BL520" s="188" t="s">
        <v>598</v>
      </c>
      <c r="BM520" s="189">
        <v>0</v>
      </c>
      <c r="BN520" s="188" t="s">
        <v>598</v>
      </c>
      <c r="BO520" s="127">
        <v>42878</v>
      </c>
      <c r="BP520" s="188" t="s">
        <v>134</v>
      </c>
      <c r="BQ520" s="188" t="s">
        <v>84</v>
      </c>
      <c r="BR520" s="188" t="s">
        <v>250</v>
      </c>
      <c r="BS520" s="188" t="s">
        <v>598</v>
      </c>
      <c r="BT520" s="188" t="s">
        <v>79</v>
      </c>
      <c r="BU520" s="188" t="s">
        <v>79</v>
      </c>
      <c r="BV520" s="188" t="s">
        <v>598</v>
      </c>
    </row>
    <row r="521" spans="5:74">
      <c r="E521" s="21"/>
      <c r="Q521" s="191"/>
      <c r="R521" s="191"/>
      <c r="S521" s="191"/>
      <c r="T521" s="127"/>
      <c r="U521" s="127"/>
      <c r="V521" s="191"/>
      <c r="W521" s="190"/>
      <c r="X521" s="191"/>
      <c r="Y521" s="191"/>
      <c r="Z521" s="191"/>
      <c r="AA521" s="191"/>
      <c r="AB521" s="191"/>
      <c r="AC521" s="191"/>
      <c r="AD521" s="191"/>
      <c r="AE521" s="191"/>
      <c r="AF521" s="191"/>
      <c r="AG521" s="191"/>
      <c r="AH521" s="191"/>
      <c r="AI521" s="127"/>
      <c r="AJ521" s="191"/>
      <c r="AK521" s="191"/>
      <c r="AL521" s="190"/>
      <c r="AM521" s="191"/>
      <c r="BE521" s="188" t="s">
        <v>3400</v>
      </c>
      <c r="BF521" s="188" t="s">
        <v>4248</v>
      </c>
      <c r="BG521" s="127">
        <v>42878</v>
      </c>
      <c r="BH521" s="188" t="s">
        <v>3077</v>
      </c>
      <c r="BI521" s="188" t="s">
        <v>598</v>
      </c>
      <c r="BJ521" s="189">
        <v>5000</v>
      </c>
      <c r="BK521" s="188" t="s">
        <v>493</v>
      </c>
      <c r="BL521" s="188" t="s">
        <v>598</v>
      </c>
      <c r="BM521" s="189">
        <v>0</v>
      </c>
      <c r="BN521" s="188" t="s">
        <v>598</v>
      </c>
      <c r="BO521" s="127">
        <v>42878</v>
      </c>
      <c r="BP521" s="188" t="s">
        <v>864</v>
      </c>
      <c r="BQ521" s="188" t="s">
        <v>84</v>
      </c>
      <c r="BR521" s="188" t="s">
        <v>598</v>
      </c>
      <c r="BS521" s="188" t="s">
        <v>598</v>
      </c>
      <c r="BT521" s="188" t="s">
        <v>79</v>
      </c>
      <c r="BU521" s="188" t="s">
        <v>598</v>
      </c>
      <c r="BV521" s="188" t="s">
        <v>598</v>
      </c>
    </row>
    <row r="522" spans="5:74">
      <c r="E522" s="21"/>
      <c r="Q522" s="191"/>
      <c r="R522" s="191"/>
      <c r="S522" s="191"/>
      <c r="T522" s="127"/>
      <c r="U522" s="127"/>
      <c r="V522" s="191"/>
      <c r="W522" s="190"/>
      <c r="X522" s="191"/>
      <c r="Y522" s="191"/>
      <c r="Z522" s="191"/>
      <c r="AA522" s="191"/>
      <c r="AB522" s="191"/>
      <c r="AC522" s="191"/>
      <c r="AD522" s="191"/>
      <c r="AE522" s="191"/>
      <c r="AF522" s="191"/>
      <c r="AG522" s="191"/>
      <c r="AH522" s="191"/>
      <c r="AI522" s="127"/>
      <c r="AJ522" s="191"/>
      <c r="AK522" s="191"/>
      <c r="AL522" s="190"/>
      <c r="AM522" s="191"/>
      <c r="BE522" s="188" t="s">
        <v>3402</v>
      </c>
      <c r="BF522" s="188" t="s">
        <v>4249</v>
      </c>
      <c r="BG522" s="127">
        <v>42885</v>
      </c>
      <c r="BH522" s="188" t="s">
        <v>10</v>
      </c>
      <c r="BI522" s="188" t="s">
        <v>598</v>
      </c>
      <c r="BJ522" s="189">
        <v>10000</v>
      </c>
      <c r="BK522" s="188" t="s">
        <v>493</v>
      </c>
      <c r="BL522" s="188" t="s">
        <v>598</v>
      </c>
      <c r="BM522" s="189">
        <v>0</v>
      </c>
      <c r="BN522" s="188" t="s">
        <v>598</v>
      </c>
      <c r="BO522" s="127">
        <v>42878</v>
      </c>
      <c r="BP522" s="188" t="s">
        <v>134</v>
      </c>
      <c r="BQ522" s="188" t="s">
        <v>84</v>
      </c>
      <c r="BR522" s="188" t="s">
        <v>252</v>
      </c>
      <c r="BS522" s="188" t="s">
        <v>598</v>
      </c>
      <c r="BT522" s="188" t="s">
        <v>79</v>
      </c>
      <c r="BU522" s="188" t="s">
        <v>112</v>
      </c>
      <c r="BV522" s="188" t="s">
        <v>598</v>
      </c>
    </row>
    <row r="523" spans="5:74">
      <c r="E523" s="21"/>
      <c r="Q523" s="191"/>
      <c r="R523" s="191"/>
      <c r="S523" s="191"/>
      <c r="T523" s="127"/>
      <c r="U523" s="127"/>
      <c r="V523" s="191"/>
      <c r="W523" s="190"/>
      <c r="X523" s="191"/>
      <c r="Y523" s="191"/>
      <c r="Z523" s="191"/>
      <c r="AA523" s="191"/>
      <c r="AB523" s="191"/>
      <c r="AC523" s="191"/>
      <c r="AD523" s="191"/>
      <c r="AE523" s="191"/>
      <c r="AF523" s="191"/>
      <c r="AG523" s="191"/>
      <c r="AH523" s="191"/>
      <c r="AI523" s="127"/>
      <c r="AJ523" s="191"/>
      <c r="AK523" s="191"/>
      <c r="AL523" s="190"/>
      <c r="AM523" s="191"/>
      <c r="BE523" s="188" t="s">
        <v>3404</v>
      </c>
      <c r="BF523" s="188" t="s">
        <v>4250</v>
      </c>
      <c r="BG523" s="127">
        <v>42879</v>
      </c>
      <c r="BH523" s="188" t="s">
        <v>34</v>
      </c>
      <c r="BI523" s="188" t="s">
        <v>598</v>
      </c>
      <c r="BJ523" s="189">
        <v>3500</v>
      </c>
      <c r="BK523" s="188" t="s">
        <v>493</v>
      </c>
      <c r="BL523" s="188" t="s">
        <v>598</v>
      </c>
      <c r="BM523" s="189">
        <v>0</v>
      </c>
      <c r="BN523" s="188" t="s">
        <v>598</v>
      </c>
      <c r="BO523" s="127">
        <v>42878</v>
      </c>
      <c r="BP523" s="188" t="s">
        <v>132</v>
      </c>
      <c r="BQ523" s="188" t="s">
        <v>84</v>
      </c>
      <c r="BR523" s="188" t="s">
        <v>299</v>
      </c>
      <c r="BS523" s="188" t="s">
        <v>598</v>
      </c>
      <c r="BT523" s="188" t="s">
        <v>79</v>
      </c>
      <c r="BU523" s="188" t="s">
        <v>79</v>
      </c>
      <c r="BV523" s="188" t="s">
        <v>598</v>
      </c>
    </row>
    <row r="524" spans="5:74">
      <c r="E524" s="21"/>
      <c r="Q524" s="191"/>
      <c r="R524" s="191"/>
      <c r="S524" s="191"/>
      <c r="T524" s="127"/>
      <c r="U524" s="127"/>
      <c r="V524" s="191"/>
      <c r="W524" s="190"/>
      <c r="X524" s="191"/>
      <c r="Y524" s="191"/>
      <c r="Z524" s="191"/>
      <c r="AA524" s="191"/>
      <c r="AB524" s="191"/>
      <c r="AC524" s="191"/>
      <c r="AD524" s="191"/>
      <c r="AE524" s="191"/>
      <c r="AF524" s="191"/>
      <c r="AG524" s="191"/>
      <c r="AH524" s="191"/>
      <c r="AI524" s="127"/>
      <c r="AJ524" s="191"/>
      <c r="AK524" s="191"/>
      <c r="AL524" s="190"/>
      <c r="AM524" s="191"/>
      <c r="BE524" s="188" t="s">
        <v>3406</v>
      </c>
      <c r="BF524" s="188" t="s">
        <v>4251</v>
      </c>
      <c r="BG524" s="127">
        <v>42879</v>
      </c>
      <c r="BH524" s="188" t="s">
        <v>494</v>
      </c>
      <c r="BI524" s="188" t="s">
        <v>598</v>
      </c>
      <c r="BJ524" s="189">
        <v>750</v>
      </c>
      <c r="BK524" s="188" t="s">
        <v>493</v>
      </c>
      <c r="BL524" s="188" t="s">
        <v>598</v>
      </c>
      <c r="BM524" s="189">
        <v>0</v>
      </c>
      <c r="BN524" s="188" t="s">
        <v>598</v>
      </c>
      <c r="BO524" s="127">
        <v>42879</v>
      </c>
      <c r="BP524" s="188" t="s">
        <v>864</v>
      </c>
      <c r="BQ524" s="188" t="s">
        <v>84</v>
      </c>
      <c r="BR524" s="188" t="s">
        <v>598</v>
      </c>
      <c r="BS524" s="188" t="s">
        <v>598</v>
      </c>
      <c r="BT524" s="188" t="s">
        <v>79</v>
      </c>
      <c r="BU524" s="188" t="s">
        <v>598</v>
      </c>
      <c r="BV524" s="188" t="s">
        <v>598</v>
      </c>
    </row>
    <row r="525" spans="5:74">
      <c r="E525" s="21"/>
      <c r="Q525" s="191"/>
      <c r="R525" s="191"/>
      <c r="S525" s="191"/>
      <c r="T525" s="127"/>
      <c r="U525" s="127"/>
      <c r="V525" s="191"/>
      <c r="W525" s="190"/>
      <c r="X525" s="191"/>
      <c r="Y525" s="191"/>
      <c r="Z525" s="191"/>
      <c r="AA525" s="191"/>
      <c r="AB525" s="191"/>
      <c r="AC525" s="191"/>
      <c r="AD525" s="191"/>
      <c r="AE525" s="191"/>
      <c r="AF525" s="191"/>
      <c r="AG525" s="191"/>
      <c r="AH525" s="191"/>
      <c r="AI525" s="127"/>
      <c r="AJ525" s="191"/>
      <c r="AK525" s="191"/>
      <c r="AL525" s="190"/>
      <c r="AM525" s="191"/>
      <c r="BE525" s="188" t="s">
        <v>3408</v>
      </c>
      <c r="BF525" s="188" t="s">
        <v>4252</v>
      </c>
      <c r="BG525" s="127">
        <v>42880</v>
      </c>
      <c r="BH525" s="188" t="s">
        <v>494</v>
      </c>
      <c r="BI525" s="188" t="s">
        <v>598</v>
      </c>
      <c r="BJ525" s="189">
        <v>1000</v>
      </c>
      <c r="BK525" s="188" t="s">
        <v>493</v>
      </c>
      <c r="BL525" s="188" t="s">
        <v>598</v>
      </c>
      <c r="BM525" s="189">
        <v>0</v>
      </c>
      <c r="BN525" s="188" t="s">
        <v>598</v>
      </c>
      <c r="BO525" s="127">
        <v>42880</v>
      </c>
      <c r="BP525" s="188" t="s">
        <v>126</v>
      </c>
      <c r="BQ525" s="188" t="s">
        <v>84</v>
      </c>
      <c r="BR525" s="188" t="s">
        <v>598</v>
      </c>
      <c r="BS525" s="188" t="s">
        <v>598</v>
      </c>
      <c r="BT525" s="188" t="s">
        <v>79</v>
      </c>
      <c r="BU525" s="188" t="s">
        <v>598</v>
      </c>
      <c r="BV525" s="188" t="s">
        <v>598</v>
      </c>
    </row>
    <row r="526" spans="5:74">
      <c r="E526" s="21"/>
      <c r="Q526" s="191"/>
      <c r="R526" s="191"/>
      <c r="S526" s="191"/>
      <c r="T526" s="127"/>
      <c r="U526" s="127"/>
      <c r="V526" s="191"/>
      <c r="W526" s="190"/>
      <c r="X526" s="191"/>
      <c r="Y526" s="191"/>
      <c r="Z526" s="191"/>
      <c r="AA526" s="191"/>
      <c r="AB526" s="191"/>
      <c r="AC526" s="191"/>
      <c r="AD526" s="191"/>
      <c r="AE526" s="191"/>
      <c r="AF526" s="191"/>
      <c r="AG526" s="191"/>
      <c r="AH526" s="191"/>
      <c r="AI526" s="127"/>
      <c r="AJ526" s="191"/>
      <c r="AK526" s="191"/>
      <c r="AL526" s="190"/>
      <c r="AM526" s="191"/>
      <c r="BE526" s="188" t="s">
        <v>3410</v>
      </c>
      <c r="BF526" s="188" t="s">
        <v>4253</v>
      </c>
      <c r="BG526" s="127">
        <v>42880</v>
      </c>
      <c r="BH526" s="188" t="s">
        <v>34</v>
      </c>
      <c r="BI526" s="188" t="s">
        <v>598</v>
      </c>
      <c r="BJ526" s="189">
        <v>3000</v>
      </c>
      <c r="BK526" s="188" t="s">
        <v>493</v>
      </c>
      <c r="BL526" s="188" t="s">
        <v>598</v>
      </c>
      <c r="BM526" s="189">
        <v>0</v>
      </c>
      <c r="BN526" s="188" t="s">
        <v>598</v>
      </c>
      <c r="BO526" s="127">
        <v>42880</v>
      </c>
      <c r="BP526" s="188" t="s">
        <v>598</v>
      </c>
      <c r="BQ526" s="188" t="s">
        <v>84</v>
      </c>
      <c r="BR526" s="188" t="s">
        <v>457</v>
      </c>
      <c r="BS526" s="188" t="s">
        <v>598</v>
      </c>
      <c r="BT526" s="188" t="s">
        <v>79</v>
      </c>
      <c r="BU526" s="188" t="s">
        <v>79</v>
      </c>
      <c r="BV526" s="188" t="s">
        <v>598</v>
      </c>
    </row>
    <row r="527" spans="5:74">
      <c r="E527" s="21"/>
      <c r="Q527" s="191"/>
      <c r="R527" s="191"/>
      <c r="S527" s="191"/>
      <c r="T527" s="127"/>
      <c r="U527" s="127"/>
      <c r="V527" s="191"/>
      <c r="W527" s="190"/>
      <c r="X527" s="191"/>
      <c r="Y527" s="191"/>
      <c r="Z527" s="191"/>
      <c r="AA527" s="191"/>
      <c r="AB527" s="191"/>
      <c r="AC527" s="191"/>
      <c r="AD527" s="191"/>
      <c r="AE527" s="191"/>
      <c r="AF527" s="191"/>
      <c r="AG527" s="191"/>
      <c r="AH527" s="191"/>
      <c r="AI527" s="127"/>
      <c r="AJ527" s="191"/>
      <c r="AK527" s="191"/>
      <c r="AL527" s="190"/>
      <c r="AM527" s="191"/>
      <c r="BE527" s="188" t="s">
        <v>3412</v>
      </c>
      <c r="BF527" s="188" t="s">
        <v>4254</v>
      </c>
      <c r="BG527" s="127">
        <v>42881</v>
      </c>
      <c r="BH527" s="188" t="s">
        <v>34</v>
      </c>
      <c r="BI527" s="188" t="s">
        <v>598</v>
      </c>
      <c r="BJ527" s="189">
        <v>3000</v>
      </c>
      <c r="BK527" s="188" t="s">
        <v>493</v>
      </c>
      <c r="BL527" s="188" t="s">
        <v>598</v>
      </c>
      <c r="BM527" s="189">
        <v>0</v>
      </c>
      <c r="BN527" s="188" t="s">
        <v>598</v>
      </c>
      <c r="BO527" s="127">
        <v>42880</v>
      </c>
      <c r="BP527" s="188" t="s">
        <v>598</v>
      </c>
      <c r="BQ527" s="188" t="s">
        <v>84</v>
      </c>
      <c r="BR527" s="188" t="s">
        <v>192</v>
      </c>
      <c r="BS527" s="188" t="s">
        <v>598</v>
      </c>
      <c r="BT527" s="188" t="s">
        <v>79</v>
      </c>
      <c r="BU527" s="188" t="s">
        <v>79</v>
      </c>
      <c r="BV527" s="188" t="s">
        <v>598</v>
      </c>
    </row>
    <row r="528" spans="5:74">
      <c r="E528" s="21"/>
      <c r="Q528" s="191"/>
      <c r="R528" s="191"/>
      <c r="S528" s="191"/>
      <c r="T528" s="127"/>
      <c r="U528" s="127"/>
      <c r="V528" s="191"/>
      <c r="W528" s="190"/>
      <c r="X528" s="191"/>
      <c r="Y528" s="191"/>
      <c r="Z528" s="191"/>
      <c r="AA528" s="191"/>
      <c r="AB528" s="191"/>
      <c r="AC528" s="191"/>
      <c r="AD528" s="191"/>
      <c r="AE528" s="191"/>
      <c r="AF528" s="191"/>
      <c r="AG528" s="191"/>
      <c r="AH528" s="191"/>
      <c r="AI528" s="127"/>
      <c r="AJ528" s="191"/>
      <c r="AK528" s="191"/>
      <c r="AL528" s="190"/>
      <c r="AM528" s="191"/>
      <c r="BE528" s="188" t="s">
        <v>3414</v>
      </c>
      <c r="BF528" s="188" t="s">
        <v>4255</v>
      </c>
      <c r="BG528" s="127">
        <v>42880</v>
      </c>
      <c r="BH528" s="188" t="s">
        <v>34</v>
      </c>
      <c r="BI528" s="188" t="s">
        <v>598</v>
      </c>
      <c r="BJ528" s="189">
        <v>1500</v>
      </c>
      <c r="BK528" s="188" t="s">
        <v>493</v>
      </c>
      <c r="BL528" s="188" t="s">
        <v>598</v>
      </c>
      <c r="BM528" s="189">
        <v>0</v>
      </c>
      <c r="BN528" s="188" t="s">
        <v>598</v>
      </c>
      <c r="BO528" s="127">
        <v>42880</v>
      </c>
      <c r="BP528" s="188" t="s">
        <v>107</v>
      </c>
      <c r="BQ528" s="188" t="s">
        <v>84</v>
      </c>
      <c r="BR528" s="188" t="s">
        <v>458</v>
      </c>
      <c r="BS528" s="188" t="s">
        <v>598</v>
      </c>
      <c r="BT528" s="188" t="s">
        <v>79</v>
      </c>
      <c r="BU528" s="188" t="s">
        <v>112</v>
      </c>
      <c r="BV528" s="188" t="s">
        <v>598</v>
      </c>
    </row>
    <row r="529" spans="5:74">
      <c r="E529" s="21"/>
      <c r="Q529" s="191"/>
      <c r="R529" s="191"/>
      <c r="S529" s="191"/>
      <c r="T529" s="127"/>
      <c r="U529" s="127"/>
      <c r="V529" s="191"/>
      <c r="W529" s="190"/>
      <c r="X529" s="191"/>
      <c r="Y529" s="191"/>
      <c r="Z529" s="191"/>
      <c r="AA529" s="191"/>
      <c r="AB529" s="191"/>
      <c r="AC529" s="191"/>
      <c r="AD529" s="191"/>
      <c r="AE529" s="191"/>
      <c r="AF529" s="191"/>
      <c r="AG529" s="191"/>
      <c r="AH529" s="191"/>
      <c r="AI529" s="127"/>
      <c r="AJ529" s="191"/>
      <c r="AK529" s="191"/>
      <c r="AL529" s="190"/>
      <c r="AM529" s="191"/>
      <c r="BE529" s="188" t="s">
        <v>3416</v>
      </c>
      <c r="BF529" s="188" t="s">
        <v>4256</v>
      </c>
      <c r="BG529" s="127">
        <v>42881</v>
      </c>
      <c r="BH529" s="188" t="s">
        <v>34</v>
      </c>
      <c r="BI529" s="188" t="s">
        <v>598</v>
      </c>
      <c r="BJ529" s="189">
        <v>5000</v>
      </c>
      <c r="BK529" s="188" t="s">
        <v>493</v>
      </c>
      <c r="BL529" s="188" t="s">
        <v>598</v>
      </c>
      <c r="BM529" s="189">
        <v>0</v>
      </c>
      <c r="BN529" s="188" t="s">
        <v>598</v>
      </c>
      <c r="BO529" s="127">
        <v>42880</v>
      </c>
      <c r="BP529" s="188" t="s">
        <v>134</v>
      </c>
      <c r="BQ529" s="188" t="s">
        <v>84</v>
      </c>
      <c r="BR529" s="188" t="s">
        <v>254</v>
      </c>
      <c r="BS529" s="188" t="s">
        <v>598</v>
      </c>
      <c r="BT529" s="188" t="s">
        <v>79</v>
      </c>
      <c r="BU529" s="188" t="s">
        <v>79</v>
      </c>
      <c r="BV529" s="188" t="s">
        <v>598</v>
      </c>
    </row>
    <row r="530" spans="5:74">
      <c r="E530" s="21"/>
      <c r="Q530" s="191"/>
      <c r="R530" s="191"/>
      <c r="S530" s="191"/>
      <c r="T530" s="127"/>
      <c r="U530" s="127"/>
      <c r="V530" s="191"/>
      <c r="W530" s="190"/>
      <c r="X530" s="191"/>
      <c r="Y530" s="191"/>
      <c r="Z530" s="191"/>
      <c r="AA530" s="191"/>
      <c r="AB530" s="191"/>
      <c r="AC530" s="191"/>
      <c r="AD530" s="191"/>
      <c r="AE530" s="191"/>
      <c r="AF530" s="191"/>
      <c r="AG530" s="191"/>
      <c r="AH530" s="191"/>
      <c r="AI530" s="127"/>
      <c r="AJ530" s="191"/>
      <c r="AK530" s="191"/>
      <c r="AL530" s="190"/>
      <c r="AM530" s="191"/>
      <c r="BE530" s="188" t="s">
        <v>3418</v>
      </c>
      <c r="BF530" s="188" t="s">
        <v>4257</v>
      </c>
      <c r="BG530" s="127">
        <v>42885</v>
      </c>
      <c r="BH530" s="188" t="s">
        <v>10</v>
      </c>
      <c r="BI530" s="188" t="s">
        <v>598</v>
      </c>
      <c r="BJ530" s="189">
        <v>3000</v>
      </c>
      <c r="BK530" s="188" t="s">
        <v>493</v>
      </c>
      <c r="BL530" s="188" t="s">
        <v>598</v>
      </c>
      <c r="BM530" s="189">
        <v>0</v>
      </c>
      <c r="BN530" s="188" t="s">
        <v>598</v>
      </c>
      <c r="BO530" s="127">
        <v>42881</v>
      </c>
      <c r="BP530" s="188" t="s">
        <v>134</v>
      </c>
      <c r="BQ530" s="188" t="s">
        <v>84</v>
      </c>
      <c r="BR530" s="188" t="s">
        <v>244</v>
      </c>
      <c r="BS530" s="188" t="s">
        <v>598</v>
      </c>
      <c r="BT530" s="188" t="s">
        <v>79</v>
      </c>
      <c r="BU530" s="188" t="s">
        <v>79</v>
      </c>
      <c r="BV530" s="188" t="s">
        <v>598</v>
      </c>
    </row>
    <row r="531" spans="5:74">
      <c r="E531" s="21"/>
      <c r="Q531" s="191"/>
      <c r="R531" s="191"/>
      <c r="S531" s="191"/>
      <c r="T531" s="127"/>
      <c r="U531" s="127"/>
      <c r="V531" s="191"/>
      <c r="W531" s="190"/>
      <c r="X531" s="191"/>
      <c r="Y531" s="191"/>
      <c r="Z531" s="191"/>
      <c r="AA531" s="191"/>
      <c r="AB531" s="191"/>
      <c r="AC531" s="191"/>
      <c r="AD531" s="191"/>
      <c r="AE531" s="191"/>
      <c r="AF531" s="191"/>
      <c r="AG531" s="191"/>
      <c r="AH531" s="191"/>
      <c r="AI531" s="127"/>
      <c r="AJ531" s="191"/>
      <c r="AK531" s="191"/>
      <c r="AL531" s="190"/>
      <c r="AM531" s="191"/>
      <c r="BE531" s="188" t="s">
        <v>3420</v>
      </c>
      <c r="BF531" s="188" t="s">
        <v>4258</v>
      </c>
      <c r="BG531" s="127">
        <v>42881</v>
      </c>
      <c r="BH531" s="188" t="s">
        <v>34</v>
      </c>
      <c r="BI531" s="188" t="s">
        <v>598</v>
      </c>
      <c r="BJ531" s="189">
        <v>1000</v>
      </c>
      <c r="BK531" s="188" t="s">
        <v>549</v>
      </c>
      <c r="BL531" s="188" t="s">
        <v>598</v>
      </c>
      <c r="BM531" s="189">
        <v>0</v>
      </c>
      <c r="BN531" s="188" t="s">
        <v>493</v>
      </c>
      <c r="BO531" s="127">
        <v>42881</v>
      </c>
      <c r="BP531" s="188" t="s">
        <v>120</v>
      </c>
      <c r="BQ531" s="188" t="s">
        <v>84</v>
      </c>
      <c r="BR531" s="188" t="s">
        <v>373</v>
      </c>
      <c r="BS531" s="188" t="s">
        <v>598</v>
      </c>
      <c r="BT531" s="188" t="s">
        <v>79</v>
      </c>
      <c r="BU531" s="188" t="s">
        <v>112</v>
      </c>
      <c r="BV531" s="188" t="s">
        <v>598</v>
      </c>
    </row>
    <row r="532" spans="5:74">
      <c r="E532" s="21"/>
      <c r="Q532" s="191"/>
      <c r="R532" s="191"/>
      <c r="S532" s="191"/>
      <c r="T532" s="127"/>
      <c r="U532" s="127"/>
      <c r="V532" s="191"/>
      <c r="W532" s="190"/>
      <c r="X532" s="191"/>
      <c r="Y532" s="191"/>
      <c r="Z532" s="191"/>
      <c r="AA532" s="191"/>
      <c r="AB532" s="191"/>
      <c r="AC532" s="191"/>
      <c r="AD532" s="191"/>
      <c r="AE532" s="191"/>
      <c r="AF532" s="191"/>
      <c r="AG532" s="191"/>
      <c r="AH532" s="191"/>
      <c r="AI532" s="127"/>
      <c r="AJ532" s="191"/>
      <c r="AK532" s="191"/>
      <c r="AL532" s="190"/>
      <c r="AM532" s="191"/>
      <c r="BE532" s="188" t="s">
        <v>3421</v>
      </c>
      <c r="BF532" s="188" t="s">
        <v>4259</v>
      </c>
      <c r="BG532" s="127">
        <v>42885</v>
      </c>
      <c r="BH532" s="188" t="s">
        <v>3077</v>
      </c>
      <c r="BI532" s="188" t="s">
        <v>598</v>
      </c>
      <c r="BJ532" s="189">
        <v>1500</v>
      </c>
      <c r="BK532" s="188" t="s">
        <v>493</v>
      </c>
      <c r="BL532" s="188" t="s">
        <v>598</v>
      </c>
      <c r="BM532" s="189">
        <v>0</v>
      </c>
      <c r="BN532" s="188" t="s">
        <v>598</v>
      </c>
      <c r="BO532" s="127">
        <v>42885</v>
      </c>
      <c r="BP532" s="188" t="s">
        <v>598</v>
      </c>
      <c r="BQ532" s="188" t="s">
        <v>84</v>
      </c>
      <c r="BR532" s="188" t="s">
        <v>598</v>
      </c>
      <c r="BS532" s="188" t="s">
        <v>598</v>
      </c>
      <c r="BT532" s="188" t="s">
        <v>79</v>
      </c>
      <c r="BU532" s="188" t="s">
        <v>79</v>
      </c>
      <c r="BV532" s="188" t="s">
        <v>598</v>
      </c>
    </row>
    <row r="533" spans="5:74">
      <c r="E533" s="21"/>
      <c r="Q533" s="191"/>
      <c r="R533" s="191"/>
      <c r="S533" s="191"/>
      <c r="T533" s="127"/>
      <c r="U533" s="127"/>
      <c r="V533" s="191"/>
      <c r="W533" s="190"/>
      <c r="X533" s="191"/>
      <c r="Y533" s="191"/>
      <c r="Z533" s="191"/>
      <c r="AA533" s="191"/>
      <c r="AB533" s="191"/>
      <c r="AC533" s="191"/>
      <c r="AD533" s="191"/>
      <c r="AE533" s="191"/>
      <c r="AF533" s="191"/>
      <c r="AG533" s="191"/>
      <c r="AH533" s="191"/>
      <c r="AI533" s="127"/>
      <c r="AJ533" s="191"/>
      <c r="AK533" s="191"/>
      <c r="AL533" s="190"/>
      <c r="AM533" s="191"/>
      <c r="BE533" s="188" t="s">
        <v>3424</v>
      </c>
      <c r="BF533" s="188" t="s">
        <v>4260</v>
      </c>
      <c r="BG533" s="127">
        <v>42886</v>
      </c>
      <c r="BH533" s="188" t="s">
        <v>34</v>
      </c>
      <c r="BI533" s="188" t="s">
        <v>598</v>
      </c>
      <c r="BJ533" s="189">
        <v>4000</v>
      </c>
      <c r="BK533" s="188" t="s">
        <v>493</v>
      </c>
      <c r="BL533" s="188" t="s">
        <v>598</v>
      </c>
      <c r="BM533" s="189">
        <v>0</v>
      </c>
      <c r="BN533" s="188" t="s">
        <v>598</v>
      </c>
      <c r="BO533" s="127">
        <v>42693</v>
      </c>
      <c r="BP533" s="188" t="s">
        <v>134</v>
      </c>
      <c r="BQ533" s="188" t="s">
        <v>84</v>
      </c>
      <c r="BR533" s="188" t="s">
        <v>184</v>
      </c>
      <c r="BS533" s="188" t="s">
        <v>62</v>
      </c>
      <c r="BT533" s="188" t="s">
        <v>79</v>
      </c>
      <c r="BU533" s="188" t="s">
        <v>79</v>
      </c>
      <c r="BV533" s="188" t="s">
        <v>598</v>
      </c>
    </row>
    <row r="534" spans="5:74">
      <c r="E534" s="21"/>
      <c r="Q534" s="191"/>
      <c r="R534" s="191"/>
      <c r="S534" s="191"/>
      <c r="T534" s="127"/>
      <c r="U534" s="127"/>
      <c r="V534" s="191"/>
      <c r="W534" s="190"/>
      <c r="X534" s="191"/>
      <c r="Y534" s="191"/>
      <c r="Z534" s="191"/>
      <c r="AA534" s="191"/>
      <c r="AB534" s="191"/>
      <c r="AC534" s="191"/>
      <c r="AD534" s="191"/>
      <c r="AE534" s="191"/>
      <c r="AF534" s="191"/>
      <c r="AG534" s="191"/>
      <c r="AH534" s="191"/>
      <c r="AI534" s="127"/>
      <c r="AJ534" s="191"/>
      <c r="AK534" s="191"/>
      <c r="AL534" s="190"/>
      <c r="AM534" s="191"/>
      <c r="BE534" s="188" t="s">
        <v>3426</v>
      </c>
      <c r="BF534" s="188" t="s">
        <v>4261</v>
      </c>
      <c r="BG534" s="127">
        <v>42886</v>
      </c>
      <c r="BH534" s="188" t="s">
        <v>34</v>
      </c>
      <c r="BI534" s="188" t="s">
        <v>598</v>
      </c>
      <c r="BJ534" s="189">
        <v>4000</v>
      </c>
      <c r="BK534" s="188" t="s">
        <v>493</v>
      </c>
      <c r="BL534" s="188" t="s">
        <v>598</v>
      </c>
      <c r="BM534" s="189">
        <v>0</v>
      </c>
      <c r="BN534" s="188" t="s">
        <v>598</v>
      </c>
      <c r="BO534" s="127">
        <v>42696</v>
      </c>
      <c r="BP534" s="188" t="s">
        <v>134</v>
      </c>
      <c r="BQ534" s="188" t="s">
        <v>84</v>
      </c>
      <c r="BR534" s="188" t="s">
        <v>3428</v>
      </c>
      <c r="BS534" s="188" t="s">
        <v>62</v>
      </c>
      <c r="BT534" s="188" t="s">
        <v>79</v>
      </c>
      <c r="BU534" s="188" t="s">
        <v>79</v>
      </c>
      <c r="BV534" s="188" t="s">
        <v>598</v>
      </c>
    </row>
    <row r="535" spans="5:74">
      <c r="E535" s="21"/>
      <c r="Q535" s="191"/>
      <c r="R535" s="191"/>
      <c r="S535" s="191"/>
      <c r="T535" s="127"/>
      <c r="U535" s="127"/>
      <c r="V535" s="191"/>
      <c r="W535" s="190"/>
      <c r="X535" s="191"/>
      <c r="Y535" s="191"/>
      <c r="Z535" s="191"/>
      <c r="AA535" s="191"/>
      <c r="AB535" s="191"/>
      <c r="AC535" s="191"/>
      <c r="AD535" s="191"/>
      <c r="AE535" s="191"/>
      <c r="AF535" s="191"/>
      <c r="AG535" s="191"/>
      <c r="AH535" s="191"/>
      <c r="AI535" s="127"/>
      <c r="AJ535" s="191"/>
      <c r="AK535" s="191"/>
      <c r="AL535" s="190"/>
      <c r="AM535" s="191"/>
      <c r="BE535" s="188" t="s">
        <v>3429</v>
      </c>
      <c r="BF535" s="188" t="s">
        <v>4262</v>
      </c>
      <c r="BG535" s="127">
        <v>42886</v>
      </c>
      <c r="BH535" s="188" t="s">
        <v>34</v>
      </c>
      <c r="BI535" s="188" t="s">
        <v>598</v>
      </c>
      <c r="BJ535" s="189">
        <v>4000</v>
      </c>
      <c r="BK535" s="188" t="s">
        <v>493</v>
      </c>
      <c r="BL535" s="188" t="s">
        <v>598</v>
      </c>
      <c r="BM535" s="189">
        <v>0</v>
      </c>
      <c r="BN535" s="188" t="s">
        <v>598</v>
      </c>
      <c r="BO535" s="127">
        <v>42704</v>
      </c>
      <c r="BP535" s="188" t="s">
        <v>598</v>
      </c>
      <c r="BQ535" s="188" t="s">
        <v>84</v>
      </c>
      <c r="BR535" s="188" t="s">
        <v>598</v>
      </c>
      <c r="BS535" s="188" t="s">
        <v>62</v>
      </c>
      <c r="BT535" s="188" t="s">
        <v>79</v>
      </c>
      <c r="BU535" s="188" t="s">
        <v>79</v>
      </c>
      <c r="BV535" s="188" t="s">
        <v>598</v>
      </c>
    </row>
    <row r="536" spans="5:74">
      <c r="E536" s="21"/>
      <c r="Q536" s="191"/>
      <c r="R536" s="191"/>
      <c r="S536" s="191"/>
      <c r="T536" s="127"/>
      <c r="U536" s="127"/>
      <c r="V536" s="191"/>
      <c r="W536" s="190"/>
      <c r="X536" s="191"/>
      <c r="Y536" s="191"/>
      <c r="Z536" s="191"/>
      <c r="AA536" s="191"/>
      <c r="AB536" s="191"/>
      <c r="AC536" s="191"/>
      <c r="AD536" s="191"/>
      <c r="AE536" s="191"/>
      <c r="AF536" s="191"/>
      <c r="AG536" s="191"/>
      <c r="AH536" s="191"/>
      <c r="AI536" s="127"/>
      <c r="AJ536" s="191"/>
      <c r="AK536" s="191"/>
      <c r="AL536" s="190"/>
      <c r="AM536" s="191"/>
      <c r="BE536" s="188" t="s">
        <v>3431</v>
      </c>
      <c r="BF536" s="188" t="s">
        <v>4263</v>
      </c>
      <c r="BG536" s="127">
        <v>42886</v>
      </c>
      <c r="BH536" s="188" t="s">
        <v>34</v>
      </c>
      <c r="BI536" s="188" t="s">
        <v>598</v>
      </c>
      <c r="BJ536" s="189">
        <v>4000</v>
      </c>
      <c r="BK536" s="188" t="s">
        <v>493</v>
      </c>
      <c r="BL536" s="188" t="s">
        <v>598</v>
      </c>
      <c r="BM536" s="189">
        <v>0</v>
      </c>
      <c r="BN536" s="188" t="s">
        <v>598</v>
      </c>
      <c r="BO536" s="127">
        <v>42713</v>
      </c>
      <c r="BP536" s="188" t="s">
        <v>134</v>
      </c>
      <c r="BQ536" s="188" t="s">
        <v>84</v>
      </c>
      <c r="BR536" s="188" t="s">
        <v>195</v>
      </c>
      <c r="BS536" s="188" t="s">
        <v>62</v>
      </c>
      <c r="BT536" s="188" t="s">
        <v>79</v>
      </c>
      <c r="BU536" s="188" t="s">
        <v>112</v>
      </c>
      <c r="BV536" s="188" t="s">
        <v>598</v>
      </c>
    </row>
    <row r="537" spans="5:74">
      <c r="E537" s="21"/>
      <c r="Q537" s="191"/>
      <c r="R537" s="191"/>
      <c r="S537" s="191"/>
      <c r="T537" s="127"/>
      <c r="U537" s="127"/>
      <c r="V537" s="191"/>
      <c r="W537" s="190"/>
      <c r="X537" s="191"/>
      <c r="Y537" s="191"/>
      <c r="Z537" s="191"/>
      <c r="AA537" s="191"/>
      <c r="AB537" s="191"/>
      <c r="AC537" s="191"/>
      <c r="AD537" s="191"/>
      <c r="AE537" s="191"/>
      <c r="AF537" s="191"/>
      <c r="AG537" s="191"/>
      <c r="AH537" s="191"/>
      <c r="AI537" s="127"/>
      <c r="AJ537" s="191"/>
      <c r="AK537" s="191"/>
      <c r="AL537" s="190"/>
      <c r="AM537" s="191"/>
      <c r="BE537" s="188" t="s">
        <v>3433</v>
      </c>
      <c r="BF537" s="188" t="s">
        <v>4264</v>
      </c>
      <c r="BG537" s="127">
        <v>42886</v>
      </c>
      <c r="BH537" s="188" t="s">
        <v>34</v>
      </c>
      <c r="BI537" s="188" t="s">
        <v>598</v>
      </c>
      <c r="BJ537" s="189">
        <v>3000</v>
      </c>
      <c r="BK537" s="188" t="s">
        <v>493</v>
      </c>
      <c r="BL537" s="188" t="s">
        <v>598</v>
      </c>
      <c r="BM537" s="189">
        <v>0</v>
      </c>
      <c r="BN537" s="188" t="s">
        <v>598</v>
      </c>
      <c r="BO537" s="127">
        <v>42713</v>
      </c>
      <c r="BP537" s="188" t="s">
        <v>598</v>
      </c>
      <c r="BQ537" s="188" t="s">
        <v>84</v>
      </c>
      <c r="BR537" s="188" t="s">
        <v>263</v>
      </c>
      <c r="BS537" s="188" t="s">
        <v>62</v>
      </c>
      <c r="BT537" s="188" t="s">
        <v>79</v>
      </c>
      <c r="BU537" s="188" t="s">
        <v>79</v>
      </c>
      <c r="BV537" s="188" t="s">
        <v>598</v>
      </c>
    </row>
    <row r="538" spans="5:74">
      <c r="E538" s="21"/>
      <c r="Q538" s="191"/>
      <c r="R538" s="191"/>
      <c r="S538" s="191"/>
      <c r="T538" s="127"/>
      <c r="U538" s="127"/>
      <c r="V538" s="191"/>
      <c r="W538" s="190"/>
      <c r="X538" s="191"/>
      <c r="Y538" s="191"/>
      <c r="Z538" s="191"/>
      <c r="AA538" s="191"/>
      <c r="AB538" s="191"/>
      <c r="AC538" s="191"/>
      <c r="AD538" s="191"/>
      <c r="AE538" s="191"/>
      <c r="AF538" s="191"/>
      <c r="AG538" s="191"/>
      <c r="AH538" s="191"/>
      <c r="AI538" s="127"/>
      <c r="AJ538" s="191"/>
      <c r="AK538" s="191"/>
      <c r="AL538" s="190"/>
      <c r="AM538" s="191"/>
      <c r="BE538" s="188" t="s">
        <v>3435</v>
      </c>
      <c r="BF538" s="188" t="s">
        <v>4265</v>
      </c>
      <c r="BG538" s="127">
        <v>42886</v>
      </c>
      <c r="BH538" s="188" t="s">
        <v>34</v>
      </c>
      <c r="BI538" s="188" t="s">
        <v>598</v>
      </c>
      <c r="BJ538" s="189">
        <v>3000</v>
      </c>
      <c r="BK538" s="188" t="s">
        <v>493</v>
      </c>
      <c r="BL538" s="188" t="s">
        <v>598</v>
      </c>
      <c r="BM538" s="189">
        <v>0</v>
      </c>
      <c r="BN538" s="188" t="s">
        <v>598</v>
      </c>
      <c r="BO538" s="127">
        <v>42720</v>
      </c>
      <c r="BP538" s="188" t="s">
        <v>134</v>
      </c>
      <c r="BQ538" s="188" t="s">
        <v>84</v>
      </c>
      <c r="BR538" s="188" t="s">
        <v>184</v>
      </c>
      <c r="BS538" s="188" t="s">
        <v>62</v>
      </c>
      <c r="BT538" s="188" t="s">
        <v>79</v>
      </c>
      <c r="BU538" s="188" t="s">
        <v>112</v>
      </c>
      <c r="BV538" s="188" t="s">
        <v>598</v>
      </c>
    </row>
    <row r="539" spans="5:74">
      <c r="E539" s="21"/>
      <c r="Q539" s="191"/>
      <c r="R539" s="191"/>
      <c r="S539" s="191"/>
      <c r="T539" s="127"/>
      <c r="U539" s="127"/>
      <c r="V539" s="191"/>
      <c r="W539" s="190"/>
      <c r="X539" s="191"/>
      <c r="Y539" s="191"/>
      <c r="Z539" s="191"/>
      <c r="AA539" s="191"/>
      <c r="AB539" s="191"/>
      <c r="AC539" s="191"/>
      <c r="AD539" s="191"/>
      <c r="AE539" s="191"/>
      <c r="AF539" s="191"/>
      <c r="AG539" s="191"/>
      <c r="AH539" s="191"/>
      <c r="AI539" s="127"/>
      <c r="AJ539" s="191"/>
      <c r="AK539" s="191"/>
      <c r="AL539" s="190"/>
      <c r="AM539" s="191"/>
      <c r="BE539" s="188" t="s">
        <v>3437</v>
      </c>
      <c r="BF539" s="188" t="s">
        <v>4266</v>
      </c>
      <c r="BG539" s="127">
        <v>42886</v>
      </c>
      <c r="BH539" s="188" t="s">
        <v>34</v>
      </c>
      <c r="BI539" s="188" t="s">
        <v>598</v>
      </c>
      <c r="BJ539" s="189">
        <v>3000</v>
      </c>
      <c r="BK539" s="188" t="s">
        <v>493</v>
      </c>
      <c r="BL539" s="188" t="s">
        <v>598</v>
      </c>
      <c r="BM539" s="189">
        <v>0</v>
      </c>
      <c r="BN539" s="188" t="s">
        <v>598</v>
      </c>
      <c r="BO539" s="127">
        <v>42731</v>
      </c>
      <c r="BP539" s="188" t="s">
        <v>96</v>
      </c>
      <c r="BQ539" s="188" t="s">
        <v>84</v>
      </c>
      <c r="BR539" s="188" t="s">
        <v>249</v>
      </c>
      <c r="BS539" s="188" t="s">
        <v>62</v>
      </c>
      <c r="BT539" s="188" t="s">
        <v>79</v>
      </c>
      <c r="BU539" s="188" t="s">
        <v>112</v>
      </c>
      <c r="BV539" s="188" t="s">
        <v>598</v>
      </c>
    </row>
    <row r="540" spans="5:74">
      <c r="E540" s="21"/>
      <c r="Q540" s="191"/>
      <c r="R540" s="191"/>
      <c r="S540" s="191"/>
      <c r="T540" s="127"/>
      <c r="U540" s="127"/>
      <c r="V540" s="191"/>
      <c r="W540" s="190"/>
      <c r="X540" s="191"/>
      <c r="Y540" s="191"/>
      <c r="Z540" s="191"/>
      <c r="AA540" s="191"/>
      <c r="AB540" s="191"/>
      <c r="AC540" s="191"/>
      <c r="AD540" s="191"/>
      <c r="AE540" s="191"/>
      <c r="AF540" s="191"/>
      <c r="AG540" s="191"/>
      <c r="AH540" s="191"/>
      <c r="AI540" s="127"/>
      <c r="AJ540" s="191"/>
      <c r="AK540" s="191"/>
      <c r="AL540" s="190"/>
      <c r="AM540" s="191"/>
      <c r="BE540" s="188" t="s">
        <v>3439</v>
      </c>
      <c r="BF540" s="188" t="s">
        <v>4267</v>
      </c>
      <c r="BG540" s="127">
        <v>42886</v>
      </c>
      <c r="BH540" s="188" t="s">
        <v>34</v>
      </c>
      <c r="BI540" s="188" t="s">
        <v>598</v>
      </c>
      <c r="BJ540" s="189">
        <v>3000</v>
      </c>
      <c r="BK540" s="188" t="s">
        <v>493</v>
      </c>
      <c r="BL540" s="188" t="s">
        <v>598</v>
      </c>
      <c r="BM540" s="189">
        <v>0</v>
      </c>
      <c r="BN540" s="188" t="s">
        <v>598</v>
      </c>
      <c r="BO540" s="127">
        <v>42731</v>
      </c>
      <c r="BP540" s="188" t="s">
        <v>134</v>
      </c>
      <c r="BQ540" s="188" t="s">
        <v>84</v>
      </c>
      <c r="BR540" s="188" t="s">
        <v>459</v>
      </c>
      <c r="BS540" s="188" t="s">
        <v>62</v>
      </c>
      <c r="BT540" s="188" t="s">
        <v>79</v>
      </c>
      <c r="BU540" s="188" t="s">
        <v>79</v>
      </c>
      <c r="BV540" s="188" t="s">
        <v>598</v>
      </c>
    </row>
    <row r="541" spans="5:74">
      <c r="E541" s="21"/>
      <c r="Q541" s="191"/>
      <c r="R541" s="191"/>
      <c r="S541" s="191"/>
      <c r="T541" s="127"/>
      <c r="U541" s="127"/>
      <c r="V541" s="191"/>
      <c r="W541" s="190"/>
      <c r="X541" s="191"/>
      <c r="Y541" s="191"/>
      <c r="Z541" s="191"/>
      <c r="AA541" s="191"/>
      <c r="AB541" s="191"/>
      <c r="AC541" s="191"/>
      <c r="AD541" s="191"/>
      <c r="AE541" s="191"/>
      <c r="AF541" s="191"/>
      <c r="AG541" s="191"/>
      <c r="AH541" s="191"/>
      <c r="AI541" s="127"/>
      <c r="AJ541" s="191"/>
      <c r="AK541" s="191"/>
      <c r="AL541" s="190"/>
      <c r="AM541" s="191"/>
      <c r="BE541" s="188" t="s">
        <v>3441</v>
      </c>
      <c r="BF541" s="188" t="s">
        <v>4268</v>
      </c>
      <c r="BG541" s="127">
        <v>42886</v>
      </c>
      <c r="BH541" s="188" t="s">
        <v>34</v>
      </c>
      <c r="BI541" s="188" t="s">
        <v>598</v>
      </c>
      <c r="BJ541" s="189">
        <v>3000</v>
      </c>
      <c r="BK541" s="188" t="s">
        <v>493</v>
      </c>
      <c r="BL541" s="188" t="s">
        <v>598</v>
      </c>
      <c r="BM541" s="189">
        <v>0</v>
      </c>
      <c r="BN541" s="188" t="s">
        <v>598</v>
      </c>
      <c r="BO541" s="127">
        <v>42732</v>
      </c>
      <c r="BP541" s="188" t="s">
        <v>107</v>
      </c>
      <c r="BQ541" s="188" t="s">
        <v>84</v>
      </c>
      <c r="BR541" s="188" t="s">
        <v>263</v>
      </c>
      <c r="BS541" s="188" t="s">
        <v>62</v>
      </c>
      <c r="BT541" s="188" t="s">
        <v>79</v>
      </c>
      <c r="BU541" s="188" t="s">
        <v>112</v>
      </c>
      <c r="BV541" s="188" t="s">
        <v>598</v>
      </c>
    </row>
    <row r="542" spans="5:74">
      <c r="E542" s="21"/>
      <c r="Q542" s="191"/>
      <c r="R542" s="191"/>
      <c r="S542" s="191"/>
      <c r="T542" s="127"/>
      <c r="U542" s="127"/>
      <c r="V542" s="191"/>
      <c r="W542" s="190"/>
      <c r="X542" s="191"/>
      <c r="Y542" s="191"/>
      <c r="Z542" s="191"/>
      <c r="AA542" s="191"/>
      <c r="AB542" s="191"/>
      <c r="AC542" s="191"/>
      <c r="AD542" s="191"/>
      <c r="AE542" s="191"/>
      <c r="AF542" s="191"/>
      <c r="AG542" s="191"/>
      <c r="AH542" s="191"/>
      <c r="AI542" s="127"/>
      <c r="AJ542" s="191"/>
      <c r="AK542" s="191"/>
      <c r="AL542" s="190"/>
      <c r="AM542" s="191"/>
      <c r="BE542" s="188" t="s">
        <v>3443</v>
      </c>
      <c r="BF542" s="188" t="s">
        <v>4269</v>
      </c>
      <c r="BG542" s="127">
        <v>42886</v>
      </c>
      <c r="BH542" s="188" t="s">
        <v>34</v>
      </c>
      <c r="BI542" s="188" t="s">
        <v>598</v>
      </c>
      <c r="BJ542" s="189">
        <v>3000</v>
      </c>
      <c r="BK542" s="188" t="s">
        <v>493</v>
      </c>
      <c r="BL542" s="188" t="s">
        <v>598</v>
      </c>
      <c r="BM542" s="189">
        <v>0</v>
      </c>
      <c r="BN542" s="188" t="s">
        <v>598</v>
      </c>
      <c r="BO542" s="127">
        <v>42734</v>
      </c>
      <c r="BP542" s="188" t="s">
        <v>598</v>
      </c>
      <c r="BQ542" s="188" t="s">
        <v>84</v>
      </c>
      <c r="BR542" s="188" t="s">
        <v>263</v>
      </c>
      <c r="BS542" s="188" t="s">
        <v>62</v>
      </c>
      <c r="BT542" s="188" t="s">
        <v>79</v>
      </c>
      <c r="BU542" s="188" t="s">
        <v>79</v>
      </c>
      <c r="BV542" s="188" t="s">
        <v>598</v>
      </c>
    </row>
    <row r="543" spans="5:74">
      <c r="E543" s="21"/>
      <c r="Q543" s="191"/>
      <c r="R543" s="191"/>
      <c r="S543" s="191"/>
      <c r="T543" s="127"/>
      <c r="U543" s="127"/>
      <c r="V543" s="191"/>
      <c r="W543" s="190"/>
      <c r="X543" s="191"/>
      <c r="Y543" s="191"/>
      <c r="Z543" s="191"/>
      <c r="AA543" s="191"/>
      <c r="AB543" s="191"/>
      <c r="AC543" s="191"/>
      <c r="AD543" s="191"/>
      <c r="AE543" s="191"/>
      <c r="AF543" s="191"/>
      <c r="AG543" s="191"/>
      <c r="AH543" s="191"/>
      <c r="AI543" s="127"/>
      <c r="AJ543" s="191"/>
      <c r="AK543" s="191"/>
      <c r="AL543" s="190"/>
      <c r="AM543" s="191"/>
      <c r="BE543" s="188" t="s">
        <v>3445</v>
      </c>
      <c r="BF543" s="188" t="s">
        <v>4270</v>
      </c>
      <c r="BG543" s="127">
        <v>42886</v>
      </c>
      <c r="BH543" s="188" t="s">
        <v>34</v>
      </c>
      <c r="BI543" s="188" t="s">
        <v>598</v>
      </c>
      <c r="BJ543" s="189">
        <v>4000</v>
      </c>
      <c r="BK543" s="188" t="s">
        <v>493</v>
      </c>
      <c r="BL543" s="188" t="s">
        <v>598</v>
      </c>
      <c r="BM543" s="189">
        <v>0</v>
      </c>
      <c r="BN543" s="188" t="s">
        <v>598</v>
      </c>
      <c r="BO543" s="127">
        <v>42734</v>
      </c>
      <c r="BP543" s="188" t="s">
        <v>134</v>
      </c>
      <c r="BQ543" s="188" t="s">
        <v>84</v>
      </c>
      <c r="BR543" s="188" t="s">
        <v>3076</v>
      </c>
      <c r="BS543" s="188" t="s">
        <v>62</v>
      </c>
      <c r="BT543" s="188" t="s">
        <v>79</v>
      </c>
      <c r="BU543" s="188" t="s">
        <v>112</v>
      </c>
      <c r="BV543" s="188" t="s">
        <v>598</v>
      </c>
    </row>
    <row r="544" spans="5:74">
      <c r="E544" s="21"/>
      <c r="Q544" s="191"/>
      <c r="R544" s="191"/>
      <c r="S544" s="191"/>
      <c r="T544" s="127"/>
      <c r="U544" s="127"/>
      <c r="V544" s="191"/>
      <c r="W544" s="190"/>
      <c r="X544" s="191"/>
      <c r="Y544" s="191"/>
      <c r="Z544" s="191"/>
      <c r="AA544" s="191"/>
      <c r="AB544" s="191"/>
      <c r="AC544" s="191"/>
      <c r="AD544" s="191"/>
      <c r="AE544" s="191"/>
      <c r="AF544" s="191"/>
      <c r="AG544" s="191"/>
      <c r="AH544" s="191"/>
      <c r="AI544" s="127"/>
      <c r="AJ544" s="191"/>
      <c r="AK544" s="191"/>
      <c r="AL544" s="190"/>
      <c r="AM544" s="191"/>
      <c r="BE544" s="188" t="s">
        <v>3447</v>
      </c>
      <c r="BF544" s="188" t="s">
        <v>4271</v>
      </c>
      <c r="BG544" s="127">
        <v>42886</v>
      </c>
      <c r="BH544" s="188" t="s">
        <v>34</v>
      </c>
      <c r="BI544" s="188" t="s">
        <v>598</v>
      </c>
      <c r="BJ544" s="189">
        <v>3000</v>
      </c>
      <c r="BK544" s="188" t="s">
        <v>493</v>
      </c>
      <c r="BL544" s="188" t="s">
        <v>598</v>
      </c>
      <c r="BM544" s="189">
        <v>0</v>
      </c>
      <c r="BN544" s="188" t="s">
        <v>598</v>
      </c>
      <c r="BO544" s="127">
        <v>42737</v>
      </c>
      <c r="BP544" s="188" t="s">
        <v>120</v>
      </c>
      <c r="BQ544" s="188" t="s">
        <v>84</v>
      </c>
      <c r="BR544" s="188" t="s">
        <v>3323</v>
      </c>
      <c r="BS544" s="188" t="s">
        <v>62</v>
      </c>
      <c r="BT544" s="188" t="s">
        <v>79</v>
      </c>
      <c r="BU544" s="188" t="s">
        <v>79</v>
      </c>
      <c r="BV544" s="188" t="s">
        <v>598</v>
      </c>
    </row>
    <row r="545" spans="5:74">
      <c r="E545" s="21"/>
      <c r="Q545" s="191"/>
      <c r="R545" s="191"/>
      <c r="S545" s="191"/>
      <c r="T545" s="127"/>
      <c r="U545" s="127"/>
      <c r="V545" s="191"/>
      <c r="W545" s="190"/>
      <c r="X545" s="191"/>
      <c r="Y545" s="191"/>
      <c r="Z545" s="191"/>
      <c r="AA545" s="191"/>
      <c r="AB545" s="191"/>
      <c r="AC545" s="191"/>
      <c r="AD545" s="191"/>
      <c r="AE545" s="191"/>
      <c r="AF545" s="191"/>
      <c r="AG545" s="191"/>
      <c r="AH545" s="191"/>
      <c r="AI545" s="127"/>
      <c r="AJ545" s="191"/>
      <c r="AK545" s="191"/>
      <c r="AL545" s="190"/>
      <c r="AM545" s="191"/>
      <c r="BE545" s="188" t="s">
        <v>3449</v>
      </c>
      <c r="BF545" s="188" t="s">
        <v>4272</v>
      </c>
      <c r="BG545" s="127">
        <v>42886</v>
      </c>
      <c r="BH545" s="188" t="s">
        <v>34</v>
      </c>
      <c r="BI545" s="188" t="s">
        <v>598</v>
      </c>
      <c r="BJ545" s="189">
        <v>3000</v>
      </c>
      <c r="BK545" s="188" t="s">
        <v>493</v>
      </c>
      <c r="BL545" s="188" t="s">
        <v>598</v>
      </c>
      <c r="BM545" s="189">
        <v>0</v>
      </c>
      <c r="BN545" s="188" t="s">
        <v>598</v>
      </c>
      <c r="BO545" s="127">
        <v>42742</v>
      </c>
      <c r="BP545" s="188" t="s">
        <v>132</v>
      </c>
      <c r="BQ545" s="188" t="s">
        <v>84</v>
      </c>
      <c r="BR545" s="188" t="s">
        <v>460</v>
      </c>
      <c r="BS545" s="188" t="s">
        <v>62</v>
      </c>
      <c r="BT545" s="188" t="s">
        <v>79</v>
      </c>
      <c r="BU545" s="188" t="s">
        <v>112</v>
      </c>
      <c r="BV545" s="188" t="s">
        <v>598</v>
      </c>
    </row>
    <row r="546" spans="5:74">
      <c r="E546" s="21"/>
      <c r="Q546" s="191"/>
      <c r="R546" s="191"/>
      <c r="S546" s="191"/>
      <c r="T546" s="127"/>
      <c r="U546" s="127"/>
      <c r="V546" s="191"/>
      <c r="W546" s="190"/>
      <c r="X546" s="191"/>
      <c r="Y546" s="191"/>
      <c r="Z546" s="191"/>
      <c r="AA546" s="191"/>
      <c r="AB546" s="191"/>
      <c r="AC546" s="191"/>
      <c r="AD546" s="191"/>
      <c r="AE546" s="191"/>
      <c r="AF546" s="191"/>
      <c r="AG546" s="191"/>
      <c r="AH546" s="191"/>
      <c r="AI546" s="127"/>
      <c r="AJ546" s="191"/>
      <c r="AK546" s="191"/>
      <c r="AL546" s="190"/>
      <c r="AM546" s="191"/>
      <c r="BE546" s="188" t="s">
        <v>3451</v>
      </c>
      <c r="BF546" s="188" t="s">
        <v>4273</v>
      </c>
      <c r="BG546" s="127">
        <v>42886</v>
      </c>
      <c r="BH546" s="188" t="s">
        <v>34</v>
      </c>
      <c r="BI546" s="188" t="s">
        <v>598</v>
      </c>
      <c r="BJ546" s="189">
        <v>3000</v>
      </c>
      <c r="BK546" s="188" t="s">
        <v>493</v>
      </c>
      <c r="BL546" s="188" t="s">
        <v>598</v>
      </c>
      <c r="BM546" s="189">
        <v>0</v>
      </c>
      <c r="BN546" s="188" t="s">
        <v>598</v>
      </c>
      <c r="BO546" s="127">
        <v>42742</v>
      </c>
      <c r="BP546" s="188" t="s">
        <v>132</v>
      </c>
      <c r="BQ546" s="188" t="s">
        <v>84</v>
      </c>
      <c r="BR546" s="188" t="s">
        <v>460</v>
      </c>
      <c r="BS546" s="188" t="s">
        <v>62</v>
      </c>
      <c r="BT546" s="188" t="s">
        <v>79</v>
      </c>
      <c r="BU546" s="188" t="s">
        <v>112</v>
      </c>
      <c r="BV546" s="188" t="s">
        <v>598</v>
      </c>
    </row>
    <row r="547" spans="5:74">
      <c r="E547" s="21"/>
      <c r="Q547" s="191"/>
      <c r="R547" s="191"/>
      <c r="S547" s="191"/>
      <c r="T547" s="127"/>
      <c r="U547" s="127"/>
      <c r="V547" s="191"/>
      <c r="W547" s="190"/>
      <c r="X547" s="191"/>
      <c r="Y547" s="191"/>
      <c r="Z547" s="191"/>
      <c r="AA547" s="191"/>
      <c r="AB547" s="191"/>
      <c r="AC547" s="191"/>
      <c r="AD547" s="191"/>
      <c r="AE547" s="191"/>
      <c r="AF547" s="191"/>
      <c r="AG547" s="191"/>
      <c r="AH547" s="191"/>
      <c r="AI547" s="127"/>
      <c r="AJ547" s="191"/>
      <c r="AK547" s="191"/>
      <c r="AL547" s="190"/>
      <c r="AM547" s="191"/>
      <c r="BE547" s="188" t="s">
        <v>3452</v>
      </c>
      <c r="BF547" s="188" t="s">
        <v>4274</v>
      </c>
      <c r="BG547" s="127">
        <v>42886</v>
      </c>
      <c r="BH547" s="188" t="s">
        <v>34</v>
      </c>
      <c r="BI547" s="188" t="s">
        <v>598</v>
      </c>
      <c r="BJ547" s="189">
        <v>3000</v>
      </c>
      <c r="BK547" s="188" t="s">
        <v>493</v>
      </c>
      <c r="BL547" s="188" t="s">
        <v>598</v>
      </c>
      <c r="BM547" s="189">
        <v>0</v>
      </c>
      <c r="BN547" s="188" t="s">
        <v>598</v>
      </c>
      <c r="BO547" s="127">
        <v>42754</v>
      </c>
      <c r="BP547" s="188" t="s">
        <v>134</v>
      </c>
      <c r="BQ547" s="188" t="s">
        <v>84</v>
      </c>
      <c r="BR547" s="188" t="s">
        <v>279</v>
      </c>
      <c r="BS547" s="188" t="s">
        <v>62</v>
      </c>
      <c r="BT547" s="188" t="s">
        <v>79</v>
      </c>
      <c r="BU547" s="188" t="s">
        <v>112</v>
      </c>
      <c r="BV547" s="188" t="s">
        <v>598</v>
      </c>
    </row>
    <row r="548" spans="5:74">
      <c r="E548" s="21"/>
      <c r="Q548" s="191"/>
      <c r="R548" s="191"/>
      <c r="S548" s="191"/>
      <c r="T548" s="127"/>
      <c r="U548" s="127"/>
      <c r="V548" s="191"/>
      <c r="W548" s="190"/>
      <c r="X548" s="191"/>
      <c r="Y548" s="191"/>
      <c r="Z548" s="191"/>
      <c r="AA548" s="191"/>
      <c r="AB548" s="191"/>
      <c r="AC548" s="191"/>
      <c r="AD548" s="191"/>
      <c r="AE548" s="191"/>
      <c r="AF548" s="191"/>
      <c r="AG548" s="191"/>
      <c r="AH548" s="191"/>
      <c r="AI548" s="127"/>
      <c r="AJ548" s="191"/>
      <c r="AK548" s="191"/>
      <c r="AL548" s="190"/>
      <c r="AM548" s="191"/>
      <c r="BE548" s="188" t="s">
        <v>3454</v>
      </c>
      <c r="BF548" s="188" t="s">
        <v>4275</v>
      </c>
      <c r="BG548" s="127">
        <v>42874</v>
      </c>
      <c r="BH548" s="188" t="s">
        <v>494</v>
      </c>
      <c r="BI548" s="188" t="s">
        <v>598</v>
      </c>
      <c r="BJ548" s="189">
        <v>1500</v>
      </c>
      <c r="BK548" s="188" t="s">
        <v>493</v>
      </c>
      <c r="BL548" s="188" t="s">
        <v>598</v>
      </c>
      <c r="BM548" s="189">
        <v>0</v>
      </c>
      <c r="BN548" s="188" t="s">
        <v>598</v>
      </c>
      <c r="BO548" s="127">
        <v>42798</v>
      </c>
      <c r="BP548" s="188" t="s">
        <v>134</v>
      </c>
      <c r="BQ548" s="188" t="s">
        <v>84</v>
      </c>
      <c r="BR548" s="188" t="s">
        <v>461</v>
      </c>
      <c r="BS548" s="188" t="s">
        <v>598</v>
      </c>
      <c r="BT548" s="188" t="s">
        <v>79</v>
      </c>
      <c r="BU548" s="188" t="s">
        <v>79</v>
      </c>
      <c r="BV548" s="188" t="s">
        <v>598</v>
      </c>
    </row>
    <row r="549" spans="5:74">
      <c r="E549" s="21"/>
      <c r="Q549" s="191"/>
      <c r="R549" s="191"/>
      <c r="S549" s="191"/>
      <c r="T549" s="127"/>
      <c r="U549" s="127"/>
      <c r="V549" s="191"/>
      <c r="W549" s="190"/>
      <c r="X549" s="191"/>
      <c r="Y549" s="191"/>
      <c r="Z549" s="191"/>
      <c r="AA549" s="191"/>
      <c r="AB549" s="191"/>
      <c r="AC549" s="191"/>
      <c r="AD549" s="191"/>
      <c r="AE549" s="191"/>
      <c r="AF549" s="191"/>
      <c r="AG549" s="191"/>
      <c r="AH549" s="191"/>
      <c r="AI549" s="127"/>
      <c r="AJ549" s="191"/>
      <c r="AK549" s="191"/>
      <c r="AL549" s="190"/>
      <c r="AM549" s="191"/>
      <c r="BE549" s="188" t="s">
        <v>3456</v>
      </c>
      <c r="BF549" s="188" t="s">
        <v>4276</v>
      </c>
      <c r="BG549" s="127">
        <v>42856</v>
      </c>
      <c r="BH549" s="188" t="s">
        <v>10</v>
      </c>
      <c r="BI549" s="188" t="s">
        <v>598</v>
      </c>
      <c r="BJ549" s="189">
        <v>4000</v>
      </c>
      <c r="BK549" s="188" t="s">
        <v>493</v>
      </c>
      <c r="BL549" s="188" t="s">
        <v>598</v>
      </c>
      <c r="BM549" s="189">
        <v>0</v>
      </c>
      <c r="BN549" s="188" t="s">
        <v>598</v>
      </c>
      <c r="BO549" s="127">
        <v>42837</v>
      </c>
      <c r="BP549" s="188" t="s">
        <v>134</v>
      </c>
      <c r="BQ549" s="188" t="s">
        <v>84</v>
      </c>
      <c r="BR549" s="188" t="s">
        <v>264</v>
      </c>
      <c r="BS549" s="188" t="s">
        <v>50</v>
      </c>
      <c r="BT549" s="188" t="s">
        <v>79</v>
      </c>
      <c r="BU549" s="188" t="s">
        <v>79</v>
      </c>
      <c r="BV549" s="188" t="s">
        <v>598</v>
      </c>
    </row>
    <row r="550" spans="5:74">
      <c r="E550" s="21"/>
      <c r="Q550" s="191"/>
      <c r="R550" s="191"/>
      <c r="S550" s="191"/>
      <c r="T550" s="127"/>
      <c r="U550" s="127"/>
      <c r="V550" s="191"/>
      <c r="W550" s="190"/>
      <c r="X550" s="191"/>
      <c r="Y550" s="191"/>
      <c r="Z550" s="191"/>
      <c r="AA550" s="191"/>
      <c r="AB550" s="191"/>
      <c r="AC550" s="191"/>
      <c r="AD550" s="191"/>
      <c r="AE550" s="191"/>
      <c r="AF550" s="191"/>
      <c r="AG550" s="191"/>
      <c r="AH550" s="191"/>
      <c r="AI550" s="127"/>
      <c r="AJ550" s="191"/>
      <c r="AK550" s="191"/>
      <c r="AL550" s="190"/>
      <c r="AM550" s="191"/>
      <c r="BE550" s="188" t="s">
        <v>3458</v>
      </c>
      <c r="BF550" s="188" t="s">
        <v>4277</v>
      </c>
      <c r="BG550" s="127">
        <v>42871</v>
      </c>
      <c r="BH550" s="188" t="s">
        <v>10</v>
      </c>
      <c r="BI550" s="188" t="s">
        <v>598</v>
      </c>
      <c r="BJ550" s="189">
        <v>3000</v>
      </c>
      <c r="BK550" s="188" t="s">
        <v>493</v>
      </c>
      <c r="BL550" s="188" t="s">
        <v>598</v>
      </c>
      <c r="BM550" s="189">
        <v>0</v>
      </c>
      <c r="BN550" s="188" t="s">
        <v>598</v>
      </c>
      <c r="BO550" s="127">
        <v>42838</v>
      </c>
      <c r="BP550" s="188" t="s">
        <v>134</v>
      </c>
      <c r="BQ550" s="188" t="s">
        <v>84</v>
      </c>
      <c r="BR550" s="188" t="s">
        <v>28</v>
      </c>
      <c r="BS550" s="188" t="s">
        <v>598</v>
      </c>
      <c r="BT550" s="188" t="s">
        <v>79</v>
      </c>
      <c r="BU550" s="188" t="s">
        <v>112</v>
      </c>
      <c r="BV550" s="188" t="s">
        <v>598</v>
      </c>
    </row>
    <row r="551" spans="5:74">
      <c r="E551" s="21"/>
      <c r="Q551" s="191"/>
      <c r="R551" s="191"/>
      <c r="S551" s="191"/>
      <c r="T551" s="127"/>
      <c r="U551" s="127"/>
      <c r="V551" s="191"/>
      <c r="W551" s="190"/>
      <c r="X551" s="191"/>
      <c r="Y551" s="191"/>
      <c r="Z551" s="191"/>
      <c r="AA551" s="191"/>
      <c r="AB551" s="191"/>
      <c r="AC551" s="191"/>
      <c r="AD551" s="191"/>
      <c r="AE551" s="191"/>
      <c r="AF551" s="191"/>
      <c r="AG551" s="191"/>
      <c r="AH551" s="191"/>
      <c r="AI551" s="127"/>
      <c r="AJ551" s="191"/>
      <c r="AK551" s="191"/>
      <c r="AL551" s="190"/>
      <c r="AM551" s="191"/>
      <c r="BE551" s="188" t="s">
        <v>3460</v>
      </c>
      <c r="BF551" s="188" t="s">
        <v>4278</v>
      </c>
      <c r="BG551" s="127">
        <v>42856</v>
      </c>
      <c r="BH551" s="188" t="s">
        <v>10</v>
      </c>
      <c r="BI551" s="188" t="s">
        <v>598</v>
      </c>
      <c r="BJ551" s="189">
        <v>8000</v>
      </c>
      <c r="BK551" s="188" t="s">
        <v>493</v>
      </c>
      <c r="BL551" s="188" t="s">
        <v>598</v>
      </c>
      <c r="BM551" s="189">
        <v>0</v>
      </c>
      <c r="BN551" s="188" t="s">
        <v>598</v>
      </c>
      <c r="BO551" s="127">
        <v>42843</v>
      </c>
      <c r="BP551" s="188" t="s">
        <v>120</v>
      </c>
      <c r="BQ551" s="188" t="s">
        <v>84</v>
      </c>
      <c r="BR551" s="188" t="s">
        <v>264</v>
      </c>
      <c r="BS551" s="188" t="s">
        <v>50</v>
      </c>
      <c r="BT551" s="188" t="s">
        <v>79</v>
      </c>
      <c r="BU551" s="188" t="s">
        <v>79</v>
      </c>
      <c r="BV551" s="188" t="s">
        <v>598</v>
      </c>
    </row>
    <row r="552" spans="5:74">
      <c r="E552" s="21"/>
      <c r="Q552" s="191"/>
      <c r="R552" s="191"/>
      <c r="S552" s="191"/>
      <c r="T552" s="127"/>
      <c r="U552" s="127"/>
      <c r="V552" s="191"/>
      <c r="W552" s="190"/>
      <c r="X552" s="191"/>
      <c r="Y552" s="191"/>
      <c r="Z552" s="191"/>
      <c r="AA552" s="191"/>
      <c r="AB552" s="191"/>
      <c r="AC552" s="191"/>
      <c r="AD552" s="191"/>
      <c r="AE552" s="191"/>
      <c r="AF552" s="191"/>
      <c r="AG552" s="191"/>
      <c r="AH552" s="191"/>
      <c r="AI552" s="127"/>
      <c r="AJ552" s="191"/>
      <c r="AK552" s="191"/>
      <c r="AL552" s="190"/>
      <c r="AM552" s="191"/>
      <c r="BE552" s="188" t="s">
        <v>3462</v>
      </c>
      <c r="BF552" s="188" t="s">
        <v>4279</v>
      </c>
      <c r="BG552" s="127">
        <v>42856</v>
      </c>
      <c r="BH552" s="188" t="s">
        <v>10</v>
      </c>
      <c r="BI552" s="188" t="s">
        <v>598</v>
      </c>
      <c r="BJ552" s="189">
        <v>3000</v>
      </c>
      <c r="BK552" s="188" t="s">
        <v>493</v>
      </c>
      <c r="BL552" s="188" t="s">
        <v>598</v>
      </c>
      <c r="BM552" s="189">
        <v>0</v>
      </c>
      <c r="BN552" s="188" t="s">
        <v>598</v>
      </c>
      <c r="BO552" s="127">
        <v>42843</v>
      </c>
      <c r="BP552" s="188" t="s">
        <v>134</v>
      </c>
      <c r="BQ552" s="188" t="s">
        <v>84</v>
      </c>
      <c r="BR552" s="188" t="s">
        <v>265</v>
      </c>
      <c r="BS552" s="188" t="s">
        <v>50</v>
      </c>
      <c r="BT552" s="188" t="s">
        <v>79</v>
      </c>
      <c r="BU552" s="188" t="s">
        <v>112</v>
      </c>
      <c r="BV552" s="188" t="s">
        <v>598</v>
      </c>
    </row>
    <row r="553" spans="5:74">
      <c r="E553" s="21"/>
      <c r="Q553" s="191"/>
      <c r="R553" s="191"/>
      <c r="S553" s="191"/>
      <c r="T553" s="127"/>
      <c r="U553" s="127"/>
      <c r="V553" s="191"/>
      <c r="W553" s="190"/>
      <c r="X553" s="191"/>
      <c r="Y553" s="191"/>
      <c r="Z553" s="191"/>
      <c r="AA553" s="191"/>
      <c r="AB553" s="191"/>
      <c r="AC553" s="191"/>
      <c r="AD553" s="191"/>
      <c r="AE553" s="191"/>
      <c r="AF553" s="191"/>
      <c r="AG553" s="191"/>
      <c r="AH553" s="191"/>
      <c r="AI553" s="127"/>
      <c r="AJ553" s="191"/>
      <c r="AK553" s="191"/>
      <c r="AL553" s="190"/>
      <c r="AM553" s="191"/>
      <c r="BE553" s="188" t="s">
        <v>3464</v>
      </c>
      <c r="BF553" s="188" t="s">
        <v>4280</v>
      </c>
      <c r="BG553" s="127">
        <v>42859</v>
      </c>
      <c r="BH553" s="188" t="s">
        <v>34</v>
      </c>
      <c r="BI553" s="188" t="s">
        <v>598</v>
      </c>
      <c r="BJ553" s="189">
        <v>3000</v>
      </c>
      <c r="BK553" s="188" t="s">
        <v>493</v>
      </c>
      <c r="BL553" s="188" t="s">
        <v>598</v>
      </c>
      <c r="BM553" s="189">
        <v>0</v>
      </c>
      <c r="BN553" s="188" t="s">
        <v>598</v>
      </c>
      <c r="BO553" s="127">
        <v>42847</v>
      </c>
      <c r="BP553" s="188" t="s">
        <v>598</v>
      </c>
      <c r="BQ553" s="188" t="s">
        <v>84</v>
      </c>
      <c r="BR553" s="188" t="s">
        <v>3363</v>
      </c>
      <c r="BS553" s="188" t="s">
        <v>598</v>
      </c>
      <c r="BT553" s="188" t="s">
        <v>79</v>
      </c>
      <c r="BU553" s="188" t="s">
        <v>79</v>
      </c>
      <c r="BV553" s="188" t="s">
        <v>598</v>
      </c>
    </row>
    <row r="554" spans="5:74">
      <c r="E554" s="21"/>
      <c r="Q554" s="191"/>
      <c r="R554" s="191"/>
      <c r="S554" s="191"/>
      <c r="T554" s="127"/>
      <c r="U554" s="127"/>
      <c r="V554" s="191"/>
      <c r="W554" s="190"/>
      <c r="X554" s="191"/>
      <c r="Y554" s="191"/>
      <c r="Z554" s="191"/>
      <c r="AA554" s="191"/>
      <c r="AB554" s="191"/>
      <c r="AC554" s="191"/>
      <c r="AD554" s="191"/>
      <c r="AE554" s="191"/>
      <c r="AF554" s="191"/>
      <c r="AG554" s="191"/>
      <c r="AH554" s="191"/>
      <c r="AI554" s="127"/>
      <c r="AJ554" s="191"/>
      <c r="AK554" s="191"/>
      <c r="AL554" s="190"/>
      <c r="AM554" s="191"/>
      <c r="BE554" s="188" t="s">
        <v>3466</v>
      </c>
      <c r="BF554" s="188" t="s">
        <v>4281</v>
      </c>
      <c r="BG554" s="127">
        <v>42877</v>
      </c>
      <c r="BH554" s="188" t="s">
        <v>494</v>
      </c>
      <c r="BI554" s="188" t="s">
        <v>598</v>
      </c>
      <c r="BJ554" s="189">
        <v>3000</v>
      </c>
      <c r="BK554" s="188" t="s">
        <v>493</v>
      </c>
      <c r="BL554" s="188" t="s">
        <v>598</v>
      </c>
      <c r="BM554" s="189">
        <v>0</v>
      </c>
      <c r="BN554" s="188" t="s">
        <v>598</v>
      </c>
      <c r="BO554" s="127">
        <v>42849</v>
      </c>
      <c r="BP554" s="188" t="s">
        <v>132</v>
      </c>
      <c r="BQ554" s="188" t="s">
        <v>84</v>
      </c>
      <c r="BR554" s="188" t="s">
        <v>186</v>
      </c>
      <c r="BS554" s="188" t="s">
        <v>598</v>
      </c>
      <c r="BT554" s="188" t="s">
        <v>79</v>
      </c>
      <c r="BU554" s="188" t="s">
        <v>112</v>
      </c>
      <c r="BV554" s="188" t="s">
        <v>598</v>
      </c>
    </row>
    <row r="555" spans="5:74">
      <c r="E555" s="21"/>
      <c r="Q555" s="191"/>
      <c r="R555" s="191"/>
      <c r="S555" s="191"/>
      <c r="T555" s="127"/>
      <c r="U555" s="127"/>
      <c r="V555" s="191"/>
      <c r="W555" s="190"/>
      <c r="X555" s="191"/>
      <c r="Y555" s="191"/>
      <c r="Z555" s="191"/>
      <c r="AA555" s="191"/>
      <c r="AB555" s="191"/>
      <c r="AC555" s="191"/>
      <c r="AD555" s="191"/>
      <c r="AE555" s="191"/>
      <c r="AF555" s="191"/>
      <c r="AG555" s="191"/>
      <c r="AH555" s="191"/>
      <c r="AI555" s="127"/>
      <c r="AJ555" s="191"/>
      <c r="AK555" s="191"/>
      <c r="AL555" s="190"/>
      <c r="AM555" s="191"/>
      <c r="BE555" s="188" t="s">
        <v>3468</v>
      </c>
      <c r="BF555" s="188" t="s">
        <v>4282</v>
      </c>
      <c r="BG555" s="127">
        <v>42867</v>
      </c>
      <c r="BH555" s="188" t="s">
        <v>34</v>
      </c>
      <c r="BI555" s="188" t="s">
        <v>598</v>
      </c>
      <c r="BJ555" s="189">
        <v>3000</v>
      </c>
      <c r="BK555" s="188" t="s">
        <v>493</v>
      </c>
      <c r="BL555" s="188" t="s">
        <v>598</v>
      </c>
      <c r="BM555" s="189">
        <v>0</v>
      </c>
      <c r="BN555" s="188" t="s">
        <v>598</v>
      </c>
      <c r="BO555" s="127">
        <v>42851</v>
      </c>
      <c r="BP555" s="188" t="s">
        <v>134</v>
      </c>
      <c r="BQ555" s="188" t="s">
        <v>84</v>
      </c>
      <c r="BR555" s="188" t="s">
        <v>1520</v>
      </c>
      <c r="BS555" s="188" t="s">
        <v>598</v>
      </c>
      <c r="BT555" s="188" t="s">
        <v>79</v>
      </c>
      <c r="BU555" s="188" t="s">
        <v>112</v>
      </c>
      <c r="BV555" s="188" t="s">
        <v>598</v>
      </c>
    </row>
    <row r="556" spans="5:74">
      <c r="E556" s="21"/>
      <c r="Q556" s="191"/>
      <c r="R556" s="191"/>
      <c r="S556" s="191"/>
      <c r="T556" s="127"/>
      <c r="U556" s="127"/>
      <c r="V556" s="191"/>
      <c r="W556" s="190"/>
      <c r="X556" s="191"/>
      <c r="Y556" s="191"/>
      <c r="Z556" s="191"/>
      <c r="AA556" s="191"/>
      <c r="AB556" s="191"/>
      <c r="AC556" s="191"/>
      <c r="AD556" s="191"/>
      <c r="AE556" s="191"/>
      <c r="AF556" s="191"/>
      <c r="AG556" s="191"/>
      <c r="AH556" s="191"/>
      <c r="AI556" s="127"/>
      <c r="AJ556" s="191"/>
      <c r="AK556" s="191"/>
      <c r="AL556" s="190"/>
      <c r="AM556" s="191"/>
      <c r="BE556" s="188" t="s">
        <v>3470</v>
      </c>
      <c r="BF556" s="188" t="s">
        <v>4283</v>
      </c>
      <c r="BG556" s="127">
        <v>42856</v>
      </c>
      <c r="BH556" s="188" t="s">
        <v>10</v>
      </c>
      <c r="BI556" s="188" t="s">
        <v>598</v>
      </c>
      <c r="BJ556" s="189">
        <v>8000</v>
      </c>
      <c r="BK556" s="188" t="s">
        <v>493</v>
      </c>
      <c r="BL556" s="188" t="s">
        <v>598</v>
      </c>
      <c r="BM556" s="189">
        <v>0</v>
      </c>
      <c r="BN556" s="188" t="s">
        <v>598</v>
      </c>
      <c r="BO556" s="127">
        <v>42851</v>
      </c>
      <c r="BP556" s="188" t="s">
        <v>134</v>
      </c>
      <c r="BQ556" s="188" t="s">
        <v>84</v>
      </c>
      <c r="BR556" s="188" t="s">
        <v>265</v>
      </c>
      <c r="BS556" s="188" t="s">
        <v>50</v>
      </c>
      <c r="BT556" s="188" t="s">
        <v>79</v>
      </c>
      <c r="BU556" s="188" t="s">
        <v>79</v>
      </c>
      <c r="BV556" s="188" t="s">
        <v>598</v>
      </c>
    </row>
    <row r="557" spans="5:74">
      <c r="E557" s="21"/>
      <c r="Q557" s="191"/>
      <c r="R557" s="191"/>
      <c r="S557" s="191"/>
      <c r="T557" s="127"/>
      <c r="U557" s="127"/>
      <c r="V557" s="191"/>
      <c r="W557" s="190"/>
      <c r="X557" s="191"/>
      <c r="Y557" s="191"/>
      <c r="Z557" s="191"/>
      <c r="AA557" s="191"/>
      <c r="AB557" s="191"/>
      <c r="AC557" s="191"/>
      <c r="AD557" s="191"/>
      <c r="AE557" s="191"/>
      <c r="AF557" s="191"/>
      <c r="AG557" s="191"/>
      <c r="AH557" s="191"/>
      <c r="AI557" s="127"/>
      <c r="AJ557" s="191"/>
      <c r="AK557" s="191"/>
      <c r="AL557" s="190"/>
      <c r="AM557" s="191"/>
      <c r="BE557" s="188" t="s">
        <v>3472</v>
      </c>
      <c r="BF557" s="188" t="s">
        <v>4284</v>
      </c>
      <c r="BG557" s="127">
        <v>42867</v>
      </c>
      <c r="BH557" s="188" t="s">
        <v>34</v>
      </c>
      <c r="BI557" s="188" t="s">
        <v>598</v>
      </c>
      <c r="BJ557" s="189">
        <v>3000</v>
      </c>
      <c r="BK557" s="188" t="s">
        <v>493</v>
      </c>
      <c r="BL557" s="188" t="s">
        <v>598</v>
      </c>
      <c r="BM557" s="189">
        <v>0</v>
      </c>
      <c r="BN557" s="188" t="s">
        <v>598</v>
      </c>
      <c r="BO557" s="127">
        <v>42853</v>
      </c>
      <c r="BP557" s="188" t="s">
        <v>134</v>
      </c>
      <c r="BQ557" s="188" t="s">
        <v>84</v>
      </c>
      <c r="BR557" s="188" t="s">
        <v>462</v>
      </c>
      <c r="BS557" s="188" t="s">
        <v>598</v>
      </c>
      <c r="BT557" s="188" t="s">
        <v>79</v>
      </c>
      <c r="BU557" s="188" t="s">
        <v>112</v>
      </c>
      <c r="BV557" s="188" t="s">
        <v>598</v>
      </c>
    </row>
    <row r="558" spans="5:74">
      <c r="E558" s="21"/>
      <c r="Q558" s="191"/>
      <c r="R558" s="191"/>
      <c r="S558" s="191"/>
      <c r="T558" s="127"/>
      <c r="U558" s="127"/>
      <c r="V558" s="191"/>
      <c r="W558" s="190"/>
      <c r="X558" s="191"/>
      <c r="Y558" s="191"/>
      <c r="Z558" s="191"/>
      <c r="AA558" s="191"/>
      <c r="AB558" s="191"/>
      <c r="AC558" s="191"/>
      <c r="AD558" s="191"/>
      <c r="AE558" s="191"/>
      <c r="AF558" s="191"/>
      <c r="AG558" s="191"/>
      <c r="AH558" s="191"/>
      <c r="AI558" s="127"/>
      <c r="AJ558" s="191"/>
      <c r="AK558" s="191"/>
      <c r="AL558" s="190"/>
      <c r="AM558" s="191"/>
      <c r="BE558" s="188" t="s">
        <v>3474</v>
      </c>
      <c r="BF558" s="188" t="s">
        <v>4285</v>
      </c>
      <c r="BG558" s="127">
        <v>42857</v>
      </c>
      <c r="BH558" s="188" t="s">
        <v>10</v>
      </c>
      <c r="BI558" s="188" t="s">
        <v>598</v>
      </c>
      <c r="BJ558" s="189">
        <v>10000</v>
      </c>
      <c r="BK558" s="188" t="s">
        <v>493</v>
      </c>
      <c r="BL558" s="188" t="s">
        <v>598</v>
      </c>
      <c r="BM558" s="189">
        <v>0</v>
      </c>
      <c r="BN558" s="188" t="s">
        <v>598</v>
      </c>
      <c r="BO558" s="127">
        <v>42856</v>
      </c>
      <c r="BP558" s="188" t="s">
        <v>118</v>
      </c>
      <c r="BQ558" s="188" t="s">
        <v>551</v>
      </c>
      <c r="BR558" s="188" t="s">
        <v>3475</v>
      </c>
      <c r="BS558" s="188" t="s">
        <v>598</v>
      </c>
      <c r="BT558" s="188" t="s">
        <v>42</v>
      </c>
      <c r="BU558" s="188" t="s">
        <v>98</v>
      </c>
      <c r="BV558" s="188" t="s">
        <v>598</v>
      </c>
    </row>
    <row r="559" spans="5:74">
      <c r="E559" s="21"/>
      <c r="Q559" s="191"/>
      <c r="R559" s="191"/>
      <c r="S559" s="191"/>
      <c r="T559" s="127"/>
      <c r="U559" s="127"/>
      <c r="V559" s="191"/>
      <c r="W559" s="190"/>
      <c r="X559" s="191"/>
      <c r="Y559" s="191"/>
      <c r="Z559" s="191"/>
      <c r="AA559" s="191"/>
      <c r="AB559" s="191"/>
      <c r="AC559" s="191"/>
      <c r="AD559" s="191"/>
      <c r="AE559" s="191"/>
      <c r="AF559" s="191"/>
      <c r="AG559" s="191"/>
      <c r="AH559" s="191"/>
      <c r="AI559" s="127"/>
      <c r="AJ559" s="191"/>
      <c r="AK559" s="191"/>
      <c r="AL559" s="190"/>
      <c r="AM559" s="191"/>
      <c r="BE559" s="188" t="s">
        <v>3476</v>
      </c>
      <c r="BF559" s="188" t="s">
        <v>4286</v>
      </c>
      <c r="BG559" s="127">
        <v>42856</v>
      </c>
      <c r="BH559" s="188" t="s">
        <v>34</v>
      </c>
      <c r="BI559" s="188" t="s">
        <v>598</v>
      </c>
      <c r="BJ559" s="189">
        <v>3000</v>
      </c>
      <c r="BK559" s="188" t="s">
        <v>493</v>
      </c>
      <c r="BL559" s="188" t="s">
        <v>598</v>
      </c>
      <c r="BM559" s="189">
        <v>0</v>
      </c>
      <c r="BN559" s="188" t="s">
        <v>598</v>
      </c>
      <c r="BO559" s="127">
        <v>42856</v>
      </c>
      <c r="BP559" s="188" t="s">
        <v>598</v>
      </c>
      <c r="BQ559" s="188" t="s">
        <v>551</v>
      </c>
      <c r="BR559" s="188" t="s">
        <v>3475</v>
      </c>
      <c r="BS559" s="188" t="s">
        <v>598</v>
      </c>
      <c r="BT559" s="188" t="s">
        <v>42</v>
      </c>
      <c r="BU559" s="188" t="s">
        <v>98</v>
      </c>
      <c r="BV559" s="188" t="s">
        <v>598</v>
      </c>
    </row>
    <row r="560" spans="5:74">
      <c r="E560" s="21"/>
      <c r="Q560" s="191"/>
      <c r="R560" s="191"/>
      <c r="S560" s="191"/>
      <c r="T560" s="127"/>
      <c r="U560" s="127"/>
      <c r="V560" s="191"/>
      <c r="W560" s="190"/>
      <c r="X560" s="191"/>
      <c r="Y560" s="191"/>
      <c r="Z560" s="191"/>
      <c r="AA560" s="191"/>
      <c r="AB560" s="191"/>
      <c r="AC560" s="191"/>
      <c r="AD560" s="191"/>
      <c r="AE560" s="191"/>
      <c r="AF560" s="191"/>
      <c r="AG560" s="191"/>
      <c r="AH560" s="191"/>
      <c r="AI560" s="127"/>
      <c r="AJ560" s="191"/>
      <c r="AK560" s="191"/>
      <c r="AL560" s="190"/>
      <c r="AM560" s="191"/>
      <c r="BE560" s="188" t="s">
        <v>3478</v>
      </c>
      <c r="BF560" s="188" t="s">
        <v>4287</v>
      </c>
      <c r="BG560" s="127">
        <v>42864</v>
      </c>
      <c r="BH560" s="188" t="s">
        <v>34</v>
      </c>
      <c r="BI560" s="188" t="s">
        <v>598</v>
      </c>
      <c r="BJ560" s="189">
        <v>3000</v>
      </c>
      <c r="BK560" s="188" t="s">
        <v>493</v>
      </c>
      <c r="BL560" s="188" t="s">
        <v>598</v>
      </c>
      <c r="BM560" s="189">
        <v>0</v>
      </c>
      <c r="BN560" s="188" t="s">
        <v>598</v>
      </c>
      <c r="BO560" s="127">
        <v>42860</v>
      </c>
      <c r="BP560" s="188" t="s">
        <v>3480</v>
      </c>
      <c r="BQ560" s="188" t="s">
        <v>551</v>
      </c>
      <c r="BR560" s="188" t="s">
        <v>293</v>
      </c>
      <c r="BS560" s="188" t="s">
        <v>598</v>
      </c>
      <c r="BT560" s="188" t="s">
        <v>42</v>
      </c>
      <c r="BU560" s="188" t="s">
        <v>85</v>
      </c>
      <c r="BV560" s="188" t="s">
        <v>598</v>
      </c>
    </row>
    <row r="561" spans="5:74">
      <c r="E561" s="21"/>
      <c r="Q561" s="191"/>
      <c r="R561" s="191"/>
      <c r="S561" s="191"/>
      <c r="T561" s="127"/>
      <c r="U561" s="127"/>
      <c r="V561" s="191"/>
      <c r="W561" s="190"/>
      <c r="X561" s="191"/>
      <c r="Y561" s="191"/>
      <c r="Z561" s="191"/>
      <c r="AA561" s="191"/>
      <c r="AB561" s="191"/>
      <c r="AC561" s="191"/>
      <c r="AD561" s="191"/>
      <c r="AE561" s="191"/>
      <c r="AF561" s="191"/>
      <c r="AG561" s="191"/>
      <c r="AH561" s="191"/>
      <c r="AI561" s="127"/>
      <c r="AJ561" s="191"/>
      <c r="AK561" s="191"/>
      <c r="AL561" s="190"/>
      <c r="AM561" s="191"/>
      <c r="BE561" s="188" t="s">
        <v>3481</v>
      </c>
      <c r="BF561" s="188" t="s">
        <v>4288</v>
      </c>
      <c r="BG561" s="127">
        <v>42875</v>
      </c>
      <c r="BH561" s="188" t="s">
        <v>34</v>
      </c>
      <c r="BI561" s="188" t="s">
        <v>598</v>
      </c>
      <c r="BJ561" s="189">
        <v>5000</v>
      </c>
      <c r="BK561" s="188" t="s">
        <v>493</v>
      </c>
      <c r="BL561" s="188" t="s">
        <v>598</v>
      </c>
      <c r="BM561" s="189">
        <v>0</v>
      </c>
      <c r="BN561" s="188" t="s">
        <v>598</v>
      </c>
      <c r="BO561" s="127">
        <v>42873</v>
      </c>
      <c r="BP561" s="188" t="s">
        <v>58</v>
      </c>
      <c r="BQ561" s="188" t="s">
        <v>551</v>
      </c>
      <c r="BR561" s="188" t="s">
        <v>398</v>
      </c>
      <c r="BS561" s="188" t="s">
        <v>598</v>
      </c>
      <c r="BT561" s="188" t="s">
        <v>42</v>
      </c>
      <c r="BU561" s="188" t="s">
        <v>73</v>
      </c>
      <c r="BV561" s="188" t="s">
        <v>598</v>
      </c>
    </row>
    <row r="562" spans="5:74">
      <c r="E562" s="21"/>
      <c r="Q562" s="191"/>
      <c r="R562" s="191"/>
      <c r="S562" s="191"/>
      <c r="T562" s="127"/>
      <c r="U562" s="127"/>
      <c r="V562" s="191"/>
      <c r="W562" s="190"/>
      <c r="X562" s="191"/>
      <c r="Y562" s="191"/>
      <c r="Z562" s="191"/>
      <c r="AA562" s="191"/>
      <c r="AB562" s="191"/>
      <c r="AC562" s="191"/>
      <c r="AD562" s="191"/>
      <c r="AE562" s="191"/>
      <c r="AF562" s="191"/>
      <c r="AG562" s="191"/>
      <c r="AH562" s="191"/>
      <c r="AI562" s="127"/>
      <c r="AJ562" s="191"/>
      <c r="AK562" s="191"/>
      <c r="AL562" s="190"/>
      <c r="AM562" s="191"/>
      <c r="BE562" s="188" t="s">
        <v>3483</v>
      </c>
      <c r="BF562" s="188" t="s">
        <v>4289</v>
      </c>
      <c r="BG562" s="127">
        <v>42886</v>
      </c>
      <c r="BH562" s="188" t="s">
        <v>34</v>
      </c>
      <c r="BI562" s="188" t="s">
        <v>598</v>
      </c>
      <c r="BJ562" s="189">
        <v>3000</v>
      </c>
      <c r="BK562" s="188" t="s">
        <v>493</v>
      </c>
      <c r="BL562" s="188" t="s">
        <v>598</v>
      </c>
      <c r="BM562" s="189">
        <v>0</v>
      </c>
      <c r="BN562" s="188" t="s">
        <v>598</v>
      </c>
      <c r="BO562" s="127">
        <v>42878</v>
      </c>
      <c r="BP562" s="188" t="s">
        <v>598</v>
      </c>
      <c r="BQ562" s="188" t="s">
        <v>551</v>
      </c>
      <c r="BR562" s="188" t="s">
        <v>598</v>
      </c>
      <c r="BS562" s="188" t="s">
        <v>598</v>
      </c>
      <c r="BT562" s="188" t="s">
        <v>42</v>
      </c>
      <c r="BU562" s="188" t="s">
        <v>598</v>
      </c>
      <c r="BV562" s="188" t="s">
        <v>598</v>
      </c>
    </row>
    <row r="563" spans="5:74">
      <c r="E563" s="21"/>
      <c r="Q563" s="191"/>
      <c r="R563" s="191"/>
      <c r="S563" s="191"/>
      <c r="T563" s="127"/>
      <c r="U563" s="127"/>
      <c r="V563" s="191"/>
      <c r="W563" s="190"/>
      <c r="X563" s="191"/>
      <c r="Y563" s="191"/>
      <c r="Z563" s="191"/>
      <c r="AA563" s="191"/>
      <c r="AB563" s="191"/>
      <c r="AC563" s="191"/>
      <c r="AD563" s="191"/>
      <c r="AE563" s="191"/>
      <c r="AF563" s="191"/>
      <c r="AG563" s="191"/>
      <c r="AH563" s="191"/>
      <c r="AI563" s="127"/>
      <c r="AJ563" s="191"/>
      <c r="AK563" s="191"/>
      <c r="AL563" s="190"/>
      <c r="AM563" s="191"/>
      <c r="BE563" s="188" t="s">
        <v>3485</v>
      </c>
      <c r="BF563" s="188" t="s">
        <v>4290</v>
      </c>
      <c r="BG563" s="127">
        <v>42886</v>
      </c>
      <c r="BH563" s="188" t="s">
        <v>34</v>
      </c>
      <c r="BI563" s="188" t="s">
        <v>598</v>
      </c>
      <c r="BJ563" s="189">
        <v>3000</v>
      </c>
      <c r="BK563" s="188" t="s">
        <v>493</v>
      </c>
      <c r="BL563" s="188" t="s">
        <v>598</v>
      </c>
      <c r="BM563" s="189">
        <v>0</v>
      </c>
      <c r="BN563" s="188" t="s">
        <v>598</v>
      </c>
      <c r="BO563" s="127">
        <v>42886</v>
      </c>
      <c r="BP563" s="188" t="s">
        <v>598</v>
      </c>
      <c r="BQ563" s="188" t="s">
        <v>551</v>
      </c>
      <c r="BR563" s="188" t="s">
        <v>307</v>
      </c>
      <c r="BS563" s="188" t="s">
        <v>598</v>
      </c>
      <c r="BT563" s="188" t="s">
        <v>42</v>
      </c>
      <c r="BU563" s="188" t="s">
        <v>598</v>
      </c>
      <c r="BV563" s="188" t="s">
        <v>598</v>
      </c>
    </row>
    <row r="564" spans="5:74">
      <c r="E564" s="21"/>
      <c r="Q564" s="191"/>
      <c r="R564" s="191"/>
      <c r="S564" s="191"/>
      <c r="T564" s="127"/>
      <c r="U564" s="127"/>
      <c r="V564" s="191"/>
      <c r="W564" s="190"/>
      <c r="X564" s="191"/>
      <c r="Y564" s="191"/>
      <c r="Z564" s="191"/>
      <c r="AA564" s="191"/>
      <c r="AB564" s="191"/>
      <c r="AC564" s="191"/>
      <c r="AD564" s="191"/>
      <c r="AE564" s="191"/>
      <c r="AF564" s="191"/>
      <c r="AG564" s="191"/>
      <c r="AH564" s="191"/>
      <c r="AI564" s="127"/>
      <c r="AJ564" s="191"/>
      <c r="AK564" s="191"/>
      <c r="AL564" s="190"/>
      <c r="AM564" s="191"/>
      <c r="BE564" s="188" t="s">
        <v>3487</v>
      </c>
      <c r="BF564" s="188" t="s">
        <v>4291</v>
      </c>
      <c r="BG564" s="127">
        <v>42875</v>
      </c>
      <c r="BH564" s="188" t="s">
        <v>34</v>
      </c>
      <c r="BI564" s="188" t="s">
        <v>598</v>
      </c>
      <c r="BJ564" s="189">
        <v>3500</v>
      </c>
      <c r="BK564" s="188" t="s">
        <v>493</v>
      </c>
      <c r="BL564" s="188" t="s">
        <v>598</v>
      </c>
      <c r="BM564" s="189">
        <v>0</v>
      </c>
      <c r="BN564" s="188" t="s">
        <v>598</v>
      </c>
      <c r="BO564" s="127">
        <v>42886</v>
      </c>
      <c r="BP564" s="188" t="s">
        <v>598</v>
      </c>
      <c r="BQ564" s="188" t="s">
        <v>551</v>
      </c>
      <c r="BR564" s="188" t="s">
        <v>311</v>
      </c>
      <c r="BS564" s="188" t="s">
        <v>598</v>
      </c>
      <c r="BT564" s="188" t="s">
        <v>42</v>
      </c>
      <c r="BU564" s="188" t="s">
        <v>598</v>
      </c>
      <c r="BV564" s="188" t="s">
        <v>598</v>
      </c>
    </row>
    <row r="565" spans="5:74">
      <c r="E565" s="21"/>
      <c r="Q565" s="191"/>
      <c r="R565" s="191"/>
      <c r="S565" s="191"/>
      <c r="T565" s="127"/>
      <c r="U565" s="127"/>
      <c r="V565" s="191"/>
      <c r="W565" s="190"/>
      <c r="X565" s="191"/>
      <c r="Y565" s="191"/>
      <c r="Z565" s="191"/>
      <c r="AA565" s="191"/>
      <c r="AB565" s="191"/>
      <c r="AC565" s="191"/>
      <c r="AD565" s="191"/>
      <c r="AE565" s="191"/>
      <c r="AF565" s="191"/>
      <c r="AG565" s="191"/>
      <c r="AH565" s="191"/>
      <c r="AI565" s="127"/>
      <c r="AJ565" s="191"/>
      <c r="AK565" s="191"/>
      <c r="AL565" s="190"/>
      <c r="AM565" s="191"/>
      <c r="BE565" s="188" t="s">
        <v>3489</v>
      </c>
      <c r="BF565" s="188" t="s">
        <v>4292</v>
      </c>
      <c r="BG565" s="127">
        <v>42863</v>
      </c>
      <c r="BH565" s="188" t="s">
        <v>10</v>
      </c>
      <c r="BI565" s="188" t="s">
        <v>598</v>
      </c>
      <c r="BJ565" s="189">
        <v>10000</v>
      </c>
      <c r="BK565" s="188" t="s">
        <v>493</v>
      </c>
      <c r="BL565" s="188" t="s">
        <v>598</v>
      </c>
      <c r="BM565" s="189">
        <v>0</v>
      </c>
      <c r="BN565" s="188" t="s">
        <v>598</v>
      </c>
      <c r="BO565" s="127">
        <v>42812</v>
      </c>
      <c r="BP565" s="188" t="s">
        <v>118</v>
      </c>
      <c r="BQ565" s="188" t="s">
        <v>551</v>
      </c>
      <c r="BR565" s="188" t="s">
        <v>308</v>
      </c>
      <c r="BS565" s="188" t="s">
        <v>598</v>
      </c>
      <c r="BT565" s="188" t="s">
        <v>42</v>
      </c>
      <c r="BU565" s="188" t="s">
        <v>73</v>
      </c>
      <c r="BV565" s="188" t="s">
        <v>598</v>
      </c>
    </row>
    <row r="566" spans="5:74">
      <c r="E566" s="21"/>
      <c r="Q566" s="191"/>
      <c r="R566" s="191"/>
      <c r="S566" s="191"/>
      <c r="T566" s="127"/>
      <c r="U566" s="127"/>
      <c r="V566" s="191"/>
      <c r="W566" s="190"/>
      <c r="X566" s="191"/>
      <c r="Y566" s="191"/>
      <c r="Z566" s="191"/>
      <c r="AA566" s="191"/>
      <c r="AB566" s="191"/>
      <c r="AC566" s="191"/>
      <c r="AD566" s="191"/>
      <c r="AE566" s="191"/>
      <c r="AF566" s="191"/>
      <c r="AG566" s="191"/>
      <c r="AH566" s="191"/>
      <c r="AI566" s="127"/>
      <c r="AJ566" s="191"/>
      <c r="AK566" s="191"/>
      <c r="AL566" s="190"/>
      <c r="AM566" s="191"/>
      <c r="BE566" s="188" t="s">
        <v>3491</v>
      </c>
      <c r="BF566" s="188" t="s">
        <v>4293</v>
      </c>
      <c r="BG566" s="127">
        <v>42863</v>
      </c>
      <c r="BH566" s="188" t="s">
        <v>10</v>
      </c>
      <c r="BI566" s="188" t="s">
        <v>598</v>
      </c>
      <c r="BJ566" s="189">
        <v>10000</v>
      </c>
      <c r="BK566" s="188" t="s">
        <v>493</v>
      </c>
      <c r="BL566" s="188" t="s">
        <v>598</v>
      </c>
      <c r="BM566" s="189">
        <v>0</v>
      </c>
      <c r="BN566" s="188" t="s">
        <v>598</v>
      </c>
      <c r="BO566" s="127">
        <v>42819</v>
      </c>
      <c r="BP566" s="188" t="s">
        <v>58</v>
      </c>
      <c r="BQ566" s="188" t="s">
        <v>551</v>
      </c>
      <c r="BR566" s="188" t="s">
        <v>311</v>
      </c>
      <c r="BS566" s="188" t="s">
        <v>598</v>
      </c>
      <c r="BT566" s="188" t="s">
        <v>42</v>
      </c>
      <c r="BU566" s="188" t="s">
        <v>73</v>
      </c>
      <c r="BV566" s="188" t="s">
        <v>598</v>
      </c>
    </row>
    <row r="567" spans="5:74">
      <c r="E567" s="21"/>
      <c r="Q567" s="191"/>
      <c r="R567" s="191"/>
      <c r="S567" s="191"/>
      <c r="T567" s="127"/>
      <c r="U567" s="127"/>
      <c r="V567" s="191"/>
      <c r="W567" s="190"/>
      <c r="X567" s="191"/>
      <c r="Y567" s="191"/>
      <c r="Z567" s="191"/>
      <c r="AA567" s="191"/>
      <c r="AB567" s="191"/>
      <c r="AC567" s="191"/>
      <c r="AD567" s="191"/>
      <c r="AE567" s="191"/>
      <c r="AF567" s="191"/>
      <c r="AG567" s="191"/>
      <c r="AH567" s="191"/>
      <c r="AI567" s="127"/>
      <c r="AJ567" s="191"/>
      <c r="AK567" s="191"/>
      <c r="AL567" s="190"/>
      <c r="AM567" s="191"/>
      <c r="BE567" s="188" t="s">
        <v>3493</v>
      </c>
      <c r="BF567" s="188" t="s">
        <v>4294</v>
      </c>
      <c r="BG567" s="127">
        <v>42863</v>
      </c>
      <c r="BH567" s="188" t="s">
        <v>10</v>
      </c>
      <c r="BI567" s="188" t="s">
        <v>598</v>
      </c>
      <c r="BJ567" s="189">
        <v>10000</v>
      </c>
      <c r="BK567" s="188" t="s">
        <v>493</v>
      </c>
      <c r="BL567" s="188" t="s">
        <v>598</v>
      </c>
      <c r="BM567" s="189">
        <v>0</v>
      </c>
      <c r="BN567" s="188" t="s">
        <v>598</v>
      </c>
      <c r="BO567" s="127">
        <v>42819</v>
      </c>
      <c r="BP567" s="188" t="s">
        <v>58</v>
      </c>
      <c r="BQ567" s="188" t="s">
        <v>551</v>
      </c>
      <c r="BR567" s="188" t="s">
        <v>311</v>
      </c>
      <c r="BS567" s="188" t="s">
        <v>598</v>
      </c>
      <c r="BT567" s="188" t="s">
        <v>42</v>
      </c>
      <c r="BU567" s="188" t="s">
        <v>73</v>
      </c>
      <c r="BV567" s="188" t="s">
        <v>598</v>
      </c>
    </row>
    <row r="568" spans="5:74">
      <c r="E568" s="21"/>
      <c r="Q568" s="191"/>
      <c r="R568" s="191"/>
      <c r="S568" s="191"/>
      <c r="T568" s="127"/>
      <c r="U568" s="127"/>
      <c r="V568" s="191"/>
      <c r="W568" s="190"/>
      <c r="X568" s="191"/>
      <c r="Y568" s="191"/>
      <c r="Z568" s="191"/>
      <c r="AA568" s="191"/>
      <c r="AB568" s="191"/>
      <c r="AC568" s="191"/>
      <c r="AD568" s="191"/>
      <c r="AE568" s="191"/>
      <c r="AF568" s="191"/>
      <c r="AG568" s="191"/>
      <c r="AH568" s="191"/>
      <c r="AI568" s="127"/>
      <c r="AJ568" s="191"/>
      <c r="AK568" s="191"/>
      <c r="AL568" s="190"/>
      <c r="AM568" s="191"/>
      <c r="BE568" s="188" t="s">
        <v>3495</v>
      </c>
      <c r="BF568" s="188" t="s">
        <v>4295</v>
      </c>
      <c r="BG568" s="127">
        <v>42863</v>
      </c>
      <c r="BH568" s="188" t="s">
        <v>10</v>
      </c>
      <c r="BI568" s="188" t="s">
        <v>598</v>
      </c>
      <c r="BJ568" s="189">
        <v>6750</v>
      </c>
      <c r="BK568" s="188" t="s">
        <v>493</v>
      </c>
      <c r="BL568" s="188" t="s">
        <v>598</v>
      </c>
      <c r="BM568" s="189">
        <v>0</v>
      </c>
      <c r="BN568" s="188" t="s">
        <v>598</v>
      </c>
      <c r="BO568" s="127">
        <v>42819</v>
      </c>
      <c r="BP568" s="188" t="s">
        <v>58</v>
      </c>
      <c r="BQ568" s="188" t="s">
        <v>551</v>
      </c>
      <c r="BR568" s="188" t="s">
        <v>189</v>
      </c>
      <c r="BS568" s="188" t="s">
        <v>598</v>
      </c>
      <c r="BT568" s="188" t="s">
        <v>42</v>
      </c>
      <c r="BU568" s="188" t="s">
        <v>598</v>
      </c>
      <c r="BV568" s="188" t="s">
        <v>598</v>
      </c>
    </row>
    <row r="569" spans="5:74">
      <c r="E569" s="21"/>
      <c r="Q569" s="191"/>
      <c r="R569" s="191"/>
      <c r="S569" s="191"/>
      <c r="T569" s="127"/>
      <c r="U569" s="127"/>
      <c r="V569" s="191"/>
      <c r="W569" s="190"/>
      <c r="X569" s="191"/>
      <c r="Y569" s="191"/>
      <c r="Z569" s="191"/>
      <c r="AA569" s="191"/>
      <c r="AB569" s="191"/>
      <c r="AC569" s="191"/>
      <c r="AD569" s="191"/>
      <c r="AE569" s="191"/>
      <c r="AF569" s="191"/>
      <c r="AG569" s="191"/>
      <c r="AH569" s="191"/>
      <c r="AI569" s="127"/>
      <c r="AJ569" s="191"/>
      <c r="AK569" s="191"/>
      <c r="AL569" s="190"/>
      <c r="AM569" s="191"/>
      <c r="BE569" s="188" t="s">
        <v>3497</v>
      </c>
      <c r="BF569" s="188" t="s">
        <v>4296</v>
      </c>
      <c r="BG569" s="127">
        <v>42863</v>
      </c>
      <c r="BH569" s="188" t="s">
        <v>10</v>
      </c>
      <c r="BI569" s="188" t="s">
        <v>598</v>
      </c>
      <c r="BJ569" s="189">
        <v>6750</v>
      </c>
      <c r="BK569" s="188" t="s">
        <v>493</v>
      </c>
      <c r="BL569" s="188" t="s">
        <v>598</v>
      </c>
      <c r="BM569" s="189">
        <v>0</v>
      </c>
      <c r="BN569" s="188" t="s">
        <v>598</v>
      </c>
      <c r="BO569" s="127">
        <v>42819</v>
      </c>
      <c r="BP569" s="188" t="s">
        <v>58</v>
      </c>
      <c r="BQ569" s="188" t="s">
        <v>551</v>
      </c>
      <c r="BR569" s="188" t="s">
        <v>189</v>
      </c>
      <c r="BS569" s="188" t="s">
        <v>598</v>
      </c>
      <c r="BT569" s="188" t="s">
        <v>42</v>
      </c>
      <c r="BU569" s="188" t="s">
        <v>598</v>
      </c>
      <c r="BV569" s="188" t="s">
        <v>598</v>
      </c>
    </row>
    <row r="570" spans="5:74">
      <c r="E570" s="21"/>
      <c r="Q570" s="191"/>
      <c r="R570" s="191"/>
      <c r="S570" s="191"/>
      <c r="T570" s="127"/>
      <c r="U570" s="127"/>
      <c r="V570" s="191"/>
      <c r="W570" s="190"/>
      <c r="X570" s="191"/>
      <c r="Y570" s="191"/>
      <c r="Z570" s="191"/>
      <c r="AA570" s="191"/>
      <c r="AB570" s="191"/>
      <c r="AC570" s="191"/>
      <c r="AD570" s="191"/>
      <c r="AE570" s="191"/>
      <c r="AF570" s="191"/>
      <c r="AG570" s="191"/>
      <c r="AH570" s="191"/>
      <c r="AI570" s="127"/>
      <c r="AJ570" s="191"/>
      <c r="AK570" s="191"/>
      <c r="AL570" s="190"/>
      <c r="AM570" s="191"/>
      <c r="BE570" s="188" t="s">
        <v>3499</v>
      </c>
      <c r="BF570" s="188" t="s">
        <v>4297</v>
      </c>
      <c r="BG570" s="127">
        <v>42863</v>
      </c>
      <c r="BH570" s="188" t="s">
        <v>10</v>
      </c>
      <c r="BI570" s="188" t="s">
        <v>598</v>
      </c>
      <c r="BJ570" s="189">
        <v>6750</v>
      </c>
      <c r="BK570" s="188" t="s">
        <v>493</v>
      </c>
      <c r="BL570" s="188" t="s">
        <v>598</v>
      </c>
      <c r="BM570" s="189">
        <v>0</v>
      </c>
      <c r="BN570" s="188" t="s">
        <v>598</v>
      </c>
      <c r="BO570" s="127">
        <v>42819</v>
      </c>
      <c r="BP570" s="188" t="s">
        <v>58</v>
      </c>
      <c r="BQ570" s="188" t="s">
        <v>551</v>
      </c>
      <c r="BR570" s="188" t="s">
        <v>189</v>
      </c>
      <c r="BS570" s="188" t="s">
        <v>598</v>
      </c>
      <c r="BT570" s="188" t="s">
        <v>42</v>
      </c>
      <c r="BU570" s="188" t="s">
        <v>598</v>
      </c>
      <c r="BV570" s="188" t="s">
        <v>598</v>
      </c>
    </row>
    <row r="571" spans="5:74">
      <c r="E571" s="21"/>
      <c r="Q571" s="191"/>
      <c r="R571" s="191"/>
      <c r="S571" s="191"/>
      <c r="T571" s="127"/>
      <c r="U571" s="127"/>
      <c r="V571" s="191"/>
      <c r="W571" s="190"/>
      <c r="X571" s="191"/>
      <c r="Y571" s="191"/>
      <c r="Z571" s="191"/>
      <c r="AA571" s="191"/>
      <c r="AB571" s="191"/>
      <c r="AC571" s="191"/>
      <c r="AD571" s="191"/>
      <c r="AE571" s="191"/>
      <c r="AF571" s="191"/>
      <c r="AG571" s="191"/>
      <c r="AH571" s="191"/>
      <c r="AI571" s="127"/>
      <c r="AJ571" s="191"/>
      <c r="AK571" s="191"/>
      <c r="AL571" s="190"/>
      <c r="AM571" s="191"/>
      <c r="BE571" s="188" t="s">
        <v>3500</v>
      </c>
      <c r="BF571" s="188" t="s">
        <v>4298</v>
      </c>
      <c r="BG571" s="127">
        <v>42863</v>
      </c>
      <c r="BH571" s="188" t="s">
        <v>10</v>
      </c>
      <c r="BI571" s="188" t="s">
        <v>598</v>
      </c>
      <c r="BJ571" s="189">
        <v>6750</v>
      </c>
      <c r="BK571" s="188" t="s">
        <v>493</v>
      </c>
      <c r="BL571" s="188" t="s">
        <v>598</v>
      </c>
      <c r="BM571" s="189">
        <v>0</v>
      </c>
      <c r="BN571" s="188" t="s">
        <v>598</v>
      </c>
      <c r="BO571" s="127">
        <v>42819</v>
      </c>
      <c r="BP571" s="188" t="s">
        <v>58</v>
      </c>
      <c r="BQ571" s="188" t="s">
        <v>551</v>
      </c>
      <c r="BR571" s="188" t="s">
        <v>189</v>
      </c>
      <c r="BS571" s="188" t="s">
        <v>598</v>
      </c>
      <c r="BT571" s="188" t="s">
        <v>42</v>
      </c>
      <c r="BU571" s="188" t="s">
        <v>598</v>
      </c>
      <c r="BV571" s="188" t="s">
        <v>598</v>
      </c>
    </row>
    <row r="572" spans="5:74">
      <c r="E572" s="21"/>
      <c r="Q572" s="191"/>
      <c r="R572" s="191"/>
      <c r="S572" s="191"/>
      <c r="T572" s="127"/>
      <c r="U572" s="127"/>
      <c r="V572" s="191"/>
      <c r="W572" s="190"/>
      <c r="X572" s="191"/>
      <c r="Y572" s="191"/>
      <c r="Z572" s="191"/>
      <c r="AA572" s="191"/>
      <c r="AB572" s="191"/>
      <c r="AC572" s="191"/>
      <c r="AD572" s="191"/>
      <c r="AE572" s="191"/>
      <c r="AF572" s="191"/>
      <c r="AG572" s="191"/>
      <c r="AH572" s="191"/>
      <c r="AI572" s="127"/>
      <c r="AJ572" s="191"/>
      <c r="AK572" s="191"/>
      <c r="AL572" s="190"/>
      <c r="AM572" s="191"/>
      <c r="BE572" s="188" t="s">
        <v>3501</v>
      </c>
      <c r="BF572" s="188" t="s">
        <v>4299</v>
      </c>
      <c r="BG572" s="127">
        <v>42863</v>
      </c>
      <c r="BH572" s="188" t="s">
        <v>10</v>
      </c>
      <c r="BI572" s="188" t="s">
        <v>598</v>
      </c>
      <c r="BJ572" s="189">
        <v>10000</v>
      </c>
      <c r="BK572" s="188" t="s">
        <v>493</v>
      </c>
      <c r="BL572" s="188" t="s">
        <v>598</v>
      </c>
      <c r="BM572" s="189">
        <v>0</v>
      </c>
      <c r="BN572" s="188" t="s">
        <v>598</v>
      </c>
      <c r="BO572" s="127">
        <v>42837</v>
      </c>
      <c r="BP572" s="188" t="s">
        <v>58</v>
      </c>
      <c r="BQ572" s="188" t="s">
        <v>551</v>
      </c>
      <c r="BR572" s="188" t="s">
        <v>311</v>
      </c>
      <c r="BS572" s="188" t="s">
        <v>598</v>
      </c>
      <c r="BT572" s="188" t="s">
        <v>42</v>
      </c>
      <c r="BU572" s="188" t="s">
        <v>73</v>
      </c>
      <c r="BV572" s="188" t="s">
        <v>598</v>
      </c>
    </row>
    <row r="573" spans="5:74">
      <c r="E573" s="21"/>
      <c r="Q573" s="191"/>
      <c r="R573" s="191"/>
      <c r="S573" s="191"/>
      <c r="T573" s="127"/>
      <c r="U573" s="127"/>
      <c r="V573" s="191"/>
      <c r="W573" s="190"/>
      <c r="X573" s="191"/>
      <c r="Y573" s="191"/>
      <c r="Z573" s="191"/>
      <c r="AA573" s="191"/>
      <c r="AB573" s="191"/>
      <c r="AC573" s="191"/>
      <c r="AD573" s="191"/>
      <c r="AE573" s="191"/>
      <c r="AF573" s="191"/>
      <c r="AG573" s="191"/>
      <c r="AH573" s="191"/>
      <c r="AI573" s="127"/>
      <c r="AJ573" s="191"/>
      <c r="AK573" s="191"/>
      <c r="AL573" s="190"/>
      <c r="AM573" s="191"/>
      <c r="BE573" s="188" t="s">
        <v>3503</v>
      </c>
      <c r="BF573" s="188" t="s">
        <v>4300</v>
      </c>
      <c r="BG573" s="127">
        <v>42884</v>
      </c>
      <c r="BH573" s="188" t="s">
        <v>10</v>
      </c>
      <c r="BI573" s="188" t="s">
        <v>598</v>
      </c>
      <c r="BJ573" s="189">
        <v>7500</v>
      </c>
      <c r="BK573" s="188" t="s">
        <v>493</v>
      </c>
      <c r="BL573" s="188">
        <v>4026</v>
      </c>
      <c r="BM573" s="189">
        <v>7500</v>
      </c>
      <c r="BN573" s="188" t="s">
        <v>598</v>
      </c>
      <c r="BO573" s="127">
        <v>42860</v>
      </c>
      <c r="BP573" s="188" t="s">
        <v>598</v>
      </c>
      <c r="BQ573" s="188" t="s">
        <v>111</v>
      </c>
      <c r="BR573" s="188" t="s">
        <v>598</v>
      </c>
      <c r="BS573" s="188" t="s">
        <v>598</v>
      </c>
      <c r="BT573" s="188" t="s">
        <v>63</v>
      </c>
      <c r="BU573" s="188" t="s">
        <v>63</v>
      </c>
      <c r="BV573" s="188" t="s">
        <v>598</v>
      </c>
    </row>
    <row r="574" spans="5:74">
      <c r="E574" s="21"/>
      <c r="Q574" s="191"/>
      <c r="R574" s="191"/>
      <c r="S574" s="191"/>
      <c r="T574" s="127"/>
      <c r="U574" s="127"/>
      <c r="V574" s="191"/>
      <c r="W574" s="190"/>
      <c r="X574" s="191"/>
      <c r="Y574" s="191"/>
      <c r="Z574" s="191"/>
      <c r="AA574" s="191"/>
      <c r="AB574" s="191"/>
      <c r="AC574" s="191"/>
      <c r="AD574" s="191"/>
      <c r="AE574" s="191"/>
      <c r="AF574" s="191"/>
      <c r="AG574" s="191"/>
      <c r="AH574" s="191"/>
      <c r="AI574" s="127"/>
      <c r="AJ574" s="191"/>
      <c r="AK574" s="191"/>
      <c r="AL574" s="190"/>
      <c r="AM574" s="191"/>
      <c r="BE574" s="188" t="s">
        <v>3505</v>
      </c>
      <c r="BF574" s="188" t="s">
        <v>4301</v>
      </c>
      <c r="BG574" s="127">
        <v>42884</v>
      </c>
      <c r="BH574" s="188" t="s">
        <v>10</v>
      </c>
      <c r="BI574" s="188" t="s">
        <v>598</v>
      </c>
      <c r="BJ574" s="189">
        <v>7500</v>
      </c>
      <c r="BK574" s="188" t="s">
        <v>493</v>
      </c>
      <c r="BL574" s="188">
        <v>4026</v>
      </c>
      <c r="BM574" s="189">
        <v>7500</v>
      </c>
      <c r="BN574" s="188" t="s">
        <v>598</v>
      </c>
      <c r="BO574" s="127">
        <v>42860</v>
      </c>
      <c r="BP574" s="188" t="s">
        <v>598</v>
      </c>
      <c r="BQ574" s="188" t="s">
        <v>111</v>
      </c>
      <c r="BR574" s="188" t="s">
        <v>598</v>
      </c>
      <c r="BS574" s="188" t="s">
        <v>598</v>
      </c>
      <c r="BT574" s="188" t="s">
        <v>63</v>
      </c>
      <c r="BU574" s="188" t="s">
        <v>63</v>
      </c>
      <c r="BV574" s="188" t="s">
        <v>598</v>
      </c>
    </row>
    <row r="575" spans="5:74">
      <c r="E575" s="21"/>
      <c r="Q575" s="191"/>
      <c r="R575" s="191"/>
      <c r="S575" s="191"/>
      <c r="T575" s="127"/>
      <c r="U575" s="127"/>
      <c r="V575" s="191"/>
      <c r="W575" s="190"/>
      <c r="X575" s="191"/>
      <c r="Y575" s="191"/>
      <c r="Z575" s="191"/>
      <c r="AA575" s="191"/>
      <c r="AB575" s="191"/>
      <c r="AC575" s="191"/>
      <c r="AD575" s="191"/>
      <c r="AE575" s="191"/>
      <c r="AF575" s="191"/>
      <c r="AG575" s="191"/>
      <c r="AH575" s="191"/>
      <c r="AI575" s="127"/>
      <c r="AJ575" s="191"/>
      <c r="AK575" s="191"/>
      <c r="AL575" s="190"/>
      <c r="AM575" s="191"/>
      <c r="BE575" s="188" t="s">
        <v>3506</v>
      </c>
      <c r="BF575" s="188" t="s">
        <v>4302</v>
      </c>
      <c r="BG575" s="127">
        <v>42871</v>
      </c>
      <c r="BH575" s="188" t="s">
        <v>34</v>
      </c>
      <c r="BI575" s="188" t="s">
        <v>598</v>
      </c>
      <c r="BJ575" s="189">
        <v>4000</v>
      </c>
      <c r="BK575" s="188" t="s">
        <v>493</v>
      </c>
      <c r="BL575" s="188" t="s">
        <v>598</v>
      </c>
      <c r="BM575" s="189">
        <v>0</v>
      </c>
      <c r="BN575" s="188" t="s">
        <v>598</v>
      </c>
      <c r="BO575" s="127">
        <v>42864</v>
      </c>
      <c r="BP575" s="188" t="s">
        <v>598</v>
      </c>
      <c r="BQ575" s="188" t="s">
        <v>111</v>
      </c>
      <c r="BR575" s="188" t="s">
        <v>222</v>
      </c>
      <c r="BS575" s="188" t="s">
        <v>598</v>
      </c>
      <c r="BT575" s="188" t="s">
        <v>63</v>
      </c>
      <c r="BU575" s="188" t="s">
        <v>63</v>
      </c>
      <c r="BV575" s="188" t="s">
        <v>598</v>
      </c>
    </row>
    <row r="576" spans="5:74">
      <c r="E576" s="21"/>
      <c r="Q576" s="191"/>
      <c r="R576" s="191"/>
      <c r="S576" s="191"/>
      <c r="T576" s="127"/>
      <c r="U576" s="127"/>
      <c r="V576" s="191"/>
      <c r="W576" s="190"/>
      <c r="X576" s="191"/>
      <c r="Y576" s="191"/>
      <c r="Z576" s="191"/>
      <c r="AA576" s="191"/>
      <c r="AB576" s="191"/>
      <c r="AC576" s="191"/>
      <c r="AD576" s="191"/>
      <c r="AE576" s="191"/>
      <c r="AF576" s="191"/>
      <c r="AG576" s="191"/>
      <c r="AH576" s="191"/>
      <c r="AI576" s="127"/>
      <c r="AJ576" s="191"/>
      <c r="AK576" s="191"/>
      <c r="AL576" s="190"/>
      <c r="AM576" s="191"/>
      <c r="BE576" s="188" t="s">
        <v>3508</v>
      </c>
      <c r="BF576" s="188" t="s">
        <v>4303</v>
      </c>
      <c r="BG576" s="127">
        <v>42865</v>
      </c>
      <c r="BH576" s="188" t="s">
        <v>34</v>
      </c>
      <c r="BI576" s="188" t="s">
        <v>598</v>
      </c>
      <c r="BJ576" s="189">
        <v>3000</v>
      </c>
      <c r="BK576" s="188" t="s">
        <v>493</v>
      </c>
      <c r="BL576" s="188" t="s">
        <v>598</v>
      </c>
      <c r="BM576" s="189">
        <v>0</v>
      </c>
      <c r="BN576" s="188" t="s">
        <v>598</v>
      </c>
      <c r="BO576" s="127">
        <v>42864</v>
      </c>
      <c r="BP576" s="188" t="s">
        <v>598</v>
      </c>
      <c r="BQ576" s="188" t="s">
        <v>111</v>
      </c>
      <c r="BR576" s="188" t="s">
        <v>598</v>
      </c>
      <c r="BS576" s="188" t="s">
        <v>598</v>
      </c>
      <c r="BT576" s="188" t="s">
        <v>63</v>
      </c>
      <c r="BU576" s="188" t="s">
        <v>86</v>
      </c>
      <c r="BV576" s="188" t="s">
        <v>598</v>
      </c>
    </row>
    <row r="577" spans="5:74">
      <c r="E577" s="21"/>
      <c r="Q577" s="191"/>
      <c r="R577" s="191"/>
      <c r="S577" s="191"/>
      <c r="T577" s="127"/>
      <c r="U577" s="127"/>
      <c r="V577" s="191"/>
      <c r="W577" s="190"/>
      <c r="X577" s="191"/>
      <c r="Y577" s="191"/>
      <c r="Z577" s="191"/>
      <c r="AA577" s="191"/>
      <c r="AB577" s="191"/>
      <c r="AC577" s="191"/>
      <c r="AD577" s="191"/>
      <c r="AE577" s="191"/>
      <c r="AF577" s="191"/>
      <c r="AG577" s="191"/>
      <c r="AH577" s="191"/>
      <c r="AI577" s="127"/>
      <c r="AJ577" s="191"/>
      <c r="AK577" s="191"/>
      <c r="AL577" s="190"/>
      <c r="AM577" s="191"/>
      <c r="BE577" s="188" t="s">
        <v>3510</v>
      </c>
      <c r="BF577" s="188" t="s">
        <v>4304</v>
      </c>
      <c r="BG577" s="127">
        <v>42857</v>
      </c>
      <c r="BH577" s="188" t="s">
        <v>10</v>
      </c>
      <c r="BI577" s="188" t="s">
        <v>598</v>
      </c>
      <c r="BJ577" s="189">
        <v>5000</v>
      </c>
      <c r="BK577" s="188" t="s">
        <v>493</v>
      </c>
      <c r="BL577" s="188">
        <v>3871</v>
      </c>
      <c r="BM577" s="189">
        <v>5000</v>
      </c>
      <c r="BN577" s="188" t="s">
        <v>598</v>
      </c>
      <c r="BO577" s="127">
        <v>42830</v>
      </c>
      <c r="BP577" s="188" t="s">
        <v>598</v>
      </c>
      <c r="BQ577" s="188" t="s">
        <v>116</v>
      </c>
      <c r="BR577" s="188" t="s">
        <v>299</v>
      </c>
      <c r="BS577" s="188" t="s">
        <v>598</v>
      </c>
      <c r="BT577" s="188" t="s">
        <v>63</v>
      </c>
      <c r="BU577" s="188" t="s">
        <v>63</v>
      </c>
      <c r="BV577" s="188" t="s">
        <v>598</v>
      </c>
    </row>
    <row r="578" spans="5:74">
      <c r="E578" s="21"/>
      <c r="Q578" s="191"/>
      <c r="R578" s="191"/>
      <c r="S578" s="191"/>
      <c r="T578" s="127"/>
      <c r="U578" s="127"/>
      <c r="V578" s="191"/>
      <c r="W578" s="190"/>
      <c r="X578" s="191"/>
      <c r="Y578" s="191"/>
      <c r="Z578" s="191"/>
      <c r="AA578" s="191"/>
      <c r="AB578" s="191"/>
      <c r="AC578" s="191"/>
      <c r="AD578" s="191"/>
      <c r="AE578" s="191"/>
      <c r="AF578" s="191"/>
      <c r="AG578" s="191"/>
      <c r="AH578" s="191"/>
      <c r="AI578" s="127"/>
      <c r="AJ578" s="191"/>
      <c r="AK578" s="191"/>
      <c r="AL578" s="190"/>
      <c r="AM578" s="191"/>
      <c r="BE578" s="188" t="s">
        <v>3512</v>
      </c>
      <c r="BF578" s="188" t="s">
        <v>4305</v>
      </c>
      <c r="BG578" s="127">
        <v>42884</v>
      </c>
      <c r="BH578" s="188" t="s">
        <v>10</v>
      </c>
      <c r="BI578" s="188" t="s">
        <v>598</v>
      </c>
      <c r="BJ578" s="189">
        <v>5000</v>
      </c>
      <c r="BK578" s="188" t="s">
        <v>493</v>
      </c>
      <c r="BL578" s="188">
        <v>4035</v>
      </c>
      <c r="BM578" s="189">
        <v>4000</v>
      </c>
      <c r="BN578" s="188" t="s">
        <v>598</v>
      </c>
      <c r="BO578" s="127">
        <v>42873</v>
      </c>
      <c r="BP578" s="188" t="s">
        <v>598</v>
      </c>
      <c r="BQ578" s="188" t="s">
        <v>119</v>
      </c>
      <c r="BR578" s="188" t="s">
        <v>299</v>
      </c>
      <c r="BS578" s="188" t="s">
        <v>598</v>
      </c>
      <c r="BT578" s="188" t="s">
        <v>63</v>
      </c>
      <c r="BU578" s="188" t="s">
        <v>86</v>
      </c>
      <c r="BV578" s="188" t="s">
        <v>598</v>
      </c>
    </row>
    <row r="579" spans="5:74">
      <c r="E579" s="21"/>
      <c r="Q579" s="191"/>
      <c r="R579" s="191"/>
      <c r="S579" s="191"/>
      <c r="T579" s="127"/>
      <c r="U579" s="127"/>
      <c r="V579" s="191"/>
      <c r="W579" s="190"/>
      <c r="X579" s="191"/>
      <c r="Y579" s="191"/>
      <c r="Z579" s="191"/>
      <c r="AA579" s="191"/>
      <c r="AB579" s="191"/>
      <c r="AC579" s="191"/>
      <c r="AD579" s="191"/>
      <c r="AE579" s="191"/>
      <c r="AF579" s="191"/>
      <c r="AG579" s="191"/>
      <c r="AH579" s="191"/>
      <c r="AI579" s="127"/>
      <c r="AJ579" s="191"/>
      <c r="AK579" s="191"/>
      <c r="AL579" s="190"/>
      <c r="AM579" s="191"/>
      <c r="BE579" s="188" t="s">
        <v>3513</v>
      </c>
      <c r="BF579" s="188" t="s">
        <v>4306</v>
      </c>
      <c r="BG579" s="127">
        <v>42859</v>
      </c>
      <c r="BH579" s="188" t="s">
        <v>10</v>
      </c>
      <c r="BI579" s="188" t="s">
        <v>598</v>
      </c>
      <c r="BJ579" s="189">
        <v>2500</v>
      </c>
      <c r="BK579" s="188" t="s">
        <v>493</v>
      </c>
      <c r="BL579" s="188" t="s">
        <v>598</v>
      </c>
      <c r="BM579" s="189">
        <v>0</v>
      </c>
      <c r="BN579" s="188" t="s">
        <v>598</v>
      </c>
      <c r="BO579" s="127">
        <v>42816</v>
      </c>
      <c r="BP579" s="188" t="s">
        <v>598</v>
      </c>
      <c r="BQ579" s="188" t="s">
        <v>119</v>
      </c>
      <c r="BR579" s="188" t="s">
        <v>435</v>
      </c>
      <c r="BS579" s="188" t="s">
        <v>598</v>
      </c>
      <c r="BT579" s="188" t="s">
        <v>63</v>
      </c>
      <c r="BU579" s="188" t="s">
        <v>63</v>
      </c>
      <c r="BV579" s="188" t="s">
        <v>598</v>
      </c>
    </row>
    <row r="580" spans="5:74">
      <c r="E580" s="21"/>
      <c r="Q580" s="191"/>
      <c r="R580" s="191"/>
      <c r="S580" s="191"/>
      <c r="T580" s="127"/>
      <c r="U580" s="127"/>
      <c r="V580" s="191"/>
      <c r="W580" s="190"/>
      <c r="X580" s="191"/>
      <c r="Y580" s="191"/>
      <c r="Z580" s="191"/>
      <c r="AA580" s="191"/>
      <c r="AB580" s="191"/>
      <c r="AC580" s="191"/>
      <c r="AD580" s="191"/>
      <c r="AE580" s="191"/>
      <c r="AF580" s="191"/>
      <c r="AG580" s="191"/>
      <c r="AH580" s="191"/>
      <c r="AI580" s="127"/>
      <c r="AJ580" s="191"/>
      <c r="AK580" s="191"/>
      <c r="AL580" s="190"/>
      <c r="AM580" s="191"/>
      <c r="BE580" s="188" t="s">
        <v>3515</v>
      </c>
      <c r="BF580" s="188" t="s">
        <v>4307</v>
      </c>
      <c r="BG580" s="127">
        <v>42864</v>
      </c>
      <c r="BH580" s="188" t="s">
        <v>34</v>
      </c>
      <c r="BI580" s="188" t="s">
        <v>598</v>
      </c>
      <c r="BJ580" s="189">
        <v>2500</v>
      </c>
      <c r="BK580" s="188" t="s">
        <v>493</v>
      </c>
      <c r="BL580" s="188" t="s">
        <v>598</v>
      </c>
      <c r="BM580" s="189">
        <v>0</v>
      </c>
      <c r="BN580" s="188" t="s">
        <v>598</v>
      </c>
      <c r="BO580" s="127">
        <v>42857</v>
      </c>
      <c r="BP580" s="188" t="s">
        <v>135</v>
      </c>
      <c r="BQ580" s="188" t="s">
        <v>92</v>
      </c>
      <c r="BR580" s="188" t="s">
        <v>377</v>
      </c>
      <c r="BS580" s="188" t="s">
        <v>598</v>
      </c>
      <c r="BT580" s="188" t="s">
        <v>79</v>
      </c>
      <c r="BU580" s="188" t="s">
        <v>112</v>
      </c>
      <c r="BV580" s="188" t="s">
        <v>598</v>
      </c>
    </row>
    <row r="581" spans="5:74">
      <c r="E581" s="21"/>
      <c r="Q581" s="191"/>
      <c r="R581" s="191"/>
      <c r="S581" s="191"/>
      <c r="T581" s="127"/>
      <c r="U581" s="127"/>
      <c r="V581" s="191"/>
      <c r="W581" s="190"/>
      <c r="X581" s="191"/>
      <c r="Y581" s="191"/>
      <c r="Z581" s="191"/>
      <c r="AA581" s="191"/>
      <c r="AB581" s="191"/>
      <c r="AC581" s="191"/>
      <c r="AD581" s="191"/>
      <c r="AE581" s="191"/>
      <c r="AF581" s="191"/>
      <c r="AG581" s="191"/>
      <c r="AH581" s="191"/>
      <c r="AI581" s="127"/>
      <c r="AJ581" s="191"/>
      <c r="AK581" s="191"/>
      <c r="AL581" s="190"/>
      <c r="AM581" s="191"/>
      <c r="BE581" s="188" t="s">
        <v>3517</v>
      </c>
      <c r="BF581" s="188" t="s">
        <v>4308</v>
      </c>
      <c r="BG581" s="127">
        <v>42866</v>
      </c>
      <c r="BH581" s="188" t="s">
        <v>34</v>
      </c>
      <c r="BI581" s="188" t="s">
        <v>598</v>
      </c>
      <c r="BJ581" s="189">
        <v>2500</v>
      </c>
      <c r="BK581" s="188" t="s">
        <v>493</v>
      </c>
      <c r="BL581" s="188" t="s">
        <v>598</v>
      </c>
      <c r="BM581" s="189">
        <v>0</v>
      </c>
      <c r="BN581" s="188" t="s">
        <v>598</v>
      </c>
      <c r="BO581" s="127">
        <v>42857</v>
      </c>
      <c r="BP581" s="188" t="s">
        <v>134</v>
      </c>
      <c r="BQ581" s="188" t="s">
        <v>92</v>
      </c>
      <c r="BR581" s="188" t="s">
        <v>598</v>
      </c>
      <c r="BS581" s="188" t="s">
        <v>598</v>
      </c>
      <c r="BT581" s="188" t="s">
        <v>79</v>
      </c>
      <c r="BU581" s="188" t="s">
        <v>112</v>
      </c>
      <c r="BV581" s="188" t="s">
        <v>598</v>
      </c>
    </row>
    <row r="582" spans="5:74">
      <c r="E582" s="21"/>
      <c r="Q582" s="191"/>
      <c r="R582" s="191"/>
      <c r="S582" s="191"/>
      <c r="T582" s="127"/>
      <c r="U582" s="127"/>
      <c r="V582" s="191"/>
      <c r="W582" s="190"/>
      <c r="X582" s="191"/>
      <c r="Y582" s="191"/>
      <c r="Z582" s="191"/>
      <c r="AA582" s="191"/>
      <c r="AB582" s="191"/>
      <c r="AC582" s="191"/>
      <c r="AD582" s="191"/>
      <c r="AE582" s="191"/>
      <c r="AF582" s="191"/>
      <c r="AG582" s="191"/>
      <c r="AH582" s="191"/>
      <c r="AI582" s="127"/>
      <c r="AJ582" s="191"/>
      <c r="AK582" s="191"/>
      <c r="AL582" s="190"/>
      <c r="AM582" s="191"/>
      <c r="BE582" s="188" t="s">
        <v>3519</v>
      </c>
      <c r="BF582" s="188" t="s">
        <v>4309</v>
      </c>
      <c r="BG582" s="127">
        <v>42871</v>
      </c>
      <c r="BH582" s="188" t="s">
        <v>34</v>
      </c>
      <c r="BI582" s="188" t="s">
        <v>598</v>
      </c>
      <c r="BJ582" s="189">
        <v>4000</v>
      </c>
      <c r="BK582" s="188" t="s">
        <v>493</v>
      </c>
      <c r="BL582" s="188" t="s">
        <v>598</v>
      </c>
      <c r="BM582" s="189">
        <v>0</v>
      </c>
      <c r="BN582" s="188" t="s">
        <v>598</v>
      </c>
      <c r="BO582" s="127">
        <v>42858</v>
      </c>
      <c r="BP582" s="188" t="s">
        <v>120</v>
      </c>
      <c r="BQ582" s="188" t="s">
        <v>92</v>
      </c>
      <c r="BR582" s="188" t="s">
        <v>205</v>
      </c>
      <c r="BS582" s="188" t="s">
        <v>598</v>
      </c>
      <c r="BT582" s="188" t="s">
        <v>79</v>
      </c>
      <c r="BU582" s="188" t="s">
        <v>112</v>
      </c>
      <c r="BV582" s="188" t="s">
        <v>598</v>
      </c>
    </row>
    <row r="583" spans="5:74">
      <c r="E583" s="21"/>
      <c r="Q583" s="191"/>
      <c r="R583" s="191"/>
      <c r="S583" s="191"/>
      <c r="T583" s="127"/>
      <c r="U583" s="127"/>
      <c r="V583" s="191"/>
      <c r="W583" s="190"/>
      <c r="X583" s="191"/>
      <c r="Y583" s="191"/>
      <c r="Z583" s="191"/>
      <c r="AA583" s="191"/>
      <c r="AB583" s="191"/>
      <c r="AC583" s="191"/>
      <c r="AD583" s="191"/>
      <c r="AE583" s="191"/>
      <c r="AF583" s="191"/>
      <c r="AG583" s="191"/>
      <c r="AH583" s="191"/>
      <c r="AI583" s="127"/>
      <c r="AJ583" s="191"/>
      <c r="AK583" s="191"/>
      <c r="AL583" s="190"/>
      <c r="AM583" s="191"/>
      <c r="BE583" s="188" t="s">
        <v>3521</v>
      </c>
      <c r="BF583" s="188" t="s">
        <v>4310</v>
      </c>
      <c r="BG583" s="127">
        <v>42861</v>
      </c>
      <c r="BH583" s="188" t="s">
        <v>34</v>
      </c>
      <c r="BI583" s="188" t="s">
        <v>598</v>
      </c>
      <c r="BJ583" s="189">
        <v>4000</v>
      </c>
      <c r="BK583" s="188" t="s">
        <v>493</v>
      </c>
      <c r="BL583" s="188" t="s">
        <v>598</v>
      </c>
      <c r="BM583" s="189">
        <v>0</v>
      </c>
      <c r="BN583" s="188" t="s">
        <v>598</v>
      </c>
      <c r="BO583" s="127">
        <v>42858</v>
      </c>
      <c r="BP583" s="188" t="s">
        <v>134</v>
      </c>
      <c r="BQ583" s="188" t="s">
        <v>92</v>
      </c>
      <c r="BR583" s="188" t="s">
        <v>205</v>
      </c>
      <c r="BS583" s="188" t="s">
        <v>598</v>
      </c>
      <c r="BT583" s="188" t="s">
        <v>79</v>
      </c>
      <c r="BU583" s="188" t="s">
        <v>112</v>
      </c>
      <c r="BV583" s="188" t="s">
        <v>598</v>
      </c>
    </row>
    <row r="584" spans="5:74">
      <c r="E584" s="21"/>
      <c r="Q584" s="191"/>
      <c r="R584" s="191"/>
      <c r="S584" s="191"/>
      <c r="T584" s="127"/>
      <c r="U584" s="127"/>
      <c r="V584" s="191"/>
      <c r="W584" s="190"/>
      <c r="X584" s="191"/>
      <c r="Y584" s="191"/>
      <c r="Z584" s="191"/>
      <c r="AA584" s="191"/>
      <c r="AB584" s="191"/>
      <c r="AC584" s="191"/>
      <c r="AD584" s="191"/>
      <c r="AE584" s="191"/>
      <c r="AF584" s="191"/>
      <c r="AG584" s="191"/>
      <c r="AH584" s="191"/>
      <c r="AI584" s="127"/>
      <c r="AJ584" s="191"/>
      <c r="AK584" s="191"/>
      <c r="AL584" s="190"/>
      <c r="AM584" s="191"/>
      <c r="BE584" s="188" t="s">
        <v>3523</v>
      </c>
      <c r="BF584" s="188" t="s">
        <v>4311</v>
      </c>
      <c r="BG584" s="127">
        <v>42864</v>
      </c>
      <c r="BH584" s="188" t="s">
        <v>10</v>
      </c>
      <c r="BI584" s="188" t="s">
        <v>598</v>
      </c>
      <c r="BJ584" s="189">
        <v>3000</v>
      </c>
      <c r="BK584" s="188" t="s">
        <v>493</v>
      </c>
      <c r="BL584" s="188" t="s">
        <v>598</v>
      </c>
      <c r="BM584" s="189">
        <v>0</v>
      </c>
      <c r="BN584" s="188" t="s">
        <v>598</v>
      </c>
      <c r="BO584" s="127">
        <v>42859</v>
      </c>
      <c r="BP584" s="188" t="s">
        <v>115</v>
      </c>
      <c r="BQ584" s="188" t="s">
        <v>92</v>
      </c>
      <c r="BR584" s="188" t="s">
        <v>463</v>
      </c>
      <c r="BS584" s="188" t="s">
        <v>598</v>
      </c>
      <c r="BT584" s="188" t="s">
        <v>79</v>
      </c>
      <c r="BU584" s="188" t="s">
        <v>79</v>
      </c>
      <c r="BV584" s="188" t="s">
        <v>598</v>
      </c>
    </row>
    <row r="585" spans="5:74">
      <c r="E585" s="21"/>
      <c r="Q585" s="191"/>
      <c r="R585" s="191"/>
      <c r="S585" s="191"/>
      <c r="T585" s="127"/>
      <c r="U585" s="127"/>
      <c r="V585" s="191"/>
      <c r="W585" s="190"/>
      <c r="X585" s="191"/>
      <c r="Y585" s="191"/>
      <c r="Z585" s="191"/>
      <c r="AA585" s="191"/>
      <c r="AB585" s="191"/>
      <c r="AC585" s="191"/>
      <c r="AD585" s="191"/>
      <c r="AE585" s="191"/>
      <c r="AF585" s="191"/>
      <c r="AG585" s="191"/>
      <c r="AH585" s="191"/>
      <c r="AI585" s="127"/>
      <c r="AJ585" s="191"/>
      <c r="AK585" s="191"/>
      <c r="AL585" s="190"/>
      <c r="AM585" s="191"/>
      <c r="BE585" s="188" t="s">
        <v>3525</v>
      </c>
      <c r="BF585" s="188" t="s">
        <v>4312</v>
      </c>
      <c r="BG585" s="127">
        <v>42864</v>
      </c>
      <c r="BH585" s="188" t="s">
        <v>34</v>
      </c>
      <c r="BI585" s="188" t="s">
        <v>598</v>
      </c>
      <c r="BJ585" s="189">
        <v>3000</v>
      </c>
      <c r="BK585" s="188" t="s">
        <v>493</v>
      </c>
      <c r="BL585" s="188" t="s">
        <v>598</v>
      </c>
      <c r="BM585" s="189">
        <v>0</v>
      </c>
      <c r="BN585" s="188" t="s">
        <v>598</v>
      </c>
      <c r="BO585" s="127">
        <v>42860</v>
      </c>
      <c r="BP585" s="188" t="s">
        <v>135</v>
      </c>
      <c r="BQ585" s="188" t="s">
        <v>92</v>
      </c>
      <c r="BR585" s="188" t="s">
        <v>289</v>
      </c>
      <c r="BS585" s="188" t="s">
        <v>598</v>
      </c>
      <c r="BT585" s="188" t="s">
        <v>79</v>
      </c>
      <c r="BU585" s="188" t="s">
        <v>112</v>
      </c>
      <c r="BV585" s="188" t="s">
        <v>598</v>
      </c>
    </row>
    <row r="586" spans="5:74">
      <c r="E586" s="21"/>
      <c r="Q586" s="191"/>
      <c r="R586" s="191"/>
      <c r="S586" s="191"/>
      <c r="T586" s="127"/>
      <c r="U586" s="127"/>
      <c r="V586" s="191"/>
      <c r="W586" s="190"/>
      <c r="X586" s="191"/>
      <c r="Y586" s="191"/>
      <c r="Z586" s="191"/>
      <c r="AA586" s="191"/>
      <c r="AB586" s="191"/>
      <c r="AC586" s="191"/>
      <c r="AD586" s="191"/>
      <c r="AE586" s="191"/>
      <c r="AF586" s="191"/>
      <c r="AG586" s="191"/>
      <c r="AH586" s="191"/>
      <c r="AI586" s="127"/>
      <c r="AJ586" s="191"/>
      <c r="AK586" s="191"/>
      <c r="AL586" s="190"/>
      <c r="AM586" s="191"/>
      <c r="BE586" s="188" t="s">
        <v>3527</v>
      </c>
      <c r="BF586" s="188" t="s">
        <v>4313</v>
      </c>
      <c r="BG586" s="127">
        <v>42871</v>
      </c>
      <c r="BH586" s="188" t="s">
        <v>34</v>
      </c>
      <c r="BI586" s="188" t="s">
        <v>598</v>
      </c>
      <c r="BJ586" s="189">
        <v>5000</v>
      </c>
      <c r="BK586" s="188" t="s">
        <v>493</v>
      </c>
      <c r="BL586" s="188" t="s">
        <v>598</v>
      </c>
      <c r="BM586" s="189">
        <v>0</v>
      </c>
      <c r="BN586" s="188" t="s">
        <v>598</v>
      </c>
      <c r="BO586" s="127">
        <v>42861</v>
      </c>
      <c r="BP586" s="188" t="s">
        <v>134</v>
      </c>
      <c r="BQ586" s="188" t="s">
        <v>92</v>
      </c>
      <c r="BR586" s="188" t="s">
        <v>205</v>
      </c>
      <c r="BS586" s="188" t="s">
        <v>598</v>
      </c>
      <c r="BT586" s="188" t="s">
        <v>79</v>
      </c>
      <c r="BU586" s="188" t="s">
        <v>112</v>
      </c>
      <c r="BV586" s="188" t="s">
        <v>598</v>
      </c>
    </row>
    <row r="587" spans="5:74">
      <c r="E587" s="21"/>
      <c r="Q587" s="191"/>
      <c r="R587" s="191"/>
      <c r="S587" s="191"/>
      <c r="T587" s="127"/>
      <c r="U587" s="127"/>
      <c r="V587" s="191"/>
      <c r="W587" s="190"/>
      <c r="X587" s="191"/>
      <c r="Y587" s="191"/>
      <c r="Z587" s="191"/>
      <c r="AA587" s="191"/>
      <c r="AB587" s="191"/>
      <c r="AC587" s="191"/>
      <c r="AD587" s="191"/>
      <c r="AE587" s="191"/>
      <c r="AF587" s="191"/>
      <c r="AG587" s="191"/>
      <c r="AH587" s="191"/>
      <c r="AI587" s="127"/>
      <c r="AJ587" s="191"/>
      <c r="AK587" s="191"/>
      <c r="AL587" s="190"/>
      <c r="AM587" s="191"/>
      <c r="BE587" s="188" t="s">
        <v>3529</v>
      </c>
      <c r="BF587" s="188" t="s">
        <v>4314</v>
      </c>
      <c r="BG587" s="127">
        <v>42864</v>
      </c>
      <c r="BH587" s="188" t="s">
        <v>34</v>
      </c>
      <c r="BI587" s="188" t="s">
        <v>598</v>
      </c>
      <c r="BJ587" s="189">
        <v>5000</v>
      </c>
      <c r="BK587" s="188" t="s">
        <v>493</v>
      </c>
      <c r="BL587" s="188" t="s">
        <v>598</v>
      </c>
      <c r="BM587" s="189">
        <v>0</v>
      </c>
      <c r="BN587" s="188" t="s">
        <v>598</v>
      </c>
      <c r="BO587" s="127">
        <v>42861</v>
      </c>
      <c r="BP587" s="188" t="s">
        <v>134</v>
      </c>
      <c r="BQ587" s="188" t="s">
        <v>92</v>
      </c>
      <c r="BR587" s="188" t="s">
        <v>250</v>
      </c>
      <c r="BS587" s="188" t="s">
        <v>598</v>
      </c>
      <c r="BT587" s="188" t="s">
        <v>79</v>
      </c>
      <c r="BU587" s="188" t="s">
        <v>79</v>
      </c>
      <c r="BV587" s="188" t="s">
        <v>598</v>
      </c>
    </row>
    <row r="588" spans="5:74">
      <c r="E588" s="21"/>
      <c r="Q588" s="191"/>
      <c r="R588" s="191"/>
      <c r="S588" s="191"/>
      <c r="T588" s="127"/>
      <c r="U588" s="127"/>
      <c r="V588" s="191"/>
      <c r="W588" s="190"/>
      <c r="X588" s="191"/>
      <c r="Y588" s="191"/>
      <c r="Z588" s="191"/>
      <c r="AA588" s="191"/>
      <c r="AB588" s="191"/>
      <c r="AC588" s="191"/>
      <c r="AD588" s="191"/>
      <c r="AE588" s="191"/>
      <c r="AF588" s="191"/>
      <c r="AG588" s="191"/>
      <c r="AH588" s="191"/>
      <c r="AI588" s="127"/>
      <c r="AJ588" s="191"/>
      <c r="AK588" s="191"/>
      <c r="AL588" s="190"/>
      <c r="AM588" s="191"/>
      <c r="BE588" s="188" t="s">
        <v>3531</v>
      </c>
      <c r="BF588" s="188" t="s">
        <v>4315</v>
      </c>
      <c r="BG588" s="127">
        <v>42863</v>
      </c>
      <c r="BH588" s="188" t="s">
        <v>10</v>
      </c>
      <c r="BI588" s="188" t="s">
        <v>598</v>
      </c>
      <c r="BJ588" s="189">
        <v>12000</v>
      </c>
      <c r="BK588" s="188" t="s">
        <v>493</v>
      </c>
      <c r="BL588" s="188" t="s">
        <v>598</v>
      </c>
      <c r="BM588" s="189">
        <v>0</v>
      </c>
      <c r="BN588" s="188" t="s">
        <v>598</v>
      </c>
      <c r="BO588" s="127">
        <v>42861</v>
      </c>
      <c r="BP588" s="188" t="s">
        <v>107</v>
      </c>
      <c r="BQ588" s="188" t="s">
        <v>92</v>
      </c>
      <c r="BR588" s="188" t="s">
        <v>464</v>
      </c>
      <c r="BS588" s="188" t="s">
        <v>598</v>
      </c>
      <c r="BT588" s="188" t="s">
        <v>79</v>
      </c>
      <c r="BU588" s="188" t="s">
        <v>65</v>
      </c>
      <c r="BV588" s="188" t="s">
        <v>598</v>
      </c>
    </row>
    <row r="589" spans="5:74">
      <c r="E589" s="21"/>
      <c r="Q589" s="191"/>
      <c r="R589" s="191"/>
      <c r="S589" s="191"/>
      <c r="T589" s="127"/>
      <c r="U589" s="127"/>
      <c r="V589" s="191"/>
      <c r="W589" s="190"/>
      <c r="X589" s="191"/>
      <c r="Y589" s="191"/>
      <c r="Z589" s="191"/>
      <c r="AA589" s="191"/>
      <c r="AB589" s="191"/>
      <c r="AC589" s="191"/>
      <c r="AD589" s="191"/>
      <c r="AE589" s="191"/>
      <c r="AF589" s="191"/>
      <c r="AG589" s="191"/>
      <c r="AH589" s="191"/>
      <c r="AI589" s="127"/>
      <c r="AJ589" s="191"/>
      <c r="AK589" s="191"/>
      <c r="AL589" s="190"/>
      <c r="AM589" s="191"/>
      <c r="BE589" s="188" t="s">
        <v>3533</v>
      </c>
      <c r="BF589" s="188" t="s">
        <v>4316</v>
      </c>
      <c r="BG589" s="127">
        <v>42867</v>
      </c>
      <c r="BH589" s="188" t="s">
        <v>34</v>
      </c>
      <c r="BI589" s="188" t="s">
        <v>598</v>
      </c>
      <c r="BJ589" s="189">
        <v>4000</v>
      </c>
      <c r="BK589" s="188" t="s">
        <v>493</v>
      </c>
      <c r="BL589" s="188" t="s">
        <v>598</v>
      </c>
      <c r="BM589" s="189">
        <v>0</v>
      </c>
      <c r="BN589" s="188" t="s">
        <v>598</v>
      </c>
      <c r="BO589" s="127">
        <v>42865</v>
      </c>
      <c r="BP589" s="188" t="s">
        <v>134</v>
      </c>
      <c r="BQ589" s="188" t="s">
        <v>92</v>
      </c>
      <c r="BR589" s="188" t="s">
        <v>465</v>
      </c>
      <c r="BS589" s="188" t="s">
        <v>598</v>
      </c>
      <c r="BT589" s="188" t="s">
        <v>79</v>
      </c>
      <c r="BU589" s="188" t="s">
        <v>112</v>
      </c>
      <c r="BV589" s="188" t="s">
        <v>598</v>
      </c>
    </row>
    <row r="590" spans="5:74">
      <c r="E590" s="21"/>
      <c r="Q590" s="191"/>
      <c r="R590" s="191"/>
      <c r="S590" s="191"/>
      <c r="T590" s="127"/>
      <c r="U590" s="127"/>
      <c r="V590" s="191"/>
      <c r="W590" s="190"/>
      <c r="X590" s="191"/>
      <c r="Y590" s="191"/>
      <c r="Z590" s="191"/>
      <c r="AA590" s="191"/>
      <c r="AB590" s="191"/>
      <c r="AC590" s="191"/>
      <c r="AD590" s="191"/>
      <c r="AE590" s="191"/>
      <c r="AF590" s="191"/>
      <c r="AG590" s="191"/>
      <c r="AH590" s="191"/>
      <c r="AI590" s="127"/>
      <c r="AJ590" s="191"/>
      <c r="AK590" s="191"/>
      <c r="AL590" s="190"/>
      <c r="AM590" s="191"/>
      <c r="BE590" s="188" t="s">
        <v>3535</v>
      </c>
      <c r="BF590" s="188" t="s">
        <v>4317</v>
      </c>
      <c r="BG590" s="127">
        <v>42879</v>
      </c>
      <c r="BH590" s="188" t="s">
        <v>10</v>
      </c>
      <c r="BI590" s="188" t="s">
        <v>598</v>
      </c>
      <c r="BJ590" s="189">
        <v>2000</v>
      </c>
      <c r="BK590" s="188" t="s">
        <v>493</v>
      </c>
      <c r="BL590" s="188" t="s">
        <v>598</v>
      </c>
      <c r="BM590" s="189">
        <v>0</v>
      </c>
      <c r="BN590" s="188" t="s">
        <v>598</v>
      </c>
      <c r="BO590" s="127">
        <v>42871</v>
      </c>
      <c r="BP590" s="188" t="s">
        <v>134</v>
      </c>
      <c r="BQ590" s="188" t="s">
        <v>92</v>
      </c>
      <c r="BR590" s="188" t="s">
        <v>403</v>
      </c>
      <c r="BS590" s="188" t="s">
        <v>29</v>
      </c>
      <c r="BT590" s="188" t="s">
        <v>79</v>
      </c>
      <c r="BU590" s="188" t="s">
        <v>112</v>
      </c>
      <c r="BV590" s="188" t="s">
        <v>598</v>
      </c>
    </row>
    <row r="591" spans="5:74">
      <c r="E591" s="21"/>
      <c r="Q591" s="191"/>
      <c r="R591" s="191"/>
      <c r="S591" s="191"/>
      <c r="T591" s="127"/>
      <c r="U591" s="127"/>
      <c r="V591" s="191"/>
      <c r="W591" s="190"/>
      <c r="X591" s="191"/>
      <c r="Y591" s="191"/>
      <c r="Z591" s="191"/>
      <c r="AA591" s="191"/>
      <c r="AB591" s="191"/>
      <c r="AC591" s="191"/>
      <c r="AD591" s="191"/>
      <c r="AE591" s="191"/>
      <c r="AF591" s="191"/>
      <c r="AG591" s="191"/>
      <c r="AH591" s="191"/>
      <c r="AI591" s="127"/>
      <c r="AJ591" s="191"/>
      <c r="AK591" s="191"/>
      <c r="AL591" s="190"/>
      <c r="AM591" s="191"/>
      <c r="BE591" s="188" t="s">
        <v>3537</v>
      </c>
      <c r="BF591" s="188" t="s">
        <v>4318</v>
      </c>
      <c r="BG591" s="127">
        <v>42886</v>
      </c>
      <c r="BH591" s="188" t="s">
        <v>10</v>
      </c>
      <c r="BI591" s="188" t="s">
        <v>598</v>
      </c>
      <c r="BJ591" s="189">
        <v>12500</v>
      </c>
      <c r="BK591" s="188" t="s">
        <v>493</v>
      </c>
      <c r="BL591" s="188" t="s">
        <v>598</v>
      </c>
      <c r="BM591" s="189">
        <v>0</v>
      </c>
      <c r="BN591" s="188" t="s">
        <v>598</v>
      </c>
      <c r="BO591" s="127">
        <v>42872</v>
      </c>
      <c r="BP591" s="188" t="s">
        <v>598</v>
      </c>
      <c r="BQ591" s="188" t="s">
        <v>92</v>
      </c>
      <c r="BR591" s="188" t="s">
        <v>403</v>
      </c>
      <c r="BS591" s="188" t="s">
        <v>598</v>
      </c>
      <c r="BT591" s="188" t="s">
        <v>79</v>
      </c>
      <c r="BU591" s="188" t="s">
        <v>79</v>
      </c>
      <c r="BV591" s="188" t="s">
        <v>598</v>
      </c>
    </row>
    <row r="592" spans="5:74">
      <c r="E592" s="21"/>
      <c r="Q592" s="191"/>
      <c r="R592" s="191"/>
      <c r="S592" s="191"/>
      <c r="T592" s="127"/>
      <c r="U592" s="127"/>
      <c r="V592" s="191"/>
      <c r="W592" s="190"/>
      <c r="X592" s="191"/>
      <c r="Y592" s="191"/>
      <c r="Z592" s="191"/>
      <c r="AA592" s="191"/>
      <c r="AB592" s="191"/>
      <c r="AC592" s="191"/>
      <c r="AD592" s="191"/>
      <c r="AE592" s="191"/>
      <c r="AF592" s="191"/>
      <c r="AG592" s="191"/>
      <c r="AH592" s="191"/>
      <c r="AI592" s="127"/>
      <c r="AJ592" s="191"/>
      <c r="AK592" s="191"/>
      <c r="AL592" s="190"/>
      <c r="AM592" s="191"/>
      <c r="BE592" s="188" t="s">
        <v>3539</v>
      </c>
      <c r="BF592" s="188" t="s">
        <v>4319</v>
      </c>
      <c r="BG592" s="127">
        <v>42886</v>
      </c>
      <c r="BH592" s="188" t="s">
        <v>10</v>
      </c>
      <c r="BI592" s="188" t="s">
        <v>598</v>
      </c>
      <c r="BJ592" s="189">
        <v>12500</v>
      </c>
      <c r="BK592" s="188" t="s">
        <v>493</v>
      </c>
      <c r="BL592" s="188" t="s">
        <v>598</v>
      </c>
      <c r="BM592" s="189">
        <v>0</v>
      </c>
      <c r="BN592" s="188" t="s">
        <v>598</v>
      </c>
      <c r="BO592" s="127">
        <v>42872</v>
      </c>
      <c r="BP592" s="188" t="s">
        <v>598</v>
      </c>
      <c r="BQ592" s="188" t="s">
        <v>92</v>
      </c>
      <c r="BR592" s="188" t="s">
        <v>403</v>
      </c>
      <c r="BS592" s="188" t="s">
        <v>598</v>
      </c>
      <c r="BT592" s="188" t="s">
        <v>79</v>
      </c>
      <c r="BU592" s="188" t="s">
        <v>79</v>
      </c>
      <c r="BV592" s="188" t="s">
        <v>598</v>
      </c>
    </row>
    <row r="593" spans="5:74">
      <c r="E593" s="21"/>
      <c r="Q593" s="191"/>
      <c r="R593" s="191"/>
      <c r="S593" s="191"/>
      <c r="T593" s="127"/>
      <c r="U593" s="127"/>
      <c r="V593" s="191"/>
      <c r="W593" s="190"/>
      <c r="X593" s="191"/>
      <c r="Y593" s="191"/>
      <c r="Z593" s="191"/>
      <c r="AA593" s="191"/>
      <c r="AB593" s="191"/>
      <c r="AC593" s="191"/>
      <c r="AD593" s="191"/>
      <c r="AE593" s="191"/>
      <c r="AF593" s="191"/>
      <c r="AG593" s="191"/>
      <c r="AH593" s="191"/>
      <c r="AI593" s="127"/>
      <c r="AJ593" s="191"/>
      <c r="AK593" s="191"/>
      <c r="AL593" s="190"/>
      <c r="AM593" s="191"/>
      <c r="BE593" s="188" t="s">
        <v>3541</v>
      </c>
      <c r="BF593" s="188" t="s">
        <v>4320</v>
      </c>
      <c r="BG593" s="127">
        <v>42879</v>
      </c>
      <c r="BH593" s="188" t="s">
        <v>10</v>
      </c>
      <c r="BI593" s="188" t="s">
        <v>598</v>
      </c>
      <c r="BJ593" s="189">
        <v>4000</v>
      </c>
      <c r="BK593" s="188" t="s">
        <v>493</v>
      </c>
      <c r="BL593" s="188" t="s">
        <v>598</v>
      </c>
      <c r="BM593" s="189">
        <v>0</v>
      </c>
      <c r="BN593" s="188" t="s">
        <v>598</v>
      </c>
      <c r="BO593" s="127">
        <v>42873</v>
      </c>
      <c r="BP593" s="188" t="s">
        <v>135</v>
      </c>
      <c r="BQ593" s="188" t="s">
        <v>92</v>
      </c>
      <c r="BR593" s="188" t="s">
        <v>403</v>
      </c>
      <c r="BS593" s="188" t="s">
        <v>29</v>
      </c>
      <c r="BT593" s="188" t="s">
        <v>79</v>
      </c>
      <c r="BU593" s="188" t="s">
        <v>112</v>
      </c>
      <c r="BV593" s="188" t="s">
        <v>598</v>
      </c>
    </row>
    <row r="594" spans="5:74">
      <c r="E594" s="21"/>
      <c r="Q594" s="191"/>
      <c r="R594" s="191"/>
      <c r="S594" s="191"/>
      <c r="T594" s="127"/>
      <c r="U594" s="127"/>
      <c r="V594" s="191"/>
      <c r="W594" s="190"/>
      <c r="X594" s="191"/>
      <c r="Y594" s="191"/>
      <c r="Z594" s="191"/>
      <c r="AA594" s="191"/>
      <c r="AB594" s="191"/>
      <c r="AC594" s="191"/>
      <c r="AD594" s="191"/>
      <c r="AE594" s="191"/>
      <c r="AF594" s="191"/>
      <c r="AG594" s="191"/>
      <c r="AH594" s="191"/>
      <c r="AI594" s="127"/>
      <c r="AJ594" s="191"/>
      <c r="AK594" s="191"/>
      <c r="AL594" s="190"/>
      <c r="AM594" s="191"/>
      <c r="BE594" s="188" t="s">
        <v>3543</v>
      </c>
      <c r="BF594" s="188" t="s">
        <v>4321</v>
      </c>
      <c r="BG594" s="127">
        <v>42885</v>
      </c>
      <c r="BH594" s="188" t="s">
        <v>34</v>
      </c>
      <c r="BI594" s="188" t="s">
        <v>598</v>
      </c>
      <c r="BJ594" s="189">
        <v>4000</v>
      </c>
      <c r="BK594" s="188" t="s">
        <v>493</v>
      </c>
      <c r="BL594" s="188" t="s">
        <v>598</v>
      </c>
      <c r="BM594" s="189">
        <v>0</v>
      </c>
      <c r="BN594" s="188" t="s">
        <v>598</v>
      </c>
      <c r="BO594" s="127">
        <v>42873</v>
      </c>
      <c r="BP594" s="188" t="s">
        <v>135</v>
      </c>
      <c r="BQ594" s="188" t="s">
        <v>92</v>
      </c>
      <c r="BR594" s="188" t="s">
        <v>205</v>
      </c>
      <c r="BS594" s="188" t="s">
        <v>598</v>
      </c>
      <c r="BT594" s="188" t="s">
        <v>79</v>
      </c>
      <c r="BU594" s="188" t="s">
        <v>112</v>
      </c>
      <c r="BV594" s="188" t="s">
        <v>598</v>
      </c>
    </row>
    <row r="595" spans="5:74">
      <c r="E595" s="21"/>
      <c r="Q595" s="191"/>
      <c r="R595" s="191"/>
      <c r="S595" s="191"/>
      <c r="T595" s="127"/>
      <c r="U595" s="127"/>
      <c r="V595" s="191"/>
      <c r="W595" s="190"/>
      <c r="X595" s="191"/>
      <c r="Y595" s="191"/>
      <c r="Z595" s="191"/>
      <c r="AA595" s="191"/>
      <c r="AB595" s="191"/>
      <c r="AC595" s="191"/>
      <c r="AD595" s="191"/>
      <c r="AE595" s="191"/>
      <c r="AF595" s="191"/>
      <c r="AG595" s="191"/>
      <c r="AH595" s="191"/>
      <c r="AI595" s="127"/>
      <c r="AJ595" s="191"/>
      <c r="AK595" s="191"/>
      <c r="AL595" s="190"/>
      <c r="AM595" s="191"/>
      <c r="BE595" s="188" t="s">
        <v>3545</v>
      </c>
      <c r="BF595" s="188" t="s">
        <v>4322</v>
      </c>
      <c r="BG595" s="127">
        <v>42878</v>
      </c>
      <c r="BH595" s="188" t="s">
        <v>10</v>
      </c>
      <c r="BI595" s="188" t="s">
        <v>598</v>
      </c>
      <c r="BJ595" s="189">
        <v>10000</v>
      </c>
      <c r="BK595" s="188" t="s">
        <v>493</v>
      </c>
      <c r="BL595" s="188" t="s">
        <v>598</v>
      </c>
      <c r="BM595" s="189">
        <v>0</v>
      </c>
      <c r="BN595" s="188" t="s">
        <v>598</v>
      </c>
      <c r="BO595" s="127">
        <v>42875</v>
      </c>
      <c r="BP595" s="188" t="s">
        <v>3263</v>
      </c>
      <c r="BQ595" s="188" t="s">
        <v>92</v>
      </c>
      <c r="BR595" s="188" t="s">
        <v>598</v>
      </c>
      <c r="BS595" s="188" t="s">
        <v>598</v>
      </c>
      <c r="BT595" s="188" t="s">
        <v>79</v>
      </c>
      <c r="BU595" s="188" t="s">
        <v>598</v>
      </c>
      <c r="BV595" s="188" t="s">
        <v>598</v>
      </c>
    </row>
    <row r="596" spans="5:74">
      <c r="E596" s="21"/>
      <c r="Q596" s="191"/>
      <c r="R596" s="191"/>
      <c r="S596" s="191"/>
      <c r="T596" s="127"/>
      <c r="U596" s="127"/>
      <c r="V596" s="191"/>
      <c r="W596" s="190"/>
      <c r="X596" s="191"/>
      <c r="Y596" s="191"/>
      <c r="Z596" s="191"/>
      <c r="AA596" s="191"/>
      <c r="AB596" s="191"/>
      <c r="AC596" s="191"/>
      <c r="AD596" s="191"/>
      <c r="AE596" s="191"/>
      <c r="AF596" s="191"/>
      <c r="AG596" s="191"/>
      <c r="AH596" s="191"/>
      <c r="AI596" s="127"/>
      <c r="AJ596" s="191"/>
      <c r="AK596" s="191"/>
      <c r="AL596" s="190"/>
      <c r="AM596" s="191"/>
      <c r="BE596" s="188" t="s">
        <v>3547</v>
      </c>
      <c r="BF596" s="188" t="s">
        <v>4323</v>
      </c>
      <c r="BG596" s="127">
        <v>42880</v>
      </c>
      <c r="BH596" s="188" t="s">
        <v>34</v>
      </c>
      <c r="BI596" s="188" t="s">
        <v>598</v>
      </c>
      <c r="BJ596" s="189">
        <v>1500</v>
      </c>
      <c r="BK596" s="188" t="s">
        <v>493</v>
      </c>
      <c r="BL596" s="188" t="s">
        <v>598</v>
      </c>
      <c r="BM596" s="189">
        <v>0</v>
      </c>
      <c r="BN596" s="188" t="s">
        <v>598</v>
      </c>
      <c r="BO596" s="127">
        <v>42878</v>
      </c>
      <c r="BP596" s="188" t="s">
        <v>134</v>
      </c>
      <c r="BQ596" s="188" t="s">
        <v>92</v>
      </c>
      <c r="BR596" s="188" t="s">
        <v>466</v>
      </c>
      <c r="BS596" s="188" t="s">
        <v>598</v>
      </c>
      <c r="BT596" s="188" t="s">
        <v>79</v>
      </c>
      <c r="BU596" s="188" t="s">
        <v>79</v>
      </c>
      <c r="BV596" s="188" t="s">
        <v>598</v>
      </c>
    </row>
    <row r="597" spans="5:74">
      <c r="E597" s="21"/>
      <c r="Q597" s="191"/>
      <c r="R597" s="191"/>
      <c r="S597" s="191"/>
      <c r="T597" s="127"/>
      <c r="U597" s="127"/>
      <c r="V597" s="191"/>
      <c r="W597" s="190"/>
      <c r="X597" s="191"/>
      <c r="Y597" s="191"/>
      <c r="Z597" s="191"/>
      <c r="AA597" s="191"/>
      <c r="AB597" s="191"/>
      <c r="AC597" s="191"/>
      <c r="AD597" s="191"/>
      <c r="AE597" s="191"/>
      <c r="AF597" s="191"/>
      <c r="AG597" s="191"/>
      <c r="AH597" s="191"/>
      <c r="AI597" s="127"/>
      <c r="AJ597" s="191"/>
      <c r="AK597" s="191"/>
      <c r="AL597" s="190"/>
      <c r="AM597" s="191"/>
      <c r="BE597" s="188" t="s">
        <v>3549</v>
      </c>
      <c r="BF597" s="188" t="s">
        <v>4324</v>
      </c>
      <c r="BG597" s="127">
        <v>42886</v>
      </c>
      <c r="BH597" s="188" t="s">
        <v>494</v>
      </c>
      <c r="BI597" s="188" t="s">
        <v>598</v>
      </c>
      <c r="BJ597" s="189">
        <v>3000</v>
      </c>
      <c r="BK597" s="188" t="s">
        <v>493</v>
      </c>
      <c r="BL597" s="188" t="s">
        <v>598</v>
      </c>
      <c r="BM597" s="189">
        <v>0</v>
      </c>
      <c r="BN597" s="188" t="s">
        <v>598</v>
      </c>
      <c r="BO597" s="127">
        <v>42879</v>
      </c>
      <c r="BP597" s="188" t="s">
        <v>134</v>
      </c>
      <c r="BQ597" s="188" t="s">
        <v>92</v>
      </c>
      <c r="BR597" s="188" t="s">
        <v>285</v>
      </c>
      <c r="BS597" s="188" t="s">
        <v>598</v>
      </c>
      <c r="BT597" s="188" t="s">
        <v>79</v>
      </c>
      <c r="BU597" s="188" t="s">
        <v>112</v>
      </c>
      <c r="BV597" s="188" t="s">
        <v>598</v>
      </c>
    </row>
    <row r="598" spans="5:74">
      <c r="E598" s="21"/>
      <c r="Q598" s="191"/>
      <c r="R598" s="191"/>
      <c r="S598" s="191"/>
      <c r="T598" s="127"/>
      <c r="U598" s="127"/>
      <c r="V598" s="191"/>
      <c r="W598" s="190"/>
      <c r="X598" s="191"/>
      <c r="Y598" s="191"/>
      <c r="Z598" s="191"/>
      <c r="AA598" s="191"/>
      <c r="AB598" s="191"/>
      <c r="AC598" s="191"/>
      <c r="AD598" s="191"/>
      <c r="AE598" s="191"/>
      <c r="AF598" s="191"/>
      <c r="AG598" s="191"/>
      <c r="AH598" s="191"/>
      <c r="AI598" s="127"/>
      <c r="AJ598" s="191"/>
      <c r="AK598" s="191"/>
      <c r="AL598" s="190"/>
      <c r="AM598" s="191"/>
      <c r="BE598" s="188" t="s">
        <v>3551</v>
      </c>
      <c r="BF598" s="188" t="s">
        <v>4325</v>
      </c>
      <c r="BG598" s="127">
        <v>42882</v>
      </c>
      <c r="BH598" s="188" t="s">
        <v>494</v>
      </c>
      <c r="BI598" s="188" t="s">
        <v>598</v>
      </c>
      <c r="BJ598" s="189">
        <v>10000</v>
      </c>
      <c r="BK598" s="188" t="s">
        <v>493</v>
      </c>
      <c r="BL598" s="188" t="s">
        <v>598</v>
      </c>
      <c r="BM598" s="189">
        <v>0</v>
      </c>
      <c r="BN598" s="188" t="s">
        <v>598</v>
      </c>
      <c r="BO598" s="127">
        <v>42882</v>
      </c>
      <c r="BP598" s="188" t="s">
        <v>598</v>
      </c>
      <c r="BQ598" s="188" t="s">
        <v>92</v>
      </c>
      <c r="BR598" s="188" t="s">
        <v>598</v>
      </c>
      <c r="BS598" s="188" t="s">
        <v>598</v>
      </c>
      <c r="BT598" s="188" t="s">
        <v>79</v>
      </c>
      <c r="BU598" s="188" t="s">
        <v>598</v>
      </c>
      <c r="BV598" s="188" t="s">
        <v>598</v>
      </c>
    </row>
    <row r="599" spans="5:74">
      <c r="E599" s="21"/>
      <c r="Q599" s="191"/>
      <c r="R599" s="191"/>
      <c r="S599" s="191"/>
      <c r="T599" s="127"/>
      <c r="U599" s="127"/>
      <c r="V599" s="191"/>
      <c r="W599" s="190"/>
      <c r="X599" s="191"/>
      <c r="Y599" s="191"/>
      <c r="Z599" s="191"/>
      <c r="AA599" s="191"/>
      <c r="AB599" s="191"/>
      <c r="AC599" s="191"/>
      <c r="AD599" s="191"/>
      <c r="AE599" s="191"/>
      <c r="AF599" s="191"/>
      <c r="AG599" s="191"/>
      <c r="AH599" s="191"/>
      <c r="AI599" s="127"/>
      <c r="AJ599" s="191"/>
      <c r="AK599" s="191"/>
      <c r="AL599" s="190"/>
      <c r="AM599" s="191"/>
      <c r="BE599" s="188" t="s">
        <v>3553</v>
      </c>
      <c r="BF599" s="188" t="s">
        <v>4326</v>
      </c>
      <c r="BG599" s="127">
        <v>42885</v>
      </c>
      <c r="BH599" s="188" t="s">
        <v>34</v>
      </c>
      <c r="BI599" s="188" t="s">
        <v>598</v>
      </c>
      <c r="BJ599" s="189">
        <v>3500</v>
      </c>
      <c r="BK599" s="188" t="s">
        <v>493</v>
      </c>
      <c r="BL599" s="188" t="s">
        <v>598</v>
      </c>
      <c r="BM599" s="189">
        <v>0</v>
      </c>
      <c r="BN599" s="188" t="s">
        <v>598</v>
      </c>
      <c r="BO599" s="127">
        <v>42884</v>
      </c>
      <c r="BP599" s="188" t="s">
        <v>134</v>
      </c>
      <c r="BQ599" s="188" t="s">
        <v>92</v>
      </c>
      <c r="BR599" s="188" t="s">
        <v>285</v>
      </c>
      <c r="BS599" s="188" t="s">
        <v>598</v>
      </c>
      <c r="BT599" s="188" t="s">
        <v>79</v>
      </c>
      <c r="BU599" s="188" t="s">
        <v>112</v>
      </c>
      <c r="BV599" s="188" t="s">
        <v>598</v>
      </c>
    </row>
    <row r="600" spans="5:74">
      <c r="E600" s="21"/>
      <c r="Q600" s="191"/>
      <c r="R600" s="191"/>
      <c r="S600" s="191"/>
      <c r="T600" s="127"/>
      <c r="U600" s="127"/>
      <c r="V600" s="191"/>
      <c r="W600" s="190"/>
      <c r="X600" s="191"/>
      <c r="Y600" s="191"/>
      <c r="Z600" s="191"/>
      <c r="AA600" s="191"/>
      <c r="AB600" s="191"/>
      <c r="AC600" s="191"/>
      <c r="AD600" s="191"/>
      <c r="AE600" s="191"/>
      <c r="AF600" s="191"/>
      <c r="AG600" s="191"/>
      <c r="AH600" s="191"/>
      <c r="AI600" s="127"/>
      <c r="AJ600" s="191"/>
      <c r="AK600" s="191"/>
      <c r="AL600" s="190"/>
      <c r="AM600" s="191"/>
      <c r="BE600" s="188" t="s">
        <v>3555</v>
      </c>
      <c r="BF600" s="188" t="s">
        <v>4327</v>
      </c>
      <c r="BG600" s="127">
        <v>42858</v>
      </c>
      <c r="BH600" s="188" t="s">
        <v>10</v>
      </c>
      <c r="BI600" s="188" t="s">
        <v>598</v>
      </c>
      <c r="BJ600" s="189">
        <v>12000</v>
      </c>
      <c r="BK600" s="188" t="s">
        <v>493</v>
      </c>
      <c r="BL600" s="188" t="s">
        <v>598</v>
      </c>
      <c r="BM600" s="189">
        <v>0</v>
      </c>
      <c r="BN600" s="188" t="s">
        <v>598</v>
      </c>
      <c r="BO600" s="127">
        <v>42683</v>
      </c>
      <c r="BP600" s="188" t="s">
        <v>115</v>
      </c>
      <c r="BQ600" s="188" t="s">
        <v>92</v>
      </c>
      <c r="BR600" s="188" t="s">
        <v>463</v>
      </c>
      <c r="BS600" s="188" t="s">
        <v>598</v>
      </c>
      <c r="BT600" s="188" t="s">
        <v>79</v>
      </c>
      <c r="BU600" s="188" t="s">
        <v>79</v>
      </c>
      <c r="BV600" s="188" t="s">
        <v>598</v>
      </c>
    </row>
    <row r="601" spans="5:74">
      <c r="E601" s="21"/>
      <c r="Q601" s="191"/>
      <c r="R601" s="191"/>
      <c r="S601" s="191"/>
      <c r="T601" s="127"/>
      <c r="U601" s="127"/>
      <c r="V601" s="191"/>
      <c r="W601" s="190"/>
      <c r="X601" s="191"/>
      <c r="Y601" s="191"/>
      <c r="Z601" s="191"/>
      <c r="AA601" s="191"/>
      <c r="AB601" s="191"/>
      <c r="AC601" s="191"/>
      <c r="AD601" s="191"/>
      <c r="AE601" s="191"/>
      <c r="AF601" s="191"/>
      <c r="AG601" s="191"/>
      <c r="AH601" s="191"/>
      <c r="AI601" s="127"/>
      <c r="AJ601" s="191"/>
      <c r="AK601" s="191"/>
      <c r="AL601" s="190"/>
      <c r="AM601" s="191"/>
      <c r="BE601" s="188" t="s">
        <v>3556</v>
      </c>
      <c r="BF601" s="188" t="s">
        <v>4328</v>
      </c>
      <c r="BG601" s="127">
        <v>42885</v>
      </c>
      <c r="BH601" s="188" t="s">
        <v>10</v>
      </c>
      <c r="BI601" s="188" t="s">
        <v>598</v>
      </c>
      <c r="BJ601" s="189">
        <v>3000</v>
      </c>
      <c r="BK601" s="188" t="s">
        <v>493</v>
      </c>
      <c r="BL601" s="188" t="s">
        <v>598</v>
      </c>
      <c r="BM601" s="189">
        <v>0</v>
      </c>
      <c r="BN601" s="188" t="s">
        <v>598</v>
      </c>
      <c r="BO601" s="127">
        <v>42802</v>
      </c>
      <c r="BP601" s="188" t="s">
        <v>135</v>
      </c>
      <c r="BQ601" s="188" t="s">
        <v>92</v>
      </c>
      <c r="BR601" s="188" t="s">
        <v>261</v>
      </c>
      <c r="BS601" s="188" t="s">
        <v>598</v>
      </c>
      <c r="BT601" s="188" t="s">
        <v>79</v>
      </c>
      <c r="BU601" s="188" t="s">
        <v>112</v>
      </c>
      <c r="BV601" s="188" t="s">
        <v>598</v>
      </c>
    </row>
    <row r="602" spans="5:74">
      <c r="E602" s="21"/>
      <c r="Q602" s="191"/>
      <c r="R602" s="191"/>
      <c r="S602" s="191"/>
      <c r="T602" s="127"/>
      <c r="U602" s="127"/>
      <c r="V602" s="191"/>
      <c r="W602" s="190"/>
      <c r="X602" s="191"/>
      <c r="Y602" s="191"/>
      <c r="Z602" s="191"/>
      <c r="AA602" s="191"/>
      <c r="AB602" s="191"/>
      <c r="AC602" s="191"/>
      <c r="AD602" s="191"/>
      <c r="AE602" s="191"/>
      <c r="AF602" s="191"/>
      <c r="AG602" s="191"/>
      <c r="AH602" s="191"/>
      <c r="AI602" s="127"/>
      <c r="AJ602" s="191"/>
      <c r="AK602" s="191"/>
      <c r="AL602" s="190"/>
      <c r="AM602" s="191"/>
      <c r="BE602" s="188" t="s">
        <v>3557</v>
      </c>
      <c r="BF602" s="188" t="s">
        <v>4329</v>
      </c>
      <c r="BG602" s="127">
        <v>42860</v>
      </c>
      <c r="BH602" s="188" t="s">
        <v>494</v>
      </c>
      <c r="BI602" s="188" t="s">
        <v>598</v>
      </c>
      <c r="BJ602" s="189">
        <v>4000</v>
      </c>
      <c r="BK602" s="188" t="s">
        <v>493</v>
      </c>
      <c r="BL602" s="188" t="s">
        <v>598</v>
      </c>
      <c r="BM602" s="189">
        <v>0</v>
      </c>
      <c r="BN602" s="188" t="s">
        <v>598</v>
      </c>
      <c r="BO602" s="127">
        <v>42842</v>
      </c>
      <c r="BP602" s="188" t="s">
        <v>134</v>
      </c>
      <c r="BQ602" s="188" t="s">
        <v>92</v>
      </c>
      <c r="BR602" s="188" t="s">
        <v>1870</v>
      </c>
      <c r="BS602" s="188" t="s">
        <v>598</v>
      </c>
      <c r="BT602" s="188" t="s">
        <v>79</v>
      </c>
      <c r="BU602" s="188" t="s">
        <v>79</v>
      </c>
      <c r="BV602" s="188" t="s">
        <v>598</v>
      </c>
    </row>
    <row r="603" spans="5:74">
      <c r="E603" s="21"/>
      <c r="Q603" s="191"/>
      <c r="R603" s="191"/>
      <c r="S603" s="191"/>
      <c r="T603" s="127"/>
      <c r="U603" s="127"/>
      <c r="V603" s="191"/>
      <c r="W603" s="190"/>
      <c r="X603" s="191"/>
      <c r="Y603" s="191"/>
      <c r="Z603" s="191"/>
      <c r="AA603" s="191"/>
      <c r="AB603" s="191"/>
      <c r="AC603" s="191"/>
      <c r="AD603" s="191"/>
      <c r="AE603" s="191"/>
      <c r="AF603" s="191"/>
      <c r="AG603" s="191"/>
      <c r="AH603" s="191"/>
      <c r="AI603" s="127"/>
      <c r="AJ603" s="191"/>
      <c r="AK603" s="191"/>
      <c r="AL603" s="190"/>
      <c r="AM603" s="191"/>
      <c r="BE603" s="188" t="s">
        <v>3559</v>
      </c>
      <c r="BF603" s="188" t="s">
        <v>4330</v>
      </c>
      <c r="BG603" s="127">
        <v>42867</v>
      </c>
      <c r="BH603" s="188" t="s">
        <v>10</v>
      </c>
      <c r="BI603" s="188" t="s">
        <v>598</v>
      </c>
      <c r="BJ603" s="189">
        <v>5000</v>
      </c>
      <c r="BK603" s="188" t="s">
        <v>493</v>
      </c>
      <c r="BL603" s="188" t="s">
        <v>598</v>
      </c>
      <c r="BM603" s="189">
        <v>0</v>
      </c>
      <c r="BN603" s="188" t="s">
        <v>598</v>
      </c>
      <c r="BO603" s="127">
        <v>42842</v>
      </c>
      <c r="BP603" s="188" t="s">
        <v>134</v>
      </c>
      <c r="BQ603" s="188" t="s">
        <v>92</v>
      </c>
      <c r="BR603" s="188" t="s">
        <v>377</v>
      </c>
      <c r="BS603" s="188" t="s">
        <v>598</v>
      </c>
      <c r="BT603" s="188" t="s">
        <v>79</v>
      </c>
      <c r="BU603" s="188" t="s">
        <v>79</v>
      </c>
      <c r="BV603" s="188" t="s">
        <v>598</v>
      </c>
    </row>
    <row r="604" spans="5:74">
      <c r="E604" s="21"/>
      <c r="Q604" s="191"/>
      <c r="R604" s="191"/>
      <c r="S604" s="191"/>
      <c r="T604" s="127"/>
      <c r="U604" s="127"/>
      <c r="V604" s="191"/>
      <c r="W604" s="190"/>
      <c r="X604" s="191"/>
      <c r="Y604" s="191"/>
      <c r="Z604" s="191"/>
      <c r="AA604" s="191"/>
      <c r="AB604" s="191"/>
      <c r="AC604" s="191"/>
      <c r="AD604" s="191"/>
      <c r="AE604" s="191"/>
      <c r="AF604" s="191"/>
      <c r="AG604" s="191"/>
      <c r="AH604" s="191"/>
      <c r="AI604" s="127"/>
      <c r="AJ604" s="191"/>
      <c r="AK604" s="191"/>
      <c r="AL604" s="190"/>
      <c r="AM604" s="191"/>
      <c r="BE604" s="188" t="s">
        <v>3561</v>
      </c>
      <c r="BF604" s="188" t="s">
        <v>4331</v>
      </c>
      <c r="BG604" s="127">
        <v>42866</v>
      </c>
      <c r="BH604" s="188" t="s">
        <v>34</v>
      </c>
      <c r="BI604" s="188" t="s">
        <v>598</v>
      </c>
      <c r="BJ604" s="189">
        <v>2500</v>
      </c>
      <c r="BK604" s="188" t="s">
        <v>493</v>
      </c>
      <c r="BL604" s="188" t="s">
        <v>598</v>
      </c>
      <c r="BM604" s="189">
        <v>0</v>
      </c>
      <c r="BN604" s="188" t="s">
        <v>598</v>
      </c>
      <c r="BO604" s="127">
        <v>42849</v>
      </c>
      <c r="BP604" s="188" t="s">
        <v>134</v>
      </c>
      <c r="BQ604" s="188" t="s">
        <v>92</v>
      </c>
      <c r="BR604" s="188" t="s">
        <v>598</v>
      </c>
      <c r="BS604" s="188" t="s">
        <v>29</v>
      </c>
      <c r="BT604" s="188" t="s">
        <v>79</v>
      </c>
      <c r="BU604" s="188" t="s">
        <v>112</v>
      </c>
      <c r="BV604" s="188" t="s">
        <v>598</v>
      </c>
    </row>
    <row r="605" spans="5:74">
      <c r="E605" s="21"/>
      <c r="Q605" s="191"/>
      <c r="R605" s="191"/>
      <c r="S605" s="191"/>
      <c r="T605" s="127"/>
      <c r="U605" s="127"/>
      <c r="V605" s="191"/>
      <c r="W605" s="190"/>
      <c r="X605" s="191"/>
      <c r="Y605" s="191"/>
      <c r="Z605" s="191"/>
      <c r="AA605" s="191"/>
      <c r="AB605" s="191"/>
      <c r="AC605" s="191"/>
      <c r="AD605" s="191"/>
      <c r="AE605" s="191"/>
      <c r="AF605" s="191"/>
      <c r="AG605" s="191"/>
      <c r="AH605" s="191"/>
      <c r="AI605" s="127"/>
      <c r="AJ605" s="191"/>
      <c r="AK605" s="191"/>
      <c r="AL605" s="190"/>
      <c r="AM605" s="191"/>
      <c r="BE605" s="188" t="s">
        <v>3563</v>
      </c>
      <c r="BF605" s="188" t="s">
        <v>4332</v>
      </c>
      <c r="BG605" s="127">
        <v>42858</v>
      </c>
      <c r="BH605" s="188" t="s">
        <v>34</v>
      </c>
      <c r="BI605" s="188" t="s">
        <v>598</v>
      </c>
      <c r="BJ605" s="189">
        <v>5000</v>
      </c>
      <c r="BK605" s="188" t="s">
        <v>493</v>
      </c>
      <c r="BL605" s="188" t="s">
        <v>598</v>
      </c>
      <c r="BM605" s="189">
        <v>0</v>
      </c>
      <c r="BN605" s="188" t="s">
        <v>598</v>
      </c>
      <c r="BO605" s="127">
        <v>42849</v>
      </c>
      <c r="BP605" s="188" t="s">
        <v>134</v>
      </c>
      <c r="BQ605" s="188" t="s">
        <v>92</v>
      </c>
      <c r="BR605" s="188" t="s">
        <v>316</v>
      </c>
      <c r="BS605" s="188" t="s">
        <v>598</v>
      </c>
      <c r="BT605" s="188" t="s">
        <v>79</v>
      </c>
      <c r="BU605" s="188" t="s">
        <v>112</v>
      </c>
      <c r="BV605" s="188" t="s">
        <v>598</v>
      </c>
    </row>
    <row r="606" spans="5:74">
      <c r="E606" s="21"/>
      <c r="Q606" s="191"/>
      <c r="R606" s="191"/>
      <c r="S606" s="191"/>
      <c r="T606" s="127"/>
      <c r="U606" s="127"/>
      <c r="V606" s="191"/>
      <c r="W606" s="190"/>
      <c r="X606" s="191"/>
      <c r="Y606" s="191"/>
      <c r="Z606" s="191"/>
      <c r="AA606" s="191"/>
      <c r="AB606" s="191"/>
      <c r="AC606" s="191"/>
      <c r="AD606" s="191"/>
      <c r="AE606" s="191"/>
      <c r="AF606" s="191"/>
      <c r="AG606" s="191"/>
      <c r="AH606" s="191"/>
      <c r="AI606" s="127"/>
      <c r="AJ606" s="191"/>
      <c r="AK606" s="191"/>
      <c r="AL606" s="190"/>
      <c r="AM606" s="191"/>
      <c r="BE606" s="188" t="s">
        <v>3565</v>
      </c>
      <c r="BF606" s="188" t="s">
        <v>4333</v>
      </c>
      <c r="BG606" s="127">
        <v>42858</v>
      </c>
      <c r="BH606" s="188" t="s">
        <v>10</v>
      </c>
      <c r="BI606" s="188" t="s">
        <v>598</v>
      </c>
      <c r="BJ606" s="189">
        <v>15000</v>
      </c>
      <c r="BK606" s="188" t="s">
        <v>493</v>
      </c>
      <c r="BL606" s="188" t="s">
        <v>598</v>
      </c>
      <c r="BM606" s="189">
        <v>0</v>
      </c>
      <c r="BN606" s="188" t="s">
        <v>598</v>
      </c>
      <c r="BO606" s="127">
        <v>42850</v>
      </c>
      <c r="BP606" s="188" t="s">
        <v>115</v>
      </c>
      <c r="BQ606" s="188" t="s">
        <v>92</v>
      </c>
      <c r="BR606" s="188" t="s">
        <v>3567</v>
      </c>
      <c r="BS606" s="188" t="s">
        <v>598</v>
      </c>
      <c r="BT606" s="188" t="s">
        <v>79</v>
      </c>
      <c r="BU606" s="188" t="s">
        <v>112</v>
      </c>
      <c r="BV606" s="188" t="s">
        <v>598</v>
      </c>
    </row>
    <row r="607" spans="5:74">
      <c r="E607" s="21"/>
      <c r="Q607" s="191"/>
      <c r="R607" s="191"/>
      <c r="S607" s="191"/>
      <c r="T607" s="127"/>
      <c r="U607" s="127"/>
      <c r="V607" s="191"/>
      <c r="W607" s="190"/>
      <c r="X607" s="191"/>
      <c r="Y607" s="191"/>
      <c r="Z607" s="191"/>
      <c r="AA607" s="191"/>
      <c r="AB607" s="191"/>
      <c r="AC607" s="191"/>
      <c r="AD607" s="191"/>
      <c r="AE607" s="191"/>
      <c r="AF607" s="191"/>
      <c r="AG607" s="191"/>
      <c r="AH607" s="191"/>
      <c r="AI607" s="127"/>
      <c r="AJ607" s="191"/>
      <c r="AK607" s="191"/>
      <c r="AL607" s="190"/>
      <c r="AM607" s="191"/>
      <c r="BE607" s="188" t="s">
        <v>3568</v>
      </c>
      <c r="BF607" s="188" t="s">
        <v>4334</v>
      </c>
      <c r="BG607" s="127">
        <v>42871</v>
      </c>
      <c r="BH607" s="188" t="s">
        <v>34</v>
      </c>
      <c r="BI607" s="188" t="s">
        <v>598</v>
      </c>
      <c r="BJ607" s="189">
        <v>2000</v>
      </c>
      <c r="BK607" s="188" t="s">
        <v>493</v>
      </c>
      <c r="BL607" s="188" t="s">
        <v>598</v>
      </c>
      <c r="BM607" s="189">
        <v>0</v>
      </c>
      <c r="BN607" s="188" t="s">
        <v>598</v>
      </c>
      <c r="BO607" s="127">
        <v>42852</v>
      </c>
      <c r="BP607" s="188" t="s">
        <v>118</v>
      </c>
      <c r="BQ607" s="188" t="s">
        <v>92</v>
      </c>
      <c r="BR607" s="188" t="s">
        <v>186</v>
      </c>
      <c r="BS607" s="188" t="s">
        <v>598</v>
      </c>
      <c r="BT607" s="188" t="s">
        <v>79</v>
      </c>
      <c r="BU607" s="188" t="s">
        <v>79</v>
      </c>
      <c r="BV607" s="188" t="s">
        <v>598</v>
      </c>
    </row>
    <row r="608" spans="5:74">
      <c r="E608" s="21"/>
      <c r="Q608" s="191"/>
      <c r="R608" s="191"/>
      <c r="S608" s="191"/>
      <c r="T608" s="127"/>
      <c r="U608" s="127"/>
      <c r="V608" s="191"/>
      <c r="W608" s="190"/>
      <c r="X608" s="191"/>
      <c r="Y608" s="191"/>
      <c r="Z608" s="191"/>
      <c r="AA608" s="191"/>
      <c r="AB608" s="191"/>
      <c r="AC608" s="191"/>
      <c r="AD608" s="191"/>
      <c r="AE608" s="191"/>
      <c r="AF608" s="191"/>
      <c r="AG608" s="191"/>
      <c r="AH608" s="191"/>
      <c r="AI608" s="127"/>
      <c r="AJ608" s="191"/>
      <c r="AK608" s="191"/>
      <c r="AL608" s="190"/>
      <c r="AM608" s="191"/>
      <c r="BE608" s="188" t="s">
        <v>3570</v>
      </c>
      <c r="BF608" s="188" t="s">
        <v>4335</v>
      </c>
      <c r="BG608" s="127">
        <v>42866</v>
      </c>
      <c r="BH608" s="188" t="s">
        <v>34</v>
      </c>
      <c r="BI608" s="188" t="s">
        <v>598</v>
      </c>
      <c r="BJ608" s="189">
        <v>2500</v>
      </c>
      <c r="BK608" s="188" t="s">
        <v>493</v>
      </c>
      <c r="BL608" s="188" t="s">
        <v>598</v>
      </c>
      <c r="BM608" s="189">
        <v>0</v>
      </c>
      <c r="BN608" s="188" t="s">
        <v>598</v>
      </c>
      <c r="BO608" s="127">
        <v>42852</v>
      </c>
      <c r="BP608" s="188" t="s">
        <v>134</v>
      </c>
      <c r="BQ608" s="188" t="s">
        <v>92</v>
      </c>
      <c r="BR608" s="188" t="s">
        <v>403</v>
      </c>
      <c r="BS608" s="188" t="s">
        <v>29</v>
      </c>
      <c r="BT608" s="188" t="s">
        <v>79</v>
      </c>
      <c r="BU608" s="188" t="s">
        <v>112</v>
      </c>
      <c r="BV608" s="188" t="s">
        <v>598</v>
      </c>
    </row>
    <row r="609" spans="5:74">
      <c r="E609" s="21"/>
      <c r="Q609" s="191"/>
      <c r="R609" s="191"/>
      <c r="S609" s="191"/>
      <c r="T609" s="127"/>
      <c r="U609" s="127"/>
      <c r="V609" s="191"/>
      <c r="W609" s="190"/>
      <c r="X609" s="191"/>
      <c r="Y609" s="191"/>
      <c r="Z609" s="191"/>
      <c r="AA609" s="191"/>
      <c r="AB609" s="191"/>
      <c r="AC609" s="191"/>
      <c r="AD609" s="191"/>
      <c r="AE609" s="191"/>
      <c r="AF609" s="191"/>
      <c r="AG609" s="191"/>
      <c r="AH609" s="191"/>
      <c r="AI609" s="127"/>
      <c r="AJ609" s="191"/>
      <c r="AK609" s="191"/>
      <c r="AL609" s="190"/>
      <c r="AM609" s="191"/>
      <c r="BE609" s="188" t="s">
        <v>3572</v>
      </c>
      <c r="BF609" s="188" t="s">
        <v>4336</v>
      </c>
      <c r="BG609" s="127">
        <v>42856</v>
      </c>
      <c r="BH609" s="188" t="s">
        <v>34</v>
      </c>
      <c r="BI609" s="188" t="s">
        <v>598</v>
      </c>
      <c r="BJ609" s="189">
        <v>6000</v>
      </c>
      <c r="BK609" s="188" t="s">
        <v>493</v>
      </c>
      <c r="BL609" s="188" t="s">
        <v>598</v>
      </c>
      <c r="BM609" s="189">
        <v>0</v>
      </c>
      <c r="BN609" s="188" t="s">
        <v>598</v>
      </c>
      <c r="BO609" s="127">
        <v>42853</v>
      </c>
      <c r="BP609" s="188" t="s">
        <v>134</v>
      </c>
      <c r="BQ609" s="188" t="s">
        <v>92</v>
      </c>
      <c r="BR609" s="188" t="s">
        <v>40</v>
      </c>
      <c r="BS609" s="188" t="s">
        <v>598</v>
      </c>
      <c r="BT609" s="188" t="s">
        <v>79</v>
      </c>
      <c r="BU609" s="188" t="s">
        <v>112</v>
      </c>
      <c r="BV609" s="188" t="s">
        <v>598</v>
      </c>
    </row>
    <row r="610" spans="5:74">
      <c r="E610" s="21"/>
      <c r="Q610" s="191"/>
      <c r="R610" s="191"/>
      <c r="S610" s="191"/>
      <c r="T610" s="127"/>
      <c r="U610" s="127"/>
      <c r="V610" s="191"/>
      <c r="W610" s="190"/>
      <c r="X610" s="191"/>
      <c r="Y610" s="191"/>
      <c r="Z610" s="191"/>
      <c r="AA610" s="191"/>
      <c r="AB610" s="191"/>
      <c r="AC610" s="191"/>
      <c r="AD610" s="191"/>
      <c r="AE610" s="191"/>
      <c r="AF610" s="191"/>
      <c r="AG610" s="191"/>
      <c r="AH610" s="191"/>
      <c r="AI610" s="127"/>
      <c r="AJ610" s="191"/>
      <c r="AK610" s="191"/>
      <c r="AL610" s="190"/>
      <c r="AM610" s="191"/>
      <c r="BE610" s="188" t="s">
        <v>3574</v>
      </c>
      <c r="BF610" s="188" t="s">
        <v>4337</v>
      </c>
      <c r="BG610" s="127">
        <v>42872</v>
      </c>
      <c r="BH610" s="188" t="s">
        <v>10</v>
      </c>
      <c r="BI610" s="188" t="s">
        <v>598</v>
      </c>
      <c r="BJ610" s="189">
        <v>4000</v>
      </c>
      <c r="BK610" s="188" t="s">
        <v>493</v>
      </c>
      <c r="BL610" s="188" t="s">
        <v>598</v>
      </c>
      <c r="BM610" s="189">
        <v>0</v>
      </c>
      <c r="BN610" s="188" t="s">
        <v>598</v>
      </c>
      <c r="BO610" s="127">
        <v>42854</v>
      </c>
      <c r="BP610" s="188" t="s">
        <v>134</v>
      </c>
      <c r="BQ610" s="188" t="s">
        <v>92</v>
      </c>
      <c r="BR610" s="188" t="s">
        <v>180</v>
      </c>
      <c r="BS610" s="188" t="s">
        <v>598</v>
      </c>
      <c r="BT610" s="188" t="s">
        <v>79</v>
      </c>
      <c r="BU610" s="188" t="s">
        <v>112</v>
      </c>
      <c r="BV610" s="188" t="s">
        <v>598</v>
      </c>
    </row>
    <row r="611" spans="5:74">
      <c r="E611" s="21"/>
      <c r="Q611" s="191"/>
      <c r="R611" s="191"/>
      <c r="S611" s="191"/>
      <c r="T611" s="127"/>
      <c r="U611" s="127"/>
      <c r="V611" s="191"/>
      <c r="W611" s="190"/>
      <c r="X611" s="191"/>
      <c r="Y611" s="191"/>
      <c r="Z611" s="191"/>
      <c r="AA611" s="191"/>
      <c r="AB611" s="191"/>
      <c r="AC611" s="191"/>
      <c r="AD611" s="191"/>
      <c r="AE611" s="191"/>
      <c r="AF611" s="191"/>
      <c r="AG611" s="191"/>
      <c r="AH611" s="191"/>
      <c r="AI611" s="127"/>
      <c r="AJ611" s="191"/>
      <c r="AK611" s="191"/>
      <c r="AL611" s="190"/>
      <c r="AM611" s="191"/>
      <c r="BE611" s="188" t="s">
        <v>3576</v>
      </c>
      <c r="BF611" s="188" t="s">
        <v>4338</v>
      </c>
      <c r="BG611" s="127">
        <v>42874</v>
      </c>
      <c r="BH611" s="188" t="s">
        <v>494</v>
      </c>
      <c r="BI611" s="188" t="s">
        <v>598</v>
      </c>
      <c r="BJ611" s="189">
        <v>3000</v>
      </c>
      <c r="BK611" s="188" t="s">
        <v>493</v>
      </c>
      <c r="BL611" s="188" t="s">
        <v>598</v>
      </c>
      <c r="BM611" s="189">
        <v>0</v>
      </c>
      <c r="BN611" s="188" t="s">
        <v>598</v>
      </c>
      <c r="BO611" s="127">
        <v>42854</v>
      </c>
      <c r="BP611" s="188" t="s">
        <v>134</v>
      </c>
      <c r="BQ611" s="188" t="s">
        <v>92</v>
      </c>
      <c r="BR611" s="188" t="s">
        <v>196</v>
      </c>
      <c r="BS611" s="188" t="s">
        <v>598</v>
      </c>
      <c r="BT611" s="188" t="s">
        <v>79</v>
      </c>
      <c r="BU611" s="188" t="s">
        <v>79</v>
      </c>
      <c r="BV611" s="188" t="s">
        <v>598</v>
      </c>
    </row>
    <row r="612" spans="5:74">
      <c r="E612" s="21"/>
      <c r="Q612" s="191"/>
      <c r="R612" s="191"/>
      <c r="S612" s="191"/>
      <c r="T612" s="127"/>
      <c r="U612" s="127"/>
      <c r="V612" s="191"/>
      <c r="W612" s="190"/>
      <c r="X612" s="191"/>
      <c r="Y612" s="191"/>
      <c r="Z612" s="191"/>
      <c r="AA612" s="191"/>
      <c r="AB612" s="191"/>
      <c r="AC612" s="191"/>
      <c r="AD612" s="191"/>
      <c r="AE612" s="191"/>
      <c r="AF612" s="191"/>
      <c r="AG612" s="191"/>
      <c r="AH612" s="191"/>
      <c r="AI612" s="127"/>
      <c r="AJ612" s="191"/>
      <c r="AK612" s="191"/>
      <c r="AL612" s="190"/>
      <c r="AM612" s="191"/>
      <c r="BE612" s="188" t="s">
        <v>3578</v>
      </c>
      <c r="BF612" s="188" t="s">
        <v>4339</v>
      </c>
      <c r="BG612" s="127">
        <v>42866</v>
      </c>
      <c r="BH612" s="188" t="s">
        <v>34</v>
      </c>
      <c r="BI612" s="188" t="s">
        <v>598</v>
      </c>
      <c r="BJ612" s="189">
        <v>2500</v>
      </c>
      <c r="BK612" s="188" t="s">
        <v>493</v>
      </c>
      <c r="BL612" s="188" t="s">
        <v>598</v>
      </c>
      <c r="BM612" s="189">
        <v>0</v>
      </c>
      <c r="BN612" s="188" t="s">
        <v>598</v>
      </c>
      <c r="BO612" s="127">
        <v>42854</v>
      </c>
      <c r="BP612" s="188" t="s">
        <v>135</v>
      </c>
      <c r="BQ612" s="188" t="s">
        <v>92</v>
      </c>
      <c r="BR612" s="188" t="s">
        <v>467</v>
      </c>
      <c r="BS612" s="188" t="s">
        <v>598</v>
      </c>
      <c r="BT612" s="188" t="s">
        <v>79</v>
      </c>
      <c r="BU612" s="188" t="s">
        <v>79</v>
      </c>
      <c r="BV612" s="188" t="s">
        <v>598</v>
      </c>
    </row>
    <row r="613" spans="5:74">
      <c r="E613" s="21"/>
      <c r="Q613" s="191"/>
      <c r="R613" s="191"/>
      <c r="S613" s="191"/>
      <c r="T613" s="127"/>
      <c r="U613" s="127"/>
      <c r="V613" s="191"/>
      <c r="W613" s="190"/>
      <c r="X613" s="191"/>
      <c r="Y613" s="191"/>
      <c r="Z613" s="191"/>
      <c r="AA613" s="191"/>
      <c r="AB613" s="191"/>
      <c r="AC613" s="191"/>
      <c r="AD613" s="191"/>
      <c r="AE613" s="191"/>
      <c r="AF613" s="191"/>
      <c r="AG613" s="191"/>
      <c r="AH613" s="191"/>
      <c r="AI613" s="127"/>
      <c r="AJ613" s="191"/>
      <c r="AK613" s="191"/>
      <c r="AL613" s="190"/>
      <c r="AM613" s="191"/>
      <c r="BE613" s="188" t="s">
        <v>3580</v>
      </c>
      <c r="BF613" s="188" t="s">
        <v>4340</v>
      </c>
      <c r="BG613" s="127">
        <v>42863</v>
      </c>
      <c r="BH613" s="188" t="s">
        <v>10</v>
      </c>
      <c r="BI613" s="188" t="s">
        <v>598</v>
      </c>
      <c r="BJ613" s="189">
        <v>3500</v>
      </c>
      <c r="BK613" s="188" t="s">
        <v>493</v>
      </c>
      <c r="BL613" s="188" t="s">
        <v>598</v>
      </c>
      <c r="BM613" s="189">
        <v>0</v>
      </c>
      <c r="BN613" s="188" t="s">
        <v>598</v>
      </c>
      <c r="BO613" s="127">
        <v>42859</v>
      </c>
      <c r="BP613" s="188" t="s">
        <v>135</v>
      </c>
      <c r="BQ613" s="188" t="s">
        <v>97</v>
      </c>
      <c r="BR613" s="188" t="s">
        <v>468</v>
      </c>
      <c r="BS613" s="188" t="s">
        <v>598</v>
      </c>
      <c r="BT613" s="188" t="s">
        <v>30</v>
      </c>
      <c r="BU613" s="188" t="s">
        <v>30</v>
      </c>
      <c r="BV613" s="188" t="s">
        <v>598</v>
      </c>
    </row>
    <row r="614" spans="5:74">
      <c r="E614" s="21"/>
      <c r="Q614" s="191"/>
      <c r="R614" s="191"/>
      <c r="S614" s="191"/>
      <c r="T614" s="127"/>
      <c r="U614" s="127"/>
      <c r="V614" s="191"/>
      <c r="W614" s="190"/>
      <c r="X614" s="191"/>
      <c r="Y614" s="191"/>
      <c r="Z614" s="191"/>
      <c r="AA614" s="191"/>
      <c r="AB614" s="191"/>
      <c r="AC614" s="191"/>
      <c r="AD614" s="191"/>
      <c r="AE614" s="191"/>
      <c r="AF614" s="191"/>
      <c r="AG614" s="191"/>
      <c r="AH614" s="191"/>
      <c r="AI614" s="127"/>
      <c r="AJ614" s="191"/>
      <c r="AK614" s="191"/>
      <c r="AL614" s="190"/>
      <c r="AM614" s="191"/>
      <c r="BE614" s="188" t="s">
        <v>3582</v>
      </c>
      <c r="BF614" s="188" t="s">
        <v>4341</v>
      </c>
      <c r="BG614" s="127">
        <v>42878</v>
      </c>
      <c r="BH614" s="188" t="s">
        <v>10</v>
      </c>
      <c r="BI614" s="188" t="s">
        <v>598</v>
      </c>
      <c r="BJ614" s="189">
        <v>3000</v>
      </c>
      <c r="BK614" s="188" t="s">
        <v>493</v>
      </c>
      <c r="BL614" s="188" t="s">
        <v>598</v>
      </c>
      <c r="BM614" s="189">
        <v>0</v>
      </c>
      <c r="BN614" s="188" t="s">
        <v>598</v>
      </c>
      <c r="BO614" s="127">
        <v>42856</v>
      </c>
      <c r="BP614" s="188" t="s">
        <v>598</v>
      </c>
      <c r="BQ614" s="188" t="s">
        <v>102</v>
      </c>
      <c r="BR614" s="188" t="s">
        <v>245</v>
      </c>
      <c r="BS614" s="188" t="s">
        <v>598</v>
      </c>
      <c r="BT614" s="188" t="s">
        <v>63</v>
      </c>
      <c r="BU614" s="188" t="s">
        <v>63</v>
      </c>
      <c r="BV614" s="188" t="s">
        <v>598</v>
      </c>
    </row>
    <row r="615" spans="5:74">
      <c r="E615" s="21"/>
      <c r="Q615" s="191"/>
      <c r="R615" s="191"/>
      <c r="S615" s="191"/>
      <c r="T615" s="127"/>
      <c r="U615" s="127"/>
      <c r="V615" s="191"/>
      <c r="W615" s="190"/>
      <c r="X615" s="191"/>
      <c r="Y615" s="191"/>
      <c r="Z615" s="191"/>
      <c r="AA615" s="191"/>
      <c r="AB615" s="191"/>
      <c r="AC615" s="191"/>
      <c r="AD615" s="191"/>
      <c r="AE615" s="191"/>
      <c r="AF615" s="191"/>
      <c r="AG615" s="191"/>
      <c r="AH615" s="191"/>
      <c r="AI615" s="127"/>
      <c r="AJ615" s="191"/>
      <c r="AK615" s="191"/>
      <c r="AL615" s="190"/>
      <c r="AM615" s="191"/>
      <c r="BE615" s="188" t="s">
        <v>3584</v>
      </c>
      <c r="BF615" s="188" t="s">
        <v>4342</v>
      </c>
      <c r="BG615" s="127">
        <v>42857</v>
      </c>
      <c r="BH615" s="188" t="s">
        <v>10</v>
      </c>
      <c r="BI615" s="188" t="s">
        <v>598</v>
      </c>
      <c r="BJ615" s="189">
        <v>2000</v>
      </c>
      <c r="BK615" s="188" t="s">
        <v>493</v>
      </c>
      <c r="BL615" s="188" t="s">
        <v>598</v>
      </c>
      <c r="BM615" s="189">
        <v>0</v>
      </c>
      <c r="BN615" s="188" t="s">
        <v>598</v>
      </c>
      <c r="BO615" s="127">
        <v>42856</v>
      </c>
      <c r="BP615" s="188" t="s">
        <v>598</v>
      </c>
      <c r="BQ615" s="188" t="s">
        <v>102</v>
      </c>
      <c r="BR615" s="188" t="s">
        <v>233</v>
      </c>
      <c r="BS615" s="188" t="s">
        <v>598</v>
      </c>
      <c r="BT615" s="188" t="s">
        <v>63</v>
      </c>
      <c r="BU615" s="188" t="s">
        <v>63</v>
      </c>
      <c r="BV615" s="188" t="s">
        <v>598</v>
      </c>
    </row>
    <row r="616" spans="5:74">
      <c r="E616" s="21"/>
      <c r="Q616" s="191"/>
      <c r="R616" s="191"/>
      <c r="S616" s="191"/>
      <c r="T616" s="127"/>
      <c r="U616" s="127"/>
      <c r="V616" s="191"/>
      <c r="W616" s="190"/>
      <c r="X616" s="191"/>
      <c r="Y616" s="191"/>
      <c r="Z616" s="191"/>
      <c r="AA616" s="191"/>
      <c r="AB616" s="191"/>
      <c r="AC616" s="191"/>
      <c r="AD616" s="191"/>
      <c r="AE616" s="191"/>
      <c r="AF616" s="191"/>
      <c r="AG616" s="191"/>
      <c r="AH616" s="191"/>
      <c r="AI616" s="127"/>
      <c r="AJ616" s="191"/>
      <c r="AK616" s="191"/>
      <c r="AL616" s="190"/>
      <c r="AM616" s="191"/>
      <c r="BE616" s="188" t="s">
        <v>3586</v>
      </c>
      <c r="BF616" s="188" t="s">
        <v>4343</v>
      </c>
      <c r="BG616" s="127">
        <v>42861</v>
      </c>
      <c r="BH616" s="188" t="s">
        <v>10</v>
      </c>
      <c r="BI616" s="188" t="s">
        <v>598</v>
      </c>
      <c r="BJ616" s="189">
        <v>3000</v>
      </c>
      <c r="BK616" s="188" t="s">
        <v>493</v>
      </c>
      <c r="BL616" s="188" t="s">
        <v>598</v>
      </c>
      <c r="BM616" s="189">
        <v>0</v>
      </c>
      <c r="BN616" s="188" t="s">
        <v>598</v>
      </c>
      <c r="BO616" s="127">
        <v>42856</v>
      </c>
      <c r="BP616" s="188" t="s">
        <v>598</v>
      </c>
      <c r="BQ616" s="188" t="s">
        <v>102</v>
      </c>
      <c r="BR616" s="188" t="s">
        <v>169</v>
      </c>
      <c r="BS616" s="188" t="s">
        <v>598</v>
      </c>
      <c r="BT616" s="188" t="s">
        <v>63</v>
      </c>
      <c r="BU616" s="188" t="s">
        <v>63</v>
      </c>
      <c r="BV616" s="188" t="s">
        <v>598</v>
      </c>
    </row>
    <row r="617" spans="5:74">
      <c r="E617" s="21"/>
      <c r="Q617" s="191"/>
      <c r="R617" s="191"/>
      <c r="S617" s="191"/>
      <c r="T617" s="127"/>
      <c r="U617" s="127"/>
      <c r="V617" s="191"/>
      <c r="W617" s="190"/>
      <c r="X617" s="191"/>
      <c r="Y617" s="191"/>
      <c r="Z617" s="191"/>
      <c r="AA617" s="191"/>
      <c r="AB617" s="191"/>
      <c r="AC617" s="191"/>
      <c r="AD617" s="191"/>
      <c r="AE617" s="191"/>
      <c r="AF617" s="191"/>
      <c r="AG617" s="191"/>
      <c r="AH617" s="191"/>
      <c r="AI617" s="127"/>
      <c r="AJ617" s="191"/>
      <c r="AK617" s="191"/>
      <c r="AL617" s="190"/>
      <c r="AM617" s="191"/>
      <c r="BE617" s="188" t="s">
        <v>3588</v>
      </c>
      <c r="BF617" s="188" t="s">
        <v>4344</v>
      </c>
      <c r="BG617" s="127">
        <v>42861</v>
      </c>
      <c r="BH617" s="188" t="s">
        <v>10</v>
      </c>
      <c r="BI617" s="188" t="s">
        <v>598</v>
      </c>
      <c r="BJ617" s="189">
        <v>3000</v>
      </c>
      <c r="BK617" s="188" t="s">
        <v>493</v>
      </c>
      <c r="BL617" s="188" t="s">
        <v>598</v>
      </c>
      <c r="BM617" s="189">
        <v>0</v>
      </c>
      <c r="BN617" s="188" t="s">
        <v>598</v>
      </c>
      <c r="BO617" s="127">
        <v>42856</v>
      </c>
      <c r="BP617" s="188" t="s">
        <v>598</v>
      </c>
      <c r="BQ617" s="188" t="s">
        <v>102</v>
      </c>
      <c r="BR617" s="188" t="s">
        <v>169</v>
      </c>
      <c r="BS617" s="188" t="s">
        <v>598</v>
      </c>
      <c r="BT617" s="188" t="s">
        <v>63</v>
      </c>
      <c r="BU617" s="188" t="s">
        <v>63</v>
      </c>
      <c r="BV617" s="188" t="s">
        <v>598</v>
      </c>
    </row>
    <row r="618" spans="5:74">
      <c r="E618" s="21"/>
      <c r="Q618" s="191"/>
      <c r="R618" s="191"/>
      <c r="S618" s="191"/>
      <c r="T618" s="127"/>
      <c r="U618" s="127"/>
      <c r="V618" s="191"/>
      <c r="W618" s="190"/>
      <c r="X618" s="191"/>
      <c r="Y618" s="191"/>
      <c r="Z618" s="191"/>
      <c r="AA618" s="191"/>
      <c r="AB618" s="191"/>
      <c r="AC618" s="191"/>
      <c r="AD618" s="191"/>
      <c r="AE618" s="191"/>
      <c r="AF618" s="191"/>
      <c r="AG618" s="191"/>
      <c r="AH618" s="191"/>
      <c r="AI618" s="127"/>
      <c r="AJ618" s="191"/>
      <c r="AK618" s="191"/>
      <c r="AL618" s="190"/>
      <c r="AM618" s="191"/>
      <c r="BE618" s="188" t="s">
        <v>3589</v>
      </c>
      <c r="BF618" s="188" t="s">
        <v>4345</v>
      </c>
      <c r="BG618" s="127">
        <v>42861</v>
      </c>
      <c r="BH618" s="188" t="s">
        <v>10</v>
      </c>
      <c r="BI618" s="188" t="s">
        <v>598</v>
      </c>
      <c r="BJ618" s="189">
        <v>3000</v>
      </c>
      <c r="BK618" s="188" t="s">
        <v>493</v>
      </c>
      <c r="BL618" s="188" t="s">
        <v>598</v>
      </c>
      <c r="BM618" s="189">
        <v>0</v>
      </c>
      <c r="BN618" s="188" t="s">
        <v>598</v>
      </c>
      <c r="BO618" s="127">
        <v>42856</v>
      </c>
      <c r="BP618" s="188" t="s">
        <v>598</v>
      </c>
      <c r="BQ618" s="188" t="s">
        <v>102</v>
      </c>
      <c r="BR618" s="188" t="s">
        <v>169</v>
      </c>
      <c r="BS618" s="188" t="s">
        <v>598</v>
      </c>
      <c r="BT618" s="188" t="s">
        <v>63</v>
      </c>
      <c r="BU618" s="188" t="s">
        <v>63</v>
      </c>
      <c r="BV618" s="188" t="s">
        <v>598</v>
      </c>
    </row>
    <row r="619" spans="5:74">
      <c r="E619" s="21"/>
      <c r="Q619" s="191"/>
      <c r="R619" s="191"/>
      <c r="S619" s="191"/>
      <c r="T619" s="127"/>
      <c r="U619" s="127"/>
      <c r="V619" s="191"/>
      <c r="W619" s="190"/>
      <c r="X619" s="191"/>
      <c r="Y619" s="191"/>
      <c r="Z619" s="191"/>
      <c r="AA619" s="191"/>
      <c r="AB619" s="191"/>
      <c r="AC619" s="191"/>
      <c r="AD619" s="191"/>
      <c r="AE619" s="191"/>
      <c r="AF619" s="191"/>
      <c r="AG619" s="191"/>
      <c r="AH619" s="191"/>
      <c r="AI619" s="127"/>
      <c r="AJ619" s="191"/>
      <c r="AK619" s="191"/>
      <c r="AL619" s="190"/>
      <c r="AM619" s="191"/>
      <c r="BE619" s="188" t="s">
        <v>3590</v>
      </c>
      <c r="BF619" s="188" t="s">
        <v>4346</v>
      </c>
      <c r="BG619" s="127">
        <v>42859</v>
      </c>
      <c r="BH619" s="188" t="s">
        <v>34</v>
      </c>
      <c r="BI619" s="188" t="s">
        <v>598</v>
      </c>
      <c r="BJ619" s="189">
        <v>3000</v>
      </c>
      <c r="BK619" s="188" t="s">
        <v>493</v>
      </c>
      <c r="BL619" s="188" t="s">
        <v>598</v>
      </c>
      <c r="BM619" s="189">
        <v>0</v>
      </c>
      <c r="BN619" s="188" t="s">
        <v>598</v>
      </c>
      <c r="BO619" s="127">
        <v>42856</v>
      </c>
      <c r="BP619" s="188" t="s">
        <v>134</v>
      </c>
      <c r="BQ619" s="188" t="s">
        <v>102</v>
      </c>
      <c r="BR619" s="188" t="s">
        <v>3592</v>
      </c>
      <c r="BS619" s="188" t="s">
        <v>598</v>
      </c>
      <c r="BT619" s="188" t="s">
        <v>63</v>
      </c>
      <c r="BU619" s="188" t="s">
        <v>86</v>
      </c>
      <c r="BV619" s="188" t="s">
        <v>598</v>
      </c>
    </row>
    <row r="620" spans="5:74">
      <c r="E620" s="21"/>
      <c r="Q620" s="191"/>
      <c r="R620" s="191"/>
      <c r="S620" s="191"/>
      <c r="T620" s="127"/>
      <c r="U620" s="127"/>
      <c r="V620" s="191"/>
      <c r="W620" s="190"/>
      <c r="X620" s="191"/>
      <c r="Y620" s="191"/>
      <c r="Z620" s="191"/>
      <c r="AA620" s="191"/>
      <c r="AB620" s="191"/>
      <c r="AC620" s="191"/>
      <c r="AD620" s="191"/>
      <c r="AE620" s="191"/>
      <c r="AF620" s="191"/>
      <c r="AG620" s="191"/>
      <c r="AH620" s="191"/>
      <c r="AI620" s="127"/>
      <c r="AJ620" s="191"/>
      <c r="AK620" s="191"/>
      <c r="AL620" s="190"/>
      <c r="AM620" s="191"/>
      <c r="BE620" s="188" t="s">
        <v>3593</v>
      </c>
      <c r="BF620" s="188" t="s">
        <v>4347</v>
      </c>
      <c r="BG620" s="127">
        <v>42859</v>
      </c>
      <c r="BH620" s="188" t="s">
        <v>34</v>
      </c>
      <c r="BI620" s="188" t="s">
        <v>598</v>
      </c>
      <c r="BJ620" s="189">
        <v>5000</v>
      </c>
      <c r="BK620" s="188" t="s">
        <v>493</v>
      </c>
      <c r="BL620" s="188" t="s">
        <v>598</v>
      </c>
      <c r="BM620" s="189">
        <v>0</v>
      </c>
      <c r="BN620" s="188" t="s">
        <v>598</v>
      </c>
      <c r="BO620" s="127">
        <v>42856</v>
      </c>
      <c r="BP620" s="188" t="s">
        <v>134</v>
      </c>
      <c r="BQ620" s="188" t="s">
        <v>102</v>
      </c>
      <c r="BR620" s="188" t="s">
        <v>3592</v>
      </c>
      <c r="BS620" s="188" t="s">
        <v>598</v>
      </c>
      <c r="BT620" s="188" t="s">
        <v>63</v>
      </c>
      <c r="BU620" s="188" t="s">
        <v>86</v>
      </c>
      <c r="BV620" s="188" t="s">
        <v>598</v>
      </c>
    </row>
    <row r="621" spans="5:74">
      <c r="E621" s="21"/>
      <c r="Q621" s="191"/>
      <c r="R621" s="191"/>
      <c r="S621" s="191"/>
      <c r="T621" s="127"/>
      <c r="U621" s="127"/>
      <c r="V621" s="191"/>
      <c r="W621" s="190"/>
      <c r="X621" s="191"/>
      <c r="Y621" s="191"/>
      <c r="Z621" s="191"/>
      <c r="AA621" s="191"/>
      <c r="AB621" s="191"/>
      <c r="AC621" s="191"/>
      <c r="AD621" s="191"/>
      <c r="AE621" s="191"/>
      <c r="AF621" s="191"/>
      <c r="AG621" s="191"/>
      <c r="AH621" s="191"/>
      <c r="AI621" s="127"/>
      <c r="AJ621" s="191"/>
      <c r="AK621" s="191"/>
      <c r="AL621" s="190"/>
      <c r="AM621" s="191"/>
      <c r="BE621" s="188" t="s">
        <v>3594</v>
      </c>
      <c r="BF621" s="188" t="s">
        <v>4348</v>
      </c>
      <c r="BG621" s="127">
        <v>42857</v>
      </c>
      <c r="BH621" s="188" t="s">
        <v>34</v>
      </c>
      <c r="BI621" s="188" t="s">
        <v>598</v>
      </c>
      <c r="BJ621" s="189">
        <v>1000</v>
      </c>
      <c r="BK621" s="188" t="s">
        <v>549</v>
      </c>
      <c r="BL621" s="188">
        <v>2806</v>
      </c>
      <c r="BM621" s="189">
        <v>7500</v>
      </c>
      <c r="BN621" s="188" t="s">
        <v>493</v>
      </c>
      <c r="BO621" s="127">
        <v>42857</v>
      </c>
      <c r="BP621" s="188" t="s">
        <v>134</v>
      </c>
      <c r="BQ621" s="188" t="s">
        <v>102</v>
      </c>
      <c r="BR621" s="188" t="s">
        <v>598</v>
      </c>
      <c r="BS621" s="188" t="s">
        <v>598</v>
      </c>
      <c r="BT621" s="188" t="s">
        <v>63</v>
      </c>
      <c r="BU621" s="188" t="s">
        <v>86</v>
      </c>
      <c r="BV621" s="188" t="s">
        <v>598</v>
      </c>
    </row>
    <row r="622" spans="5:74">
      <c r="E622" s="21"/>
      <c r="Q622" s="191"/>
      <c r="R622" s="191"/>
      <c r="S622" s="191"/>
      <c r="T622" s="127"/>
      <c r="U622" s="127"/>
      <c r="V622" s="191"/>
      <c r="W622" s="190"/>
      <c r="X622" s="191"/>
      <c r="Y622" s="191"/>
      <c r="Z622" s="191"/>
      <c r="AA622" s="191"/>
      <c r="AB622" s="191"/>
      <c r="AC622" s="191"/>
      <c r="AD622" s="191"/>
      <c r="AE622" s="191"/>
      <c r="AF622" s="191"/>
      <c r="AG622" s="191"/>
      <c r="AH622" s="191"/>
      <c r="AI622" s="127"/>
      <c r="AJ622" s="191"/>
      <c r="AK622" s="191"/>
      <c r="AL622" s="190"/>
      <c r="AM622" s="191"/>
      <c r="BE622" s="188" t="s">
        <v>3595</v>
      </c>
      <c r="BF622" s="188" t="s">
        <v>4349</v>
      </c>
      <c r="BG622" s="127">
        <v>42871</v>
      </c>
      <c r="BH622" s="188" t="s">
        <v>34</v>
      </c>
      <c r="BI622" s="188" t="s">
        <v>598</v>
      </c>
      <c r="BJ622" s="189">
        <v>19000</v>
      </c>
      <c r="BK622" s="188" t="s">
        <v>493</v>
      </c>
      <c r="BL622" s="188" t="s">
        <v>598</v>
      </c>
      <c r="BM622" s="189">
        <v>0</v>
      </c>
      <c r="BN622" s="188" t="s">
        <v>598</v>
      </c>
      <c r="BO622" s="127">
        <v>42857</v>
      </c>
      <c r="BP622" s="188" t="s">
        <v>598</v>
      </c>
      <c r="BQ622" s="188" t="s">
        <v>102</v>
      </c>
      <c r="BR622" s="188" t="s">
        <v>232</v>
      </c>
      <c r="BS622" s="188" t="s">
        <v>598</v>
      </c>
      <c r="BT622" s="188" t="s">
        <v>63</v>
      </c>
      <c r="BU622" s="188" t="s">
        <v>3021</v>
      </c>
      <c r="BV622" s="188" t="s">
        <v>598</v>
      </c>
    </row>
    <row r="623" spans="5:74">
      <c r="E623" s="21"/>
      <c r="Q623" s="191"/>
      <c r="R623" s="191"/>
      <c r="S623" s="191"/>
      <c r="T623" s="127"/>
      <c r="U623" s="127"/>
      <c r="V623" s="191"/>
      <c r="W623" s="190"/>
      <c r="X623" s="191"/>
      <c r="Y623" s="191"/>
      <c r="Z623" s="191"/>
      <c r="AA623" s="191"/>
      <c r="AB623" s="191"/>
      <c r="AC623" s="191"/>
      <c r="AD623" s="191"/>
      <c r="AE623" s="191"/>
      <c r="AF623" s="191"/>
      <c r="AG623" s="191"/>
      <c r="AH623" s="191"/>
      <c r="AI623" s="127"/>
      <c r="AJ623" s="191"/>
      <c r="AK623" s="191"/>
      <c r="AL623" s="190"/>
      <c r="AM623" s="191"/>
      <c r="BE623" s="188" t="s">
        <v>3597</v>
      </c>
      <c r="BF623" s="188" t="s">
        <v>4350</v>
      </c>
      <c r="BG623" s="127">
        <v>42867</v>
      </c>
      <c r="BH623" s="188" t="s">
        <v>34</v>
      </c>
      <c r="BI623" s="188" t="s">
        <v>598</v>
      </c>
      <c r="BJ623" s="189">
        <v>3000</v>
      </c>
      <c r="BK623" s="188" t="s">
        <v>493</v>
      </c>
      <c r="BL623" s="188" t="s">
        <v>598</v>
      </c>
      <c r="BM623" s="189">
        <v>0</v>
      </c>
      <c r="BN623" s="188" t="s">
        <v>598</v>
      </c>
      <c r="BO623" s="127">
        <v>42859</v>
      </c>
      <c r="BP623" s="188" t="s">
        <v>598</v>
      </c>
      <c r="BQ623" s="188" t="s">
        <v>102</v>
      </c>
      <c r="BR623" s="188" t="s">
        <v>233</v>
      </c>
      <c r="BS623" s="188" t="s">
        <v>598</v>
      </c>
      <c r="BT623" s="188" t="s">
        <v>63</v>
      </c>
      <c r="BU623" s="188" t="s">
        <v>63</v>
      </c>
      <c r="BV623" s="188" t="s">
        <v>598</v>
      </c>
    </row>
    <row r="624" spans="5:74">
      <c r="E624" s="21"/>
      <c r="Q624" s="191"/>
      <c r="R624" s="191"/>
      <c r="S624" s="191"/>
      <c r="T624" s="127"/>
      <c r="U624" s="127"/>
      <c r="V624" s="191"/>
      <c r="W624" s="190"/>
      <c r="X624" s="191"/>
      <c r="Y624" s="191"/>
      <c r="Z624" s="191"/>
      <c r="AA624" s="191"/>
      <c r="AB624" s="191"/>
      <c r="AC624" s="191"/>
      <c r="AD624" s="191"/>
      <c r="AE624" s="191"/>
      <c r="AF624" s="191"/>
      <c r="AG624" s="191"/>
      <c r="AH624" s="191"/>
      <c r="AI624" s="127"/>
      <c r="AJ624" s="191"/>
      <c r="AK624" s="191"/>
      <c r="AL624" s="190"/>
      <c r="AM624" s="191"/>
      <c r="BE624" s="188" t="s">
        <v>3599</v>
      </c>
      <c r="BF624" s="188" t="s">
        <v>4351</v>
      </c>
      <c r="BG624" s="127">
        <v>42867</v>
      </c>
      <c r="BH624" s="188" t="s">
        <v>34</v>
      </c>
      <c r="BI624" s="188" t="s">
        <v>598</v>
      </c>
      <c r="BJ624" s="189">
        <v>3000</v>
      </c>
      <c r="BK624" s="188" t="s">
        <v>493</v>
      </c>
      <c r="BL624" s="188" t="s">
        <v>598</v>
      </c>
      <c r="BM624" s="189">
        <v>0</v>
      </c>
      <c r="BN624" s="188" t="s">
        <v>598</v>
      </c>
      <c r="BO624" s="127">
        <v>42859</v>
      </c>
      <c r="BP624" s="188" t="s">
        <v>598</v>
      </c>
      <c r="BQ624" s="188" t="s">
        <v>102</v>
      </c>
      <c r="BR624" s="188" t="s">
        <v>233</v>
      </c>
      <c r="BS624" s="188" t="s">
        <v>598</v>
      </c>
      <c r="BT624" s="188" t="s">
        <v>63</v>
      </c>
      <c r="BU624" s="188" t="s">
        <v>63</v>
      </c>
      <c r="BV624" s="188" t="s">
        <v>598</v>
      </c>
    </row>
    <row r="625" spans="5:74">
      <c r="E625" s="21"/>
      <c r="Q625" s="191"/>
      <c r="R625" s="191"/>
      <c r="S625" s="191"/>
      <c r="T625" s="127"/>
      <c r="U625" s="127"/>
      <c r="V625" s="191"/>
      <c r="W625" s="190"/>
      <c r="X625" s="191"/>
      <c r="Y625" s="191"/>
      <c r="Z625" s="191"/>
      <c r="AA625" s="191"/>
      <c r="AB625" s="191"/>
      <c r="AC625" s="191"/>
      <c r="AD625" s="191"/>
      <c r="AE625" s="191"/>
      <c r="AF625" s="191"/>
      <c r="AG625" s="191"/>
      <c r="AH625" s="191"/>
      <c r="AI625" s="127"/>
      <c r="AJ625" s="191"/>
      <c r="AK625" s="191"/>
      <c r="AL625" s="190"/>
      <c r="AM625" s="191"/>
      <c r="BE625" s="188" t="s">
        <v>3601</v>
      </c>
      <c r="BF625" s="188" t="s">
        <v>4352</v>
      </c>
      <c r="BG625" s="127">
        <v>42871</v>
      </c>
      <c r="BH625" s="188" t="s">
        <v>34</v>
      </c>
      <c r="BI625" s="188" t="s">
        <v>598</v>
      </c>
      <c r="BJ625" s="189">
        <v>4000</v>
      </c>
      <c r="BK625" s="188" t="s">
        <v>493</v>
      </c>
      <c r="BL625" s="188" t="s">
        <v>598</v>
      </c>
      <c r="BM625" s="189">
        <v>0</v>
      </c>
      <c r="BN625" s="188" t="s">
        <v>598</v>
      </c>
      <c r="BO625" s="127">
        <v>42860</v>
      </c>
      <c r="BP625" s="188" t="s">
        <v>134</v>
      </c>
      <c r="BQ625" s="188" t="s">
        <v>102</v>
      </c>
      <c r="BR625" s="188" t="s">
        <v>233</v>
      </c>
      <c r="BS625" s="188" t="s">
        <v>598</v>
      </c>
      <c r="BT625" s="188" t="s">
        <v>63</v>
      </c>
      <c r="BU625" s="188" t="s">
        <v>86</v>
      </c>
      <c r="BV625" s="188" t="s">
        <v>598</v>
      </c>
    </row>
    <row r="626" spans="5:74">
      <c r="E626" s="21"/>
      <c r="Q626" s="191"/>
      <c r="R626" s="191"/>
      <c r="S626" s="191"/>
      <c r="T626" s="127"/>
      <c r="U626" s="127"/>
      <c r="V626" s="191"/>
      <c r="W626" s="190"/>
      <c r="X626" s="191"/>
      <c r="Y626" s="191"/>
      <c r="Z626" s="191"/>
      <c r="AA626" s="191"/>
      <c r="AB626" s="191"/>
      <c r="AC626" s="191"/>
      <c r="AD626" s="191"/>
      <c r="AE626" s="191"/>
      <c r="AF626" s="191"/>
      <c r="AG626" s="191"/>
      <c r="AH626" s="191"/>
      <c r="AI626" s="127"/>
      <c r="AJ626" s="191"/>
      <c r="AK626" s="191"/>
      <c r="AL626" s="190"/>
      <c r="AM626" s="191"/>
      <c r="BE626" s="188" t="s">
        <v>3603</v>
      </c>
      <c r="BF626" s="188" t="s">
        <v>4353</v>
      </c>
      <c r="BG626" s="127">
        <v>42871</v>
      </c>
      <c r="BH626" s="188" t="s">
        <v>34</v>
      </c>
      <c r="BI626" s="188" t="s">
        <v>598</v>
      </c>
      <c r="BJ626" s="189">
        <v>5000</v>
      </c>
      <c r="BK626" s="188" t="s">
        <v>493</v>
      </c>
      <c r="BL626" s="188" t="s">
        <v>598</v>
      </c>
      <c r="BM626" s="189">
        <v>0</v>
      </c>
      <c r="BN626" s="188" t="s">
        <v>598</v>
      </c>
      <c r="BO626" s="127">
        <v>42860</v>
      </c>
      <c r="BP626" s="188" t="s">
        <v>134</v>
      </c>
      <c r="BQ626" s="188" t="s">
        <v>102</v>
      </c>
      <c r="BR626" s="188" t="s">
        <v>233</v>
      </c>
      <c r="BS626" s="188" t="s">
        <v>598</v>
      </c>
      <c r="BT626" s="188" t="s">
        <v>63</v>
      </c>
      <c r="BU626" s="188" t="s">
        <v>86</v>
      </c>
      <c r="BV626" s="188" t="s">
        <v>598</v>
      </c>
    </row>
    <row r="627" spans="5:74">
      <c r="E627" s="21"/>
      <c r="Q627" s="191"/>
      <c r="R627" s="191"/>
      <c r="S627" s="191"/>
      <c r="T627" s="127"/>
      <c r="U627" s="127"/>
      <c r="V627" s="191"/>
      <c r="W627" s="190"/>
      <c r="X627" s="191"/>
      <c r="Y627" s="191"/>
      <c r="Z627" s="191"/>
      <c r="AA627" s="191"/>
      <c r="AB627" s="191"/>
      <c r="AC627" s="191"/>
      <c r="AD627" s="191"/>
      <c r="AE627" s="191"/>
      <c r="AF627" s="191"/>
      <c r="AG627" s="191"/>
      <c r="AH627" s="191"/>
      <c r="AI627" s="127"/>
      <c r="AJ627" s="191"/>
      <c r="AK627" s="191"/>
      <c r="AL627" s="190"/>
      <c r="AM627" s="191"/>
      <c r="BE627" s="188" t="s">
        <v>3605</v>
      </c>
      <c r="BF627" s="188" t="s">
        <v>4354</v>
      </c>
      <c r="BG627" s="127">
        <v>42875</v>
      </c>
      <c r="BH627" s="188" t="s">
        <v>34</v>
      </c>
      <c r="BI627" s="188" t="s">
        <v>598</v>
      </c>
      <c r="BJ627" s="189">
        <v>4000</v>
      </c>
      <c r="BK627" s="188" t="s">
        <v>493</v>
      </c>
      <c r="BL627" s="188" t="s">
        <v>598</v>
      </c>
      <c r="BM627" s="189">
        <v>0</v>
      </c>
      <c r="BN627" s="188" t="s">
        <v>598</v>
      </c>
      <c r="BO627" s="127">
        <v>42861</v>
      </c>
      <c r="BP627" s="188" t="s">
        <v>598</v>
      </c>
      <c r="BQ627" s="188" t="s">
        <v>102</v>
      </c>
      <c r="BR627" s="188" t="s">
        <v>217</v>
      </c>
      <c r="BS627" s="188" t="s">
        <v>598</v>
      </c>
      <c r="BT627" s="188" t="s">
        <v>63</v>
      </c>
      <c r="BU627" s="188" t="s">
        <v>63</v>
      </c>
      <c r="BV627" s="188" t="s">
        <v>598</v>
      </c>
    </row>
    <row r="628" spans="5:74">
      <c r="E628" s="21"/>
      <c r="Q628" s="191"/>
      <c r="R628" s="191"/>
      <c r="S628" s="191"/>
      <c r="T628" s="127"/>
      <c r="U628" s="127"/>
      <c r="V628" s="191"/>
      <c r="W628" s="190"/>
      <c r="X628" s="191"/>
      <c r="Y628" s="191"/>
      <c r="Z628" s="191"/>
      <c r="AA628" s="191"/>
      <c r="AB628" s="191"/>
      <c r="AC628" s="191"/>
      <c r="AD628" s="191"/>
      <c r="AE628" s="191"/>
      <c r="AF628" s="191"/>
      <c r="AG628" s="191"/>
      <c r="AH628" s="191"/>
      <c r="AI628" s="127"/>
      <c r="AJ628" s="191"/>
      <c r="AK628" s="191"/>
      <c r="AL628" s="190"/>
      <c r="AM628" s="191"/>
      <c r="BE628" s="188" t="s">
        <v>3606</v>
      </c>
      <c r="BF628" s="188" t="s">
        <v>4355</v>
      </c>
      <c r="BG628" s="127">
        <v>42865</v>
      </c>
      <c r="BH628" s="188" t="s">
        <v>34</v>
      </c>
      <c r="BI628" s="188" t="s">
        <v>598</v>
      </c>
      <c r="BJ628" s="189">
        <v>1000</v>
      </c>
      <c r="BK628" s="188" t="s">
        <v>493</v>
      </c>
      <c r="BL628" s="188" t="s">
        <v>598</v>
      </c>
      <c r="BM628" s="189">
        <v>0</v>
      </c>
      <c r="BN628" s="188" t="s">
        <v>598</v>
      </c>
      <c r="BO628" s="127">
        <v>42861</v>
      </c>
      <c r="BP628" s="188" t="s">
        <v>598</v>
      </c>
      <c r="BQ628" s="188" t="s">
        <v>102</v>
      </c>
      <c r="BR628" s="188" t="s">
        <v>183</v>
      </c>
      <c r="BS628" s="188" t="s">
        <v>598</v>
      </c>
      <c r="BT628" s="188" t="s">
        <v>63</v>
      </c>
      <c r="BU628" s="188" t="s">
        <v>86</v>
      </c>
      <c r="BV628" s="188" t="s">
        <v>598</v>
      </c>
    </row>
    <row r="629" spans="5:74">
      <c r="E629" s="21"/>
      <c r="Q629" s="191"/>
      <c r="R629" s="191"/>
      <c r="S629" s="191"/>
      <c r="T629" s="127"/>
      <c r="U629" s="127"/>
      <c r="V629" s="191"/>
      <c r="W629" s="190"/>
      <c r="X629" s="191"/>
      <c r="Y629" s="191"/>
      <c r="Z629" s="191"/>
      <c r="AA629" s="191"/>
      <c r="AB629" s="191"/>
      <c r="AC629" s="191"/>
      <c r="AD629" s="191"/>
      <c r="AE629" s="191"/>
      <c r="AF629" s="191"/>
      <c r="AG629" s="191"/>
      <c r="AH629" s="191"/>
      <c r="AI629" s="127"/>
      <c r="AJ629" s="191"/>
      <c r="AK629" s="191"/>
      <c r="AL629" s="190"/>
      <c r="AM629" s="191"/>
      <c r="BE629" s="188" t="s">
        <v>3608</v>
      </c>
      <c r="BF629" s="188" t="s">
        <v>4356</v>
      </c>
      <c r="BG629" s="127">
        <v>42874</v>
      </c>
      <c r="BH629" s="188" t="s">
        <v>34</v>
      </c>
      <c r="BI629" s="188" t="s">
        <v>598</v>
      </c>
      <c r="BJ629" s="189">
        <v>8000</v>
      </c>
      <c r="BK629" s="188" t="s">
        <v>493</v>
      </c>
      <c r="BL629" s="188" t="s">
        <v>598</v>
      </c>
      <c r="BM629" s="189">
        <v>0</v>
      </c>
      <c r="BN629" s="188" t="s">
        <v>598</v>
      </c>
      <c r="BO629" s="127">
        <v>42861</v>
      </c>
      <c r="BP629" s="188" t="s">
        <v>598</v>
      </c>
      <c r="BQ629" s="188" t="s">
        <v>102</v>
      </c>
      <c r="BR629" s="188" t="s">
        <v>233</v>
      </c>
      <c r="BS629" s="188" t="s">
        <v>598</v>
      </c>
      <c r="BT629" s="188" t="s">
        <v>63</v>
      </c>
      <c r="BU629" s="188" t="s">
        <v>63</v>
      </c>
      <c r="BV629" s="188" t="s">
        <v>598</v>
      </c>
    </row>
    <row r="630" spans="5:74">
      <c r="E630" s="21"/>
      <c r="Q630" s="191"/>
      <c r="R630" s="191"/>
      <c r="S630" s="191"/>
      <c r="T630" s="127"/>
      <c r="U630" s="127"/>
      <c r="V630" s="191"/>
      <c r="W630" s="190"/>
      <c r="X630" s="191"/>
      <c r="Y630" s="191"/>
      <c r="Z630" s="191"/>
      <c r="AA630" s="191"/>
      <c r="AB630" s="191"/>
      <c r="AC630" s="191"/>
      <c r="AD630" s="191"/>
      <c r="AE630" s="191"/>
      <c r="AF630" s="191"/>
      <c r="AG630" s="191"/>
      <c r="AH630" s="191"/>
      <c r="AI630" s="127"/>
      <c r="AJ630" s="191"/>
      <c r="AK630" s="191"/>
      <c r="AL630" s="190"/>
      <c r="AM630" s="191"/>
      <c r="BE630" s="188" t="s">
        <v>3610</v>
      </c>
      <c r="BF630" s="188" t="s">
        <v>4357</v>
      </c>
      <c r="BG630" s="127">
        <v>42877</v>
      </c>
      <c r="BH630" s="188" t="s">
        <v>10</v>
      </c>
      <c r="BI630" s="188" t="s">
        <v>598</v>
      </c>
      <c r="BJ630" s="189">
        <v>3500</v>
      </c>
      <c r="BK630" s="188" t="s">
        <v>493</v>
      </c>
      <c r="BL630" s="188" t="s">
        <v>598</v>
      </c>
      <c r="BM630" s="189">
        <v>0</v>
      </c>
      <c r="BN630" s="188" t="s">
        <v>598</v>
      </c>
      <c r="BO630" s="127">
        <v>42863</v>
      </c>
      <c r="BP630" s="188" t="s">
        <v>135</v>
      </c>
      <c r="BQ630" s="188" t="s">
        <v>102</v>
      </c>
      <c r="BR630" s="188" t="s">
        <v>233</v>
      </c>
      <c r="BS630" s="188" t="s">
        <v>598</v>
      </c>
      <c r="BT630" s="188" t="s">
        <v>63</v>
      </c>
      <c r="BU630" s="188" t="s">
        <v>63</v>
      </c>
      <c r="BV630" s="188" t="s">
        <v>598</v>
      </c>
    </row>
    <row r="631" spans="5:74">
      <c r="E631" s="21"/>
      <c r="Q631" s="191"/>
      <c r="R631" s="191"/>
      <c r="S631" s="191"/>
      <c r="T631" s="127"/>
      <c r="U631" s="127"/>
      <c r="V631" s="191"/>
      <c r="W631" s="190"/>
      <c r="X631" s="191"/>
      <c r="Y631" s="191"/>
      <c r="Z631" s="191"/>
      <c r="AA631" s="191"/>
      <c r="AB631" s="191"/>
      <c r="AC631" s="191"/>
      <c r="AD631" s="191"/>
      <c r="AE631" s="191"/>
      <c r="AF631" s="191"/>
      <c r="AG631" s="191"/>
      <c r="AH631" s="191"/>
      <c r="AI631" s="127"/>
      <c r="AJ631" s="191"/>
      <c r="AK631" s="191"/>
      <c r="AL631" s="190"/>
      <c r="AM631" s="191"/>
      <c r="BE631" s="188" t="s">
        <v>3612</v>
      </c>
      <c r="BF631" s="188" t="s">
        <v>4358</v>
      </c>
      <c r="BG631" s="127">
        <v>42873</v>
      </c>
      <c r="BH631" s="188" t="s">
        <v>34</v>
      </c>
      <c r="BI631" s="188" t="s">
        <v>598</v>
      </c>
      <c r="BJ631" s="189">
        <v>4500</v>
      </c>
      <c r="BK631" s="188" t="s">
        <v>493</v>
      </c>
      <c r="BL631" s="188" t="s">
        <v>598</v>
      </c>
      <c r="BM631" s="189">
        <v>0</v>
      </c>
      <c r="BN631" s="188" t="s">
        <v>598</v>
      </c>
      <c r="BO631" s="127">
        <v>42863</v>
      </c>
      <c r="BP631" s="188" t="s">
        <v>598</v>
      </c>
      <c r="BQ631" s="188" t="s">
        <v>102</v>
      </c>
      <c r="BR631" s="188" t="s">
        <v>233</v>
      </c>
      <c r="BS631" s="188" t="s">
        <v>598</v>
      </c>
      <c r="BT631" s="188" t="s">
        <v>63</v>
      </c>
      <c r="BU631" s="188" t="s">
        <v>86</v>
      </c>
      <c r="BV631" s="188" t="s">
        <v>598</v>
      </c>
    </row>
    <row r="632" spans="5:74">
      <c r="E632" s="21"/>
      <c r="Q632" s="191"/>
      <c r="R632" s="191"/>
      <c r="S632" s="191"/>
      <c r="T632" s="127"/>
      <c r="U632" s="127"/>
      <c r="V632" s="191"/>
      <c r="W632" s="190"/>
      <c r="X632" s="191"/>
      <c r="Y632" s="191"/>
      <c r="Z632" s="191"/>
      <c r="AA632" s="191"/>
      <c r="AB632" s="191"/>
      <c r="AC632" s="191"/>
      <c r="AD632" s="191"/>
      <c r="AE632" s="191"/>
      <c r="AF632" s="191"/>
      <c r="AG632" s="191"/>
      <c r="AH632" s="191"/>
      <c r="AI632" s="127"/>
      <c r="AJ632" s="191"/>
      <c r="AK632" s="191"/>
      <c r="AL632" s="190"/>
      <c r="AM632" s="191"/>
      <c r="BE632" s="188" t="s">
        <v>3613</v>
      </c>
      <c r="BF632" s="188" t="s">
        <v>4359</v>
      </c>
      <c r="BG632" s="127">
        <v>42867</v>
      </c>
      <c r="BH632" s="188" t="s">
        <v>34</v>
      </c>
      <c r="BI632" s="188" t="s">
        <v>598</v>
      </c>
      <c r="BJ632" s="189">
        <v>3000</v>
      </c>
      <c r="BK632" s="188" t="s">
        <v>493</v>
      </c>
      <c r="BL632" s="188" t="s">
        <v>598</v>
      </c>
      <c r="BM632" s="189">
        <v>0</v>
      </c>
      <c r="BN632" s="188" t="s">
        <v>598</v>
      </c>
      <c r="BO632" s="127">
        <v>42863</v>
      </c>
      <c r="BP632" s="188" t="s">
        <v>598</v>
      </c>
      <c r="BQ632" s="188" t="s">
        <v>102</v>
      </c>
      <c r="BR632" s="188" t="s">
        <v>3615</v>
      </c>
      <c r="BS632" s="188" t="s">
        <v>598</v>
      </c>
      <c r="BT632" s="188" t="s">
        <v>63</v>
      </c>
      <c r="BU632" s="188" t="s">
        <v>63</v>
      </c>
      <c r="BV632" s="188" t="s">
        <v>598</v>
      </c>
    </row>
    <row r="633" spans="5:74">
      <c r="E633" s="21"/>
      <c r="Q633" s="191"/>
      <c r="R633" s="191"/>
      <c r="S633" s="191"/>
      <c r="T633" s="127"/>
      <c r="U633" s="127"/>
      <c r="V633" s="191"/>
      <c r="W633" s="190"/>
      <c r="X633" s="191"/>
      <c r="Y633" s="191"/>
      <c r="Z633" s="191"/>
      <c r="AA633" s="191"/>
      <c r="AB633" s="191"/>
      <c r="AC633" s="191"/>
      <c r="AD633" s="191"/>
      <c r="AE633" s="191"/>
      <c r="AF633" s="191"/>
      <c r="AG633" s="191"/>
      <c r="AH633" s="191"/>
      <c r="AI633" s="127"/>
      <c r="AJ633" s="191"/>
      <c r="AK633" s="191"/>
      <c r="AL633" s="190"/>
      <c r="AM633" s="191"/>
      <c r="BE633" s="188" t="s">
        <v>3616</v>
      </c>
      <c r="BF633" s="188" t="s">
        <v>4360</v>
      </c>
      <c r="BG633" s="127">
        <v>42868</v>
      </c>
      <c r="BH633" s="188" t="s">
        <v>34</v>
      </c>
      <c r="BI633" s="188" t="s">
        <v>598</v>
      </c>
      <c r="BJ633" s="189">
        <v>77000</v>
      </c>
      <c r="BK633" s="188" t="s">
        <v>493</v>
      </c>
      <c r="BL633" s="188" t="s">
        <v>598</v>
      </c>
      <c r="BM633" s="189">
        <v>0</v>
      </c>
      <c r="BN633" s="188" t="s">
        <v>598</v>
      </c>
      <c r="BO633" s="127">
        <v>42864</v>
      </c>
      <c r="BP633" s="188" t="s">
        <v>598</v>
      </c>
      <c r="BQ633" s="188" t="s">
        <v>102</v>
      </c>
      <c r="BR633" s="188" t="s">
        <v>469</v>
      </c>
      <c r="BS633" s="188" t="s">
        <v>598</v>
      </c>
      <c r="BT633" s="188" t="s">
        <v>63</v>
      </c>
      <c r="BU633" s="188" t="s">
        <v>86</v>
      </c>
      <c r="BV633" s="188" t="s">
        <v>598</v>
      </c>
    </row>
    <row r="634" spans="5:74">
      <c r="E634" s="21"/>
      <c r="Q634" s="191"/>
      <c r="R634" s="191"/>
      <c r="S634" s="191"/>
      <c r="T634" s="127"/>
      <c r="U634" s="127"/>
      <c r="V634" s="191"/>
      <c r="W634" s="190"/>
      <c r="X634" s="191"/>
      <c r="Y634" s="191"/>
      <c r="Z634" s="191"/>
      <c r="AA634" s="191"/>
      <c r="AB634" s="191"/>
      <c r="AC634" s="191"/>
      <c r="AD634" s="191"/>
      <c r="AE634" s="191"/>
      <c r="AF634" s="191"/>
      <c r="AG634" s="191"/>
      <c r="AH634" s="191"/>
      <c r="AI634" s="127"/>
      <c r="AJ634" s="191"/>
      <c r="AK634" s="191"/>
      <c r="AL634" s="190"/>
      <c r="AM634" s="191"/>
      <c r="BE634" s="188" t="s">
        <v>3617</v>
      </c>
      <c r="BF634" s="188" t="s">
        <v>4361</v>
      </c>
      <c r="BG634" s="127">
        <v>42866</v>
      </c>
      <c r="BH634" s="188" t="s">
        <v>34</v>
      </c>
      <c r="BI634" s="188" t="s">
        <v>598</v>
      </c>
      <c r="BJ634" s="189">
        <v>3500</v>
      </c>
      <c r="BK634" s="188" t="s">
        <v>493</v>
      </c>
      <c r="BL634" s="188" t="s">
        <v>598</v>
      </c>
      <c r="BM634" s="189">
        <v>0</v>
      </c>
      <c r="BN634" s="188" t="s">
        <v>598</v>
      </c>
      <c r="BO634" s="127">
        <v>42864</v>
      </c>
      <c r="BP634" s="188" t="s">
        <v>132</v>
      </c>
      <c r="BQ634" s="188" t="s">
        <v>102</v>
      </c>
      <c r="BR634" s="188" t="s">
        <v>3619</v>
      </c>
      <c r="BS634" s="188" t="s">
        <v>598</v>
      </c>
      <c r="BT634" s="188" t="s">
        <v>63</v>
      </c>
      <c r="BU634" s="188" t="s">
        <v>86</v>
      </c>
      <c r="BV634" s="188" t="s">
        <v>598</v>
      </c>
    </row>
    <row r="635" spans="5:74">
      <c r="E635" s="21"/>
      <c r="Q635" s="191"/>
      <c r="R635" s="191"/>
      <c r="S635" s="191"/>
      <c r="T635" s="127"/>
      <c r="U635" s="127"/>
      <c r="V635" s="191"/>
      <c r="W635" s="190"/>
      <c r="X635" s="191"/>
      <c r="Y635" s="191"/>
      <c r="Z635" s="191"/>
      <c r="AA635" s="191"/>
      <c r="AB635" s="191"/>
      <c r="AC635" s="191"/>
      <c r="AD635" s="191"/>
      <c r="AE635" s="191"/>
      <c r="AF635" s="191"/>
      <c r="AG635" s="191"/>
      <c r="AH635" s="191"/>
      <c r="AI635" s="127"/>
      <c r="AJ635" s="191"/>
      <c r="AK635" s="191"/>
      <c r="AL635" s="190"/>
      <c r="AM635" s="191"/>
      <c r="BE635" s="188" t="s">
        <v>3620</v>
      </c>
      <c r="BF635" s="188" t="s">
        <v>4362</v>
      </c>
      <c r="BG635" s="127">
        <v>42870</v>
      </c>
      <c r="BH635" s="188" t="s">
        <v>34</v>
      </c>
      <c r="BI635" s="188" t="s">
        <v>598</v>
      </c>
      <c r="BJ635" s="189">
        <v>3000</v>
      </c>
      <c r="BK635" s="188" t="s">
        <v>493</v>
      </c>
      <c r="BL635" s="188" t="s">
        <v>598</v>
      </c>
      <c r="BM635" s="189">
        <v>0</v>
      </c>
      <c r="BN635" s="188" t="s">
        <v>598</v>
      </c>
      <c r="BO635" s="127">
        <v>42865</v>
      </c>
      <c r="BP635" s="188" t="s">
        <v>134</v>
      </c>
      <c r="BQ635" s="188" t="s">
        <v>102</v>
      </c>
      <c r="BR635" s="188" t="s">
        <v>233</v>
      </c>
      <c r="BS635" s="188" t="s">
        <v>598</v>
      </c>
      <c r="BT635" s="188" t="s">
        <v>63</v>
      </c>
      <c r="BU635" s="188" t="s">
        <v>86</v>
      </c>
      <c r="BV635" s="188" t="s">
        <v>598</v>
      </c>
    </row>
    <row r="636" spans="5:74">
      <c r="E636" s="21"/>
      <c r="Q636" s="191"/>
      <c r="R636" s="191"/>
      <c r="S636" s="191"/>
      <c r="T636" s="127"/>
      <c r="U636" s="127"/>
      <c r="V636" s="191"/>
      <c r="W636" s="190"/>
      <c r="X636" s="191"/>
      <c r="Y636" s="191"/>
      <c r="Z636" s="191"/>
      <c r="AA636" s="191"/>
      <c r="AB636" s="191"/>
      <c r="AC636" s="191"/>
      <c r="AD636" s="191"/>
      <c r="AE636" s="191"/>
      <c r="AF636" s="191"/>
      <c r="AG636" s="191"/>
      <c r="AH636" s="191"/>
      <c r="AI636" s="127"/>
      <c r="AJ636" s="191"/>
      <c r="AK636" s="191"/>
      <c r="AL636" s="190"/>
      <c r="AM636" s="191"/>
      <c r="BE636" s="188" t="s">
        <v>3622</v>
      </c>
      <c r="BF636" s="188" t="s">
        <v>4363</v>
      </c>
      <c r="BG636" s="127">
        <v>42877</v>
      </c>
      <c r="BH636" s="188" t="s">
        <v>10</v>
      </c>
      <c r="BI636" s="188" t="s">
        <v>598</v>
      </c>
      <c r="BJ636" s="189">
        <v>2000</v>
      </c>
      <c r="BK636" s="188" t="s">
        <v>493</v>
      </c>
      <c r="BL636" s="188" t="s">
        <v>598</v>
      </c>
      <c r="BM636" s="189">
        <v>0</v>
      </c>
      <c r="BN636" s="188" t="s">
        <v>598</v>
      </c>
      <c r="BO636" s="127">
        <v>42865</v>
      </c>
      <c r="BP636" s="188" t="s">
        <v>134</v>
      </c>
      <c r="BQ636" s="188" t="s">
        <v>102</v>
      </c>
      <c r="BR636" s="188" t="s">
        <v>233</v>
      </c>
      <c r="BS636" s="188" t="s">
        <v>598</v>
      </c>
      <c r="BT636" s="188" t="s">
        <v>63</v>
      </c>
      <c r="BU636" s="188" t="s">
        <v>63</v>
      </c>
      <c r="BV636" s="188" t="s">
        <v>598</v>
      </c>
    </row>
    <row r="637" spans="5:74">
      <c r="E637" s="21"/>
      <c r="Q637" s="191"/>
      <c r="R637" s="191"/>
      <c r="S637" s="191"/>
      <c r="T637" s="127"/>
      <c r="U637" s="127"/>
      <c r="V637" s="191"/>
      <c r="W637" s="190"/>
      <c r="X637" s="191"/>
      <c r="Y637" s="191"/>
      <c r="Z637" s="191"/>
      <c r="AA637" s="191"/>
      <c r="AB637" s="191"/>
      <c r="AC637" s="191"/>
      <c r="AD637" s="191"/>
      <c r="AE637" s="191"/>
      <c r="AF637" s="191"/>
      <c r="AG637" s="191"/>
      <c r="AH637" s="191"/>
      <c r="AI637" s="127"/>
      <c r="AJ637" s="191"/>
      <c r="AK637" s="191"/>
      <c r="AL637" s="190"/>
      <c r="AM637" s="191"/>
      <c r="BE637" s="188" t="s">
        <v>3623</v>
      </c>
      <c r="BF637" s="188" t="s">
        <v>4364</v>
      </c>
      <c r="BG637" s="127">
        <v>42879</v>
      </c>
      <c r="BH637" s="188" t="s">
        <v>34</v>
      </c>
      <c r="BI637" s="188" t="s">
        <v>598</v>
      </c>
      <c r="BJ637" s="189">
        <v>2000</v>
      </c>
      <c r="BK637" s="188" t="s">
        <v>493</v>
      </c>
      <c r="BL637" s="188" t="s">
        <v>598</v>
      </c>
      <c r="BM637" s="189">
        <v>0</v>
      </c>
      <c r="BN637" s="188" t="s">
        <v>598</v>
      </c>
      <c r="BO637" s="127">
        <v>42866</v>
      </c>
      <c r="BP637" s="188" t="s">
        <v>598</v>
      </c>
      <c r="BQ637" s="188" t="s">
        <v>102</v>
      </c>
      <c r="BR637" s="188" t="s">
        <v>470</v>
      </c>
      <c r="BS637" s="188" t="s">
        <v>598</v>
      </c>
      <c r="BT637" s="188" t="s">
        <v>63</v>
      </c>
      <c r="BU637" s="188" t="s">
        <v>3021</v>
      </c>
      <c r="BV637" s="188" t="s">
        <v>598</v>
      </c>
    </row>
    <row r="638" spans="5:74">
      <c r="E638" s="21"/>
      <c r="Q638" s="191"/>
      <c r="R638" s="191"/>
      <c r="S638" s="191"/>
      <c r="T638" s="127"/>
      <c r="U638" s="127"/>
      <c r="V638" s="191"/>
      <c r="W638" s="190"/>
      <c r="X638" s="191"/>
      <c r="Y638" s="191"/>
      <c r="Z638" s="191"/>
      <c r="AA638" s="191"/>
      <c r="AB638" s="191"/>
      <c r="AC638" s="191"/>
      <c r="AD638" s="191"/>
      <c r="AE638" s="191"/>
      <c r="AF638" s="191"/>
      <c r="AG638" s="191"/>
      <c r="AH638" s="191"/>
      <c r="AI638" s="127"/>
      <c r="AJ638" s="191"/>
      <c r="AK638" s="191"/>
      <c r="AL638" s="190"/>
      <c r="AM638" s="191"/>
      <c r="BE638" s="188" t="s">
        <v>3625</v>
      </c>
      <c r="BF638" s="188" t="s">
        <v>4365</v>
      </c>
      <c r="BG638" s="127">
        <v>42875</v>
      </c>
      <c r="BH638" s="188" t="s">
        <v>34</v>
      </c>
      <c r="BI638" s="188" t="s">
        <v>598</v>
      </c>
      <c r="BJ638" s="189">
        <v>4000</v>
      </c>
      <c r="BK638" s="188" t="s">
        <v>493</v>
      </c>
      <c r="BL638" s="188" t="s">
        <v>598</v>
      </c>
      <c r="BM638" s="189">
        <v>0</v>
      </c>
      <c r="BN638" s="188" t="s">
        <v>598</v>
      </c>
      <c r="BO638" s="127">
        <v>42866</v>
      </c>
      <c r="BP638" s="188" t="s">
        <v>598</v>
      </c>
      <c r="BQ638" s="188" t="s">
        <v>102</v>
      </c>
      <c r="BR638" s="188" t="s">
        <v>233</v>
      </c>
      <c r="BS638" s="188" t="s">
        <v>598</v>
      </c>
      <c r="BT638" s="188" t="s">
        <v>63</v>
      </c>
      <c r="BU638" s="188" t="s">
        <v>63</v>
      </c>
      <c r="BV638" s="188" t="s">
        <v>598</v>
      </c>
    </row>
    <row r="639" spans="5:74">
      <c r="E639" s="21"/>
      <c r="Q639" s="191"/>
      <c r="R639" s="191"/>
      <c r="S639" s="191"/>
      <c r="T639" s="127"/>
      <c r="U639" s="127"/>
      <c r="V639" s="191"/>
      <c r="W639" s="190"/>
      <c r="X639" s="191"/>
      <c r="Y639" s="191"/>
      <c r="Z639" s="191"/>
      <c r="AA639" s="191"/>
      <c r="AB639" s="191"/>
      <c r="AC639" s="191"/>
      <c r="AD639" s="191"/>
      <c r="AE639" s="191"/>
      <c r="AF639" s="191"/>
      <c r="AG639" s="191"/>
      <c r="AH639" s="191"/>
      <c r="AI639" s="127"/>
      <c r="AJ639" s="191"/>
      <c r="AK639" s="191"/>
      <c r="AL639" s="190"/>
      <c r="AM639" s="191"/>
      <c r="BE639" s="188" t="s">
        <v>3627</v>
      </c>
      <c r="BF639" s="188" t="s">
        <v>4366</v>
      </c>
      <c r="BG639" s="127">
        <v>42878</v>
      </c>
      <c r="BH639" s="188" t="s">
        <v>10</v>
      </c>
      <c r="BI639" s="188" t="s">
        <v>598</v>
      </c>
      <c r="BJ639" s="189">
        <v>3000</v>
      </c>
      <c r="BK639" s="188" t="s">
        <v>493</v>
      </c>
      <c r="BL639" s="188" t="s">
        <v>598</v>
      </c>
      <c r="BM639" s="189">
        <v>0</v>
      </c>
      <c r="BN639" s="188" t="s">
        <v>598</v>
      </c>
      <c r="BO639" s="127">
        <v>42868</v>
      </c>
      <c r="BP639" s="188" t="s">
        <v>598</v>
      </c>
      <c r="BQ639" s="188" t="s">
        <v>102</v>
      </c>
      <c r="BR639" s="188" t="s">
        <v>3619</v>
      </c>
      <c r="BS639" s="188" t="s">
        <v>598</v>
      </c>
      <c r="BT639" s="188" t="s">
        <v>63</v>
      </c>
      <c r="BU639" s="188" t="s">
        <v>63</v>
      </c>
      <c r="BV639" s="188" t="s">
        <v>598</v>
      </c>
    </row>
    <row r="640" spans="5:74">
      <c r="E640" s="21"/>
      <c r="Q640" s="191"/>
      <c r="R640" s="191"/>
      <c r="S640" s="191"/>
      <c r="T640" s="127"/>
      <c r="U640" s="127"/>
      <c r="V640" s="191"/>
      <c r="W640" s="190"/>
      <c r="X640" s="191"/>
      <c r="Y640" s="191"/>
      <c r="Z640" s="191"/>
      <c r="AA640" s="191"/>
      <c r="AB640" s="191"/>
      <c r="AC640" s="191"/>
      <c r="AD640" s="191"/>
      <c r="AE640" s="191"/>
      <c r="AF640" s="191"/>
      <c r="AG640" s="191"/>
      <c r="AH640" s="191"/>
      <c r="AI640" s="127"/>
      <c r="AJ640" s="191"/>
      <c r="AK640" s="191"/>
      <c r="AL640" s="190"/>
      <c r="AM640" s="191"/>
      <c r="BE640" s="188" t="s">
        <v>3629</v>
      </c>
      <c r="BF640" s="188" t="s">
        <v>4367</v>
      </c>
      <c r="BG640" s="127">
        <v>42870</v>
      </c>
      <c r="BH640" s="188" t="s">
        <v>34</v>
      </c>
      <c r="BI640" s="188" t="s">
        <v>598</v>
      </c>
      <c r="BJ640" s="189">
        <v>2000</v>
      </c>
      <c r="BK640" s="188" t="s">
        <v>549</v>
      </c>
      <c r="BL640" s="188" t="s">
        <v>598</v>
      </c>
      <c r="BM640" s="189">
        <v>0</v>
      </c>
      <c r="BN640" s="188" t="s">
        <v>493</v>
      </c>
      <c r="BO640" s="127">
        <v>42870</v>
      </c>
      <c r="BP640" s="188" t="s">
        <v>598</v>
      </c>
      <c r="BQ640" s="188" t="s">
        <v>102</v>
      </c>
      <c r="BR640" s="188" t="s">
        <v>233</v>
      </c>
      <c r="BS640" s="188" t="s">
        <v>598</v>
      </c>
      <c r="BT640" s="188" t="s">
        <v>63</v>
      </c>
      <c r="BU640" s="188" t="s">
        <v>86</v>
      </c>
      <c r="BV640" s="188" t="s">
        <v>598</v>
      </c>
    </row>
    <row r="641" spans="5:74">
      <c r="E641" s="21"/>
      <c r="Q641" s="191"/>
      <c r="R641" s="191"/>
      <c r="S641" s="191"/>
      <c r="T641" s="127"/>
      <c r="U641" s="127"/>
      <c r="V641" s="191"/>
      <c r="W641" s="190"/>
      <c r="X641" s="191"/>
      <c r="Y641" s="191"/>
      <c r="Z641" s="191"/>
      <c r="AA641" s="191"/>
      <c r="AB641" s="191"/>
      <c r="AC641" s="191"/>
      <c r="AD641" s="191"/>
      <c r="AE641" s="191"/>
      <c r="AF641" s="191"/>
      <c r="AG641" s="191"/>
      <c r="AH641" s="191"/>
      <c r="AI641" s="127"/>
      <c r="AJ641" s="191"/>
      <c r="AK641" s="191"/>
      <c r="AL641" s="190"/>
      <c r="AM641" s="191"/>
      <c r="BE641" s="188" t="s">
        <v>3630</v>
      </c>
      <c r="BF641" s="188" t="s">
        <v>4368</v>
      </c>
      <c r="BG641" s="127">
        <v>42874</v>
      </c>
      <c r="BH641" s="188" t="s">
        <v>34</v>
      </c>
      <c r="BI641" s="188" t="s">
        <v>598</v>
      </c>
      <c r="BJ641" s="189">
        <v>3000</v>
      </c>
      <c r="BK641" s="188" t="s">
        <v>493</v>
      </c>
      <c r="BL641" s="188" t="s">
        <v>598</v>
      </c>
      <c r="BM641" s="189">
        <v>0</v>
      </c>
      <c r="BN641" s="188" t="s">
        <v>598</v>
      </c>
      <c r="BO641" s="127">
        <v>42870</v>
      </c>
      <c r="BP641" s="188" t="s">
        <v>598</v>
      </c>
      <c r="BQ641" s="188" t="s">
        <v>102</v>
      </c>
      <c r="BR641" s="188" t="s">
        <v>598</v>
      </c>
      <c r="BS641" s="188" t="s">
        <v>598</v>
      </c>
      <c r="BT641" s="188" t="s">
        <v>63</v>
      </c>
      <c r="BU641" s="188" t="s">
        <v>3021</v>
      </c>
      <c r="BV641" s="188" t="s">
        <v>598</v>
      </c>
    </row>
    <row r="642" spans="5:74">
      <c r="E642" s="21"/>
      <c r="Q642" s="191"/>
      <c r="R642" s="191"/>
      <c r="S642" s="191"/>
      <c r="T642" s="127"/>
      <c r="U642" s="127"/>
      <c r="V642" s="191"/>
      <c r="W642" s="190"/>
      <c r="X642" s="191"/>
      <c r="Y642" s="191"/>
      <c r="Z642" s="191"/>
      <c r="AA642" s="191"/>
      <c r="AB642" s="191"/>
      <c r="AC642" s="191"/>
      <c r="AD642" s="191"/>
      <c r="AE642" s="191"/>
      <c r="AF642" s="191"/>
      <c r="AG642" s="191"/>
      <c r="AH642" s="191"/>
      <c r="AI642" s="127"/>
      <c r="AJ642" s="191"/>
      <c r="AK642" s="191"/>
      <c r="AL642" s="190"/>
      <c r="AM642" s="191"/>
      <c r="BE642" s="188" t="s">
        <v>3632</v>
      </c>
      <c r="BF642" s="188" t="s">
        <v>4369</v>
      </c>
      <c r="BG642" s="127">
        <v>42873</v>
      </c>
      <c r="BH642" s="188" t="s">
        <v>34</v>
      </c>
      <c r="BI642" s="188" t="s">
        <v>598</v>
      </c>
      <c r="BJ642" s="189">
        <v>1000</v>
      </c>
      <c r="BK642" s="188" t="s">
        <v>549</v>
      </c>
      <c r="BL642" s="188">
        <v>2823</v>
      </c>
      <c r="BM642" s="189">
        <v>6000</v>
      </c>
      <c r="BN642" s="188" t="s">
        <v>493</v>
      </c>
      <c r="BO642" s="127">
        <v>42871</v>
      </c>
      <c r="BP642" s="188" t="s">
        <v>598</v>
      </c>
      <c r="BQ642" s="188" t="s">
        <v>102</v>
      </c>
      <c r="BR642" s="188" t="s">
        <v>233</v>
      </c>
      <c r="BS642" s="188" t="s">
        <v>598</v>
      </c>
      <c r="BT642" s="188" t="s">
        <v>63</v>
      </c>
      <c r="BU642" s="188" t="s">
        <v>3021</v>
      </c>
      <c r="BV642" s="188" t="s">
        <v>598</v>
      </c>
    </row>
    <row r="643" spans="5:74">
      <c r="E643" s="21"/>
      <c r="Q643" s="191"/>
      <c r="R643" s="191"/>
      <c r="S643" s="191"/>
      <c r="T643" s="127"/>
      <c r="U643" s="127"/>
      <c r="V643" s="191"/>
      <c r="W643" s="190"/>
      <c r="X643" s="191"/>
      <c r="Y643" s="191"/>
      <c r="Z643" s="191"/>
      <c r="AA643" s="191"/>
      <c r="AB643" s="191"/>
      <c r="AC643" s="191"/>
      <c r="AD643" s="191"/>
      <c r="AE643" s="191"/>
      <c r="AF643" s="191"/>
      <c r="AG643" s="191"/>
      <c r="AH643" s="191"/>
      <c r="AI643" s="127"/>
      <c r="AJ643" s="191"/>
      <c r="AK643" s="191"/>
      <c r="AL643" s="190"/>
      <c r="AM643" s="191"/>
      <c r="BE643" s="188" t="s">
        <v>3633</v>
      </c>
      <c r="BF643" s="188" t="s">
        <v>4370</v>
      </c>
      <c r="BG643" s="127">
        <v>42884</v>
      </c>
      <c r="BH643" s="188" t="s">
        <v>10</v>
      </c>
      <c r="BI643" s="188" t="s">
        <v>598</v>
      </c>
      <c r="BJ643" s="189">
        <v>2500</v>
      </c>
      <c r="BK643" s="188" t="s">
        <v>493</v>
      </c>
      <c r="BL643" s="188" t="s">
        <v>3021</v>
      </c>
      <c r="BM643" s="189">
        <v>2500</v>
      </c>
      <c r="BN643" s="188" t="s">
        <v>598</v>
      </c>
      <c r="BO643" s="127">
        <v>42872</v>
      </c>
      <c r="BP643" s="188" t="s">
        <v>598</v>
      </c>
      <c r="BQ643" s="188" t="s">
        <v>102</v>
      </c>
      <c r="BR643" s="188" t="s">
        <v>244</v>
      </c>
      <c r="BS643" s="188" t="s">
        <v>598</v>
      </c>
      <c r="BT643" s="188" t="s">
        <v>63</v>
      </c>
      <c r="BU643" s="188" t="s">
        <v>86</v>
      </c>
      <c r="BV643" s="188" t="s">
        <v>598</v>
      </c>
    </row>
    <row r="644" spans="5:74">
      <c r="E644" s="21"/>
      <c r="Q644" s="191"/>
      <c r="R644" s="191"/>
      <c r="S644" s="191"/>
      <c r="T644" s="127"/>
      <c r="U644" s="127"/>
      <c r="V644" s="191"/>
      <c r="W644" s="190"/>
      <c r="X644" s="191"/>
      <c r="Y644" s="191"/>
      <c r="Z644" s="191"/>
      <c r="AA644" s="191"/>
      <c r="AB644" s="191"/>
      <c r="AC644" s="191"/>
      <c r="AD644" s="191"/>
      <c r="AE644" s="191"/>
      <c r="AF644" s="191"/>
      <c r="AG644" s="191"/>
      <c r="AH644" s="191"/>
      <c r="AI644" s="127"/>
      <c r="AJ644" s="191"/>
      <c r="AK644" s="191"/>
      <c r="AL644" s="190"/>
      <c r="AM644" s="191"/>
      <c r="BE644" s="188" t="s">
        <v>3635</v>
      </c>
      <c r="BF644" s="188" t="s">
        <v>4371</v>
      </c>
      <c r="BG644" s="127">
        <v>42882</v>
      </c>
      <c r="BH644" s="188" t="s">
        <v>34</v>
      </c>
      <c r="BI644" s="188" t="s">
        <v>598</v>
      </c>
      <c r="BJ644" s="189">
        <v>2500</v>
      </c>
      <c r="BK644" s="188" t="s">
        <v>493</v>
      </c>
      <c r="BL644" s="188" t="s">
        <v>598</v>
      </c>
      <c r="BM644" s="189">
        <v>0</v>
      </c>
      <c r="BN644" s="188" t="s">
        <v>598</v>
      </c>
      <c r="BO644" s="127">
        <v>42873</v>
      </c>
      <c r="BP644" s="188" t="s">
        <v>135</v>
      </c>
      <c r="BQ644" s="188" t="s">
        <v>102</v>
      </c>
      <c r="BR644" s="188" t="s">
        <v>233</v>
      </c>
      <c r="BS644" s="188" t="s">
        <v>598</v>
      </c>
      <c r="BT644" s="188" t="s">
        <v>63</v>
      </c>
      <c r="BU644" s="188" t="s">
        <v>86</v>
      </c>
      <c r="BV644" s="188" t="s">
        <v>598</v>
      </c>
    </row>
    <row r="645" spans="5:74">
      <c r="E645" s="21"/>
      <c r="Q645" s="191"/>
      <c r="R645" s="191"/>
      <c r="S645" s="191"/>
      <c r="T645" s="127"/>
      <c r="U645" s="127"/>
      <c r="V645" s="191"/>
      <c r="W645" s="190"/>
      <c r="X645" s="191"/>
      <c r="Y645" s="191"/>
      <c r="Z645" s="191"/>
      <c r="AA645" s="191"/>
      <c r="AB645" s="191"/>
      <c r="AC645" s="191"/>
      <c r="AD645" s="191"/>
      <c r="AE645" s="191"/>
      <c r="AF645" s="191"/>
      <c r="AG645" s="191"/>
      <c r="AH645" s="191"/>
      <c r="AI645" s="127"/>
      <c r="AJ645" s="191"/>
      <c r="AK645" s="191"/>
      <c r="AL645" s="190"/>
      <c r="AM645" s="191"/>
      <c r="BE645" s="188" t="s">
        <v>3637</v>
      </c>
      <c r="BF645" s="188" t="s">
        <v>4372</v>
      </c>
      <c r="BG645" s="127">
        <v>42875</v>
      </c>
      <c r="BH645" s="188" t="s">
        <v>34</v>
      </c>
      <c r="BI645" s="188" t="s">
        <v>598</v>
      </c>
      <c r="BJ645" s="189">
        <v>2000</v>
      </c>
      <c r="BK645" s="188" t="s">
        <v>549</v>
      </c>
      <c r="BL645" s="188" t="s">
        <v>598</v>
      </c>
      <c r="BM645" s="189">
        <v>0</v>
      </c>
      <c r="BN645" s="188" t="s">
        <v>493</v>
      </c>
      <c r="BO645" s="127">
        <v>42875</v>
      </c>
      <c r="BP645" s="188" t="s">
        <v>598</v>
      </c>
      <c r="BQ645" s="188" t="s">
        <v>102</v>
      </c>
      <c r="BR645" s="188" t="s">
        <v>233</v>
      </c>
      <c r="BS645" s="188" t="s">
        <v>598</v>
      </c>
      <c r="BT645" s="188" t="s">
        <v>63</v>
      </c>
      <c r="BU645" s="188" t="s">
        <v>86</v>
      </c>
      <c r="BV645" s="188" t="s">
        <v>598</v>
      </c>
    </row>
    <row r="646" spans="5:74">
      <c r="E646" s="21"/>
      <c r="Q646" s="191"/>
      <c r="R646" s="191"/>
      <c r="S646" s="191"/>
      <c r="T646" s="127"/>
      <c r="U646" s="127"/>
      <c r="V646" s="191"/>
      <c r="W646" s="190"/>
      <c r="X646" s="191"/>
      <c r="Y646" s="191"/>
      <c r="Z646" s="191"/>
      <c r="AA646" s="191"/>
      <c r="AB646" s="191"/>
      <c r="AC646" s="191"/>
      <c r="AD646" s="191"/>
      <c r="AE646" s="191"/>
      <c r="AF646" s="191"/>
      <c r="AG646" s="191"/>
      <c r="AH646" s="191"/>
      <c r="AI646" s="127"/>
      <c r="AJ646" s="191"/>
      <c r="AK646" s="191"/>
      <c r="AL646" s="190"/>
      <c r="AM646" s="191"/>
      <c r="BE646" s="188" t="s">
        <v>3638</v>
      </c>
      <c r="BF646" s="188" t="s">
        <v>4373</v>
      </c>
      <c r="BG646" s="127">
        <v>42875</v>
      </c>
      <c r="BH646" s="188" t="s">
        <v>34</v>
      </c>
      <c r="BI646" s="188" t="s">
        <v>598</v>
      </c>
      <c r="BJ646" s="189">
        <v>2000</v>
      </c>
      <c r="BK646" s="188" t="s">
        <v>549</v>
      </c>
      <c r="BL646" s="188" t="s">
        <v>598</v>
      </c>
      <c r="BM646" s="189">
        <v>0</v>
      </c>
      <c r="BN646" s="188" t="s">
        <v>493</v>
      </c>
      <c r="BO646" s="127">
        <v>42875</v>
      </c>
      <c r="BP646" s="188" t="s">
        <v>598</v>
      </c>
      <c r="BQ646" s="188" t="s">
        <v>102</v>
      </c>
      <c r="BR646" s="188" t="s">
        <v>233</v>
      </c>
      <c r="BS646" s="188" t="s">
        <v>598</v>
      </c>
      <c r="BT646" s="188" t="s">
        <v>63</v>
      </c>
      <c r="BU646" s="188" t="s">
        <v>86</v>
      </c>
      <c r="BV646" s="188" t="s">
        <v>598</v>
      </c>
    </row>
    <row r="647" spans="5:74">
      <c r="E647" s="21"/>
      <c r="Q647" s="191"/>
      <c r="R647" s="191"/>
      <c r="S647" s="191"/>
      <c r="T647" s="127"/>
      <c r="U647" s="127"/>
      <c r="V647" s="191"/>
      <c r="W647" s="190"/>
      <c r="X647" s="191"/>
      <c r="Y647" s="191"/>
      <c r="Z647" s="191"/>
      <c r="AA647" s="191"/>
      <c r="AB647" s="191"/>
      <c r="AC647" s="191"/>
      <c r="AD647" s="191"/>
      <c r="AE647" s="191"/>
      <c r="AF647" s="191"/>
      <c r="AG647" s="191"/>
      <c r="AH647" s="191"/>
      <c r="AI647" s="127"/>
      <c r="AJ647" s="191"/>
      <c r="AK647" s="191"/>
      <c r="AL647" s="190"/>
      <c r="AM647" s="191"/>
      <c r="BE647" s="188" t="s">
        <v>3639</v>
      </c>
      <c r="BF647" s="188" t="s">
        <v>4374</v>
      </c>
      <c r="BG647" s="127">
        <v>42875</v>
      </c>
      <c r="BH647" s="188" t="s">
        <v>34</v>
      </c>
      <c r="BI647" s="188" t="s">
        <v>598</v>
      </c>
      <c r="BJ647" s="189">
        <v>2000</v>
      </c>
      <c r="BK647" s="188" t="s">
        <v>549</v>
      </c>
      <c r="BL647" s="188" t="s">
        <v>598</v>
      </c>
      <c r="BM647" s="189">
        <v>0</v>
      </c>
      <c r="BN647" s="188" t="s">
        <v>493</v>
      </c>
      <c r="BO647" s="127">
        <v>42875</v>
      </c>
      <c r="BP647" s="188" t="s">
        <v>134</v>
      </c>
      <c r="BQ647" s="188" t="s">
        <v>102</v>
      </c>
      <c r="BR647" s="188" t="s">
        <v>233</v>
      </c>
      <c r="BS647" s="188" t="s">
        <v>598</v>
      </c>
      <c r="BT647" s="188" t="s">
        <v>63</v>
      </c>
      <c r="BU647" s="188" t="s">
        <v>63</v>
      </c>
      <c r="BV647" s="188" t="s">
        <v>598</v>
      </c>
    </row>
    <row r="648" spans="5:74">
      <c r="E648" s="21"/>
      <c r="Q648" s="191"/>
      <c r="R648" s="191"/>
      <c r="S648" s="191"/>
      <c r="T648" s="127"/>
      <c r="U648" s="127"/>
      <c r="V648" s="191"/>
      <c r="W648" s="190"/>
      <c r="X648" s="191"/>
      <c r="Y648" s="191"/>
      <c r="Z648" s="191"/>
      <c r="AA648" s="191"/>
      <c r="AB648" s="191"/>
      <c r="AC648" s="191"/>
      <c r="AD648" s="191"/>
      <c r="AE648" s="191"/>
      <c r="AF648" s="191"/>
      <c r="AG648" s="191"/>
      <c r="AH648" s="191"/>
      <c r="AI648" s="127"/>
      <c r="AJ648" s="191"/>
      <c r="AK648" s="191"/>
      <c r="AL648" s="190"/>
      <c r="AM648" s="191"/>
      <c r="BE648" s="188" t="s">
        <v>3640</v>
      </c>
      <c r="BF648" s="188" t="s">
        <v>4375</v>
      </c>
      <c r="BG648" s="127">
        <v>42875</v>
      </c>
      <c r="BH648" s="188" t="s">
        <v>34</v>
      </c>
      <c r="BI648" s="188" t="s">
        <v>598</v>
      </c>
      <c r="BJ648" s="189">
        <v>2000</v>
      </c>
      <c r="BK648" s="188" t="s">
        <v>549</v>
      </c>
      <c r="BL648" s="188" t="s">
        <v>598</v>
      </c>
      <c r="BM648" s="189">
        <v>0</v>
      </c>
      <c r="BN648" s="188" t="s">
        <v>493</v>
      </c>
      <c r="BO648" s="127">
        <v>42875</v>
      </c>
      <c r="BP648" s="188" t="s">
        <v>134</v>
      </c>
      <c r="BQ648" s="188" t="s">
        <v>102</v>
      </c>
      <c r="BR648" s="188" t="s">
        <v>233</v>
      </c>
      <c r="BS648" s="188" t="s">
        <v>598</v>
      </c>
      <c r="BT648" s="188" t="s">
        <v>63</v>
      </c>
      <c r="BU648" s="188" t="s">
        <v>63</v>
      </c>
      <c r="BV648" s="188" t="s">
        <v>598</v>
      </c>
    </row>
    <row r="649" spans="5:74">
      <c r="E649" s="21"/>
      <c r="Q649" s="191"/>
      <c r="R649" s="191"/>
      <c r="S649" s="191"/>
      <c r="T649" s="127"/>
      <c r="U649" s="127"/>
      <c r="V649" s="191"/>
      <c r="W649" s="190"/>
      <c r="X649" s="191"/>
      <c r="Y649" s="191"/>
      <c r="Z649" s="191"/>
      <c r="AA649" s="191"/>
      <c r="AB649" s="191"/>
      <c r="AC649" s="191"/>
      <c r="AD649" s="191"/>
      <c r="AE649" s="191"/>
      <c r="AF649" s="191"/>
      <c r="AG649" s="191"/>
      <c r="AH649" s="191"/>
      <c r="AI649" s="127"/>
      <c r="AJ649" s="191"/>
      <c r="AK649" s="191"/>
      <c r="AL649" s="190"/>
      <c r="AM649" s="191"/>
      <c r="BE649" s="188" t="s">
        <v>3641</v>
      </c>
      <c r="BF649" s="188" t="s">
        <v>4376</v>
      </c>
      <c r="BG649" s="127">
        <v>42875</v>
      </c>
      <c r="BH649" s="188" t="s">
        <v>34</v>
      </c>
      <c r="BI649" s="188" t="s">
        <v>598</v>
      </c>
      <c r="BJ649" s="189">
        <v>2000</v>
      </c>
      <c r="BK649" s="188" t="s">
        <v>549</v>
      </c>
      <c r="BL649" s="188" t="s">
        <v>598</v>
      </c>
      <c r="BM649" s="189">
        <v>0</v>
      </c>
      <c r="BN649" s="188" t="s">
        <v>493</v>
      </c>
      <c r="BO649" s="127">
        <v>42875</v>
      </c>
      <c r="BP649" s="188" t="s">
        <v>134</v>
      </c>
      <c r="BQ649" s="188" t="s">
        <v>102</v>
      </c>
      <c r="BR649" s="188" t="s">
        <v>233</v>
      </c>
      <c r="BS649" s="188" t="s">
        <v>598</v>
      </c>
      <c r="BT649" s="188" t="s">
        <v>63</v>
      </c>
      <c r="BU649" s="188" t="s">
        <v>63</v>
      </c>
      <c r="BV649" s="188" t="s">
        <v>598</v>
      </c>
    </row>
    <row r="650" spans="5:74">
      <c r="E650" s="21"/>
      <c r="Q650" s="191"/>
      <c r="R650" s="191"/>
      <c r="S650" s="191"/>
      <c r="T650" s="127"/>
      <c r="U650" s="127"/>
      <c r="V650" s="191"/>
      <c r="W650" s="190"/>
      <c r="X650" s="191"/>
      <c r="Y650" s="191"/>
      <c r="Z650" s="191"/>
      <c r="AA650" s="191"/>
      <c r="AB650" s="191"/>
      <c r="AC650" s="191"/>
      <c r="AD650" s="191"/>
      <c r="AE650" s="191"/>
      <c r="AF650" s="191"/>
      <c r="AG650" s="191"/>
      <c r="AH650" s="191"/>
      <c r="AI650" s="127"/>
      <c r="AJ650" s="191"/>
      <c r="AK650" s="191"/>
      <c r="AL650" s="190"/>
      <c r="AM650" s="191"/>
      <c r="BE650" s="188" t="s">
        <v>3642</v>
      </c>
      <c r="BF650" s="188" t="s">
        <v>4377</v>
      </c>
      <c r="BG650" s="127">
        <v>42875</v>
      </c>
      <c r="BH650" s="188" t="s">
        <v>34</v>
      </c>
      <c r="BI650" s="188" t="s">
        <v>598</v>
      </c>
      <c r="BJ650" s="189">
        <v>2000</v>
      </c>
      <c r="BK650" s="188" t="s">
        <v>549</v>
      </c>
      <c r="BL650" s="188" t="s">
        <v>598</v>
      </c>
      <c r="BM650" s="189">
        <v>0</v>
      </c>
      <c r="BN650" s="188" t="s">
        <v>493</v>
      </c>
      <c r="BO650" s="127">
        <v>42875</v>
      </c>
      <c r="BP650" s="188" t="s">
        <v>134</v>
      </c>
      <c r="BQ650" s="188" t="s">
        <v>102</v>
      </c>
      <c r="BR650" s="188" t="s">
        <v>233</v>
      </c>
      <c r="BS650" s="188" t="s">
        <v>598</v>
      </c>
      <c r="BT650" s="188" t="s">
        <v>63</v>
      </c>
      <c r="BU650" s="188" t="s">
        <v>63</v>
      </c>
      <c r="BV650" s="188" t="s">
        <v>598</v>
      </c>
    </row>
    <row r="651" spans="5:74">
      <c r="E651" s="21"/>
      <c r="Q651" s="191"/>
      <c r="R651" s="191"/>
      <c r="S651" s="191"/>
      <c r="T651" s="127"/>
      <c r="U651" s="127"/>
      <c r="V651" s="191"/>
      <c r="W651" s="190"/>
      <c r="X651" s="191"/>
      <c r="Y651" s="191"/>
      <c r="Z651" s="191"/>
      <c r="AA651" s="191"/>
      <c r="AB651" s="191"/>
      <c r="AC651" s="191"/>
      <c r="AD651" s="191"/>
      <c r="AE651" s="191"/>
      <c r="AF651" s="191"/>
      <c r="AG651" s="191"/>
      <c r="AH651" s="191"/>
      <c r="AI651" s="127"/>
      <c r="AJ651" s="191"/>
      <c r="AK651" s="191"/>
      <c r="AL651" s="190"/>
      <c r="AM651" s="191"/>
      <c r="BE651" s="188" t="s">
        <v>3643</v>
      </c>
      <c r="BF651" s="188" t="s">
        <v>4378</v>
      </c>
      <c r="BG651" s="127">
        <v>42878</v>
      </c>
      <c r="BH651" s="188" t="s">
        <v>34</v>
      </c>
      <c r="BI651" s="188" t="s">
        <v>598</v>
      </c>
      <c r="BJ651" s="189">
        <v>1000</v>
      </c>
      <c r="BK651" s="188" t="s">
        <v>573</v>
      </c>
      <c r="BL651" s="188" t="s">
        <v>598</v>
      </c>
      <c r="BM651" s="189">
        <v>0</v>
      </c>
      <c r="BN651" s="188" t="s">
        <v>598</v>
      </c>
      <c r="BO651" s="127">
        <v>42877</v>
      </c>
      <c r="BP651" s="188" t="s">
        <v>598</v>
      </c>
      <c r="BQ651" s="188" t="s">
        <v>102</v>
      </c>
      <c r="BR651" s="188" t="s">
        <v>233</v>
      </c>
      <c r="BS651" s="188" t="s">
        <v>598</v>
      </c>
      <c r="BT651" s="188" t="s">
        <v>63</v>
      </c>
      <c r="BU651" s="188" t="s">
        <v>86</v>
      </c>
      <c r="BV651" s="188" t="s">
        <v>598</v>
      </c>
    </row>
    <row r="652" spans="5:74">
      <c r="E652" s="21"/>
      <c r="Q652" s="191"/>
      <c r="R652" s="191"/>
      <c r="S652" s="191"/>
      <c r="T652" s="127"/>
      <c r="U652" s="127"/>
      <c r="V652" s="191"/>
      <c r="W652" s="190"/>
      <c r="X652" s="191"/>
      <c r="Y652" s="191"/>
      <c r="Z652" s="191"/>
      <c r="AA652" s="191"/>
      <c r="AB652" s="191"/>
      <c r="AC652" s="191"/>
      <c r="AD652" s="191"/>
      <c r="AE652" s="191"/>
      <c r="AF652" s="191"/>
      <c r="AG652" s="191"/>
      <c r="AH652" s="191"/>
      <c r="AI652" s="127"/>
      <c r="AJ652" s="191"/>
      <c r="AK652" s="191"/>
      <c r="AL652" s="190"/>
      <c r="AM652" s="191"/>
      <c r="BE652" s="188" t="s">
        <v>3644</v>
      </c>
      <c r="BF652" s="188" t="s">
        <v>4379</v>
      </c>
      <c r="BG652" s="127">
        <v>42879</v>
      </c>
      <c r="BH652" s="188" t="s">
        <v>34</v>
      </c>
      <c r="BI652" s="188" t="s">
        <v>598</v>
      </c>
      <c r="BJ652" s="189">
        <v>1000</v>
      </c>
      <c r="BK652" s="188" t="s">
        <v>485</v>
      </c>
      <c r="BL652" s="188">
        <v>2824</v>
      </c>
      <c r="BM652" s="189">
        <v>4000</v>
      </c>
      <c r="BN652" s="188" t="s">
        <v>598</v>
      </c>
      <c r="BO652" s="127">
        <v>42878</v>
      </c>
      <c r="BP652" s="188" t="s">
        <v>598</v>
      </c>
      <c r="BQ652" s="188" t="s">
        <v>102</v>
      </c>
      <c r="BR652" s="188" t="s">
        <v>233</v>
      </c>
      <c r="BS652" s="188" t="s">
        <v>598</v>
      </c>
      <c r="BT652" s="188" t="s">
        <v>63</v>
      </c>
      <c r="BU652" s="188" t="s">
        <v>63</v>
      </c>
      <c r="BV652" s="188" t="s">
        <v>598</v>
      </c>
    </row>
    <row r="653" spans="5:74">
      <c r="E653" s="21"/>
      <c r="Q653" s="191"/>
      <c r="R653" s="191"/>
      <c r="S653" s="191"/>
      <c r="T653" s="127"/>
      <c r="U653" s="127"/>
      <c r="V653" s="191"/>
      <c r="W653" s="190"/>
      <c r="X653" s="191"/>
      <c r="Y653" s="191"/>
      <c r="Z653" s="191"/>
      <c r="AA653" s="191"/>
      <c r="AB653" s="191"/>
      <c r="AC653" s="191"/>
      <c r="AD653" s="191"/>
      <c r="AE653" s="191"/>
      <c r="AF653" s="191"/>
      <c r="AG653" s="191"/>
      <c r="AH653" s="191"/>
      <c r="AI653" s="127"/>
      <c r="AJ653" s="191"/>
      <c r="AK653" s="191"/>
      <c r="AL653" s="190"/>
      <c r="AM653" s="191"/>
      <c r="BE653" s="188" t="s">
        <v>3645</v>
      </c>
      <c r="BF653" s="188" t="s">
        <v>4380</v>
      </c>
      <c r="BG653" s="127">
        <v>42878</v>
      </c>
      <c r="BH653" s="188" t="s">
        <v>34</v>
      </c>
      <c r="BI653" s="188" t="s">
        <v>598</v>
      </c>
      <c r="BJ653" s="189">
        <v>4000</v>
      </c>
      <c r="BK653" s="188" t="s">
        <v>493</v>
      </c>
      <c r="BL653" s="188" t="s">
        <v>598</v>
      </c>
      <c r="BM653" s="189">
        <v>0</v>
      </c>
      <c r="BN653" s="188" t="s">
        <v>598</v>
      </c>
      <c r="BO653" s="127">
        <v>42878</v>
      </c>
      <c r="BP653" s="188" t="s">
        <v>598</v>
      </c>
      <c r="BQ653" s="188" t="s">
        <v>102</v>
      </c>
      <c r="BR653" s="188" t="s">
        <v>233</v>
      </c>
      <c r="BS653" s="188" t="s">
        <v>598</v>
      </c>
      <c r="BT653" s="188" t="s">
        <v>63</v>
      </c>
      <c r="BU653" s="188" t="s">
        <v>63</v>
      </c>
      <c r="BV653" s="188" t="s">
        <v>598</v>
      </c>
    </row>
    <row r="654" spans="5:74">
      <c r="E654" s="21"/>
      <c r="Q654" s="191"/>
      <c r="R654" s="191"/>
      <c r="S654" s="191"/>
      <c r="T654" s="127"/>
      <c r="U654" s="127"/>
      <c r="V654" s="191"/>
      <c r="W654" s="190"/>
      <c r="X654" s="191"/>
      <c r="Y654" s="191"/>
      <c r="Z654" s="191"/>
      <c r="AA654" s="191"/>
      <c r="AB654" s="191"/>
      <c r="AC654" s="191"/>
      <c r="AD654" s="191"/>
      <c r="AE654" s="191"/>
      <c r="AF654" s="191"/>
      <c r="AG654" s="191"/>
      <c r="AH654" s="191"/>
      <c r="AI654" s="127"/>
      <c r="AJ654" s="191"/>
      <c r="AK654" s="191"/>
      <c r="AL654" s="190"/>
      <c r="AM654" s="191"/>
      <c r="BE654" s="188" t="s">
        <v>3647</v>
      </c>
      <c r="BF654" s="188" t="s">
        <v>4381</v>
      </c>
      <c r="BG654" s="127">
        <v>42882</v>
      </c>
      <c r="BH654" s="188" t="s">
        <v>34</v>
      </c>
      <c r="BI654" s="188" t="s">
        <v>598</v>
      </c>
      <c r="BJ654" s="189">
        <v>5000</v>
      </c>
      <c r="BK654" s="188" t="s">
        <v>493</v>
      </c>
      <c r="BL654" s="188" t="s">
        <v>598</v>
      </c>
      <c r="BM654" s="189">
        <v>0</v>
      </c>
      <c r="BN654" s="188" t="s">
        <v>598</v>
      </c>
      <c r="BO654" s="127">
        <v>42879</v>
      </c>
      <c r="BP654" s="188" t="s">
        <v>598</v>
      </c>
      <c r="BQ654" s="188" t="s">
        <v>102</v>
      </c>
      <c r="BR654" s="188" t="s">
        <v>3619</v>
      </c>
      <c r="BS654" s="188" t="s">
        <v>598</v>
      </c>
      <c r="BT654" s="188" t="s">
        <v>63</v>
      </c>
      <c r="BU654" s="188" t="s">
        <v>86</v>
      </c>
      <c r="BV654" s="188" t="s">
        <v>598</v>
      </c>
    </row>
    <row r="655" spans="5:74">
      <c r="E655" s="21"/>
      <c r="Q655" s="191"/>
      <c r="R655" s="191"/>
      <c r="S655" s="191"/>
      <c r="T655" s="127"/>
      <c r="U655" s="127"/>
      <c r="V655" s="191"/>
      <c r="W655" s="190"/>
      <c r="X655" s="191"/>
      <c r="Y655" s="191"/>
      <c r="Z655" s="191"/>
      <c r="AA655" s="191"/>
      <c r="AB655" s="191"/>
      <c r="AC655" s="191"/>
      <c r="AD655" s="191"/>
      <c r="AE655" s="191"/>
      <c r="AF655" s="191"/>
      <c r="AG655" s="191"/>
      <c r="AH655" s="191"/>
      <c r="AI655" s="127"/>
      <c r="AJ655" s="191"/>
      <c r="AK655" s="191"/>
      <c r="AL655" s="190"/>
      <c r="AM655" s="191"/>
      <c r="BE655" s="188" t="s">
        <v>3649</v>
      </c>
      <c r="BF655" s="188" t="s">
        <v>4382</v>
      </c>
      <c r="BG655" s="127">
        <v>42885</v>
      </c>
      <c r="BH655" s="188" t="s">
        <v>34</v>
      </c>
      <c r="BI655" s="188" t="s">
        <v>598</v>
      </c>
      <c r="BJ655" s="189">
        <v>5000</v>
      </c>
      <c r="BK655" s="188" t="s">
        <v>493</v>
      </c>
      <c r="BL655" s="188" t="s">
        <v>598</v>
      </c>
      <c r="BM655" s="189">
        <v>0</v>
      </c>
      <c r="BN655" s="188" t="s">
        <v>598</v>
      </c>
      <c r="BO655" s="127">
        <v>42879</v>
      </c>
      <c r="BP655" s="188" t="s">
        <v>598</v>
      </c>
      <c r="BQ655" s="188" t="s">
        <v>102</v>
      </c>
      <c r="BR655" s="188" t="s">
        <v>233</v>
      </c>
      <c r="BS655" s="188" t="s">
        <v>598</v>
      </c>
      <c r="BT655" s="188" t="s">
        <v>63</v>
      </c>
      <c r="BU655" s="188" t="s">
        <v>3021</v>
      </c>
      <c r="BV655" s="188" t="s">
        <v>598</v>
      </c>
    </row>
    <row r="656" spans="5:74">
      <c r="E656" s="21"/>
      <c r="Q656" s="191"/>
      <c r="R656" s="191"/>
      <c r="S656" s="191"/>
      <c r="T656" s="127"/>
      <c r="U656" s="127"/>
      <c r="V656" s="191"/>
      <c r="W656" s="190"/>
      <c r="X656" s="191"/>
      <c r="Y656" s="191"/>
      <c r="Z656" s="191"/>
      <c r="AA656" s="191"/>
      <c r="AB656" s="191"/>
      <c r="AC656" s="191"/>
      <c r="AD656" s="191"/>
      <c r="AE656" s="191"/>
      <c r="AF656" s="191"/>
      <c r="AG656" s="191"/>
      <c r="AH656" s="191"/>
      <c r="AI656" s="127"/>
      <c r="AJ656" s="191"/>
      <c r="AK656" s="191"/>
      <c r="AL656" s="190"/>
      <c r="AM656" s="191"/>
      <c r="BE656" s="188" t="s">
        <v>3650</v>
      </c>
      <c r="BF656" s="188" t="s">
        <v>4383</v>
      </c>
      <c r="BG656" s="127">
        <v>42885</v>
      </c>
      <c r="BH656" s="188" t="s">
        <v>34</v>
      </c>
      <c r="BI656" s="188" t="s">
        <v>598</v>
      </c>
      <c r="BJ656" s="189">
        <v>5000</v>
      </c>
      <c r="BK656" s="188" t="s">
        <v>493</v>
      </c>
      <c r="BL656" s="188" t="s">
        <v>598</v>
      </c>
      <c r="BM656" s="189">
        <v>0</v>
      </c>
      <c r="BN656" s="188" t="s">
        <v>598</v>
      </c>
      <c r="BO656" s="127">
        <v>42880</v>
      </c>
      <c r="BP656" s="188" t="s">
        <v>598</v>
      </c>
      <c r="BQ656" s="188" t="s">
        <v>102</v>
      </c>
      <c r="BR656" s="188" t="s">
        <v>233</v>
      </c>
      <c r="BS656" s="188" t="s">
        <v>598</v>
      </c>
      <c r="BT656" s="188" t="s">
        <v>63</v>
      </c>
      <c r="BU656" s="188" t="s">
        <v>3021</v>
      </c>
      <c r="BV656" s="188" t="s">
        <v>598</v>
      </c>
    </row>
    <row r="657" spans="5:74">
      <c r="E657" s="21"/>
      <c r="Q657" s="191"/>
      <c r="R657" s="191"/>
      <c r="S657" s="191"/>
      <c r="T657" s="127"/>
      <c r="U657" s="127"/>
      <c r="V657" s="191"/>
      <c r="W657" s="190"/>
      <c r="X657" s="191"/>
      <c r="Y657" s="191"/>
      <c r="Z657" s="191"/>
      <c r="AA657" s="191"/>
      <c r="AB657" s="191"/>
      <c r="AC657" s="191"/>
      <c r="AD657" s="191"/>
      <c r="AE657" s="191"/>
      <c r="AF657" s="191"/>
      <c r="AG657" s="191"/>
      <c r="AH657" s="191"/>
      <c r="AI657" s="127"/>
      <c r="AJ657" s="191"/>
      <c r="AK657" s="191"/>
      <c r="AL657" s="190"/>
      <c r="AM657" s="191"/>
      <c r="BE657" s="188" t="s">
        <v>3652</v>
      </c>
      <c r="BF657" s="188" t="s">
        <v>4384</v>
      </c>
      <c r="BG657" s="127">
        <v>42882</v>
      </c>
      <c r="BH657" s="188" t="s">
        <v>34</v>
      </c>
      <c r="BI657" s="188" t="s">
        <v>598</v>
      </c>
      <c r="BJ657" s="189">
        <v>1000</v>
      </c>
      <c r="BK657" s="188" t="s">
        <v>549</v>
      </c>
      <c r="BL657" s="188" t="s">
        <v>598</v>
      </c>
      <c r="BM657" s="189">
        <v>0</v>
      </c>
      <c r="BN657" s="188" t="s">
        <v>493</v>
      </c>
      <c r="BO657" s="127">
        <v>42882</v>
      </c>
      <c r="BP657" s="188" t="s">
        <v>598</v>
      </c>
      <c r="BQ657" s="188" t="s">
        <v>102</v>
      </c>
      <c r="BR657" s="188" t="s">
        <v>360</v>
      </c>
      <c r="BS657" s="188" t="s">
        <v>598</v>
      </c>
      <c r="BT657" s="188" t="s">
        <v>63</v>
      </c>
      <c r="BU657" s="188" t="s">
        <v>63</v>
      </c>
      <c r="BV657" s="188" t="s">
        <v>598</v>
      </c>
    </row>
    <row r="658" spans="5:74">
      <c r="E658" s="21"/>
      <c r="Q658" s="191"/>
      <c r="R658" s="191"/>
      <c r="S658" s="191"/>
      <c r="T658" s="127"/>
      <c r="U658" s="127"/>
      <c r="V658" s="191"/>
      <c r="W658" s="190"/>
      <c r="X658" s="191"/>
      <c r="Y658" s="191"/>
      <c r="Z658" s="191"/>
      <c r="AA658" s="191"/>
      <c r="AB658" s="191"/>
      <c r="AC658" s="191"/>
      <c r="AD658" s="191"/>
      <c r="AE658" s="191"/>
      <c r="AF658" s="191"/>
      <c r="AG658" s="191"/>
      <c r="AH658" s="191"/>
      <c r="AI658" s="127"/>
      <c r="AJ658" s="191"/>
      <c r="AK658" s="191"/>
      <c r="AL658" s="190"/>
      <c r="AM658" s="191"/>
      <c r="BE658" s="188" t="s">
        <v>3653</v>
      </c>
      <c r="BF658" s="188" t="s">
        <v>4385</v>
      </c>
      <c r="BG658" s="127">
        <v>42885</v>
      </c>
      <c r="BH658" s="188" t="s">
        <v>34</v>
      </c>
      <c r="BI658" s="188" t="s">
        <v>598</v>
      </c>
      <c r="BJ658" s="189">
        <v>2000</v>
      </c>
      <c r="BK658" s="188" t="s">
        <v>549</v>
      </c>
      <c r="BL658" s="188" t="s">
        <v>598</v>
      </c>
      <c r="BM658" s="189">
        <v>0</v>
      </c>
      <c r="BN658" s="188" t="s">
        <v>493</v>
      </c>
      <c r="BO658" s="127">
        <v>42885</v>
      </c>
      <c r="BP658" s="188" t="s">
        <v>598</v>
      </c>
      <c r="BQ658" s="188" t="s">
        <v>102</v>
      </c>
      <c r="BR658" s="188" t="s">
        <v>170</v>
      </c>
      <c r="BS658" s="188" t="s">
        <v>598</v>
      </c>
      <c r="BT658" s="188" t="s">
        <v>63</v>
      </c>
      <c r="BU658" s="188" t="s">
        <v>3021</v>
      </c>
      <c r="BV658" s="188" t="s">
        <v>598</v>
      </c>
    </row>
    <row r="659" spans="5:74">
      <c r="E659" s="21"/>
      <c r="Q659" s="191"/>
      <c r="R659" s="191"/>
      <c r="S659" s="191"/>
      <c r="T659" s="127"/>
      <c r="U659" s="127"/>
      <c r="V659" s="191"/>
      <c r="W659" s="190"/>
      <c r="X659" s="191"/>
      <c r="Y659" s="191"/>
      <c r="Z659" s="191"/>
      <c r="AA659" s="191"/>
      <c r="AB659" s="191"/>
      <c r="AC659" s="191"/>
      <c r="AD659" s="191"/>
      <c r="AE659" s="191"/>
      <c r="AF659" s="191"/>
      <c r="AG659" s="191"/>
      <c r="AH659" s="191"/>
      <c r="AI659" s="127"/>
      <c r="AJ659" s="191"/>
      <c r="AK659" s="191"/>
      <c r="AL659" s="190"/>
      <c r="AM659" s="191"/>
      <c r="BE659" s="188" t="s">
        <v>3654</v>
      </c>
      <c r="BF659" s="188" t="s">
        <v>4386</v>
      </c>
      <c r="BG659" s="127">
        <v>42886</v>
      </c>
      <c r="BH659" s="188" t="s">
        <v>34</v>
      </c>
      <c r="BI659" s="188" t="s">
        <v>598</v>
      </c>
      <c r="BJ659" s="189">
        <v>2000</v>
      </c>
      <c r="BK659" s="188" t="s">
        <v>573</v>
      </c>
      <c r="BL659" s="188" t="s">
        <v>598</v>
      </c>
      <c r="BM659" s="189">
        <v>0</v>
      </c>
      <c r="BN659" s="188" t="s">
        <v>89</v>
      </c>
      <c r="BO659" s="127">
        <v>42886</v>
      </c>
      <c r="BP659" s="188" t="s">
        <v>598</v>
      </c>
      <c r="BQ659" s="188" t="s">
        <v>102</v>
      </c>
      <c r="BR659" s="188" t="s">
        <v>598</v>
      </c>
      <c r="BS659" s="188" t="s">
        <v>598</v>
      </c>
      <c r="BT659" s="188" t="s">
        <v>63</v>
      </c>
      <c r="BU659" s="188" t="s">
        <v>86</v>
      </c>
      <c r="BV659" s="188" t="s">
        <v>598</v>
      </c>
    </row>
    <row r="660" spans="5:74">
      <c r="E660" s="21"/>
      <c r="Q660" s="191"/>
      <c r="R660" s="191"/>
      <c r="S660" s="191"/>
      <c r="T660" s="127"/>
      <c r="U660" s="127"/>
      <c r="V660" s="191"/>
      <c r="W660" s="190"/>
      <c r="X660" s="191"/>
      <c r="Y660" s="191"/>
      <c r="Z660" s="191"/>
      <c r="AA660" s="191"/>
      <c r="AB660" s="191"/>
      <c r="AC660" s="191"/>
      <c r="AD660" s="191"/>
      <c r="AE660" s="191"/>
      <c r="AF660" s="191"/>
      <c r="AG660" s="191"/>
      <c r="AH660" s="191"/>
      <c r="AI660" s="127"/>
      <c r="AJ660" s="191"/>
      <c r="AK660" s="191"/>
      <c r="AL660" s="190"/>
      <c r="AM660" s="191"/>
      <c r="BE660" s="188" t="s">
        <v>3655</v>
      </c>
      <c r="BF660" s="188" t="s">
        <v>4387</v>
      </c>
      <c r="BG660" s="127">
        <v>42857</v>
      </c>
      <c r="BH660" s="188" t="s">
        <v>10</v>
      </c>
      <c r="BI660" s="188" t="s">
        <v>598</v>
      </c>
      <c r="BJ660" s="189">
        <v>2000</v>
      </c>
      <c r="BK660" s="188" t="s">
        <v>493</v>
      </c>
      <c r="BL660" s="188">
        <v>3894</v>
      </c>
      <c r="BM660" s="189">
        <v>2000</v>
      </c>
      <c r="BN660" s="188" t="s">
        <v>598</v>
      </c>
      <c r="BO660" s="127">
        <v>42833</v>
      </c>
      <c r="BP660" s="188" t="s">
        <v>598</v>
      </c>
      <c r="BQ660" s="188" t="s">
        <v>102</v>
      </c>
      <c r="BR660" s="188" t="s">
        <v>233</v>
      </c>
      <c r="BS660" s="188" t="s">
        <v>598</v>
      </c>
      <c r="BT660" s="188" t="s">
        <v>63</v>
      </c>
      <c r="BU660" s="188" t="s">
        <v>3021</v>
      </c>
      <c r="BV660" s="188" t="s">
        <v>598</v>
      </c>
    </row>
    <row r="661" spans="5:74">
      <c r="E661" s="21"/>
      <c r="Q661" s="191"/>
      <c r="R661" s="191"/>
      <c r="S661" s="191"/>
      <c r="T661" s="127"/>
      <c r="U661" s="127"/>
      <c r="V661" s="191"/>
      <c r="W661" s="190"/>
      <c r="X661" s="191"/>
      <c r="Y661" s="191"/>
      <c r="Z661" s="191"/>
      <c r="AA661" s="191"/>
      <c r="AB661" s="191"/>
      <c r="AC661" s="191"/>
      <c r="AD661" s="191"/>
      <c r="AE661" s="191"/>
      <c r="AF661" s="191"/>
      <c r="AG661" s="191"/>
      <c r="AH661" s="191"/>
      <c r="AI661" s="127"/>
      <c r="AJ661" s="191"/>
      <c r="AK661" s="191"/>
      <c r="AL661" s="190"/>
      <c r="AM661" s="191"/>
      <c r="BE661" s="188" t="s">
        <v>3657</v>
      </c>
      <c r="BF661" s="188" t="s">
        <v>4388</v>
      </c>
      <c r="BG661" s="127">
        <v>42857</v>
      </c>
      <c r="BH661" s="188" t="s">
        <v>34</v>
      </c>
      <c r="BI661" s="188" t="s">
        <v>598</v>
      </c>
      <c r="BJ661" s="189">
        <v>5000</v>
      </c>
      <c r="BK661" s="188" t="s">
        <v>493</v>
      </c>
      <c r="BL661" s="188" t="s">
        <v>598</v>
      </c>
      <c r="BM661" s="189">
        <v>0</v>
      </c>
      <c r="BN661" s="188" t="s">
        <v>598</v>
      </c>
      <c r="BO661" s="127">
        <v>42836</v>
      </c>
      <c r="BP661" s="188" t="s">
        <v>598</v>
      </c>
      <c r="BQ661" s="188" t="s">
        <v>102</v>
      </c>
      <c r="BR661" s="188" t="s">
        <v>1053</v>
      </c>
      <c r="BS661" s="188" t="s">
        <v>598</v>
      </c>
      <c r="BT661" s="188" t="s">
        <v>63</v>
      </c>
      <c r="BU661" s="188" t="s">
        <v>63</v>
      </c>
      <c r="BV661" s="188" t="s">
        <v>598</v>
      </c>
    </row>
    <row r="662" spans="5:74">
      <c r="E662" s="21"/>
      <c r="Q662" s="191"/>
      <c r="R662" s="191"/>
      <c r="S662" s="191"/>
      <c r="T662" s="127"/>
      <c r="U662" s="127"/>
      <c r="V662" s="191"/>
      <c r="W662" s="190"/>
      <c r="X662" s="191"/>
      <c r="Y662" s="191"/>
      <c r="Z662" s="191"/>
      <c r="AA662" s="191"/>
      <c r="AB662" s="191"/>
      <c r="AC662" s="191"/>
      <c r="AD662" s="191"/>
      <c r="AE662" s="191"/>
      <c r="AF662" s="191"/>
      <c r="AG662" s="191"/>
      <c r="AH662" s="191"/>
      <c r="AI662" s="127"/>
      <c r="AJ662" s="191"/>
      <c r="AK662" s="191"/>
      <c r="AL662" s="190"/>
      <c r="AM662" s="191"/>
      <c r="BE662" s="188" t="s">
        <v>3659</v>
      </c>
      <c r="BF662" s="188" t="s">
        <v>4389</v>
      </c>
      <c r="BG662" s="127">
        <v>42864</v>
      </c>
      <c r="BH662" s="188" t="s">
        <v>34</v>
      </c>
      <c r="BI662" s="188" t="s">
        <v>598</v>
      </c>
      <c r="BJ662" s="189">
        <v>3000</v>
      </c>
      <c r="BK662" s="188" t="s">
        <v>493</v>
      </c>
      <c r="BL662" s="188" t="s">
        <v>598</v>
      </c>
      <c r="BM662" s="189">
        <v>0</v>
      </c>
      <c r="BN662" s="188" t="s">
        <v>598</v>
      </c>
      <c r="BO662" s="127">
        <v>42837</v>
      </c>
      <c r="BP662" s="188" t="s">
        <v>598</v>
      </c>
      <c r="BQ662" s="188" t="s">
        <v>102</v>
      </c>
      <c r="BR662" s="188" t="s">
        <v>598</v>
      </c>
      <c r="BS662" s="188" t="s">
        <v>598</v>
      </c>
      <c r="BT662" s="188" t="s">
        <v>63</v>
      </c>
      <c r="BU662" s="188" t="s">
        <v>3021</v>
      </c>
      <c r="BV662" s="188" t="s">
        <v>598</v>
      </c>
    </row>
    <row r="663" spans="5:74">
      <c r="E663" s="21"/>
      <c r="Q663" s="191"/>
      <c r="R663" s="191"/>
      <c r="S663" s="191"/>
      <c r="T663" s="127"/>
      <c r="U663" s="127"/>
      <c r="V663" s="191"/>
      <c r="W663" s="190"/>
      <c r="X663" s="191"/>
      <c r="Y663" s="191"/>
      <c r="Z663" s="191"/>
      <c r="AA663" s="191"/>
      <c r="AB663" s="191"/>
      <c r="AC663" s="191"/>
      <c r="AD663" s="191"/>
      <c r="AE663" s="191"/>
      <c r="AF663" s="191"/>
      <c r="AG663" s="191"/>
      <c r="AH663" s="191"/>
      <c r="AI663" s="127"/>
      <c r="AJ663" s="191"/>
      <c r="AK663" s="191"/>
      <c r="AL663" s="190"/>
      <c r="AM663" s="191"/>
      <c r="BE663" s="188" t="s">
        <v>3661</v>
      </c>
      <c r="BF663" s="188" t="s">
        <v>4390</v>
      </c>
      <c r="BG663" s="127">
        <v>42866</v>
      </c>
      <c r="BH663" s="188" t="s">
        <v>10</v>
      </c>
      <c r="BI663" s="188" t="s">
        <v>598</v>
      </c>
      <c r="BJ663" s="189">
        <v>5000</v>
      </c>
      <c r="BK663" s="188" t="s">
        <v>493</v>
      </c>
      <c r="BL663" s="188">
        <v>3891</v>
      </c>
      <c r="BM663" s="189">
        <v>5000</v>
      </c>
      <c r="BN663" s="188" t="s">
        <v>598</v>
      </c>
      <c r="BO663" s="127">
        <v>42838</v>
      </c>
      <c r="BP663" s="188" t="s">
        <v>118</v>
      </c>
      <c r="BQ663" s="188" t="s">
        <v>102</v>
      </c>
      <c r="BR663" s="188" t="s">
        <v>241</v>
      </c>
      <c r="BS663" s="188" t="s">
        <v>598</v>
      </c>
      <c r="BT663" s="188" t="s">
        <v>63</v>
      </c>
      <c r="BU663" s="188" t="s">
        <v>3021</v>
      </c>
      <c r="BV663" s="188" t="s">
        <v>598</v>
      </c>
    </row>
    <row r="664" spans="5:74">
      <c r="E664" s="21"/>
      <c r="Q664" s="191"/>
      <c r="R664" s="191"/>
      <c r="S664" s="191"/>
      <c r="T664" s="127"/>
      <c r="U664" s="127"/>
      <c r="V664" s="191"/>
      <c r="W664" s="190"/>
      <c r="X664" s="191"/>
      <c r="Y664" s="191"/>
      <c r="Z664" s="191"/>
      <c r="AA664" s="191"/>
      <c r="AB664" s="191"/>
      <c r="AC664" s="191"/>
      <c r="AD664" s="191"/>
      <c r="AE664" s="191"/>
      <c r="AF664" s="191"/>
      <c r="AG664" s="191"/>
      <c r="AH664" s="191"/>
      <c r="AI664" s="127"/>
      <c r="AJ664" s="191"/>
      <c r="AK664" s="191"/>
      <c r="AL664" s="190"/>
      <c r="AM664" s="191"/>
      <c r="BE664" s="188" t="s">
        <v>3663</v>
      </c>
      <c r="BF664" s="188" t="s">
        <v>4391</v>
      </c>
      <c r="BG664" s="127">
        <v>42866</v>
      </c>
      <c r="BH664" s="188" t="s">
        <v>10</v>
      </c>
      <c r="BI664" s="188" t="s">
        <v>598</v>
      </c>
      <c r="BJ664" s="189">
        <v>5000</v>
      </c>
      <c r="BK664" s="188" t="s">
        <v>493</v>
      </c>
      <c r="BL664" s="188">
        <v>3890</v>
      </c>
      <c r="BM664" s="189">
        <v>5000</v>
      </c>
      <c r="BN664" s="188" t="s">
        <v>598</v>
      </c>
      <c r="BO664" s="127">
        <v>42838</v>
      </c>
      <c r="BP664" s="188" t="s">
        <v>118</v>
      </c>
      <c r="BQ664" s="188" t="s">
        <v>102</v>
      </c>
      <c r="BR664" s="188" t="s">
        <v>241</v>
      </c>
      <c r="BS664" s="188" t="s">
        <v>598</v>
      </c>
      <c r="BT664" s="188" t="s">
        <v>63</v>
      </c>
      <c r="BU664" s="188" t="s">
        <v>3021</v>
      </c>
      <c r="BV664" s="188" t="s">
        <v>598</v>
      </c>
    </row>
    <row r="665" spans="5:74">
      <c r="E665" s="21"/>
      <c r="Q665" s="191"/>
      <c r="R665" s="191"/>
      <c r="S665" s="191"/>
      <c r="T665" s="127"/>
      <c r="U665" s="127"/>
      <c r="V665" s="191"/>
      <c r="W665" s="190"/>
      <c r="X665" s="191"/>
      <c r="Y665" s="191"/>
      <c r="Z665" s="191"/>
      <c r="AA665" s="191"/>
      <c r="AB665" s="191"/>
      <c r="AC665" s="191"/>
      <c r="AD665" s="191"/>
      <c r="AE665" s="191"/>
      <c r="AF665" s="191"/>
      <c r="AG665" s="191"/>
      <c r="AH665" s="191"/>
      <c r="AI665" s="127"/>
      <c r="AJ665" s="191"/>
      <c r="AK665" s="191"/>
      <c r="AL665" s="190"/>
      <c r="AM665" s="191"/>
      <c r="BE665" s="188" t="s">
        <v>3665</v>
      </c>
      <c r="BF665" s="188" t="s">
        <v>4392</v>
      </c>
      <c r="BG665" s="127">
        <v>42857</v>
      </c>
      <c r="BH665" s="188" t="s">
        <v>34</v>
      </c>
      <c r="BI665" s="188" t="s">
        <v>598</v>
      </c>
      <c r="BJ665" s="189">
        <v>5000</v>
      </c>
      <c r="BK665" s="188" t="s">
        <v>493</v>
      </c>
      <c r="BL665" s="188" t="s">
        <v>598</v>
      </c>
      <c r="BM665" s="189">
        <v>0</v>
      </c>
      <c r="BN665" s="188" t="s">
        <v>598</v>
      </c>
      <c r="BO665" s="127">
        <v>42842</v>
      </c>
      <c r="BP665" s="188" t="s">
        <v>134</v>
      </c>
      <c r="BQ665" s="188" t="s">
        <v>102</v>
      </c>
      <c r="BR665" s="188" t="s">
        <v>233</v>
      </c>
      <c r="BS665" s="188" t="s">
        <v>598</v>
      </c>
      <c r="BT665" s="188" t="s">
        <v>63</v>
      </c>
      <c r="BU665" s="188" t="s">
        <v>63</v>
      </c>
      <c r="BV665" s="188" t="s">
        <v>598</v>
      </c>
    </row>
    <row r="666" spans="5:74">
      <c r="E666" s="21"/>
      <c r="Q666" s="191"/>
      <c r="R666" s="191"/>
      <c r="S666" s="191"/>
      <c r="T666" s="127"/>
      <c r="U666" s="127"/>
      <c r="V666" s="191"/>
      <c r="W666" s="190"/>
      <c r="X666" s="191"/>
      <c r="Y666" s="191"/>
      <c r="Z666" s="191"/>
      <c r="AA666" s="191"/>
      <c r="AB666" s="191"/>
      <c r="AC666" s="191"/>
      <c r="AD666" s="191"/>
      <c r="AE666" s="191"/>
      <c r="AF666" s="191"/>
      <c r="AG666" s="191"/>
      <c r="AH666" s="191"/>
      <c r="AI666" s="127"/>
      <c r="AJ666" s="191"/>
      <c r="AK666" s="191"/>
      <c r="AL666" s="190"/>
      <c r="AM666" s="191"/>
      <c r="BE666" s="188" t="s">
        <v>3667</v>
      </c>
      <c r="BF666" s="188" t="s">
        <v>4393</v>
      </c>
      <c r="BG666" s="127">
        <v>42858</v>
      </c>
      <c r="BH666" s="188" t="s">
        <v>34</v>
      </c>
      <c r="BI666" s="188" t="s">
        <v>598</v>
      </c>
      <c r="BJ666" s="189">
        <v>2500</v>
      </c>
      <c r="BK666" s="188" t="s">
        <v>493</v>
      </c>
      <c r="BL666" s="188" t="s">
        <v>598</v>
      </c>
      <c r="BM666" s="189">
        <v>0</v>
      </c>
      <c r="BN666" s="188" t="s">
        <v>598</v>
      </c>
      <c r="BO666" s="127">
        <v>42843</v>
      </c>
      <c r="BP666" s="188" t="s">
        <v>598</v>
      </c>
      <c r="BQ666" s="188" t="s">
        <v>102</v>
      </c>
      <c r="BR666" s="188" t="s">
        <v>471</v>
      </c>
      <c r="BS666" s="188" t="s">
        <v>598</v>
      </c>
      <c r="BT666" s="188" t="s">
        <v>63</v>
      </c>
      <c r="BU666" s="188" t="s">
        <v>86</v>
      </c>
      <c r="BV666" s="188" t="s">
        <v>598</v>
      </c>
    </row>
    <row r="667" spans="5:74">
      <c r="E667" s="21"/>
      <c r="Q667" s="191"/>
      <c r="R667" s="191"/>
      <c r="S667" s="191"/>
      <c r="T667" s="127"/>
      <c r="U667" s="127"/>
      <c r="V667" s="191"/>
      <c r="W667" s="190"/>
      <c r="X667" s="191"/>
      <c r="Y667" s="191"/>
      <c r="Z667" s="191"/>
      <c r="AA667" s="191"/>
      <c r="AB667" s="191"/>
      <c r="AC667" s="191"/>
      <c r="AD667" s="191"/>
      <c r="AE667" s="191"/>
      <c r="AF667" s="191"/>
      <c r="AG667" s="191"/>
      <c r="AH667" s="191"/>
      <c r="AI667" s="127"/>
      <c r="AJ667" s="191"/>
      <c r="AK667" s="191"/>
      <c r="AL667" s="190"/>
      <c r="AM667" s="191"/>
      <c r="BE667" s="188" t="s">
        <v>3669</v>
      </c>
      <c r="BF667" s="188" t="s">
        <v>4394</v>
      </c>
      <c r="BG667" s="127">
        <v>42865</v>
      </c>
      <c r="BH667" s="188" t="s">
        <v>10</v>
      </c>
      <c r="BI667" s="188" t="s">
        <v>598</v>
      </c>
      <c r="BJ667" s="189">
        <v>1000</v>
      </c>
      <c r="BK667" s="188" t="s">
        <v>493</v>
      </c>
      <c r="BL667" s="188">
        <v>3898</v>
      </c>
      <c r="BM667" s="189">
        <v>1000</v>
      </c>
      <c r="BN667" s="188" t="s">
        <v>598</v>
      </c>
      <c r="BO667" s="127">
        <v>42849</v>
      </c>
      <c r="BP667" s="188" t="s">
        <v>598</v>
      </c>
      <c r="BQ667" s="188" t="s">
        <v>102</v>
      </c>
      <c r="BR667" s="188" t="s">
        <v>216</v>
      </c>
      <c r="BS667" s="188" t="s">
        <v>598</v>
      </c>
      <c r="BT667" s="188" t="s">
        <v>63</v>
      </c>
      <c r="BU667" s="188" t="s">
        <v>86</v>
      </c>
      <c r="BV667" s="188" t="s">
        <v>598</v>
      </c>
    </row>
    <row r="668" spans="5:74">
      <c r="E668" s="21"/>
      <c r="Q668" s="191"/>
      <c r="R668" s="191"/>
      <c r="S668" s="191"/>
      <c r="T668" s="127"/>
      <c r="U668" s="127"/>
      <c r="V668" s="191"/>
      <c r="W668" s="190"/>
      <c r="X668" s="191"/>
      <c r="Y668" s="191"/>
      <c r="Z668" s="191"/>
      <c r="AA668" s="191"/>
      <c r="AB668" s="191"/>
      <c r="AC668" s="191"/>
      <c r="AD668" s="191"/>
      <c r="AE668" s="191"/>
      <c r="AF668" s="191"/>
      <c r="AG668" s="191"/>
      <c r="AH668" s="191"/>
      <c r="AI668" s="127"/>
      <c r="AJ668" s="191"/>
      <c r="AK668" s="191"/>
      <c r="AL668" s="190"/>
      <c r="AM668" s="191"/>
      <c r="BE668" s="188" t="s">
        <v>3670</v>
      </c>
      <c r="BF668" s="188" t="s">
        <v>4395</v>
      </c>
      <c r="BG668" s="127">
        <v>42859</v>
      </c>
      <c r="BH668" s="188" t="s">
        <v>34</v>
      </c>
      <c r="BI668" s="188" t="s">
        <v>598</v>
      </c>
      <c r="BJ668" s="189">
        <v>20000</v>
      </c>
      <c r="BK668" s="188" t="s">
        <v>493</v>
      </c>
      <c r="BL668" s="188" t="s">
        <v>598</v>
      </c>
      <c r="BM668" s="189">
        <v>0</v>
      </c>
      <c r="BN668" s="188" t="s">
        <v>598</v>
      </c>
      <c r="BO668" s="127">
        <v>42849</v>
      </c>
      <c r="BP668" s="188" t="s">
        <v>598</v>
      </c>
      <c r="BQ668" s="188" t="s">
        <v>102</v>
      </c>
      <c r="BR668" s="188" t="s">
        <v>169</v>
      </c>
      <c r="BS668" s="188" t="s">
        <v>598</v>
      </c>
      <c r="BT668" s="188" t="s">
        <v>63</v>
      </c>
      <c r="BU668" s="188" t="s">
        <v>63</v>
      </c>
      <c r="BV668" s="188" t="s">
        <v>598</v>
      </c>
    </row>
    <row r="669" spans="5:74">
      <c r="E669" s="21"/>
      <c r="Q669" s="191"/>
      <c r="R669" s="191"/>
      <c r="S669" s="191"/>
      <c r="T669" s="127"/>
      <c r="U669" s="127"/>
      <c r="V669" s="191"/>
      <c r="W669" s="190"/>
      <c r="X669" s="191"/>
      <c r="Y669" s="191"/>
      <c r="Z669" s="191"/>
      <c r="AA669" s="191"/>
      <c r="AB669" s="191"/>
      <c r="AC669" s="191"/>
      <c r="AD669" s="191"/>
      <c r="AE669" s="191"/>
      <c r="AF669" s="191"/>
      <c r="AG669" s="191"/>
      <c r="AH669" s="191"/>
      <c r="AI669" s="127"/>
      <c r="AJ669" s="191"/>
      <c r="AK669" s="191"/>
      <c r="AL669" s="190"/>
      <c r="AM669" s="191"/>
      <c r="BE669" s="188" t="s">
        <v>3672</v>
      </c>
      <c r="BF669" s="188" t="s">
        <v>4396</v>
      </c>
      <c r="BG669" s="127">
        <v>42861</v>
      </c>
      <c r="BH669" s="188" t="s">
        <v>10</v>
      </c>
      <c r="BI669" s="188" t="s">
        <v>598</v>
      </c>
      <c r="BJ669" s="189">
        <v>3000</v>
      </c>
      <c r="BK669" s="188" t="s">
        <v>493</v>
      </c>
      <c r="BL669" s="188" t="s">
        <v>598</v>
      </c>
      <c r="BM669" s="189">
        <v>0</v>
      </c>
      <c r="BN669" s="188" t="s">
        <v>598</v>
      </c>
      <c r="BO669" s="127">
        <v>42851</v>
      </c>
      <c r="BP669" s="188" t="s">
        <v>598</v>
      </c>
      <c r="BQ669" s="188" t="s">
        <v>102</v>
      </c>
      <c r="BR669" s="188" t="s">
        <v>169</v>
      </c>
      <c r="BS669" s="188" t="s">
        <v>598</v>
      </c>
      <c r="BT669" s="188" t="s">
        <v>63</v>
      </c>
      <c r="BU669" s="188" t="s">
        <v>63</v>
      </c>
      <c r="BV669" s="188" t="s">
        <v>598</v>
      </c>
    </row>
    <row r="670" spans="5:74">
      <c r="E670" s="21"/>
      <c r="Q670" s="191"/>
      <c r="R670" s="191"/>
      <c r="S670" s="191"/>
      <c r="T670" s="127"/>
      <c r="U670" s="127"/>
      <c r="V670" s="191"/>
      <c r="W670" s="190"/>
      <c r="X670" s="191"/>
      <c r="Y670" s="191"/>
      <c r="Z670" s="191"/>
      <c r="AA670" s="191"/>
      <c r="AB670" s="191"/>
      <c r="AC670" s="191"/>
      <c r="AD670" s="191"/>
      <c r="AE670" s="191"/>
      <c r="AF670" s="191"/>
      <c r="AG670" s="191"/>
      <c r="AH670" s="191"/>
      <c r="AI670" s="127"/>
      <c r="AJ670" s="191"/>
      <c r="AK670" s="191"/>
      <c r="AL670" s="190"/>
      <c r="AM670" s="191"/>
      <c r="BE670" s="188" t="s">
        <v>3673</v>
      </c>
      <c r="BF670" s="188" t="s">
        <v>4397</v>
      </c>
      <c r="BG670" s="127">
        <v>42871</v>
      </c>
      <c r="BH670" s="188" t="s">
        <v>34</v>
      </c>
      <c r="BI670" s="188" t="s">
        <v>598</v>
      </c>
      <c r="BJ670" s="189">
        <v>19000</v>
      </c>
      <c r="BK670" s="188" t="s">
        <v>493</v>
      </c>
      <c r="BL670" s="188" t="s">
        <v>598</v>
      </c>
      <c r="BM670" s="189">
        <v>0</v>
      </c>
      <c r="BN670" s="188" t="s">
        <v>598</v>
      </c>
      <c r="BO670" s="127">
        <v>42852</v>
      </c>
      <c r="BP670" s="188" t="s">
        <v>598</v>
      </c>
      <c r="BQ670" s="188" t="s">
        <v>102</v>
      </c>
      <c r="BR670" s="188" t="s">
        <v>232</v>
      </c>
      <c r="BS670" s="188" t="s">
        <v>598</v>
      </c>
      <c r="BT670" s="188" t="s">
        <v>63</v>
      </c>
      <c r="BU670" s="188" t="s">
        <v>86</v>
      </c>
      <c r="BV670" s="188" t="s">
        <v>598</v>
      </c>
    </row>
    <row r="671" spans="5:74">
      <c r="E671" s="21"/>
      <c r="Q671" s="191"/>
      <c r="R671" s="191"/>
      <c r="S671" s="191"/>
      <c r="T671" s="127"/>
      <c r="U671" s="127"/>
      <c r="V671" s="191"/>
      <c r="W671" s="190"/>
      <c r="X671" s="191"/>
      <c r="Y671" s="191"/>
      <c r="Z671" s="191"/>
      <c r="AA671" s="191"/>
      <c r="AB671" s="191"/>
      <c r="AC671" s="191"/>
      <c r="AD671" s="191"/>
      <c r="AE671" s="191"/>
      <c r="AF671" s="191"/>
      <c r="AG671" s="191"/>
      <c r="AH671" s="191"/>
      <c r="AI671" s="127"/>
      <c r="AJ671" s="191"/>
      <c r="AK671" s="191"/>
      <c r="AL671" s="190"/>
      <c r="AM671" s="191"/>
      <c r="BE671" s="188" t="s">
        <v>3674</v>
      </c>
      <c r="BF671" s="188" t="s">
        <v>4398</v>
      </c>
      <c r="BG671" s="127">
        <v>42861</v>
      </c>
      <c r="BH671" s="188" t="s">
        <v>10</v>
      </c>
      <c r="BI671" s="188" t="s">
        <v>598</v>
      </c>
      <c r="BJ671" s="189">
        <v>3000</v>
      </c>
      <c r="BK671" s="188" t="s">
        <v>493</v>
      </c>
      <c r="BL671" s="188" t="s">
        <v>598</v>
      </c>
      <c r="BM671" s="189">
        <v>0</v>
      </c>
      <c r="BN671" s="188" t="s">
        <v>598</v>
      </c>
      <c r="BO671" s="127">
        <v>42852</v>
      </c>
      <c r="BP671" s="188" t="s">
        <v>598</v>
      </c>
      <c r="BQ671" s="188" t="s">
        <v>102</v>
      </c>
      <c r="BR671" s="188" t="s">
        <v>169</v>
      </c>
      <c r="BS671" s="188" t="s">
        <v>598</v>
      </c>
      <c r="BT671" s="188" t="s">
        <v>63</v>
      </c>
      <c r="BU671" s="188" t="s">
        <v>63</v>
      </c>
      <c r="BV671" s="188" t="s">
        <v>598</v>
      </c>
    </row>
    <row r="672" spans="5:74">
      <c r="E672" s="21"/>
      <c r="Q672" s="191"/>
      <c r="R672" s="191"/>
      <c r="S672" s="191"/>
      <c r="T672" s="127"/>
      <c r="U672" s="127"/>
      <c r="V672" s="191"/>
      <c r="W672" s="190"/>
      <c r="X672" s="191"/>
      <c r="Y672" s="191"/>
      <c r="Z672" s="191"/>
      <c r="AA672" s="191"/>
      <c r="AB672" s="191"/>
      <c r="AC672" s="191"/>
      <c r="AD672" s="191"/>
      <c r="AE672" s="191"/>
      <c r="AF672" s="191"/>
      <c r="AG672" s="191"/>
      <c r="AH672" s="191"/>
      <c r="AI672" s="127"/>
      <c r="AJ672" s="191"/>
      <c r="AK672" s="191"/>
      <c r="AL672" s="190"/>
      <c r="AM672" s="191"/>
      <c r="BE672" s="188" t="s">
        <v>3676</v>
      </c>
      <c r="BF672" s="188" t="s">
        <v>4399</v>
      </c>
      <c r="BG672" s="127">
        <v>42871</v>
      </c>
      <c r="BH672" s="188" t="s">
        <v>34</v>
      </c>
      <c r="BI672" s="188" t="s">
        <v>598</v>
      </c>
      <c r="BJ672" s="189">
        <v>19000</v>
      </c>
      <c r="BK672" s="188" t="s">
        <v>493</v>
      </c>
      <c r="BL672" s="188" t="s">
        <v>598</v>
      </c>
      <c r="BM672" s="189">
        <v>0</v>
      </c>
      <c r="BN672" s="188" t="s">
        <v>598</v>
      </c>
      <c r="BO672" s="127">
        <v>42852</v>
      </c>
      <c r="BP672" s="188" t="s">
        <v>598</v>
      </c>
      <c r="BQ672" s="188" t="s">
        <v>102</v>
      </c>
      <c r="BR672" s="188" t="s">
        <v>232</v>
      </c>
      <c r="BS672" s="188" t="s">
        <v>598</v>
      </c>
      <c r="BT672" s="188" t="s">
        <v>63</v>
      </c>
      <c r="BU672" s="188" t="s">
        <v>3021</v>
      </c>
      <c r="BV672" s="188" t="s">
        <v>598</v>
      </c>
    </row>
    <row r="673" spans="5:74">
      <c r="E673" s="21"/>
      <c r="Q673" s="191"/>
      <c r="R673" s="191"/>
      <c r="S673" s="191"/>
      <c r="T673" s="127"/>
      <c r="U673" s="127"/>
      <c r="V673" s="191"/>
      <c r="W673" s="190"/>
      <c r="X673" s="191"/>
      <c r="Y673" s="191"/>
      <c r="Z673" s="191"/>
      <c r="AA673" s="191"/>
      <c r="AB673" s="191"/>
      <c r="AC673" s="191"/>
      <c r="AD673" s="191"/>
      <c r="AE673" s="191"/>
      <c r="AF673" s="191"/>
      <c r="AG673" s="191"/>
      <c r="AH673" s="191"/>
      <c r="AI673" s="127"/>
      <c r="AJ673" s="191"/>
      <c r="AK673" s="191"/>
      <c r="AL673" s="190"/>
      <c r="AM673" s="191"/>
      <c r="BE673" s="188" t="s">
        <v>3678</v>
      </c>
      <c r="BF673" s="188" t="s">
        <v>4400</v>
      </c>
      <c r="BG673" s="127">
        <v>42871</v>
      </c>
      <c r="BH673" s="188" t="s">
        <v>34</v>
      </c>
      <c r="BI673" s="188" t="s">
        <v>598</v>
      </c>
      <c r="BJ673" s="189">
        <v>19000</v>
      </c>
      <c r="BK673" s="188" t="s">
        <v>493</v>
      </c>
      <c r="BL673" s="188" t="s">
        <v>598</v>
      </c>
      <c r="BM673" s="189">
        <v>0</v>
      </c>
      <c r="BN673" s="188" t="s">
        <v>598</v>
      </c>
      <c r="BO673" s="127">
        <v>42852</v>
      </c>
      <c r="BP673" s="188" t="s">
        <v>37</v>
      </c>
      <c r="BQ673" s="188" t="s">
        <v>102</v>
      </c>
      <c r="BR673" s="188" t="s">
        <v>232</v>
      </c>
      <c r="BS673" s="188" t="s">
        <v>598</v>
      </c>
      <c r="BT673" s="188" t="s">
        <v>63</v>
      </c>
      <c r="BU673" s="188" t="s">
        <v>3021</v>
      </c>
      <c r="BV673" s="188" t="s">
        <v>598</v>
      </c>
    </row>
    <row r="674" spans="5:74">
      <c r="E674" s="21"/>
      <c r="Q674" s="191"/>
      <c r="R674" s="191"/>
      <c r="S674" s="191"/>
      <c r="T674" s="127"/>
      <c r="U674" s="127"/>
      <c r="V674" s="191"/>
      <c r="W674" s="190"/>
      <c r="X674" s="191"/>
      <c r="Y674" s="191"/>
      <c r="Z674" s="191"/>
      <c r="AA674" s="191"/>
      <c r="AB674" s="191"/>
      <c r="AC674" s="191"/>
      <c r="AD674" s="191"/>
      <c r="AE674" s="191"/>
      <c r="AF674" s="191"/>
      <c r="AG674" s="191"/>
      <c r="AH674" s="191"/>
      <c r="AI674" s="127"/>
      <c r="AJ674" s="191"/>
      <c r="AK674" s="191"/>
      <c r="AL674" s="190"/>
      <c r="AM674" s="191"/>
      <c r="BE674" s="188" t="s">
        <v>3680</v>
      </c>
      <c r="BF674" s="188" t="s">
        <v>4401</v>
      </c>
      <c r="BG674" s="127">
        <v>42861</v>
      </c>
      <c r="BH674" s="188" t="s">
        <v>10</v>
      </c>
      <c r="BI674" s="188" t="s">
        <v>598</v>
      </c>
      <c r="BJ674" s="189">
        <v>7500</v>
      </c>
      <c r="BK674" s="188" t="s">
        <v>493</v>
      </c>
      <c r="BL674" s="188">
        <v>3875</v>
      </c>
      <c r="BM674" s="189">
        <v>7500</v>
      </c>
      <c r="BN674" s="188" t="s">
        <v>598</v>
      </c>
      <c r="BO674" s="127">
        <v>42464</v>
      </c>
      <c r="BP674" s="188" t="s">
        <v>118</v>
      </c>
      <c r="BQ674" s="188" t="s">
        <v>102</v>
      </c>
      <c r="BR674" s="188" t="s">
        <v>169</v>
      </c>
      <c r="BS674" s="188" t="s">
        <v>598</v>
      </c>
      <c r="BT674" s="188" t="s">
        <v>63</v>
      </c>
      <c r="BU674" s="188" t="s">
        <v>63</v>
      </c>
      <c r="BV674" s="188" t="s">
        <v>598</v>
      </c>
    </row>
    <row r="675" spans="5:74">
      <c r="E675" s="21"/>
      <c r="Q675" s="191"/>
      <c r="R675" s="191"/>
      <c r="S675" s="191"/>
      <c r="T675" s="127"/>
      <c r="U675" s="127"/>
      <c r="V675" s="191"/>
      <c r="W675" s="190"/>
      <c r="X675" s="191"/>
      <c r="Y675" s="191"/>
      <c r="Z675" s="191"/>
      <c r="AA675" s="191"/>
      <c r="AB675" s="191"/>
      <c r="AC675" s="191"/>
      <c r="AD675" s="191"/>
      <c r="AE675" s="191"/>
      <c r="AF675" s="191"/>
      <c r="AG675" s="191"/>
      <c r="AH675" s="191"/>
      <c r="AI675" s="127"/>
      <c r="AJ675" s="191"/>
      <c r="AK675" s="191"/>
      <c r="AL675" s="190"/>
      <c r="AM675" s="191"/>
      <c r="BE675" s="188" t="s">
        <v>3682</v>
      </c>
      <c r="BF675" s="188" t="s">
        <v>4402</v>
      </c>
      <c r="BG675" s="127">
        <v>42863</v>
      </c>
      <c r="BH675" s="188" t="s">
        <v>10</v>
      </c>
      <c r="BI675" s="188" t="s">
        <v>598</v>
      </c>
      <c r="BJ675" s="189">
        <v>5000</v>
      </c>
      <c r="BK675" s="188" t="s">
        <v>493</v>
      </c>
      <c r="BL675" s="188">
        <v>3832</v>
      </c>
      <c r="BM675" s="189">
        <v>40000</v>
      </c>
      <c r="BN675" s="188" t="s">
        <v>598</v>
      </c>
      <c r="BO675" s="127">
        <v>42756</v>
      </c>
      <c r="BP675" s="188" t="s">
        <v>598</v>
      </c>
      <c r="BQ675" s="188" t="s">
        <v>102</v>
      </c>
      <c r="BR675" s="188" t="s">
        <v>233</v>
      </c>
      <c r="BS675" s="188" t="s">
        <v>598</v>
      </c>
      <c r="BT675" s="188" t="s">
        <v>63</v>
      </c>
      <c r="BU675" s="188" t="s">
        <v>86</v>
      </c>
      <c r="BV675" s="188" t="s">
        <v>598</v>
      </c>
    </row>
    <row r="676" spans="5:74">
      <c r="E676" s="21"/>
      <c r="Q676" s="191"/>
      <c r="R676" s="191"/>
      <c r="S676" s="191"/>
      <c r="T676" s="127"/>
      <c r="U676" s="127"/>
      <c r="V676" s="191"/>
      <c r="W676" s="190"/>
      <c r="X676" s="191"/>
      <c r="Y676" s="191"/>
      <c r="Z676" s="191"/>
      <c r="AA676" s="191"/>
      <c r="AB676" s="191"/>
      <c r="AC676" s="191"/>
      <c r="AD676" s="191"/>
      <c r="AE676" s="191"/>
      <c r="AF676" s="191"/>
      <c r="AG676" s="191"/>
      <c r="AH676" s="191"/>
      <c r="AI676" s="127"/>
      <c r="AJ676" s="191"/>
      <c r="AK676" s="191"/>
      <c r="AL676" s="190"/>
      <c r="AM676" s="191"/>
      <c r="BE676" s="188" t="s">
        <v>3684</v>
      </c>
      <c r="BF676" s="188" t="s">
        <v>4403</v>
      </c>
      <c r="BG676" s="127">
        <v>42859</v>
      </c>
      <c r="BH676" s="188" t="s">
        <v>10</v>
      </c>
      <c r="BI676" s="188" t="s">
        <v>598</v>
      </c>
      <c r="BJ676" s="189">
        <v>15000</v>
      </c>
      <c r="BK676" s="188" t="s">
        <v>493</v>
      </c>
      <c r="BL676" s="188">
        <v>2870</v>
      </c>
      <c r="BM676" s="189">
        <v>20000</v>
      </c>
      <c r="BN676" s="188" t="s">
        <v>598</v>
      </c>
      <c r="BO676" s="127">
        <v>42789</v>
      </c>
      <c r="BP676" s="188" t="s">
        <v>115</v>
      </c>
      <c r="BQ676" s="188" t="s">
        <v>102</v>
      </c>
      <c r="BR676" s="188" t="s">
        <v>316</v>
      </c>
      <c r="BS676" s="188" t="s">
        <v>598</v>
      </c>
      <c r="BT676" s="188" t="s">
        <v>63</v>
      </c>
      <c r="BU676" s="188" t="s">
        <v>63</v>
      </c>
      <c r="BV676" s="188" t="s">
        <v>598</v>
      </c>
    </row>
    <row r="677" spans="5:74">
      <c r="E677" s="21"/>
      <c r="Q677" s="191"/>
      <c r="R677" s="191"/>
      <c r="S677" s="191"/>
      <c r="T677" s="127"/>
      <c r="U677" s="127"/>
      <c r="V677" s="191"/>
      <c r="W677" s="190"/>
      <c r="X677" s="191"/>
      <c r="Y677" s="191"/>
      <c r="Z677" s="191"/>
      <c r="AA677" s="191"/>
      <c r="AB677" s="191"/>
      <c r="AC677" s="191"/>
      <c r="AD677" s="191"/>
      <c r="AE677" s="191"/>
      <c r="AF677" s="191"/>
      <c r="AG677" s="191"/>
      <c r="AH677" s="191"/>
      <c r="AI677" s="127"/>
      <c r="AJ677" s="191"/>
      <c r="AK677" s="191"/>
      <c r="AL677" s="190"/>
      <c r="AM677" s="191"/>
      <c r="BE677" s="188" t="s">
        <v>3686</v>
      </c>
      <c r="BF677" s="188" t="s">
        <v>4404</v>
      </c>
      <c r="BG677" s="127">
        <v>42859</v>
      </c>
      <c r="BH677" s="188" t="s">
        <v>10</v>
      </c>
      <c r="BI677" s="188" t="s">
        <v>598</v>
      </c>
      <c r="BJ677" s="189">
        <v>10000</v>
      </c>
      <c r="BK677" s="188" t="s">
        <v>493</v>
      </c>
      <c r="BL677" s="188">
        <v>3845</v>
      </c>
      <c r="BM677" s="189">
        <v>25000</v>
      </c>
      <c r="BN677" s="188" t="s">
        <v>598</v>
      </c>
      <c r="BO677" s="127">
        <v>42815</v>
      </c>
      <c r="BP677" s="188" t="s">
        <v>598</v>
      </c>
      <c r="BQ677" s="188" t="s">
        <v>102</v>
      </c>
      <c r="BR677" s="188" t="s">
        <v>233</v>
      </c>
      <c r="BS677" s="188" t="s">
        <v>598</v>
      </c>
      <c r="BT677" s="188" t="s">
        <v>63</v>
      </c>
      <c r="BU677" s="188" t="s">
        <v>86</v>
      </c>
      <c r="BV677" s="188" t="s">
        <v>598</v>
      </c>
    </row>
    <row r="678" spans="5:74">
      <c r="E678" s="21"/>
      <c r="Q678" s="191"/>
      <c r="R678" s="191"/>
      <c r="S678" s="191"/>
      <c r="T678" s="127"/>
      <c r="U678" s="127"/>
      <c r="V678" s="191"/>
      <c r="W678" s="190"/>
      <c r="X678" s="191"/>
      <c r="Y678" s="191"/>
      <c r="Z678" s="191"/>
      <c r="AA678" s="191"/>
      <c r="AB678" s="191"/>
      <c r="AC678" s="191"/>
      <c r="AD678" s="191"/>
      <c r="AE678" s="191"/>
      <c r="AF678" s="191"/>
      <c r="AG678" s="191"/>
      <c r="AH678" s="191"/>
      <c r="AI678" s="127"/>
      <c r="AJ678" s="191"/>
      <c r="AK678" s="191"/>
      <c r="AL678" s="190"/>
      <c r="AM678" s="191"/>
      <c r="BE678" s="188" t="s">
        <v>3688</v>
      </c>
      <c r="BF678" s="188" t="s">
        <v>4405</v>
      </c>
      <c r="BG678" s="127">
        <v>42859</v>
      </c>
      <c r="BH678" s="188" t="s">
        <v>10</v>
      </c>
      <c r="BI678" s="188" t="s">
        <v>598</v>
      </c>
      <c r="BJ678" s="189">
        <v>10000</v>
      </c>
      <c r="BK678" s="188" t="s">
        <v>493</v>
      </c>
      <c r="BL678" s="188">
        <v>3846</v>
      </c>
      <c r="BM678" s="189">
        <v>25000</v>
      </c>
      <c r="BN678" s="188" t="s">
        <v>598</v>
      </c>
      <c r="BO678" s="127">
        <v>42815</v>
      </c>
      <c r="BP678" s="188" t="s">
        <v>598</v>
      </c>
      <c r="BQ678" s="188" t="s">
        <v>102</v>
      </c>
      <c r="BR678" s="188" t="s">
        <v>233</v>
      </c>
      <c r="BS678" s="188" t="s">
        <v>598</v>
      </c>
      <c r="BT678" s="188" t="s">
        <v>63</v>
      </c>
      <c r="BU678" s="188" t="s">
        <v>86</v>
      </c>
      <c r="BV678" s="188" t="s">
        <v>598</v>
      </c>
    </row>
    <row r="679" spans="5:74">
      <c r="E679" s="21"/>
      <c r="Q679" s="191"/>
      <c r="R679" s="191"/>
      <c r="S679" s="191"/>
      <c r="T679" s="127"/>
      <c r="U679" s="127"/>
      <c r="V679" s="191"/>
      <c r="W679" s="190"/>
      <c r="X679" s="191"/>
      <c r="Y679" s="191"/>
      <c r="Z679" s="191"/>
      <c r="AA679" s="191"/>
      <c r="AB679" s="191"/>
      <c r="AC679" s="191"/>
      <c r="AD679" s="191"/>
      <c r="AE679" s="191"/>
      <c r="AF679" s="191"/>
      <c r="AG679" s="191"/>
      <c r="AH679" s="191"/>
      <c r="AI679" s="127"/>
      <c r="AJ679" s="191"/>
      <c r="AK679" s="191"/>
      <c r="AL679" s="190"/>
      <c r="AM679" s="191"/>
      <c r="BE679" s="188" t="s">
        <v>3690</v>
      </c>
      <c r="BF679" s="188" t="s">
        <v>4406</v>
      </c>
      <c r="BG679" s="127">
        <v>42859</v>
      </c>
      <c r="BH679" s="188" t="s">
        <v>10</v>
      </c>
      <c r="BI679" s="188" t="s">
        <v>598</v>
      </c>
      <c r="BJ679" s="189">
        <v>10000</v>
      </c>
      <c r="BK679" s="188" t="s">
        <v>493</v>
      </c>
      <c r="BL679" s="188">
        <v>3847</v>
      </c>
      <c r="BM679" s="189">
        <v>25000</v>
      </c>
      <c r="BN679" s="188" t="s">
        <v>598</v>
      </c>
      <c r="BO679" s="127">
        <v>42816</v>
      </c>
      <c r="BP679" s="188" t="s">
        <v>37</v>
      </c>
      <c r="BQ679" s="188" t="s">
        <v>102</v>
      </c>
      <c r="BR679" s="188" t="s">
        <v>244</v>
      </c>
      <c r="BS679" s="188" t="s">
        <v>598</v>
      </c>
      <c r="BT679" s="188" t="s">
        <v>63</v>
      </c>
      <c r="BU679" s="188" t="s">
        <v>86</v>
      </c>
      <c r="BV679" s="188" t="s">
        <v>598</v>
      </c>
    </row>
    <row r="680" spans="5:74">
      <c r="E680" s="21"/>
      <c r="Q680" s="191"/>
      <c r="R680" s="191"/>
      <c r="S680" s="191"/>
      <c r="T680" s="127"/>
      <c r="U680" s="127"/>
      <c r="V680" s="191"/>
      <c r="W680" s="190"/>
      <c r="X680" s="191"/>
      <c r="Y680" s="191"/>
      <c r="Z680" s="191"/>
      <c r="AA680" s="191"/>
      <c r="AB680" s="191"/>
      <c r="AC680" s="191"/>
      <c r="AD680" s="191"/>
      <c r="AE680" s="191"/>
      <c r="AF680" s="191"/>
      <c r="AG680" s="191"/>
      <c r="AH680" s="191"/>
      <c r="AI680" s="127"/>
      <c r="AJ680" s="191"/>
      <c r="AK680" s="191"/>
      <c r="AL680" s="190"/>
      <c r="AM680" s="191"/>
      <c r="BE680" s="188" t="s">
        <v>3691</v>
      </c>
      <c r="BF680" s="188" t="s">
        <v>4407</v>
      </c>
      <c r="BG680" s="127">
        <v>42885</v>
      </c>
      <c r="BH680" s="188" t="s">
        <v>10</v>
      </c>
      <c r="BI680" s="188" t="s">
        <v>598</v>
      </c>
      <c r="BJ680" s="189">
        <v>5000</v>
      </c>
      <c r="BK680" s="188" t="s">
        <v>493</v>
      </c>
      <c r="BL680" s="188">
        <v>3897</v>
      </c>
      <c r="BM680" s="189">
        <v>5000</v>
      </c>
      <c r="BN680" s="188" t="s">
        <v>598</v>
      </c>
      <c r="BO680" s="127">
        <v>42817</v>
      </c>
      <c r="BP680" s="188" t="s">
        <v>598</v>
      </c>
      <c r="BQ680" s="188" t="s">
        <v>102</v>
      </c>
      <c r="BR680" s="188" t="s">
        <v>216</v>
      </c>
      <c r="BS680" s="188" t="s">
        <v>598</v>
      </c>
      <c r="BT680" s="188" t="s">
        <v>63</v>
      </c>
      <c r="BU680" s="188" t="s">
        <v>63</v>
      </c>
      <c r="BV680" s="188" t="s">
        <v>598</v>
      </c>
    </row>
    <row r="681" spans="5:74">
      <c r="E681" s="21"/>
      <c r="Q681" s="191"/>
      <c r="R681" s="191"/>
      <c r="S681" s="191"/>
      <c r="T681" s="127"/>
      <c r="U681" s="127"/>
      <c r="V681" s="191"/>
      <c r="W681" s="190"/>
      <c r="X681" s="191"/>
      <c r="Y681" s="191"/>
      <c r="Z681" s="191"/>
      <c r="AA681" s="191"/>
      <c r="AB681" s="191"/>
      <c r="AC681" s="191"/>
      <c r="AD681" s="191"/>
      <c r="AE681" s="191"/>
      <c r="AF681" s="191"/>
      <c r="AG681" s="191"/>
      <c r="AH681" s="191"/>
      <c r="AI681" s="127"/>
      <c r="AJ681" s="191"/>
      <c r="AK681" s="191"/>
      <c r="AL681" s="190"/>
      <c r="AM681" s="191"/>
      <c r="BE681" s="188" t="s">
        <v>3693</v>
      </c>
      <c r="BF681" s="188" t="s">
        <v>4408</v>
      </c>
      <c r="BG681" s="127">
        <v>42871</v>
      </c>
      <c r="BH681" s="188" t="s">
        <v>34</v>
      </c>
      <c r="BI681" s="188" t="s">
        <v>598</v>
      </c>
      <c r="BJ681" s="189">
        <v>19000</v>
      </c>
      <c r="BK681" s="188" t="s">
        <v>493</v>
      </c>
      <c r="BL681" s="188" t="s">
        <v>598</v>
      </c>
      <c r="BM681" s="189">
        <v>0</v>
      </c>
      <c r="BN681" s="188" t="s">
        <v>598</v>
      </c>
      <c r="BO681" s="127">
        <v>42823</v>
      </c>
      <c r="BP681" s="188" t="s">
        <v>37</v>
      </c>
      <c r="BQ681" s="188" t="s">
        <v>102</v>
      </c>
      <c r="BR681" s="188" t="s">
        <v>232</v>
      </c>
      <c r="BS681" s="188" t="s">
        <v>598</v>
      </c>
      <c r="BT681" s="188" t="s">
        <v>63</v>
      </c>
      <c r="BU681" s="188" t="s">
        <v>63</v>
      </c>
      <c r="BV681" s="188" t="s">
        <v>598</v>
      </c>
    </row>
    <row r="682" spans="5:74">
      <c r="E682" s="21"/>
      <c r="Q682" s="191"/>
      <c r="R682" s="191"/>
      <c r="S682" s="191"/>
      <c r="T682" s="127"/>
      <c r="U682" s="127"/>
      <c r="V682" s="191"/>
      <c r="W682" s="190"/>
      <c r="X682" s="191"/>
      <c r="Y682" s="191"/>
      <c r="Z682" s="191"/>
      <c r="AA682" s="191"/>
      <c r="AB682" s="191"/>
      <c r="AC682" s="191"/>
      <c r="AD682" s="191"/>
      <c r="AE682" s="191"/>
      <c r="AF682" s="191"/>
      <c r="AG682" s="191"/>
      <c r="AH682" s="191"/>
      <c r="AI682" s="127"/>
      <c r="AJ682" s="191"/>
      <c r="AK682" s="191"/>
      <c r="AL682" s="190"/>
      <c r="AM682" s="191"/>
      <c r="BE682" s="188" t="s">
        <v>3695</v>
      </c>
      <c r="BF682" s="188" t="s">
        <v>4409</v>
      </c>
      <c r="BG682" s="127">
        <v>42857</v>
      </c>
      <c r="BH682" s="188" t="s">
        <v>10</v>
      </c>
      <c r="BI682" s="188" t="s">
        <v>598</v>
      </c>
      <c r="BJ682" s="189">
        <v>10000</v>
      </c>
      <c r="BK682" s="188" t="s">
        <v>493</v>
      </c>
      <c r="BL682" s="188">
        <v>3867</v>
      </c>
      <c r="BM682" s="189">
        <v>15000</v>
      </c>
      <c r="BN682" s="188" t="s">
        <v>598</v>
      </c>
      <c r="BO682" s="127">
        <v>42825</v>
      </c>
      <c r="BP682" s="188" t="s">
        <v>598</v>
      </c>
      <c r="BQ682" s="188" t="s">
        <v>102</v>
      </c>
      <c r="BR682" s="188" t="s">
        <v>232</v>
      </c>
      <c r="BS682" s="188" t="s">
        <v>598</v>
      </c>
      <c r="BT682" s="188" t="s">
        <v>63</v>
      </c>
      <c r="BU682" s="188" t="s">
        <v>63</v>
      </c>
      <c r="BV682" s="188" t="s">
        <v>598</v>
      </c>
    </row>
    <row r="683" spans="5:74">
      <c r="E683" s="21"/>
      <c r="Q683" s="191"/>
      <c r="R683" s="191"/>
      <c r="S683" s="191"/>
      <c r="T683" s="127"/>
      <c r="U683" s="127"/>
      <c r="V683" s="191"/>
      <c r="W683" s="190"/>
      <c r="X683" s="191"/>
      <c r="Y683" s="191"/>
      <c r="Z683" s="191"/>
      <c r="AA683" s="191"/>
      <c r="AB683" s="191"/>
      <c r="AC683" s="191"/>
      <c r="AD683" s="191"/>
      <c r="AE683" s="191"/>
      <c r="AF683" s="191"/>
      <c r="AG683" s="191"/>
      <c r="AH683" s="191"/>
      <c r="AI683" s="127"/>
      <c r="AJ683" s="191"/>
      <c r="AK683" s="191"/>
      <c r="AL683" s="190"/>
      <c r="AM683" s="191"/>
      <c r="BE683" s="188" t="s">
        <v>3697</v>
      </c>
      <c r="BF683" s="188" t="s">
        <v>4410</v>
      </c>
      <c r="BG683" s="127">
        <v>42861</v>
      </c>
      <c r="BH683" s="188" t="s">
        <v>10</v>
      </c>
      <c r="BI683" s="188" t="s">
        <v>598</v>
      </c>
      <c r="BJ683" s="189">
        <v>2000</v>
      </c>
      <c r="BK683" s="188" t="s">
        <v>493</v>
      </c>
      <c r="BL683" s="188" t="s">
        <v>598</v>
      </c>
      <c r="BM683" s="189">
        <v>0</v>
      </c>
      <c r="BN683" s="188" t="s">
        <v>598</v>
      </c>
      <c r="BO683" s="127">
        <v>42860</v>
      </c>
      <c r="BP683" s="188" t="s">
        <v>118</v>
      </c>
      <c r="BQ683" s="188" t="s">
        <v>108</v>
      </c>
      <c r="BR683" s="188" t="s">
        <v>341</v>
      </c>
      <c r="BS683" s="188" t="s">
        <v>598</v>
      </c>
      <c r="BT683" s="188" t="s">
        <v>30</v>
      </c>
      <c r="BU683" s="188" t="s">
        <v>30</v>
      </c>
      <c r="BV683" s="188" t="s">
        <v>598</v>
      </c>
    </row>
    <row r="684" spans="5:74">
      <c r="E684" s="21"/>
      <c r="Q684" s="191"/>
      <c r="R684" s="191"/>
      <c r="S684" s="191"/>
      <c r="T684" s="127"/>
      <c r="U684" s="127"/>
      <c r="V684" s="191"/>
      <c r="W684" s="190"/>
      <c r="X684" s="191"/>
      <c r="Y684" s="191"/>
      <c r="Z684" s="191"/>
      <c r="AA684" s="191"/>
      <c r="AB684" s="191"/>
      <c r="AC684" s="191"/>
      <c r="AD684" s="191"/>
      <c r="AE684" s="191"/>
      <c r="AF684" s="191"/>
      <c r="AG684" s="191"/>
      <c r="AH684" s="191"/>
      <c r="AI684" s="127"/>
      <c r="AJ684" s="191"/>
      <c r="AK684" s="191"/>
      <c r="AL684" s="190"/>
      <c r="AM684" s="191"/>
      <c r="BE684" s="188" t="s">
        <v>3699</v>
      </c>
      <c r="BF684" s="188" t="s">
        <v>4411</v>
      </c>
      <c r="BG684" s="127">
        <v>42865</v>
      </c>
      <c r="BH684" s="188" t="s">
        <v>10</v>
      </c>
      <c r="BI684" s="188" t="s">
        <v>598</v>
      </c>
      <c r="BJ684" s="189">
        <v>1000</v>
      </c>
      <c r="BK684" s="188" t="s">
        <v>493</v>
      </c>
      <c r="BL684" s="188" t="s">
        <v>598</v>
      </c>
      <c r="BM684" s="189">
        <v>0</v>
      </c>
      <c r="BN684" s="188" t="s">
        <v>598</v>
      </c>
      <c r="BO684" s="127">
        <v>42863</v>
      </c>
      <c r="BP684" s="188" t="s">
        <v>598</v>
      </c>
      <c r="BQ684" s="188" t="s">
        <v>108</v>
      </c>
      <c r="BR684" s="188" t="s">
        <v>185</v>
      </c>
      <c r="BS684" s="188" t="s">
        <v>598</v>
      </c>
      <c r="BT684" s="188" t="s">
        <v>30</v>
      </c>
      <c r="BU684" s="188" t="s">
        <v>30</v>
      </c>
      <c r="BV684" s="188" t="s">
        <v>598</v>
      </c>
    </row>
    <row r="685" spans="5:74">
      <c r="E685" s="21"/>
      <c r="Q685" s="191"/>
      <c r="R685" s="191"/>
      <c r="S685" s="191"/>
      <c r="T685" s="127"/>
      <c r="U685" s="127"/>
      <c r="V685" s="191"/>
      <c r="W685" s="190"/>
      <c r="X685" s="191"/>
      <c r="Y685" s="191"/>
      <c r="Z685" s="191"/>
      <c r="AA685" s="191"/>
      <c r="AB685" s="191"/>
      <c r="AC685" s="191"/>
      <c r="AD685" s="191"/>
      <c r="AE685" s="191"/>
      <c r="AF685" s="191"/>
      <c r="AG685" s="191"/>
      <c r="AH685" s="191"/>
      <c r="AI685" s="127"/>
      <c r="AJ685" s="191"/>
      <c r="AK685" s="191"/>
      <c r="AL685" s="190"/>
      <c r="AM685" s="191"/>
      <c r="BE685" s="188" t="s">
        <v>3701</v>
      </c>
      <c r="BF685" s="188" t="s">
        <v>4412</v>
      </c>
      <c r="BG685" s="127">
        <v>42872</v>
      </c>
      <c r="BH685" s="188" t="s">
        <v>10</v>
      </c>
      <c r="BI685" s="188" t="s">
        <v>598</v>
      </c>
      <c r="BJ685" s="189">
        <v>2000</v>
      </c>
      <c r="BK685" s="188" t="s">
        <v>493</v>
      </c>
      <c r="BL685" s="188" t="s">
        <v>598</v>
      </c>
      <c r="BM685" s="189">
        <v>0</v>
      </c>
      <c r="BN685" s="188" t="s">
        <v>598</v>
      </c>
      <c r="BO685" s="127">
        <v>42867</v>
      </c>
      <c r="BP685" s="188" t="s">
        <v>122</v>
      </c>
      <c r="BQ685" s="188" t="s">
        <v>108</v>
      </c>
      <c r="BR685" s="188" t="s">
        <v>3131</v>
      </c>
      <c r="BS685" s="188" t="s">
        <v>598</v>
      </c>
      <c r="BT685" s="188" t="s">
        <v>30</v>
      </c>
      <c r="BU685" s="188" t="s">
        <v>30</v>
      </c>
      <c r="BV685" s="188" t="s">
        <v>598</v>
      </c>
    </row>
    <row r="686" spans="5:74">
      <c r="E686" s="21"/>
      <c r="Q686" s="191"/>
      <c r="R686" s="191"/>
      <c r="S686" s="191"/>
      <c r="T686" s="127"/>
      <c r="U686" s="127"/>
      <c r="V686" s="191"/>
      <c r="W686" s="190"/>
      <c r="X686" s="191"/>
      <c r="Y686" s="191"/>
      <c r="Z686" s="191"/>
      <c r="AA686" s="191"/>
      <c r="AB686" s="191"/>
      <c r="AC686" s="191"/>
      <c r="AD686" s="191"/>
      <c r="AE686" s="191"/>
      <c r="AF686" s="191"/>
      <c r="AG686" s="191"/>
      <c r="AH686" s="191"/>
      <c r="AI686" s="127"/>
      <c r="AJ686" s="191"/>
      <c r="AK686" s="191"/>
      <c r="AL686" s="190"/>
      <c r="AM686" s="191"/>
      <c r="BE686" s="188" t="s">
        <v>3703</v>
      </c>
      <c r="BF686" s="188" t="s">
        <v>4413</v>
      </c>
      <c r="BG686" s="127">
        <v>42870</v>
      </c>
      <c r="BH686" s="188" t="s">
        <v>34</v>
      </c>
      <c r="BI686" s="188" t="s">
        <v>598</v>
      </c>
      <c r="BJ686" s="189">
        <v>1000</v>
      </c>
      <c r="BK686" s="188" t="s">
        <v>493</v>
      </c>
      <c r="BL686" s="188" t="s">
        <v>598</v>
      </c>
      <c r="BM686" s="189">
        <v>0</v>
      </c>
      <c r="BN686" s="188" t="s">
        <v>598</v>
      </c>
      <c r="BO686" s="127">
        <v>42868</v>
      </c>
      <c r="BP686" s="188" t="s">
        <v>120</v>
      </c>
      <c r="BQ686" s="188" t="s">
        <v>108</v>
      </c>
      <c r="BR686" s="188" t="s">
        <v>598</v>
      </c>
      <c r="BS686" s="188" t="s">
        <v>598</v>
      </c>
      <c r="BT686" s="188" t="s">
        <v>30</v>
      </c>
      <c r="BU686" s="188" t="s">
        <v>30</v>
      </c>
      <c r="BV686" s="188" t="s">
        <v>598</v>
      </c>
    </row>
    <row r="687" spans="5:74">
      <c r="E687" s="21"/>
      <c r="Q687" s="191"/>
      <c r="R687" s="191"/>
      <c r="S687" s="191"/>
      <c r="T687" s="127"/>
      <c r="U687" s="127"/>
      <c r="V687" s="191"/>
      <c r="W687" s="190"/>
      <c r="X687" s="191"/>
      <c r="Y687" s="191"/>
      <c r="Z687" s="191"/>
      <c r="AA687" s="191"/>
      <c r="AB687" s="191"/>
      <c r="AC687" s="191"/>
      <c r="AD687" s="191"/>
      <c r="AE687" s="191"/>
      <c r="AF687" s="191"/>
      <c r="AG687" s="191"/>
      <c r="AH687" s="191"/>
      <c r="AI687" s="127"/>
      <c r="AJ687" s="191"/>
      <c r="AK687" s="191"/>
      <c r="AL687" s="190"/>
      <c r="AM687" s="191"/>
      <c r="BE687" s="188" t="s">
        <v>3705</v>
      </c>
      <c r="BF687" s="188" t="s">
        <v>4414</v>
      </c>
      <c r="BG687" s="127">
        <v>42878</v>
      </c>
      <c r="BH687" s="188" t="s">
        <v>10</v>
      </c>
      <c r="BI687" s="188" t="s">
        <v>598</v>
      </c>
      <c r="BJ687" s="189">
        <v>1000</v>
      </c>
      <c r="BK687" s="188" t="s">
        <v>493</v>
      </c>
      <c r="BL687" s="188" t="s">
        <v>598</v>
      </c>
      <c r="BM687" s="189">
        <v>0</v>
      </c>
      <c r="BN687" s="188" t="s">
        <v>598</v>
      </c>
      <c r="BO687" s="127">
        <v>42871</v>
      </c>
      <c r="BP687" s="188" t="s">
        <v>598</v>
      </c>
      <c r="BQ687" s="188" t="s">
        <v>108</v>
      </c>
      <c r="BR687" s="188" t="s">
        <v>337</v>
      </c>
      <c r="BS687" s="188" t="s">
        <v>598</v>
      </c>
      <c r="BT687" s="188" t="s">
        <v>30</v>
      </c>
      <c r="BU687" s="188" t="s">
        <v>30</v>
      </c>
      <c r="BV687" s="188" t="s">
        <v>598</v>
      </c>
    </row>
    <row r="688" spans="5:74">
      <c r="E688" s="21"/>
      <c r="Q688" s="191"/>
      <c r="R688" s="191"/>
      <c r="S688" s="191"/>
      <c r="T688" s="127"/>
      <c r="U688" s="127"/>
      <c r="V688" s="191"/>
      <c r="W688" s="190"/>
      <c r="X688" s="191"/>
      <c r="Y688" s="191"/>
      <c r="Z688" s="191"/>
      <c r="AA688" s="191"/>
      <c r="AB688" s="191"/>
      <c r="AC688" s="191"/>
      <c r="AD688" s="191"/>
      <c r="AE688" s="191"/>
      <c r="AF688" s="191"/>
      <c r="AG688" s="191"/>
      <c r="AH688" s="191"/>
      <c r="AI688" s="127"/>
      <c r="AJ688" s="191"/>
      <c r="AK688" s="191"/>
      <c r="AL688" s="190"/>
      <c r="AM688" s="191"/>
      <c r="BE688" s="188" t="s">
        <v>3707</v>
      </c>
      <c r="BF688" s="188" t="s">
        <v>4415</v>
      </c>
      <c r="BG688" s="127">
        <v>42877</v>
      </c>
      <c r="BH688" s="188" t="s">
        <v>10</v>
      </c>
      <c r="BI688" s="188" t="s">
        <v>598</v>
      </c>
      <c r="BJ688" s="189">
        <v>5000</v>
      </c>
      <c r="BK688" s="188" t="s">
        <v>493</v>
      </c>
      <c r="BL688" s="188" t="s">
        <v>598</v>
      </c>
      <c r="BM688" s="189">
        <v>0</v>
      </c>
      <c r="BN688" s="188" t="s">
        <v>598</v>
      </c>
      <c r="BO688" s="127">
        <v>42873</v>
      </c>
      <c r="BP688" s="188" t="s">
        <v>134</v>
      </c>
      <c r="BQ688" s="188" t="s">
        <v>108</v>
      </c>
      <c r="BR688" s="188" t="s">
        <v>163</v>
      </c>
      <c r="BS688" s="188" t="s">
        <v>598</v>
      </c>
      <c r="BT688" s="188" t="s">
        <v>30</v>
      </c>
      <c r="BU688" s="188" t="s">
        <v>30</v>
      </c>
      <c r="BV688" s="188" t="s">
        <v>598</v>
      </c>
    </row>
    <row r="689" spans="5:74">
      <c r="E689" s="21"/>
      <c r="Q689" s="191"/>
      <c r="R689" s="191"/>
      <c r="S689" s="191"/>
      <c r="T689" s="127"/>
      <c r="U689" s="127"/>
      <c r="V689" s="191"/>
      <c r="W689" s="190"/>
      <c r="X689" s="191"/>
      <c r="Y689" s="191"/>
      <c r="Z689" s="191"/>
      <c r="AA689" s="191"/>
      <c r="AB689" s="191"/>
      <c r="AC689" s="191"/>
      <c r="AD689" s="191"/>
      <c r="AE689" s="191"/>
      <c r="AF689" s="191"/>
      <c r="AG689" s="191"/>
      <c r="AH689" s="191"/>
      <c r="AI689" s="127"/>
      <c r="AJ689" s="191"/>
      <c r="AK689" s="191"/>
      <c r="AL689" s="190"/>
      <c r="AM689" s="191"/>
      <c r="BE689" s="188" t="s">
        <v>3709</v>
      </c>
      <c r="BF689" s="188" t="s">
        <v>4416</v>
      </c>
      <c r="BG689" s="127">
        <v>42871</v>
      </c>
      <c r="BH689" s="188" t="s">
        <v>10</v>
      </c>
      <c r="BI689" s="188" t="s">
        <v>598</v>
      </c>
      <c r="BJ689" s="189">
        <v>5000</v>
      </c>
      <c r="BK689" s="188" t="s">
        <v>493</v>
      </c>
      <c r="BL689" s="188" t="s">
        <v>598</v>
      </c>
      <c r="BM689" s="189">
        <v>0</v>
      </c>
      <c r="BN689" s="188" t="s">
        <v>598</v>
      </c>
      <c r="BO689" s="127">
        <v>42835</v>
      </c>
      <c r="BP689" s="188" t="s">
        <v>134</v>
      </c>
      <c r="BQ689" s="188" t="s">
        <v>108</v>
      </c>
      <c r="BR689" s="188" t="s">
        <v>165</v>
      </c>
      <c r="BS689" s="188" t="s">
        <v>598</v>
      </c>
      <c r="BT689" s="188" t="s">
        <v>30</v>
      </c>
      <c r="BU689" s="188" t="s">
        <v>30</v>
      </c>
      <c r="BV689" s="188" t="s">
        <v>598</v>
      </c>
    </row>
    <row r="690" spans="5:74">
      <c r="E690" s="21"/>
      <c r="Q690" s="191"/>
      <c r="R690" s="191"/>
      <c r="S690" s="191"/>
      <c r="T690" s="127"/>
      <c r="U690" s="127"/>
      <c r="V690" s="191"/>
      <c r="W690" s="190"/>
      <c r="X690" s="191"/>
      <c r="Y690" s="191"/>
      <c r="Z690" s="191"/>
      <c r="AA690" s="191"/>
      <c r="AB690" s="191"/>
      <c r="AC690" s="191"/>
      <c r="AD690" s="191"/>
      <c r="AE690" s="191"/>
      <c r="AF690" s="191"/>
      <c r="AG690" s="191"/>
      <c r="AH690" s="191"/>
      <c r="AI690" s="127"/>
      <c r="AJ690" s="191"/>
      <c r="AK690" s="191"/>
      <c r="AL690" s="190"/>
      <c r="AM690" s="191"/>
      <c r="BE690" s="188" t="s">
        <v>3711</v>
      </c>
      <c r="BF690" s="188" t="s">
        <v>4417</v>
      </c>
      <c r="BG690" s="127">
        <v>42880</v>
      </c>
      <c r="BH690" s="188" t="s">
        <v>3077</v>
      </c>
      <c r="BI690" s="188" t="s">
        <v>598</v>
      </c>
      <c r="BJ690" s="189">
        <v>5000</v>
      </c>
      <c r="BK690" s="188" t="s">
        <v>493</v>
      </c>
      <c r="BL690" s="188" t="s">
        <v>598</v>
      </c>
      <c r="BM690" s="189">
        <v>0</v>
      </c>
      <c r="BN690" s="188" t="s">
        <v>598</v>
      </c>
      <c r="BO690" s="127">
        <v>42837</v>
      </c>
      <c r="BP690" s="188" t="s">
        <v>134</v>
      </c>
      <c r="BQ690" s="188" t="s">
        <v>108</v>
      </c>
      <c r="BR690" s="188" t="s">
        <v>182</v>
      </c>
      <c r="BS690" s="188" t="s">
        <v>598</v>
      </c>
      <c r="BT690" s="188" t="s">
        <v>30</v>
      </c>
      <c r="BU690" s="188" t="s">
        <v>30</v>
      </c>
      <c r="BV690" s="188" t="s">
        <v>598</v>
      </c>
    </row>
    <row r="691" spans="5:74">
      <c r="E691" s="21"/>
      <c r="Q691" s="191"/>
      <c r="R691" s="191"/>
      <c r="S691" s="191"/>
      <c r="T691" s="127"/>
      <c r="U691" s="127"/>
      <c r="V691" s="191"/>
      <c r="W691" s="190"/>
      <c r="X691" s="191"/>
      <c r="Y691" s="191"/>
      <c r="Z691" s="191"/>
      <c r="AA691" s="191"/>
      <c r="AB691" s="191"/>
      <c r="AC691" s="191"/>
      <c r="AD691" s="191"/>
      <c r="AE691" s="191"/>
      <c r="AF691" s="191"/>
      <c r="AG691" s="191"/>
      <c r="AH691" s="191"/>
      <c r="AI691" s="127"/>
      <c r="AJ691" s="191"/>
      <c r="AK691" s="191"/>
      <c r="AL691" s="190"/>
      <c r="AM691" s="191"/>
      <c r="BE691" s="188" t="s">
        <v>3713</v>
      </c>
      <c r="BF691" s="188" t="s">
        <v>4418</v>
      </c>
      <c r="BG691" s="127">
        <v>42867</v>
      </c>
      <c r="BH691" s="188" t="s">
        <v>10</v>
      </c>
      <c r="BI691" s="188" t="s">
        <v>598</v>
      </c>
      <c r="BJ691" s="189">
        <v>12000</v>
      </c>
      <c r="BK691" s="188" t="s">
        <v>493</v>
      </c>
      <c r="BL691" s="188" t="s">
        <v>598</v>
      </c>
      <c r="BM691" s="189">
        <v>0</v>
      </c>
      <c r="BN691" s="188" t="s">
        <v>598</v>
      </c>
      <c r="BO691" s="127">
        <v>42846</v>
      </c>
      <c r="BP691" s="188" t="s">
        <v>134</v>
      </c>
      <c r="BQ691" s="188" t="s">
        <v>108</v>
      </c>
      <c r="BR691" s="188" t="s">
        <v>3363</v>
      </c>
      <c r="BS691" s="188" t="s">
        <v>598</v>
      </c>
      <c r="BT691" s="188" t="s">
        <v>30</v>
      </c>
      <c r="BU691" s="188" t="s">
        <v>30</v>
      </c>
      <c r="BV691" s="188" t="s">
        <v>598</v>
      </c>
    </row>
    <row r="692" spans="5:74">
      <c r="E692" s="21"/>
      <c r="Q692" s="191"/>
      <c r="R692" s="191"/>
      <c r="S692" s="191"/>
      <c r="T692" s="127"/>
      <c r="U692" s="127"/>
      <c r="V692" s="191"/>
      <c r="W692" s="190"/>
      <c r="X692" s="191"/>
      <c r="Y692" s="191"/>
      <c r="Z692" s="191"/>
      <c r="AA692" s="191"/>
      <c r="AB692" s="191"/>
      <c r="AC692" s="191"/>
      <c r="AD692" s="191"/>
      <c r="AE692" s="191"/>
      <c r="AF692" s="191"/>
      <c r="AG692" s="191"/>
      <c r="AH692" s="191"/>
      <c r="AI692" s="127"/>
      <c r="AJ692" s="191"/>
      <c r="AK692" s="191"/>
      <c r="AL692" s="190"/>
      <c r="AM692" s="191"/>
      <c r="BE692" s="188" t="s">
        <v>3715</v>
      </c>
      <c r="BF692" s="188" t="s">
        <v>4419</v>
      </c>
      <c r="BG692" s="127">
        <v>42858</v>
      </c>
      <c r="BH692" s="188" t="s">
        <v>10</v>
      </c>
      <c r="BI692" s="188" t="s">
        <v>598</v>
      </c>
      <c r="BJ692" s="189">
        <v>1000</v>
      </c>
      <c r="BK692" s="188" t="s">
        <v>493</v>
      </c>
      <c r="BL692" s="188" t="s">
        <v>598</v>
      </c>
      <c r="BM692" s="189">
        <v>0</v>
      </c>
      <c r="BN692" s="188" t="s">
        <v>598</v>
      </c>
      <c r="BO692" s="127">
        <v>42850</v>
      </c>
      <c r="BP692" s="188" t="s">
        <v>598</v>
      </c>
      <c r="BQ692" s="188" t="s">
        <v>108</v>
      </c>
      <c r="BR692" s="188" t="s">
        <v>3363</v>
      </c>
      <c r="BS692" s="188" t="s">
        <v>598</v>
      </c>
      <c r="BT692" s="188" t="s">
        <v>30</v>
      </c>
      <c r="BU692" s="188" t="s">
        <v>30</v>
      </c>
      <c r="BV692" s="188" t="s">
        <v>598</v>
      </c>
    </row>
    <row r="693" spans="5:74">
      <c r="E693" s="21"/>
      <c r="Q693" s="191"/>
      <c r="R693" s="191"/>
      <c r="S693" s="191"/>
      <c r="T693" s="127"/>
      <c r="U693" s="127"/>
      <c r="V693" s="191"/>
      <c r="W693" s="190"/>
      <c r="X693" s="191"/>
      <c r="Y693" s="191"/>
      <c r="Z693" s="191"/>
      <c r="AA693" s="191"/>
      <c r="AB693" s="191"/>
      <c r="AC693" s="191"/>
      <c r="AD693" s="191"/>
      <c r="AE693" s="191"/>
      <c r="AF693" s="191"/>
      <c r="AG693" s="191"/>
      <c r="AH693" s="191"/>
      <c r="AI693" s="127"/>
      <c r="AJ693" s="191"/>
      <c r="AK693" s="191"/>
      <c r="AL693" s="190"/>
      <c r="AM693" s="191"/>
      <c r="BE693" s="188" t="s">
        <v>3717</v>
      </c>
      <c r="BF693" s="188" t="s">
        <v>4420</v>
      </c>
      <c r="BG693" s="127">
        <v>42871</v>
      </c>
      <c r="BH693" s="188" t="s">
        <v>10</v>
      </c>
      <c r="BI693" s="188" t="s">
        <v>598</v>
      </c>
      <c r="BJ693" s="189">
        <v>5000</v>
      </c>
      <c r="BK693" s="188" t="s">
        <v>493</v>
      </c>
      <c r="BL693" s="188" t="s">
        <v>598</v>
      </c>
      <c r="BM693" s="189">
        <v>0</v>
      </c>
      <c r="BN693" s="188" t="s">
        <v>598</v>
      </c>
      <c r="BO693" s="127">
        <v>42851</v>
      </c>
      <c r="BP693" s="188" t="s">
        <v>598</v>
      </c>
      <c r="BQ693" s="188" t="s">
        <v>108</v>
      </c>
      <c r="BR693" s="188" t="s">
        <v>165</v>
      </c>
      <c r="BS693" s="188" t="s">
        <v>598</v>
      </c>
      <c r="BT693" s="188" t="s">
        <v>30</v>
      </c>
      <c r="BU693" s="188" t="s">
        <v>30</v>
      </c>
      <c r="BV693" s="188" t="s">
        <v>598</v>
      </c>
    </row>
    <row r="694" spans="5:74">
      <c r="E694" s="21"/>
      <c r="Q694" s="191"/>
      <c r="R694" s="191"/>
      <c r="S694" s="191"/>
      <c r="T694" s="127"/>
      <c r="U694" s="127"/>
      <c r="V694" s="191"/>
      <c r="W694" s="190"/>
      <c r="X694" s="191"/>
      <c r="Y694" s="191"/>
      <c r="Z694" s="191"/>
      <c r="AA694" s="191"/>
      <c r="AB694" s="191"/>
      <c r="AC694" s="191"/>
      <c r="AD694" s="191"/>
      <c r="AE694" s="191"/>
      <c r="AF694" s="191"/>
      <c r="AG694" s="191"/>
      <c r="AH694" s="191"/>
      <c r="AI694" s="127"/>
      <c r="AJ694" s="191"/>
      <c r="AK694" s="191"/>
      <c r="AL694" s="190"/>
      <c r="AM694" s="191"/>
      <c r="BE694" s="188" t="s">
        <v>3719</v>
      </c>
      <c r="BF694" s="188" t="s">
        <v>4421</v>
      </c>
      <c r="BG694" s="127">
        <v>42872</v>
      </c>
      <c r="BH694" s="188" t="s">
        <v>10</v>
      </c>
      <c r="BI694" s="188" t="s">
        <v>598</v>
      </c>
      <c r="BJ694" s="189">
        <v>5000</v>
      </c>
      <c r="BK694" s="188" t="s">
        <v>493</v>
      </c>
      <c r="BL694" s="188" t="s">
        <v>598</v>
      </c>
      <c r="BM694" s="189">
        <v>0</v>
      </c>
      <c r="BN694" s="188" t="s">
        <v>598</v>
      </c>
      <c r="BO694" s="127">
        <v>42851</v>
      </c>
      <c r="BP694" s="188" t="s">
        <v>134</v>
      </c>
      <c r="BQ694" s="188" t="s">
        <v>108</v>
      </c>
      <c r="BR694" s="188" t="s">
        <v>179</v>
      </c>
      <c r="BS694" s="188" t="s">
        <v>598</v>
      </c>
      <c r="BT694" s="188" t="s">
        <v>30</v>
      </c>
      <c r="BU694" s="188" t="s">
        <v>30</v>
      </c>
      <c r="BV694" s="188" t="s">
        <v>598</v>
      </c>
    </row>
    <row r="695" spans="5:74">
      <c r="E695" s="21"/>
      <c r="Q695" s="191"/>
      <c r="R695" s="191"/>
      <c r="S695" s="191"/>
      <c r="T695" s="127"/>
      <c r="U695" s="127"/>
      <c r="V695" s="191"/>
      <c r="W695" s="190"/>
      <c r="X695" s="191"/>
      <c r="Y695" s="191"/>
      <c r="Z695" s="191"/>
      <c r="AA695" s="191"/>
      <c r="AB695" s="191"/>
      <c r="AC695" s="191"/>
      <c r="AD695" s="191"/>
      <c r="AE695" s="191"/>
      <c r="AF695" s="191"/>
      <c r="AG695" s="191"/>
      <c r="AH695" s="191"/>
      <c r="AI695" s="127"/>
      <c r="AJ695" s="191"/>
      <c r="AK695" s="191"/>
      <c r="AL695" s="190"/>
      <c r="AM695" s="191"/>
      <c r="BE695" s="188" t="s">
        <v>3721</v>
      </c>
      <c r="BF695" s="188" t="s">
        <v>4422</v>
      </c>
      <c r="BG695" s="127">
        <v>42857</v>
      </c>
      <c r="BH695" s="188" t="s">
        <v>10</v>
      </c>
      <c r="BI695" s="188" t="s">
        <v>598</v>
      </c>
      <c r="BJ695" s="189">
        <v>1500</v>
      </c>
      <c r="BK695" s="188" t="s">
        <v>493</v>
      </c>
      <c r="BL695" s="188" t="s">
        <v>598</v>
      </c>
      <c r="BM695" s="189">
        <v>0</v>
      </c>
      <c r="BN695" s="188" t="s">
        <v>598</v>
      </c>
      <c r="BO695" s="127">
        <v>42851</v>
      </c>
      <c r="BP695" s="188" t="s">
        <v>118</v>
      </c>
      <c r="BQ695" s="188" t="s">
        <v>108</v>
      </c>
      <c r="BR695" s="188" t="s">
        <v>165</v>
      </c>
      <c r="BS695" s="188" t="s">
        <v>598</v>
      </c>
      <c r="BT695" s="188" t="s">
        <v>30</v>
      </c>
      <c r="BU695" s="188" t="s">
        <v>30</v>
      </c>
      <c r="BV695" s="188" t="s">
        <v>598</v>
      </c>
    </row>
    <row r="696" spans="5:74">
      <c r="E696" s="21"/>
      <c r="Q696" s="191"/>
      <c r="R696" s="191"/>
      <c r="S696" s="191"/>
      <c r="T696" s="127"/>
      <c r="U696" s="127"/>
      <c r="V696" s="191"/>
      <c r="W696" s="190"/>
      <c r="X696" s="191"/>
      <c r="Y696" s="191"/>
      <c r="Z696" s="191"/>
      <c r="AA696" s="191"/>
      <c r="AB696" s="191"/>
      <c r="AC696" s="191"/>
      <c r="AD696" s="191"/>
      <c r="AE696" s="191"/>
      <c r="AF696" s="191"/>
      <c r="AG696" s="191"/>
      <c r="AH696" s="191"/>
      <c r="AI696" s="127"/>
      <c r="AJ696" s="191"/>
      <c r="AK696" s="191"/>
      <c r="AL696" s="190"/>
      <c r="AM696" s="191"/>
      <c r="BE696" s="188" t="s">
        <v>3723</v>
      </c>
      <c r="BF696" s="188" t="s">
        <v>4423</v>
      </c>
      <c r="BG696" s="127">
        <v>42866</v>
      </c>
      <c r="BH696" s="188" t="s">
        <v>10</v>
      </c>
      <c r="BI696" s="188" t="s">
        <v>598</v>
      </c>
      <c r="BJ696" s="189">
        <v>3500</v>
      </c>
      <c r="BK696" s="188" t="s">
        <v>493</v>
      </c>
      <c r="BL696" s="188" t="s">
        <v>598</v>
      </c>
      <c r="BM696" s="189">
        <v>0</v>
      </c>
      <c r="BN696" s="188" t="s">
        <v>598</v>
      </c>
      <c r="BO696" s="127">
        <v>42851</v>
      </c>
      <c r="BP696" s="188" t="s">
        <v>134</v>
      </c>
      <c r="BQ696" s="188" t="s">
        <v>108</v>
      </c>
      <c r="BR696" s="188" t="s">
        <v>337</v>
      </c>
      <c r="BS696" s="188" t="s">
        <v>598</v>
      </c>
      <c r="BT696" s="188" t="s">
        <v>30</v>
      </c>
      <c r="BU696" s="188" t="s">
        <v>30</v>
      </c>
      <c r="BV696" s="188" t="s">
        <v>598</v>
      </c>
    </row>
    <row r="697" spans="5:74">
      <c r="E697" s="21"/>
      <c r="Q697" s="191"/>
      <c r="R697" s="191"/>
      <c r="S697" s="191"/>
      <c r="T697" s="127"/>
      <c r="U697" s="127"/>
      <c r="V697" s="191"/>
      <c r="W697" s="190"/>
      <c r="X697" s="191"/>
      <c r="Y697" s="191"/>
      <c r="Z697" s="191"/>
      <c r="AA697" s="191"/>
      <c r="AB697" s="191"/>
      <c r="AC697" s="191"/>
      <c r="AD697" s="191"/>
      <c r="AE697" s="191"/>
      <c r="AF697" s="191"/>
      <c r="AG697" s="191"/>
      <c r="AH697" s="191"/>
      <c r="AI697" s="127"/>
      <c r="AJ697" s="191"/>
      <c r="AK697" s="191"/>
      <c r="AL697" s="190"/>
      <c r="AM697" s="191"/>
      <c r="BE697" s="188" t="s">
        <v>3725</v>
      </c>
      <c r="BF697" s="188" t="s">
        <v>4424</v>
      </c>
      <c r="BG697" s="127">
        <v>42859</v>
      </c>
      <c r="BH697" s="188" t="s">
        <v>10</v>
      </c>
      <c r="BI697" s="188" t="s">
        <v>598</v>
      </c>
      <c r="BJ697" s="189">
        <v>5000</v>
      </c>
      <c r="BK697" s="188" t="s">
        <v>493</v>
      </c>
      <c r="BL697" s="188" t="s">
        <v>598</v>
      </c>
      <c r="BM697" s="189">
        <v>0</v>
      </c>
      <c r="BN697" s="188" t="s">
        <v>598</v>
      </c>
      <c r="BO697" s="127">
        <v>42881</v>
      </c>
      <c r="BP697" s="188" t="s">
        <v>134</v>
      </c>
      <c r="BQ697" s="188" t="s">
        <v>108</v>
      </c>
      <c r="BR697" s="188" t="s">
        <v>170</v>
      </c>
      <c r="BS697" s="188" t="s">
        <v>598</v>
      </c>
      <c r="BT697" s="188" t="s">
        <v>30</v>
      </c>
      <c r="BU697" s="188" t="s">
        <v>30</v>
      </c>
      <c r="BV697" s="188" t="s">
        <v>598</v>
      </c>
    </row>
    <row r="698" spans="5:74">
      <c r="E698" s="21"/>
      <c r="Q698" s="191"/>
      <c r="R698" s="191"/>
      <c r="S698" s="191"/>
      <c r="T698" s="127"/>
      <c r="U698" s="127"/>
      <c r="V698" s="191"/>
      <c r="W698" s="190"/>
      <c r="X698" s="191"/>
      <c r="Y698" s="191"/>
      <c r="Z698" s="191"/>
      <c r="AA698" s="191"/>
      <c r="AB698" s="191"/>
      <c r="AC698" s="191"/>
      <c r="AD698" s="191"/>
      <c r="AE698" s="191"/>
      <c r="AF698" s="191"/>
      <c r="AG698" s="191"/>
      <c r="AH698" s="191"/>
      <c r="AI698" s="127"/>
      <c r="AJ698" s="191"/>
      <c r="AK698" s="191"/>
      <c r="AL698" s="190"/>
      <c r="AM698" s="191"/>
      <c r="BE698" s="188" t="s">
        <v>3727</v>
      </c>
      <c r="BF698" s="188" t="s">
        <v>4425</v>
      </c>
      <c r="BG698" s="127">
        <v>42858</v>
      </c>
      <c r="BH698" s="188" t="s">
        <v>10</v>
      </c>
      <c r="BI698" s="188" t="s">
        <v>598</v>
      </c>
      <c r="BJ698" s="189">
        <v>5000</v>
      </c>
      <c r="BK698" s="188" t="s">
        <v>493</v>
      </c>
      <c r="BL698" s="188" t="s">
        <v>598</v>
      </c>
      <c r="BM698" s="189">
        <v>0</v>
      </c>
      <c r="BN698" s="188" t="s">
        <v>598</v>
      </c>
      <c r="BO698" s="127">
        <v>42852</v>
      </c>
      <c r="BP698" s="188" t="s">
        <v>134</v>
      </c>
      <c r="BQ698" s="188" t="s">
        <v>108</v>
      </c>
      <c r="BR698" s="188" t="s">
        <v>472</v>
      </c>
      <c r="BS698" s="188" t="s">
        <v>598</v>
      </c>
      <c r="BT698" s="188" t="s">
        <v>30</v>
      </c>
      <c r="BU698" s="188" t="s">
        <v>30</v>
      </c>
      <c r="BV698" s="188" t="s">
        <v>598</v>
      </c>
    </row>
    <row r="699" spans="5:74">
      <c r="E699" s="21"/>
      <c r="Q699" s="191"/>
      <c r="R699" s="191"/>
      <c r="S699" s="191"/>
      <c r="T699" s="127"/>
      <c r="U699" s="127"/>
      <c r="V699" s="191"/>
      <c r="W699" s="190"/>
      <c r="X699" s="191"/>
      <c r="Y699" s="191"/>
      <c r="Z699" s="191"/>
      <c r="AA699" s="191"/>
      <c r="AB699" s="191"/>
      <c r="AC699" s="191"/>
      <c r="AD699" s="191"/>
      <c r="AE699" s="191"/>
      <c r="AF699" s="191"/>
      <c r="AG699" s="191"/>
      <c r="AH699" s="191"/>
      <c r="AI699" s="127"/>
      <c r="AJ699" s="191"/>
      <c r="AK699" s="191"/>
      <c r="AL699" s="190"/>
      <c r="AM699" s="191"/>
      <c r="BE699" s="188" t="s">
        <v>911</v>
      </c>
      <c r="BF699" s="188" t="s">
        <v>4501</v>
      </c>
      <c r="BG699" s="127">
        <v>43021</v>
      </c>
      <c r="BH699" s="188" t="s">
        <v>10</v>
      </c>
      <c r="BI699" s="188"/>
      <c r="BJ699" s="189">
        <v>50000</v>
      </c>
      <c r="BK699" s="188" t="s">
        <v>493</v>
      </c>
      <c r="BL699" s="188"/>
      <c r="BM699" s="189"/>
      <c r="BN699" s="188"/>
      <c r="BO699" s="127">
        <v>42905</v>
      </c>
      <c r="BP699" s="188" t="s">
        <v>598</v>
      </c>
      <c r="BQ699" s="188" t="s">
        <v>84</v>
      </c>
      <c r="BR699" s="188" t="s">
        <v>216</v>
      </c>
      <c r="BS699" s="188" t="s">
        <v>598</v>
      </c>
      <c r="BT699" s="188" t="s">
        <v>63</v>
      </c>
      <c r="BU699" s="188" t="s">
        <v>86</v>
      </c>
      <c r="BV699" s="188" t="s">
        <v>67</v>
      </c>
    </row>
    <row r="700" spans="5:74">
      <c r="E700" s="21"/>
      <c r="Q700" s="191"/>
      <c r="R700" s="191"/>
      <c r="S700" s="191"/>
      <c r="T700" s="127"/>
      <c r="U700" s="127"/>
      <c r="V700" s="191"/>
      <c r="W700" s="190"/>
      <c r="X700" s="191"/>
      <c r="Y700" s="191"/>
      <c r="Z700" s="191"/>
      <c r="AA700" s="191"/>
      <c r="AB700" s="191"/>
      <c r="AC700" s="191"/>
      <c r="AD700" s="191"/>
      <c r="AE700" s="191"/>
      <c r="AF700" s="191"/>
      <c r="AG700" s="191"/>
      <c r="AH700" s="191"/>
      <c r="AI700" s="127"/>
      <c r="AJ700" s="191"/>
      <c r="AK700" s="191"/>
      <c r="AL700" s="190"/>
      <c r="AM700" s="191"/>
    </row>
    <row r="701" spans="5:74">
      <c r="E701" s="21"/>
      <c r="Q701" s="191"/>
      <c r="R701" s="191"/>
      <c r="S701" s="191"/>
      <c r="T701" s="127"/>
      <c r="U701" s="127"/>
      <c r="V701" s="191"/>
      <c r="W701" s="190"/>
      <c r="X701" s="191"/>
      <c r="Y701" s="191"/>
      <c r="Z701" s="191"/>
      <c r="AA701" s="191"/>
      <c r="AB701" s="191"/>
      <c r="AC701" s="191"/>
      <c r="AD701" s="191"/>
      <c r="AE701" s="191"/>
      <c r="AF701" s="191"/>
      <c r="AG701" s="191"/>
      <c r="AH701" s="191"/>
      <c r="AI701" s="127"/>
      <c r="AJ701" s="191"/>
      <c r="AK701" s="191"/>
      <c r="AL701" s="190"/>
      <c r="AM701" s="191"/>
    </row>
    <row r="702" spans="5:74">
      <c r="E702" s="21"/>
      <c r="Q702" s="191"/>
      <c r="R702" s="191"/>
      <c r="S702" s="191"/>
      <c r="T702" s="127"/>
      <c r="U702" s="127"/>
      <c r="V702" s="191"/>
      <c r="W702" s="190"/>
      <c r="X702" s="191"/>
      <c r="Y702" s="191"/>
      <c r="Z702" s="191"/>
      <c r="AA702" s="191"/>
      <c r="AB702" s="191"/>
      <c r="AC702" s="191"/>
      <c r="AD702" s="191"/>
      <c r="AE702" s="191"/>
      <c r="AF702" s="191"/>
      <c r="AG702" s="191"/>
      <c r="AH702" s="191"/>
      <c r="AI702" s="127"/>
      <c r="AJ702" s="191"/>
      <c r="AK702" s="191"/>
      <c r="AL702" s="190"/>
      <c r="AM702" s="191"/>
    </row>
    <row r="703" spans="5:74">
      <c r="E703" s="21"/>
      <c r="Q703" s="191"/>
      <c r="R703" s="191"/>
      <c r="S703" s="191"/>
      <c r="T703" s="127"/>
      <c r="U703" s="127"/>
      <c r="V703" s="191"/>
      <c r="W703" s="190"/>
      <c r="X703" s="191"/>
      <c r="Y703" s="191"/>
      <c r="Z703" s="191"/>
      <c r="AA703" s="191"/>
      <c r="AB703" s="191"/>
      <c r="AC703" s="191"/>
      <c r="AD703" s="191"/>
      <c r="AE703" s="191"/>
      <c r="AF703" s="191"/>
      <c r="AG703" s="191"/>
      <c r="AH703" s="191"/>
      <c r="AI703" s="127"/>
      <c r="AJ703" s="191"/>
      <c r="AK703" s="191"/>
      <c r="AL703" s="190"/>
      <c r="AM703" s="191"/>
    </row>
    <row r="704" spans="5:74">
      <c r="E704" s="21"/>
      <c r="Q704" s="191"/>
      <c r="R704" s="191"/>
      <c r="S704" s="191"/>
      <c r="T704" s="127"/>
      <c r="U704" s="127"/>
      <c r="V704" s="191"/>
      <c r="W704" s="190"/>
      <c r="X704" s="191"/>
      <c r="Y704" s="191"/>
      <c r="Z704" s="191"/>
      <c r="AA704" s="191"/>
      <c r="AB704" s="191"/>
      <c r="AC704" s="191"/>
      <c r="AD704" s="191"/>
      <c r="AE704" s="191"/>
      <c r="AF704" s="191"/>
      <c r="AG704" s="191"/>
      <c r="AH704" s="191"/>
      <c r="AI704" s="127"/>
      <c r="AJ704" s="191"/>
      <c r="AK704" s="191"/>
      <c r="AL704" s="190"/>
      <c r="AM704" s="191"/>
    </row>
    <row r="705" spans="5:39">
      <c r="E705" s="21"/>
      <c r="Q705" s="191"/>
      <c r="R705" s="191"/>
      <c r="S705" s="191"/>
      <c r="T705" s="127"/>
      <c r="U705" s="127"/>
      <c r="V705" s="191"/>
      <c r="W705" s="190"/>
      <c r="X705" s="191"/>
      <c r="Y705" s="191"/>
      <c r="Z705" s="191"/>
      <c r="AA705" s="191"/>
      <c r="AB705" s="191"/>
      <c r="AC705" s="191"/>
      <c r="AD705" s="191"/>
      <c r="AE705" s="191"/>
      <c r="AF705" s="191"/>
      <c r="AG705" s="191"/>
      <c r="AH705" s="191"/>
      <c r="AI705" s="127"/>
      <c r="AJ705" s="191"/>
      <c r="AK705" s="191"/>
      <c r="AL705" s="190"/>
      <c r="AM705" s="191"/>
    </row>
    <row r="706" spans="5:39">
      <c r="E706" s="21"/>
      <c r="Q706" s="191"/>
      <c r="R706" s="191"/>
      <c r="S706" s="191"/>
      <c r="T706" s="127"/>
      <c r="U706" s="127"/>
      <c r="V706" s="191"/>
      <c r="W706" s="190"/>
      <c r="X706" s="191"/>
      <c r="Y706" s="191"/>
      <c r="Z706" s="191"/>
      <c r="AA706" s="191"/>
      <c r="AB706" s="191"/>
      <c r="AC706" s="191"/>
      <c r="AD706" s="191"/>
      <c r="AE706" s="191"/>
      <c r="AF706" s="191"/>
      <c r="AG706" s="191"/>
      <c r="AH706" s="191"/>
      <c r="AI706" s="127"/>
      <c r="AJ706" s="191"/>
      <c r="AK706" s="191"/>
      <c r="AL706" s="190"/>
      <c r="AM706" s="191"/>
    </row>
    <row r="707" spans="5:39">
      <c r="E707" s="21"/>
      <c r="Q707" s="191"/>
      <c r="R707" s="191"/>
      <c r="S707" s="191"/>
      <c r="T707" s="127"/>
      <c r="U707" s="127"/>
      <c r="V707" s="191"/>
      <c r="W707" s="190"/>
      <c r="X707" s="191"/>
      <c r="Y707" s="191"/>
      <c r="Z707" s="191"/>
      <c r="AA707" s="191"/>
      <c r="AB707" s="191"/>
      <c r="AC707" s="191"/>
      <c r="AD707" s="191"/>
      <c r="AE707" s="191"/>
      <c r="AF707" s="191"/>
      <c r="AG707" s="191"/>
      <c r="AH707" s="191"/>
      <c r="AI707" s="127"/>
      <c r="AJ707" s="191"/>
      <c r="AK707" s="191"/>
      <c r="AL707" s="190"/>
      <c r="AM707" s="191"/>
    </row>
    <row r="708" spans="5:39">
      <c r="E708" s="21"/>
      <c r="Q708" s="191"/>
      <c r="R708" s="191"/>
      <c r="S708" s="191"/>
      <c r="T708" s="127"/>
      <c r="U708" s="127"/>
      <c r="V708" s="191"/>
      <c r="W708" s="190"/>
      <c r="X708" s="191"/>
      <c r="Y708" s="191"/>
      <c r="Z708" s="191"/>
      <c r="AA708" s="191"/>
      <c r="AB708" s="191"/>
      <c r="AC708" s="191"/>
      <c r="AD708" s="191"/>
      <c r="AE708" s="191"/>
      <c r="AF708" s="191"/>
      <c r="AG708" s="191"/>
      <c r="AH708" s="191"/>
      <c r="AI708" s="127"/>
      <c r="AJ708" s="191"/>
      <c r="AK708" s="191"/>
      <c r="AL708" s="190"/>
      <c r="AM708" s="191"/>
    </row>
    <row r="709" spans="5:39">
      <c r="E709" s="21"/>
      <c r="Q709" s="191"/>
      <c r="R709" s="191"/>
      <c r="S709" s="191"/>
      <c r="T709" s="127"/>
      <c r="U709" s="127"/>
      <c r="V709" s="191"/>
      <c r="W709" s="190"/>
      <c r="X709" s="191"/>
      <c r="Y709" s="191"/>
      <c r="Z709" s="191"/>
      <c r="AA709" s="191"/>
      <c r="AB709" s="191"/>
      <c r="AC709" s="191"/>
      <c r="AD709" s="191"/>
      <c r="AE709" s="191"/>
      <c r="AF709" s="191"/>
      <c r="AG709" s="191"/>
      <c r="AH709" s="191"/>
      <c r="AI709" s="127"/>
      <c r="AJ709" s="191"/>
      <c r="AK709" s="191"/>
      <c r="AL709" s="190"/>
      <c r="AM709" s="191"/>
    </row>
    <row r="710" spans="5:39">
      <c r="E710" s="21"/>
      <c r="Q710" s="191"/>
      <c r="R710" s="191"/>
      <c r="S710" s="191"/>
      <c r="T710" s="127"/>
      <c r="U710" s="127"/>
      <c r="V710" s="191"/>
      <c r="W710" s="190"/>
      <c r="X710" s="191"/>
      <c r="Y710" s="191"/>
      <c r="Z710" s="191"/>
      <c r="AA710" s="191"/>
      <c r="AB710" s="191"/>
      <c r="AC710" s="191"/>
      <c r="AD710" s="191"/>
      <c r="AE710" s="191"/>
      <c r="AF710" s="191"/>
      <c r="AG710" s="191"/>
      <c r="AH710" s="191"/>
      <c r="AI710" s="127"/>
      <c r="AJ710" s="191"/>
      <c r="AK710" s="191"/>
      <c r="AL710" s="190"/>
      <c r="AM710" s="191"/>
    </row>
    <row r="711" spans="5:39">
      <c r="E711" s="21"/>
      <c r="Q711" s="191"/>
      <c r="R711" s="191"/>
      <c r="S711" s="191"/>
      <c r="T711" s="127"/>
      <c r="U711" s="127"/>
      <c r="V711" s="191"/>
      <c r="W711" s="190"/>
      <c r="X711" s="191"/>
      <c r="Y711" s="191"/>
      <c r="Z711" s="191"/>
      <c r="AA711" s="191"/>
      <c r="AB711" s="191"/>
      <c r="AC711" s="191"/>
      <c r="AD711" s="191"/>
      <c r="AE711" s="191"/>
      <c r="AF711" s="191"/>
      <c r="AG711" s="191"/>
      <c r="AH711" s="191"/>
      <c r="AI711" s="127"/>
      <c r="AJ711" s="191"/>
      <c r="AK711" s="191"/>
      <c r="AL711" s="190"/>
      <c r="AM711" s="191"/>
    </row>
    <row r="712" spans="5:39">
      <c r="E712" s="21"/>
      <c r="Q712" s="191"/>
      <c r="R712" s="191"/>
      <c r="S712" s="191"/>
      <c r="T712" s="127"/>
      <c r="U712" s="127"/>
      <c r="V712" s="191"/>
      <c r="W712" s="190"/>
      <c r="X712" s="191"/>
      <c r="Y712" s="191"/>
      <c r="Z712" s="191"/>
      <c r="AA712" s="191"/>
      <c r="AB712" s="191"/>
      <c r="AC712" s="191"/>
      <c r="AD712" s="191"/>
      <c r="AE712" s="191"/>
      <c r="AF712" s="191"/>
      <c r="AG712" s="191"/>
      <c r="AH712" s="191"/>
      <c r="AI712" s="127"/>
      <c r="AJ712" s="191"/>
      <c r="AK712" s="191"/>
      <c r="AL712" s="190"/>
      <c r="AM712" s="191"/>
    </row>
    <row r="713" spans="5:39">
      <c r="E713" s="21"/>
      <c r="Q713" s="191"/>
      <c r="R713" s="191"/>
      <c r="S713" s="191"/>
      <c r="T713" s="127"/>
      <c r="U713" s="127"/>
      <c r="V713" s="191"/>
      <c r="W713" s="190"/>
      <c r="X713" s="191"/>
      <c r="Y713" s="191"/>
      <c r="Z713" s="191"/>
      <c r="AA713" s="191"/>
      <c r="AB713" s="191"/>
      <c r="AC713" s="191"/>
      <c r="AD713" s="191"/>
      <c r="AE713" s="191"/>
      <c r="AF713" s="191"/>
      <c r="AG713" s="191"/>
      <c r="AH713" s="191"/>
      <c r="AI713" s="127"/>
      <c r="AJ713" s="191"/>
      <c r="AK713" s="191"/>
      <c r="AL713" s="190"/>
      <c r="AM713" s="191"/>
    </row>
    <row r="714" spans="5:39">
      <c r="E714" s="21"/>
      <c r="Q714" s="191"/>
      <c r="R714" s="191"/>
      <c r="S714" s="191"/>
      <c r="T714" s="127"/>
      <c r="U714" s="127"/>
      <c r="V714" s="191"/>
      <c r="W714" s="190"/>
      <c r="X714" s="191"/>
      <c r="Y714" s="191"/>
      <c r="Z714" s="191"/>
      <c r="AA714" s="191"/>
      <c r="AB714" s="191"/>
      <c r="AC714" s="191"/>
      <c r="AD714" s="191"/>
      <c r="AE714" s="191"/>
      <c r="AF714" s="191"/>
      <c r="AG714" s="191"/>
      <c r="AH714" s="191"/>
      <c r="AI714" s="127"/>
      <c r="AJ714" s="191"/>
      <c r="AK714" s="191"/>
      <c r="AL714" s="190"/>
      <c r="AM714" s="191"/>
    </row>
    <row r="715" spans="5:39">
      <c r="E715" s="21"/>
      <c r="Q715" s="191"/>
      <c r="R715" s="191"/>
      <c r="S715" s="191"/>
      <c r="T715" s="127"/>
      <c r="U715" s="127"/>
      <c r="V715" s="191"/>
      <c r="W715" s="190"/>
      <c r="X715" s="191"/>
      <c r="Y715" s="191"/>
      <c r="Z715" s="191"/>
      <c r="AA715" s="191"/>
      <c r="AB715" s="191"/>
      <c r="AC715" s="191"/>
      <c r="AD715" s="191"/>
      <c r="AE715" s="191"/>
      <c r="AF715" s="191"/>
      <c r="AG715" s="191"/>
      <c r="AH715" s="191"/>
      <c r="AI715" s="127"/>
      <c r="AJ715" s="191"/>
      <c r="AK715" s="191"/>
      <c r="AL715" s="190"/>
      <c r="AM715" s="191"/>
    </row>
    <row r="716" spans="5:39">
      <c r="E716" s="21"/>
      <c r="Q716" s="191"/>
      <c r="R716" s="191"/>
      <c r="S716" s="191"/>
      <c r="T716" s="127"/>
      <c r="U716" s="127"/>
      <c r="V716" s="191"/>
      <c r="W716" s="190"/>
      <c r="X716" s="191"/>
      <c r="Y716" s="191"/>
      <c r="Z716" s="191"/>
      <c r="AA716" s="191"/>
      <c r="AB716" s="191"/>
      <c r="AC716" s="191"/>
      <c r="AD716" s="191"/>
      <c r="AE716" s="191"/>
      <c r="AF716" s="191"/>
      <c r="AG716" s="191"/>
      <c r="AH716" s="191"/>
      <c r="AI716" s="127"/>
      <c r="AJ716" s="191"/>
      <c r="AK716" s="191"/>
      <c r="AL716" s="190"/>
      <c r="AM716" s="191"/>
    </row>
    <row r="717" spans="5:39">
      <c r="E717" s="21"/>
      <c r="Q717" s="191"/>
      <c r="R717" s="191"/>
      <c r="S717" s="191"/>
      <c r="T717" s="127"/>
      <c r="U717" s="127"/>
      <c r="V717" s="191"/>
      <c r="W717" s="190"/>
      <c r="X717" s="191"/>
      <c r="Y717" s="191"/>
      <c r="Z717" s="191"/>
      <c r="AA717" s="191"/>
      <c r="AB717" s="191"/>
      <c r="AC717" s="191"/>
      <c r="AD717" s="191"/>
      <c r="AE717" s="191"/>
      <c r="AF717" s="191"/>
      <c r="AG717" s="191"/>
      <c r="AH717" s="191"/>
      <c r="AI717" s="127"/>
      <c r="AJ717" s="191"/>
      <c r="AK717" s="191"/>
      <c r="AL717" s="190"/>
      <c r="AM717" s="191"/>
    </row>
    <row r="718" spans="5:39">
      <c r="E718" s="21"/>
      <c r="Q718" s="191"/>
      <c r="R718" s="191"/>
      <c r="S718" s="191"/>
      <c r="T718" s="127"/>
      <c r="U718" s="127"/>
      <c r="V718" s="191"/>
      <c r="W718" s="190"/>
      <c r="X718" s="191"/>
      <c r="Y718" s="191"/>
      <c r="Z718" s="191"/>
      <c r="AA718" s="191"/>
      <c r="AB718" s="191"/>
      <c r="AC718" s="191"/>
      <c r="AD718" s="191"/>
      <c r="AE718" s="191"/>
      <c r="AF718" s="191"/>
      <c r="AG718" s="191"/>
      <c r="AH718" s="191"/>
      <c r="AI718" s="127"/>
      <c r="AJ718" s="191"/>
      <c r="AK718" s="191"/>
      <c r="AL718" s="190"/>
      <c r="AM718" s="191"/>
    </row>
    <row r="719" spans="5:39">
      <c r="E719" s="21"/>
      <c r="Q719" s="191"/>
      <c r="R719" s="191"/>
      <c r="S719" s="191"/>
      <c r="T719" s="127"/>
      <c r="U719" s="127"/>
      <c r="V719" s="191"/>
      <c r="W719" s="190"/>
      <c r="X719" s="191"/>
      <c r="Y719" s="191"/>
      <c r="Z719" s="191"/>
      <c r="AA719" s="191"/>
      <c r="AB719" s="191"/>
      <c r="AC719" s="191"/>
      <c r="AD719" s="191"/>
      <c r="AE719" s="191"/>
      <c r="AF719" s="191"/>
      <c r="AG719" s="191"/>
      <c r="AH719" s="191"/>
      <c r="AI719" s="127"/>
      <c r="AJ719" s="191"/>
      <c r="AK719" s="191"/>
      <c r="AL719" s="190"/>
      <c r="AM719" s="191"/>
    </row>
    <row r="720" spans="5:39">
      <c r="E720" s="21"/>
      <c r="Q720" s="191"/>
      <c r="R720" s="191"/>
      <c r="S720" s="191"/>
      <c r="T720" s="127"/>
      <c r="U720" s="127"/>
      <c r="V720" s="191"/>
      <c r="W720" s="190"/>
      <c r="X720" s="191"/>
      <c r="Y720" s="191"/>
      <c r="Z720" s="191"/>
      <c r="AA720" s="191"/>
      <c r="AB720" s="191"/>
      <c r="AC720" s="191"/>
      <c r="AD720" s="191"/>
      <c r="AE720" s="191"/>
      <c r="AF720" s="191"/>
      <c r="AG720" s="191"/>
      <c r="AH720" s="191"/>
      <c r="AI720" s="127"/>
      <c r="AJ720" s="191"/>
      <c r="AK720" s="191"/>
      <c r="AL720" s="190"/>
      <c r="AM720" s="191"/>
    </row>
    <row r="721" spans="5:39">
      <c r="E721" s="21"/>
      <c r="Q721" s="191"/>
      <c r="R721" s="191"/>
      <c r="S721" s="191"/>
      <c r="T721" s="127"/>
      <c r="U721" s="127"/>
      <c r="V721" s="191"/>
      <c r="W721" s="190"/>
      <c r="X721" s="191"/>
      <c r="Y721" s="191"/>
      <c r="Z721" s="191"/>
      <c r="AA721" s="191"/>
      <c r="AB721" s="191"/>
      <c r="AC721" s="191"/>
      <c r="AD721" s="191"/>
      <c r="AE721" s="191"/>
      <c r="AF721" s="191"/>
      <c r="AG721" s="191"/>
      <c r="AH721" s="191"/>
      <c r="AI721" s="127"/>
      <c r="AJ721" s="191"/>
      <c r="AK721" s="191"/>
      <c r="AL721" s="190"/>
      <c r="AM721" s="191"/>
    </row>
    <row r="722" spans="5:39">
      <c r="E722" s="21"/>
      <c r="Q722" s="191"/>
      <c r="R722" s="191"/>
      <c r="S722" s="191"/>
      <c r="T722" s="127"/>
      <c r="U722" s="127"/>
      <c r="V722" s="191"/>
      <c r="W722" s="190"/>
      <c r="X722" s="191"/>
      <c r="Y722" s="191"/>
      <c r="Z722" s="191"/>
      <c r="AA722" s="191"/>
      <c r="AB722" s="191"/>
      <c r="AC722" s="191"/>
      <c r="AD722" s="191"/>
      <c r="AE722" s="191"/>
      <c r="AF722" s="191"/>
      <c r="AG722" s="191"/>
      <c r="AH722" s="191"/>
      <c r="AI722" s="127"/>
      <c r="AJ722" s="191"/>
      <c r="AK722" s="191"/>
      <c r="AL722" s="190"/>
      <c r="AM722" s="191"/>
    </row>
    <row r="723" spans="5:39">
      <c r="E723" s="21"/>
      <c r="Q723" s="191"/>
      <c r="R723" s="191"/>
      <c r="S723" s="191"/>
      <c r="T723" s="127"/>
      <c r="U723" s="127"/>
      <c r="V723" s="191"/>
      <c r="W723" s="190"/>
      <c r="X723" s="191"/>
      <c r="Y723" s="191"/>
      <c r="Z723" s="191"/>
      <c r="AA723" s="191"/>
      <c r="AB723" s="191"/>
      <c r="AC723" s="191"/>
      <c r="AD723" s="191"/>
      <c r="AE723" s="191"/>
      <c r="AF723" s="191"/>
      <c r="AG723" s="191"/>
      <c r="AH723" s="191"/>
      <c r="AI723" s="127"/>
      <c r="AJ723" s="191"/>
      <c r="AK723" s="191"/>
      <c r="AL723" s="190"/>
      <c r="AM723" s="191"/>
    </row>
    <row r="724" spans="5:39">
      <c r="E724" s="21"/>
      <c r="Q724" s="191"/>
      <c r="R724" s="191"/>
      <c r="S724" s="191"/>
      <c r="T724" s="127"/>
      <c r="U724" s="127"/>
      <c r="V724" s="191"/>
      <c r="W724" s="190"/>
      <c r="X724" s="191"/>
      <c r="Y724" s="191"/>
      <c r="Z724" s="191"/>
      <c r="AA724" s="191"/>
      <c r="AB724" s="191"/>
      <c r="AC724" s="191"/>
      <c r="AD724" s="191"/>
      <c r="AE724" s="191"/>
      <c r="AF724" s="191"/>
      <c r="AG724" s="191"/>
      <c r="AH724" s="191"/>
      <c r="AI724" s="127"/>
      <c r="AJ724" s="191"/>
      <c r="AK724" s="191"/>
      <c r="AL724" s="190"/>
      <c r="AM724" s="191"/>
    </row>
    <row r="725" spans="5:39">
      <c r="E725" s="21"/>
      <c r="Q725" s="191"/>
      <c r="R725" s="191"/>
      <c r="S725" s="191"/>
      <c r="T725" s="127"/>
      <c r="U725" s="127"/>
      <c r="V725" s="191"/>
      <c r="W725" s="190"/>
      <c r="X725" s="191"/>
      <c r="Y725" s="191"/>
      <c r="Z725" s="191"/>
      <c r="AA725" s="191"/>
      <c r="AB725" s="191"/>
      <c r="AC725" s="191"/>
      <c r="AD725" s="191"/>
      <c r="AE725" s="191"/>
      <c r="AF725" s="191"/>
      <c r="AG725" s="191"/>
      <c r="AH725" s="191"/>
      <c r="AI725" s="127"/>
      <c r="AJ725" s="191"/>
      <c r="AK725" s="191"/>
      <c r="AL725" s="190"/>
      <c r="AM725" s="191"/>
    </row>
    <row r="726" spans="5:39">
      <c r="E726" s="21"/>
      <c r="Q726" s="191"/>
      <c r="R726" s="191"/>
      <c r="S726" s="191"/>
      <c r="T726" s="127"/>
      <c r="U726" s="127"/>
      <c r="V726" s="191"/>
      <c r="W726" s="190"/>
      <c r="X726" s="191"/>
      <c r="Y726" s="191"/>
      <c r="Z726" s="191"/>
      <c r="AA726" s="191"/>
      <c r="AB726" s="191"/>
      <c r="AC726" s="191"/>
      <c r="AD726" s="191"/>
      <c r="AE726" s="191"/>
      <c r="AF726" s="191"/>
      <c r="AG726" s="191"/>
      <c r="AH726" s="191"/>
      <c r="AI726" s="127"/>
      <c r="AJ726" s="191"/>
      <c r="AK726" s="191"/>
      <c r="AL726" s="190"/>
      <c r="AM726" s="191"/>
    </row>
    <row r="727" spans="5:39">
      <c r="E727" s="21"/>
      <c r="Q727" s="191"/>
      <c r="R727" s="191"/>
      <c r="S727" s="191"/>
      <c r="T727" s="127"/>
      <c r="U727" s="127"/>
      <c r="V727" s="191"/>
      <c r="W727" s="190"/>
      <c r="X727" s="191"/>
      <c r="Y727" s="191"/>
      <c r="Z727" s="191"/>
      <c r="AA727" s="191"/>
      <c r="AB727" s="191"/>
      <c r="AC727" s="191"/>
      <c r="AD727" s="191"/>
      <c r="AE727" s="191"/>
      <c r="AF727" s="191"/>
      <c r="AG727" s="191"/>
      <c r="AH727" s="191"/>
      <c r="AI727" s="127"/>
      <c r="AJ727" s="191"/>
      <c r="AK727" s="191"/>
      <c r="AL727" s="190"/>
      <c r="AM727" s="191"/>
    </row>
    <row r="728" spans="5:39">
      <c r="E728" s="21"/>
      <c r="Q728" s="191"/>
      <c r="R728" s="191"/>
      <c r="S728" s="191"/>
      <c r="T728" s="127"/>
      <c r="U728" s="127"/>
      <c r="V728" s="191"/>
      <c r="W728" s="190"/>
      <c r="X728" s="191"/>
      <c r="Y728" s="191"/>
      <c r="Z728" s="191"/>
      <c r="AA728" s="191"/>
      <c r="AB728" s="191"/>
      <c r="AC728" s="191"/>
      <c r="AD728" s="191"/>
      <c r="AE728" s="191"/>
      <c r="AF728" s="191"/>
      <c r="AG728" s="191"/>
      <c r="AH728" s="191"/>
      <c r="AI728" s="127"/>
      <c r="AJ728" s="191"/>
      <c r="AK728" s="191"/>
      <c r="AL728" s="190"/>
      <c r="AM728" s="191"/>
    </row>
    <row r="729" spans="5:39">
      <c r="E729" s="21"/>
      <c r="Q729" s="191"/>
      <c r="R729" s="191"/>
      <c r="S729" s="191"/>
      <c r="T729" s="127"/>
      <c r="U729" s="127"/>
      <c r="V729" s="191"/>
      <c r="W729" s="190"/>
      <c r="X729" s="191"/>
      <c r="Y729" s="191"/>
      <c r="Z729" s="191"/>
      <c r="AA729" s="191"/>
      <c r="AB729" s="191"/>
      <c r="AC729" s="191"/>
      <c r="AD729" s="191"/>
      <c r="AE729" s="191"/>
      <c r="AF729" s="191"/>
      <c r="AG729" s="191"/>
      <c r="AH729" s="191"/>
      <c r="AI729" s="127"/>
      <c r="AJ729" s="191"/>
      <c r="AK729" s="191"/>
      <c r="AL729" s="190"/>
      <c r="AM729" s="191"/>
    </row>
    <row r="730" spans="5:39">
      <c r="E730" s="21"/>
      <c r="Q730" s="191"/>
      <c r="R730" s="191"/>
      <c r="S730" s="191"/>
      <c r="T730" s="127"/>
      <c r="U730" s="127"/>
      <c r="V730" s="191"/>
      <c r="W730" s="190"/>
      <c r="X730" s="191"/>
      <c r="Y730" s="191"/>
      <c r="Z730" s="191"/>
      <c r="AA730" s="191"/>
      <c r="AB730" s="191"/>
      <c r="AC730" s="191"/>
      <c r="AD730" s="191"/>
      <c r="AE730" s="191"/>
      <c r="AF730" s="191"/>
      <c r="AG730" s="191"/>
      <c r="AH730" s="191"/>
      <c r="AI730" s="127"/>
      <c r="AJ730" s="191"/>
      <c r="AK730" s="191"/>
      <c r="AL730" s="190"/>
      <c r="AM730" s="191"/>
    </row>
    <row r="731" spans="5:39">
      <c r="E731" s="21"/>
      <c r="Q731" s="191"/>
      <c r="R731" s="191"/>
      <c r="S731" s="191"/>
      <c r="T731" s="127"/>
      <c r="U731" s="127"/>
      <c r="V731" s="191"/>
      <c r="W731" s="190"/>
      <c r="X731" s="191"/>
      <c r="Y731" s="191"/>
      <c r="Z731" s="191"/>
      <c r="AA731" s="191"/>
      <c r="AB731" s="191"/>
      <c r="AC731" s="191"/>
      <c r="AD731" s="191"/>
      <c r="AE731" s="191"/>
      <c r="AF731" s="191"/>
      <c r="AG731" s="191"/>
      <c r="AH731" s="191"/>
      <c r="AI731" s="127"/>
      <c r="AJ731" s="191"/>
      <c r="AK731" s="191"/>
      <c r="AL731" s="190"/>
      <c r="AM731" s="191"/>
    </row>
    <row r="732" spans="5:39">
      <c r="E732" s="21"/>
      <c r="Q732" s="191"/>
      <c r="R732" s="191"/>
      <c r="S732" s="191"/>
      <c r="T732" s="127"/>
      <c r="U732" s="127"/>
      <c r="V732" s="191"/>
      <c r="W732" s="190"/>
      <c r="X732" s="191"/>
      <c r="Y732" s="191"/>
      <c r="Z732" s="191"/>
      <c r="AA732" s="191"/>
      <c r="AB732" s="191"/>
      <c r="AC732" s="191"/>
      <c r="AD732" s="191"/>
      <c r="AE732" s="191"/>
      <c r="AF732" s="191"/>
      <c r="AG732" s="191"/>
      <c r="AH732" s="191"/>
      <c r="AI732" s="127"/>
      <c r="AJ732" s="191"/>
      <c r="AK732" s="191"/>
      <c r="AL732" s="190"/>
      <c r="AM732" s="191"/>
    </row>
    <row r="733" spans="5:39">
      <c r="E733" s="21"/>
      <c r="Q733" s="191"/>
      <c r="R733" s="191"/>
      <c r="S733" s="191"/>
      <c r="T733" s="127"/>
      <c r="U733" s="127"/>
      <c r="V733" s="191"/>
      <c r="W733" s="190"/>
      <c r="X733" s="191"/>
      <c r="Y733" s="191"/>
      <c r="Z733" s="191"/>
      <c r="AA733" s="191"/>
      <c r="AB733" s="191"/>
      <c r="AC733" s="191"/>
      <c r="AD733" s="191"/>
      <c r="AE733" s="191"/>
      <c r="AF733" s="191"/>
      <c r="AG733" s="191"/>
      <c r="AH733" s="191"/>
      <c r="AI733" s="127"/>
      <c r="AJ733" s="191"/>
      <c r="AK733" s="191"/>
      <c r="AL733" s="190"/>
      <c r="AM733" s="191"/>
    </row>
    <row r="734" spans="5:39">
      <c r="E734" s="21"/>
      <c r="Q734" s="191"/>
      <c r="R734" s="191"/>
      <c r="S734" s="191"/>
      <c r="T734" s="127"/>
      <c r="U734" s="127"/>
      <c r="V734" s="191"/>
      <c r="W734" s="190"/>
      <c r="X734" s="191"/>
      <c r="Y734" s="191"/>
      <c r="Z734" s="191"/>
      <c r="AA734" s="191"/>
      <c r="AB734" s="191"/>
      <c r="AC734" s="191"/>
      <c r="AD734" s="191"/>
      <c r="AE734" s="191"/>
      <c r="AF734" s="191"/>
      <c r="AG734" s="191"/>
      <c r="AH734" s="191"/>
      <c r="AI734" s="127"/>
      <c r="AJ734" s="191"/>
      <c r="AK734" s="191"/>
      <c r="AL734" s="190"/>
      <c r="AM734" s="191"/>
    </row>
    <row r="735" spans="5:39">
      <c r="E735" s="21"/>
      <c r="Q735" s="191"/>
      <c r="R735" s="191"/>
      <c r="S735" s="191"/>
      <c r="T735" s="127"/>
      <c r="U735" s="127"/>
      <c r="V735" s="191"/>
      <c r="W735" s="190"/>
      <c r="X735" s="191"/>
      <c r="Y735" s="191"/>
      <c r="Z735" s="191"/>
      <c r="AA735" s="191"/>
      <c r="AB735" s="191"/>
      <c r="AC735" s="191"/>
      <c r="AD735" s="191"/>
      <c r="AE735" s="191"/>
      <c r="AF735" s="191"/>
      <c r="AG735" s="191"/>
      <c r="AH735" s="191"/>
      <c r="AI735" s="127"/>
      <c r="AJ735" s="191"/>
      <c r="AK735" s="191"/>
      <c r="AL735" s="190"/>
      <c r="AM735" s="191"/>
    </row>
    <row r="736" spans="5:39">
      <c r="E736" s="21"/>
      <c r="Q736" s="191"/>
      <c r="R736" s="191"/>
      <c r="S736" s="191"/>
      <c r="T736" s="127"/>
      <c r="U736" s="127"/>
      <c r="V736" s="191"/>
      <c r="W736" s="190"/>
      <c r="X736" s="191"/>
      <c r="Y736" s="191"/>
      <c r="Z736" s="191"/>
      <c r="AA736" s="191"/>
      <c r="AB736" s="191"/>
      <c r="AC736" s="191"/>
      <c r="AD736" s="191"/>
      <c r="AE736" s="191"/>
      <c r="AF736" s="191"/>
      <c r="AG736" s="191"/>
      <c r="AH736" s="191"/>
      <c r="AI736" s="127"/>
      <c r="AJ736" s="191"/>
      <c r="AK736" s="191"/>
      <c r="AL736" s="190"/>
      <c r="AM736" s="191"/>
    </row>
    <row r="737" spans="5:39">
      <c r="E737" s="21"/>
      <c r="Q737" s="191"/>
      <c r="R737" s="191"/>
      <c r="S737" s="191"/>
      <c r="T737" s="127"/>
      <c r="U737" s="127"/>
      <c r="V737" s="191"/>
      <c r="W737" s="190"/>
      <c r="X737" s="191"/>
      <c r="Y737" s="191"/>
      <c r="Z737" s="191"/>
      <c r="AA737" s="191"/>
      <c r="AB737" s="191"/>
      <c r="AC737" s="191"/>
      <c r="AD737" s="191"/>
      <c r="AE737" s="191"/>
      <c r="AF737" s="191"/>
      <c r="AG737" s="191"/>
      <c r="AH737" s="191"/>
      <c r="AI737" s="127"/>
      <c r="AJ737" s="191"/>
      <c r="AK737" s="191"/>
      <c r="AL737" s="190"/>
      <c r="AM737" s="191"/>
    </row>
    <row r="738" spans="5:39">
      <c r="E738" s="21"/>
      <c r="Q738" s="191"/>
      <c r="R738" s="191"/>
      <c r="S738" s="191"/>
      <c r="T738" s="127"/>
      <c r="U738" s="127"/>
      <c r="V738" s="191"/>
      <c r="W738" s="190"/>
      <c r="X738" s="191"/>
      <c r="Y738" s="191"/>
      <c r="Z738" s="191"/>
      <c r="AA738" s="191"/>
      <c r="AB738" s="191"/>
      <c r="AC738" s="191"/>
      <c r="AD738" s="191"/>
      <c r="AE738" s="191"/>
      <c r="AF738" s="191"/>
      <c r="AG738" s="191"/>
      <c r="AH738" s="191"/>
      <c r="AI738" s="127"/>
      <c r="AJ738" s="191"/>
      <c r="AK738" s="191"/>
      <c r="AL738" s="190"/>
      <c r="AM738" s="191"/>
    </row>
    <row r="739" spans="5:39">
      <c r="E739" s="21"/>
      <c r="Q739" s="191"/>
      <c r="R739" s="191"/>
      <c r="S739" s="191"/>
      <c r="T739" s="127"/>
      <c r="U739" s="127"/>
      <c r="V739" s="191"/>
      <c r="W739" s="190"/>
      <c r="X739" s="191"/>
      <c r="Y739" s="191"/>
      <c r="Z739" s="191"/>
      <c r="AA739" s="191"/>
      <c r="AB739" s="191"/>
      <c r="AC739" s="191"/>
      <c r="AD739" s="191"/>
      <c r="AE739" s="191"/>
      <c r="AF739" s="191"/>
      <c r="AG739" s="191"/>
      <c r="AH739" s="191"/>
      <c r="AI739" s="127"/>
      <c r="AJ739" s="191"/>
      <c r="AK739" s="191"/>
      <c r="AL739" s="190"/>
      <c r="AM739" s="191"/>
    </row>
    <row r="740" spans="5:39">
      <c r="E740" s="21"/>
      <c r="Q740" s="191"/>
      <c r="R740" s="191"/>
      <c r="S740" s="191"/>
      <c r="T740" s="127"/>
      <c r="U740" s="127"/>
      <c r="V740" s="191"/>
      <c r="W740" s="190"/>
      <c r="X740" s="191"/>
      <c r="Y740" s="191"/>
      <c r="Z740" s="191"/>
      <c r="AA740" s="191"/>
      <c r="AB740" s="191"/>
      <c r="AC740" s="191"/>
      <c r="AD740" s="191"/>
      <c r="AE740" s="191"/>
      <c r="AF740" s="191"/>
      <c r="AG740" s="191"/>
      <c r="AH740" s="191"/>
      <c r="AI740" s="127"/>
      <c r="AJ740" s="191"/>
      <c r="AK740" s="191"/>
      <c r="AL740" s="190"/>
      <c r="AM740" s="191"/>
    </row>
    <row r="741" spans="5:39">
      <c r="E741" s="21"/>
      <c r="Q741" s="191"/>
      <c r="R741" s="191"/>
      <c r="S741" s="191"/>
      <c r="T741" s="127"/>
      <c r="U741" s="127"/>
      <c r="V741" s="191"/>
      <c r="W741" s="190"/>
      <c r="X741" s="191"/>
      <c r="Y741" s="191"/>
      <c r="Z741" s="191"/>
      <c r="AA741" s="191"/>
      <c r="AB741" s="191"/>
      <c r="AC741" s="191"/>
      <c r="AD741" s="191"/>
      <c r="AE741" s="191"/>
      <c r="AF741" s="191"/>
      <c r="AG741" s="191"/>
      <c r="AH741" s="191"/>
      <c r="AI741" s="127"/>
      <c r="AJ741" s="191"/>
      <c r="AK741" s="191"/>
      <c r="AL741" s="190"/>
      <c r="AM741" s="191"/>
    </row>
    <row r="742" spans="5:39">
      <c r="E742" s="21"/>
      <c r="Q742" s="191"/>
      <c r="R742" s="191"/>
      <c r="S742" s="191"/>
      <c r="T742" s="127"/>
      <c r="U742" s="127"/>
      <c r="V742" s="191"/>
      <c r="W742" s="190"/>
      <c r="X742" s="191"/>
      <c r="Y742" s="191"/>
      <c r="Z742" s="191"/>
      <c r="AA742" s="191"/>
      <c r="AB742" s="191"/>
      <c r="AC742" s="191"/>
      <c r="AD742" s="191"/>
      <c r="AE742" s="191"/>
      <c r="AF742" s="191"/>
      <c r="AG742" s="191"/>
      <c r="AH742" s="191"/>
      <c r="AI742" s="127"/>
      <c r="AJ742" s="191"/>
      <c r="AK742" s="191"/>
      <c r="AL742" s="190"/>
      <c r="AM742" s="191"/>
    </row>
    <row r="743" spans="5:39">
      <c r="E743" s="21"/>
      <c r="Q743" s="191"/>
      <c r="R743" s="191"/>
      <c r="S743" s="191"/>
      <c r="T743" s="127"/>
      <c r="U743" s="127"/>
      <c r="V743" s="191"/>
      <c r="W743" s="190"/>
      <c r="X743" s="191"/>
      <c r="Y743" s="191"/>
      <c r="Z743" s="191"/>
      <c r="AA743" s="191"/>
      <c r="AB743" s="191"/>
      <c r="AC743" s="191"/>
      <c r="AD743" s="191"/>
      <c r="AE743" s="191"/>
      <c r="AF743" s="191"/>
      <c r="AG743" s="191"/>
      <c r="AH743" s="191"/>
      <c r="AI743" s="127"/>
      <c r="AJ743" s="191"/>
      <c r="AK743" s="191"/>
      <c r="AL743" s="190"/>
      <c r="AM743" s="191"/>
    </row>
    <row r="744" spans="5:39">
      <c r="E744" s="21"/>
      <c r="Q744" s="191"/>
      <c r="R744" s="191"/>
      <c r="S744" s="191"/>
      <c r="T744" s="127"/>
      <c r="U744" s="127"/>
      <c r="V744" s="191"/>
      <c r="W744" s="190"/>
      <c r="X744" s="191"/>
      <c r="Y744" s="191"/>
      <c r="Z744" s="191"/>
      <c r="AA744" s="191"/>
      <c r="AB744" s="191"/>
      <c r="AC744" s="191"/>
      <c r="AD744" s="191"/>
      <c r="AE744" s="191"/>
      <c r="AF744" s="191"/>
      <c r="AG744" s="191"/>
      <c r="AH744" s="191"/>
      <c r="AI744" s="127"/>
      <c r="AJ744" s="191"/>
      <c r="AK744" s="191"/>
      <c r="AL744" s="190"/>
      <c r="AM744" s="191"/>
    </row>
    <row r="745" spans="5:39">
      <c r="E745" s="21"/>
      <c r="Q745" s="191"/>
      <c r="R745" s="191"/>
      <c r="S745" s="191"/>
      <c r="T745" s="127"/>
      <c r="U745" s="127"/>
      <c r="V745" s="191"/>
      <c r="W745" s="190"/>
      <c r="X745" s="191"/>
      <c r="Y745" s="191"/>
      <c r="Z745" s="191"/>
      <c r="AA745" s="191"/>
      <c r="AB745" s="191"/>
      <c r="AC745" s="191"/>
      <c r="AD745" s="191"/>
      <c r="AE745" s="191"/>
      <c r="AF745" s="191"/>
      <c r="AG745" s="191"/>
      <c r="AH745" s="191"/>
      <c r="AI745" s="127"/>
      <c r="AJ745" s="191"/>
      <c r="AK745" s="191"/>
      <c r="AL745" s="190"/>
      <c r="AM745" s="191"/>
    </row>
    <row r="746" spans="5:39">
      <c r="E746" s="21"/>
      <c r="Q746" s="191"/>
      <c r="R746" s="191"/>
      <c r="S746" s="191"/>
      <c r="T746" s="127"/>
      <c r="U746" s="127"/>
      <c r="V746" s="191"/>
      <c r="W746" s="190"/>
      <c r="X746" s="191"/>
      <c r="Y746" s="191"/>
      <c r="Z746" s="191"/>
      <c r="AA746" s="191"/>
      <c r="AB746" s="191"/>
      <c r="AC746" s="191"/>
      <c r="AD746" s="191"/>
      <c r="AE746" s="191"/>
      <c r="AF746" s="191"/>
      <c r="AG746" s="191"/>
      <c r="AH746" s="191"/>
      <c r="AI746" s="127"/>
      <c r="AJ746" s="191"/>
      <c r="AK746" s="191"/>
      <c r="AL746" s="190"/>
      <c r="AM746" s="191"/>
    </row>
    <row r="747" spans="5:39">
      <c r="E747" s="21"/>
      <c r="Q747" s="191"/>
      <c r="R747" s="191"/>
      <c r="S747" s="191"/>
      <c r="T747" s="127"/>
      <c r="U747" s="127"/>
      <c r="V747" s="191"/>
      <c r="W747" s="190"/>
      <c r="X747" s="191"/>
      <c r="Y747" s="191"/>
      <c r="Z747" s="191"/>
      <c r="AA747" s="191"/>
      <c r="AB747" s="191"/>
      <c r="AC747" s="191"/>
      <c r="AD747" s="191"/>
      <c r="AE747" s="191"/>
      <c r="AF747" s="191"/>
      <c r="AG747" s="191"/>
      <c r="AH747" s="191"/>
      <c r="AI747" s="127"/>
      <c r="AJ747" s="191"/>
      <c r="AK747" s="191"/>
      <c r="AL747" s="190"/>
      <c r="AM747" s="191"/>
    </row>
    <row r="748" spans="5:39">
      <c r="E748" s="21"/>
      <c r="Q748" s="191"/>
      <c r="R748" s="191"/>
      <c r="S748" s="191"/>
      <c r="T748" s="127"/>
      <c r="U748" s="127"/>
      <c r="V748" s="191"/>
      <c r="W748" s="190"/>
      <c r="X748" s="191"/>
      <c r="Y748" s="191"/>
      <c r="Z748" s="191"/>
      <c r="AA748" s="191"/>
      <c r="AB748" s="191"/>
      <c r="AC748" s="191"/>
      <c r="AD748" s="191"/>
      <c r="AE748" s="191"/>
      <c r="AF748" s="191"/>
      <c r="AG748" s="191"/>
      <c r="AH748" s="191"/>
      <c r="AI748" s="127"/>
      <c r="AJ748" s="191"/>
      <c r="AK748" s="191"/>
      <c r="AL748" s="190"/>
      <c r="AM748" s="191"/>
    </row>
    <row r="749" spans="5:39">
      <c r="E749" s="21"/>
      <c r="Q749" s="191"/>
      <c r="R749" s="191"/>
      <c r="S749" s="191"/>
      <c r="T749" s="127"/>
      <c r="U749" s="127"/>
      <c r="V749" s="191"/>
      <c r="W749" s="190"/>
      <c r="X749" s="191"/>
      <c r="Y749" s="191"/>
      <c r="Z749" s="191"/>
      <c r="AA749" s="191"/>
      <c r="AB749" s="191"/>
      <c r="AC749" s="191"/>
      <c r="AD749" s="191"/>
      <c r="AE749" s="191"/>
      <c r="AF749" s="191"/>
      <c r="AG749" s="191"/>
      <c r="AH749" s="191"/>
      <c r="AI749" s="127"/>
      <c r="AJ749" s="191"/>
      <c r="AK749" s="191"/>
      <c r="AL749" s="190"/>
      <c r="AM749" s="191"/>
    </row>
    <row r="750" spans="5:39">
      <c r="E750" s="21"/>
      <c r="Q750" s="191"/>
      <c r="R750" s="191"/>
      <c r="S750" s="191"/>
      <c r="T750" s="127"/>
      <c r="U750" s="127"/>
      <c r="V750" s="191"/>
      <c r="W750" s="190"/>
      <c r="X750" s="191"/>
      <c r="Y750" s="191"/>
      <c r="Z750" s="191"/>
      <c r="AA750" s="191"/>
      <c r="AB750" s="191"/>
      <c r="AC750" s="191"/>
      <c r="AD750" s="191"/>
      <c r="AE750" s="191"/>
      <c r="AF750" s="191"/>
      <c r="AG750" s="191"/>
      <c r="AH750" s="191"/>
      <c r="AI750" s="127"/>
      <c r="AJ750" s="191"/>
      <c r="AK750" s="191"/>
      <c r="AL750" s="190"/>
      <c r="AM750" s="191"/>
    </row>
    <row r="751" spans="5:39">
      <c r="E751" s="21"/>
      <c r="Q751" s="191"/>
      <c r="R751" s="191"/>
      <c r="S751" s="191"/>
      <c r="T751" s="127"/>
      <c r="U751" s="127"/>
      <c r="V751" s="191"/>
      <c r="W751" s="190"/>
      <c r="X751" s="191"/>
      <c r="Y751" s="191"/>
      <c r="Z751" s="191"/>
      <c r="AA751" s="191"/>
      <c r="AB751" s="191"/>
      <c r="AC751" s="191"/>
      <c r="AD751" s="191"/>
      <c r="AE751" s="191"/>
      <c r="AF751" s="191"/>
      <c r="AG751" s="191"/>
      <c r="AH751" s="191"/>
      <c r="AI751" s="127"/>
      <c r="AJ751" s="191"/>
      <c r="AK751" s="191"/>
      <c r="AL751" s="190"/>
      <c r="AM751" s="191"/>
    </row>
    <row r="752" spans="5:39">
      <c r="E752" s="21"/>
      <c r="Q752" s="191"/>
      <c r="R752" s="191"/>
      <c r="S752" s="191"/>
      <c r="T752" s="127"/>
      <c r="U752" s="127"/>
      <c r="V752" s="191"/>
      <c r="W752" s="190"/>
      <c r="X752" s="191"/>
      <c r="Y752" s="191"/>
      <c r="Z752" s="191"/>
      <c r="AA752" s="191"/>
      <c r="AB752" s="191"/>
      <c r="AC752" s="191"/>
      <c r="AD752" s="191"/>
      <c r="AE752" s="191"/>
      <c r="AF752" s="191"/>
      <c r="AG752" s="191"/>
      <c r="AH752" s="191"/>
      <c r="AI752" s="127"/>
      <c r="AJ752" s="191"/>
      <c r="AK752" s="191"/>
      <c r="AL752" s="190"/>
      <c r="AM752" s="191"/>
    </row>
    <row r="753" spans="5:39">
      <c r="E753" s="21"/>
      <c r="Q753" s="191"/>
      <c r="R753" s="191"/>
      <c r="S753" s="191"/>
      <c r="T753" s="127"/>
      <c r="U753" s="127"/>
      <c r="V753" s="191"/>
      <c r="W753" s="190"/>
      <c r="X753" s="191"/>
      <c r="Y753" s="191"/>
      <c r="Z753" s="191"/>
      <c r="AA753" s="191"/>
      <c r="AB753" s="191"/>
      <c r="AC753" s="191"/>
      <c r="AD753" s="191"/>
      <c r="AE753" s="191"/>
      <c r="AF753" s="191"/>
      <c r="AG753" s="191"/>
      <c r="AH753" s="191"/>
      <c r="AI753" s="127"/>
      <c r="AJ753" s="191"/>
      <c r="AK753" s="191"/>
      <c r="AL753" s="190"/>
      <c r="AM753" s="191"/>
    </row>
    <row r="754" spans="5:39">
      <c r="E754" s="21"/>
      <c r="Q754" s="191"/>
      <c r="R754" s="191"/>
      <c r="S754" s="191"/>
      <c r="T754" s="127"/>
      <c r="U754" s="127"/>
      <c r="V754" s="191"/>
      <c r="W754" s="190"/>
      <c r="X754" s="191"/>
      <c r="Y754" s="191"/>
      <c r="Z754" s="191"/>
      <c r="AA754" s="191"/>
      <c r="AB754" s="191"/>
      <c r="AC754" s="191"/>
      <c r="AD754" s="191"/>
      <c r="AE754" s="191"/>
      <c r="AF754" s="191"/>
      <c r="AG754" s="191"/>
      <c r="AH754" s="191"/>
      <c r="AI754" s="127"/>
      <c r="AJ754" s="191"/>
      <c r="AK754" s="191"/>
      <c r="AL754" s="190"/>
      <c r="AM754" s="191"/>
    </row>
    <row r="755" spans="5:39">
      <c r="E755" s="21"/>
      <c r="Q755" s="191"/>
      <c r="R755" s="191"/>
      <c r="S755" s="191"/>
      <c r="T755" s="127"/>
      <c r="U755" s="127"/>
      <c r="V755" s="191"/>
      <c r="W755" s="190"/>
      <c r="X755" s="191"/>
      <c r="Y755" s="191"/>
      <c r="Z755" s="191"/>
      <c r="AA755" s="191"/>
      <c r="AB755" s="191"/>
      <c r="AC755" s="191"/>
      <c r="AD755" s="191"/>
      <c r="AE755" s="191"/>
      <c r="AF755" s="191"/>
      <c r="AG755" s="191"/>
      <c r="AH755" s="191"/>
      <c r="AI755" s="127"/>
      <c r="AJ755" s="191"/>
      <c r="AK755" s="191"/>
      <c r="AL755" s="190"/>
      <c r="AM755" s="191"/>
    </row>
    <row r="756" spans="5:39">
      <c r="E756" s="21"/>
      <c r="Q756" s="191"/>
      <c r="R756" s="191"/>
      <c r="S756" s="191"/>
      <c r="T756" s="127"/>
      <c r="U756" s="127"/>
      <c r="V756" s="191"/>
      <c r="W756" s="190"/>
      <c r="X756" s="191"/>
      <c r="Y756" s="191"/>
      <c r="Z756" s="191"/>
      <c r="AA756" s="191"/>
      <c r="AB756" s="191"/>
      <c r="AC756" s="191"/>
      <c r="AD756" s="191"/>
      <c r="AE756" s="191"/>
      <c r="AF756" s="191"/>
      <c r="AG756" s="191"/>
      <c r="AH756" s="191"/>
      <c r="AI756" s="127"/>
      <c r="AJ756" s="191"/>
      <c r="AK756" s="191"/>
      <c r="AL756" s="190"/>
      <c r="AM756" s="191"/>
    </row>
    <row r="757" spans="5:39">
      <c r="E757" s="21"/>
      <c r="Q757" s="191"/>
      <c r="R757" s="191"/>
      <c r="S757" s="191"/>
      <c r="T757" s="127"/>
      <c r="U757" s="127"/>
      <c r="V757" s="191"/>
      <c r="W757" s="190"/>
      <c r="X757" s="191"/>
      <c r="Y757" s="191"/>
      <c r="Z757" s="191"/>
      <c r="AA757" s="191"/>
      <c r="AB757" s="191"/>
      <c r="AC757" s="191"/>
      <c r="AD757" s="191"/>
      <c r="AE757" s="191"/>
      <c r="AF757" s="191"/>
      <c r="AG757" s="191"/>
      <c r="AH757" s="191"/>
      <c r="AI757" s="127"/>
      <c r="AJ757" s="191"/>
      <c r="AK757" s="191"/>
      <c r="AL757" s="190"/>
      <c r="AM757" s="191"/>
    </row>
    <row r="758" spans="5:39">
      <c r="E758" s="21"/>
      <c r="Q758" s="191"/>
      <c r="R758" s="191"/>
      <c r="S758" s="191"/>
      <c r="T758" s="127"/>
      <c r="U758" s="127"/>
      <c r="V758" s="191"/>
      <c r="W758" s="190"/>
      <c r="X758" s="191"/>
      <c r="Y758" s="191"/>
      <c r="Z758" s="191"/>
      <c r="AA758" s="191"/>
      <c r="AB758" s="191"/>
      <c r="AC758" s="191"/>
      <c r="AD758" s="191"/>
      <c r="AE758" s="191"/>
      <c r="AF758" s="191"/>
      <c r="AG758" s="191"/>
      <c r="AH758" s="191"/>
      <c r="AI758" s="127"/>
      <c r="AJ758" s="191"/>
      <c r="AK758" s="191"/>
      <c r="AL758" s="190"/>
      <c r="AM758" s="191"/>
    </row>
    <row r="759" spans="5:39">
      <c r="E759" s="21"/>
      <c r="Q759" s="191"/>
      <c r="R759" s="191"/>
      <c r="S759" s="191"/>
      <c r="T759" s="127"/>
      <c r="U759" s="127"/>
      <c r="V759" s="191"/>
      <c r="W759" s="190"/>
      <c r="X759" s="191"/>
      <c r="Y759" s="191"/>
      <c r="Z759" s="191"/>
      <c r="AA759" s="191"/>
      <c r="AB759" s="191"/>
      <c r="AC759" s="191"/>
      <c r="AD759" s="191"/>
      <c r="AE759" s="191"/>
      <c r="AF759" s="191"/>
      <c r="AG759" s="191"/>
      <c r="AH759" s="191"/>
      <c r="AI759" s="127"/>
      <c r="AJ759" s="191"/>
      <c r="AK759" s="191"/>
      <c r="AL759" s="190"/>
      <c r="AM759" s="191"/>
    </row>
    <row r="760" spans="5:39">
      <c r="E760" s="21"/>
      <c r="Q760" s="191"/>
      <c r="R760" s="191"/>
      <c r="S760" s="191"/>
      <c r="T760" s="127"/>
      <c r="U760" s="127"/>
      <c r="V760" s="191"/>
      <c r="W760" s="190"/>
      <c r="X760" s="191"/>
      <c r="Y760" s="191"/>
      <c r="Z760" s="191"/>
      <c r="AA760" s="191"/>
      <c r="AB760" s="191"/>
      <c r="AC760" s="191"/>
      <c r="AD760" s="191"/>
      <c r="AE760" s="191"/>
      <c r="AF760" s="191"/>
      <c r="AG760" s="191"/>
      <c r="AH760" s="191"/>
      <c r="AI760" s="127"/>
      <c r="AJ760" s="191"/>
      <c r="AK760" s="191"/>
      <c r="AL760" s="190"/>
      <c r="AM760" s="191"/>
    </row>
    <row r="761" spans="5:39">
      <c r="E761" s="21"/>
      <c r="Q761" s="191"/>
      <c r="R761" s="191"/>
      <c r="S761" s="191"/>
      <c r="T761" s="127"/>
      <c r="U761" s="127"/>
      <c r="V761" s="191"/>
      <c r="W761" s="190"/>
      <c r="X761" s="191"/>
      <c r="Y761" s="191"/>
      <c r="Z761" s="191"/>
      <c r="AA761" s="191"/>
      <c r="AB761" s="191"/>
      <c r="AC761" s="191"/>
      <c r="AD761" s="191"/>
      <c r="AE761" s="191"/>
      <c r="AF761" s="191"/>
      <c r="AG761" s="191"/>
      <c r="AH761" s="191"/>
      <c r="AI761" s="127"/>
      <c r="AJ761" s="191"/>
      <c r="AK761" s="191"/>
      <c r="AL761" s="190"/>
      <c r="AM761" s="191"/>
    </row>
    <row r="762" spans="5:39">
      <c r="E762" s="21"/>
      <c r="Q762" s="191"/>
      <c r="R762" s="191"/>
      <c r="S762" s="191"/>
      <c r="T762" s="127"/>
      <c r="U762" s="127"/>
      <c r="V762" s="191"/>
      <c r="W762" s="190"/>
      <c r="X762" s="191"/>
      <c r="Y762" s="191"/>
      <c r="Z762" s="191"/>
      <c r="AA762" s="191"/>
      <c r="AB762" s="191"/>
      <c r="AC762" s="191"/>
      <c r="AD762" s="191"/>
      <c r="AE762" s="191"/>
      <c r="AF762" s="191"/>
      <c r="AG762" s="191"/>
      <c r="AH762" s="191"/>
      <c r="AI762" s="127"/>
      <c r="AJ762" s="191"/>
      <c r="AK762" s="191"/>
      <c r="AL762" s="190"/>
      <c r="AM762" s="191"/>
    </row>
    <row r="763" spans="5:39">
      <c r="E763" s="21"/>
      <c r="Q763" s="191"/>
      <c r="R763" s="191"/>
      <c r="S763" s="191"/>
      <c r="T763" s="127"/>
      <c r="U763" s="127"/>
      <c r="V763" s="191"/>
      <c r="W763" s="190"/>
      <c r="X763" s="191"/>
      <c r="Y763" s="191"/>
      <c r="Z763" s="191"/>
      <c r="AA763" s="191"/>
      <c r="AB763" s="191"/>
      <c r="AC763" s="191"/>
      <c r="AD763" s="191"/>
      <c r="AE763" s="191"/>
      <c r="AF763" s="191"/>
      <c r="AG763" s="191"/>
      <c r="AH763" s="191"/>
      <c r="AI763" s="127"/>
      <c r="AJ763" s="191"/>
      <c r="AK763" s="191"/>
      <c r="AL763" s="190"/>
      <c r="AM763" s="191"/>
    </row>
    <row r="764" spans="5:39">
      <c r="E764" s="21"/>
      <c r="Q764" s="191"/>
      <c r="R764" s="191"/>
      <c r="S764" s="191"/>
      <c r="T764" s="127"/>
      <c r="U764" s="127"/>
      <c r="V764" s="191"/>
      <c r="W764" s="190"/>
      <c r="X764" s="191"/>
      <c r="Y764" s="191"/>
      <c r="Z764" s="191"/>
      <c r="AA764" s="191"/>
      <c r="AB764" s="191"/>
      <c r="AC764" s="191"/>
      <c r="AD764" s="191"/>
      <c r="AE764" s="191"/>
      <c r="AF764" s="191"/>
      <c r="AG764" s="191"/>
      <c r="AH764" s="191"/>
      <c r="AI764" s="127"/>
      <c r="AJ764" s="191"/>
      <c r="AK764" s="191"/>
      <c r="AL764" s="190"/>
      <c r="AM764" s="191"/>
    </row>
    <row r="765" spans="5:39">
      <c r="E765" s="21"/>
      <c r="Q765" s="191"/>
      <c r="R765" s="191"/>
      <c r="S765" s="191"/>
      <c r="T765" s="127"/>
      <c r="U765" s="127"/>
      <c r="V765" s="191"/>
      <c r="W765" s="190"/>
      <c r="X765" s="191"/>
      <c r="Y765" s="191"/>
      <c r="Z765" s="191"/>
      <c r="AA765" s="191"/>
      <c r="AB765" s="191"/>
      <c r="AC765" s="191"/>
      <c r="AD765" s="191"/>
      <c r="AE765" s="191"/>
      <c r="AF765" s="191"/>
      <c r="AG765" s="191"/>
      <c r="AH765" s="191"/>
      <c r="AI765" s="127"/>
      <c r="AJ765" s="191"/>
      <c r="AK765" s="191"/>
      <c r="AL765" s="190"/>
      <c r="AM765" s="191"/>
    </row>
    <row r="766" spans="5:39">
      <c r="E766" s="21"/>
      <c r="Q766" s="191"/>
      <c r="R766" s="191"/>
      <c r="S766" s="191"/>
      <c r="T766" s="127"/>
      <c r="U766" s="127"/>
      <c r="V766" s="191"/>
      <c r="W766" s="190"/>
      <c r="X766" s="191"/>
      <c r="Y766" s="191"/>
      <c r="Z766" s="191"/>
      <c r="AA766" s="191"/>
      <c r="AB766" s="191"/>
      <c r="AC766" s="191"/>
      <c r="AD766" s="191"/>
      <c r="AE766" s="191"/>
      <c r="AF766" s="191"/>
      <c r="AG766" s="191"/>
      <c r="AH766" s="191"/>
      <c r="AI766" s="127"/>
      <c r="AJ766" s="191"/>
      <c r="AK766" s="191"/>
      <c r="AL766" s="190"/>
      <c r="AM766" s="191"/>
    </row>
    <row r="767" spans="5:39">
      <c r="E767" s="21"/>
      <c r="Q767" s="191"/>
      <c r="R767" s="191"/>
      <c r="S767" s="191"/>
      <c r="T767" s="127"/>
      <c r="U767" s="127"/>
      <c r="V767" s="191"/>
      <c r="W767" s="190"/>
      <c r="X767" s="191"/>
      <c r="Y767" s="191"/>
      <c r="Z767" s="191"/>
      <c r="AA767" s="191"/>
      <c r="AB767" s="191"/>
      <c r="AC767" s="191"/>
      <c r="AD767" s="191"/>
      <c r="AE767" s="191"/>
      <c r="AF767" s="191"/>
      <c r="AG767" s="191"/>
      <c r="AH767" s="191"/>
      <c r="AI767" s="127"/>
      <c r="AJ767" s="191"/>
      <c r="AK767" s="191"/>
      <c r="AL767" s="190"/>
      <c r="AM767" s="191"/>
    </row>
    <row r="768" spans="5:39">
      <c r="E768" s="21"/>
      <c r="Q768" s="191"/>
      <c r="R768" s="191"/>
      <c r="S768" s="191"/>
      <c r="T768" s="127"/>
      <c r="U768" s="127"/>
      <c r="V768" s="191"/>
      <c r="W768" s="190"/>
      <c r="X768" s="191"/>
      <c r="Y768" s="191"/>
      <c r="Z768" s="191"/>
      <c r="AA768" s="191"/>
      <c r="AB768" s="191"/>
      <c r="AC768" s="191"/>
      <c r="AD768" s="191"/>
      <c r="AE768" s="191"/>
      <c r="AF768" s="191"/>
      <c r="AG768" s="191"/>
      <c r="AH768" s="191"/>
      <c r="AI768" s="127"/>
      <c r="AJ768" s="191"/>
      <c r="AK768" s="191"/>
      <c r="AL768" s="190"/>
      <c r="AM768" s="191"/>
    </row>
    <row r="769" spans="5:39">
      <c r="E769" s="21"/>
      <c r="Q769" s="191"/>
      <c r="R769" s="191"/>
      <c r="S769" s="191"/>
      <c r="T769" s="127"/>
      <c r="U769" s="127"/>
      <c r="V769" s="191"/>
      <c r="W769" s="190"/>
      <c r="X769" s="191"/>
      <c r="Y769" s="191"/>
      <c r="Z769" s="191"/>
      <c r="AA769" s="191"/>
      <c r="AB769" s="191"/>
      <c r="AC769" s="191"/>
      <c r="AD769" s="191"/>
      <c r="AE769" s="191"/>
      <c r="AF769" s="191"/>
      <c r="AG769" s="191"/>
      <c r="AH769" s="191"/>
      <c r="AI769" s="127"/>
      <c r="AJ769" s="191"/>
      <c r="AK769" s="191"/>
      <c r="AL769" s="190"/>
      <c r="AM769" s="191"/>
    </row>
    <row r="770" spans="5:39">
      <c r="E770" s="21"/>
      <c r="Q770" s="191"/>
      <c r="R770" s="191"/>
      <c r="S770" s="191"/>
      <c r="T770" s="127"/>
      <c r="U770" s="127"/>
      <c r="V770" s="191"/>
      <c r="W770" s="190"/>
      <c r="X770" s="191"/>
      <c r="Y770" s="191"/>
      <c r="Z770" s="191"/>
      <c r="AA770" s="191"/>
      <c r="AB770" s="191"/>
      <c r="AC770" s="191"/>
      <c r="AD770" s="191"/>
      <c r="AE770" s="191"/>
      <c r="AF770" s="191"/>
      <c r="AG770" s="191"/>
      <c r="AH770" s="191"/>
      <c r="AI770" s="127"/>
      <c r="AJ770" s="191"/>
      <c r="AK770" s="191"/>
      <c r="AL770" s="190"/>
      <c r="AM770" s="191"/>
    </row>
    <row r="771" spans="5:39">
      <c r="E771" s="21"/>
      <c r="Q771" s="191"/>
      <c r="R771" s="191"/>
      <c r="S771" s="191"/>
      <c r="T771" s="127"/>
      <c r="U771" s="127"/>
      <c r="V771" s="191"/>
      <c r="W771" s="190"/>
      <c r="X771" s="191"/>
      <c r="Y771" s="191"/>
      <c r="Z771" s="191"/>
      <c r="AA771" s="191"/>
      <c r="AB771" s="191"/>
      <c r="AC771" s="191"/>
      <c r="AD771" s="191"/>
      <c r="AE771" s="191"/>
      <c r="AF771" s="191"/>
      <c r="AG771" s="191"/>
      <c r="AH771" s="191"/>
      <c r="AI771" s="127"/>
      <c r="AJ771" s="191"/>
      <c r="AK771" s="191"/>
      <c r="AL771" s="190"/>
      <c r="AM771" s="191"/>
    </row>
    <row r="772" spans="5:39">
      <c r="E772" s="21"/>
      <c r="Q772" s="191"/>
      <c r="R772" s="191"/>
      <c r="S772" s="191"/>
      <c r="T772" s="127"/>
      <c r="U772" s="127"/>
      <c r="V772" s="191"/>
      <c r="W772" s="190"/>
      <c r="X772" s="191"/>
      <c r="Y772" s="191"/>
      <c r="Z772" s="191"/>
      <c r="AA772" s="191"/>
      <c r="AB772" s="191"/>
      <c r="AC772" s="191"/>
      <c r="AD772" s="191"/>
      <c r="AE772" s="191"/>
      <c r="AF772" s="191"/>
      <c r="AG772" s="191"/>
      <c r="AH772" s="191"/>
      <c r="AI772" s="127"/>
      <c r="AJ772" s="191"/>
      <c r="AK772" s="191"/>
      <c r="AL772" s="190"/>
      <c r="AM772" s="191"/>
    </row>
    <row r="773" spans="5:39">
      <c r="E773" s="21"/>
      <c r="Q773" s="191"/>
      <c r="R773" s="191"/>
      <c r="S773" s="191"/>
      <c r="T773" s="127"/>
      <c r="U773" s="127"/>
      <c r="V773" s="191"/>
      <c r="W773" s="190"/>
      <c r="X773" s="191"/>
      <c r="Y773" s="191"/>
      <c r="Z773" s="191"/>
      <c r="AA773" s="191"/>
      <c r="AB773" s="191"/>
      <c r="AC773" s="191"/>
      <c r="AD773" s="191"/>
      <c r="AE773" s="191"/>
      <c r="AF773" s="191"/>
      <c r="AG773" s="191"/>
      <c r="AH773" s="191"/>
      <c r="AI773" s="127"/>
      <c r="AJ773" s="191"/>
      <c r="AK773" s="191"/>
      <c r="AL773" s="190"/>
      <c r="AM773" s="191"/>
    </row>
    <row r="774" spans="5:39">
      <c r="E774" s="21"/>
      <c r="Q774" s="191"/>
      <c r="R774" s="191"/>
      <c r="S774" s="191"/>
      <c r="T774" s="127"/>
      <c r="U774" s="127"/>
      <c r="V774" s="191"/>
      <c r="W774" s="190"/>
      <c r="X774" s="191"/>
      <c r="Y774" s="191"/>
      <c r="Z774" s="191"/>
      <c r="AA774" s="191"/>
      <c r="AB774" s="191"/>
      <c r="AC774" s="191"/>
      <c r="AD774" s="191"/>
      <c r="AE774" s="191"/>
      <c r="AF774" s="191"/>
      <c r="AG774" s="191"/>
      <c r="AH774" s="191"/>
      <c r="AI774" s="127"/>
      <c r="AJ774" s="191"/>
      <c r="AK774" s="191"/>
      <c r="AL774" s="190"/>
      <c r="AM774" s="191"/>
    </row>
    <row r="775" spans="5:39">
      <c r="E775" s="21"/>
      <c r="Q775" s="191"/>
      <c r="R775" s="191"/>
      <c r="S775" s="191"/>
      <c r="T775" s="127"/>
      <c r="U775" s="127"/>
      <c r="V775" s="191"/>
      <c r="W775" s="190"/>
      <c r="X775" s="191"/>
      <c r="Y775" s="191"/>
      <c r="Z775" s="191"/>
      <c r="AA775" s="191"/>
      <c r="AB775" s="191"/>
      <c r="AC775" s="191"/>
      <c r="AD775" s="191"/>
      <c r="AE775" s="191"/>
      <c r="AF775" s="191"/>
      <c r="AG775" s="191"/>
      <c r="AH775" s="191"/>
      <c r="AI775" s="127"/>
      <c r="AJ775" s="191"/>
      <c r="AK775" s="191"/>
      <c r="AL775" s="190"/>
      <c r="AM775" s="191"/>
    </row>
    <row r="776" spans="5:39">
      <c r="E776" s="21"/>
      <c r="Q776" s="191"/>
      <c r="R776" s="191"/>
      <c r="S776" s="191"/>
      <c r="T776" s="127"/>
      <c r="U776" s="127"/>
      <c r="V776" s="191"/>
      <c r="W776" s="190"/>
      <c r="X776" s="191"/>
      <c r="Y776" s="191"/>
      <c r="Z776" s="191"/>
      <c r="AA776" s="191"/>
      <c r="AB776" s="191"/>
      <c r="AC776" s="191"/>
      <c r="AD776" s="191"/>
      <c r="AE776" s="191"/>
      <c r="AF776" s="191"/>
      <c r="AG776" s="191"/>
      <c r="AH776" s="191"/>
      <c r="AI776" s="127"/>
      <c r="AJ776" s="191"/>
      <c r="AK776" s="191"/>
      <c r="AL776" s="190"/>
      <c r="AM776" s="191"/>
    </row>
    <row r="777" spans="5:39">
      <c r="E777" s="21"/>
      <c r="Q777" s="191"/>
      <c r="R777" s="191"/>
      <c r="S777" s="191"/>
      <c r="T777" s="127"/>
      <c r="U777" s="127"/>
      <c r="V777" s="191"/>
      <c r="W777" s="190"/>
      <c r="X777" s="191"/>
      <c r="Y777" s="191"/>
      <c r="Z777" s="191"/>
      <c r="AA777" s="191"/>
      <c r="AB777" s="191"/>
      <c r="AC777" s="191"/>
      <c r="AD777" s="191"/>
      <c r="AE777" s="191"/>
      <c r="AF777" s="191"/>
      <c r="AG777" s="191"/>
      <c r="AH777" s="191"/>
      <c r="AI777" s="127"/>
      <c r="AJ777" s="191"/>
      <c r="AK777" s="191"/>
      <c r="AL777" s="190"/>
      <c r="AM777" s="191"/>
    </row>
    <row r="778" spans="5:39">
      <c r="E778" s="21"/>
      <c r="Q778" s="191"/>
      <c r="R778" s="191"/>
      <c r="S778" s="191"/>
      <c r="T778" s="127"/>
      <c r="U778" s="127"/>
      <c r="V778" s="191"/>
      <c r="W778" s="190"/>
      <c r="X778" s="191"/>
      <c r="Y778" s="191"/>
      <c r="Z778" s="191"/>
      <c r="AA778" s="191"/>
      <c r="AB778" s="191"/>
      <c r="AC778" s="191"/>
      <c r="AD778" s="191"/>
      <c r="AE778" s="191"/>
      <c r="AF778" s="191"/>
      <c r="AG778" s="191"/>
      <c r="AH778" s="191"/>
      <c r="AI778" s="127"/>
      <c r="AJ778" s="191"/>
      <c r="AK778" s="191"/>
      <c r="AL778" s="190"/>
      <c r="AM778" s="191"/>
    </row>
    <row r="779" spans="5:39">
      <c r="E779" s="21"/>
      <c r="Q779" s="191"/>
      <c r="R779" s="191"/>
      <c r="S779" s="191"/>
      <c r="T779" s="127"/>
      <c r="U779" s="127"/>
      <c r="V779" s="191"/>
      <c r="W779" s="190"/>
      <c r="X779" s="191"/>
      <c r="Y779" s="191"/>
      <c r="Z779" s="191"/>
      <c r="AA779" s="191"/>
      <c r="AB779" s="191"/>
      <c r="AC779" s="191"/>
      <c r="AD779" s="191"/>
      <c r="AE779" s="191"/>
      <c r="AF779" s="191"/>
      <c r="AG779" s="191"/>
      <c r="AH779" s="191"/>
      <c r="AI779" s="127"/>
      <c r="AJ779" s="191"/>
      <c r="AK779" s="191"/>
      <c r="AL779" s="190"/>
      <c r="AM779" s="191"/>
    </row>
    <row r="780" spans="5:39">
      <c r="E780" s="21"/>
      <c r="Q780" s="191"/>
      <c r="R780" s="191"/>
      <c r="S780" s="191"/>
      <c r="T780" s="127"/>
      <c r="U780" s="127"/>
      <c r="V780" s="191"/>
      <c r="W780" s="190"/>
      <c r="X780" s="191"/>
      <c r="Y780" s="191"/>
      <c r="Z780" s="191"/>
      <c r="AA780" s="191"/>
      <c r="AB780" s="191"/>
      <c r="AC780" s="191"/>
      <c r="AD780" s="191"/>
      <c r="AE780" s="191"/>
      <c r="AF780" s="191"/>
      <c r="AG780" s="191"/>
      <c r="AH780" s="191"/>
      <c r="AI780" s="127"/>
      <c r="AJ780" s="191"/>
      <c r="AK780" s="191"/>
      <c r="AL780" s="190"/>
      <c r="AM780" s="191"/>
    </row>
    <row r="781" spans="5:39">
      <c r="E781" s="21"/>
      <c r="Q781" s="191"/>
      <c r="R781" s="191"/>
      <c r="S781" s="191"/>
      <c r="T781" s="127"/>
      <c r="U781" s="127"/>
      <c r="V781" s="191"/>
      <c r="W781" s="190"/>
      <c r="X781" s="191"/>
      <c r="Y781" s="191"/>
      <c r="Z781" s="191"/>
      <c r="AA781" s="191"/>
      <c r="AB781" s="191"/>
      <c r="AC781" s="191"/>
      <c r="AD781" s="191"/>
      <c r="AE781" s="191"/>
      <c r="AF781" s="191"/>
      <c r="AG781" s="191"/>
      <c r="AH781" s="191"/>
      <c r="AI781" s="127"/>
      <c r="AJ781" s="191"/>
      <c r="AK781" s="191"/>
      <c r="AL781" s="190"/>
      <c r="AM781" s="191"/>
    </row>
    <row r="782" spans="5:39">
      <c r="E782" s="21"/>
      <c r="Q782" s="191"/>
      <c r="R782" s="191"/>
      <c r="S782" s="191"/>
      <c r="T782" s="127"/>
      <c r="U782" s="127"/>
      <c r="V782" s="191"/>
      <c r="W782" s="190"/>
      <c r="X782" s="191"/>
      <c r="Y782" s="191"/>
      <c r="Z782" s="191"/>
      <c r="AA782" s="191"/>
      <c r="AB782" s="191"/>
      <c r="AC782" s="191"/>
      <c r="AD782" s="191"/>
      <c r="AE782" s="191"/>
      <c r="AF782" s="191"/>
      <c r="AG782" s="191"/>
      <c r="AH782" s="191"/>
      <c r="AI782" s="127"/>
      <c r="AJ782" s="191"/>
      <c r="AK782" s="191"/>
      <c r="AL782" s="190"/>
      <c r="AM782" s="191"/>
    </row>
    <row r="783" spans="5:39">
      <c r="E783" s="21"/>
      <c r="Q783" s="191"/>
      <c r="R783" s="191"/>
      <c r="S783" s="191"/>
      <c r="T783" s="127"/>
      <c r="U783" s="127"/>
      <c r="V783" s="191"/>
      <c r="W783" s="190"/>
      <c r="X783" s="191"/>
      <c r="Y783" s="191"/>
      <c r="Z783" s="191"/>
      <c r="AA783" s="191"/>
      <c r="AB783" s="191"/>
      <c r="AC783" s="191"/>
      <c r="AD783" s="191"/>
      <c r="AE783" s="191"/>
      <c r="AF783" s="191"/>
      <c r="AG783" s="191"/>
      <c r="AH783" s="191"/>
      <c r="AI783" s="127"/>
      <c r="AJ783" s="191"/>
      <c r="AK783" s="191"/>
      <c r="AL783" s="190"/>
      <c r="AM783" s="191"/>
    </row>
    <row r="784" spans="5:39">
      <c r="E784" s="21"/>
      <c r="Q784" s="191"/>
      <c r="R784" s="191"/>
      <c r="S784" s="191"/>
      <c r="T784" s="127"/>
      <c r="U784" s="127"/>
      <c r="V784" s="191"/>
      <c r="W784" s="190"/>
      <c r="X784" s="191"/>
      <c r="Y784" s="191"/>
      <c r="Z784" s="191"/>
      <c r="AA784" s="191"/>
      <c r="AB784" s="191"/>
      <c r="AC784" s="191"/>
      <c r="AD784" s="191"/>
      <c r="AE784" s="191"/>
      <c r="AF784" s="191"/>
      <c r="AG784" s="191"/>
      <c r="AH784" s="191"/>
      <c r="AI784" s="127"/>
      <c r="AJ784" s="191"/>
      <c r="AK784" s="191"/>
      <c r="AL784" s="190"/>
      <c r="AM784" s="191"/>
    </row>
    <row r="785" spans="5:39">
      <c r="E785" s="21"/>
      <c r="Q785" s="191"/>
      <c r="R785" s="191"/>
      <c r="S785" s="191"/>
      <c r="T785" s="127"/>
      <c r="U785" s="127"/>
      <c r="V785" s="191"/>
      <c r="W785" s="190"/>
      <c r="X785" s="191"/>
      <c r="Y785" s="191"/>
      <c r="Z785" s="191"/>
      <c r="AA785" s="191"/>
      <c r="AB785" s="191"/>
      <c r="AC785" s="191"/>
      <c r="AD785" s="191"/>
      <c r="AE785" s="191"/>
      <c r="AF785" s="191"/>
      <c r="AG785" s="191"/>
      <c r="AH785" s="191"/>
      <c r="AI785" s="127"/>
      <c r="AJ785" s="191"/>
      <c r="AK785" s="191"/>
      <c r="AL785" s="190"/>
      <c r="AM785" s="191"/>
    </row>
    <row r="786" spans="5:39">
      <c r="E786" s="21"/>
      <c r="Q786" s="191"/>
      <c r="R786" s="191"/>
      <c r="S786" s="191"/>
      <c r="T786" s="127"/>
      <c r="U786" s="127"/>
      <c r="V786" s="191"/>
      <c r="W786" s="190"/>
      <c r="X786" s="191"/>
      <c r="Y786" s="191"/>
      <c r="Z786" s="191"/>
      <c r="AA786" s="191"/>
      <c r="AB786" s="191"/>
      <c r="AC786" s="191"/>
      <c r="AD786" s="191"/>
      <c r="AE786" s="191"/>
      <c r="AF786" s="191"/>
      <c r="AG786" s="191"/>
      <c r="AH786" s="191"/>
      <c r="AI786" s="127"/>
      <c r="AJ786" s="191"/>
      <c r="AK786" s="191"/>
      <c r="AL786" s="190"/>
      <c r="AM786" s="191"/>
    </row>
    <row r="787" spans="5:39">
      <c r="E787" s="21"/>
      <c r="Q787" s="191"/>
      <c r="R787" s="191"/>
      <c r="S787" s="191"/>
      <c r="T787" s="127"/>
      <c r="U787" s="127"/>
      <c r="V787" s="191"/>
      <c r="W787" s="190"/>
      <c r="X787" s="191"/>
      <c r="Y787" s="191"/>
      <c r="Z787" s="191"/>
      <c r="AA787" s="191"/>
      <c r="AB787" s="191"/>
      <c r="AC787" s="191"/>
      <c r="AD787" s="191"/>
      <c r="AE787" s="191"/>
      <c r="AF787" s="191"/>
      <c r="AG787" s="191"/>
      <c r="AH787" s="191"/>
      <c r="AI787" s="127"/>
      <c r="AJ787" s="191"/>
      <c r="AK787" s="191"/>
      <c r="AL787" s="190"/>
      <c r="AM787" s="191"/>
    </row>
    <row r="788" spans="5:39">
      <c r="E788" s="21"/>
      <c r="Q788" s="191"/>
      <c r="R788" s="191"/>
      <c r="S788" s="191"/>
      <c r="T788" s="127"/>
      <c r="U788" s="127"/>
      <c r="V788" s="191"/>
      <c r="W788" s="190"/>
      <c r="X788" s="191"/>
      <c r="Y788" s="191"/>
      <c r="Z788" s="191"/>
      <c r="AA788" s="191"/>
      <c r="AB788" s="191"/>
      <c r="AC788" s="191"/>
      <c r="AD788" s="191"/>
      <c r="AE788" s="191"/>
      <c r="AF788" s="191"/>
      <c r="AG788" s="191"/>
      <c r="AH788" s="191"/>
      <c r="AI788" s="127"/>
      <c r="AJ788" s="191"/>
      <c r="AK788" s="191"/>
      <c r="AL788" s="190"/>
      <c r="AM788" s="191"/>
    </row>
    <row r="789" spans="5:39">
      <c r="E789" s="21"/>
      <c r="Q789" s="191"/>
      <c r="R789" s="191"/>
      <c r="S789" s="191"/>
      <c r="T789" s="127"/>
      <c r="U789" s="127"/>
      <c r="V789" s="191"/>
      <c r="W789" s="190"/>
      <c r="X789" s="191"/>
      <c r="Y789" s="191"/>
      <c r="Z789" s="191"/>
      <c r="AA789" s="191"/>
      <c r="AB789" s="191"/>
      <c r="AC789" s="191"/>
      <c r="AD789" s="191"/>
      <c r="AE789" s="191"/>
      <c r="AF789" s="191"/>
      <c r="AG789" s="191"/>
      <c r="AH789" s="191"/>
      <c r="AI789" s="127"/>
      <c r="AJ789" s="191"/>
      <c r="AK789" s="191"/>
      <c r="AL789" s="190"/>
      <c r="AM789" s="191"/>
    </row>
    <row r="790" spans="5:39">
      <c r="E790" s="21"/>
      <c r="Q790" s="191"/>
      <c r="R790" s="191"/>
      <c r="S790" s="191"/>
      <c r="T790" s="127"/>
      <c r="U790" s="127"/>
      <c r="V790" s="191"/>
      <c r="W790" s="190"/>
      <c r="X790" s="191"/>
      <c r="Y790" s="191"/>
      <c r="Z790" s="191"/>
      <c r="AA790" s="191"/>
      <c r="AB790" s="191"/>
      <c r="AC790" s="191"/>
      <c r="AD790" s="191"/>
      <c r="AE790" s="191"/>
      <c r="AF790" s="191"/>
      <c r="AG790" s="191"/>
      <c r="AH790" s="191"/>
      <c r="AI790" s="127"/>
      <c r="AJ790" s="191"/>
      <c r="AK790" s="191"/>
      <c r="AL790" s="190"/>
      <c r="AM790" s="191"/>
    </row>
    <row r="791" spans="5:39">
      <c r="E791" s="21"/>
      <c r="Q791" s="191"/>
      <c r="R791" s="191"/>
      <c r="S791" s="191"/>
      <c r="T791" s="127"/>
      <c r="U791" s="127"/>
      <c r="V791" s="191"/>
      <c r="W791" s="190"/>
      <c r="X791" s="191"/>
      <c r="Y791" s="191"/>
      <c r="Z791" s="191"/>
      <c r="AA791" s="191"/>
      <c r="AB791" s="191"/>
      <c r="AC791" s="191"/>
      <c r="AD791" s="191"/>
      <c r="AE791" s="191"/>
      <c r="AF791" s="191"/>
      <c r="AG791" s="191"/>
      <c r="AH791" s="191"/>
      <c r="AI791" s="127"/>
      <c r="AJ791" s="191"/>
      <c r="AK791" s="191"/>
      <c r="AL791" s="190"/>
      <c r="AM791" s="191"/>
    </row>
    <row r="792" spans="5:39">
      <c r="E792" s="21"/>
      <c r="Q792" s="191"/>
      <c r="R792" s="191"/>
      <c r="S792" s="191"/>
      <c r="T792" s="127"/>
      <c r="U792" s="127"/>
      <c r="V792" s="191"/>
      <c r="W792" s="190"/>
      <c r="X792" s="191"/>
      <c r="Y792" s="191"/>
      <c r="Z792" s="191"/>
      <c r="AA792" s="191"/>
      <c r="AB792" s="191"/>
      <c r="AC792" s="191"/>
      <c r="AD792" s="191"/>
      <c r="AE792" s="191"/>
      <c r="AF792" s="191"/>
      <c r="AG792" s="191"/>
      <c r="AH792" s="191"/>
      <c r="AI792" s="127"/>
      <c r="AJ792" s="191"/>
      <c r="AK792" s="191"/>
      <c r="AL792" s="190"/>
      <c r="AM792" s="191"/>
    </row>
    <row r="793" spans="5:39">
      <c r="E793" s="21"/>
      <c r="Q793" s="191"/>
      <c r="R793" s="191"/>
      <c r="S793" s="191"/>
      <c r="T793" s="127"/>
      <c r="U793" s="127"/>
      <c r="V793" s="191"/>
      <c r="W793" s="190"/>
      <c r="X793" s="191"/>
      <c r="Y793" s="191"/>
      <c r="Z793" s="191"/>
      <c r="AA793" s="191"/>
      <c r="AB793" s="191"/>
      <c r="AC793" s="191"/>
      <c r="AD793" s="191"/>
      <c r="AE793" s="191"/>
      <c r="AF793" s="191"/>
      <c r="AG793" s="191"/>
      <c r="AH793" s="191"/>
      <c r="AI793" s="127"/>
      <c r="AJ793" s="191"/>
      <c r="AK793" s="191"/>
      <c r="AL793" s="190"/>
      <c r="AM793" s="191"/>
    </row>
    <row r="794" spans="5:39">
      <c r="E794" s="21"/>
      <c r="Q794" s="191"/>
      <c r="R794" s="191"/>
      <c r="S794" s="191"/>
      <c r="T794" s="127"/>
      <c r="U794" s="127"/>
      <c r="V794" s="191"/>
      <c r="W794" s="190"/>
      <c r="X794" s="191"/>
      <c r="Y794" s="191"/>
      <c r="Z794" s="191"/>
      <c r="AA794" s="191"/>
      <c r="AB794" s="191"/>
      <c r="AC794" s="191"/>
      <c r="AD794" s="191"/>
      <c r="AE794" s="191"/>
      <c r="AF794" s="191"/>
      <c r="AG794" s="191"/>
      <c r="AH794" s="191"/>
      <c r="AI794" s="127"/>
      <c r="AJ794" s="191"/>
      <c r="AK794" s="191"/>
      <c r="AL794" s="190"/>
      <c r="AM794" s="191"/>
    </row>
    <row r="795" spans="5:39">
      <c r="E795" s="21"/>
      <c r="Q795" s="191"/>
      <c r="R795" s="191"/>
      <c r="S795" s="191"/>
      <c r="T795" s="127"/>
      <c r="U795" s="127"/>
      <c r="V795" s="191"/>
      <c r="W795" s="190"/>
      <c r="X795" s="191"/>
      <c r="Y795" s="191"/>
      <c r="Z795" s="191"/>
      <c r="AA795" s="191"/>
      <c r="AB795" s="191"/>
      <c r="AC795" s="191"/>
      <c r="AD795" s="191"/>
      <c r="AE795" s="191"/>
      <c r="AF795" s="191"/>
      <c r="AG795" s="191"/>
      <c r="AH795" s="191"/>
      <c r="AI795" s="127"/>
      <c r="AJ795" s="191"/>
      <c r="AK795" s="191"/>
      <c r="AL795" s="190"/>
      <c r="AM795" s="191"/>
    </row>
    <row r="796" spans="5:39">
      <c r="E796" s="21"/>
      <c r="Q796" s="191"/>
      <c r="R796" s="191"/>
      <c r="S796" s="191"/>
      <c r="T796" s="127"/>
      <c r="U796" s="127"/>
      <c r="V796" s="191"/>
      <c r="W796" s="190"/>
      <c r="X796" s="191"/>
      <c r="Y796" s="191"/>
      <c r="Z796" s="191"/>
      <c r="AA796" s="191"/>
      <c r="AB796" s="191"/>
      <c r="AC796" s="191"/>
      <c r="AD796" s="191"/>
      <c r="AE796" s="191"/>
      <c r="AF796" s="191"/>
      <c r="AG796" s="191"/>
      <c r="AH796" s="191"/>
      <c r="AI796" s="127"/>
      <c r="AJ796" s="191"/>
      <c r="AK796" s="191"/>
      <c r="AL796" s="190"/>
      <c r="AM796" s="191"/>
    </row>
    <row r="797" spans="5:39">
      <c r="E797" s="21"/>
      <c r="Q797" s="191"/>
      <c r="R797" s="191"/>
      <c r="S797" s="191"/>
      <c r="T797" s="127"/>
      <c r="U797" s="127"/>
      <c r="V797" s="191"/>
      <c r="W797" s="190"/>
      <c r="X797" s="191"/>
      <c r="Y797" s="191"/>
      <c r="Z797" s="191"/>
      <c r="AA797" s="191"/>
      <c r="AB797" s="191"/>
      <c r="AC797" s="191"/>
      <c r="AD797" s="191"/>
      <c r="AE797" s="191"/>
      <c r="AF797" s="191"/>
      <c r="AG797" s="191"/>
      <c r="AH797" s="191"/>
      <c r="AI797" s="127"/>
      <c r="AJ797" s="191"/>
      <c r="AK797" s="191"/>
      <c r="AL797" s="190"/>
      <c r="AM797" s="191"/>
    </row>
    <row r="798" spans="5:39">
      <c r="E798" s="21"/>
      <c r="Q798" s="191"/>
      <c r="R798" s="191"/>
      <c r="S798" s="191"/>
      <c r="T798" s="127"/>
      <c r="U798" s="127"/>
      <c r="V798" s="191"/>
      <c r="W798" s="190"/>
      <c r="X798" s="191"/>
      <c r="Y798" s="191"/>
      <c r="Z798" s="191"/>
      <c r="AA798" s="191"/>
      <c r="AB798" s="191"/>
      <c r="AC798" s="191"/>
      <c r="AD798" s="191"/>
      <c r="AE798" s="191"/>
      <c r="AF798" s="191"/>
      <c r="AG798" s="191"/>
      <c r="AH798" s="191"/>
      <c r="AI798" s="127"/>
      <c r="AJ798" s="191"/>
      <c r="AK798" s="191"/>
      <c r="AL798" s="190"/>
      <c r="AM798" s="191"/>
    </row>
    <row r="799" spans="5:39">
      <c r="E799" s="21"/>
      <c r="Q799" s="191"/>
      <c r="R799" s="191"/>
      <c r="S799" s="191"/>
      <c r="T799" s="127"/>
      <c r="U799" s="127"/>
      <c r="V799" s="191"/>
      <c r="W799" s="190"/>
      <c r="X799" s="191"/>
      <c r="Y799" s="191"/>
      <c r="Z799" s="191"/>
      <c r="AA799" s="191"/>
      <c r="AB799" s="191"/>
      <c r="AC799" s="191"/>
      <c r="AD799" s="191"/>
      <c r="AE799" s="191"/>
      <c r="AF799" s="191"/>
      <c r="AG799" s="191"/>
      <c r="AH799" s="191"/>
      <c r="AI799" s="127"/>
      <c r="AJ799" s="191"/>
      <c r="AK799" s="191"/>
      <c r="AL799" s="190"/>
      <c r="AM799" s="191"/>
    </row>
    <row r="800" spans="5:39">
      <c r="E800" s="21"/>
      <c r="Q800" s="191"/>
      <c r="R800" s="191"/>
      <c r="S800" s="191"/>
      <c r="T800" s="127"/>
      <c r="U800" s="127"/>
      <c r="V800" s="191"/>
      <c r="W800" s="190"/>
      <c r="X800" s="191"/>
      <c r="Y800" s="191"/>
      <c r="Z800" s="191"/>
      <c r="AA800" s="191"/>
      <c r="AB800" s="191"/>
      <c r="AC800" s="191"/>
      <c r="AD800" s="191"/>
      <c r="AE800" s="191"/>
      <c r="AF800" s="191"/>
      <c r="AG800" s="191"/>
      <c r="AH800" s="191"/>
      <c r="AI800" s="127"/>
      <c r="AJ800" s="191"/>
      <c r="AK800" s="191"/>
      <c r="AL800" s="190"/>
      <c r="AM800" s="191"/>
    </row>
    <row r="801" spans="5:39">
      <c r="E801" s="21"/>
      <c r="Q801" s="191"/>
      <c r="R801" s="191"/>
      <c r="S801" s="191"/>
      <c r="T801" s="127"/>
      <c r="U801" s="127"/>
      <c r="V801" s="191"/>
      <c r="W801" s="190"/>
      <c r="X801" s="191"/>
      <c r="Y801" s="191"/>
      <c r="Z801" s="191"/>
      <c r="AA801" s="191"/>
      <c r="AB801" s="191"/>
      <c r="AC801" s="191"/>
      <c r="AD801" s="191"/>
      <c r="AE801" s="191"/>
      <c r="AF801" s="191"/>
      <c r="AG801" s="191"/>
      <c r="AH801" s="191"/>
      <c r="AI801" s="127"/>
      <c r="AJ801" s="191"/>
      <c r="AK801" s="191"/>
      <c r="AL801" s="190"/>
      <c r="AM801" s="191"/>
    </row>
    <row r="802" spans="5:39">
      <c r="E802" s="21"/>
      <c r="Q802" s="191"/>
      <c r="R802" s="191"/>
      <c r="S802" s="191"/>
      <c r="T802" s="127"/>
      <c r="U802" s="127"/>
      <c r="V802" s="191"/>
      <c r="W802" s="190"/>
      <c r="X802" s="191"/>
      <c r="Y802" s="191"/>
      <c r="Z802" s="191"/>
      <c r="AA802" s="191"/>
      <c r="AB802" s="191"/>
      <c r="AC802" s="191"/>
      <c r="AD802" s="191"/>
      <c r="AE802" s="191"/>
      <c r="AF802" s="191"/>
      <c r="AG802" s="191"/>
      <c r="AH802" s="191"/>
      <c r="AI802" s="127"/>
      <c r="AJ802" s="191"/>
      <c r="AK802" s="191"/>
      <c r="AL802" s="190"/>
      <c r="AM802" s="191"/>
    </row>
    <row r="803" spans="5:39">
      <c r="E803" s="21"/>
      <c r="Q803" s="191"/>
      <c r="R803" s="191"/>
      <c r="S803" s="191"/>
      <c r="T803" s="127"/>
      <c r="U803" s="127"/>
      <c r="V803" s="191"/>
      <c r="W803" s="190"/>
      <c r="X803" s="191"/>
      <c r="Y803" s="191"/>
      <c r="Z803" s="191"/>
      <c r="AA803" s="191"/>
      <c r="AB803" s="191"/>
      <c r="AC803" s="191"/>
      <c r="AD803" s="191"/>
      <c r="AE803" s="191"/>
      <c r="AF803" s="191"/>
      <c r="AG803" s="191"/>
      <c r="AH803" s="191"/>
      <c r="AI803" s="127"/>
      <c r="AJ803" s="191"/>
      <c r="AK803" s="191"/>
      <c r="AL803" s="190"/>
      <c r="AM803" s="191"/>
    </row>
    <row r="804" spans="5:39">
      <c r="E804" s="21"/>
      <c r="Q804" s="191"/>
      <c r="R804" s="191"/>
      <c r="S804" s="191"/>
      <c r="T804" s="127"/>
      <c r="U804" s="127"/>
      <c r="V804" s="191"/>
      <c r="W804" s="190"/>
      <c r="X804" s="191"/>
      <c r="Y804" s="191"/>
      <c r="Z804" s="191"/>
      <c r="AA804" s="191"/>
      <c r="AB804" s="191"/>
      <c r="AC804" s="191"/>
      <c r="AD804" s="191"/>
      <c r="AE804" s="191"/>
      <c r="AF804" s="191"/>
      <c r="AG804" s="191"/>
      <c r="AH804" s="191"/>
      <c r="AI804" s="127"/>
      <c r="AJ804" s="191"/>
      <c r="AK804" s="191"/>
      <c r="AL804" s="190"/>
      <c r="AM804" s="191"/>
    </row>
    <row r="805" spans="5:39">
      <c r="E805" s="21"/>
      <c r="Q805" s="191"/>
      <c r="R805" s="191"/>
      <c r="S805" s="191"/>
      <c r="T805" s="127"/>
      <c r="U805" s="127"/>
      <c r="V805" s="191"/>
      <c r="W805" s="190"/>
      <c r="X805" s="191"/>
      <c r="Y805" s="191"/>
      <c r="Z805" s="191"/>
      <c r="AA805" s="191"/>
      <c r="AB805" s="191"/>
      <c r="AC805" s="191"/>
      <c r="AD805" s="191"/>
      <c r="AE805" s="191"/>
      <c r="AF805" s="191"/>
      <c r="AG805" s="191"/>
      <c r="AH805" s="191"/>
      <c r="AI805" s="127"/>
      <c r="AJ805" s="191"/>
      <c r="AK805" s="191"/>
      <c r="AL805" s="190"/>
      <c r="AM805" s="191"/>
    </row>
    <row r="806" spans="5:39">
      <c r="E806" s="21"/>
      <c r="Q806" s="191"/>
      <c r="R806" s="191"/>
      <c r="S806" s="191"/>
      <c r="T806" s="127"/>
      <c r="U806" s="127"/>
      <c r="V806" s="191"/>
      <c r="W806" s="190"/>
      <c r="X806" s="191"/>
      <c r="Y806" s="191"/>
      <c r="Z806" s="191"/>
      <c r="AA806" s="191"/>
      <c r="AB806" s="191"/>
      <c r="AC806" s="191"/>
      <c r="AD806" s="191"/>
      <c r="AE806" s="191"/>
      <c r="AF806" s="191"/>
      <c r="AG806" s="191"/>
      <c r="AH806" s="191"/>
      <c r="AI806" s="127"/>
      <c r="AJ806" s="191"/>
      <c r="AK806" s="191"/>
      <c r="AL806" s="190"/>
      <c r="AM806" s="191"/>
    </row>
    <row r="807" spans="5:39">
      <c r="E807" s="21"/>
      <c r="Q807" s="191"/>
      <c r="R807" s="191"/>
      <c r="S807" s="191"/>
      <c r="T807" s="127"/>
      <c r="U807" s="127"/>
      <c r="V807" s="191"/>
      <c r="W807" s="190"/>
      <c r="X807" s="191"/>
      <c r="Y807" s="191"/>
      <c r="Z807" s="191"/>
      <c r="AA807" s="191"/>
      <c r="AB807" s="191"/>
      <c r="AC807" s="191"/>
      <c r="AD807" s="191"/>
      <c r="AE807" s="191"/>
      <c r="AF807" s="191"/>
      <c r="AG807" s="191"/>
      <c r="AH807" s="191"/>
      <c r="AI807" s="127"/>
      <c r="AJ807" s="191"/>
      <c r="AK807" s="191"/>
      <c r="AL807" s="190"/>
      <c r="AM807" s="191"/>
    </row>
    <row r="808" spans="5:39">
      <c r="E808" s="21"/>
      <c r="Q808" s="191"/>
      <c r="R808" s="191"/>
      <c r="S808" s="191"/>
      <c r="T808" s="127"/>
      <c r="U808" s="127"/>
      <c r="V808" s="191"/>
      <c r="W808" s="190"/>
      <c r="X808" s="191"/>
      <c r="Y808" s="191"/>
      <c r="Z808" s="191"/>
      <c r="AA808" s="191"/>
      <c r="AB808" s="191"/>
      <c r="AC808" s="191"/>
      <c r="AD808" s="191"/>
      <c r="AE808" s="191"/>
      <c r="AF808" s="191"/>
      <c r="AG808" s="191"/>
      <c r="AH808" s="191"/>
      <c r="AI808" s="127"/>
      <c r="AJ808" s="191"/>
      <c r="AK808" s="191"/>
      <c r="AL808" s="190"/>
      <c r="AM808" s="191"/>
    </row>
    <row r="809" spans="5:39">
      <c r="E809" s="21"/>
      <c r="Q809" s="191"/>
      <c r="R809" s="191"/>
      <c r="S809" s="191"/>
      <c r="T809" s="127"/>
      <c r="U809" s="127"/>
      <c r="V809" s="191"/>
      <c r="W809" s="190"/>
      <c r="X809" s="191"/>
      <c r="Y809" s="191"/>
      <c r="Z809" s="191"/>
      <c r="AA809" s="191"/>
      <c r="AB809" s="191"/>
      <c r="AC809" s="191"/>
      <c r="AD809" s="191"/>
      <c r="AE809" s="191"/>
      <c r="AF809" s="191"/>
      <c r="AG809" s="191"/>
      <c r="AH809" s="191"/>
      <c r="AI809" s="127"/>
      <c r="AJ809" s="191"/>
      <c r="AK809" s="191"/>
      <c r="AL809" s="190"/>
      <c r="AM809" s="191"/>
    </row>
    <row r="810" spans="5:39">
      <c r="E810" s="21"/>
      <c r="Q810" s="191"/>
      <c r="R810" s="191"/>
      <c r="S810" s="191"/>
      <c r="T810" s="127"/>
      <c r="U810" s="127"/>
      <c r="V810" s="191"/>
      <c r="W810" s="190"/>
      <c r="X810" s="191"/>
      <c r="Y810" s="191"/>
      <c r="Z810" s="191"/>
      <c r="AA810" s="191"/>
      <c r="AB810" s="191"/>
      <c r="AC810" s="191"/>
      <c r="AD810" s="191"/>
      <c r="AE810" s="191"/>
      <c r="AF810" s="191"/>
      <c r="AG810" s="191"/>
      <c r="AH810" s="191"/>
      <c r="AI810" s="127"/>
      <c r="AJ810" s="191"/>
      <c r="AK810" s="191"/>
      <c r="AL810" s="190"/>
      <c r="AM810" s="191"/>
    </row>
    <row r="811" spans="5:39">
      <c r="E811" s="21"/>
      <c r="Q811" s="191"/>
      <c r="R811" s="191"/>
      <c r="S811" s="191"/>
      <c r="T811" s="127"/>
      <c r="U811" s="127"/>
      <c r="V811" s="191"/>
      <c r="W811" s="190"/>
      <c r="X811" s="191"/>
      <c r="Y811" s="191"/>
      <c r="Z811" s="191"/>
      <c r="AA811" s="191"/>
      <c r="AB811" s="191"/>
      <c r="AC811" s="191"/>
      <c r="AD811" s="191"/>
      <c r="AE811" s="191"/>
      <c r="AF811" s="191"/>
      <c r="AG811" s="191"/>
      <c r="AH811" s="191"/>
      <c r="AI811" s="127"/>
      <c r="AJ811" s="191"/>
      <c r="AK811" s="191"/>
      <c r="AL811" s="190"/>
      <c r="AM811" s="191"/>
    </row>
    <row r="812" spans="5:39">
      <c r="E812" s="21"/>
      <c r="Q812" s="191"/>
      <c r="R812" s="191"/>
      <c r="S812" s="191"/>
      <c r="T812" s="127"/>
      <c r="U812" s="127"/>
      <c r="V812" s="191"/>
      <c r="W812" s="190"/>
      <c r="X812" s="191"/>
      <c r="Y812" s="191"/>
      <c r="Z812" s="191"/>
      <c r="AA812" s="191"/>
      <c r="AB812" s="191"/>
      <c r="AC812" s="191"/>
      <c r="AD812" s="191"/>
      <c r="AE812" s="191"/>
      <c r="AF812" s="191"/>
      <c r="AG812" s="191"/>
      <c r="AH812" s="191"/>
      <c r="AI812" s="127"/>
      <c r="AJ812" s="191"/>
      <c r="AK812" s="191"/>
      <c r="AL812" s="190"/>
      <c r="AM812" s="191"/>
    </row>
    <row r="813" spans="5:39">
      <c r="E813" s="21"/>
      <c r="Q813" s="191"/>
      <c r="R813" s="191"/>
      <c r="S813" s="191"/>
      <c r="T813" s="127"/>
      <c r="U813" s="127"/>
      <c r="V813" s="191"/>
      <c r="W813" s="190"/>
      <c r="X813" s="191"/>
      <c r="Y813" s="191"/>
      <c r="Z813" s="191"/>
      <c r="AA813" s="191"/>
      <c r="AB813" s="191"/>
      <c r="AC813" s="191"/>
      <c r="AD813" s="191"/>
      <c r="AE813" s="191"/>
      <c r="AF813" s="191"/>
      <c r="AG813" s="191"/>
      <c r="AH813" s="191"/>
      <c r="AI813" s="127"/>
      <c r="AJ813" s="191"/>
      <c r="AK813" s="191"/>
      <c r="AL813" s="190"/>
      <c r="AM813" s="191"/>
    </row>
    <row r="814" spans="5:39">
      <c r="E814" s="21"/>
      <c r="Q814" s="191"/>
      <c r="R814" s="191"/>
      <c r="S814" s="191"/>
      <c r="T814" s="127"/>
      <c r="U814" s="127"/>
      <c r="V814" s="191"/>
      <c r="W814" s="190"/>
      <c r="X814" s="191"/>
      <c r="Y814" s="191"/>
      <c r="Z814" s="191"/>
      <c r="AA814" s="191"/>
      <c r="AB814" s="191"/>
      <c r="AC814" s="191"/>
      <c r="AD814" s="191"/>
      <c r="AE814" s="191"/>
      <c r="AF814" s="191"/>
      <c r="AG814" s="191"/>
      <c r="AH814" s="191"/>
      <c r="AI814" s="127"/>
      <c r="AJ814" s="191"/>
      <c r="AK814" s="191"/>
      <c r="AL814" s="190"/>
      <c r="AM814" s="191"/>
    </row>
    <row r="815" spans="5:39">
      <c r="E815" s="21"/>
      <c r="Q815" s="191"/>
      <c r="R815" s="191"/>
      <c r="S815" s="191"/>
      <c r="T815" s="127"/>
      <c r="U815" s="127"/>
      <c r="V815" s="191"/>
      <c r="W815" s="190"/>
      <c r="X815" s="191"/>
      <c r="Y815" s="191"/>
      <c r="Z815" s="191"/>
      <c r="AA815" s="191"/>
      <c r="AB815" s="191"/>
      <c r="AC815" s="191"/>
      <c r="AD815" s="191"/>
      <c r="AE815" s="191"/>
      <c r="AF815" s="191"/>
      <c r="AG815" s="191"/>
      <c r="AH815" s="191"/>
      <c r="AI815" s="127"/>
      <c r="AJ815" s="191"/>
      <c r="AK815" s="191"/>
      <c r="AL815" s="190"/>
      <c r="AM815" s="191"/>
    </row>
    <row r="816" spans="5:39">
      <c r="E816" s="21"/>
      <c r="Q816" s="191"/>
      <c r="R816" s="191"/>
      <c r="S816" s="191"/>
      <c r="T816" s="127"/>
      <c r="U816" s="127"/>
      <c r="V816" s="191"/>
      <c r="W816" s="190"/>
      <c r="X816" s="191"/>
      <c r="Y816" s="191"/>
      <c r="Z816" s="191"/>
      <c r="AA816" s="191"/>
      <c r="AB816" s="191"/>
      <c r="AC816" s="191"/>
      <c r="AD816" s="191"/>
      <c r="AE816" s="191"/>
      <c r="AF816" s="191"/>
      <c r="AG816" s="191"/>
      <c r="AH816" s="191"/>
      <c r="AI816" s="127"/>
      <c r="AJ816" s="191"/>
      <c r="AK816" s="191"/>
      <c r="AL816" s="190"/>
      <c r="AM816" s="191"/>
    </row>
    <row r="817" spans="5:39">
      <c r="E817" s="21"/>
      <c r="Q817" s="191"/>
      <c r="R817" s="191"/>
      <c r="S817" s="191"/>
      <c r="T817" s="127"/>
      <c r="U817" s="127"/>
      <c r="V817" s="191"/>
      <c r="W817" s="190"/>
      <c r="X817" s="191"/>
      <c r="Y817" s="191"/>
      <c r="Z817" s="191"/>
      <c r="AA817" s="191"/>
      <c r="AB817" s="191"/>
      <c r="AC817" s="191"/>
      <c r="AD817" s="191"/>
      <c r="AE817" s="191"/>
      <c r="AF817" s="191"/>
      <c r="AG817" s="191"/>
      <c r="AH817" s="191"/>
      <c r="AI817" s="127"/>
      <c r="AJ817" s="191"/>
      <c r="AK817" s="191"/>
      <c r="AL817" s="190"/>
      <c r="AM817" s="191"/>
    </row>
    <row r="818" spans="5:39">
      <c r="E818" s="21"/>
      <c r="Q818" s="191"/>
      <c r="R818" s="191"/>
      <c r="S818" s="191"/>
      <c r="T818" s="127"/>
      <c r="U818" s="127"/>
      <c r="V818" s="191"/>
      <c r="W818" s="190"/>
      <c r="X818" s="191"/>
      <c r="Y818" s="191"/>
      <c r="Z818" s="191"/>
      <c r="AA818" s="191"/>
      <c r="AB818" s="191"/>
      <c r="AC818" s="191"/>
      <c r="AD818" s="191"/>
      <c r="AE818" s="191"/>
      <c r="AF818" s="191"/>
      <c r="AG818" s="191"/>
      <c r="AH818" s="191"/>
      <c r="AI818" s="127"/>
      <c r="AJ818" s="191"/>
      <c r="AK818" s="191"/>
      <c r="AL818" s="190"/>
      <c r="AM818" s="191"/>
    </row>
    <row r="819" spans="5:39">
      <c r="E819" s="21"/>
      <c r="Q819" s="191"/>
      <c r="R819" s="191"/>
      <c r="S819" s="191"/>
      <c r="T819" s="127"/>
      <c r="U819" s="127"/>
      <c r="V819" s="191"/>
      <c r="W819" s="190"/>
      <c r="X819" s="191"/>
      <c r="Y819" s="191"/>
      <c r="Z819" s="191"/>
      <c r="AA819" s="191"/>
      <c r="AB819" s="191"/>
      <c r="AC819" s="191"/>
      <c r="AD819" s="191"/>
      <c r="AE819" s="191"/>
      <c r="AF819" s="191"/>
      <c r="AG819" s="191"/>
      <c r="AH819" s="191"/>
      <c r="AI819" s="127"/>
      <c r="AJ819" s="191"/>
      <c r="AK819" s="191"/>
      <c r="AL819" s="190"/>
      <c r="AM819" s="191"/>
    </row>
    <row r="820" spans="5:39">
      <c r="E820" s="21"/>
      <c r="Q820" s="191"/>
      <c r="R820" s="191"/>
      <c r="S820" s="191"/>
      <c r="T820" s="127"/>
      <c r="U820" s="127"/>
      <c r="V820" s="191"/>
      <c r="W820" s="190"/>
      <c r="X820" s="191"/>
      <c r="Y820" s="191"/>
      <c r="Z820" s="191"/>
      <c r="AA820" s="191"/>
      <c r="AB820" s="191"/>
      <c r="AC820" s="191"/>
      <c r="AD820" s="191"/>
      <c r="AE820" s="191"/>
      <c r="AF820" s="191"/>
      <c r="AG820" s="191"/>
      <c r="AH820" s="191"/>
      <c r="AI820" s="127"/>
      <c r="AJ820" s="191"/>
      <c r="AK820" s="191"/>
      <c r="AL820" s="190"/>
      <c r="AM820" s="191"/>
    </row>
    <row r="821" spans="5:39">
      <c r="E821" s="21"/>
      <c r="Q821" s="191"/>
      <c r="R821" s="191"/>
      <c r="S821" s="191"/>
      <c r="T821" s="127"/>
      <c r="U821" s="127"/>
      <c r="V821" s="191"/>
      <c r="W821" s="190"/>
      <c r="X821" s="191"/>
      <c r="Y821" s="191"/>
      <c r="Z821" s="191"/>
      <c r="AA821" s="191"/>
      <c r="AB821" s="191"/>
      <c r="AC821" s="191"/>
      <c r="AD821" s="191"/>
      <c r="AE821" s="191"/>
      <c r="AF821" s="191"/>
      <c r="AG821" s="191"/>
      <c r="AH821" s="191"/>
      <c r="AI821" s="127"/>
      <c r="AJ821" s="191"/>
      <c r="AK821" s="191"/>
      <c r="AL821" s="190"/>
      <c r="AM821" s="191"/>
    </row>
    <row r="822" spans="5:39">
      <c r="E822" s="21"/>
      <c r="Q822" s="191"/>
      <c r="R822" s="191"/>
      <c r="S822" s="191"/>
      <c r="T822" s="127"/>
      <c r="U822" s="127"/>
      <c r="V822" s="191"/>
      <c r="W822" s="190"/>
      <c r="X822" s="191"/>
      <c r="Y822" s="191"/>
      <c r="Z822" s="191"/>
      <c r="AA822" s="191"/>
      <c r="AB822" s="191"/>
      <c r="AC822" s="191"/>
      <c r="AD822" s="191"/>
      <c r="AE822" s="191"/>
      <c r="AF822" s="191"/>
      <c r="AG822" s="191"/>
      <c r="AH822" s="191"/>
      <c r="AI822" s="127"/>
      <c r="AJ822" s="191"/>
      <c r="AK822" s="191"/>
      <c r="AL822" s="190"/>
      <c r="AM822" s="191"/>
    </row>
    <row r="823" spans="5:39">
      <c r="E823" s="21"/>
      <c r="Q823" s="191"/>
      <c r="R823" s="191"/>
      <c r="S823" s="191"/>
      <c r="T823" s="127"/>
      <c r="U823" s="127"/>
      <c r="V823" s="191"/>
      <c r="W823" s="190"/>
      <c r="X823" s="191"/>
      <c r="Y823" s="191"/>
      <c r="Z823" s="191"/>
      <c r="AA823" s="191"/>
      <c r="AB823" s="191"/>
      <c r="AC823" s="191"/>
      <c r="AD823" s="191"/>
      <c r="AE823" s="191"/>
      <c r="AF823" s="191"/>
      <c r="AG823" s="191"/>
      <c r="AH823" s="191"/>
      <c r="AI823" s="127"/>
      <c r="AJ823" s="191"/>
      <c r="AK823" s="191"/>
      <c r="AL823" s="190"/>
      <c r="AM823" s="191"/>
    </row>
    <row r="824" spans="5:39">
      <c r="E824" s="21"/>
      <c r="Q824" s="191"/>
      <c r="R824" s="191"/>
      <c r="S824" s="191"/>
      <c r="T824" s="127"/>
      <c r="U824" s="127"/>
      <c r="V824" s="191"/>
      <c r="W824" s="190"/>
      <c r="X824" s="191"/>
      <c r="Y824" s="191"/>
      <c r="Z824" s="191"/>
      <c r="AA824" s="191"/>
      <c r="AB824" s="191"/>
      <c r="AC824" s="191"/>
      <c r="AD824" s="191"/>
      <c r="AE824" s="191"/>
      <c r="AF824" s="191"/>
      <c r="AG824" s="191"/>
      <c r="AH824" s="191"/>
      <c r="AI824" s="127"/>
      <c r="AJ824" s="191"/>
      <c r="AK824" s="191"/>
      <c r="AL824" s="190"/>
      <c r="AM824" s="191"/>
    </row>
    <row r="825" spans="5:39">
      <c r="E825" s="21"/>
      <c r="Q825" s="191"/>
      <c r="R825" s="191"/>
      <c r="S825" s="191"/>
      <c r="T825" s="127"/>
      <c r="U825" s="127"/>
      <c r="V825" s="191"/>
      <c r="W825" s="190"/>
      <c r="X825" s="191"/>
      <c r="Y825" s="191"/>
      <c r="Z825" s="191"/>
      <c r="AA825" s="191"/>
      <c r="AB825" s="191"/>
      <c r="AC825" s="191"/>
      <c r="AD825" s="191"/>
      <c r="AE825" s="191"/>
      <c r="AF825" s="191"/>
      <c r="AG825" s="191"/>
      <c r="AH825" s="191"/>
      <c r="AI825" s="127"/>
      <c r="AJ825" s="191"/>
      <c r="AK825" s="191"/>
      <c r="AL825" s="190"/>
      <c r="AM825" s="191"/>
    </row>
    <row r="826" spans="5:39">
      <c r="E826" s="21"/>
      <c r="Q826" s="191"/>
      <c r="R826" s="191"/>
      <c r="S826" s="191"/>
      <c r="T826" s="127"/>
      <c r="U826" s="127"/>
      <c r="V826" s="191"/>
      <c r="W826" s="190"/>
      <c r="X826" s="191"/>
      <c r="Y826" s="191"/>
      <c r="Z826" s="191"/>
      <c r="AA826" s="191"/>
      <c r="AB826" s="191"/>
      <c r="AC826" s="191"/>
      <c r="AD826" s="191"/>
      <c r="AE826" s="191"/>
      <c r="AF826" s="191"/>
      <c r="AG826" s="191"/>
      <c r="AH826" s="191"/>
      <c r="AI826" s="127"/>
      <c r="AJ826" s="191"/>
      <c r="AK826" s="191"/>
      <c r="AL826" s="190"/>
      <c r="AM826" s="191"/>
    </row>
    <row r="827" spans="5:39">
      <c r="E827" s="21"/>
      <c r="Q827" s="191"/>
      <c r="R827" s="191"/>
      <c r="S827" s="191"/>
      <c r="T827" s="127"/>
      <c r="U827" s="127"/>
      <c r="V827" s="191"/>
      <c r="W827" s="190"/>
      <c r="X827" s="191"/>
      <c r="Y827" s="191"/>
      <c r="Z827" s="191"/>
      <c r="AA827" s="191"/>
      <c r="AB827" s="191"/>
      <c r="AC827" s="191"/>
      <c r="AD827" s="191"/>
      <c r="AE827" s="191"/>
      <c r="AF827" s="191"/>
      <c r="AG827" s="191"/>
      <c r="AH827" s="191"/>
      <c r="AI827" s="127"/>
      <c r="AJ827" s="191"/>
      <c r="AK827" s="191"/>
      <c r="AL827" s="190"/>
      <c r="AM827" s="191"/>
    </row>
    <row r="828" spans="5:39">
      <c r="E828" s="21"/>
      <c r="Q828" s="191"/>
      <c r="R828" s="191"/>
      <c r="S828" s="191"/>
      <c r="T828" s="127"/>
      <c r="U828" s="127"/>
      <c r="V828" s="191"/>
      <c r="W828" s="190"/>
      <c r="X828" s="191"/>
      <c r="Y828" s="191"/>
      <c r="Z828" s="191"/>
      <c r="AA828" s="191"/>
      <c r="AB828" s="191"/>
      <c r="AC828" s="191"/>
      <c r="AD828" s="191"/>
      <c r="AE828" s="191"/>
      <c r="AF828" s="191"/>
      <c r="AG828" s="191"/>
      <c r="AH828" s="191"/>
      <c r="AI828" s="127"/>
      <c r="AJ828" s="191"/>
      <c r="AK828" s="191"/>
      <c r="AL828" s="190"/>
      <c r="AM828" s="191"/>
    </row>
    <row r="829" spans="5:39">
      <c r="E829" s="21"/>
      <c r="Q829" s="191"/>
      <c r="R829" s="191"/>
      <c r="S829" s="191"/>
      <c r="T829" s="127"/>
      <c r="U829" s="127"/>
      <c r="V829" s="191"/>
      <c r="W829" s="190"/>
      <c r="X829" s="191"/>
      <c r="Y829" s="191"/>
      <c r="Z829" s="191"/>
      <c r="AA829" s="191"/>
      <c r="AB829" s="191"/>
      <c r="AC829" s="191"/>
      <c r="AD829" s="191"/>
      <c r="AE829" s="191"/>
      <c r="AF829" s="191"/>
      <c r="AG829" s="191"/>
      <c r="AH829" s="191"/>
      <c r="AI829" s="127"/>
      <c r="AJ829" s="191"/>
      <c r="AK829" s="191"/>
      <c r="AL829" s="190"/>
      <c r="AM829" s="191"/>
    </row>
    <row r="830" spans="5:39">
      <c r="E830" s="21"/>
      <c r="Q830" s="191"/>
      <c r="R830" s="191"/>
      <c r="S830" s="191"/>
      <c r="T830" s="127"/>
      <c r="U830" s="127"/>
      <c r="V830" s="191"/>
      <c r="W830" s="190"/>
      <c r="X830" s="191"/>
      <c r="Y830" s="191"/>
      <c r="Z830" s="191"/>
      <c r="AA830" s="191"/>
      <c r="AB830" s="191"/>
      <c r="AC830" s="191"/>
      <c r="AD830" s="191"/>
      <c r="AE830" s="191"/>
      <c r="AF830" s="191"/>
      <c r="AG830" s="191"/>
      <c r="AH830" s="191"/>
      <c r="AI830" s="127"/>
      <c r="AJ830" s="191"/>
      <c r="AK830" s="191"/>
      <c r="AL830" s="190"/>
      <c r="AM830" s="191"/>
    </row>
    <row r="831" spans="5:39">
      <c r="E831" s="21"/>
      <c r="Q831" s="191"/>
      <c r="R831" s="191"/>
      <c r="S831" s="191"/>
      <c r="T831" s="127"/>
      <c r="U831" s="127"/>
      <c r="V831" s="191"/>
      <c r="W831" s="190"/>
      <c r="X831" s="191"/>
      <c r="Y831" s="191"/>
      <c r="Z831" s="191"/>
      <c r="AA831" s="191"/>
      <c r="AB831" s="191"/>
      <c r="AC831" s="191"/>
      <c r="AD831" s="191"/>
      <c r="AE831" s="191"/>
      <c r="AF831" s="191"/>
      <c r="AG831" s="191"/>
      <c r="AH831" s="191"/>
      <c r="AI831" s="127"/>
      <c r="AJ831" s="191"/>
      <c r="AK831" s="191"/>
      <c r="AL831" s="190"/>
      <c r="AM831" s="191"/>
    </row>
    <row r="832" spans="5:39">
      <c r="E832" s="21"/>
      <c r="Q832" s="191"/>
      <c r="R832" s="191"/>
      <c r="S832" s="191"/>
      <c r="T832" s="127"/>
      <c r="U832" s="127"/>
      <c r="V832" s="191"/>
      <c r="W832" s="190"/>
      <c r="X832" s="191"/>
      <c r="Y832" s="191"/>
      <c r="Z832" s="191"/>
      <c r="AA832" s="191"/>
      <c r="AB832" s="191"/>
      <c r="AC832" s="191"/>
      <c r="AD832" s="191"/>
      <c r="AE832" s="191"/>
      <c r="AF832" s="191"/>
      <c r="AG832" s="191"/>
      <c r="AH832" s="191"/>
      <c r="AI832" s="127"/>
      <c r="AJ832" s="191"/>
      <c r="AK832" s="191"/>
      <c r="AL832" s="190"/>
      <c r="AM832" s="191"/>
    </row>
    <row r="833" spans="5:39">
      <c r="E833" s="21"/>
      <c r="Q833" s="191"/>
      <c r="R833" s="191"/>
      <c r="S833" s="191"/>
      <c r="T833" s="127"/>
      <c r="U833" s="127"/>
      <c r="V833" s="191"/>
      <c r="W833" s="190"/>
      <c r="X833" s="191"/>
      <c r="Y833" s="191"/>
      <c r="Z833" s="191"/>
      <c r="AA833" s="191"/>
      <c r="AB833" s="191"/>
      <c r="AC833" s="191"/>
      <c r="AD833" s="191"/>
      <c r="AE833" s="191"/>
      <c r="AF833" s="191"/>
      <c r="AG833" s="191"/>
      <c r="AH833" s="191"/>
      <c r="AI833" s="127"/>
      <c r="AJ833" s="191"/>
      <c r="AK833" s="191"/>
      <c r="AL833" s="190"/>
      <c r="AM833" s="191"/>
    </row>
    <row r="834" spans="5:39">
      <c r="E834" s="21"/>
      <c r="Q834" s="191"/>
      <c r="R834" s="191"/>
      <c r="S834" s="191"/>
      <c r="T834" s="127"/>
      <c r="U834" s="127"/>
      <c r="V834" s="191"/>
      <c r="W834" s="190"/>
      <c r="X834" s="191"/>
      <c r="Y834" s="191"/>
      <c r="Z834" s="191"/>
      <c r="AA834" s="191"/>
      <c r="AB834" s="191"/>
      <c r="AC834" s="191"/>
      <c r="AD834" s="191"/>
      <c r="AE834" s="191"/>
      <c r="AF834" s="191"/>
      <c r="AG834" s="191"/>
      <c r="AH834" s="191"/>
      <c r="AI834" s="127"/>
      <c r="AJ834" s="191"/>
      <c r="AK834" s="191"/>
      <c r="AL834" s="190"/>
      <c r="AM834" s="191"/>
    </row>
    <row r="835" spans="5:39">
      <c r="E835" s="21"/>
      <c r="Q835" s="191"/>
      <c r="R835" s="191"/>
      <c r="S835" s="191"/>
      <c r="T835" s="127"/>
      <c r="U835" s="127"/>
      <c r="V835" s="191"/>
      <c r="W835" s="190"/>
      <c r="X835" s="191"/>
      <c r="Y835" s="191"/>
      <c r="Z835" s="191"/>
      <c r="AA835" s="191"/>
      <c r="AB835" s="191"/>
      <c r="AC835" s="191"/>
      <c r="AD835" s="191"/>
      <c r="AE835" s="191"/>
      <c r="AF835" s="191"/>
      <c r="AG835" s="191"/>
      <c r="AH835" s="191"/>
      <c r="AI835" s="127"/>
      <c r="AJ835" s="191"/>
      <c r="AK835" s="191"/>
      <c r="AL835" s="190"/>
      <c r="AM835" s="191"/>
    </row>
    <row r="836" spans="5:39">
      <c r="E836" s="21"/>
      <c r="Q836" s="191"/>
      <c r="R836" s="191"/>
      <c r="S836" s="191"/>
      <c r="T836" s="127"/>
      <c r="U836" s="127"/>
      <c r="V836" s="191"/>
      <c r="W836" s="190"/>
      <c r="X836" s="191"/>
      <c r="Y836" s="191"/>
      <c r="Z836" s="191"/>
      <c r="AA836" s="191"/>
      <c r="AB836" s="191"/>
      <c r="AC836" s="191"/>
      <c r="AD836" s="191"/>
      <c r="AE836" s="191"/>
      <c r="AF836" s="191"/>
      <c r="AG836" s="191"/>
      <c r="AH836" s="191"/>
      <c r="AI836" s="127"/>
      <c r="AJ836" s="191"/>
      <c r="AK836" s="191"/>
      <c r="AL836" s="190"/>
      <c r="AM836" s="191"/>
    </row>
    <row r="837" spans="5:39">
      <c r="E837" s="21"/>
      <c r="Q837" s="191"/>
      <c r="R837" s="191"/>
      <c r="S837" s="191"/>
      <c r="T837" s="127"/>
      <c r="U837" s="127"/>
      <c r="V837" s="191"/>
      <c r="W837" s="190"/>
      <c r="X837" s="191"/>
      <c r="Y837" s="191"/>
      <c r="Z837" s="191"/>
      <c r="AA837" s="191"/>
      <c r="AB837" s="191"/>
      <c r="AC837" s="191"/>
      <c r="AD837" s="191"/>
      <c r="AE837" s="191"/>
      <c r="AF837" s="191"/>
      <c r="AG837" s="191"/>
      <c r="AH837" s="191"/>
      <c r="AI837" s="127"/>
      <c r="AJ837" s="191"/>
      <c r="AK837" s="191"/>
      <c r="AL837" s="190"/>
      <c r="AM837" s="191"/>
    </row>
    <row r="838" spans="5:39">
      <c r="E838" s="21"/>
      <c r="Q838" s="191"/>
      <c r="R838" s="191"/>
      <c r="S838" s="191"/>
      <c r="T838" s="127"/>
      <c r="U838" s="127"/>
      <c r="V838" s="191"/>
      <c r="W838" s="190"/>
      <c r="X838" s="191"/>
      <c r="Y838" s="191"/>
      <c r="Z838" s="191"/>
      <c r="AA838" s="191"/>
      <c r="AB838" s="191"/>
      <c r="AC838" s="191"/>
      <c r="AD838" s="191"/>
      <c r="AE838" s="191"/>
      <c r="AF838" s="191"/>
      <c r="AG838" s="191"/>
      <c r="AH838" s="191"/>
      <c r="AI838" s="127"/>
      <c r="AJ838" s="191"/>
      <c r="AK838" s="191"/>
      <c r="AL838" s="190"/>
      <c r="AM838" s="191"/>
    </row>
    <row r="839" spans="5:39">
      <c r="E839" s="21"/>
      <c r="Q839" s="191"/>
      <c r="R839" s="191"/>
      <c r="S839" s="191"/>
      <c r="T839" s="127"/>
      <c r="U839" s="127"/>
      <c r="V839" s="191"/>
      <c r="W839" s="190"/>
      <c r="X839" s="191"/>
      <c r="Y839" s="191"/>
      <c r="Z839" s="191"/>
      <c r="AA839" s="191"/>
      <c r="AB839" s="191"/>
      <c r="AC839" s="191"/>
      <c r="AD839" s="191"/>
      <c r="AE839" s="191"/>
      <c r="AF839" s="191"/>
      <c r="AG839" s="191"/>
      <c r="AH839" s="191"/>
      <c r="AI839" s="127"/>
      <c r="AJ839" s="191"/>
      <c r="AK839" s="191"/>
      <c r="AL839" s="190"/>
      <c r="AM839" s="191"/>
    </row>
    <row r="840" spans="5:39">
      <c r="E840" s="21"/>
      <c r="Q840" s="191"/>
      <c r="R840" s="191"/>
      <c r="S840" s="191"/>
      <c r="T840" s="127"/>
      <c r="U840" s="127"/>
      <c r="V840" s="191"/>
      <c r="W840" s="190"/>
      <c r="X840" s="191"/>
      <c r="Y840" s="191"/>
      <c r="Z840" s="191"/>
      <c r="AA840" s="191"/>
      <c r="AB840" s="191"/>
      <c r="AC840" s="191"/>
      <c r="AD840" s="191"/>
      <c r="AE840" s="191"/>
      <c r="AF840" s="191"/>
      <c r="AG840" s="191"/>
      <c r="AH840" s="191"/>
      <c r="AI840" s="127"/>
      <c r="AJ840" s="191"/>
      <c r="AK840" s="191"/>
      <c r="AL840" s="190"/>
      <c r="AM840" s="191"/>
    </row>
    <row r="841" spans="5:39">
      <c r="E841" s="21"/>
      <c r="Q841" s="191"/>
      <c r="R841" s="191"/>
      <c r="S841" s="191"/>
      <c r="T841" s="127"/>
      <c r="U841" s="127"/>
      <c r="V841" s="191"/>
      <c r="W841" s="190"/>
      <c r="X841" s="191"/>
      <c r="Y841" s="191"/>
      <c r="Z841" s="191"/>
      <c r="AA841" s="191"/>
      <c r="AB841" s="191"/>
      <c r="AC841" s="191"/>
      <c r="AD841" s="191"/>
      <c r="AE841" s="191"/>
      <c r="AF841" s="191"/>
      <c r="AG841" s="191"/>
      <c r="AH841" s="191"/>
      <c r="AI841" s="127"/>
      <c r="AJ841" s="191"/>
      <c r="AK841" s="191"/>
      <c r="AL841" s="190"/>
      <c r="AM841" s="191"/>
    </row>
    <row r="842" spans="5:39">
      <c r="E842" s="21"/>
      <c r="Q842" s="191"/>
      <c r="R842" s="191"/>
      <c r="S842" s="191"/>
      <c r="T842" s="127"/>
      <c r="U842" s="127"/>
      <c r="V842" s="191"/>
      <c r="W842" s="190"/>
      <c r="X842" s="191"/>
      <c r="Y842" s="191"/>
      <c r="Z842" s="191"/>
      <c r="AA842" s="191"/>
      <c r="AB842" s="191"/>
      <c r="AC842" s="191"/>
      <c r="AD842" s="191"/>
      <c r="AE842" s="191"/>
      <c r="AF842" s="191"/>
      <c r="AG842" s="191"/>
      <c r="AH842" s="191"/>
      <c r="AI842" s="127"/>
      <c r="AJ842" s="191"/>
      <c r="AK842" s="191"/>
      <c r="AL842" s="190"/>
      <c r="AM842" s="191"/>
    </row>
    <row r="843" spans="5:39">
      <c r="E843" s="21"/>
      <c r="Q843" s="191"/>
      <c r="R843" s="191"/>
      <c r="S843" s="191"/>
      <c r="T843" s="127"/>
      <c r="U843" s="127"/>
      <c r="V843" s="191"/>
      <c r="W843" s="190"/>
      <c r="X843" s="191"/>
      <c r="Y843" s="191"/>
      <c r="Z843" s="191"/>
      <c r="AA843" s="191"/>
      <c r="AB843" s="191"/>
      <c r="AC843" s="191"/>
      <c r="AD843" s="191"/>
      <c r="AE843" s="191"/>
      <c r="AF843" s="191"/>
      <c r="AG843" s="191"/>
      <c r="AH843" s="191"/>
      <c r="AI843" s="127"/>
      <c r="AJ843" s="191"/>
      <c r="AK843" s="191"/>
      <c r="AL843" s="190"/>
      <c r="AM843" s="191"/>
    </row>
    <row r="844" spans="5:39">
      <c r="E844" s="21"/>
      <c r="Q844" s="191"/>
      <c r="R844" s="191"/>
      <c r="S844" s="191"/>
      <c r="T844" s="127"/>
      <c r="U844" s="127"/>
      <c r="V844" s="191"/>
      <c r="W844" s="190"/>
      <c r="X844" s="191"/>
      <c r="Y844" s="191"/>
      <c r="Z844" s="191"/>
      <c r="AA844" s="191"/>
      <c r="AB844" s="191"/>
      <c r="AC844" s="191"/>
      <c r="AD844" s="191"/>
      <c r="AE844" s="191"/>
      <c r="AF844" s="191"/>
      <c r="AG844" s="191"/>
      <c r="AH844" s="191"/>
      <c r="AI844" s="127"/>
      <c r="AJ844" s="191"/>
      <c r="AK844" s="191"/>
      <c r="AL844" s="190"/>
      <c r="AM844" s="191"/>
    </row>
    <row r="845" spans="5:39">
      <c r="E845" s="21"/>
      <c r="Q845" s="191"/>
      <c r="R845" s="191"/>
      <c r="S845" s="191"/>
      <c r="T845" s="127"/>
      <c r="U845" s="127"/>
      <c r="V845" s="191"/>
      <c r="W845" s="190"/>
      <c r="X845" s="191"/>
      <c r="Y845" s="191"/>
      <c r="Z845" s="191"/>
      <c r="AA845" s="191"/>
      <c r="AB845" s="191"/>
      <c r="AC845" s="191"/>
      <c r="AD845" s="191"/>
      <c r="AE845" s="191"/>
      <c r="AF845" s="191"/>
      <c r="AG845" s="191"/>
      <c r="AH845" s="191"/>
      <c r="AI845" s="127"/>
      <c r="AJ845" s="191"/>
      <c r="AK845" s="191"/>
      <c r="AL845" s="190"/>
      <c r="AM845" s="191"/>
    </row>
    <row r="846" spans="5:39">
      <c r="E846" s="21"/>
      <c r="Q846" s="191"/>
      <c r="R846" s="191"/>
      <c r="S846" s="191"/>
      <c r="T846" s="127"/>
      <c r="U846" s="127"/>
      <c r="V846" s="191"/>
      <c r="W846" s="190"/>
      <c r="X846" s="191"/>
      <c r="Y846" s="191"/>
      <c r="Z846" s="191"/>
      <c r="AA846" s="191"/>
      <c r="AB846" s="191"/>
      <c r="AC846" s="191"/>
      <c r="AD846" s="191"/>
      <c r="AE846" s="191"/>
      <c r="AF846" s="191"/>
      <c r="AG846" s="191"/>
      <c r="AH846" s="191"/>
      <c r="AI846" s="127"/>
      <c r="AJ846" s="191"/>
      <c r="AK846" s="191"/>
      <c r="AL846" s="190"/>
      <c r="AM846" s="191"/>
    </row>
    <row r="847" spans="5:39">
      <c r="E847" s="21"/>
      <c r="Q847" s="191"/>
      <c r="R847" s="191"/>
      <c r="S847" s="191"/>
      <c r="T847" s="127"/>
      <c r="U847" s="127"/>
      <c r="V847" s="191"/>
      <c r="W847" s="190"/>
      <c r="X847" s="191"/>
      <c r="Y847" s="191"/>
      <c r="Z847" s="191"/>
      <c r="AA847" s="191"/>
      <c r="AB847" s="191"/>
      <c r="AC847" s="191"/>
      <c r="AD847" s="191"/>
      <c r="AE847" s="191"/>
      <c r="AF847" s="191"/>
      <c r="AG847" s="191"/>
      <c r="AH847" s="191"/>
      <c r="AI847" s="127"/>
      <c r="AJ847" s="191"/>
      <c r="AK847" s="191"/>
      <c r="AL847" s="190"/>
      <c r="AM847" s="191"/>
    </row>
    <row r="848" spans="5:39">
      <c r="E848" s="21"/>
      <c r="Q848" s="191"/>
      <c r="R848" s="191"/>
      <c r="S848" s="191"/>
      <c r="T848" s="127"/>
      <c r="U848" s="127"/>
      <c r="V848" s="191"/>
      <c r="W848" s="190"/>
      <c r="X848" s="191"/>
      <c r="Y848" s="191"/>
      <c r="Z848" s="191"/>
      <c r="AA848" s="191"/>
      <c r="AB848" s="191"/>
      <c r="AC848" s="191"/>
      <c r="AD848" s="191"/>
      <c r="AE848" s="191"/>
      <c r="AF848" s="191"/>
      <c r="AG848" s="191"/>
      <c r="AH848" s="191"/>
      <c r="AI848" s="127"/>
      <c r="AJ848" s="191"/>
      <c r="AK848" s="191"/>
      <c r="AL848" s="190"/>
      <c r="AM848" s="191"/>
    </row>
    <row r="849" spans="5:39">
      <c r="E849" s="21"/>
      <c r="Q849" s="191"/>
      <c r="R849" s="191"/>
      <c r="S849" s="191"/>
      <c r="T849" s="127"/>
      <c r="U849" s="127"/>
      <c r="V849" s="191"/>
      <c r="W849" s="190"/>
      <c r="X849" s="191"/>
      <c r="Y849" s="191"/>
      <c r="Z849" s="191"/>
      <c r="AA849" s="191"/>
      <c r="AB849" s="191"/>
      <c r="AC849" s="191"/>
      <c r="AD849" s="191"/>
      <c r="AE849" s="191"/>
      <c r="AF849" s="191"/>
      <c r="AG849" s="191"/>
      <c r="AH849" s="191"/>
      <c r="AI849" s="127"/>
      <c r="AJ849" s="191"/>
      <c r="AK849" s="191"/>
      <c r="AL849" s="190"/>
      <c r="AM849" s="191"/>
    </row>
    <row r="850" spans="5:39">
      <c r="E850" s="21"/>
      <c r="Q850" s="191"/>
      <c r="R850" s="191"/>
      <c r="S850" s="191"/>
      <c r="T850" s="127"/>
      <c r="U850" s="127"/>
      <c r="V850" s="191"/>
      <c r="W850" s="190"/>
      <c r="X850" s="191"/>
      <c r="Y850" s="191"/>
      <c r="Z850" s="191"/>
      <c r="AA850" s="191"/>
      <c r="AB850" s="191"/>
      <c r="AC850" s="191"/>
      <c r="AD850" s="191"/>
      <c r="AE850" s="191"/>
      <c r="AF850" s="191"/>
      <c r="AG850" s="191"/>
      <c r="AH850" s="191"/>
      <c r="AI850" s="127"/>
      <c r="AJ850" s="191"/>
      <c r="AK850" s="191"/>
      <c r="AL850" s="190"/>
      <c r="AM850" s="191"/>
    </row>
    <row r="851" spans="5:39">
      <c r="E851" s="21"/>
      <c r="Q851" s="191"/>
      <c r="R851" s="191"/>
      <c r="S851" s="191"/>
      <c r="T851" s="127"/>
      <c r="U851" s="127"/>
      <c r="V851" s="191"/>
      <c r="W851" s="190"/>
      <c r="X851" s="191"/>
      <c r="Y851" s="191"/>
      <c r="Z851" s="191"/>
      <c r="AA851" s="191"/>
      <c r="AB851" s="191"/>
      <c r="AC851" s="191"/>
      <c r="AD851" s="191"/>
      <c r="AE851" s="191"/>
      <c r="AF851" s="191"/>
      <c r="AG851" s="191"/>
      <c r="AH851" s="191"/>
      <c r="AI851" s="127"/>
      <c r="AJ851" s="191"/>
      <c r="AK851" s="191"/>
      <c r="AL851" s="190"/>
      <c r="AM851" s="191"/>
    </row>
    <row r="852" spans="5:39">
      <c r="E852" s="21"/>
      <c r="Q852" s="191"/>
      <c r="R852" s="191"/>
      <c r="S852" s="191"/>
      <c r="T852" s="127"/>
      <c r="U852" s="127"/>
      <c r="V852" s="191"/>
      <c r="W852" s="190"/>
      <c r="X852" s="191"/>
      <c r="Y852" s="191"/>
      <c r="Z852" s="191"/>
      <c r="AA852" s="191"/>
      <c r="AB852" s="191"/>
      <c r="AC852" s="191"/>
      <c r="AD852" s="191"/>
      <c r="AE852" s="191"/>
      <c r="AF852" s="191"/>
      <c r="AG852" s="191"/>
      <c r="AH852" s="191"/>
      <c r="AI852" s="127"/>
      <c r="AJ852" s="191"/>
      <c r="AK852" s="191"/>
      <c r="AL852" s="190"/>
      <c r="AM852" s="191"/>
    </row>
    <row r="853" spans="5:39">
      <c r="E853" s="21"/>
      <c r="Q853" s="191"/>
      <c r="R853" s="191"/>
      <c r="S853" s="191"/>
      <c r="T853" s="127"/>
      <c r="U853" s="127"/>
      <c r="V853" s="191"/>
      <c r="W853" s="190"/>
      <c r="X853" s="191"/>
      <c r="Y853" s="191"/>
      <c r="Z853" s="191"/>
      <c r="AA853" s="191"/>
      <c r="AB853" s="191"/>
      <c r="AC853" s="191"/>
      <c r="AD853" s="191"/>
      <c r="AE853" s="191"/>
      <c r="AF853" s="191"/>
      <c r="AG853" s="191"/>
      <c r="AH853" s="191"/>
      <c r="AI853" s="127"/>
      <c r="AJ853" s="191"/>
      <c r="AK853" s="191"/>
      <c r="AL853" s="190"/>
      <c r="AM853" s="191"/>
    </row>
    <row r="854" spans="5:39">
      <c r="E854" s="21"/>
      <c r="Q854" s="191"/>
      <c r="R854" s="191"/>
      <c r="S854" s="191"/>
      <c r="T854" s="127"/>
      <c r="U854" s="127"/>
      <c r="V854" s="191"/>
      <c r="W854" s="190"/>
      <c r="X854" s="191"/>
      <c r="Y854" s="191"/>
      <c r="Z854" s="191"/>
      <c r="AA854" s="191"/>
      <c r="AB854" s="191"/>
      <c r="AC854" s="191"/>
      <c r="AD854" s="191"/>
      <c r="AE854" s="191"/>
      <c r="AF854" s="191"/>
      <c r="AG854" s="191"/>
      <c r="AH854" s="191"/>
      <c r="AI854" s="127"/>
      <c r="AJ854" s="191"/>
      <c r="AK854" s="191"/>
      <c r="AL854" s="190"/>
      <c r="AM854" s="191"/>
    </row>
    <row r="855" spans="5:39">
      <c r="E855" s="21"/>
      <c r="Q855" s="191"/>
      <c r="R855" s="191"/>
      <c r="S855" s="191"/>
      <c r="T855" s="127"/>
      <c r="U855" s="127"/>
      <c r="V855" s="191"/>
      <c r="W855" s="190"/>
      <c r="X855" s="191"/>
      <c r="Y855" s="191"/>
      <c r="Z855" s="191"/>
      <c r="AA855" s="191"/>
      <c r="AB855" s="191"/>
      <c r="AC855" s="191"/>
      <c r="AD855" s="191"/>
      <c r="AE855" s="191"/>
      <c r="AF855" s="191"/>
      <c r="AG855" s="191"/>
      <c r="AH855" s="191"/>
      <c r="AI855" s="127"/>
      <c r="AJ855" s="191"/>
      <c r="AK855" s="191"/>
      <c r="AL855" s="190"/>
      <c r="AM855" s="191"/>
    </row>
    <row r="856" spans="5:39">
      <c r="E856" s="21"/>
      <c r="Q856" s="191"/>
      <c r="R856" s="191"/>
      <c r="S856" s="191"/>
      <c r="T856" s="127"/>
      <c r="U856" s="127"/>
      <c r="V856" s="191"/>
      <c r="W856" s="190"/>
      <c r="X856" s="191"/>
      <c r="Y856" s="191"/>
      <c r="Z856" s="191"/>
      <c r="AA856" s="191"/>
      <c r="AB856" s="191"/>
      <c r="AC856" s="191"/>
      <c r="AD856" s="191"/>
      <c r="AE856" s="191"/>
      <c r="AF856" s="191"/>
      <c r="AG856" s="191"/>
      <c r="AH856" s="191"/>
      <c r="AI856" s="127"/>
      <c r="AJ856" s="191"/>
      <c r="AK856" s="191"/>
      <c r="AL856" s="190"/>
      <c r="AM856" s="191"/>
    </row>
    <row r="857" spans="5:39">
      <c r="E857" s="21"/>
      <c r="Q857" s="191"/>
      <c r="R857" s="191"/>
      <c r="S857" s="191"/>
      <c r="T857" s="127"/>
      <c r="U857" s="127"/>
      <c r="V857" s="191"/>
      <c r="W857" s="190"/>
      <c r="X857" s="191"/>
      <c r="Y857" s="191"/>
      <c r="Z857" s="191"/>
      <c r="AA857" s="191"/>
      <c r="AB857" s="191"/>
      <c r="AC857" s="191"/>
      <c r="AD857" s="191"/>
      <c r="AE857" s="191"/>
      <c r="AF857" s="191"/>
      <c r="AG857" s="191"/>
      <c r="AH857" s="191"/>
      <c r="AI857" s="127"/>
      <c r="AJ857" s="191"/>
      <c r="AK857" s="191"/>
      <c r="AL857" s="190"/>
      <c r="AM857" s="191"/>
    </row>
    <row r="858" spans="5:39">
      <c r="E858" s="21"/>
      <c r="Q858" s="191"/>
      <c r="R858" s="191"/>
      <c r="S858" s="191"/>
      <c r="T858" s="127"/>
      <c r="U858" s="127"/>
      <c r="V858" s="191"/>
      <c r="W858" s="190"/>
      <c r="X858" s="191"/>
      <c r="Y858" s="191"/>
      <c r="Z858" s="191"/>
      <c r="AA858" s="191"/>
      <c r="AB858" s="191"/>
      <c r="AC858" s="191"/>
      <c r="AD858" s="191"/>
      <c r="AE858" s="191"/>
      <c r="AF858" s="191"/>
      <c r="AG858" s="191"/>
      <c r="AH858" s="191"/>
      <c r="AI858" s="127"/>
      <c r="AJ858" s="191"/>
      <c r="AK858" s="191"/>
      <c r="AL858" s="190"/>
      <c r="AM858" s="191"/>
    </row>
    <row r="859" spans="5:39">
      <c r="E859" s="21"/>
      <c r="Q859" s="191"/>
      <c r="R859" s="191"/>
      <c r="S859" s="191"/>
      <c r="T859" s="127"/>
      <c r="U859" s="127"/>
      <c r="V859" s="191"/>
      <c r="W859" s="190"/>
      <c r="X859" s="191"/>
      <c r="Y859" s="191"/>
      <c r="Z859" s="191"/>
      <c r="AA859" s="191"/>
      <c r="AB859" s="191"/>
      <c r="AC859" s="191"/>
      <c r="AD859" s="191"/>
      <c r="AE859" s="191"/>
      <c r="AF859" s="191"/>
      <c r="AG859" s="191"/>
      <c r="AH859" s="191"/>
      <c r="AI859" s="127"/>
      <c r="AJ859" s="191"/>
      <c r="AK859" s="191"/>
      <c r="AL859" s="190"/>
      <c r="AM859" s="191"/>
    </row>
    <row r="860" spans="5:39">
      <c r="E860" s="21"/>
      <c r="Q860" s="191"/>
      <c r="R860" s="191"/>
      <c r="S860" s="191"/>
      <c r="T860" s="127"/>
      <c r="U860" s="127"/>
      <c r="V860" s="191"/>
      <c r="W860" s="190"/>
      <c r="X860" s="191"/>
      <c r="Y860" s="191"/>
      <c r="Z860" s="191"/>
      <c r="AA860" s="191"/>
      <c r="AB860" s="191"/>
      <c r="AC860" s="191"/>
      <c r="AD860" s="191"/>
      <c r="AE860" s="191"/>
      <c r="AF860" s="191"/>
      <c r="AG860" s="191"/>
      <c r="AH860" s="191"/>
      <c r="AI860" s="127"/>
      <c r="AJ860" s="191"/>
      <c r="AK860" s="191"/>
      <c r="AL860" s="190"/>
      <c r="AM860" s="191"/>
    </row>
    <row r="861" spans="5:39">
      <c r="E861" s="21"/>
      <c r="Q861" s="191"/>
      <c r="R861" s="191"/>
      <c r="S861" s="191"/>
      <c r="T861" s="127"/>
      <c r="U861" s="127"/>
      <c r="V861" s="191"/>
      <c r="W861" s="190"/>
      <c r="X861" s="191"/>
      <c r="Y861" s="191"/>
      <c r="Z861" s="191"/>
      <c r="AA861" s="191"/>
      <c r="AB861" s="191"/>
      <c r="AC861" s="191"/>
      <c r="AD861" s="191"/>
      <c r="AE861" s="191"/>
      <c r="AF861" s="191"/>
      <c r="AG861" s="191"/>
      <c r="AH861" s="191"/>
      <c r="AI861" s="127"/>
      <c r="AJ861" s="191"/>
      <c r="AK861" s="191"/>
      <c r="AL861" s="190"/>
      <c r="AM861" s="191"/>
    </row>
    <row r="862" spans="5:39">
      <c r="E862" s="21"/>
      <c r="Q862" s="191"/>
      <c r="R862" s="191"/>
      <c r="S862" s="191"/>
      <c r="T862" s="127"/>
      <c r="U862" s="127"/>
      <c r="V862" s="191"/>
      <c r="W862" s="190"/>
      <c r="X862" s="191"/>
      <c r="Y862" s="191"/>
      <c r="Z862" s="191"/>
      <c r="AA862" s="191"/>
      <c r="AB862" s="191"/>
      <c r="AC862" s="191"/>
      <c r="AD862" s="191"/>
      <c r="AE862" s="191"/>
      <c r="AF862" s="191"/>
      <c r="AG862" s="191"/>
      <c r="AH862" s="191"/>
      <c r="AI862" s="127"/>
      <c r="AJ862" s="191"/>
      <c r="AK862" s="191"/>
      <c r="AL862" s="190"/>
      <c r="AM862" s="191"/>
    </row>
    <row r="863" spans="5:39">
      <c r="E863" s="21"/>
      <c r="Q863" s="191"/>
      <c r="R863" s="191"/>
      <c r="S863" s="191"/>
      <c r="T863" s="127"/>
      <c r="U863" s="127"/>
      <c r="V863" s="191"/>
      <c r="W863" s="190"/>
      <c r="X863" s="191"/>
      <c r="Y863" s="191"/>
      <c r="Z863" s="191"/>
      <c r="AA863" s="191"/>
      <c r="AB863" s="191"/>
      <c r="AC863" s="191"/>
      <c r="AD863" s="191"/>
      <c r="AE863" s="191"/>
      <c r="AF863" s="191"/>
      <c r="AG863" s="191"/>
      <c r="AH863" s="191"/>
      <c r="AI863" s="127"/>
      <c r="AJ863" s="191"/>
      <c r="AK863" s="191"/>
      <c r="AL863" s="190"/>
      <c r="AM863" s="191"/>
    </row>
    <row r="864" spans="5:39">
      <c r="E864" s="21"/>
      <c r="Q864" s="191"/>
      <c r="R864" s="191"/>
      <c r="S864" s="191"/>
      <c r="T864" s="127"/>
      <c r="U864" s="127"/>
      <c r="V864" s="191"/>
      <c r="W864" s="190"/>
      <c r="X864" s="191"/>
      <c r="Y864" s="191"/>
      <c r="Z864" s="191"/>
      <c r="AA864" s="191"/>
      <c r="AB864" s="191"/>
      <c r="AC864" s="191"/>
      <c r="AD864" s="191"/>
      <c r="AE864" s="191"/>
      <c r="AF864" s="191"/>
      <c r="AG864" s="191"/>
      <c r="AH864" s="191"/>
      <c r="AI864" s="127"/>
      <c r="AJ864" s="191"/>
      <c r="AK864" s="191"/>
      <c r="AL864" s="190"/>
      <c r="AM864" s="191"/>
    </row>
    <row r="865" spans="5:39">
      <c r="E865" s="21"/>
      <c r="Q865" s="191"/>
      <c r="R865" s="191"/>
      <c r="S865" s="191"/>
      <c r="T865" s="127"/>
      <c r="U865" s="127"/>
      <c r="V865" s="191"/>
      <c r="W865" s="190"/>
      <c r="X865" s="191"/>
      <c r="Y865" s="191"/>
      <c r="Z865" s="191"/>
      <c r="AA865" s="191"/>
      <c r="AB865" s="191"/>
      <c r="AC865" s="191"/>
      <c r="AD865" s="191"/>
      <c r="AE865" s="191"/>
      <c r="AF865" s="191"/>
      <c r="AG865" s="191"/>
      <c r="AH865" s="191"/>
      <c r="AI865" s="127"/>
      <c r="AJ865" s="191"/>
      <c r="AK865" s="191"/>
      <c r="AL865" s="190"/>
      <c r="AM865" s="191"/>
    </row>
    <row r="866" spans="5:39">
      <c r="E866" s="21"/>
      <c r="Q866" s="191"/>
      <c r="R866" s="191"/>
      <c r="S866" s="191"/>
      <c r="T866" s="127"/>
      <c r="U866" s="127"/>
      <c r="V866" s="191"/>
      <c r="W866" s="190"/>
      <c r="X866" s="191"/>
      <c r="Y866" s="191"/>
      <c r="Z866" s="191"/>
      <c r="AA866" s="191"/>
      <c r="AB866" s="191"/>
      <c r="AC866" s="191"/>
      <c r="AD866" s="191"/>
      <c r="AE866" s="191"/>
      <c r="AF866" s="191"/>
      <c r="AG866" s="191"/>
      <c r="AH866" s="191"/>
      <c r="AI866" s="127"/>
      <c r="AJ866" s="191"/>
      <c r="AK866" s="191"/>
      <c r="AL866" s="190"/>
      <c r="AM866" s="191"/>
    </row>
    <row r="867" spans="5:39">
      <c r="E867" s="21"/>
      <c r="Q867" s="191"/>
      <c r="R867" s="191"/>
      <c r="S867" s="191"/>
      <c r="T867" s="127"/>
      <c r="U867" s="127"/>
      <c r="V867" s="191"/>
      <c r="W867" s="190"/>
      <c r="X867" s="191"/>
      <c r="Y867" s="191"/>
      <c r="Z867" s="191"/>
      <c r="AA867" s="191"/>
      <c r="AB867" s="191"/>
      <c r="AC867" s="191"/>
      <c r="AD867" s="191"/>
      <c r="AE867" s="191"/>
      <c r="AF867" s="191"/>
      <c r="AG867" s="191"/>
      <c r="AH867" s="191"/>
      <c r="AI867" s="127"/>
      <c r="AJ867" s="191"/>
      <c r="AK867" s="191"/>
      <c r="AL867" s="190"/>
      <c r="AM867" s="191"/>
    </row>
    <row r="868" spans="5:39">
      <c r="E868" s="21"/>
      <c r="Q868" s="191"/>
      <c r="R868" s="191"/>
      <c r="S868" s="191"/>
      <c r="T868" s="127"/>
      <c r="U868" s="127"/>
      <c r="V868" s="191"/>
      <c r="W868" s="190"/>
      <c r="X868" s="191"/>
      <c r="Y868" s="191"/>
      <c r="Z868" s="191"/>
      <c r="AA868" s="191"/>
      <c r="AB868" s="191"/>
      <c r="AC868" s="191"/>
      <c r="AD868" s="191"/>
      <c r="AE868" s="191"/>
      <c r="AF868" s="191"/>
      <c r="AG868" s="191"/>
      <c r="AH868" s="191"/>
      <c r="AI868" s="127"/>
      <c r="AJ868" s="191"/>
      <c r="AK868" s="191"/>
      <c r="AL868" s="190"/>
      <c r="AM868" s="191"/>
    </row>
    <row r="869" spans="5:39">
      <c r="E869" s="21"/>
      <c r="Q869" s="191"/>
      <c r="R869" s="191"/>
      <c r="S869" s="191"/>
      <c r="T869" s="127"/>
      <c r="U869" s="127"/>
      <c r="V869" s="191"/>
      <c r="W869" s="190"/>
      <c r="X869" s="191"/>
      <c r="Y869" s="191"/>
      <c r="Z869" s="191"/>
      <c r="AA869" s="191"/>
      <c r="AB869" s="191"/>
      <c r="AC869" s="191"/>
      <c r="AD869" s="191"/>
      <c r="AE869" s="191"/>
      <c r="AF869" s="191"/>
      <c r="AG869" s="191"/>
      <c r="AH869" s="191"/>
      <c r="AI869" s="127"/>
      <c r="AJ869" s="191"/>
      <c r="AK869" s="191"/>
      <c r="AL869" s="190"/>
      <c r="AM869" s="191"/>
    </row>
    <row r="870" spans="5:39">
      <c r="E870" s="21"/>
      <c r="Q870" s="191"/>
      <c r="R870" s="191"/>
      <c r="S870" s="191"/>
      <c r="T870" s="127"/>
      <c r="U870" s="127"/>
      <c r="V870" s="191"/>
      <c r="W870" s="190"/>
      <c r="X870" s="191"/>
      <c r="Y870" s="191"/>
      <c r="Z870" s="191"/>
      <c r="AA870" s="191"/>
      <c r="AB870" s="191"/>
      <c r="AC870" s="191"/>
      <c r="AD870" s="191"/>
      <c r="AE870" s="191"/>
      <c r="AF870" s="191"/>
      <c r="AG870" s="191"/>
      <c r="AH870" s="191"/>
      <c r="AI870" s="127"/>
      <c r="AJ870" s="191"/>
      <c r="AK870" s="191"/>
      <c r="AL870" s="190"/>
      <c r="AM870" s="191"/>
    </row>
    <row r="871" spans="5:39">
      <c r="E871" s="21"/>
      <c r="Q871" s="191"/>
      <c r="R871" s="191"/>
      <c r="S871" s="191"/>
      <c r="T871" s="127"/>
      <c r="U871" s="127"/>
      <c r="V871" s="191"/>
      <c r="W871" s="190"/>
      <c r="X871" s="191"/>
      <c r="Y871" s="191"/>
      <c r="Z871" s="191"/>
      <c r="AA871" s="191"/>
      <c r="AB871" s="191"/>
      <c r="AC871" s="191"/>
      <c r="AD871" s="191"/>
      <c r="AE871" s="191"/>
      <c r="AF871" s="191"/>
      <c r="AG871" s="191"/>
      <c r="AH871" s="191"/>
      <c r="AI871" s="127"/>
      <c r="AJ871" s="191"/>
      <c r="AK871" s="191"/>
      <c r="AL871" s="190"/>
      <c r="AM871" s="191"/>
    </row>
    <row r="872" spans="5:39">
      <c r="E872" s="21"/>
      <c r="Q872" s="191"/>
      <c r="R872" s="191"/>
      <c r="S872" s="191"/>
      <c r="T872" s="127"/>
      <c r="U872" s="127"/>
      <c r="V872" s="191"/>
      <c r="W872" s="190"/>
      <c r="X872" s="191"/>
      <c r="Y872" s="191"/>
      <c r="Z872" s="191"/>
      <c r="AA872" s="191"/>
      <c r="AB872" s="191"/>
      <c r="AC872" s="191"/>
      <c r="AD872" s="191"/>
      <c r="AE872" s="191"/>
      <c r="AF872" s="191"/>
      <c r="AG872" s="191"/>
      <c r="AH872" s="191"/>
      <c r="AI872" s="127"/>
      <c r="AJ872" s="191"/>
      <c r="AK872" s="191"/>
      <c r="AL872" s="190"/>
      <c r="AM872" s="191"/>
    </row>
    <row r="873" spans="5:39">
      <c r="E873" s="21"/>
      <c r="Q873" s="191"/>
      <c r="R873" s="191"/>
      <c r="S873" s="191"/>
      <c r="T873" s="127"/>
      <c r="U873" s="127"/>
      <c r="V873" s="191"/>
      <c r="W873" s="190"/>
      <c r="X873" s="191"/>
      <c r="Y873" s="191"/>
      <c r="Z873" s="191"/>
      <c r="AA873" s="191"/>
      <c r="AB873" s="191"/>
      <c r="AC873" s="191"/>
      <c r="AD873" s="191"/>
      <c r="AE873" s="191"/>
      <c r="AF873" s="191"/>
      <c r="AG873" s="191"/>
      <c r="AH873" s="191"/>
      <c r="AI873" s="127"/>
      <c r="AJ873" s="191"/>
      <c r="AK873" s="191"/>
      <c r="AL873" s="190"/>
      <c r="AM873" s="191"/>
    </row>
    <row r="874" spans="5:39">
      <c r="E874" s="21"/>
      <c r="Q874" s="191"/>
      <c r="R874" s="191"/>
      <c r="S874" s="191"/>
      <c r="T874" s="127"/>
      <c r="U874" s="127"/>
      <c r="V874" s="191"/>
      <c r="W874" s="190"/>
      <c r="X874" s="191"/>
      <c r="Y874" s="191"/>
      <c r="Z874" s="191"/>
      <c r="AA874" s="191"/>
      <c r="AB874" s="191"/>
      <c r="AC874" s="191"/>
      <c r="AD874" s="191"/>
      <c r="AE874" s="191"/>
      <c r="AF874" s="191"/>
      <c r="AG874" s="191"/>
      <c r="AH874" s="191"/>
      <c r="AI874" s="127"/>
      <c r="AJ874" s="191"/>
      <c r="AK874" s="191"/>
      <c r="AL874" s="190"/>
      <c r="AM874" s="191"/>
    </row>
    <row r="875" spans="5:39">
      <c r="E875" s="21"/>
      <c r="Q875" s="191"/>
      <c r="R875" s="191"/>
      <c r="S875" s="191"/>
      <c r="T875" s="127"/>
      <c r="U875" s="127"/>
      <c r="V875" s="191"/>
      <c r="W875" s="190"/>
      <c r="X875" s="191"/>
      <c r="Y875" s="191"/>
      <c r="Z875" s="191"/>
      <c r="AA875" s="191"/>
      <c r="AB875" s="191"/>
      <c r="AC875" s="191"/>
      <c r="AD875" s="191"/>
      <c r="AE875" s="191"/>
      <c r="AF875" s="191"/>
      <c r="AG875" s="191"/>
      <c r="AH875" s="191"/>
      <c r="AI875" s="127"/>
      <c r="AJ875" s="191"/>
      <c r="AK875" s="191"/>
      <c r="AL875" s="190"/>
      <c r="AM875" s="191"/>
    </row>
    <row r="876" spans="5:39">
      <c r="E876" s="21"/>
      <c r="Q876" s="191"/>
      <c r="R876" s="191"/>
      <c r="S876" s="191"/>
      <c r="T876" s="127"/>
      <c r="U876" s="127"/>
      <c r="V876" s="191"/>
      <c r="W876" s="190"/>
      <c r="X876" s="191"/>
      <c r="Y876" s="191"/>
      <c r="Z876" s="191"/>
      <c r="AA876" s="191"/>
      <c r="AB876" s="191"/>
      <c r="AC876" s="191"/>
      <c r="AD876" s="191"/>
      <c r="AE876" s="191"/>
      <c r="AF876" s="191"/>
      <c r="AG876" s="191"/>
      <c r="AH876" s="191"/>
      <c r="AI876" s="127"/>
      <c r="AJ876" s="191"/>
      <c r="AK876" s="191"/>
      <c r="AL876" s="190"/>
      <c r="AM876" s="191"/>
    </row>
    <row r="877" spans="5:39">
      <c r="E877" s="21"/>
      <c r="Q877" s="191"/>
      <c r="R877" s="191"/>
      <c r="S877" s="191"/>
      <c r="T877" s="127"/>
      <c r="U877" s="127"/>
      <c r="V877" s="191"/>
      <c r="W877" s="190"/>
      <c r="X877" s="191"/>
      <c r="Y877" s="191"/>
      <c r="Z877" s="191"/>
      <c r="AA877" s="191"/>
      <c r="AB877" s="191"/>
      <c r="AC877" s="191"/>
      <c r="AD877" s="191"/>
      <c r="AE877" s="191"/>
      <c r="AF877" s="191"/>
      <c r="AG877" s="191"/>
      <c r="AH877" s="191"/>
      <c r="AI877" s="127"/>
      <c r="AJ877" s="191"/>
      <c r="AK877" s="191"/>
      <c r="AL877" s="190"/>
      <c r="AM877" s="191"/>
    </row>
    <row r="878" spans="5:39">
      <c r="E878" s="21"/>
      <c r="Q878" s="191"/>
      <c r="R878" s="191"/>
      <c r="S878" s="191"/>
      <c r="T878" s="127"/>
      <c r="U878" s="127"/>
      <c r="V878" s="191"/>
      <c r="W878" s="190"/>
      <c r="X878" s="191"/>
      <c r="Y878" s="191"/>
      <c r="Z878" s="191"/>
      <c r="AA878" s="191"/>
      <c r="AB878" s="191"/>
      <c r="AC878" s="191"/>
      <c r="AD878" s="191"/>
      <c r="AE878" s="191"/>
      <c r="AF878" s="191"/>
      <c r="AG878" s="191"/>
      <c r="AH878" s="191"/>
      <c r="AI878" s="127"/>
      <c r="AJ878" s="191"/>
      <c r="AK878" s="191"/>
      <c r="AL878" s="190"/>
      <c r="AM878" s="191"/>
    </row>
    <row r="879" spans="5:39">
      <c r="E879" s="21"/>
      <c r="Q879" s="191"/>
      <c r="R879" s="191"/>
      <c r="S879" s="191"/>
      <c r="T879" s="127"/>
      <c r="U879" s="127"/>
      <c r="V879" s="191"/>
      <c r="W879" s="190"/>
      <c r="X879" s="191"/>
      <c r="Y879" s="191"/>
      <c r="Z879" s="191"/>
      <c r="AA879" s="191"/>
      <c r="AB879" s="191"/>
      <c r="AC879" s="191"/>
      <c r="AD879" s="191"/>
      <c r="AE879" s="191"/>
      <c r="AF879" s="191"/>
      <c r="AG879" s="191"/>
      <c r="AH879" s="191"/>
      <c r="AI879" s="127"/>
      <c r="AJ879" s="191"/>
      <c r="AK879" s="191"/>
      <c r="AL879" s="190"/>
      <c r="AM879" s="191"/>
    </row>
    <row r="880" spans="5:39">
      <c r="E880" s="21"/>
      <c r="Q880" s="191"/>
      <c r="R880" s="191"/>
      <c r="S880" s="191"/>
      <c r="T880" s="127"/>
      <c r="U880" s="127"/>
      <c r="V880" s="191"/>
      <c r="W880" s="190"/>
      <c r="X880" s="191"/>
      <c r="Y880" s="191"/>
      <c r="Z880" s="191"/>
      <c r="AA880" s="191"/>
      <c r="AB880" s="191"/>
      <c r="AC880" s="191"/>
      <c r="AD880" s="191"/>
      <c r="AE880" s="191"/>
      <c r="AF880" s="191"/>
      <c r="AG880" s="191"/>
      <c r="AH880" s="191"/>
      <c r="AI880" s="127"/>
      <c r="AJ880" s="191"/>
      <c r="AK880" s="191"/>
      <c r="AL880" s="190"/>
      <c r="AM880" s="191"/>
    </row>
    <row r="881" spans="5:39">
      <c r="E881" s="21"/>
      <c r="Q881" s="191"/>
      <c r="R881" s="191"/>
      <c r="S881" s="191"/>
      <c r="T881" s="127"/>
      <c r="U881" s="127"/>
      <c r="V881" s="191"/>
      <c r="W881" s="190"/>
      <c r="X881" s="191"/>
      <c r="Y881" s="191"/>
      <c r="Z881" s="191"/>
      <c r="AA881" s="191"/>
      <c r="AB881" s="191"/>
      <c r="AC881" s="191"/>
      <c r="AD881" s="191"/>
      <c r="AE881" s="191"/>
      <c r="AF881" s="191"/>
      <c r="AG881" s="191"/>
      <c r="AH881" s="191"/>
      <c r="AI881" s="127"/>
      <c r="AJ881" s="191"/>
      <c r="AK881" s="191"/>
      <c r="AL881" s="190"/>
      <c r="AM881" s="191"/>
    </row>
    <row r="882" spans="5:39">
      <c r="E882" s="21"/>
      <c r="Q882" s="191"/>
      <c r="R882" s="191"/>
      <c r="S882" s="191"/>
      <c r="T882" s="127"/>
      <c r="U882" s="127"/>
      <c r="V882" s="191"/>
      <c r="W882" s="190"/>
      <c r="X882" s="191"/>
      <c r="Y882" s="191"/>
      <c r="Z882" s="191"/>
      <c r="AA882" s="191"/>
      <c r="AB882" s="191"/>
      <c r="AC882" s="191"/>
      <c r="AD882" s="191"/>
      <c r="AE882" s="191"/>
      <c r="AF882" s="191"/>
      <c r="AG882" s="191"/>
      <c r="AH882" s="191"/>
      <c r="AI882" s="127"/>
      <c r="AJ882" s="191"/>
      <c r="AK882" s="191"/>
      <c r="AL882" s="190"/>
      <c r="AM882" s="191"/>
    </row>
    <row r="883" spans="5:39">
      <c r="E883" s="21"/>
      <c r="Q883" s="191"/>
      <c r="R883" s="191"/>
      <c r="S883" s="191"/>
      <c r="T883" s="127"/>
      <c r="U883" s="127"/>
      <c r="V883" s="191"/>
      <c r="W883" s="190"/>
      <c r="X883" s="191"/>
      <c r="Y883" s="191"/>
      <c r="Z883" s="191"/>
      <c r="AA883" s="191"/>
      <c r="AB883" s="191"/>
      <c r="AC883" s="191"/>
      <c r="AD883" s="191"/>
      <c r="AE883" s="191"/>
      <c r="AF883" s="191"/>
      <c r="AG883" s="191"/>
      <c r="AH883" s="191"/>
      <c r="AI883" s="127"/>
      <c r="AJ883" s="191"/>
      <c r="AK883" s="191"/>
      <c r="AL883" s="190"/>
      <c r="AM883" s="191"/>
    </row>
    <row r="884" spans="5:39">
      <c r="E884" s="21"/>
      <c r="Q884" s="191"/>
      <c r="R884" s="191"/>
      <c r="S884" s="191"/>
      <c r="T884" s="127"/>
      <c r="U884" s="127"/>
      <c r="V884" s="191"/>
      <c r="W884" s="190"/>
      <c r="X884" s="191"/>
      <c r="Y884" s="191"/>
      <c r="Z884" s="191"/>
      <c r="AA884" s="191"/>
      <c r="AB884" s="191"/>
      <c r="AC884" s="191"/>
      <c r="AD884" s="191"/>
      <c r="AE884" s="191"/>
      <c r="AF884" s="191"/>
      <c r="AG884" s="191"/>
      <c r="AH884" s="191"/>
      <c r="AI884" s="127"/>
      <c r="AJ884" s="191"/>
      <c r="AK884" s="191"/>
      <c r="AL884" s="190"/>
      <c r="AM884" s="191"/>
    </row>
    <row r="885" spans="5:39">
      <c r="E885" s="21"/>
      <c r="Q885" s="191"/>
      <c r="R885" s="191"/>
      <c r="S885" s="191"/>
      <c r="T885" s="127"/>
      <c r="U885" s="127"/>
      <c r="V885" s="191"/>
      <c r="W885" s="190"/>
      <c r="X885" s="191"/>
      <c r="Y885" s="191"/>
      <c r="Z885" s="191"/>
      <c r="AA885" s="191"/>
      <c r="AB885" s="191"/>
      <c r="AC885" s="191"/>
      <c r="AD885" s="191"/>
      <c r="AE885" s="191"/>
      <c r="AF885" s="191"/>
      <c r="AG885" s="191"/>
      <c r="AH885" s="191"/>
      <c r="AI885" s="127"/>
      <c r="AJ885" s="191"/>
      <c r="AK885" s="191"/>
      <c r="AL885" s="190"/>
      <c r="AM885" s="191"/>
    </row>
    <row r="886" spans="5:39">
      <c r="E886" s="21"/>
      <c r="Q886" s="191"/>
      <c r="R886" s="191"/>
      <c r="S886" s="191"/>
      <c r="T886" s="127"/>
      <c r="U886" s="127"/>
      <c r="V886" s="191"/>
      <c r="W886" s="190"/>
      <c r="X886" s="191"/>
      <c r="Y886" s="191"/>
      <c r="Z886" s="191"/>
      <c r="AA886" s="191"/>
      <c r="AB886" s="191"/>
      <c r="AC886" s="191"/>
      <c r="AD886" s="191"/>
      <c r="AE886" s="191"/>
      <c r="AF886" s="191"/>
      <c r="AG886" s="191"/>
      <c r="AH886" s="191"/>
      <c r="AI886" s="127"/>
      <c r="AJ886" s="191"/>
      <c r="AK886" s="191"/>
      <c r="AL886" s="190"/>
      <c r="AM886" s="191"/>
    </row>
    <row r="887" spans="5:39">
      <c r="E887" s="21"/>
      <c r="Q887" s="191"/>
      <c r="R887" s="191"/>
      <c r="S887" s="191"/>
      <c r="T887" s="127"/>
      <c r="U887" s="127"/>
      <c r="V887" s="191"/>
      <c r="W887" s="190"/>
      <c r="X887" s="191"/>
      <c r="Y887" s="191"/>
      <c r="Z887" s="191"/>
      <c r="AA887" s="191"/>
      <c r="AB887" s="191"/>
      <c r="AC887" s="191"/>
      <c r="AD887" s="191"/>
      <c r="AE887" s="191"/>
      <c r="AF887" s="191"/>
      <c r="AG887" s="191"/>
      <c r="AH887" s="191"/>
      <c r="AI887" s="127"/>
      <c r="AJ887" s="191"/>
      <c r="AK887" s="191"/>
      <c r="AL887" s="190"/>
      <c r="AM887" s="191"/>
    </row>
    <row r="888" spans="5:39">
      <c r="E888" s="21"/>
      <c r="Q888" s="191"/>
      <c r="R888" s="191"/>
      <c r="S888" s="191"/>
      <c r="T888" s="127"/>
      <c r="U888" s="127"/>
      <c r="V888" s="191"/>
      <c r="W888" s="190"/>
      <c r="X888" s="191"/>
      <c r="Y888" s="191"/>
      <c r="Z888" s="191"/>
      <c r="AA888" s="191"/>
      <c r="AB888" s="191"/>
      <c r="AC888" s="191"/>
      <c r="AD888" s="191"/>
      <c r="AE888" s="191"/>
      <c r="AF888" s="191"/>
      <c r="AG888" s="191"/>
      <c r="AH888" s="191"/>
      <c r="AI888" s="127"/>
      <c r="AJ888" s="191"/>
      <c r="AK888" s="191"/>
      <c r="AL888" s="190"/>
      <c r="AM888" s="191"/>
    </row>
    <row r="889" spans="5:39">
      <c r="E889" s="21"/>
      <c r="Q889" s="191"/>
      <c r="R889" s="191"/>
      <c r="S889" s="191"/>
      <c r="T889" s="127"/>
      <c r="U889" s="127"/>
      <c r="V889" s="191"/>
      <c r="W889" s="190"/>
      <c r="X889" s="191"/>
      <c r="Y889" s="191"/>
      <c r="Z889" s="191"/>
      <c r="AA889" s="191"/>
      <c r="AB889" s="191"/>
      <c r="AC889" s="191"/>
      <c r="AD889" s="191"/>
      <c r="AE889" s="191"/>
      <c r="AF889" s="191"/>
      <c r="AG889" s="191"/>
      <c r="AH889" s="191"/>
      <c r="AI889" s="127"/>
      <c r="AJ889" s="191"/>
      <c r="AK889" s="191"/>
      <c r="AL889" s="190"/>
      <c r="AM889" s="191"/>
    </row>
    <row r="890" spans="5:39">
      <c r="E890" s="21"/>
      <c r="Q890" s="191"/>
      <c r="R890" s="191"/>
      <c r="S890" s="191"/>
      <c r="T890" s="127"/>
      <c r="U890" s="127"/>
      <c r="V890" s="191"/>
      <c r="W890" s="190"/>
      <c r="X890" s="191"/>
      <c r="Y890" s="191"/>
      <c r="Z890" s="191"/>
      <c r="AA890" s="191"/>
      <c r="AB890" s="191"/>
      <c r="AC890" s="191"/>
      <c r="AD890" s="191"/>
      <c r="AE890" s="191"/>
      <c r="AF890" s="191"/>
      <c r="AG890" s="191"/>
      <c r="AH890" s="191"/>
      <c r="AI890" s="127"/>
      <c r="AJ890" s="191"/>
      <c r="AK890" s="191"/>
      <c r="AL890" s="190"/>
      <c r="AM890" s="191"/>
    </row>
    <row r="891" spans="5:39">
      <c r="E891" s="21"/>
      <c r="Q891" s="191"/>
      <c r="R891" s="191"/>
      <c r="S891" s="191"/>
      <c r="T891" s="127"/>
      <c r="U891" s="127"/>
      <c r="V891" s="191"/>
      <c r="W891" s="190"/>
      <c r="X891" s="191"/>
      <c r="Y891" s="191"/>
      <c r="Z891" s="191"/>
      <c r="AA891" s="191"/>
      <c r="AB891" s="191"/>
      <c r="AC891" s="191"/>
      <c r="AD891" s="191"/>
      <c r="AE891" s="191"/>
      <c r="AF891" s="191"/>
      <c r="AG891" s="191"/>
      <c r="AH891" s="191"/>
      <c r="AI891" s="127"/>
      <c r="AJ891" s="191"/>
      <c r="AK891" s="191"/>
      <c r="AL891" s="190"/>
      <c r="AM891" s="191"/>
    </row>
    <row r="892" spans="5:39">
      <c r="E892" s="21"/>
      <c r="Q892" s="191"/>
      <c r="R892" s="191"/>
      <c r="S892" s="191"/>
      <c r="T892" s="127"/>
      <c r="U892" s="127"/>
      <c r="V892" s="191"/>
      <c r="W892" s="190"/>
      <c r="X892" s="191"/>
      <c r="Y892" s="191"/>
      <c r="Z892" s="191"/>
      <c r="AA892" s="191"/>
      <c r="AB892" s="191"/>
      <c r="AC892" s="191"/>
      <c r="AD892" s="191"/>
      <c r="AE892" s="191"/>
      <c r="AF892" s="191"/>
      <c r="AG892" s="191"/>
      <c r="AH892" s="191"/>
      <c r="AI892" s="127"/>
      <c r="AJ892" s="191"/>
      <c r="AK892" s="191"/>
      <c r="AL892" s="190"/>
      <c r="AM892" s="191"/>
    </row>
    <row r="893" spans="5:39">
      <c r="E893" s="21"/>
      <c r="Q893" s="191"/>
      <c r="R893" s="191"/>
      <c r="S893" s="191"/>
      <c r="T893" s="127"/>
      <c r="U893" s="127"/>
      <c r="V893" s="191"/>
      <c r="W893" s="190"/>
      <c r="X893" s="191"/>
      <c r="Y893" s="191"/>
      <c r="Z893" s="191"/>
      <c r="AA893" s="191"/>
      <c r="AB893" s="191"/>
      <c r="AC893" s="191"/>
      <c r="AD893" s="191"/>
      <c r="AE893" s="191"/>
      <c r="AF893" s="191"/>
      <c r="AG893" s="191"/>
      <c r="AH893" s="191"/>
      <c r="AI893" s="127"/>
      <c r="AJ893" s="191"/>
      <c r="AK893" s="191"/>
      <c r="AL893" s="190"/>
      <c r="AM893" s="191"/>
    </row>
    <row r="894" spans="5:39">
      <c r="E894" s="21"/>
      <c r="Q894" s="191"/>
      <c r="R894" s="191"/>
      <c r="S894" s="191"/>
      <c r="T894" s="127"/>
      <c r="U894" s="127"/>
      <c r="V894" s="191"/>
      <c r="W894" s="190"/>
      <c r="X894" s="191"/>
      <c r="Y894" s="191"/>
      <c r="Z894" s="191"/>
      <c r="AA894" s="191"/>
      <c r="AB894" s="191"/>
      <c r="AC894" s="191"/>
      <c r="AD894" s="191"/>
      <c r="AE894" s="191"/>
      <c r="AF894" s="191"/>
      <c r="AG894" s="191"/>
      <c r="AH894" s="191"/>
      <c r="AI894" s="127"/>
      <c r="AJ894" s="191"/>
      <c r="AK894" s="191"/>
      <c r="AL894" s="190"/>
      <c r="AM894" s="191"/>
    </row>
    <row r="895" spans="5:39">
      <c r="E895" s="21"/>
      <c r="Q895" s="191"/>
      <c r="R895" s="191"/>
      <c r="S895" s="191"/>
      <c r="T895" s="127"/>
      <c r="U895" s="127"/>
      <c r="V895" s="191"/>
      <c r="W895" s="190"/>
      <c r="X895" s="191"/>
      <c r="Y895" s="191"/>
      <c r="Z895" s="191"/>
      <c r="AA895" s="191"/>
      <c r="AB895" s="191"/>
      <c r="AC895" s="191"/>
      <c r="AD895" s="191"/>
      <c r="AE895" s="191"/>
      <c r="AF895" s="191"/>
      <c r="AG895" s="191"/>
      <c r="AH895" s="191"/>
      <c r="AI895" s="127"/>
      <c r="AJ895" s="191"/>
      <c r="AK895" s="191"/>
      <c r="AL895" s="190"/>
      <c r="AM895" s="191"/>
    </row>
    <row r="896" spans="5:39">
      <c r="E896" s="21"/>
      <c r="Q896" s="191"/>
      <c r="R896" s="191"/>
      <c r="S896" s="191"/>
      <c r="T896" s="127"/>
      <c r="U896" s="127"/>
      <c r="V896" s="191"/>
      <c r="W896" s="190"/>
      <c r="X896" s="191"/>
      <c r="Y896" s="191"/>
      <c r="Z896" s="191"/>
      <c r="AA896" s="191"/>
      <c r="AB896" s="191"/>
      <c r="AC896" s="191"/>
      <c r="AD896" s="191"/>
      <c r="AE896" s="191"/>
      <c r="AF896" s="191"/>
      <c r="AG896" s="191"/>
      <c r="AH896" s="191"/>
      <c r="AI896" s="127"/>
      <c r="AJ896" s="191"/>
      <c r="AK896" s="191"/>
      <c r="AL896" s="190"/>
      <c r="AM896" s="191"/>
    </row>
    <row r="897" spans="5:39">
      <c r="E897" s="21"/>
      <c r="Q897" s="191"/>
      <c r="R897" s="191"/>
      <c r="S897" s="191"/>
      <c r="T897" s="127"/>
      <c r="U897" s="127"/>
      <c r="V897" s="191"/>
      <c r="W897" s="190"/>
      <c r="X897" s="191"/>
      <c r="Y897" s="191"/>
      <c r="Z897" s="191"/>
      <c r="AA897" s="191"/>
      <c r="AB897" s="191"/>
      <c r="AC897" s="191"/>
      <c r="AD897" s="191"/>
      <c r="AE897" s="191"/>
      <c r="AF897" s="191"/>
      <c r="AG897" s="191"/>
      <c r="AH897" s="191"/>
      <c r="AI897" s="127"/>
      <c r="AJ897" s="191"/>
      <c r="AK897" s="191"/>
      <c r="AL897" s="190"/>
      <c r="AM897" s="191"/>
    </row>
    <row r="898" spans="5:39">
      <c r="E898" s="21"/>
      <c r="Q898" s="191"/>
      <c r="R898" s="191"/>
      <c r="S898" s="191"/>
      <c r="T898" s="127"/>
      <c r="U898" s="127"/>
      <c r="V898" s="191"/>
      <c r="W898" s="190"/>
      <c r="X898" s="191"/>
      <c r="Y898" s="191"/>
      <c r="Z898" s="191"/>
      <c r="AA898" s="191"/>
      <c r="AB898" s="191"/>
      <c r="AC898" s="191"/>
      <c r="AD898" s="191"/>
      <c r="AE898" s="191"/>
      <c r="AF898" s="191"/>
      <c r="AG898" s="191"/>
      <c r="AH898" s="191"/>
      <c r="AI898" s="127"/>
      <c r="AJ898" s="191"/>
      <c r="AK898" s="191"/>
      <c r="AL898" s="190"/>
      <c r="AM898" s="191"/>
    </row>
    <row r="899" spans="5:39">
      <c r="E899" s="21"/>
      <c r="Q899" s="191"/>
      <c r="R899" s="191"/>
      <c r="S899" s="191"/>
      <c r="T899" s="127"/>
      <c r="U899" s="127"/>
      <c r="V899" s="191"/>
      <c r="W899" s="190"/>
      <c r="X899" s="191"/>
      <c r="Y899" s="191"/>
      <c r="Z899" s="191"/>
      <c r="AA899" s="191"/>
      <c r="AB899" s="191"/>
      <c r="AC899" s="191"/>
      <c r="AD899" s="191"/>
      <c r="AE899" s="191"/>
      <c r="AF899" s="191"/>
      <c r="AG899" s="191"/>
      <c r="AH899" s="191"/>
      <c r="AI899" s="127"/>
      <c r="AJ899" s="191"/>
      <c r="AK899" s="191"/>
      <c r="AL899" s="190"/>
      <c r="AM899" s="191"/>
    </row>
    <row r="900" spans="5:39">
      <c r="E900" s="21"/>
      <c r="Q900" s="191"/>
      <c r="R900" s="191"/>
      <c r="S900" s="191"/>
      <c r="T900" s="127"/>
      <c r="U900" s="127"/>
      <c r="V900" s="191"/>
      <c r="W900" s="190"/>
      <c r="X900" s="191"/>
      <c r="Y900" s="191"/>
      <c r="Z900" s="191"/>
      <c r="AA900" s="191"/>
      <c r="AB900" s="191"/>
      <c r="AC900" s="191"/>
      <c r="AD900" s="191"/>
      <c r="AE900" s="191"/>
      <c r="AF900" s="191"/>
      <c r="AG900" s="191"/>
      <c r="AH900" s="191"/>
      <c r="AI900" s="127"/>
      <c r="AJ900" s="191"/>
      <c r="AK900" s="191"/>
      <c r="AL900" s="190"/>
      <c r="AM900" s="191"/>
    </row>
    <row r="901" spans="5:39">
      <c r="E901" s="21"/>
      <c r="Q901" s="191"/>
      <c r="R901" s="191"/>
      <c r="S901" s="191"/>
      <c r="T901" s="127"/>
      <c r="U901" s="127"/>
      <c r="V901" s="191"/>
      <c r="W901" s="190"/>
      <c r="X901" s="191"/>
      <c r="Y901" s="191"/>
      <c r="Z901" s="191"/>
      <c r="AA901" s="191"/>
      <c r="AB901" s="191"/>
      <c r="AC901" s="191"/>
      <c r="AD901" s="191"/>
      <c r="AE901" s="191"/>
      <c r="AF901" s="191"/>
      <c r="AG901" s="191"/>
      <c r="AH901" s="191"/>
      <c r="AI901" s="127"/>
      <c r="AJ901" s="191"/>
      <c r="AK901" s="191"/>
      <c r="AL901" s="190"/>
      <c r="AM901" s="191"/>
    </row>
    <row r="902" spans="5:39">
      <c r="E902" s="21"/>
      <c r="Q902" s="191"/>
      <c r="R902" s="191"/>
      <c r="S902" s="191"/>
      <c r="T902" s="127"/>
      <c r="U902" s="127"/>
      <c r="V902" s="191"/>
      <c r="W902" s="190"/>
      <c r="X902" s="191"/>
      <c r="Y902" s="191"/>
      <c r="Z902" s="191"/>
      <c r="AA902" s="191"/>
      <c r="AB902" s="191"/>
      <c r="AC902" s="191"/>
      <c r="AD902" s="191"/>
      <c r="AE902" s="191"/>
      <c r="AF902" s="191"/>
      <c r="AG902" s="191"/>
      <c r="AH902" s="191"/>
      <c r="AI902" s="127"/>
      <c r="AJ902" s="191"/>
      <c r="AK902" s="191"/>
      <c r="AL902" s="190"/>
      <c r="AM902" s="191"/>
    </row>
    <row r="903" spans="5:39">
      <c r="E903" s="21"/>
      <c r="Q903" s="191"/>
      <c r="R903" s="191"/>
      <c r="S903" s="191"/>
      <c r="T903" s="127"/>
      <c r="U903" s="127"/>
      <c r="V903" s="191"/>
      <c r="W903" s="190"/>
      <c r="X903" s="191"/>
      <c r="Y903" s="191"/>
      <c r="Z903" s="191"/>
      <c r="AA903" s="191"/>
      <c r="AB903" s="191"/>
      <c r="AC903" s="191"/>
      <c r="AD903" s="191"/>
      <c r="AE903" s="191"/>
      <c r="AF903" s="191"/>
      <c r="AG903" s="191"/>
      <c r="AH903" s="191"/>
      <c r="AI903" s="127"/>
      <c r="AJ903" s="191"/>
      <c r="AK903" s="191"/>
      <c r="AL903" s="190"/>
      <c r="AM903" s="191"/>
    </row>
    <row r="904" spans="5:39">
      <c r="E904" s="21"/>
      <c r="Q904" s="191"/>
      <c r="R904" s="191"/>
      <c r="S904" s="191"/>
      <c r="T904" s="127"/>
      <c r="U904" s="127"/>
      <c r="V904" s="191"/>
      <c r="W904" s="190"/>
      <c r="X904" s="191"/>
      <c r="Y904" s="191"/>
      <c r="Z904" s="191"/>
      <c r="AA904" s="191"/>
      <c r="AB904" s="191"/>
      <c r="AC904" s="191"/>
      <c r="AD904" s="191"/>
      <c r="AE904" s="191"/>
      <c r="AF904" s="191"/>
      <c r="AG904" s="191"/>
      <c r="AH904" s="191"/>
      <c r="AI904" s="127"/>
      <c r="AJ904" s="191"/>
      <c r="AK904" s="191"/>
      <c r="AL904" s="190"/>
      <c r="AM904" s="191"/>
    </row>
    <row r="905" spans="5:39">
      <c r="E905" s="21"/>
      <c r="Q905" s="191"/>
      <c r="R905" s="191"/>
      <c r="S905" s="191"/>
      <c r="T905" s="127"/>
      <c r="U905" s="127"/>
      <c r="V905" s="191"/>
      <c r="W905" s="190"/>
      <c r="X905" s="191"/>
      <c r="Y905" s="191"/>
      <c r="Z905" s="191"/>
      <c r="AA905" s="191"/>
      <c r="AB905" s="191"/>
      <c r="AC905" s="191"/>
      <c r="AD905" s="191"/>
      <c r="AE905" s="191"/>
      <c r="AF905" s="191"/>
      <c r="AG905" s="191"/>
      <c r="AH905" s="191"/>
      <c r="AI905" s="127"/>
      <c r="AJ905" s="191"/>
      <c r="AK905" s="191"/>
      <c r="AL905" s="190"/>
      <c r="AM905" s="191"/>
    </row>
    <row r="906" spans="5:39">
      <c r="E906" s="21"/>
      <c r="Q906" s="191"/>
      <c r="R906" s="191"/>
      <c r="S906" s="191"/>
      <c r="T906" s="127"/>
      <c r="U906" s="127"/>
      <c r="V906" s="191"/>
      <c r="W906" s="190"/>
      <c r="X906" s="191"/>
      <c r="Y906" s="191"/>
      <c r="Z906" s="191"/>
      <c r="AA906" s="191"/>
      <c r="AB906" s="191"/>
      <c r="AC906" s="191"/>
      <c r="AD906" s="191"/>
      <c r="AE906" s="191"/>
      <c r="AF906" s="191"/>
      <c r="AG906" s="191"/>
      <c r="AH906" s="191"/>
      <c r="AI906" s="127"/>
      <c r="AJ906" s="191"/>
      <c r="AK906" s="191"/>
      <c r="AL906" s="190"/>
      <c r="AM906" s="191"/>
    </row>
    <row r="907" spans="5:39">
      <c r="E907" s="21"/>
      <c r="Q907" s="191"/>
      <c r="R907" s="191"/>
      <c r="S907" s="191"/>
      <c r="T907" s="127"/>
      <c r="U907" s="127"/>
      <c r="V907" s="191"/>
      <c r="W907" s="190"/>
      <c r="X907" s="191"/>
      <c r="Y907" s="191"/>
      <c r="Z907" s="191"/>
      <c r="AA907" s="191"/>
      <c r="AB907" s="191"/>
      <c r="AC907" s="191"/>
      <c r="AD907" s="191"/>
      <c r="AE907" s="191"/>
      <c r="AF907" s="191"/>
      <c r="AG907" s="191"/>
      <c r="AH907" s="191"/>
      <c r="AI907" s="127"/>
      <c r="AJ907" s="191"/>
      <c r="AK907" s="191"/>
      <c r="AL907" s="190"/>
      <c r="AM907" s="191"/>
    </row>
    <row r="908" spans="5:39">
      <c r="E908" s="21"/>
      <c r="Q908" s="191"/>
      <c r="R908" s="191"/>
      <c r="S908" s="191"/>
      <c r="T908" s="127"/>
      <c r="U908" s="127"/>
      <c r="V908" s="191"/>
      <c r="W908" s="190"/>
      <c r="X908" s="191"/>
      <c r="Y908" s="191"/>
      <c r="Z908" s="191"/>
      <c r="AA908" s="191"/>
      <c r="AB908" s="191"/>
      <c r="AC908" s="191"/>
      <c r="AD908" s="191"/>
      <c r="AE908" s="191"/>
      <c r="AF908" s="191"/>
      <c r="AG908" s="191"/>
      <c r="AH908" s="191"/>
      <c r="AI908" s="127"/>
      <c r="AJ908" s="191"/>
      <c r="AK908" s="191"/>
      <c r="AL908" s="190"/>
      <c r="AM908" s="191"/>
    </row>
    <row r="909" spans="5:39">
      <c r="E909" s="21"/>
      <c r="Q909" s="191"/>
      <c r="R909" s="191"/>
      <c r="S909" s="191"/>
      <c r="T909" s="127"/>
      <c r="U909" s="127"/>
      <c r="V909" s="191"/>
      <c r="W909" s="190"/>
      <c r="X909" s="191"/>
      <c r="Y909" s="191"/>
      <c r="Z909" s="191"/>
      <c r="AA909" s="191"/>
      <c r="AB909" s="191"/>
      <c r="AC909" s="191"/>
      <c r="AD909" s="191"/>
      <c r="AE909" s="191"/>
      <c r="AF909" s="191"/>
      <c r="AG909" s="191"/>
      <c r="AH909" s="191"/>
      <c r="AI909" s="127"/>
      <c r="AJ909" s="191"/>
      <c r="AK909" s="191"/>
      <c r="AL909" s="190"/>
      <c r="AM909" s="191"/>
    </row>
    <row r="910" spans="5:39">
      <c r="E910" s="21"/>
      <c r="Q910" s="191"/>
      <c r="R910" s="191"/>
      <c r="S910" s="191"/>
      <c r="T910" s="127"/>
      <c r="U910" s="127"/>
      <c r="V910" s="191"/>
      <c r="W910" s="190"/>
      <c r="X910" s="191"/>
      <c r="Y910" s="191"/>
      <c r="Z910" s="191"/>
      <c r="AA910" s="191"/>
      <c r="AB910" s="191"/>
      <c r="AC910" s="191"/>
      <c r="AD910" s="191"/>
      <c r="AE910" s="191"/>
      <c r="AF910" s="191"/>
      <c r="AG910" s="191"/>
      <c r="AH910" s="191"/>
      <c r="AI910" s="127"/>
      <c r="AJ910" s="191"/>
      <c r="AK910" s="191"/>
      <c r="AL910" s="190"/>
      <c r="AM910" s="191"/>
    </row>
    <row r="911" spans="5:39">
      <c r="E911" s="21"/>
      <c r="Q911" s="191"/>
      <c r="R911" s="191"/>
      <c r="S911" s="191"/>
      <c r="T911" s="127"/>
      <c r="U911" s="127"/>
      <c r="V911" s="191"/>
      <c r="W911" s="190"/>
      <c r="X911" s="191"/>
      <c r="Y911" s="191"/>
      <c r="Z911" s="191"/>
      <c r="AA911" s="191"/>
      <c r="AB911" s="191"/>
      <c r="AC911" s="191"/>
      <c r="AD911" s="191"/>
      <c r="AE911" s="191"/>
      <c r="AF911" s="191"/>
      <c r="AG911" s="191"/>
      <c r="AH911" s="191"/>
      <c r="AI911" s="127"/>
      <c r="AJ911" s="191"/>
      <c r="AK911" s="191"/>
      <c r="AL911" s="190"/>
      <c r="AM911" s="191"/>
    </row>
    <row r="912" spans="5:39">
      <c r="E912" s="21"/>
      <c r="Q912" s="191"/>
      <c r="R912" s="191"/>
      <c r="S912" s="191"/>
      <c r="T912" s="127"/>
      <c r="U912" s="127"/>
      <c r="V912" s="191"/>
      <c r="W912" s="190"/>
      <c r="X912" s="191"/>
      <c r="Y912" s="191"/>
      <c r="Z912" s="191"/>
      <c r="AA912" s="191"/>
      <c r="AB912" s="191"/>
      <c r="AC912" s="191"/>
      <c r="AD912" s="191"/>
      <c r="AE912" s="191"/>
      <c r="AF912" s="191"/>
      <c r="AG912" s="191"/>
      <c r="AH912" s="191"/>
      <c r="AI912" s="127"/>
      <c r="AJ912" s="191"/>
      <c r="AK912" s="191"/>
      <c r="AL912" s="190"/>
      <c r="AM912" s="191"/>
    </row>
    <row r="913" spans="5:39">
      <c r="E913" s="21"/>
      <c r="Q913" s="191"/>
      <c r="R913" s="191"/>
      <c r="S913" s="191"/>
      <c r="T913" s="127"/>
      <c r="U913" s="127"/>
      <c r="V913" s="191"/>
      <c r="W913" s="190"/>
      <c r="X913" s="191"/>
      <c r="Y913" s="191"/>
      <c r="Z913" s="191"/>
      <c r="AA913" s="191"/>
      <c r="AB913" s="191"/>
      <c r="AC913" s="191"/>
      <c r="AD913" s="191"/>
      <c r="AE913" s="191"/>
      <c r="AF913" s="191"/>
      <c r="AG913" s="191"/>
      <c r="AH913" s="191"/>
      <c r="AI913" s="127"/>
      <c r="AJ913" s="191"/>
      <c r="AK913" s="191"/>
      <c r="AL913" s="190"/>
      <c r="AM913" s="191"/>
    </row>
    <row r="914" spans="5:39">
      <c r="E914" s="21"/>
      <c r="Q914" s="191"/>
      <c r="R914" s="191"/>
      <c r="S914" s="191"/>
      <c r="T914" s="127"/>
      <c r="U914" s="127"/>
      <c r="V914" s="191"/>
      <c r="W914" s="190"/>
      <c r="X914" s="191"/>
      <c r="Y914" s="191"/>
      <c r="Z914" s="191"/>
      <c r="AA914" s="191"/>
      <c r="AB914" s="191"/>
      <c r="AC914" s="191"/>
      <c r="AD914" s="191"/>
      <c r="AE914" s="191"/>
      <c r="AF914" s="191"/>
      <c r="AG914" s="191"/>
      <c r="AH914" s="191"/>
      <c r="AI914" s="127"/>
      <c r="AJ914" s="191"/>
      <c r="AK914" s="191"/>
      <c r="AL914" s="190"/>
      <c r="AM914" s="191"/>
    </row>
    <row r="915" spans="5:39">
      <c r="E915" s="21"/>
      <c r="Q915" s="191"/>
      <c r="R915" s="191"/>
      <c r="S915" s="191"/>
      <c r="T915" s="127"/>
      <c r="U915" s="127"/>
      <c r="V915" s="191"/>
      <c r="W915" s="190"/>
      <c r="X915" s="191"/>
      <c r="Y915" s="191"/>
      <c r="Z915" s="191"/>
      <c r="AA915" s="191"/>
      <c r="AB915" s="191"/>
      <c r="AC915" s="191"/>
      <c r="AD915" s="191"/>
      <c r="AE915" s="191"/>
      <c r="AF915" s="191"/>
      <c r="AG915" s="191"/>
      <c r="AH915" s="191"/>
      <c r="AI915" s="127"/>
      <c r="AJ915" s="191"/>
      <c r="AK915" s="191"/>
      <c r="AL915" s="190"/>
      <c r="AM915" s="191"/>
    </row>
    <row r="916" spans="5:39">
      <c r="E916" s="21"/>
      <c r="Q916" s="191"/>
      <c r="R916" s="191"/>
      <c r="S916" s="191"/>
      <c r="T916" s="127"/>
      <c r="U916" s="127"/>
      <c r="V916" s="191"/>
      <c r="W916" s="190"/>
      <c r="X916" s="191"/>
      <c r="Y916" s="191"/>
      <c r="Z916" s="191"/>
      <c r="AA916" s="191"/>
      <c r="AB916" s="191"/>
      <c r="AC916" s="191"/>
      <c r="AD916" s="191"/>
      <c r="AE916" s="191"/>
      <c r="AF916" s="191"/>
      <c r="AG916" s="191"/>
      <c r="AH916" s="191"/>
      <c r="AI916" s="127"/>
      <c r="AJ916" s="191"/>
      <c r="AK916" s="191"/>
      <c r="AL916" s="190"/>
      <c r="AM916" s="191"/>
    </row>
    <row r="917" spans="5:39">
      <c r="E917" s="21"/>
      <c r="Q917" s="191"/>
      <c r="R917" s="191"/>
      <c r="S917" s="191"/>
      <c r="T917" s="127"/>
      <c r="U917" s="127"/>
      <c r="V917" s="191"/>
      <c r="W917" s="190"/>
      <c r="X917" s="191"/>
      <c r="Y917" s="191"/>
      <c r="Z917" s="191"/>
      <c r="AA917" s="191"/>
      <c r="AB917" s="191"/>
      <c r="AC917" s="191"/>
      <c r="AD917" s="191"/>
      <c r="AE917" s="191"/>
      <c r="AF917" s="191"/>
      <c r="AG917" s="191"/>
      <c r="AH917" s="191"/>
      <c r="AI917" s="127"/>
      <c r="AJ917" s="191"/>
      <c r="AK917" s="191"/>
      <c r="AL917" s="190"/>
      <c r="AM917" s="191"/>
    </row>
    <row r="918" spans="5:39">
      <c r="E918" s="21"/>
      <c r="Q918" s="191"/>
      <c r="R918" s="191"/>
      <c r="S918" s="191"/>
      <c r="T918" s="127"/>
      <c r="U918" s="127"/>
      <c r="V918" s="191"/>
      <c r="W918" s="190"/>
      <c r="X918" s="191"/>
      <c r="Y918" s="191"/>
      <c r="Z918" s="191"/>
      <c r="AA918" s="191"/>
      <c r="AB918" s="191"/>
      <c r="AC918" s="191"/>
      <c r="AD918" s="191"/>
      <c r="AE918" s="191"/>
      <c r="AF918" s="191"/>
      <c r="AG918" s="191"/>
      <c r="AH918" s="191"/>
      <c r="AI918" s="127"/>
      <c r="AJ918" s="191"/>
      <c r="AK918" s="191"/>
      <c r="AL918" s="190"/>
      <c r="AM918" s="191"/>
    </row>
    <row r="919" spans="5:39">
      <c r="E919" s="21"/>
      <c r="Q919" s="191"/>
      <c r="R919" s="191"/>
      <c r="S919" s="191"/>
      <c r="T919" s="127"/>
      <c r="U919" s="127"/>
      <c r="V919" s="191"/>
      <c r="W919" s="190"/>
      <c r="X919" s="191"/>
      <c r="Y919" s="191"/>
      <c r="Z919" s="191"/>
      <c r="AA919" s="191"/>
      <c r="AB919" s="191"/>
      <c r="AC919" s="191"/>
      <c r="AD919" s="191"/>
      <c r="AE919" s="191"/>
      <c r="AF919" s="191"/>
      <c r="AG919" s="191"/>
      <c r="AH919" s="191"/>
      <c r="AI919" s="127"/>
      <c r="AJ919" s="191"/>
      <c r="AK919" s="191"/>
      <c r="AL919" s="190"/>
      <c r="AM919" s="191"/>
    </row>
    <row r="920" spans="5:39">
      <c r="E920" s="21"/>
      <c r="Q920" s="191"/>
      <c r="R920" s="191"/>
      <c r="S920" s="191"/>
      <c r="T920" s="127"/>
      <c r="U920" s="127"/>
      <c r="V920" s="191"/>
      <c r="W920" s="190"/>
      <c r="X920" s="191"/>
      <c r="Y920" s="191"/>
      <c r="Z920" s="191"/>
      <c r="AA920" s="191"/>
      <c r="AB920" s="191"/>
      <c r="AC920" s="191"/>
      <c r="AD920" s="191"/>
      <c r="AE920" s="191"/>
      <c r="AF920" s="191"/>
      <c r="AG920" s="191"/>
      <c r="AH920" s="191"/>
      <c r="AI920" s="127"/>
      <c r="AJ920" s="191"/>
      <c r="AK920" s="191"/>
      <c r="AL920" s="190"/>
      <c r="AM920" s="191"/>
    </row>
    <row r="921" spans="5:39">
      <c r="E921" s="21"/>
      <c r="Q921" s="191"/>
      <c r="R921" s="191"/>
      <c r="S921" s="191"/>
      <c r="T921" s="127"/>
      <c r="U921" s="127"/>
      <c r="V921" s="191"/>
      <c r="W921" s="190"/>
      <c r="X921" s="191"/>
      <c r="Y921" s="191"/>
      <c r="Z921" s="191"/>
      <c r="AA921" s="191"/>
      <c r="AB921" s="191"/>
      <c r="AC921" s="191"/>
      <c r="AD921" s="191"/>
      <c r="AE921" s="191"/>
      <c r="AF921" s="191"/>
      <c r="AG921" s="191"/>
      <c r="AH921" s="191"/>
      <c r="AI921" s="127"/>
      <c r="AJ921" s="191"/>
      <c r="AK921" s="191"/>
      <c r="AL921" s="190"/>
      <c r="AM921" s="191"/>
    </row>
    <row r="922" spans="5:39">
      <c r="E922" s="21"/>
      <c r="Q922" s="191"/>
      <c r="R922" s="191"/>
      <c r="S922" s="191"/>
      <c r="T922" s="127"/>
      <c r="U922" s="127"/>
      <c r="V922" s="191"/>
      <c r="W922" s="190"/>
      <c r="X922" s="191"/>
      <c r="Y922" s="191"/>
      <c r="Z922" s="191"/>
      <c r="AA922" s="191"/>
      <c r="AB922" s="191"/>
      <c r="AC922" s="191"/>
      <c r="AD922" s="191"/>
      <c r="AE922" s="191"/>
      <c r="AF922" s="191"/>
      <c r="AG922" s="191"/>
      <c r="AH922" s="191"/>
      <c r="AI922" s="127"/>
      <c r="AJ922" s="191"/>
      <c r="AK922" s="191"/>
      <c r="AL922" s="190"/>
      <c r="AM922" s="191"/>
    </row>
    <row r="923" spans="5:39">
      <c r="E923" s="21"/>
      <c r="Q923" s="191"/>
      <c r="R923" s="191"/>
      <c r="S923" s="191"/>
      <c r="T923" s="127"/>
      <c r="U923" s="127"/>
      <c r="V923" s="191"/>
      <c r="W923" s="190"/>
      <c r="X923" s="191"/>
      <c r="Y923" s="191"/>
      <c r="Z923" s="191"/>
      <c r="AA923" s="191"/>
      <c r="AB923" s="191"/>
      <c r="AC923" s="191"/>
      <c r="AD923" s="191"/>
      <c r="AE923" s="191"/>
      <c r="AF923" s="191"/>
      <c r="AG923" s="191"/>
      <c r="AH923" s="191"/>
      <c r="AI923" s="127"/>
      <c r="AJ923" s="191"/>
      <c r="AK923" s="191"/>
      <c r="AL923" s="190"/>
      <c r="AM923" s="191"/>
    </row>
    <row r="924" spans="5:39">
      <c r="E924" s="21"/>
      <c r="Q924" s="191"/>
      <c r="R924" s="191"/>
      <c r="S924" s="191"/>
      <c r="T924" s="127"/>
      <c r="U924" s="127"/>
      <c r="V924" s="191"/>
      <c r="W924" s="190"/>
      <c r="X924" s="191"/>
      <c r="Y924" s="191"/>
      <c r="Z924" s="191"/>
      <c r="AA924" s="191"/>
      <c r="AB924" s="191"/>
      <c r="AC924" s="191"/>
      <c r="AD924" s="191"/>
      <c r="AE924" s="191"/>
      <c r="AF924" s="191"/>
      <c r="AG924" s="191"/>
      <c r="AH924" s="191"/>
      <c r="AI924" s="127"/>
      <c r="AJ924" s="191"/>
      <c r="AK924" s="191"/>
      <c r="AL924" s="190"/>
      <c r="AM924" s="191"/>
    </row>
    <row r="925" spans="5:39">
      <c r="E925" s="21"/>
      <c r="Q925" s="191"/>
      <c r="R925" s="191"/>
      <c r="S925" s="191"/>
      <c r="T925" s="127"/>
      <c r="U925" s="127"/>
      <c r="V925" s="191"/>
      <c r="W925" s="190"/>
      <c r="X925" s="191"/>
      <c r="Y925" s="191"/>
      <c r="Z925" s="191"/>
      <c r="AA925" s="191"/>
      <c r="AB925" s="191"/>
      <c r="AC925" s="191"/>
      <c r="AD925" s="191"/>
      <c r="AE925" s="191"/>
      <c r="AF925" s="191"/>
      <c r="AG925" s="191"/>
      <c r="AH925" s="191"/>
      <c r="AI925" s="127"/>
      <c r="AJ925" s="191"/>
      <c r="AK925" s="191"/>
      <c r="AL925" s="190"/>
      <c r="AM925" s="191"/>
    </row>
    <row r="926" spans="5:39">
      <c r="E926" s="21"/>
      <c r="Q926" s="191"/>
      <c r="R926" s="191"/>
      <c r="S926" s="191"/>
      <c r="T926" s="127"/>
      <c r="U926" s="127"/>
      <c r="V926" s="191"/>
      <c r="W926" s="190"/>
      <c r="X926" s="191"/>
      <c r="Y926" s="191"/>
      <c r="Z926" s="191"/>
      <c r="AA926" s="191"/>
      <c r="AB926" s="191"/>
      <c r="AC926" s="191"/>
      <c r="AD926" s="191"/>
      <c r="AE926" s="191"/>
      <c r="AF926" s="191"/>
      <c r="AG926" s="191"/>
      <c r="AH926" s="191"/>
      <c r="AI926" s="127"/>
      <c r="AJ926" s="191"/>
      <c r="AK926" s="191"/>
      <c r="AL926" s="190"/>
      <c r="AM926" s="191"/>
    </row>
    <row r="927" spans="5:39">
      <c r="E927" s="21"/>
      <c r="Q927" s="191"/>
      <c r="R927" s="191"/>
      <c r="S927" s="191"/>
      <c r="T927" s="127"/>
      <c r="U927" s="127"/>
      <c r="V927" s="191"/>
      <c r="W927" s="190"/>
      <c r="X927" s="191"/>
      <c r="Y927" s="191"/>
      <c r="Z927" s="191"/>
      <c r="AA927" s="191"/>
      <c r="AB927" s="191"/>
      <c r="AC927" s="191"/>
      <c r="AD927" s="191"/>
      <c r="AE927" s="191"/>
      <c r="AF927" s="191"/>
      <c r="AG927" s="191"/>
      <c r="AH927" s="191"/>
      <c r="AI927" s="127"/>
      <c r="AJ927" s="191"/>
      <c r="AK927" s="191"/>
      <c r="AL927" s="190"/>
      <c r="AM927" s="191"/>
    </row>
    <row r="928" spans="5:39">
      <c r="E928" s="21"/>
      <c r="Q928" s="191"/>
      <c r="R928" s="191"/>
      <c r="S928" s="191"/>
      <c r="T928" s="127"/>
      <c r="U928" s="127"/>
      <c r="V928" s="191"/>
      <c r="W928" s="190"/>
      <c r="X928" s="191"/>
      <c r="Y928" s="191"/>
      <c r="Z928" s="191"/>
      <c r="AA928" s="191"/>
      <c r="AB928" s="191"/>
      <c r="AC928" s="191"/>
      <c r="AD928" s="191"/>
      <c r="AE928" s="191"/>
      <c r="AF928" s="191"/>
      <c r="AG928" s="191"/>
      <c r="AH928" s="191"/>
      <c r="AI928" s="127"/>
      <c r="AJ928" s="191"/>
      <c r="AK928" s="191"/>
      <c r="AL928" s="190"/>
      <c r="AM928" s="191"/>
    </row>
    <row r="929" spans="5:39">
      <c r="E929" s="21"/>
      <c r="Q929" s="191"/>
      <c r="R929" s="191"/>
      <c r="S929" s="191"/>
      <c r="T929" s="127"/>
      <c r="U929" s="127"/>
      <c r="V929" s="191"/>
      <c r="W929" s="190"/>
      <c r="X929" s="191"/>
      <c r="Y929" s="191"/>
      <c r="Z929" s="191"/>
      <c r="AA929" s="191"/>
      <c r="AB929" s="191"/>
      <c r="AC929" s="191"/>
      <c r="AD929" s="191"/>
      <c r="AE929" s="191"/>
      <c r="AF929" s="191"/>
      <c r="AG929" s="191"/>
      <c r="AH929" s="191"/>
      <c r="AI929" s="127"/>
      <c r="AJ929" s="191"/>
      <c r="AK929" s="191"/>
      <c r="AL929" s="190"/>
      <c r="AM929" s="191"/>
    </row>
    <row r="930" spans="5:39">
      <c r="E930" s="21"/>
      <c r="Q930" s="191"/>
      <c r="R930" s="191"/>
      <c r="S930" s="191"/>
      <c r="T930" s="127"/>
      <c r="U930" s="127"/>
      <c r="V930" s="191"/>
      <c r="W930" s="190"/>
      <c r="X930" s="191"/>
      <c r="Y930" s="191"/>
      <c r="Z930" s="191"/>
      <c r="AA930" s="191"/>
      <c r="AB930" s="191"/>
      <c r="AC930" s="191"/>
      <c r="AD930" s="191"/>
      <c r="AE930" s="191"/>
      <c r="AF930" s="191"/>
      <c r="AG930" s="191"/>
      <c r="AH930" s="191"/>
      <c r="AI930" s="127"/>
      <c r="AJ930" s="191"/>
      <c r="AK930" s="191"/>
      <c r="AL930" s="190"/>
      <c r="AM930" s="191"/>
    </row>
    <row r="931" spans="5:39">
      <c r="E931" s="21"/>
      <c r="Q931" s="191"/>
      <c r="R931" s="191"/>
      <c r="S931" s="191"/>
      <c r="T931" s="127"/>
      <c r="U931" s="127"/>
      <c r="V931" s="191"/>
      <c r="W931" s="190"/>
      <c r="X931" s="191"/>
      <c r="Y931" s="191"/>
      <c r="Z931" s="191"/>
      <c r="AA931" s="191"/>
      <c r="AB931" s="191"/>
      <c r="AC931" s="191"/>
      <c r="AD931" s="191"/>
      <c r="AE931" s="191"/>
      <c r="AF931" s="191"/>
      <c r="AG931" s="191"/>
      <c r="AH931" s="191"/>
      <c r="AI931" s="127"/>
      <c r="AJ931" s="191"/>
      <c r="AK931" s="191"/>
      <c r="AL931" s="190"/>
      <c r="AM931" s="191"/>
    </row>
    <row r="932" spans="5:39">
      <c r="E932" s="21"/>
      <c r="Q932" s="191"/>
      <c r="R932" s="191"/>
      <c r="S932" s="191"/>
      <c r="T932" s="127"/>
      <c r="U932" s="127"/>
      <c r="V932" s="191"/>
      <c r="W932" s="190"/>
      <c r="X932" s="191"/>
      <c r="Y932" s="191"/>
      <c r="Z932" s="191"/>
      <c r="AA932" s="191"/>
      <c r="AB932" s="191"/>
      <c r="AC932" s="191"/>
      <c r="AD932" s="191"/>
      <c r="AE932" s="191"/>
      <c r="AF932" s="191"/>
      <c r="AG932" s="191"/>
      <c r="AH932" s="191"/>
      <c r="AI932" s="127"/>
      <c r="AJ932" s="191"/>
      <c r="AK932" s="191"/>
      <c r="AL932" s="190"/>
      <c r="AM932" s="191"/>
    </row>
    <row r="933" spans="5:39">
      <c r="E933" s="21"/>
      <c r="Q933" s="191"/>
      <c r="R933" s="191"/>
      <c r="S933" s="191"/>
      <c r="T933" s="127"/>
      <c r="U933" s="127"/>
      <c r="V933" s="191"/>
      <c r="W933" s="190"/>
      <c r="X933" s="191"/>
      <c r="Y933" s="191"/>
      <c r="Z933" s="191"/>
      <c r="AA933" s="191"/>
      <c r="AB933" s="191"/>
      <c r="AC933" s="191"/>
      <c r="AD933" s="191"/>
      <c r="AE933" s="191"/>
      <c r="AF933" s="191"/>
      <c r="AG933" s="191"/>
      <c r="AH933" s="191"/>
      <c r="AI933" s="127"/>
      <c r="AJ933" s="191"/>
      <c r="AK933" s="191"/>
      <c r="AL933" s="190"/>
      <c r="AM933" s="191"/>
    </row>
    <row r="934" spans="5:39">
      <c r="E934" s="21"/>
      <c r="Q934" s="191"/>
      <c r="R934" s="191"/>
      <c r="S934" s="191"/>
      <c r="T934" s="127"/>
      <c r="U934" s="127"/>
      <c r="V934" s="191"/>
      <c r="W934" s="190"/>
      <c r="X934" s="191"/>
      <c r="Y934" s="191"/>
      <c r="Z934" s="191"/>
      <c r="AA934" s="191"/>
      <c r="AB934" s="191"/>
      <c r="AC934" s="191"/>
      <c r="AD934" s="191"/>
      <c r="AE934" s="191"/>
      <c r="AF934" s="191"/>
      <c r="AG934" s="191"/>
      <c r="AH934" s="191"/>
      <c r="AI934" s="127"/>
      <c r="AJ934" s="191"/>
      <c r="AK934" s="191"/>
      <c r="AL934" s="190"/>
      <c r="AM934" s="191"/>
    </row>
    <row r="935" spans="5:39">
      <c r="E935" s="21"/>
      <c r="Q935" s="191"/>
      <c r="R935" s="191"/>
      <c r="S935" s="191"/>
      <c r="T935" s="127"/>
      <c r="U935" s="127"/>
      <c r="V935" s="191"/>
      <c r="W935" s="190"/>
      <c r="X935" s="191"/>
      <c r="Y935" s="191"/>
      <c r="Z935" s="191"/>
      <c r="AA935" s="191"/>
      <c r="AB935" s="191"/>
      <c r="AC935" s="191"/>
      <c r="AD935" s="191"/>
      <c r="AE935" s="191"/>
      <c r="AF935" s="191"/>
      <c r="AG935" s="191"/>
      <c r="AH935" s="191"/>
      <c r="AI935" s="127"/>
      <c r="AJ935" s="191"/>
      <c r="AK935" s="191"/>
      <c r="AL935" s="190"/>
      <c r="AM935" s="191"/>
    </row>
    <row r="936" spans="5:39">
      <c r="E936" s="21"/>
      <c r="Q936" s="191"/>
      <c r="R936" s="191"/>
      <c r="S936" s="191"/>
      <c r="T936" s="127"/>
      <c r="U936" s="127"/>
      <c r="V936" s="191"/>
      <c r="W936" s="190"/>
      <c r="X936" s="191"/>
      <c r="Y936" s="191"/>
      <c r="Z936" s="191"/>
      <c r="AA936" s="191"/>
      <c r="AB936" s="191"/>
      <c r="AC936" s="191"/>
      <c r="AD936" s="191"/>
      <c r="AE936" s="191"/>
      <c r="AF936" s="191"/>
      <c r="AG936" s="191"/>
      <c r="AH936" s="191"/>
      <c r="AI936" s="127"/>
      <c r="AJ936" s="191"/>
      <c r="AK936" s="191"/>
      <c r="AL936" s="190"/>
      <c r="AM936" s="191"/>
    </row>
    <row r="937" spans="5:39">
      <c r="E937" s="21"/>
      <c r="Q937" s="191"/>
      <c r="R937" s="191"/>
      <c r="S937" s="191"/>
      <c r="T937" s="127"/>
      <c r="U937" s="127"/>
      <c r="V937" s="191"/>
      <c r="W937" s="190"/>
      <c r="X937" s="191"/>
      <c r="Y937" s="191"/>
      <c r="Z937" s="191"/>
      <c r="AA937" s="191"/>
      <c r="AB937" s="191"/>
      <c r="AC937" s="191"/>
      <c r="AD937" s="191"/>
      <c r="AE937" s="191"/>
      <c r="AF937" s="191"/>
      <c r="AG937" s="191"/>
      <c r="AH937" s="191"/>
      <c r="AI937" s="127"/>
      <c r="AJ937" s="191"/>
      <c r="AK937" s="191"/>
      <c r="AL937" s="190"/>
      <c r="AM937" s="191"/>
    </row>
    <row r="938" spans="5:39">
      <c r="E938" s="21"/>
      <c r="Q938" s="191"/>
      <c r="R938" s="191"/>
      <c r="S938" s="191"/>
      <c r="T938" s="127"/>
      <c r="U938" s="127"/>
      <c r="V938" s="191"/>
      <c r="W938" s="190"/>
      <c r="X938" s="191"/>
      <c r="Y938" s="191"/>
      <c r="Z938" s="191"/>
      <c r="AA938" s="191"/>
      <c r="AB938" s="191"/>
      <c r="AC938" s="191"/>
      <c r="AD938" s="191"/>
      <c r="AE938" s="191"/>
      <c r="AF938" s="191"/>
      <c r="AG938" s="191"/>
      <c r="AH938" s="191"/>
      <c r="AI938" s="127"/>
      <c r="AJ938" s="191"/>
      <c r="AK938" s="191"/>
      <c r="AL938" s="190"/>
      <c r="AM938" s="191"/>
    </row>
    <row r="939" spans="5:39">
      <c r="E939" s="21"/>
      <c r="Q939" s="191"/>
      <c r="R939" s="191"/>
      <c r="S939" s="191"/>
      <c r="T939" s="127"/>
      <c r="U939" s="127"/>
      <c r="V939" s="191"/>
      <c r="W939" s="190"/>
      <c r="X939" s="191"/>
      <c r="Y939" s="191"/>
      <c r="Z939" s="191"/>
      <c r="AA939" s="191"/>
      <c r="AB939" s="191"/>
      <c r="AC939" s="191"/>
      <c r="AD939" s="191"/>
      <c r="AE939" s="191"/>
      <c r="AF939" s="191"/>
      <c r="AG939" s="191"/>
      <c r="AH939" s="191"/>
      <c r="AI939" s="127"/>
      <c r="AJ939" s="191"/>
      <c r="AK939" s="191"/>
      <c r="AL939" s="190"/>
      <c r="AM939" s="191"/>
    </row>
    <row r="940" spans="5:39">
      <c r="E940" s="21"/>
      <c r="Q940" s="191"/>
      <c r="R940" s="191"/>
      <c r="S940" s="191"/>
      <c r="T940" s="127"/>
      <c r="U940" s="127"/>
      <c r="V940" s="191"/>
      <c r="W940" s="190"/>
      <c r="X940" s="191"/>
      <c r="Y940" s="191"/>
      <c r="Z940" s="191"/>
      <c r="AA940" s="191"/>
      <c r="AB940" s="191"/>
      <c r="AC940" s="191"/>
      <c r="AD940" s="191"/>
      <c r="AE940" s="191"/>
      <c r="AF940" s="191"/>
      <c r="AG940" s="191"/>
      <c r="AH940" s="191"/>
      <c r="AI940" s="127"/>
      <c r="AJ940" s="191"/>
      <c r="AK940" s="191"/>
      <c r="AL940" s="190"/>
      <c r="AM940" s="191"/>
    </row>
    <row r="941" spans="5:39">
      <c r="E941" s="21"/>
      <c r="Q941" s="191"/>
      <c r="R941" s="191"/>
      <c r="S941" s="191"/>
      <c r="T941" s="127"/>
      <c r="U941" s="127"/>
      <c r="V941" s="191"/>
      <c r="W941" s="190"/>
      <c r="X941" s="191"/>
      <c r="Y941" s="191"/>
      <c r="Z941" s="191"/>
      <c r="AA941" s="191"/>
      <c r="AB941" s="191"/>
      <c r="AC941" s="191"/>
      <c r="AD941" s="191"/>
      <c r="AE941" s="191"/>
      <c r="AF941" s="191"/>
      <c r="AG941" s="191"/>
      <c r="AH941" s="191"/>
      <c r="AI941" s="127"/>
      <c r="AJ941" s="191"/>
      <c r="AK941" s="191"/>
      <c r="AL941" s="190"/>
      <c r="AM941" s="191"/>
    </row>
    <row r="942" spans="5:39">
      <c r="E942" s="21"/>
      <c r="Q942" s="191"/>
      <c r="R942" s="191"/>
      <c r="S942" s="191"/>
      <c r="T942" s="127"/>
      <c r="U942" s="127"/>
      <c r="V942" s="191"/>
      <c r="W942" s="190"/>
      <c r="X942" s="191"/>
      <c r="Y942" s="191"/>
      <c r="Z942" s="191"/>
      <c r="AA942" s="191"/>
      <c r="AB942" s="191"/>
      <c r="AC942" s="191"/>
      <c r="AD942" s="191"/>
      <c r="AE942" s="191"/>
      <c r="AF942" s="191"/>
      <c r="AG942" s="191"/>
      <c r="AH942" s="191"/>
      <c r="AI942" s="127"/>
      <c r="AJ942" s="191"/>
      <c r="AK942" s="191"/>
      <c r="AL942" s="190"/>
      <c r="AM942" s="191"/>
    </row>
    <row r="943" spans="5:39">
      <c r="E943" s="21"/>
      <c r="Q943" s="191"/>
      <c r="R943" s="191"/>
      <c r="S943" s="191"/>
      <c r="T943" s="127"/>
      <c r="U943" s="127"/>
      <c r="V943" s="191"/>
      <c r="W943" s="190"/>
      <c r="X943" s="191"/>
      <c r="Y943" s="191"/>
      <c r="Z943" s="191"/>
      <c r="AA943" s="191"/>
      <c r="AB943" s="191"/>
      <c r="AC943" s="191"/>
      <c r="AD943" s="191"/>
      <c r="AE943" s="191"/>
      <c r="AF943" s="191"/>
      <c r="AG943" s="191"/>
      <c r="AH943" s="191"/>
      <c r="AI943" s="127"/>
      <c r="AJ943" s="191"/>
      <c r="AK943" s="191"/>
      <c r="AL943" s="190"/>
      <c r="AM943" s="191"/>
    </row>
    <row r="944" spans="5:39">
      <c r="E944" s="21"/>
      <c r="Q944" s="191"/>
      <c r="R944" s="191"/>
      <c r="S944" s="191"/>
      <c r="T944" s="127"/>
      <c r="U944" s="127"/>
      <c r="V944" s="191"/>
      <c r="W944" s="190"/>
      <c r="X944" s="191"/>
      <c r="Y944" s="191"/>
      <c r="Z944" s="191"/>
      <c r="AA944" s="191"/>
      <c r="AB944" s="191"/>
      <c r="AC944" s="191"/>
      <c r="AD944" s="191"/>
      <c r="AE944" s="191"/>
      <c r="AF944" s="191"/>
      <c r="AG944" s="191"/>
      <c r="AH944" s="191"/>
      <c r="AI944" s="127"/>
      <c r="AJ944" s="191"/>
      <c r="AK944" s="191"/>
      <c r="AL944" s="190"/>
      <c r="AM944" s="191"/>
    </row>
    <row r="945" spans="5:39">
      <c r="E945" s="21"/>
      <c r="Q945" s="191"/>
      <c r="R945" s="191"/>
      <c r="S945" s="191"/>
      <c r="T945" s="127"/>
      <c r="U945" s="127"/>
      <c r="V945" s="191"/>
      <c r="W945" s="190"/>
      <c r="X945" s="191"/>
      <c r="Y945" s="191"/>
      <c r="Z945" s="191"/>
      <c r="AA945" s="191"/>
      <c r="AB945" s="191"/>
      <c r="AC945" s="191"/>
      <c r="AD945" s="191"/>
      <c r="AE945" s="191"/>
      <c r="AF945" s="191"/>
      <c r="AG945" s="191"/>
      <c r="AH945" s="191"/>
      <c r="AI945" s="127"/>
      <c r="AJ945" s="191"/>
      <c r="AK945" s="191"/>
      <c r="AL945" s="190"/>
      <c r="AM945" s="191"/>
    </row>
    <row r="946" spans="5:39">
      <c r="E946" s="21"/>
      <c r="Q946" s="191"/>
      <c r="R946" s="191"/>
      <c r="S946" s="191"/>
      <c r="T946" s="127"/>
      <c r="U946" s="127"/>
      <c r="V946" s="191"/>
      <c r="W946" s="190"/>
      <c r="X946" s="191"/>
      <c r="Y946" s="191"/>
      <c r="Z946" s="191"/>
      <c r="AA946" s="191"/>
      <c r="AB946" s="191"/>
      <c r="AC946" s="191"/>
      <c r="AD946" s="191"/>
      <c r="AE946" s="191"/>
      <c r="AF946" s="191"/>
      <c r="AG946" s="191"/>
      <c r="AH946" s="191"/>
      <c r="AI946" s="127"/>
      <c r="AJ946" s="191"/>
      <c r="AK946" s="191"/>
      <c r="AL946" s="190"/>
      <c r="AM946" s="191"/>
    </row>
    <row r="947" spans="5:39">
      <c r="E947" s="21"/>
      <c r="Q947" s="191"/>
      <c r="R947" s="191"/>
      <c r="S947" s="191"/>
      <c r="T947" s="127"/>
      <c r="U947" s="127"/>
      <c r="V947" s="191"/>
      <c r="W947" s="190"/>
      <c r="X947" s="191"/>
      <c r="Y947" s="191"/>
      <c r="Z947" s="191"/>
      <c r="AA947" s="191"/>
      <c r="AB947" s="191"/>
      <c r="AC947" s="191"/>
      <c r="AD947" s="191"/>
      <c r="AE947" s="191"/>
      <c r="AF947" s="191"/>
      <c r="AG947" s="191"/>
      <c r="AH947" s="191"/>
      <c r="AI947" s="127"/>
      <c r="AJ947" s="191"/>
      <c r="AK947" s="191"/>
      <c r="AL947" s="190"/>
      <c r="AM947" s="191"/>
    </row>
    <row r="948" spans="5:39">
      <c r="E948" s="21"/>
      <c r="Q948" s="191"/>
      <c r="R948" s="191"/>
      <c r="S948" s="191"/>
      <c r="T948" s="127"/>
      <c r="U948" s="127"/>
      <c r="V948" s="191"/>
      <c r="W948" s="190"/>
      <c r="X948" s="191"/>
      <c r="Y948" s="191"/>
      <c r="Z948" s="191"/>
      <c r="AA948" s="191"/>
      <c r="AB948" s="191"/>
      <c r="AC948" s="191"/>
      <c r="AD948" s="191"/>
      <c r="AE948" s="191"/>
      <c r="AF948" s="191"/>
      <c r="AG948" s="191"/>
      <c r="AH948" s="191"/>
      <c r="AI948" s="127"/>
      <c r="AJ948" s="191"/>
      <c r="AK948" s="191"/>
      <c r="AL948" s="190"/>
      <c r="AM948" s="191"/>
    </row>
    <row r="949" spans="5:39">
      <c r="E949" s="21"/>
      <c r="Q949" s="191"/>
      <c r="R949" s="191"/>
      <c r="S949" s="191"/>
      <c r="T949" s="127"/>
      <c r="U949" s="127"/>
      <c r="V949" s="191"/>
      <c r="W949" s="190"/>
      <c r="X949" s="191"/>
      <c r="Y949" s="191"/>
      <c r="Z949" s="191"/>
      <c r="AA949" s="191"/>
      <c r="AB949" s="191"/>
      <c r="AC949" s="191"/>
      <c r="AD949" s="191"/>
      <c r="AE949" s="191"/>
      <c r="AF949" s="191"/>
      <c r="AG949" s="191"/>
      <c r="AH949" s="191"/>
      <c r="AI949" s="127"/>
      <c r="AJ949" s="191"/>
      <c r="AK949" s="191"/>
      <c r="AL949" s="190"/>
      <c r="AM949" s="191"/>
    </row>
    <row r="950" spans="5:39">
      <c r="E950" s="21"/>
      <c r="Q950" s="191"/>
      <c r="R950" s="191"/>
      <c r="S950" s="191"/>
      <c r="T950" s="127"/>
      <c r="U950" s="127"/>
      <c r="V950" s="191"/>
      <c r="W950" s="190"/>
      <c r="X950" s="191"/>
      <c r="Y950" s="191"/>
      <c r="Z950" s="191"/>
      <c r="AA950" s="191"/>
      <c r="AB950" s="191"/>
      <c r="AC950" s="191"/>
      <c r="AD950" s="191"/>
      <c r="AE950" s="191"/>
      <c r="AF950" s="191"/>
      <c r="AG950" s="191"/>
      <c r="AH950" s="191"/>
      <c r="AI950" s="127"/>
      <c r="AJ950" s="191"/>
      <c r="AK950" s="191"/>
      <c r="AL950" s="190"/>
      <c r="AM950" s="191"/>
    </row>
    <row r="951" spans="5:39">
      <c r="E951" s="21"/>
      <c r="Q951" s="191"/>
      <c r="R951" s="191"/>
      <c r="S951" s="191"/>
      <c r="T951" s="127"/>
      <c r="U951" s="127"/>
      <c r="V951" s="191"/>
      <c r="W951" s="190"/>
      <c r="X951" s="191"/>
      <c r="Y951" s="191"/>
      <c r="Z951" s="191"/>
      <c r="AA951" s="191"/>
      <c r="AB951" s="191"/>
      <c r="AC951" s="191"/>
      <c r="AD951" s="191"/>
      <c r="AE951" s="191"/>
      <c r="AF951" s="191"/>
      <c r="AG951" s="191"/>
      <c r="AH951" s="191"/>
      <c r="AI951" s="127"/>
      <c r="AJ951" s="191"/>
      <c r="AK951" s="191"/>
      <c r="AL951" s="190"/>
      <c r="AM951" s="191"/>
    </row>
    <row r="952" spans="5:39">
      <c r="E952" s="21"/>
      <c r="Q952" s="191"/>
      <c r="R952" s="191"/>
      <c r="S952" s="191"/>
      <c r="T952" s="127"/>
      <c r="U952" s="127"/>
      <c r="V952" s="191"/>
      <c r="W952" s="190"/>
      <c r="X952" s="191"/>
      <c r="Y952" s="191"/>
      <c r="Z952" s="191"/>
      <c r="AA952" s="191"/>
      <c r="AB952" s="191"/>
      <c r="AC952" s="191"/>
      <c r="AD952" s="191"/>
      <c r="AE952" s="191"/>
      <c r="AF952" s="191"/>
      <c r="AG952" s="191"/>
      <c r="AH952" s="191"/>
      <c r="AI952" s="127"/>
      <c r="AJ952" s="191"/>
      <c r="AK952" s="191"/>
      <c r="AL952" s="190"/>
      <c r="AM952" s="191"/>
    </row>
    <row r="953" spans="5:39">
      <c r="E953" s="21"/>
      <c r="Q953" s="191"/>
      <c r="R953" s="191"/>
      <c r="S953" s="191"/>
      <c r="T953" s="127"/>
      <c r="U953" s="127"/>
      <c r="V953" s="191"/>
      <c r="W953" s="190"/>
      <c r="X953" s="191"/>
      <c r="Y953" s="191"/>
      <c r="Z953" s="191"/>
      <c r="AA953" s="191"/>
      <c r="AB953" s="191"/>
      <c r="AC953" s="191"/>
      <c r="AD953" s="191"/>
      <c r="AE953" s="191"/>
      <c r="AF953" s="191"/>
      <c r="AG953" s="191"/>
      <c r="AH953" s="191"/>
      <c r="AI953" s="127"/>
      <c r="AJ953" s="191"/>
      <c r="AK953" s="191"/>
      <c r="AL953" s="190"/>
      <c r="AM953" s="191"/>
    </row>
    <row r="954" spans="5:39">
      <c r="E954" s="21"/>
      <c r="Q954" s="191"/>
      <c r="R954" s="191"/>
      <c r="S954" s="191"/>
      <c r="T954" s="127"/>
      <c r="U954" s="127"/>
      <c r="V954" s="191"/>
      <c r="W954" s="190"/>
      <c r="X954" s="191"/>
      <c r="Y954" s="191"/>
      <c r="Z954" s="191"/>
      <c r="AA954" s="191"/>
      <c r="AB954" s="191"/>
      <c r="AC954" s="191"/>
      <c r="AD954" s="191"/>
      <c r="AE954" s="191"/>
      <c r="AF954" s="191"/>
      <c r="AG954" s="191"/>
      <c r="AH954" s="191"/>
      <c r="AI954" s="127"/>
      <c r="AJ954" s="191"/>
      <c r="AK954" s="191"/>
      <c r="AL954" s="190"/>
      <c r="AM954" s="191"/>
    </row>
    <row r="955" spans="5:39">
      <c r="E955" s="21"/>
      <c r="Q955" s="191"/>
      <c r="R955" s="191"/>
      <c r="S955" s="191"/>
      <c r="T955" s="127"/>
      <c r="U955" s="127"/>
      <c r="V955" s="191"/>
      <c r="W955" s="190"/>
      <c r="X955" s="191"/>
      <c r="Y955" s="191"/>
      <c r="Z955" s="191"/>
      <c r="AA955" s="191"/>
      <c r="AB955" s="191"/>
      <c r="AC955" s="191"/>
      <c r="AD955" s="191"/>
      <c r="AE955" s="191"/>
      <c r="AF955" s="191"/>
      <c r="AG955" s="191"/>
      <c r="AH955" s="191"/>
      <c r="AI955" s="127"/>
      <c r="AJ955" s="191"/>
      <c r="AK955" s="191"/>
      <c r="AL955" s="190"/>
      <c r="AM955" s="191"/>
    </row>
    <row r="956" spans="5:39">
      <c r="E956" s="21"/>
      <c r="Q956" s="191"/>
      <c r="R956" s="191"/>
      <c r="S956" s="191"/>
      <c r="T956" s="127"/>
      <c r="U956" s="127"/>
      <c r="V956" s="191"/>
      <c r="W956" s="190"/>
      <c r="X956" s="191"/>
      <c r="Y956" s="191"/>
      <c r="Z956" s="191"/>
      <c r="AA956" s="191"/>
      <c r="AB956" s="191"/>
      <c r="AC956" s="191"/>
      <c r="AD956" s="191"/>
      <c r="AE956" s="191"/>
      <c r="AF956" s="191"/>
      <c r="AG956" s="191"/>
      <c r="AH956" s="191"/>
      <c r="AI956" s="127"/>
      <c r="AJ956" s="191"/>
      <c r="AK956" s="191"/>
      <c r="AL956" s="190"/>
      <c r="AM956" s="191"/>
    </row>
    <row r="957" spans="5:39">
      <c r="E957" s="21"/>
      <c r="Q957" s="191"/>
      <c r="R957" s="191"/>
      <c r="S957" s="191"/>
      <c r="T957" s="127"/>
      <c r="U957" s="127"/>
      <c r="V957" s="191"/>
      <c r="W957" s="190"/>
      <c r="X957" s="191"/>
      <c r="Y957" s="191"/>
      <c r="Z957" s="191"/>
      <c r="AA957" s="191"/>
      <c r="AB957" s="191"/>
      <c r="AC957" s="191"/>
      <c r="AD957" s="191"/>
      <c r="AE957" s="191"/>
      <c r="AF957" s="191"/>
      <c r="AG957" s="191"/>
      <c r="AH957" s="191"/>
      <c r="AI957" s="127"/>
      <c r="AJ957" s="191"/>
      <c r="AK957" s="191"/>
      <c r="AL957" s="190"/>
      <c r="AM957" s="191"/>
    </row>
    <row r="958" spans="5:39">
      <c r="E958" s="21"/>
      <c r="Q958" s="191"/>
      <c r="R958" s="191"/>
      <c r="S958" s="191"/>
      <c r="T958" s="127"/>
      <c r="U958" s="127"/>
      <c r="V958" s="191"/>
      <c r="W958" s="190"/>
      <c r="X958" s="191"/>
      <c r="Y958" s="191"/>
      <c r="Z958" s="191"/>
      <c r="AA958" s="191"/>
      <c r="AB958" s="191"/>
      <c r="AC958" s="191"/>
      <c r="AD958" s="191"/>
      <c r="AE958" s="191"/>
      <c r="AF958" s="191"/>
      <c r="AG958" s="191"/>
      <c r="AH958" s="191"/>
      <c r="AI958" s="127"/>
      <c r="AJ958" s="191"/>
      <c r="AK958" s="191"/>
      <c r="AL958" s="190"/>
      <c r="AM958" s="191"/>
    </row>
    <row r="959" spans="5:39">
      <c r="E959" s="21"/>
      <c r="Q959" s="191"/>
      <c r="R959" s="191"/>
      <c r="S959" s="191"/>
      <c r="T959" s="127"/>
      <c r="U959" s="127"/>
      <c r="V959" s="191"/>
      <c r="W959" s="190"/>
      <c r="X959" s="191"/>
      <c r="Y959" s="191"/>
      <c r="Z959" s="191"/>
      <c r="AA959" s="191"/>
      <c r="AB959" s="191"/>
      <c r="AC959" s="191"/>
      <c r="AD959" s="191"/>
      <c r="AE959" s="191"/>
      <c r="AF959" s="191"/>
      <c r="AG959" s="191"/>
      <c r="AH959" s="191"/>
      <c r="AI959" s="127"/>
      <c r="AJ959" s="191"/>
      <c r="AK959" s="191"/>
      <c r="AL959" s="190"/>
      <c r="AM959" s="191"/>
    </row>
    <row r="960" spans="5:39">
      <c r="E960" s="21"/>
      <c r="Q960" s="191"/>
      <c r="R960" s="191"/>
      <c r="S960" s="191"/>
      <c r="T960" s="127"/>
      <c r="U960" s="127"/>
      <c r="V960" s="191"/>
      <c r="W960" s="190"/>
      <c r="X960" s="191"/>
      <c r="Y960" s="191"/>
      <c r="Z960" s="191"/>
      <c r="AA960" s="191"/>
      <c r="AB960" s="191"/>
      <c r="AC960" s="191"/>
      <c r="AD960" s="191"/>
      <c r="AE960" s="191"/>
      <c r="AF960" s="191"/>
      <c r="AG960" s="191"/>
      <c r="AH960" s="191"/>
      <c r="AI960" s="127"/>
      <c r="AJ960" s="191"/>
      <c r="AK960" s="191"/>
      <c r="AL960" s="190"/>
      <c r="AM960" s="191"/>
    </row>
    <row r="961" spans="5:39">
      <c r="E961" s="21"/>
      <c r="Q961" s="191"/>
      <c r="R961" s="191"/>
      <c r="S961" s="191"/>
      <c r="T961" s="127"/>
      <c r="U961" s="127"/>
      <c r="V961" s="191"/>
      <c r="W961" s="190"/>
      <c r="X961" s="191"/>
      <c r="Y961" s="191"/>
      <c r="Z961" s="191"/>
      <c r="AA961" s="191"/>
      <c r="AB961" s="191"/>
      <c r="AC961" s="191"/>
      <c r="AD961" s="191"/>
      <c r="AE961" s="191"/>
      <c r="AF961" s="191"/>
      <c r="AG961" s="191"/>
      <c r="AH961" s="191"/>
      <c r="AI961" s="127"/>
      <c r="AJ961" s="191"/>
      <c r="AK961" s="191"/>
      <c r="AL961" s="190"/>
      <c r="AM961" s="191"/>
    </row>
    <row r="962" spans="5:39">
      <c r="E962" s="21"/>
      <c r="Q962" s="191"/>
      <c r="R962" s="191"/>
      <c r="S962" s="191"/>
      <c r="T962" s="127"/>
      <c r="U962" s="127"/>
      <c r="V962" s="191"/>
      <c r="W962" s="190"/>
      <c r="X962" s="191"/>
      <c r="Y962" s="191"/>
      <c r="Z962" s="191"/>
      <c r="AA962" s="191"/>
      <c r="AB962" s="191"/>
      <c r="AC962" s="191"/>
      <c r="AD962" s="191"/>
      <c r="AE962" s="191"/>
      <c r="AF962" s="191"/>
      <c r="AG962" s="191"/>
      <c r="AH962" s="191"/>
      <c r="AI962" s="127"/>
      <c r="AJ962" s="191"/>
      <c r="AK962" s="191"/>
      <c r="AL962" s="190"/>
      <c r="AM962" s="191"/>
    </row>
    <row r="963" spans="5:39">
      <c r="E963" s="21"/>
      <c r="Q963" s="191"/>
      <c r="R963" s="191"/>
      <c r="S963" s="191"/>
      <c r="T963" s="127"/>
      <c r="U963" s="127"/>
      <c r="V963" s="191"/>
      <c r="W963" s="190"/>
      <c r="X963" s="191"/>
      <c r="Y963" s="191"/>
      <c r="Z963" s="191"/>
      <c r="AA963" s="191"/>
      <c r="AB963" s="191"/>
      <c r="AC963" s="191"/>
      <c r="AD963" s="191"/>
      <c r="AE963" s="191"/>
      <c r="AF963" s="191"/>
      <c r="AG963" s="191"/>
      <c r="AH963" s="191"/>
      <c r="AI963" s="127"/>
      <c r="AJ963" s="191"/>
      <c r="AK963" s="191"/>
      <c r="AL963" s="190"/>
      <c r="AM963" s="191"/>
    </row>
    <row r="964" spans="5:39">
      <c r="E964" s="21"/>
      <c r="Q964" s="191"/>
      <c r="R964" s="191"/>
      <c r="S964" s="191"/>
      <c r="T964" s="127"/>
      <c r="U964" s="127"/>
      <c r="V964" s="191"/>
      <c r="W964" s="190"/>
      <c r="X964" s="191"/>
      <c r="Y964" s="191"/>
      <c r="Z964" s="191"/>
      <c r="AA964" s="191"/>
      <c r="AB964" s="191"/>
      <c r="AC964" s="191"/>
      <c r="AD964" s="191"/>
      <c r="AE964" s="191"/>
      <c r="AF964" s="191"/>
      <c r="AG964" s="191"/>
      <c r="AH964" s="191"/>
      <c r="AI964" s="127"/>
      <c r="AJ964" s="191"/>
      <c r="AK964" s="191"/>
      <c r="AL964" s="190"/>
      <c r="AM964" s="191"/>
    </row>
    <row r="965" spans="5:39">
      <c r="E965" s="21"/>
      <c r="Q965" s="191"/>
      <c r="R965" s="191"/>
      <c r="S965" s="191"/>
      <c r="T965" s="127"/>
      <c r="U965" s="127"/>
      <c r="V965" s="191"/>
      <c r="W965" s="190"/>
      <c r="X965" s="191"/>
      <c r="Y965" s="191"/>
      <c r="Z965" s="191"/>
      <c r="AA965" s="191"/>
      <c r="AB965" s="191"/>
      <c r="AC965" s="191"/>
      <c r="AD965" s="191"/>
      <c r="AE965" s="191"/>
      <c r="AF965" s="191"/>
      <c r="AG965" s="191"/>
      <c r="AH965" s="191"/>
      <c r="AI965" s="127"/>
      <c r="AJ965" s="191"/>
      <c r="AK965" s="191"/>
      <c r="AL965" s="190"/>
      <c r="AM965" s="191"/>
    </row>
    <row r="966" spans="5:39">
      <c r="E966" s="21"/>
      <c r="Q966" s="191"/>
      <c r="R966" s="191"/>
      <c r="S966" s="191"/>
      <c r="T966" s="127"/>
      <c r="U966" s="127"/>
      <c r="V966" s="191"/>
      <c r="W966" s="190"/>
      <c r="X966" s="191"/>
      <c r="Y966" s="191"/>
      <c r="Z966" s="191"/>
      <c r="AA966" s="191"/>
      <c r="AB966" s="191"/>
      <c r="AC966" s="191"/>
      <c r="AD966" s="191"/>
      <c r="AE966" s="191"/>
      <c r="AF966" s="191"/>
      <c r="AG966" s="191"/>
      <c r="AH966" s="191"/>
      <c r="AI966" s="127"/>
      <c r="AJ966" s="191"/>
      <c r="AK966" s="191"/>
      <c r="AL966" s="190"/>
      <c r="AM966" s="191"/>
    </row>
    <row r="967" spans="5:39">
      <c r="E967" s="21"/>
      <c r="Q967" s="191"/>
      <c r="R967" s="191"/>
      <c r="S967" s="191"/>
      <c r="T967" s="127"/>
      <c r="U967" s="127"/>
      <c r="V967" s="191"/>
      <c r="W967" s="190"/>
      <c r="X967" s="191"/>
      <c r="Y967" s="191"/>
      <c r="Z967" s="191"/>
      <c r="AA967" s="191"/>
      <c r="AB967" s="191"/>
      <c r="AC967" s="191"/>
      <c r="AD967" s="191"/>
      <c r="AE967" s="191"/>
      <c r="AF967" s="191"/>
      <c r="AG967" s="191"/>
      <c r="AH967" s="191"/>
      <c r="AI967" s="127"/>
      <c r="AJ967" s="191"/>
      <c r="AK967" s="191"/>
      <c r="AL967" s="190"/>
      <c r="AM967" s="191"/>
    </row>
    <row r="968" spans="5:39">
      <c r="E968" s="21"/>
      <c r="Q968" s="191"/>
      <c r="R968" s="191"/>
      <c r="S968" s="191"/>
      <c r="T968" s="127"/>
      <c r="U968" s="127"/>
      <c r="V968" s="191"/>
      <c r="W968" s="190"/>
      <c r="X968" s="191"/>
      <c r="Y968" s="191"/>
      <c r="Z968" s="191"/>
      <c r="AA968" s="191"/>
      <c r="AB968" s="191"/>
      <c r="AC968" s="191"/>
      <c r="AD968" s="191"/>
      <c r="AE968" s="191"/>
      <c r="AF968" s="191"/>
      <c r="AG968" s="191"/>
      <c r="AH968" s="191"/>
      <c r="AI968" s="127"/>
      <c r="AJ968" s="191"/>
      <c r="AK968" s="191"/>
      <c r="AL968" s="190"/>
      <c r="AM968" s="191"/>
    </row>
    <row r="969" spans="5:39">
      <c r="E969" s="21"/>
      <c r="Q969" s="191"/>
      <c r="R969" s="191"/>
      <c r="S969" s="191"/>
      <c r="T969" s="127"/>
      <c r="U969" s="127"/>
      <c r="V969" s="191"/>
      <c r="W969" s="190"/>
      <c r="X969" s="191"/>
      <c r="Y969" s="191"/>
      <c r="Z969" s="191"/>
      <c r="AA969" s="191"/>
      <c r="AB969" s="191"/>
      <c r="AC969" s="191"/>
      <c r="AD969" s="191"/>
      <c r="AE969" s="191"/>
      <c r="AF969" s="191"/>
      <c r="AG969" s="191"/>
      <c r="AH969" s="191"/>
      <c r="AI969" s="127"/>
      <c r="AJ969" s="191"/>
      <c r="AK969" s="191"/>
      <c r="AL969" s="190"/>
      <c r="AM969" s="191"/>
    </row>
    <row r="970" spans="5:39">
      <c r="E970" s="21"/>
      <c r="Q970" s="191"/>
      <c r="R970" s="191"/>
      <c r="S970" s="191"/>
      <c r="T970" s="127"/>
      <c r="U970" s="127"/>
      <c r="V970" s="191"/>
      <c r="W970" s="190"/>
      <c r="X970" s="191"/>
      <c r="Y970" s="191"/>
      <c r="Z970" s="191"/>
      <c r="AA970" s="191"/>
      <c r="AB970" s="191"/>
      <c r="AC970" s="191"/>
      <c r="AD970" s="191"/>
      <c r="AE970" s="191"/>
      <c r="AF970" s="191"/>
      <c r="AG970" s="191"/>
      <c r="AH970" s="191"/>
      <c r="AI970" s="127"/>
      <c r="AJ970" s="191"/>
      <c r="AK970" s="191"/>
      <c r="AL970" s="190"/>
      <c r="AM970" s="191"/>
    </row>
    <row r="971" spans="5:39">
      <c r="E971" s="21"/>
      <c r="Q971" s="191"/>
      <c r="R971" s="191"/>
      <c r="S971" s="191"/>
      <c r="T971" s="127"/>
      <c r="U971" s="127"/>
      <c r="V971" s="191"/>
      <c r="W971" s="190"/>
      <c r="X971" s="191"/>
      <c r="Y971" s="191"/>
      <c r="Z971" s="191"/>
      <c r="AA971" s="191"/>
      <c r="AB971" s="191"/>
      <c r="AC971" s="191"/>
      <c r="AD971" s="191"/>
      <c r="AE971" s="191"/>
      <c r="AF971" s="191"/>
      <c r="AG971" s="191"/>
      <c r="AH971" s="191"/>
      <c r="AI971" s="127"/>
      <c r="AJ971" s="191"/>
      <c r="AK971" s="191"/>
      <c r="AL971" s="190"/>
      <c r="AM971" s="191"/>
    </row>
    <row r="972" spans="5:39">
      <c r="E972" s="21"/>
      <c r="Q972" s="191"/>
      <c r="R972" s="191"/>
      <c r="S972" s="191"/>
      <c r="T972" s="127"/>
      <c r="U972" s="127"/>
      <c r="V972" s="191"/>
      <c r="W972" s="190"/>
      <c r="X972" s="191"/>
      <c r="Y972" s="191"/>
      <c r="Z972" s="191"/>
      <c r="AA972" s="191"/>
      <c r="AB972" s="191"/>
      <c r="AC972" s="191"/>
      <c r="AD972" s="191"/>
      <c r="AE972" s="191"/>
      <c r="AF972" s="191"/>
      <c r="AG972" s="191"/>
      <c r="AH972" s="191"/>
      <c r="AI972" s="127"/>
      <c r="AJ972" s="191"/>
      <c r="AK972" s="191"/>
      <c r="AL972" s="190"/>
      <c r="AM972" s="191"/>
    </row>
    <row r="973" spans="5:39">
      <c r="E973" s="21"/>
      <c r="Q973" s="191"/>
      <c r="R973" s="191"/>
      <c r="S973" s="191"/>
      <c r="T973" s="127"/>
      <c r="U973" s="127"/>
      <c r="V973" s="191"/>
      <c r="W973" s="190"/>
      <c r="X973" s="191"/>
      <c r="Y973" s="191"/>
      <c r="Z973" s="191"/>
      <c r="AA973" s="191"/>
      <c r="AB973" s="191"/>
      <c r="AC973" s="191"/>
      <c r="AD973" s="191"/>
      <c r="AE973" s="191"/>
      <c r="AF973" s="191"/>
      <c r="AG973" s="191"/>
      <c r="AH973" s="191"/>
      <c r="AI973" s="127"/>
      <c r="AJ973" s="191"/>
      <c r="AK973" s="191"/>
      <c r="AL973" s="190"/>
      <c r="AM973" s="191"/>
    </row>
    <row r="974" spans="5:39">
      <c r="E974" s="21"/>
      <c r="Q974" s="191"/>
      <c r="R974" s="191"/>
      <c r="S974" s="191"/>
      <c r="T974" s="127"/>
      <c r="U974" s="127"/>
      <c r="V974" s="191"/>
      <c r="W974" s="190"/>
      <c r="X974" s="191"/>
      <c r="Y974" s="191"/>
      <c r="Z974" s="191"/>
      <c r="AA974" s="191"/>
      <c r="AB974" s="191"/>
      <c r="AC974" s="191"/>
      <c r="AD974" s="191"/>
      <c r="AE974" s="191"/>
      <c r="AF974" s="191"/>
      <c r="AG974" s="191"/>
      <c r="AH974" s="191"/>
      <c r="AI974" s="127"/>
      <c r="AJ974" s="191"/>
      <c r="AK974" s="191"/>
      <c r="AL974" s="190"/>
      <c r="AM974" s="191"/>
    </row>
    <row r="975" spans="5:39">
      <c r="E975" s="21"/>
      <c r="Q975" s="191"/>
      <c r="R975" s="191"/>
      <c r="S975" s="191"/>
      <c r="T975" s="127"/>
      <c r="U975" s="127"/>
      <c r="V975" s="191"/>
      <c r="W975" s="190"/>
      <c r="X975" s="191"/>
      <c r="Y975" s="191"/>
      <c r="Z975" s="191"/>
      <c r="AA975" s="191"/>
      <c r="AB975" s="191"/>
      <c r="AC975" s="191"/>
      <c r="AD975" s="191"/>
      <c r="AE975" s="191"/>
      <c r="AF975" s="191"/>
      <c r="AG975" s="191"/>
      <c r="AH975" s="191"/>
      <c r="AI975" s="127"/>
      <c r="AJ975" s="191"/>
      <c r="AK975" s="191"/>
      <c r="AL975" s="190"/>
      <c r="AM975" s="191"/>
    </row>
    <row r="976" spans="5:39">
      <c r="E976" s="21"/>
      <c r="Q976" s="191"/>
      <c r="R976" s="191"/>
      <c r="S976" s="191"/>
      <c r="T976" s="127"/>
      <c r="U976" s="127"/>
      <c r="V976" s="191"/>
      <c r="W976" s="190"/>
      <c r="X976" s="191"/>
      <c r="Y976" s="191"/>
      <c r="Z976" s="191"/>
      <c r="AA976" s="191"/>
      <c r="AB976" s="191"/>
      <c r="AC976" s="191"/>
      <c r="AD976" s="191"/>
      <c r="AE976" s="191"/>
      <c r="AF976" s="191"/>
      <c r="AG976" s="191"/>
      <c r="AH976" s="191"/>
      <c r="AI976" s="127"/>
      <c r="AJ976" s="191"/>
      <c r="AK976" s="191"/>
      <c r="AL976" s="190"/>
      <c r="AM976" s="191"/>
    </row>
    <row r="977" spans="5:39">
      <c r="E977" s="21"/>
      <c r="Q977" s="191"/>
      <c r="R977" s="191"/>
      <c r="S977" s="191"/>
      <c r="T977" s="127"/>
      <c r="U977" s="127"/>
      <c r="V977" s="191"/>
      <c r="W977" s="190"/>
      <c r="X977" s="191"/>
      <c r="Y977" s="191"/>
      <c r="Z977" s="191"/>
      <c r="AA977" s="191"/>
      <c r="AB977" s="191"/>
      <c r="AC977" s="191"/>
      <c r="AD977" s="191"/>
      <c r="AE977" s="191"/>
      <c r="AF977" s="191"/>
      <c r="AG977" s="191"/>
      <c r="AH977" s="191"/>
      <c r="AI977" s="127"/>
      <c r="AJ977" s="191"/>
      <c r="AK977" s="191"/>
      <c r="AL977" s="190"/>
      <c r="AM977" s="191"/>
    </row>
    <row r="978" spans="5:39">
      <c r="E978" s="21"/>
      <c r="Q978" s="191"/>
      <c r="R978" s="191"/>
      <c r="S978" s="191"/>
      <c r="T978" s="127"/>
      <c r="U978" s="127"/>
      <c r="V978" s="191"/>
      <c r="W978" s="190"/>
      <c r="X978" s="191"/>
      <c r="Y978" s="191"/>
      <c r="Z978" s="191"/>
      <c r="AA978" s="191"/>
      <c r="AB978" s="191"/>
      <c r="AC978" s="191"/>
      <c r="AD978" s="191"/>
      <c r="AE978" s="191"/>
      <c r="AF978" s="191"/>
      <c r="AG978" s="191"/>
      <c r="AH978" s="191"/>
      <c r="AI978" s="127"/>
      <c r="AJ978" s="191"/>
      <c r="AK978" s="191"/>
      <c r="AL978" s="190"/>
      <c r="AM978" s="191"/>
    </row>
    <row r="979" spans="5:39">
      <c r="E979" s="21"/>
      <c r="Q979" s="191"/>
      <c r="R979" s="191"/>
      <c r="S979" s="191"/>
      <c r="T979" s="127"/>
      <c r="U979" s="127"/>
      <c r="V979" s="191"/>
      <c r="W979" s="190"/>
      <c r="X979" s="191"/>
      <c r="Y979" s="191"/>
      <c r="Z979" s="191"/>
      <c r="AA979" s="191"/>
      <c r="AB979" s="191"/>
      <c r="AC979" s="191"/>
      <c r="AD979" s="191"/>
      <c r="AE979" s="191"/>
      <c r="AF979" s="191"/>
      <c r="AG979" s="191"/>
      <c r="AH979" s="191"/>
      <c r="AI979" s="127"/>
      <c r="AJ979" s="191"/>
      <c r="AK979" s="191"/>
      <c r="AL979" s="190"/>
      <c r="AM979" s="191"/>
    </row>
    <row r="980" spans="5:39">
      <c r="E980" s="21"/>
      <c r="Q980" s="191"/>
      <c r="R980" s="191"/>
      <c r="S980" s="191"/>
      <c r="T980" s="127"/>
      <c r="U980" s="127"/>
      <c r="V980" s="191"/>
      <c r="W980" s="190"/>
      <c r="X980" s="191"/>
      <c r="Y980" s="191"/>
      <c r="Z980" s="191"/>
      <c r="AA980" s="191"/>
      <c r="AB980" s="191"/>
      <c r="AC980" s="191"/>
      <c r="AD980" s="191"/>
      <c r="AE980" s="191"/>
      <c r="AF980" s="191"/>
      <c r="AG980" s="191"/>
      <c r="AH980" s="191"/>
      <c r="AI980" s="127"/>
      <c r="AJ980" s="191"/>
      <c r="AK980" s="191"/>
      <c r="AL980" s="190"/>
      <c r="AM980" s="191"/>
    </row>
    <row r="981" spans="5:39">
      <c r="E981" s="21"/>
      <c r="Q981" s="191"/>
      <c r="R981" s="191"/>
      <c r="S981" s="191"/>
      <c r="T981" s="127"/>
      <c r="U981" s="127"/>
      <c r="V981" s="191"/>
      <c r="W981" s="190"/>
      <c r="X981" s="191"/>
      <c r="Y981" s="191"/>
      <c r="Z981" s="191"/>
      <c r="AA981" s="191"/>
      <c r="AB981" s="191"/>
      <c r="AC981" s="191"/>
      <c r="AD981" s="191"/>
      <c r="AE981" s="191"/>
      <c r="AF981" s="191"/>
      <c r="AG981" s="191"/>
      <c r="AH981" s="191"/>
      <c r="AI981" s="127"/>
      <c r="AJ981" s="191"/>
      <c r="AK981" s="191"/>
      <c r="AL981" s="190"/>
      <c r="AM981" s="191"/>
    </row>
    <row r="982" spans="5:39">
      <c r="E982" s="21"/>
      <c r="Q982" s="191"/>
      <c r="R982" s="191"/>
      <c r="S982" s="191"/>
      <c r="T982" s="127"/>
      <c r="U982" s="127"/>
      <c r="V982" s="191"/>
      <c r="W982" s="190"/>
      <c r="X982" s="191"/>
      <c r="Y982" s="191"/>
      <c r="Z982" s="191"/>
      <c r="AA982" s="191"/>
      <c r="AB982" s="191"/>
      <c r="AC982" s="191"/>
      <c r="AD982" s="191"/>
      <c r="AE982" s="191"/>
      <c r="AF982" s="191"/>
      <c r="AG982" s="191"/>
      <c r="AH982" s="191"/>
      <c r="AI982" s="127"/>
      <c r="AJ982" s="191"/>
      <c r="AK982" s="191"/>
      <c r="AL982" s="190"/>
      <c r="AM982" s="191"/>
    </row>
    <row r="983" spans="5:39">
      <c r="E983" s="21"/>
      <c r="Q983" s="191"/>
      <c r="R983" s="191"/>
      <c r="S983" s="191"/>
      <c r="T983" s="127"/>
      <c r="U983" s="127"/>
      <c r="V983" s="191"/>
      <c r="W983" s="190"/>
      <c r="X983" s="191"/>
      <c r="Y983" s="191"/>
      <c r="Z983" s="191"/>
      <c r="AA983" s="191"/>
      <c r="AB983" s="191"/>
      <c r="AC983" s="191"/>
      <c r="AD983" s="191"/>
      <c r="AE983" s="191"/>
      <c r="AF983" s="191"/>
      <c r="AG983" s="191"/>
      <c r="AH983" s="191"/>
      <c r="AI983" s="127"/>
      <c r="AJ983" s="191"/>
      <c r="AK983" s="191"/>
      <c r="AL983" s="190"/>
      <c r="AM983" s="191"/>
    </row>
    <row r="984" spans="5:39">
      <c r="E984" s="21"/>
      <c r="Q984" s="191"/>
      <c r="R984" s="191"/>
      <c r="S984" s="191"/>
      <c r="T984" s="127"/>
      <c r="U984" s="127"/>
      <c r="V984" s="191"/>
      <c r="W984" s="190"/>
      <c r="X984" s="191"/>
      <c r="Y984" s="191"/>
      <c r="Z984" s="191"/>
      <c r="AA984" s="191"/>
      <c r="AB984" s="191"/>
      <c r="AC984" s="191"/>
      <c r="AD984" s="191"/>
      <c r="AE984" s="191"/>
      <c r="AF984" s="191"/>
      <c r="AG984" s="191"/>
      <c r="AH984" s="191"/>
      <c r="AI984" s="127"/>
      <c r="AJ984" s="191"/>
      <c r="AK984" s="191"/>
      <c r="AL984" s="190"/>
      <c r="AM984" s="191"/>
    </row>
    <row r="985" spans="5:39">
      <c r="E985" s="21"/>
      <c r="Q985" s="191"/>
      <c r="R985" s="191"/>
      <c r="S985" s="191"/>
      <c r="T985" s="127"/>
      <c r="U985" s="127"/>
      <c r="V985" s="191"/>
      <c r="W985" s="190"/>
      <c r="X985" s="191"/>
      <c r="Y985" s="191"/>
      <c r="Z985" s="191"/>
      <c r="AA985" s="191"/>
      <c r="AB985" s="191"/>
      <c r="AC985" s="191"/>
      <c r="AD985" s="191"/>
      <c r="AE985" s="191"/>
      <c r="AF985" s="191"/>
      <c r="AG985" s="191"/>
      <c r="AH985" s="191"/>
      <c r="AI985" s="127"/>
      <c r="AJ985" s="191"/>
      <c r="AK985" s="191"/>
      <c r="AL985" s="190"/>
      <c r="AM985" s="191"/>
    </row>
    <row r="986" spans="5:39">
      <c r="E986" s="21"/>
      <c r="Q986" s="191"/>
      <c r="R986" s="191"/>
      <c r="S986" s="191"/>
      <c r="T986" s="127"/>
      <c r="U986" s="127"/>
      <c r="V986" s="191"/>
      <c r="W986" s="190"/>
      <c r="X986" s="191"/>
      <c r="Y986" s="191"/>
      <c r="Z986" s="191"/>
      <c r="AA986" s="191"/>
      <c r="AB986" s="191"/>
      <c r="AC986" s="191"/>
      <c r="AD986" s="191"/>
      <c r="AE986" s="191"/>
      <c r="AF986" s="191"/>
      <c r="AG986" s="191"/>
      <c r="AH986" s="191"/>
      <c r="AI986" s="127"/>
      <c r="AJ986" s="191"/>
      <c r="AK986" s="191"/>
      <c r="AL986" s="190"/>
      <c r="AM986" s="191"/>
    </row>
    <row r="987" spans="5:39">
      <c r="E987" s="21"/>
      <c r="Q987" s="191"/>
      <c r="R987" s="191"/>
      <c r="S987" s="191"/>
      <c r="T987" s="127"/>
      <c r="U987" s="127"/>
      <c r="V987" s="191"/>
      <c r="W987" s="190"/>
      <c r="X987" s="191"/>
      <c r="Y987" s="191"/>
      <c r="Z987" s="191"/>
      <c r="AA987" s="191"/>
      <c r="AB987" s="191"/>
      <c r="AC987" s="191"/>
      <c r="AD987" s="191"/>
      <c r="AE987" s="191"/>
      <c r="AF987" s="191"/>
      <c r="AG987" s="191"/>
      <c r="AH987" s="191"/>
      <c r="AI987" s="127"/>
      <c r="AJ987" s="191"/>
      <c r="AK987" s="191"/>
      <c r="AL987" s="190"/>
      <c r="AM987" s="191"/>
    </row>
    <row r="988" spans="5:39">
      <c r="E988" s="21"/>
      <c r="Q988" s="191"/>
      <c r="R988" s="191"/>
      <c r="S988" s="191"/>
      <c r="T988" s="127"/>
      <c r="U988" s="127"/>
      <c r="V988" s="191"/>
      <c r="W988" s="190"/>
      <c r="X988" s="191"/>
      <c r="Y988" s="191"/>
      <c r="Z988" s="191"/>
      <c r="AA988" s="191"/>
      <c r="AB988" s="191"/>
      <c r="AC988" s="191"/>
      <c r="AD988" s="191"/>
      <c r="AE988" s="191"/>
      <c r="AF988" s="191"/>
      <c r="AG988" s="191"/>
      <c r="AH988" s="191"/>
      <c r="AI988" s="127"/>
      <c r="AJ988" s="191"/>
      <c r="AK988" s="191"/>
      <c r="AL988" s="190"/>
      <c r="AM988" s="191"/>
    </row>
    <row r="989" spans="5:39">
      <c r="E989" s="21"/>
      <c r="Q989" s="191"/>
      <c r="R989" s="191"/>
      <c r="S989" s="191"/>
      <c r="T989" s="127"/>
      <c r="U989" s="127"/>
      <c r="V989" s="191"/>
      <c r="W989" s="190"/>
      <c r="X989" s="191"/>
      <c r="Y989" s="191"/>
      <c r="Z989" s="191"/>
      <c r="AA989" s="191"/>
      <c r="AB989" s="191"/>
      <c r="AC989" s="191"/>
      <c r="AD989" s="191"/>
      <c r="AE989" s="191"/>
      <c r="AF989" s="191"/>
      <c r="AG989" s="191"/>
      <c r="AH989" s="191"/>
      <c r="AI989" s="127"/>
      <c r="AJ989" s="191"/>
      <c r="AK989" s="191"/>
      <c r="AL989" s="190"/>
      <c r="AM989" s="191"/>
    </row>
    <row r="990" spans="5:39">
      <c r="E990" s="21"/>
      <c r="Q990" s="191"/>
      <c r="R990" s="191"/>
      <c r="S990" s="191"/>
      <c r="T990" s="127"/>
      <c r="U990" s="127"/>
      <c r="V990" s="191"/>
      <c r="W990" s="190"/>
      <c r="X990" s="191"/>
      <c r="Y990" s="191"/>
      <c r="Z990" s="191"/>
      <c r="AA990" s="191"/>
      <c r="AB990" s="191"/>
      <c r="AC990" s="191"/>
      <c r="AD990" s="191"/>
      <c r="AE990" s="191"/>
      <c r="AF990" s="191"/>
      <c r="AG990" s="191"/>
      <c r="AH990" s="191"/>
      <c r="AI990" s="127"/>
      <c r="AJ990" s="191"/>
      <c r="AK990" s="191"/>
      <c r="AL990" s="190"/>
      <c r="AM990" s="191"/>
    </row>
    <row r="991" spans="5:39">
      <c r="E991" s="21"/>
      <c r="Q991" s="191"/>
      <c r="R991" s="191"/>
      <c r="S991" s="191"/>
      <c r="T991" s="127"/>
      <c r="U991" s="127"/>
      <c r="V991" s="191"/>
      <c r="W991" s="190"/>
      <c r="X991" s="191"/>
      <c r="Y991" s="191"/>
      <c r="Z991" s="191"/>
      <c r="AA991" s="191"/>
      <c r="AB991" s="191"/>
      <c r="AC991" s="191"/>
      <c r="AD991" s="191"/>
      <c r="AE991" s="191"/>
      <c r="AF991" s="191"/>
      <c r="AG991" s="191"/>
      <c r="AH991" s="191"/>
      <c r="AI991" s="127"/>
      <c r="AJ991" s="191"/>
      <c r="AK991" s="191"/>
      <c r="AL991" s="190"/>
      <c r="AM991" s="191"/>
    </row>
    <row r="992" spans="5:39">
      <c r="E992" s="21"/>
      <c r="Q992" s="191"/>
      <c r="R992" s="191"/>
      <c r="S992" s="191"/>
      <c r="T992" s="127"/>
      <c r="U992" s="127"/>
      <c r="V992" s="191"/>
      <c r="W992" s="190"/>
      <c r="X992" s="191"/>
      <c r="Y992" s="191"/>
      <c r="Z992" s="191"/>
      <c r="AA992" s="191"/>
      <c r="AB992" s="191"/>
      <c r="AC992" s="191"/>
      <c r="AD992" s="191"/>
      <c r="AE992" s="191"/>
      <c r="AF992" s="191"/>
      <c r="AG992" s="191"/>
      <c r="AH992" s="191"/>
      <c r="AI992" s="127"/>
      <c r="AJ992" s="191"/>
      <c r="AK992" s="191"/>
      <c r="AL992" s="190"/>
      <c r="AM992" s="191"/>
    </row>
    <row r="993" spans="5:39">
      <c r="E993" s="21"/>
      <c r="Q993" s="191"/>
      <c r="R993" s="191"/>
      <c r="S993" s="191"/>
      <c r="T993" s="127"/>
      <c r="U993" s="127"/>
      <c r="V993" s="191"/>
      <c r="W993" s="190"/>
      <c r="X993" s="191"/>
      <c r="Y993" s="191"/>
      <c r="Z993" s="191"/>
      <c r="AA993" s="191"/>
      <c r="AB993" s="191"/>
      <c r="AC993" s="191"/>
      <c r="AD993" s="191"/>
      <c r="AE993" s="191"/>
      <c r="AF993" s="191"/>
      <c r="AG993" s="191"/>
      <c r="AH993" s="191"/>
      <c r="AI993" s="127"/>
      <c r="AJ993" s="191"/>
      <c r="AK993" s="191"/>
      <c r="AL993" s="190"/>
      <c r="AM993" s="191"/>
    </row>
    <row r="994" spans="5:39">
      <c r="E994" s="21"/>
      <c r="Q994" s="191"/>
      <c r="R994" s="191"/>
      <c r="S994" s="191"/>
      <c r="T994" s="127"/>
      <c r="U994" s="127"/>
      <c r="V994" s="191"/>
      <c r="W994" s="190"/>
      <c r="X994" s="191"/>
      <c r="Y994" s="191"/>
      <c r="Z994" s="191"/>
      <c r="AA994" s="191"/>
      <c r="AB994" s="191"/>
      <c r="AC994" s="191"/>
      <c r="AD994" s="191"/>
      <c r="AE994" s="191"/>
      <c r="AF994" s="191"/>
      <c r="AG994" s="191"/>
      <c r="AH994" s="191"/>
      <c r="AI994" s="127"/>
      <c r="AJ994" s="191"/>
      <c r="AK994" s="191"/>
      <c r="AL994" s="190"/>
      <c r="AM994" s="191"/>
    </row>
    <row r="995" spans="5:39">
      <c r="E995" s="21"/>
      <c r="Q995" s="191"/>
      <c r="R995" s="191"/>
      <c r="S995" s="191"/>
      <c r="T995" s="127"/>
      <c r="U995" s="127"/>
      <c r="V995" s="191"/>
      <c r="W995" s="190"/>
      <c r="X995" s="191"/>
      <c r="Y995" s="191"/>
      <c r="Z995" s="191"/>
      <c r="AA995" s="191"/>
      <c r="AB995" s="191"/>
      <c r="AC995" s="191"/>
      <c r="AD995" s="191"/>
      <c r="AE995" s="191"/>
      <c r="AF995" s="191"/>
      <c r="AG995" s="191"/>
      <c r="AH995" s="191"/>
      <c r="AI995" s="127"/>
      <c r="AJ995" s="191"/>
      <c r="AK995" s="191"/>
      <c r="AL995" s="190"/>
      <c r="AM995" s="191"/>
    </row>
    <row r="996" spans="5:39">
      <c r="E996" s="21"/>
      <c r="Q996" s="191"/>
      <c r="R996" s="191"/>
      <c r="S996" s="191"/>
      <c r="T996" s="127"/>
      <c r="U996" s="127"/>
      <c r="V996" s="191"/>
      <c r="W996" s="190"/>
      <c r="X996" s="191"/>
      <c r="Y996" s="191"/>
      <c r="Z996" s="191"/>
      <c r="AA996" s="191"/>
      <c r="AB996" s="191"/>
      <c r="AC996" s="191"/>
      <c r="AD996" s="191"/>
      <c r="AE996" s="191"/>
      <c r="AF996" s="191"/>
      <c r="AG996" s="191"/>
      <c r="AH996" s="191"/>
      <c r="AI996" s="127"/>
      <c r="AJ996" s="191"/>
      <c r="AK996" s="191"/>
      <c r="AL996" s="190"/>
      <c r="AM996" s="191"/>
    </row>
    <row r="997" spans="5:39">
      <c r="E997" s="21"/>
      <c r="Q997" s="191"/>
      <c r="R997" s="191"/>
      <c r="S997" s="191"/>
      <c r="T997" s="127"/>
      <c r="U997" s="127"/>
      <c r="V997" s="191"/>
      <c r="W997" s="190"/>
      <c r="X997" s="191"/>
      <c r="Y997" s="191"/>
      <c r="Z997" s="191"/>
      <c r="AA997" s="191"/>
      <c r="AB997" s="191"/>
      <c r="AC997" s="191"/>
      <c r="AD997" s="191"/>
      <c r="AE997" s="191"/>
      <c r="AF997" s="191"/>
      <c r="AG997" s="191"/>
      <c r="AH997" s="191"/>
      <c r="AI997" s="127"/>
      <c r="AJ997" s="191"/>
      <c r="AK997" s="191"/>
      <c r="AL997" s="190"/>
      <c r="AM997" s="191"/>
    </row>
    <row r="998" spans="5:39">
      <c r="E998" s="21"/>
      <c r="Q998" s="191"/>
      <c r="R998" s="191"/>
      <c r="S998" s="191"/>
      <c r="T998" s="127"/>
      <c r="U998" s="127"/>
      <c r="V998" s="191"/>
      <c r="W998" s="190"/>
      <c r="X998" s="191"/>
      <c r="Y998" s="191"/>
      <c r="Z998" s="191"/>
      <c r="AA998" s="191"/>
      <c r="AB998" s="191"/>
      <c r="AC998" s="191"/>
      <c r="AD998" s="191"/>
      <c r="AE998" s="191"/>
      <c r="AF998" s="191"/>
      <c r="AG998" s="191"/>
      <c r="AH998" s="191"/>
      <c r="AI998" s="127"/>
      <c r="AJ998" s="191"/>
      <c r="AK998" s="191"/>
      <c r="AL998" s="190"/>
      <c r="AM998" s="191"/>
    </row>
    <row r="999" spans="5:39">
      <c r="E999" s="21"/>
      <c r="Q999" s="191"/>
      <c r="R999" s="191"/>
      <c r="S999" s="191"/>
      <c r="T999" s="127"/>
      <c r="U999" s="127"/>
      <c r="V999" s="191"/>
      <c r="W999" s="190"/>
      <c r="X999" s="191"/>
      <c r="Y999" s="191"/>
      <c r="Z999" s="191"/>
      <c r="AA999" s="191"/>
      <c r="AB999" s="191"/>
      <c r="AC999" s="191"/>
      <c r="AD999" s="191"/>
      <c r="AE999" s="191"/>
      <c r="AF999" s="191"/>
      <c r="AG999" s="191"/>
      <c r="AH999" s="191"/>
      <c r="AI999" s="127"/>
      <c r="AJ999" s="191"/>
      <c r="AK999" s="191"/>
      <c r="AL999" s="190"/>
      <c r="AM999" s="191"/>
    </row>
    <row r="1000" spans="5:39">
      <c r="E1000" s="21"/>
      <c r="Q1000" s="191"/>
      <c r="R1000" s="191"/>
      <c r="S1000" s="191"/>
      <c r="T1000" s="127"/>
      <c r="U1000" s="127"/>
      <c r="V1000" s="191"/>
      <c r="W1000" s="190"/>
      <c r="X1000" s="191"/>
      <c r="Y1000" s="191"/>
      <c r="Z1000" s="191"/>
      <c r="AA1000" s="191"/>
      <c r="AB1000" s="191"/>
      <c r="AC1000" s="191"/>
      <c r="AD1000" s="191"/>
      <c r="AE1000" s="191"/>
      <c r="AF1000" s="191"/>
      <c r="AG1000" s="191"/>
      <c r="AH1000" s="191"/>
      <c r="AI1000" s="127"/>
      <c r="AJ1000" s="191"/>
      <c r="AK1000" s="191"/>
      <c r="AL1000" s="190"/>
      <c r="AM1000" s="191"/>
    </row>
    <row r="1001" spans="5:39">
      <c r="E1001" s="21"/>
      <c r="Q1001" s="191"/>
      <c r="R1001" s="191"/>
      <c r="S1001" s="191"/>
      <c r="T1001" s="127"/>
      <c r="U1001" s="127"/>
      <c r="V1001" s="191"/>
      <c r="W1001" s="190"/>
      <c r="X1001" s="191"/>
      <c r="Y1001" s="191"/>
      <c r="Z1001" s="191"/>
      <c r="AA1001" s="191"/>
      <c r="AB1001" s="191"/>
      <c r="AC1001" s="191"/>
      <c r="AD1001" s="191"/>
      <c r="AE1001" s="191"/>
      <c r="AF1001" s="191"/>
      <c r="AG1001" s="191"/>
      <c r="AH1001" s="191"/>
      <c r="AI1001" s="127"/>
      <c r="AJ1001" s="191"/>
      <c r="AK1001" s="191"/>
      <c r="AL1001" s="190"/>
      <c r="AM1001" s="191"/>
    </row>
    <row r="1002" spans="5:39">
      <c r="E1002" s="21"/>
      <c r="Q1002" s="191"/>
      <c r="R1002" s="191"/>
      <c r="S1002" s="191"/>
      <c r="T1002" s="127"/>
      <c r="U1002" s="127"/>
      <c r="V1002" s="191"/>
      <c r="W1002" s="190"/>
      <c r="X1002" s="191"/>
      <c r="Y1002" s="191"/>
      <c r="Z1002" s="191"/>
      <c r="AA1002" s="191"/>
      <c r="AB1002" s="191"/>
      <c r="AC1002" s="191"/>
      <c r="AD1002" s="191"/>
      <c r="AE1002" s="191"/>
      <c r="AF1002" s="191"/>
      <c r="AG1002" s="191"/>
      <c r="AH1002" s="191"/>
      <c r="AI1002" s="127"/>
      <c r="AJ1002" s="191"/>
      <c r="AK1002" s="191"/>
      <c r="AL1002" s="190"/>
      <c r="AM1002" s="191"/>
    </row>
    <row r="1003" spans="5:39">
      <c r="E1003" s="21"/>
      <c r="Q1003" s="191"/>
      <c r="R1003" s="191"/>
      <c r="S1003" s="191"/>
      <c r="T1003" s="127"/>
      <c r="U1003" s="127"/>
      <c r="V1003" s="191"/>
      <c r="W1003" s="190"/>
      <c r="X1003" s="191"/>
      <c r="Y1003" s="191"/>
      <c r="Z1003" s="191"/>
      <c r="AA1003" s="191"/>
      <c r="AB1003" s="191"/>
      <c r="AC1003" s="191"/>
      <c r="AD1003" s="191"/>
      <c r="AE1003" s="191"/>
      <c r="AF1003" s="191"/>
      <c r="AG1003" s="191"/>
      <c r="AH1003" s="191"/>
      <c r="AI1003" s="127"/>
      <c r="AJ1003" s="191"/>
      <c r="AK1003" s="191"/>
      <c r="AL1003" s="190"/>
      <c r="AM1003" s="191"/>
    </row>
    <row r="1004" spans="5:39">
      <c r="E1004" s="21"/>
      <c r="Q1004" s="191"/>
      <c r="R1004" s="191"/>
      <c r="S1004" s="191"/>
      <c r="T1004" s="127"/>
      <c r="U1004" s="127"/>
      <c r="V1004" s="191"/>
      <c r="W1004" s="190"/>
      <c r="X1004" s="191"/>
      <c r="Y1004" s="191"/>
      <c r="Z1004" s="191"/>
      <c r="AA1004" s="191"/>
      <c r="AB1004" s="191"/>
      <c r="AC1004" s="191"/>
      <c r="AD1004" s="191"/>
      <c r="AE1004" s="191"/>
      <c r="AF1004" s="191"/>
      <c r="AG1004" s="191"/>
      <c r="AH1004" s="191"/>
      <c r="AI1004" s="127"/>
      <c r="AJ1004" s="191"/>
      <c r="AK1004" s="191"/>
      <c r="AL1004" s="190"/>
      <c r="AM1004" s="191"/>
    </row>
    <row r="1005" spans="5:39">
      <c r="E1005" s="21"/>
      <c r="Q1005" s="191"/>
      <c r="R1005" s="191"/>
      <c r="S1005" s="191"/>
      <c r="T1005" s="127"/>
      <c r="U1005" s="127"/>
      <c r="V1005" s="191"/>
      <c r="W1005" s="190"/>
      <c r="X1005" s="191"/>
      <c r="Y1005" s="191"/>
      <c r="Z1005" s="191"/>
      <c r="AA1005" s="191"/>
      <c r="AB1005" s="191"/>
      <c r="AC1005" s="191"/>
      <c r="AD1005" s="191"/>
      <c r="AE1005" s="191"/>
      <c r="AF1005" s="191"/>
      <c r="AG1005" s="191"/>
      <c r="AH1005" s="191"/>
      <c r="AI1005" s="127"/>
      <c r="AJ1005" s="191"/>
      <c r="AK1005" s="191"/>
      <c r="AL1005" s="190"/>
      <c r="AM1005" s="191"/>
    </row>
    <row r="1006" spans="5:39">
      <c r="E1006" s="21"/>
      <c r="Q1006" s="191"/>
      <c r="R1006" s="191"/>
      <c r="S1006" s="191"/>
      <c r="T1006" s="127"/>
      <c r="U1006" s="127"/>
      <c r="V1006" s="191"/>
      <c r="W1006" s="190"/>
      <c r="X1006" s="191"/>
      <c r="Y1006" s="191"/>
      <c r="Z1006" s="191"/>
      <c r="AA1006" s="191"/>
      <c r="AB1006" s="191"/>
      <c r="AC1006" s="191"/>
      <c r="AD1006" s="191"/>
      <c r="AE1006" s="191"/>
      <c r="AF1006" s="191"/>
      <c r="AG1006" s="191"/>
      <c r="AH1006" s="191"/>
      <c r="AI1006" s="127"/>
      <c r="AJ1006" s="191"/>
      <c r="AK1006" s="191"/>
      <c r="AL1006" s="190"/>
      <c r="AM1006" s="191"/>
    </row>
    <row r="1007" spans="5:39">
      <c r="E1007" s="21"/>
      <c r="Q1007" s="191"/>
      <c r="R1007" s="191"/>
      <c r="S1007" s="191"/>
      <c r="T1007" s="127"/>
      <c r="U1007" s="127"/>
      <c r="V1007" s="191"/>
      <c r="W1007" s="190"/>
      <c r="X1007" s="191"/>
      <c r="Y1007" s="191"/>
      <c r="Z1007" s="191"/>
      <c r="AA1007" s="191"/>
      <c r="AB1007" s="191"/>
      <c r="AC1007" s="191"/>
      <c r="AD1007" s="191"/>
      <c r="AE1007" s="191"/>
      <c r="AF1007" s="191"/>
      <c r="AG1007" s="191"/>
      <c r="AH1007" s="191"/>
      <c r="AI1007" s="127"/>
      <c r="AJ1007" s="191"/>
      <c r="AK1007" s="191"/>
      <c r="AL1007" s="190"/>
      <c r="AM1007" s="191"/>
    </row>
    <row r="1008" spans="5:39">
      <c r="E1008" s="21"/>
      <c r="Q1008" s="191"/>
      <c r="R1008" s="191"/>
      <c r="S1008" s="191"/>
      <c r="T1008" s="127"/>
      <c r="U1008" s="127"/>
      <c r="V1008" s="191"/>
      <c r="W1008" s="190"/>
      <c r="X1008" s="191"/>
      <c r="Y1008" s="191"/>
      <c r="Z1008" s="191"/>
      <c r="AA1008" s="191"/>
      <c r="AB1008" s="191"/>
      <c r="AC1008" s="191"/>
      <c r="AD1008" s="191"/>
      <c r="AE1008" s="191"/>
      <c r="AF1008" s="191"/>
      <c r="AG1008" s="191"/>
      <c r="AH1008" s="191"/>
      <c r="AI1008" s="127"/>
      <c r="AJ1008" s="191"/>
      <c r="AK1008" s="191"/>
      <c r="AL1008" s="190"/>
      <c r="AM1008" s="191"/>
    </row>
    <row r="1009" spans="5:39">
      <c r="E1009" s="21"/>
      <c r="Q1009" s="191"/>
      <c r="R1009" s="191"/>
      <c r="S1009" s="191"/>
      <c r="T1009" s="127"/>
      <c r="U1009" s="127"/>
      <c r="V1009" s="191"/>
      <c r="W1009" s="190"/>
      <c r="X1009" s="191"/>
      <c r="Y1009" s="191"/>
      <c r="Z1009" s="191"/>
      <c r="AA1009" s="191"/>
      <c r="AB1009" s="191"/>
      <c r="AC1009" s="191"/>
      <c r="AD1009" s="191"/>
      <c r="AE1009" s="191"/>
      <c r="AF1009" s="191"/>
      <c r="AG1009" s="191"/>
      <c r="AH1009" s="191"/>
      <c r="AI1009" s="127"/>
      <c r="AJ1009" s="191"/>
      <c r="AK1009" s="191"/>
      <c r="AL1009" s="190"/>
      <c r="AM1009" s="191"/>
    </row>
    <row r="1010" spans="5:39">
      <c r="E1010" s="21"/>
      <c r="Q1010" s="191"/>
      <c r="R1010" s="191"/>
      <c r="S1010" s="191"/>
      <c r="T1010" s="127"/>
      <c r="U1010" s="127"/>
      <c r="V1010" s="191"/>
      <c r="W1010" s="190"/>
      <c r="X1010" s="191"/>
      <c r="Y1010" s="191"/>
      <c r="Z1010" s="191"/>
      <c r="AA1010" s="191"/>
      <c r="AB1010" s="191"/>
      <c r="AC1010" s="191"/>
      <c r="AD1010" s="191"/>
      <c r="AE1010" s="191"/>
      <c r="AF1010" s="191"/>
      <c r="AG1010" s="191"/>
      <c r="AH1010" s="191"/>
      <c r="AI1010" s="127"/>
      <c r="AJ1010" s="191"/>
      <c r="AK1010" s="191"/>
      <c r="AL1010" s="190"/>
      <c r="AM1010" s="191"/>
    </row>
    <row r="1011" spans="5:39">
      <c r="E1011" s="21"/>
      <c r="Q1011" s="191"/>
      <c r="R1011" s="191"/>
      <c r="S1011" s="191"/>
      <c r="T1011" s="127"/>
      <c r="U1011" s="127"/>
      <c r="V1011" s="191"/>
      <c r="W1011" s="190"/>
      <c r="X1011" s="191"/>
      <c r="Y1011" s="191"/>
      <c r="Z1011" s="191"/>
      <c r="AA1011" s="191"/>
      <c r="AB1011" s="191"/>
      <c r="AC1011" s="191"/>
      <c r="AD1011" s="191"/>
      <c r="AE1011" s="191"/>
      <c r="AF1011" s="191"/>
      <c r="AG1011" s="191"/>
      <c r="AH1011" s="191"/>
      <c r="AI1011" s="127"/>
      <c r="AJ1011" s="191"/>
      <c r="AK1011" s="191"/>
      <c r="AL1011" s="190"/>
      <c r="AM1011" s="191"/>
    </row>
    <row r="1012" spans="5:39">
      <c r="E1012" s="21"/>
      <c r="Q1012" s="191"/>
      <c r="R1012" s="191"/>
      <c r="S1012" s="191"/>
      <c r="T1012" s="127"/>
      <c r="U1012" s="127"/>
      <c r="V1012" s="191"/>
      <c r="W1012" s="190"/>
      <c r="X1012" s="191"/>
      <c r="Y1012" s="191"/>
      <c r="Z1012" s="191"/>
      <c r="AA1012" s="191"/>
      <c r="AB1012" s="191"/>
      <c r="AC1012" s="191"/>
      <c r="AD1012" s="191"/>
      <c r="AE1012" s="191"/>
      <c r="AF1012" s="191"/>
      <c r="AG1012" s="191"/>
      <c r="AH1012" s="191"/>
      <c r="AI1012" s="127"/>
      <c r="AJ1012" s="191"/>
      <c r="AK1012" s="191"/>
      <c r="AL1012" s="190"/>
      <c r="AM1012" s="191"/>
    </row>
    <row r="1013" spans="5:39">
      <c r="E1013" s="21"/>
      <c r="Q1013" s="191"/>
      <c r="R1013" s="191"/>
      <c r="S1013" s="191"/>
      <c r="T1013" s="127"/>
      <c r="U1013" s="127"/>
      <c r="V1013" s="191"/>
      <c r="W1013" s="190"/>
      <c r="X1013" s="191"/>
      <c r="Y1013" s="191"/>
      <c r="Z1013" s="191"/>
      <c r="AA1013" s="191"/>
      <c r="AB1013" s="191"/>
      <c r="AC1013" s="191"/>
      <c r="AD1013" s="191"/>
      <c r="AE1013" s="191"/>
      <c r="AF1013" s="191"/>
      <c r="AG1013" s="191"/>
      <c r="AH1013" s="191"/>
      <c r="AI1013" s="127"/>
      <c r="AJ1013" s="191"/>
      <c r="AK1013" s="191"/>
      <c r="AL1013" s="190"/>
      <c r="AM1013" s="191"/>
    </row>
    <row r="1014" spans="5:39">
      <c r="E1014" s="21"/>
      <c r="Q1014" s="191"/>
      <c r="R1014" s="191"/>
      <c r="S1014" s="191"/>
      <c r="T1014" s="127"/>
      <c r="U1014" s="127"/>
      <c r="V1014" s="191"/>
      <c r="W1014" s="190"/>
      <c r="X1014" s="191"/>
      <c r="Y1014" s="191"/>
      <c r="Z1014" s="191"/>
      <c r="AA1014" s="191"/>
      <c r="AB1014" s="191"/>
      <c r="AC1014" s="191"/>
      <c r="AD1014" s="191"/>
      <c r="AE1014" s="191"/>
      <c r="AF1014" s="191"/>
      <c r="AG1014" s="191"/>
      <c r="AH1014" s="191"/>
      <c r="AI1014" s="127"/>
      <c r="AJ1014" s="191"/>
      <c r="AK1014" s="191"/>
      <c r="AL1014" s="190"/>
      <c r="AM1014" s="191"/>
    </row>
    <row r="1015" spans="5:39">
      <c r="E1015" s="21"/>
      <c r="Q1015" s="191"/>
      <c r="R1015" s="191"/>
      <c r="S1015" s="191"/>
      <c r="T1015" s="127"/>
      <c r="U1015" s="127"/>
      <c r="V1015" s="191"/>
      <c r="W1015" s="190"/>
      <c r="X1015" s="191"/>
      <c r="Y1015" s="191"/>
      <c r="Z1015" s="191"/>
      <c r="AA1015" s="191"/>
      <c r="AB1015" s="191"/>
      <c r="AC1015" s="191"/>
      <c r="AD1015" s="191"/>
      <c r="AE1015" s="191"/>
      <c r="AF1015" s="191"/>
      <c r="AG1015" s="191"/>
      <c r="AH1015" s="191"/>
      <c r="AI1015" s="127"/>
      <c r="AJ1015" s="191"/>
      <c r="AK1015" s="191"/>
      <c r="AL1015" s="190"/>
      <c r="AM1015" s="191"/>
    </row>
    <row r="1016" spans="5:39">
      <c r="E1016" s="21"/>
      <c r="Q1016" s="191"/>
      <c r="R1016" s="191"/>
      <c r="S1016" s="191"/>
      <c r="T1016" s="127"/>
      <c r="U1016" s="127"/>
      <c r="V1016" s="191"/>
      <c r="W1016" s="190"/>
      <c r="X1016" s="191"/>
      <c r="Y1016" s="191"/>
      <c r="Z1016" s="191"/>
      <c r="AA1016" s="191"/>
      <c r="AB1016" s="191"/>
      <c r="AC1016" s="191"/>
      <c r="AD1016" s="191"/>
      <c r="AE1016" s="191"/>
      <c r="AF1016" s="191"/>
      <c r="AG1016" s="191"/>
      <c r="AH1016" s="191"/>
      <c r="AI1016" s="127"/>
      <c r="AJ1016" s="191"/>
      <c r="AK1016" s="191"/>
      <c r="AL1016" s="190"/>
      <c r="AM1016" s="191"/>
    </row>
    <row r="1017" spans="5:39">
      <c r="E1017" s="21"/>
      <c r="Q1017" s="191"/>
      <c r="R1017" s="191"/>
      <c r="S1017" s="191"/>
      <c r="T1017" s="127"/>
      <c r="U1017" s="127"/>
      <c r="V1017" s="191"/>
      <c r="W1017" s="190"/>
      <c r="X1017" s="191"/>
      <c r="Y1017" s="191"/>
      <c r="Z1017" s="191"/>
      <c r="AA1017" s="191"/>
      <c r="AB1017" s="191"/>
      <c r="AC1017" s="191"/>
      <c r="AD1017" s="191"/>
      <c r="AE1017" s="191"/>
      <c r="AF1017" s="191"/>
      <c r="AG1017" s="191"/>
      <c r="AH1017" s="191"/>
      <c r="AI1017" s="127"/>
      <c r="AJ1017" s="191"/>
      <c r="AK1017" s="191"/>
      <c r="AL1017" s="190"/>
      <c r="AM1017" s="191"/>
    </row>
    <row r="1018" spans="5:39">
      <c r="E1018" s="21"/>
      <c r="Q1018" s="191"/>
      <c r="R1018" s="191"/>
      <c r="S1018" s="191"/>
      <c r="T1018" s="127"/>
      <c r="U1018" s="127"/>
      <c r="V1018" s="191"/>
      <c r="W1018" s="190"/>
      <c r="X1018" s="191"/>
      <c r="Y1018" s="191"/>
      <c r="Z1018" s="191"/>
      <c r="AA1018" s="191"/>
      <c r="AB1018" s="191"/>
      <c r="AC1018" s="191"/>
      <c r="AD1018" s="191"/>
      <c r="AE1018" s="191"/>
      <c r="AF1018" s="191"/>
      <c r="AG1018" s="191"/>
      <c r="AH1018" s="191"/>
      <c r="AI1018" s="127"/>
      <c r="AJ1018" s="191"/>
      <c r="AK1018" s="191"/>
      <c r="AL1018" s="190"/>
      <c r="AM1018" s="191"/>
    </row>
    <row r="1019" spans="5:39">
      <c r="E1019" s="21"/>
      <c r="Q1019" s="191"/>
      <c r="R1019" s="191"/>
      <c r="S1019" s="191"/>
      <c r="T1019" s="127"/>
      <c r="U1019" s="127"/>
      <c r="V1019" s="191"/>
      <c r="W1019" s="190"/>
      <c r="X1019" s="191"/>
      <c r="Y1019" s="191"/>
      <c r="Z1019" s="191"/>
      <c r="AA1019" s="191"/>
      <c r="AB1019" s="191"/>
      <c r="AC1019" s="191"/>
      <c r="AD1019" s="191"/>
      <c r="AE1019" s="191"/>
      <c r="AF1019" s="191"/>
      <c r="AG1019" s="191"/>
      <c r="AH1019" s="191"/>
      <c r="AI1019" s="127"/>
      <c r="AJ1019" s="191"/>
      <c r="AK1019" s="191"/>
      <c r="AL1019" s="190"/>
      <c r="AM1019" s="191"/>
    </row>
    <row r="1020" spans="5:39">
      <c r="E1020" s="21"/>
      <c r="Q1020" s="191"/>
      <c r="R1020" s="191"/>
      <c r="S1020" s="191"/>
      <c r="T1020" s="127"/>
      <c r="U1020" s="127"/>
      <c r="V1020" s="191"/>
      <c r="W1020" s="190"/>
      <c r="X1020" s="191"/>
      <c r="Y1020" s="191"/>
      <c r="Z1020" s="191"/>
      <c r="AA1020" s="191"/>
      <c r="AB1020" s="191"/>
      <c r="AC1020" s="191"/>
      <c r="AD1020" s="191"/>
      <c r="AE1020" s="191"/>
      <c r="AF1020" s="191"/>
      <c r="AG1020" s="191"/>
      <c r="AH1020" s="191"/>
      <c r="AI1020" s="127"/>
      <c r="AJ1020" s="191"/>
      <c r="AK1020" s="191"/>
      <c r="AL1020" s="190"/>
      <c r="AM1020" s="191"/>
    </row>
    <row r="1021" spans="5:39">
      <c r="E1021" s="21"/>
      <c r="Q1021" s="191"/>
      <c r="R1021" s="191"/>
      <c r="S1021" s="191"/>
      <c r="T1021" s="127"/>
      <c r="U1021" s="127"/>
      <c r="V1021" s="191"/>
      <c r="W1021" s="190"/>
      <c r="X1021" s="191"/>
      <c r="Y1021" s="191"/>
      <c r="Z1021" s="191"/>
      <c r="AA1021" s="191"/>
      <c r="AB1021" s="191"/>
      <c r="AC1021" s="191"/>
      <c r="AD1021" s="191"/>
      <c r="AE1021" s="191"/>
      <c r="AF1021" s="191"/>
      <c r="AG1021" s="191"/>
      <c r="AH1021" s="191"/>
      <c r="AI1021" s="127"/>
      <c r="AJ1021" s="191"/>
      <c r="AK1021" s="191"/>
      <c r="AL1021" s="190"/>
      <c r="AM1021" s="191"/>
    </row>
    <row r="1022" spans="5:39">
      <c r="E1022" s="21"/>
      <c r="Q1022" s="191"/>
      <c r="R1022" s="191"/>
      <c r="S1022" s="191"/>
      <c r="T1022" s="127"/>
      <c r="U1022" s="127"/>
      <c r="V1022" s="191"/>
      <c r="W1022" s="190"/>
      <c r="X1022" s="191"/>
      <c r="Y1022" s="191"/>
      <c r="Z1022" s="191"/>
      <c r="AA1022" s="191"/>
      <c r="AB1022" s="191"/>
      <c r="AC1022" s="191"/>
      <c r="AD1022" s="191"/>
      <c r="AE1022" s="191"/>
      <c r="AF1022" s="191"/>
      <c r="AG1022" s="191"/>
      <c r="AH1022" s="191"/>
      <c r="AI1022" s="127"/>
      <c r="AJ1022" s="191"/>
      <c r="AK1022" s="191"/>
      <c r="AL1022" s="190"/>
      <c r="AM1022" s="191"/>
    </row>
    <row r="1023" spans="5:39">
      <c r="E1023" s="21"/>
      <c r="Q1023" s="191"/>
      <c r="R1023" s="191"/>
      <c r="S1023" s="191"/>
      <c r="T1023" s="127"/>
      <c r="U1023" s="127"/>
      <c r="V1023" s="191"/>
      <c r="W1023" s="190"/>
      <c r="X1023" s="191"/>
      <c r="Y1023" s="191"/>
      <c r="Z1023" s="191"/>
      <c r="AA1023" s="191"/>
      <c r="AB1023" s="191"/>
      <c r="AC1023" s="191"/>
      <c r="AD1023" s="191"/>
      <c r="AE1023" s="191"/>
      <c r="AF1023" s="191"/>
      <c r="AG1023" s="191"/>
      <c r="AH1023" s="191"/>
      <c r="AI1023" s="127"/>
      <c r="AJ1023" s="191"/>
      <c r="AK1023" s="191"/>
      <c r="AL1023" s="190"/>
      <c r="AM1023" s="191"/>
    </row>
    <row r="1024" spans="5:39">
      <c r="E1024" s="21"/>
      <c r="Q1024" s="191"/>
      <c r="R1024" s="191"/>
      <c r="S1024" s="191"/>
      <c r="T1024" s="127"/>
      <c r="U1024" s="127"/>
      <c r="V1024" s="191"/>
      <c r="W1024" s="190"/>
      <c r="X1024" s="191"/>
      <c r="Y1024" s="191"/>
      <c r="Z1024" s="191"/>
      <c r="AA1024" s="191"/>
      <c r="AB1024" s="191"/>
      <c r="AC1024" s="191"/>
      <c r="AD1024" s="191"/>
      <c r="AE1024" s="191"/>
      <c r="AF1024" s="191"/>
      <c r="AG1024" s="191"/>
      <c r="AH1024" s="191"/>
      <c r="AI1024" s="127"/>
      <c r="AJ1024" s="191"/>
      <c r="AK1024" s="191"/>
      <c r="AL1024" s="190"/>
      <c r="AM1024" s="191"/>
    </row>
    <row r="1025" spans="5:39">
      <c r="E1025" s="21"/>
      <c r="Q1025" s="191"/>
      <c r="R1025" s="191"/>
      <c r="S1025" s="191"/>
      <c r="T1025" s="127"/>
      <c r="U1025" s="127"/>
      <c r="V1025" s="191"/>
      <c r="W1025" s="190"/>
      <c r="X1025" s="191"/>
      <c r="Y1025" s="191"/>
      <c r="Z1025" s="191"/>
      <c r="AA1025" s="191"/>
      <c r="AB1025" s="191"/>
      <c r="AC1025" s="191"/>
      <c r="AD1025" s="191"/>
      <c r="AE1025" s="191"/>
      <c r="AF1025" s="191"/>
      <c r="AG1025" s="191"/>
      <c r="AH1025" s="191"/>
      <c r="AI1025" s="127"/>
      <c r="AJ1025" s="191"/>
      <c r="AK1025" s="191"/>
      <c r="AL1025" s="190"/>
      <c r="AM1025" s="191"/>
    </row>
    <row r="1026" spans="5:39">
      <c r="E1026" s="21"/>
      <c r="Q1026" s="191"/>
      <c r="R1026" s="191"/>
      <c r="S1026" s="191"/>
      <c r="T1026" s="127"/>
      <c r="U1026" s="127"/>
      <c r="V1026" s="191"/>
      <c r="W1026" s="190"/>
      <c r="X1026" s="191"/>
      <c r="Y1026" s="191"/>
      <c r="Z1026" s="191"/>
      <c r="AA1026" s="191"/>
      <c r="AB1026" s="191"/>
      <c r="AC1026" s="191"/>
      <c r="AD1026" s="191"/>
      <c r="AE1026" s="191"/>
      <c r="AF1026" s="191"/>
      <c r="AG1026" s="191"/>
      <c r="AH1026" s="191"/>
      <c r="AI1026" s="127"/>
      <c r="AJ1026" s="191"/>
      <c r="AK1026" s="191"/>
      <c r="AL1026" s="190"/>
      <c r="AM1026" s="191"/>
    </row>
    <row r="1027" spans="5:39">
      <c r="E1027" s="21"/>
      <c r="Q1027" s="191"/>
      <c r="R1027" s="191"/>
      <c r="S1027" s="191"/>
      <c r="T1027" s="127"/>
      <c r="U1027" s="127"/>
      <c r="V1027" s="191"/>
      <c r="W1027" s="190"/>
      <c r="X1027" s="191"/>
      <c r="Y1027" s="191"/>
      <c r="Z1027" s="191"/>
      <c r="AA1027" s="191"/>
      <c r="AB1027" s="191"/>
      <c r="AC1027" s="191"/>
      <c r="AD1027" s="191"/>
      <c r="AE1027" s="191"/>
      <c r="AF1027" s="191"/>
      <c r="AG1027" s="191"/>
      <c r="AH1027" s="191"/>
      <c r="AI1027" s="127"/>
      <c r="AJ1027" s="191"/>
      <c r="AK1027" s="191"/>
      <c r="AL1027" s="190"/>
      <c r="AM1027" s="191"/>
    </row>
    <row r="1028" spans="5:39">
      <c r="E1028" s="21"/>
      <c r="Q1028" s="191"/>
      <c r="R1028" s="191"/>
      <c r="S1028" s="191"/>
      <c r="T1028" s="127"/>
      <c r="U1028" s="127"/>
      <c r="V1028" s="191"/>
      <c r="W1028" s="190"/>
      <c r="X1028" s="191"/>
      <c r="Y1028" s="191"/>
      <c r="Z1028" s="191"/>
      <c r="AA1028" s="191"/>
      <c r="AB1028" s="191"/>
      <c r="AC1028" s="191"/>
      <c r="AD1028" s="191"/>
      <c r="AE1028" s="191"/>
      <c r="AF1028" s="191"/>
      <c r="AG1028" s="191"/>
      <c r="AH1028" s="191"/>
      <c r="AI1028" s="127"/>
      <c r="AJ1028" s="191"/>
      <c r="AK1028" s="191"/>
      <c r="AL1028" s="190"/>
      <c r="AM1028" s="191"/>
    </row>
    <row r="1029" spans="5:39">
      <c r="E1029" s="21"/>
      <c r="Q1029" s="191"/>
      <c r="R1029" s="191"/>
      <c r="S1029" s="191"/>
      <c r="T1029" s="127"/>
      <c r="U1029" s="127"/>
      <c r="V1029" s="191"/>
      <c r="W1029" s="190"/>
      <c r="X1029" s="191"/>
      <c r="Y1029" s="191"/>
      <c r="Z1029" s="191"/>
      <c r="AA1029" s="191"/>
      <c r="AB1029" s="191"/>
      <c r="AC1029" s="191"/>
      <c r="AD1029" s="191"/>
      <c r="AE1029" s="191"/>
      <c r="AF1029" s="191"/>
      <c r="AG1029" s="191"/>
      <c r="AH1029" s="191"/>
      <c r="AI1029" s="127"/>
      <c r="AJ1029" s="191"/>
      <c r="AK1029" s="191"/>
      <c r="AL1029" s="190"/>
      <c r="AM1029" s="191"/>
    </row>
    <row r="1030" spans="5:39">
      <c r="E1030" s="21"/>
      <c r="Q1030" s="191"/>
      <c r="R1030" s="191"/>
      <c r="S1030" s="191"/>
      <c r="T1030" s="127"/>
      <c r="U1030" s="127"/>
      <c r="V1030" s="191"/>
      <c r="W1030" s="190"/>
      <c r="X1030" s="191"/>
      <c r="Y1030" s="191"/>
      <c r="Z1030" s="191"/>
      <c r="AA1030" s="191"/>
      <c r="AB1030" s="191"/>
      <c r="AC1030" s="191"/>
      <c r="AD1030" s="191"/>
      <c r="AE1030" s="191"/>
      <c r="AF1030" s="191"/>
      <c r="AG1030" s="191"/>
      <c r="AH1030" s="191"/>
      <c r="AI1030" s="127"/>
      <c r="AJ1030" s="191"/>
      <c r="AK1030" s="191"/>
      <c r="AL1030" s="190"/>
      <c r="AM1030" s="191"/>
    </row>
    <row r="1031" spans="5:39">
      <c r="E1031" s="21"/>
      <c r="Q1031" s="191"/>
      <c r="R1031" s="191"/>
      <c r="S1031" s="191"/>
      <c r="T1031" s="127"/>
      <c r="U1031" s="127"/>
      <c r="V1031" s="191"/>
      <c r="W1031" s="190"/>
      <c r="X1031" s="191"/>
      <c r="Y1031" s="191"/>
      <c r="Z1031" s="191"/>
      <c r="AA1031" s="191"/>
      <c r="AB1031" s="191"/>
      <c r="AC1031" s="191"/>
      <c r="AD1031" s="191"/>
      <c r="AE1031" s="191"/>
      <c r="AF1031" s="191"/>
      <c r="AG1031" s="191"/>
      <c r="AH1031" s="191"/>
      <c r="AI1031" s="127"/>
      <c r="AJ1031" s="191"/>
      <c r="AK1031" s="191"/>
      <c r="AL1031" s="190"/>
      <c r="AM1031" s="191"/>
    </row>
    <row r="1032" spans="5:39">
      <c r="E1032" s="21"/>
      <c r="Q1032" s="191"/>
      <c r="R1032" s="191"/>
      <c r="S1032" s="191"/>
      <c r="T1032" s="127"/>
      <c r="U1032" s="127"/>
      <c r="V1032" s="191"/>
      <c r="W1032" s="190"/>
      <c r="X1032" s="191"/>
      <c r="Y1032" s="191"/>
      <c r="Z1032" s="191"/>
      <c r="AA1032" s="191"/>
      <c r="AB1032" s="191"/>
      <c r="AC1032" s="191"/>
      <c r="AD1032" s="191"/>
      <c r="AE1032" s="191"/>
      <c r="AF1032" s="191"/>
      <c r="AG1032" s="191"/>
      <c r="AH1032" s="191"/>
      <c r="AI1032" s="127"/>
      <c r="AJ1032" s="191"/>
      <c r="AK1032" s="191"/>
      <c r="AL1032" s="190"/>
      <c r="AM1032" s="191"/>
    </row>
    <row r="1033" spans="5:39">
      <c r="E1033" s="21"/>
      <c r="Q1033" s="191"/>
      <c r="R1033" s="191"/>
      <c r="S1033" s="191"/>
      <c r="T1033" s="127"/>
      <c r="U1033" s="127"/>
      <c r="V1033" s="191"/>
      <c r="W1033" s="190"/>
      <c r="X1033" s="191"/>
      <c r="Y1033" s="191"/>
      <c r="Z1033" s="191"/>
      <c r="AA1033" s="191"/>
      <c r="AB1033" s="191"/>
      <c r="AC1033" s="191"/>
      <c r="AD1033" s="191"/>
      <c r="AE1033" s="191"/>
      <c r="AF1033" s="191"/>
      <c r="AG1033" s="191"/>
      <c r="AH1033" s="191"/>
      <c r="AI1033" s="127"/>
      <c r="AJ1033" s="191"/>
      <c r="AK1033" s="191"/>
      <c r="AL1033" s="190"/>
      <c r="AM1033" s="191"/>
    </row>
    <row r="1034" spans="5:39">
      <c r="E1034" s="21"/>
      <c r="Q1034" s="191"/>
      <c r="R1034" s="191"/>
      <c r="S1034" s="191"/>
      <c r="T1034" s="127"/>
      <c r="U1034" s="127"/>
      <c r="V1034" s="191"/>
      <c r="W1034" s="190"/>
      <c r="X1034" s="191"/>
      <c r="Y1034" s="191"/>
      <c r="Z1034" s="191"/>
      <c r="AA1034" s="191"/>
      <c r="AB1034" s="191"/>
      <c r="AC1034" s="191"/>
      <c r="AD1034" s="191"/>
      <c r="AE1034" s="191"/>
      <c r="AF1034" s="191"/>
      <c r="AG1034" s="191"/>
      <c r="AH1034" s="191"/>
      <c r="AI1034" s="127"/>
      <c r="AJ1034" s="191"/>
      <c r="AK1034" s="191"/>
      <c r="AL1034" s="190"/>
      <c r="AM1034" s="191"/>
    </row>
    <row r="1035" spans="5:39">
      <c r="E1035" s="21"/>
      <c r="Q1035" s="191"/>
      <c r="R1035" s="191"/>
      <c r="S1035" s="191"/>
      <c r="T1035" s="127"/>
      <c r="U1035" s="127"/>
      <c r="V1035" s="191"/>
      <c r="W1035" s="190"/>
      <c r="X1035" s="191"/>
      <c r="Y1035" s="191"/>
      <c r="Z1035" s="191"/>
      <c r="AA1035" s="191"/>
      <c r="AB1035" s="191"/>
      <c r="AC1035" s="191"/>
      <c r="AD1035" s="191"/>
      <c r="AE1035" s="191"/>
      <c r="AF1035" s="191"/>
      <c r="AG1035" s="191"/>
      <c r="AH1035" s="191"/>
      <c r="AI1035" s="127"/>
      <c r="AJ1035" s="191"/>
      <c r="AK1035" s="191"/>
      <c r="AL1035" s="190"/>
      <c r="AM1035" s="191"/>
    </row>
    <row r="1036" spans="5:39">
      <c r="E1036" s="21"/>
      <c r="Q1036" s="191"/>
      <c r="R1036" s="191"/>
      <c r="S1036" s="191"/>
      <c r="T1036" s="127"/>
      <c r="U1036" s="127"/>
      <c r="V1036" s="191"/>
      <c r="W1036" s="190"/>
      <c r="X1036" s="191"/>
      <c r="Y1036" s="191"/>
      <c r="Z1036" s="191"/>
      <c r="AA1036" s="191"/>
      <c r="AB1036" s="191"/>
      <c r="AC1036" s="191"/>
      <c r="AD1036" s="191"/>
      <c r="AE1036" s="191"/>
      <c r="AF1036" s="191"/>
      <c r="AG1036" s="191"/>
      <c r="AH1036" s="191"/>
      <c r="AI1036" s="127"/>
      <c r="AJ1036" s="191"/>
      <c r="AK1036" s="191"/>
      <c r="AL1036" s="190"/>
      <c r="AM1036" s="191"/>
    </row>
    <row r="1037" spans="5:39">
      <c r="E1037" s="21"/>
      <c r="Q1037" s="191"/>
      <c r="R1037" s="191"/>
      <c r="S1037" s="191"/>
      <c r="T1037" s="127"/>
      <c r="U1037" s="127"/>
      <c r="V1037" s="191"/>
      <c r="W1037" s="190"/>
      <c r="X1037" s="191"/>
      <c r="Y1037" s="191"/>
      <c r="Z1037" s="191"/>
      <c r="AA1037" s="191"/>
      <c r="AB1037" s="191"/>
      <c r="AC1037" s="191"/>
      <c r="AD1037" s="191"/>
      <c r="AE1037" s="191"/>
      <c r="AF1037" s="191"/>
      <c r="AG1037" s="191"/>
      <c r="AH1037" s="191"/>
      <c r="AI1037" s="127"/>
      <c r="AJ1037" s="191"/>
      <c r="AK1037" s="191"/>
      <c r="AL1037" s="190"/>
      <c r="AM1037" s="191"/>
    </row>
    <row r="1038" spans="5:39">
      <c r="E1038" s="21"/>
      <c r="Q1038" s="191"/>
      <c r="R1038" s="191"/>
      <c r="S1038" s="191"/>
      <c r="T1038" s="127"/>
      <c r="U1038" s="127"/>
      <c r="V1038" s="191"/>
      <c r="W1038" s="190"/>
      <c r="X1038" s="191"/>
      <c r="Y1038" s="191"/>
      <c r="Z1038" s="191"/>
      <c r="AA1038" s="191"/>
      <c r="AB1038" s="191"/>
      <c r="AC1038" s="191"/>
      <c r="AD1038" s="191"/>
      <c r="AE1038" s="191"/>
      <c r="AF1038" s="191"/>
      <c r="AG1038" s="191"/>
      <c r="AH1038" s="191"/>
      <c r="AI1038" s="127"/>
      <c r="AJ1038" s="191"/>
      <c r="AK1038" s="191"/>
      <c r="AL1038" s="190"/>
      <c r="AM1038" s="191"/>
    </row>
    <row r="1039" spans="5:39">
      <c r="E1039" s="21"/>
      <c r="Q1039" s="191"/>
      <c r="R1039" s="191"/>
      <c r="S1039" s="191"/>
      <c r="T1039" s="127"/>
      <c r="U1039" s="127"/>
      <c r="V1039" s="191"/>
      <c r="W1039" s="190"/>
      <c r="X1039" s="191"/>
      <c r="Y1039" s="191"/>
      <c r="Z1039" s="191"/>
      <c r="AA1039" s="191"/>
      <c r="AB1039" s="191"/>
      <c r="AC1039" s="191"/>
      <c r="AD1039" s="191"/>
      <c r="AE1039" s="191"/>
      <c r="AF1039" s="191"/>
      <c r="AG1039" s="191"/>
      <c r="AH1039" s="191"/>
      <c r="AI1039" s="127"/>
      <c r="AJ1039" s="191"/>
      <c r="AK1039" s="191"/>
      <c r="AL1039" s="190"/>
      <c r="AM1039" s="191"/>
    </row>
    <row r="1040" spans="5:39">
      <c r="E1040" s="21"/>
      <c r="Q1040" s="191"/>
      <c r="R1040" s="191"/>
      <c r="S1040" s="191"/>
      <c r="T1040" s="127"/>
      <c r="U1040" s="127"/>
      <c r="V1040" s="191"/>
      <c r="W1040" s="190"/>
      <c r="X1040" s="191"/>
      <c r="Y1040" s="191"/>
      <c r="Z1040" s="191"/>
      <c r="AA1040" s="191"/>
      <c r="AB1040" s="191"/>
      <c r="AC1040" s="191"/>
      <c r="AD1040" s="191"/>
      <c r="AE1040" s="191"/>
      <c r="AF1040" s="191"/>
      <c r="AG1040" s="191"/>
      <c r="AH1040" s="191"/>
      <c r="AI1040" s="127"/>
      <c r="AJ1040" s="191"/>
      <c r="AK1040" s="191"/>
      <c r="AL1040" s="190"/>
      <c r="AM1040" s="191"/>
    </row>
    <row r="1041" spans="5:39">
      <c r="E1041" s="21"/>
      <c r="Q1041" s="191"/>
      <c r="R1041" s="191"/>
      <c r="S1041" s="191"/>
      <c r="T1041" s="127"/>
      <c r="U1041" s="127"/>
      <c r="V1041" s="191"/>
      <c r="W1041" s="190"/>
      <c r="X1041" s="191"/>
      <c r="Y1041" s="191"/>
      <c r="Z1041" s="191"/>
      <c r="AA1041" s="191"/>
      <c r="AB1041" s="191"/>
      <c r="AC1041" s="191"/>
      <c r="AD1041" s="191"/>
      <c r="AE1041" s="191"/>
      <c r="AF1041" s="191"/>
      <c r="AG1041" s="191"/>
      <c r="AH1041" s="191"/>
      <c r="AI1041" s="127"/>
      <c r="AJ1041" s="191"/>
      <c r="AK1041" s="191"/>
      <c r="AL1041" s="190"/>
      <c r="AM1041" s="191"/>
    </row>
    <row r="1042" spans="5:39">
      <c r="E1042" s="21"/>
      <c r="Q1042" s="191"/>
      <c r="R1042" s="191"/>
      <c r="S1042" s="191"/>
      <c r="T1042" s="127"/>
      <c r="U1042" s="127"/>
      <c r="V1042" s="191"/>
      <c r="W1042" s="190"/>
      <c r="X1042" s="191"/>
      <c r="Y1042" s="191"/>
      <c r="Z1042" s="191"/>
      <c r="AA1042" s="191"/>
      <c r="AB1042" s="191"/>
      <c r="AC1042" s="191"/>
      <c r="AD1042" s="191"/>
      <c r="AE1042" s="191"/>
      <c r="AF1042" s="191"/>
      <c r="AG1042" s="191"/>
      <c r="AH1042" s="191"/>
      <c r="AI1042" s="127"/>
      <c r="AJ1042" s="191"/>
      <c r="AK1042" s="191"/>
      <c r="AL1042" s="190"/>
      <c r="AM1042" s="191"/>
    </row>
    <row r="1043" spans="5:39">
      <c r="E1043" s="21"/>
      <c r="Q1043" s="191"/>
      <c r="R1043" s="191"/>
      <c r="S1043" s="191"/>
      <c r="T1043" s="127"/>
      <c r="U1043" s="127"/>
      <c r="V1043" s="191"/>
      <c r="W1043" s="190"/>
      <c r="X1043" s="191"/>
      <c r="Y1043" s="191"/>
      <c r="Z1043" s="191"/>
      <c r="AA1043" s="191"/>
      <c r="AB1043" s="191"/>
      <c r="AC1043" s="191"/>
      <c r="AD1043" s="191"/>
      <c r="AE1043" s="191"/>
      <c r="AF1043" s="191"/>
      <c r="AG1043" s="191"/>
      <c r="AH1043" s="191"/>
      <c r="AI1043" s="127"/>
      <c r="AJ1043" s="191"/>
      <c r="AK1043" s="191"/>
      <c r="AL1043" s="190"/>
      <c r="AM1043" s="191"/>
    </row>
    <row r="1044" spans="5:39">
      <c r="E1044" s="21"/>
      <c r="Q1044" s="191"/>
      <c r="R1044" s="191"/>
      <c r="S1044" s="191"/>
      <c r="T1044" s="127"/>
      <c r="U1044" s="127"/>
      <c r="V1044" s="191"/>
      <c r="W1044" s="190"/>
      <c r="X1044" s="191"/>
      <c r="Y1044" s="191"/>
      <c r="Z1044" s="191"/>
      <c r="AA1044" s="191"/>
      <c r="AB1044" s="191"/>
      <c r="AC1044" s="191"/>
      <c r="AD1044" s="191"/>
      <c r="AE1044" s="191"/>
      <c r="AF1044" s="191"/>
      <c r="AG1044" s="191"/>
      <c r="AH1044" s="191"/>
      <c r="AI1044" s="127"/>
      <c r="AJ1044" s="191"/>
      <c r="AK1044" s="191"/>
      <c r="AL1044" s="190"/>
      <c r="AM1044" s="191"/>
    </row>
    <row r="1045" spans="5:39">
      <c r="E1045" s="21"/>
      <c r="Q1045" s="191"/>
      <c r="R1045" s="191"/>
      <c r="S1045" s="191"/>
      <c r="T1045" s="127"/>
      <c r="U1045" s="127"/>
      <c r="V1045" s="191"/>
      <c r="W1045" s="190"/>
      <c r="X1045" s="191"/>
      <c r="Y1045" s="191"/>
      <c r="Z1045" s="191"/>
      <c r="AA1045" s="191"/>
      <c r="AB1045" s="191"/>
      <c r="AC1045" s="191"/>
      <c r="AD1045" s="191"/>
      <c r="AE1045" s="191"/>
      <c r="AF1045" s="191"/>
      <c r="AG1045" s="191"/>
      <c r="AH1045" s="191"/>
      <c r="AI1045" s="127"/>
      <c r="AJ1045" s="191"/>
      <c r="AK1045" s="191"/>
      <c r="AL1045" s="190"/>
      <c r="AM1045" s="191"/>
    </row>
    <row r="1046" spans="5:39">
      <c r="E1046" s="21"/>
      <c r="Q1046" s="191"/>
      <c r="R1046" s="191"/>
      <c r="S1046" s="191"/>
      <c r="T1046" s="127"/>
      <c r="U1046" s="127"/>
      <c r="V1046" s="191"/>
      <c r="W1046" s="190"/>
      <c r="X1046" s="191"/>
      <c r="Y1046" s="191"/>
      <c r="Z1046" s="191"/>
      <c r="AA1046" s="191"/>
      <c r="AB1046" s="191"/>
      <c r="AC1046" s="191"/>
      <c r="AD1046" s="191"/>
      <c r="AE1046" s="191"/>
      <c r="AF1046" s="191"/>
      <c r="AG1046" s="191"/>
      <c r="AH1046" s="191"/>
      <c r="AI1046" s="127"/>
      <c r="AJ1046" s="191"/>
      <c r="AK1046" s="191"/>
      <c r="AL1046" s="190"/>
      <c r="AM1046" s="191"/>
    </row>
    <row r="1047" spans="5:39">
      <c r="E1047" s="21"/>
      <c r="Q1047" s="191"/>
      <c r="R1047" s="191"/>
      <c r="S1047" s="191"/>
      <c r="T1047" s="127"/>
      <c r="U1047" s="127"/>
      <c r="V1047" s="191"/>
      <c r="W1047" s="190"/>
      <c r="X1047" s="191"/>
      <c r="Y1047" s="191"/>
      <c r="Z1047" s="191"/>
      <c r="AA1047" s="191"/>
      <c r="AB1047" s="191"/>
      <c r="AC1047" s="191"/>
      <c r="AD1047" s="191"/>
      <c r="AE1047" s="191"/>
      <c r="AF1047" s="191"/>
      <c r="AG1047" s="191"/>
      <c r="AH1047" s="191"/>
      <c r="AI1047" s="127"/>
      <c r="AJ1047" s="191"/>
      <c r="AK1047" s="191"/>
      <c r="AL1047" s="190"/>
      <c r="AM1047" s="191"/>
    </row>
    <row r="1048" spans="5:39">
      <c r="E1048" s="21"/>
      <c r="Q1048" s="191"/>
      <c r="R1048" s="191"/>
      <c r="S1048" s="191"/>
      <c r="T1048" s="127"/>
      <c r="U1048" s="127"/>
      <c r="V1048" s="191"/>
      <c r="W1048" s="190"/>
      <c r="X1048" s="191"/>
      <c r="Y1048" s="191"/>
      <c r="Z1048" s="191"/>
      <c r="AA1048" s="191"/>
      <c r="AB1048" s="191"/>
      <c r="AC1048" s="191"/>
      <c r="AD1048" s="191"/>
      <c r="AE1048" s="191"/>
      <c r="AF1048" s="191"/>
      <c r="AG1048" s="191"/>
      <c r="AH1048" s="191"/>
      <c r="AI1048" s="127"/>
      <c r="AJ1048" s="191"/>
      <c r="AK1048" s="191"/>
      <c r="AL1048" s="190"/>
      <c r="AM1048" s="191"/>
    </row>
    <row r="1049" spans="5:39">
      <c r="E1049" s="21"/>
      <c r="Q1049" s="191"/>
      <c r="R1049" s="191"/>
      <c r="S1049" s="191"/>
      <c r="T1049" s="127"/>
      <c r="U1049" s="127"/>
      <c r="V1049" s="191"/>
      <c r="W1049" s="190"/>
      <c r="X1049" s="191"/>
      <c r="Y1049" s="191"/>
      <c r="Z1049" s="191"/>
      <c r="AA1049" s="191"/>
      <c r="AB1049" s="191"/>
      <c r="AC1049" s="191"/>
      <c r="AD1049" s="191"/>
      <c r="AE1049" s="191"/>
      <c r="AF1049" s="191"/>
      <c r="AG1049" s="191"/>
      <c r="AH1049" s="191"/>
      <c r="AI1049" s="127"/>
      <c r="AJ1049" s="191"/>
      <c r="AK1049" s="191"/>
      <c r="AL1049" s="190"/>
      <c r="AM1049" s="191"/>
    </row>
    <row r="1050" spans="5:39">
      <c r="E1050" s="21"/>
      <c r="Q1050" s="191"/>
      <c r="R1050" s="191"/>
      <c r="S1050" s="191"/>
      <c r="T1050" s="127"/>
      <c r="U1050" s="127"/>
      <c r="V1050" s="191"/>
      <c r="W1050" s="190"/>
      <c r="X1050" s="191"/>
      <c r="Y1050" s="191"/>
      <c r="Z1050" s="191"/>
      <c r="AA1050" s="191"/>
      <c r="AB1050" s="191"/>
      <c r="AC1050" s="191"/>
      <c r="AD1050" s="191"/>
      <c r="AE1050" s="191"/>
      <c r="AF1050" s="191"/>
      <c r="AG1050" s="191"/>
      <c r="AH1050" s="191"/>
      <c r="AI1050" s="127"/>
      <c r="AJ1050" s="191"/>
      <c r="AK1050" s="191"/>
      <c r="AL1050" s="190"/>
      <c r="AM1050" s="191"/>
    </row>
    <row r="1051" spans="5:39">
      <c r="E1051" s="21"/>
      <c r="Q1051" s="191"/>
      <c r="R1051" s="191"/>
      <c r="S1051" s="191"/>
      <c r="T1051" s="127"/>
      <c r="U1051" s="127"/>
      <c r="V1051" s="191"/>
      <c r="W1051" s="190"/>
      <c r="X1051" s="191"/>
      <c r="Y1051" s="191"/>
      <c r="Z1051" s="191"/>
      <c r="AA1051" s="191"/>
      <c r="AB1051" s="191"/>
      <c r="AC1051" s="191"/>
      <c r="AD1051" s="191"/>
      <c r="AE1051" s="191"/>
      <c r="AF1051" s="191"/>
      <c r="AG1051" s="191"/>
      <c r="AH1051" s="191"/>
      <c r="AI1051" s="127"/>
      <c r="AJ1051" s="191"/>
      <c r="AK1051" s="191"/>
      <c r="AL1051" s="190"/>
      <c r="AM1051" s="191"/>
    </row>
    <row r="1052" spans="5:39">
      <c r="E1052" s="21"/>
      <c r="Q1052" s="191"/>
      <c r="R1052" s="191"/>
      <c r="S1052" s="191"/>
      <c r="T1052" s="127"/>
      <c r="U1052" s="127"/>
      <c r="V1052" s="191"/>
      <c r="W1052" s="190"/>
      <c r="X1052" s="191"/>
      <c r="Y1052" s="191"/>
      <c r="Z1052" s="191"/>
      <c r="AA1052" s="191"/>
      <c r="AB1052" s="191"/>
      <c r="AC1052" s="191"/>
      <c r="AD1052" s="191"/>
      <c r="AE1052" s="191"/>
      <c r="AF1052" s="191"/>
      <c r="AG1052" s="191"/>
      <c r="AH1052" s="191"/>
      <c r="AI1052" s="127"/>
      <c r="AJ1052" s="191"/>
      <c r="AK1052" s="191"/>
      <c r="AL1052" s="190"/>
      <c r="AM1052" s="191"/>
    </row>
    <row r="1053" spans="5:39">
      <c r="E1053" s="21"/>
      <c r="Q1053" s="191"/>
      <c r="R1053" s="191"/>
      <c r="S1053" s="191"/>
      <c r="T1053" s="127"/>
      <c r="U1053" s="127"/>
      <c r="V1053" s="191"/>
      <c r="W1053" s="190"/>
      <c r="X1053" s="191"/>
      <c r="Y1053" s="191"/>
      <c r="Z1053" s="191"/>
      <c r="AA1053" s="191"/>
      <c r="AB1053" s="191"/>
      <c r="AC1053" s="191"/>
      <c r="AD1053" s="191"/>
      <c r="AE1053" s="191"/>
      <c r="AF1053" s="191"/>
      <c r="AG1053" s="191"/>
      <c r="AH1053" s="191"/>
      <c r="AI1053" s="127"/>
      <c r="AJ1053" s="191"/>
      <c r="AK1053" s="191"/>
      <c r="AL1053" s="190"/>
      <c r="AM1053" s="191"/>
    </row>
    <row r="1054" spans="5:39">
      <c r="E1054" s="21"/>
      <c r="Q1054" s="191"/>
      <c r="R1054" s="191"/>
      <c r="S1054" s="191"/>
      <c r="T1054" s="127"/>
      <c r="U1054" s="127"/>
      <c r="V1054" s="191"/>
      <c r="W1054" s="190"/>
      <c r="X1054" s="191"/>
      <c r="Y1054" s="191"/>
      <c r="Z1054" s="191"/>
      <c r="AA1054" s="191"/>
      <c r="AB1054" s="191"/>
      <c r="AC1054" s="191"/>
      <c r="AD1054" s="191"/>
      <c r="AE1054" s="191"/>
      <c r="AF1054" s="191"/>
      <c r="AG1054" s="191"/>
      <c r="AH1054" s="191"/>
      <c r="AI1054" s="127"/>
      <c r="AJ1054" s="191"/>
      <c r="AK1054" s="191"/>
      <c r="AL1054" s="190"/>
      <c r="AM1054" s="191"/>
    </row>
    <row r="1055" spans="5:39">
      <c r="E1055" s="21"/>
      <c r="Q1055" s="191"/>
      <c r="R1055" s="191"/>
      <c r="S1055" s="191"/>
      <c r="T1055" s="127"/>
      <c r="U1055" s="127"/>
      <c r="V1055" s="191"/>
      <c r="W1055" s="190"/>
      <c r="X1055" s="191"/>
      <c r="Y1055" s="191"/>
      <c r="Z1055" s="191"/>
      <c r="AA1055" s="191"/>
      <c r="AB1055" s="191"/>
      <c r="AC1055" s="191"/>
      <c r="AD1055" s="191"/>
      <c r="AE1055" s="191"/>
      <c r="AF1055" s="191"/>
      <c r="AG1055" s="191"/>
      <c r="AH1055" s="191"/>
      <c r="AI1055" s="127"/>
      <c r="AJ1055" s="191"/>
      <c r="AK1055" s="191"/>
      <c r="AL1055" s="190"/>
      <c r="AM1055" s="191"/>
    </row>
    <row r="1056" spans="5:39">
      <c r="E1056" s="21"/>
      <c r="Q1056" s="191"/>
      <c r="R1056" s="191"/>
      <c r="S1056" s="191"/>
      <c r="T1056" s="127"/>
      <c r="U1056" s="127"/>
      <c r="V1056" s="191"/>
      <c r="W1056" s="190"/>
      <c r="X1056" s="191"/>
      <c r="Y1056" s="191"/>
      <c r="Z1056" s="191"/>
      <c r="AA1056" s="191"/>
      <c r="AB1056" s="191"/>
      <c r="AC1056" s="191"/>
      <c r="AD1056" s="191"/>
      <c r="AE1056" s="191"/>
      <c r="AF1056" s="191"/>
      <c r="AG1056" s="191"/>
      <c r="AH1056" s="191"/>
      <c r="AI1056" s="127"/>
      <c r="AJ1056" s="191"/>
      <c r="AK1056" s="191"/>
      <c r="AL1056" s="190"/>
      <c r="AM1056" s="191"/>
    </row>
    <row r="1057" spans="5:39">
      <c r="E1057" s="21"/>
      <c r="Q1057" s="191"/>
      <c r="R1057" s="191"/>
      <c r="S1057" s="191"/>
      <c r="T1057" s="127"/>
      <c r="U1057" s="127"/>
      <c r="V1057" s="191"/>
      <c r="W1057" s="190"/>
      <c r="X1057" s="191"/>
      <c r="Y1057" s="191"/>
      <c r="Z1057" s="191"/>
      <c r="AA1057" s="191"/>
      <c r="AB1057" s="191"/>
      <c r="AC1057" s="191"/>
      <c r="AD1057" s="191"/>
      <c r="AE1057" s="191"/>
      <c r="AF1057" s="191"/>
      <c r="AG1057" s="191"/>
      <c r="AH1057" s="191"/>
      <c r="AI1057" s="127"/>
      <c r="AJ1057" s="191"/>
      <c r="AK1057" s="191"/>
      <c r="AL1057" s="190"/>
      <c r="AM1057" s="191"/>
    </row>
    <row r="1058" spans="5:39">
      <c r="E1058" s="21"/>
      <c r="Q1058" s="191"/>
      <c r="R1058" s="191"/>
      <c r="S1058" s="191"/>
      <c r="T1058" s="127"/>
      <c r="U1058" s="127"/>
      <c r="V1058" s="191"/>
      <c r="W1058" s="190"/>
      <c r="X1058" s="191"/>
      <c r="Y1058" s="191"/>
      <c r="Z1058" s="191"/>
      <c r="AA1058" s="191"/>
      <c r="AB1058" s="191"/>
      <c r="AC1058" s="191"/>
      <c r="AD1058" s="191"/>
      <c r="AE1058" s="191"/>
      <c r="AF1058" s="191"/>
      <c r="AG1058" s="191"/>
      <c r="AH1058" s="191"/>
      <c r="AI1058" s="127"/>
      <c r="AJ1058" s="191"/>
      <c r="AK1058" s="191"/>
      <c r="AL1058" s="190"/>
      <c r="AM1058" s="191"/>
    </row>
    <row r="1059" spans="5:39">
      <c r="E1059" s="21"/>
      <c r="Q1059" s="191"/>
      <c r="R1059" s="191"/>
      <c r="S1059" s="191"/>
      <c r="T1059" s="127"/>
      <c r="U1059" s="127"/>
      <c r="V1059" s="191"/>
      <c r="W1059" s="190"/>
      <c r="X1059" s="191"/>
      <c r="Y1059" s="191"/>
      <c r="Z1059" s="191"/>
      <c r="AA1059" s="191"/>
      <c r="AB1059" s="191"/>
      <c r="AC1059" s="191"/>
      <c r="AD1059" s="191"/>
      <c r="AE1059" s="191"/>
      <c r="AF1059" s="191"/>
      <c r="AG1059" s="191"/>
      <c r="AH1059" s="191"/>
      <c r="AI1059" s="127"/>
      <c r="AJ1059" s="191"/>
      <c r="AK1059" s="191"/>
      <c r="AL1059" s="190"/>
      <c r="AM1059" s="191"/>
    </row>
    <row r="1060" spans="5:39">
      <c r="E1060" s="21"/>
      <c r="Q1060" s="191"/>
      <c r="R1060" s="191"/>
      <c r="S1060" s="191"/>
      <c r="T1060" s="127"/>
      <c r="U1060" s="127"/>
      <c r="V1060" s="191"/>
      <c r="W1060" s="190"/>
      <c r="X1060" s="191"/>
      <c r="Y1060" s="191"/>
      <c r="Z1060" s="191"/>
      <c r="AA1060" s="191"/>
      <c r="AB1060" s="191"/>
      <c r="AC1060" s="191"/>
      <c r="AD1060" s="191"/>
      <c r="AE1060" s="191"/>
      <c r="AF1060" s="191"/>
      <c r="AG1060" s="191"/>
      <c r="AH1060" s="191"/>
      <c r="AI1060" s="127"/>
      <c r="AJ1060" s="191"/>
      <c r="AK1060" s="191"/>
      <c r="AL1060" s="190"/>
      <c r="AM1060" s="191"/>
    </row>
    <row r="1061" spans="5:39">
      <c r="E1061" s="21"/>
      <c r="Q1061" s="191"/>
      <c r="R1061" s="191"/>
      <c r="S1061" s="191"/>
      <c r="T1061" s="127"/>
      <c r="U1061" s="127"/>
      <c r="V1061" s="191"/>
      <c r="W1061" s="190"/>
      <c r="X1061" s="191"/>
      <c r="Y1061" s="191"/>
      <c r="Z1061" s="191"/>
      <c r="AA1061" s="191"/>
      <c r="AB1061" s="191"/>
      <c r="AC1061" s="191"/>
      <c r="AD1061" s="191"/>
      <c r="AE1061" s="191"/>
      <c r="AF1061" s="191"/>
      <c r="AG1061" s="191"/>
      <c r="AH1061" s="191"/>
      <c r="AI1061" s="127"/>
      <c r="AJ1061" s="191"/>
      <c r="AK1061" s="191"/>
      <c r="AL1061" s="190"/>
      <c r="AM1061" s="191"/>
    </row>
    <row r="1062" spans="5:39">
      <c r="E1062" s="21"/>
      <c r="Q1062" s="191"/>
      <c r="R1062" s="191"/>
      <c r="S1062" s="191"/>
      <c r="T1062" s="127"/>
      <c r="U1062" s="127"/>
      <c r="V1062" s="191"/>
      <c r="W1062" s="190"/>
      <c r="X1062" s="191"/>
      <c r="Y1062" s="191"/>
      <c r="Z1062" s="191"/>
      <c r="AA1062" s="191"/>
      <c r="AB1062" s="191"/>
      <c r="AC1062" s="191"/>
      <c r="AD1062" s="191"/>
      <c r="AE1062" s="191"/>
      <c r="AF1062" s="191"/>
      <c r="AG1062" s="191"/>
      <c r="AH1062" s="191"/>
      <c r="AI1062" s="127"/>
      <c r="AJ1062" s="191"/>
      <c r="AK1062" s="191"/>
      <c r="AL1062" s="190"/>
      <c r="AM1062" s="191"/>
    </row>
    <row r="1063" spans="5:39">
      <c r="E1063" s="21"/>
      <c r="Q1063" s="191"/>
      <c r="R1063" s="191"/>
      <c r="S1063" s="191"/>
      <c r="T1063" s="127"/>
      <c r="U1063" s="127"/>
      <c r="V1063" s="191"/>
      <c r="W1063" s="190"/>
      <c r="X1063" s="191"/>
      <c r="Y1063" s="191"/>
      <c r="Z1063" s="191"/>
      <c r="AA1063" s="191"/>
      <c r="AB1063" s="191"/>
      <c r="AC1063" s="191"/>
      <c r="AD1063" s="191"/>
      <c r="AE1063" s="191"/>
      <c r="AF1063" s="191"/>
      <c r="AG1063" s="191"/>
      <c r="AH1063" s="191"/>
      <c r="AI1063" s="127"/>
      <c r="AJ1063" s="191"/>
      <c r="AK1063" s="191"/>
      <c r="AL1063" s="190"/>
      <c r="AM1063" s="191"/>
    </row>
    <row r="1064" spans="5:39">
      <c r="E1064" s="21"/>
      <c r="Q1064" s="191"/>
      <c r="R1064" s="191"/>
      <c r="S1064" s="191"/>
      <c r="T1064" s="127"/>
      <c r="U1064" s="127"/>
      <c r="V1064" s="191"/>
      <c r="W1064" s="190"/>
      <c r="X1064" s="191"/>
      <c r="Y1064" s="191"/>
      <c r="Z1064" s="191"/>
      <c r="AA1064" s="191"/>
      <c r="AB1064" s="191"/>
      <c r="AC1064" s="191"/>
      <c r="AD1064" s="191"/>
      <c r="AE1064" s="191"/>
      <c r="AF1064" s="191"/>
      <c r="AG1064" s="191"/>
      <c r="AH1064" s="191"/>
      <c r="AI1064" s="127"/>
      <c r="AJ1064" s="191"/>
      <c r="AK1064" s="191"/>
      <c r="AL1064" s="190"/>
      <c r="AM1064" s="191"/>
    </row>
    <row r="1065" spans="5:39">
      <c r="E1065" s="21"/>
      <c r="Q1065" s="191"/>
      <c r="R1065" s="191"/>
      <c r="S1065" s="191"/>
      <c r="T1065" s="127"/>
      <c r="U1065" s="127"/>
      <c r="V1065" s="191"/>
      <c r="W1065" s="190"/>
      <c r="X1065" s="191"/>
      <c r="Y1065" s="191"/>
      <c r="Z1065" s="191"/>
      <c r="AA1065" s="191"/>
      <c r="AB1065" s="191"/>
      <c r="AC1065" s="191"/>
      <c r="AD1065" s="191"/>
      <c r="AE1065" s="191"/>
      <c r="AF1065" s="191"/>
      <c r="AG1065" s="191"/>
      <c r="AH1065" s="191"/>
      <c r="AI1065" s="127"/>
      <c r="AJ1065" s="191"/>
      <c r="AK1065" s="191"/>
      <c r="AL1065" s="190"/>
      <c r="AM1065" s="191"/>
    </row>
    <row r="1066" spans="5:39">
      <c r="E1066" s="21"/>
      <c r="Q1066" s="191"/>
      <c r="R1066" s="191"/>
      <c r="S1066" s="191"/>
      <c r="T1066" s="127"/>
      <c r="U1066" s="127"/>
      <c r="V1066" s="191"/>
      <c r="W1066" s="190"/>
      <c r="X1066" s="191"/>
      <c r="Y1066" s="191"/>
      <c r="Z1066" s="191"/>
      <c r="AA1066" s="191"/>
      <c r="AB1066" s="191"/>
      <c r="AC1066" s="191"/>
      <c r="AD1066" s="191"/>
      <c r="AE1066" s="191"/>
      <c r="AF1066" s="191"/>
      <c r="AG1066" s="191"/>
      <c r="AH1066" s="191"/>
      <c r="AI1066" s="127"/>
      <c r="AJ1066" s="191"/>
      <c r="AK1066" s="191"/>
      <c r="AL1066" s="190"/>
      <c r="AM1066" s="191"/>
    </row>
    <row r="1067" spans="5:39">
      <c r="E1067" s="21"/>
      <c r="Q1067" s="191"/>
      <c r="R1067" s="191"/>
      <c r="S1067" s="191"/>
      <c r="T1067" s="127"/>
      <c r="U1067" s="127"/>
      <c r="V1067" s="191"/>
      <c r="W1067" s="190"/>
      <c r="X1067" s="191"/>
      <c r="Y1067" s="191"/>
      <c r="Z1067" s="191"/>
      <c r="AA1067" s="191"/>
      <c r="AB1067" s="191"/>
      <c r="AC1067" s="191"/>
      <c r="AD1067" s="191"/>
      <c r="AE1067" s="191"/>
      <c r="AF1067" s="191"/>
      <c r="AG1067" s="191"/>
      <c r="AH1067" s="191"/>
      <c r="AI1067" s="127"/>
      <c r="AJ1067" s="191"/>
      <c r="AK1067" s="191"/>
      <c r="AL1067" s="190"/>
      <c r="AM1067" s="191"/>
    </row>
    <row r="1068" spans="5:39">
      <c r="E1068" s="21"/>
      <c r="Q1068" s="191"/>
      <c r="R1068" s="191"/>
      <c r="S1068" s="191"/>
      <c r="T1068" s="127"/>
      <c r="U1068" s="127"/>
      <c r="V1068" s="191"/>
      <c r="W1068" s="190"/>
      <c r="X1068" s="191"/>
      <c r="Y1068" s="191"/>
      <c r="Z1068" s="191"/>
      <c r="AA1068" s="191"/>
      <c r="AB1068" s="191"/>
      <c r="AC1068" s="191"/>
      <c r="AD1068" s="191"/>
      <c r="AE1068" s="191"/>
      <c r="AF1068" s="191"/>
      <c r="AG1068" s="191"/>
      <c r="AH1068" s="191"/>
      <c r="AI1068" s="127"/>
      <c r="AJ1068" s="191"/>
      <c r="AK1068" s="191"/>
      <c r="AL1068" s="190"/>
      <c r="AM1068" s="191"/>
    </row>
    <row r="1069" spans="5:39">
      <c r="E1069" s="21"/>
      <c r="Q1069" s="191"/>
      <c r="R1069" s="191"/>
      <c r="S1069" s="191"/>
      <c r="T1069" s="127"/>
      <c r="U1069" s="127"/>
      <c r="V1069" s="191"/>
      <c r="W1069" s="190"/>
      <c r="X1069" s="191"/>
      <c r="Y1069" s="191"/>
      <c r="Z1069" s="191"/>
      <c r="AA1069" s="191"/>
      <c r="AB1069" s="191"/>
      <c r="AC1069" s="191"/>
      <c r="AD1069" s="191"/>
      <c r="AE1069" s="191"/>
      <c r="AF1069" s="191"/>
      <c r="AG1069" s="191"/>
      <c r="AH1069" s="191"/>
      <c r="AI1069" s="127"/>
      <c r="AJ1069" s="191"/>
      <c r="AK1069" s="191"/>
      <c r="AL1069" s="190"/>
      <c r="AM1069" s="191"/>
    </row>
    <row r="1070" spans="5:39">
      <c r="E1070" s="21"/>
      <c r="Q1070" s="191"/>
      <c r="R1070" s="191"/>
      <c r="S1070" s="191"/>
      <c r="T1070" s="127"/>
      <c r="U1070" s="127"/>
      <c r="V1070" s="191"/>
      <c r="W1070" s="190"/>
      <c r="X1070" s="191"/>
      <c r="Y1070" s="191"/>
      <c r="Z1070" s="191"/>
      <c r="AA1070" s="191"/>
      <c r="AB1070" s="191"/>
      <c r="AC1070" s="191"/>
      <c r="AD1070" s="191"/>
      <c r="AE1070" s="191"/>
      <c r="AF1070" s="191"/>
      <c r="AG1070" s="191"/>
      <c r="AH1070" s="191"/>
      <c r="AI1070" s="127"/>
      <c r="AJ1070" s="191"/>
      <c r="AK1070" s="191"/>
      <c r="AL1070" s="190"/>
      <c r="AM1070" s="191"/>
    </row>
    <row r="1071" spans="5:39">
      <c r="E1071" s="21"/>
      <c r="Q1071" s="191"/>
      <c r="R1071" s="191"/>
      <c r="S1071" s="191"/>
      <c r="T1071" s="127"/>
      <c r="U1071" s="127"/>
      <c r="V1071" s="191"/>
      <c r="W1071" s="190"/>
      <c r="X1071" s="191"/>
      <c r="Y1071" s="191"/>
      <c r="Z1071" s="191"/>
      <c r="AA1071" s="191"/>
      <c r="AB1071" s="191"/>
      <c r="AC1071" s="191"/>
      <c r="AD1071" s="191"/>
      <c r="AE1071" s="191"/>
      <c r="AF1071" s="191"/>
      <c r="AG1071" s="191"/>
      <c r="AH1071" s="191"/>
      <c r="AI1071" s="127"/>
      <c r="AJ1071" s="191"/>
      <c r="AK1071" s="191"/>
      <c r="AL1071" s="190"/>
      <c r="AM1071" s="191"/>
    </row>
    <row r="1072" spans="5:39">
      <c r="E1072" s="21"/>
      <c r="Q1072" s="191"/>
      <c r="R1072" s="191"/>
      <c r="S1072" s="191"/>
      <c r="T1072" s="127"/>
      <c r="U1072" s="127"/>
      <c r="V1072" s="191"/>
      <c r="W1072" s="190"/>
      <c r="X1072" s="191"/>
      <c r="Y1072" s="191"/>
      <c r="Z1072" s="191"/>
      <c r="AA1072" s="191"/>
      <c r="AB1072" s="191"/>
      <c r="AC1072" s="191"/>
      <c r="AD1072" s="191"/>
      <c r="AE1072" s="191"/>
      <c r="AF1072" s="191"/>
      <c r="AG1072" s="191"/>
      <c r="AH1072" s="191"/>
      <c r="AI1072" s="127"/>
      <c r="AJ1072" s="191"/>
      <c r="AK1072" s="191"/>
      <c r="AL1072" s="190"/>
      <c r="AM1072" s="191"/>
    </row>
    <row r="1073" spans="5:39">
      <c r="E1073" s="21"/>
      <c r="Q1073" s="191"/>
      <c r="R1073" s="191"/>
      <c r="S1073" s="191"/>
      <c r="T1073" s="127"/>
      <c r="U1073" s="127"/>
      <c r="V1073" s="191"/>
      <c r="W1073" s="190"/>
      <c r="X1073" s="191"/>
      <c r="Y1073" s="191"/>
      <c r="Z1073" s="191"/>
      <c r="AA1073" s="191"/>
      <c r="AB1073" s="191"/>
      <c r="AC1073" s="191"/>
      <c r="AD1073" s="191"/>
      <c r="AE1073" s="191"/>
      <c r="AF1073" s="191"/>
      <c r="AG1073" s="191"/>
      <c r="AH1073" s="191"/>
      <c r="AI1073" s="127"/>
      <c r="AJ1073" s="191"/>
      <c r="AK1073" s="191"/>
      <c r="AL1073" s="190"/>
      <c r="AM1073" s="191"/>
    </row>
    <row r="1074" spans="5:39">
      <c r="E1074" s="21"/>
      <c r="Q1074" s="191"/>
      <c r="R1074" s="191"/>
      <c r="S1074" s="191"/>
      <c r="T1074" s="127"/>
      <c r="U1074" s="127"/>
      <c r="V1074" s="191"/>
      <c r="W1074" s="190"/>
      <c r="X1074" s="191"/>
      <c r="Y1074" s="191"/>
      <c r="Z1074" s="191"/>
      <c r="AA1074" s="191"/>
      <c r="AB1074" s="191"/>
      <c r="AC1074" s="191"/>
      <c r="AD1074" s="191"/>
      <c r="AE1074" s="191"/>
      <c r="AF1074" s="191"/>
      <c r="AG1074" s="191"/>
      <c r="AH1074" s="191"/>
      <c r="AI1074" s="127"/>
      <c r="AJ1074" s="191"/>
      <c r="AK1074" s="191"/>
      <c r="AL1074" s="190"/>
      <c r="AM1074" s="191"/>
    </row>
    <row r="1075" spans="5:39">
      <c r="E1075" s="21"/>
      <c r="Q1075" s="191"/>
      <c r="R1075" s="191"/>
      <c r="S1075" s="191"/>
      <c r="T1075" s="127"/>
      <c r="U1075" s="127"/>
      <c r="V1075" s="191"/>
      <c r="W1075" s="190"/>
      <c r="X1075" s="191"/>
      <c r="Y1075" s="191"/>
      <c r="Z1075" s="191"/>
      <c r="AA1075" s="191"/>
      <c r="AB1075" s="191"/>
      <c r="AC1075" s="191"/>
      <c r="AD1075" s="191"/>
      <c r="AE1075" s="191"/>
      <c r="AF1075" s="191"/>
      <c r="AG1075" s="191"/>
      <c r="AH1075" s="191"/>
      <c r="AI1075" s="127"/>
      <c r="AJ1075" s="191"/>
      <c r="AK1075" s="191"/>
      <c r="AL1075" s="190"/>
      <c r="AM1075" s="191"/>
    </row>
    <row r="1076" spans="5:39">
      <c r="E1076" s="21"/>
      <c r="Q1076" s="191"/>
      <c r="R1076" s="191"/>
      <c r="S1076" s="191"/>
      <c r="T1076" s="127"/>
      <c r="U1076" s="127"/>
      <c r="V1076" s="191"/>
      <c r="W1076" s="190"/>
      <c r="X1076" s="191"/>
      <c r="Y1076" s="191"/>
      <c r="Z1076" s="191"/>
      <c r="AA1076" s="191"/>
      <c r="AB1076" s="191"/>
      <c r="AC1076" s="191"/>
      <c r="AD1076" s="191"/>
      <c r="AE1076" s="191"/>
      <c r="AF1076" s="191"/>
      <c r="AG1076" s="191"/>
      <c r="AH1076" s="191"/>
      <c r="AI1076" s="127"/>
      <c r="AJ1076" s="191"/>
      <c r="AK1076" s="191"/>
      <c r="AL1076" s="190"/>
      <c r="AM1076" s="191"/>
    </row>
    <row r="1077" spans="5:39">
      <c r="E1077" s="21"/>
      <c r="Q1077" s="191"/>
      <c r="R1077" s="191"/>
      <c r="S1077" s="191"/>
      <c r="T1077" s="127"/>
      <c r="U1077" s="127"/>
      <c r="V1077" s="191"/>
      <c r="W1077" s="190"/>
      <c r="X1077" s="191"/>
      <c r="Y1077" s="191"/>
      <c r="Z1077" s="191"/>
      <c r="AA1077" s="191"/>
      <c r="AB1077" s="191"/>
      <c r="AC1077" s="191"/>
      <c r="AD1077" s="191"/>
      <c r="AE1077" s="191"/>
      <c r="AF1077" s="191"/>
      <c r="AG1077" s="191"/>
      <c r="AH1077" s="191"/>
      <c r="AI1077" s="127"/>
      <c r="AJ1077" s="191"/>
      <c r="AK1077" s="191"/>
      <c r="AL1077" s="190"/>
      <c r="AM1077" s="191"/>
    </row>
    <row r="1078" spans="5:39">
      <c r="E1078" s="21"/>
      <c r="Q1078" s="191"/>
      <c r="R1078" s="191"/>
      <c r="S1078" s="191"/>
      <c r="T1078" s="127"/>
      <c r="U1078" s="127"/>
      <c r="V1078" s="191"/>
      <c r="W1078" s="190"/>
      <c r="X1078" s="191"/>
      <c r="Y1078" s="191"/>
      <c r="Z1078" s="191"/>
      <c r="AA1078" s="191"/>
      <c r="AB1078" s="191"/>
      <c r="AC1078" s="191"/>
      <c r="AD1078" s="191"/>
      <c r="AE1078" s="191"/>
      <c r="AF1078" s="191"/>
      <c r="AG1078" s="191"/>
      <c r="AH1078" s="191"/>
      <c r="AI1078" s="127"/>
      <c r="AJ1078" s="191"/>
      <c r="AK1078" s="191"/>
      <c r="AL1078" s="190"/>
      <c r="AM1078" s="191"/>
    </row>
    <row r="1079" spans="5:39">
      <c r="E1079" s="21"/>
      <c r="Q1079" s="191"/>
      <c r="R1079" s="191"/>
      <c r="S1079" s="191"/>
      <c r="T1079" s="127"/>
      <c r="U1079" s="127"/>
      <c r="V1079" s="191"/>
      <c r="W1079" s="190"/>
      <c r="X1079" s="191"/>
      <c r="Y1079" s="191"/>
      <c r="Z1079" s="191"/>
      <c r="AA1079" s="191"/>
      <c r="AB1079" s="191"/>
      <c r="AC1079" s="191"/>
      <c r="AD1079" s="191"/>
      <c r="AE1079" s="191"/>
      <c r="AF1079" s="191"/>
      <c r="AG1079" s="191"/>
      <c r="AH1079" s="191"/>
      <c r="AI1079" s="127"/>
      <c r="AJ1079" s="191"/>
      <c r="AK1079" s="191"/>
      <c r="AL1079" s="190"/>
      <c r="AM1079" s="191"/>
    </row>
    <row r="1080" spans="5:39">
      <c r="E1080" s="21"/>
      <c r="Q1080" s="191"/>
      <c r="R1080" s="191"/>
      <c r="S1080" s="191"/>
      <c r="T1080" s="127"/>
      <c r="U1080" s="127"/>
      <c r="V1080" s="191"/>
      <c r="W1080" s="190"/>
      <c r="X1080" s="191"/>
      <c r="Y1080" s="191"/>
      <c r="Z1080" s="191"/>
      <c r="AA1080" s="191"/>
      <c r="AB1080" s="191"/>
      <c r="AC1080" s="191"/>
      <c r="AD1080" s="191"/>
      <c r="AE1080" s="191"/>
      <c r="AF1080" s="191"/>
      <c r="AG1080" s="191"/>
      <c r="AH1080" s="191"/>
      <c r="AI1080" s="127"/>
      <c r="AJ1080" s="191"/>
      <c r="AK1080" s="191"/>
      <c r="AL1080" s="190"/>
      <c r="AM1080" s="191"/>
    </row>
    <row r="1081" spans="5:39">
      <c r="E1081" s="21"/>
      <c r="Q1081" s="191"/>
      <c r="R1081" s="191"/>
      <c r="S1081" s="191"/>
      <c r="T1081" s="127"/>
      <c r="U1081" s="127"/>
      <c r="V1081" s="191"/>
      <c r="W1081" s="190"/>
      <c r="X1081" s="191"/>
      <c r="Y1081" s="191"/>
      <c r="Z1081" s="191"/>
      <c r="AA1081" s="191"/>
      <c r="AB1081" s="191"/>
      <c r="AC1081" s="191"/>
      <c r="AD1081" s="191"/>
      <c r="AE1081" s="191"/>
      <c r="AF1081" s="191"/>
      <c r="AG1081" s="191"/>
      <c r="AH1081" s="191"/>
      <c r="AI1081" s="127"/>
      <c r="AJ1081" s="191"/>
      <c r="AK1081" s="191"/>
      <c r="AL1081" s="190"/>
      <c r="AM1081" s="191"/>
    </row>
    <row r="1082" spans="5:39">
      <c r="E1082" s="21"/>
      <c r="Q1082" s="191"/>
      <c r="R1082" s="191"/>
      <c r="S1082" s="191"/>
      <c r="T1082" s="127"/>
      <c r="U1082" s="127"/>
      <c r="V1082" s="191"/>
      <c r="W1082" s="190"/>
      <c r="X1082" s="191"/>
      <c r="Y1082" s="191"/>
      <c r="Z1082" s="191"/>
      <c r="AA1082" s="191"/>
      <c r="AB1082" s="191"/>
      <c r="AC1082" s="191"/>
      <c r="AD1082" s="191"/>
      <c r="AE1082" s="191"/>
      <c r="AF1082" s="191"/>
      <c r="AG1082" s="191"/>
      <c r="AH1082" s="191"/>
      <c r="AI1082" s="127"/>
      <c r="AJ1082" s="191"/>
      <c r="AK1082" s="191"/>
      <c r="AL1082" s="190"/>
      <c r="AM1082" s="191"/>
    </row>
    <row r="1083" spans="5:39">
      <c r="E1083" s="21"/>
      <c r="Q1083" s="191"/>
      <c r="R1083" s="191"/>
      <c r="S1083" s="191"/>
      <c r="T1083" s="127"/>
      <c r="U1083" s="127"/>
      <c r="V1083" s="191"/>
      <c r="W1083" s="190"/>
      <c r="X1083" s="191"/>
      <c r="Y1083" s="191"/>
      <c r="Z1083" s="191"/>
      <c r="AA1083" s="191"/>
      <c r="AB1083" s="191"/>
      <c r="AC1083" s="191"/>
      <c r="AD1083" s="191"/>
      <c r="AE1083" s="191"/>
      <c r="AF1083" s="191"/>
      <c r="AG1083" s="191"/>
      <c r="AH1083" s="191"/>
      <c r="AI1083" s="127"/>
      <c r="AJ1083" s="191"/>
      <c r="AK1083" s="191"/>
      <c r="AL1083" s="190"/>
      <c r="AM1083" s="191"/>
    </row>
    <row r="1084" spans="5:39">
      <c r="E1084" s="21"/>
      <c r="Q1084" s="191"/>
      <c r="R1084" s="191"/>
      <c r="S1084" s="191"/>
      <c r="T1084" s="127"/>
      <c r="U1084" s="127"/>
      <c r="V1084" s="191"/>
      <c r="W1084" s="190"/>
      <c r="X1084" s="191"/>
      <c r="Y1084" s="191"/>
      <c r="Z1084" s="191"/>
      <c r="AA1084" s="191"/>
      <c r="AB1084" s="191"/>
      <c r="AC1084" s="191"/>
      <c r="AD1084" s="191"/>
      <c r="AE1084" s="191"/>
      <c r="AF1084" s="191"/>
      <c r="AG1084" s="191"/>
      <c r="AH1084" s="191"/>
      <c r="AI1084" s="127"/>
      <c r="AJ1084" s="191"/>
      <c r="AK1084" s="191"/>
      <c r="AL1084" s="190"/>
      <c r="AM1084" s="191"/>
    </row>
    <row r="1085" spans="5:39">
      <c r="E1085" s="21"/>
      <c r="Q1085" s="191"/>
      <c r="R1085" s="191"/>
      <c r="S1085" s="191"/>
      <c r="T1085" s="127"/>
      <c r="U1085" s="127"/>
      <c r="V1085" s="191"/>
      <c r="W1085" s="190"/>
      <c r="X1085" s="191"/>
      <c r="Y1085" s="191"/>
      <c r="Z1085" s="191"/>
      <c r="AA1085" s="191"/>
      <c r="AB1085" s="191"/>
      <c r="AC1085" s="191"/>
      <c r="AD1085" s="191"/>
      <c r="AE1085" s="191"/>
      <c r="AF1085" s="191"/>
      <c r="AG1085" s="191"/>
      <c r="AH1085" s="191"/>
      <c r="AI1085" s="127"/>
      <c r="AJ1085" s="191"/>
      <c r="AK1085" s="191"/>
      <c r="AL1085" s="190"/>
      <c r="AM1085" s="191"/>
    </row>
    <row r="1086" spans="5:39">
      <c r="E1086" s="21"/>
      <c r="Q1086" s="191"/>
      <c r="R1086" s="191"/>
      <c r="S1086" s="191"/>
      <c r="T1086" s="127"/>
      <c r="U1086" s="127"/>
      <c r="V1086" s="191"/>
      <c r="W1086" s="190"/>
      <c r="X1086" s="191"/>
      <c r="Y1086" s="191"/>
      <c r="Z1086" s="191"/>
      <c r="AA1086" s="191"/>
      <c r="AB1086" s="191"/>
      <c r="AC1086" s="191"/>
      <c r="AD1086" s="191"/>
      <c r="AE1086" s="191"/>
      <c r="AF1086" s="191"/>
      <c r="AG1086" s="191"/>
      <c r="AH1086" s="191"/>
      <c r="AI1086" s="127"/>
      <c r="AJ1086" s="191"/>
      <c r="AK1086" s="191"/>
      <c r="AL1086" s="190"/>
      <c r="AM1086" s="191"/>
    </row>
    <row r="1087" spans="5:39">
      <c r="E1087" s="21"/>
      <c r="Q1087" s="191"/>
      <c r="R1087" s="191"/>
      <c r="S1087" s="191"/>
      <c r="T1087" s="127"/>
      <c r="U1087" s="127"/>
      <c r="V1087" s="191"/>
      <c r="W1087" s="190"/>
      <c r="X1087" s="191"/>
      <c r="Y1087" s="191"/>
      <c r="Z1087" s="191"/>
      <c r="AA1087" s="191"/>
      <c r="AB1087" s="191"/>
      <c r="AC1087" s="191"/>
      <c r="AD1087" s="191"/>
      <c r="AE1087" s="191"/>
      <c r="AF1087" s="191"/>
      <c r="AG1087" s="191"/>
      <c r="AH1087" s="191"/>
      <c r="AI1087" s="127"/>
      <c r="AJ1087" s="191"/>
      <c r="AK1087" s="191"/>
      <c r="AL1087" s="190"/>
      <c r="AM1087" s="191"/>
    </row>
    <row r="1088" spans="5:39">
      <c r="E1088" s="21"/>
      <c r="Q1088" s="191"/>
      <c r="R1088" s="191"/>
      <c r="S1088" s="191"/>
      <c r="T1088" s="127"/>
      <c r="U1088" s="127"/>
      <c r="V1088" s="191"/>
      <c r="W1088" s="190"/>
      <c r="X1088" s="191"/>
      <c r="Y1088" s="191"/>
      <c r="Z1088" s="191"/>
      <c r="AA1088" s="191"/>
      <c r="AB1088" s="191"/>
      <c r="AC1088" s="191"/>
      <c r="AD1088" s="191"/>
      <c r="AE1088" s="191"/>
      <c r="AF1088" s="191"/>
      <c r="AG1088" s="191"/>
      <c r="AH1088" s="191"/>
      <c r="AI1088" s="127"/>
      <c r="AJ1088" s="191"/>
      <c r="AK1088" s="191"/>
      <c r="AL1088" s="190"/>
      <c r="AM1088" s="191"/>
    </row>
    <row r="1089" spans="5:39">
      <c r="E1089" s="21"/>
      <c r="Q1089" s="191"/>
      <c r="R1089" s="191"/>
      <c r="S1089" s="191"/>
      <c r="T1089" s="127"/>
      <c r="U1089" s="127"/>
      <c r="V1089" s="191"/>
      <c r="W1089" s="190"/>
      <c r="X1089" s="191"/>
      <c r="Y1089" s="191"/>
      <c r="Z1089" s="191"/>
      <c r="AA1089" s="191"/>
      <c r="AB1089" s="191"/>
      <c r="AC1089" s="191"/>
      <c r="AD1089" s="191"/>
      <c r="AE1089" s="191"/>
      <c r="AF1089" s="191"/>
      <c r="AG1089" s="191"/>
      <c r="AH1089" s="191"/>
      <c r="AI1089" s="127"/>
      <c r="AJ1089" s="191"/>
      <c r="AK1089" s="191"/>
      <c r="AL1089" s="190"/>
      <c r="AM1089" s="191"/>
    </row>
    <row r="1090" spans="5:39">
      <c r="E1090" s="21"/>
      <c r="Q1090" s="191"/>
      <c r="R1090" s="191"/>
      <c r="S1090" s="191"/>
      <c r="T1090" s="127"/>
      <c r="U1090" s="127"/>
      <c r="V1090" s="191"/>
      <c r="W1090" s="190"/>
      <c r="X1090" s="191"/>
      <c r="Y1090" s="191"/>
      <c r="Z1090" s="191"/>
      <c r="AA1090" s="191"/>
      <c r="AB1090" s="191"/>
      <c r="AC1090" s="191"/>
      <c r="AD1090" s="191"/>
      <c r="AE1090" s="191"/>
      <c r="AF1090" s="191"/>
      <c r="AG1090" s="191"/>
      <c r="AH1090" s="191"/>
      <c r="AI1090" s="127"/>
      <c r="AJ1090" s="191"/>
      <c r="AK1090" s="191"/>
      <c r="AL1090" s="190"/>
      <c r="AM1090" s="191"/>
    </row>
    <row r="1091" spans="5:39">
      <c r="E1091" s="21"/>
      <c r="Q1091" s="191"/>
      <c r="R1091" s="191"/>
      <c r="S1091" s="191"/>
      <c r="T1091" s="127"/>
      <c r="U1091" s="127"/>
      <c r="V1091" s="191"/>
      <c r="W1091" s="190"/>
      <c r="X1091" s="191"/>
      <c r="Y1091" s="191"/>
      <c r="Z1091" s="191"/>
      <c r="AA1091" s="191"/>
      <c r="AB1091" s="191"/>
      <c r="AC1091" s="191"/>
      <c r="AD1091" s="191"/>
      <c r="AE1091" s="191"/>
      <c r="AF1091" s="191"/>
      <c r="AG1091" s="191"/>
      <c r="AH1091" s="191"/>
      <c r="AI1091" s="127"/>
      <c r="AJ1091" s="191"/>
      <c r="AK1091" s="191"/>
      <c r="AL1091" s="190"/>
      <c r="AM1091" s="191"/>
    </row>
    <row r="1092" spans="5:39">
      <c r="E1092" s="21"/>
      <c r="Q1092" s="191"/>
      <c r="R1092" s="191"/>
      <c r="S1092" s="191"/>
      <c r="T1092" s="127"/>
      <c r="U1092" s="127"/>
      <c r="V1092" s="191"/>
      <c r="W1092" s="190"/>
      <c r="X1092" s="191"/>
      <c r="Y1092" s="191"/>
      <c r="Z1092" s="191"/>
      <c r="AA1092" s="191"/>
      <c r="AB1092" s="191"/>
      <c r="AC1092" s="191"/>
      <c r="AD1092" s="191"/>
      <c r="AE1092" s="191"/>
      <c r="AF1092" s="191"/>
      <c r="AG1092" s="191"/>
      <c r="AH1092" s="191"/>
      <c r="AI1092" s="127"/>
      <c r="AJ1092" s="191"/>
      <c r="AK1092" s="191"/>
      <c r="AL1092" s="190"/>
      <c r="AM1092" s="191"/>
    </row>
    <row r="1093" spans="5:39">
      <c r="E1093" s="21"/>
      <c r="Q1093" s="191"/>
      <c r="R1093" s="191"/>
      <c r="S1093" s="191"/>
      <c r="T1093" s="127"/>
      <c r="U1093" s="127"/>
      <c r="V1093" s="191"/>
      <c r="W1093" s="190"/>
      <c r="X1093" s="191"/>
      <c r="Y1093" s="191"/>
      <c r="Z1093" s="191"/>
      <c r="AA1093" s="191"/>
      <c r="AB1093" s="191"/>
      <c r="AC1093" s="191"/>
      <c r="AD1093" s="191"/>
      <c r="AE1093" s="191"/>
      <c r="AF1093" s="191"/>
      <c r="AG1093" s="191"/>
      <c r="AH1093" s="191"/>
      <c r="AI1093" s="127"/>
      <c r="AJ1093" s="191"/>
      <c r="AK1093" s="191"/>
      <c r="AL1093" s="190"/>
      <c r="AM1093" s="191"/>
    </row>
    <row r="1094" spans="5:39">
      <c r="E1094" s="21"/>
      <c r="Q1094" s="191"/>
      <c r="R1094" s="191"/>
      <c r="S1094" s="191"/>
      <c r="T1094" s="127"/>
      <c r="U1094" s="127"/>
      <c r="V1094" s="191"/>
      <c r="W1094" s="190"/>
      <c r="X1094" s="191"/>
      <c r="Y1094" s="191"/>
      <c r="Z1094" s="191"/>
      <c r="AA1094" s="191"/>
      <c r="AB1094" s="191"/>
      <c r="AC1094" s="191"/>
      <c r="AD1094" s="191"/>
      <c r="AE1094" s="191"/>
      <c r="AF1094" s="191"/>
      <c r="AG1094" s="191"/>
      <c r="AH1094" s="191"/>
      <c r="AI1094" s="127"/>
      <c r="AJ1094" s="191"/>
      <c r="AK1094" s="191"/>
      <c r="AL1094" s="190"/>
      <c r="AM1094" s="191"/>
    </row>
    <row r="1095" spans="5:39">
      <c r="E1095" s="21"/>
      <c r="Q1095" s="191"/>
      <c r="R1095" s="191"/>
      <c r="S1095" s="191"/>
      <c r="T1095" s="127"/>
      <c r="U1095" s="127"/>
      <c r="V1095" s="191"/>
      <c r="W1095" s="190"/>
      <c r="X1095" s="191"/>
      <c r="Y1095" s="191"/>
      <c r="Z1095" s="191"/>
      <c r="AA1095" s="191"/>
      <c r="AB1095" s="191"/>
      <c r="AC1095" s="191"/>
      <c r="AD1095" s="191"/>
      <c r="AE1095" s="191"/>
      <c r="AF1095" s="191"/>
      <c r="AG1095" s="191"/>
      <c r="AH1095" s="191"/>
      <c r="AI1095" s="127"/>
      <c r="AJ1095" s="191"/>
      <c r="AK1095" s="191"/>
      <c r="AL1095" s="190"/>
      <c r="AM1095" s="191"/>
    </row>
    <row r="1096" spans="5:39">
      <c r="E1096" s="21"/>
      <c r="Q1096" s="191"/>
      <c r="R1096" s="191"/>
      <c r="S1096" s="191"/>
      <c r="T1096" s="127"/>
      <c r="U1096" s="127"/>
      <c r="V1096" s="191"/>
      <c r="W1096" s="190"/>
      <c r="X1096" s="191"/>
      <c r="Y1096" s="191"/>
      <c r="Z1096" s="191"/>
      <c r="AA1096" s="191"/>
      <c r="AB1096" s="191"/>
      <c r="AC1096" s="191"/>
      <c r="AD1096" s="191"/>
      <c r="AE1096" s="191"/>
      <c r="AF1096" s="191"/>
      <c r="AG1096" s="191"/>
      <c r="AH1096" s="191"/>
      <c r="AI1096" s="127"/>
      <c r="AJ1096" s="191"/>
      <c r="AK1096" s="191"/>
      <c r="AL1096" s="190"/>
      <c r="AM1096" s="191"/>
    </row>
    <row r="1097" spans="5:39">
      <c r="E1097" s="21"/>
      <c r="Q1097" s="191"/>
      <c r="R1097" s="191"/>
      <c r="S1097" s="191"/>
      <c r="T1097" s="127"/>
      <c r="U1097" s="127"/>
      <c r="V1097" s="191"/>
      <c r="W1097" s="190"/>
      <c r="X1097" s="191"/>
      <c r="Y1097" s="191"/>
      <c r="Z1097" s="191"/>
      <c r="AA1097" s="191"/>
      <c r="AB1097" s="191"/>
      <c r="AC1097" s="191"/>
      <c r="AD1097" s="191"/>
      <c r="AE1097" s="191"/>
      <c r="AF1097" s="191"/>
      <c r="AG1097" s="191"/>
      <c r="AH1097" s="191"/>
      <c r="AI1097" s="127"/>
      <c r="AJ1097" s="191"/>
      <c r="AK1097" s="191"/>
      <c r="AL1097" s="190"/>
      <c r="AM1097" s="191"/>
    </row>
    <row r="1098" spans="5:39">
      <c r="E1098" s="21"/>
      <c r="Q1098" s="191"/>
      <c r="R1098" s="191"/>
      <c r="S1098" s="191"/>
      <c r="T1098" s="127"/>
      <c r="U1098" s="127"/>
      <c r="V1098" s="191"/>
      <c r="W1098" s="190"/>
      <c r="X1098" s="191"/>
      <c r="Y1098" s="191"/>
      <c r="Z1098" s="191"/>
      <c r="AA1098" s="191"/>
      <c r="AB1098" s="191"/>
      <c r="AC1098" s="191"/>
      <c r="AD1098" s="191"/>
      <c r="AE1098" s="191"/>
      <c r="AF1098" s="191"/>
      <c r="AG1098" s="191"/>
      <c r="AH1098" s="191"/>
      <c r="AI1098" s="127"/>
      <c r="AJ1098" s="191"/>
      <c r="AK1098" s="191"/>
      <c r="AL1098" s="190"/>
      <c r="AM1098" s="191"/>
    </row>
    <row r="1099" spans="5:39">
      <c r="E1099" s="21"/>
      <c r="Q1099" s="191"/>
      <c r="R1099" s="191"/>
      <c r="S1099" s="191"/>
      <c r="T1099" s="127"/>
      <c r="U1099" s="127"/>
      <c r="V1099" s="191"/>
      <c r="W1099" s="190"/>
      <c r="X1099" s="191"/>
      <c r="Y1099" s="191"/>
      <c r="Z1099" s="191"/>
      <c r="AA1099" s="191"/>
      <c r="AB1099" s="191"/>
      <c r="AC1099" s="191"/>
      <c r="AD1099" s="191"/>
      <c r="AE1099" s="191"/>
      <c r="AF1099" s="191"/>
      <c r="AG1099" s="191"/>
      <c r="AH1099" s="191"/>
      <c r="AI1099" s="127"/>
      <c r="AJ1099" s="191"/>
      <c r="AK1099" s="191"/>
      <c r="AL1099" s="190"/>
      <c r="AM1099" s="191"/>
    </row>
    <row r="1100" spans="5:39">
      <c r="E1100" s="21"/>
      <c r="Q1100" s="191"/>
      <c r="R1100" s="191"/>
      <c r="S1100" s="191"/>
      <c r="T1100" s="127"/>
      <c r="U1100" s="127"/>
      <c r="V1100" s="191"/>
      <c r="W1100" s="190"/>
      <c r="X1100" s="191"/>
      <c r="Y1100" s="191"/>
      <c r="Z1100" s="191"/>
      <c r="AA1100" s="191"/>
      <c r="AB1100" s="191"/>
      <c r="AC1100" s="191"/>
      <c r="AD1100" s="191"/>
      <c r="AE1100" s="191"/>
      <c r="AF1100" s="191"/>
      <c r="AG1100" s="191"/>
      <c r="AH1100" s="191"/>
      <c r="AI1100" s="127"/>
      <c r="AJ1100" s="191"/>
      <c r="AK1100" s="191"/>
      <c r="AL1100" s="190"/>
      <c r="AM1100" s="191"/>
    </row>
    <row r="1101" spans="5:39">
      <c r="E1101" s="21"/>
      <c r="Q1101" s="191"/>
      <c r="R1101" s="191"/>
      <c r="S1101" s="191"/>
      <c r="T1101" s="127"/>
      <c r="U1101" s="127"/>
      <c r="V1101" s="191"/>
      <c r="W1101" s="190"/>
      <c r="X1101" s="191"/>
      <c r="Y1101" s="191"/>
      <c r="Z1101" s="191"/>
      <c r="AA1101" s="191"/>
      <c r="AB1101" s="191"/>
      <c r="AC1101" s="191"/>
      <c r="AD1101" s="191"/>
      <c r="AE1101" s="191"/>
      <c r="AF1101" s="191"/>
      <c r="AG1101" s="191"/>
      <c r="AH1101" s="191"/>
      <c r="AI1101" s="127"/>
      <c r="AJ1101" s="191"/>
      <c r="AK1101" s="191"/>
      <c r="AL1101" s="190"/>
      <c r="AM1101" s="191"/>
    </row>
    <row r="1102" spans="5:39">
      <c r="E1102" s="21"/>
      <c r="Q1102" s="191"/>
      <c r="R1102" s="191"/>
      <c r="S1102" s="191"/>
      <c r="T1102" s="127"/>
      <c r="U1102" s="127"/>
      <c r="V1102" s="191"/>
      <c r="W1102" s="190"/>
      <c r="X1102" s="191"/>
      <c r="Y1102" s="191"/>
      <c r="Z1102" s="191"/>
      <c r="AA1102" s="191"/>
      <c r="AB1102" s="191"/>
      <c r="AC1102" s="191"/>
      <c r="AD1102" s="191"/>
      <c r="AE1102" s="191"/>
      <c r="AF1102" s="191"/>
      <c r="AG1102" s="191"/>
      <c r="AH1102" s="191"/>
      <c r="AI1102" s="127"/>
      <c r="AJ1102" s="191"/>
      <c r="AK1102" s="191"/>
      <c r="AL1102" s="190"/>
      <c r="AM1102" s="191"/>
    </row>
    <row r="1103" spans="5:39">
      <c r="E1103" s="21"/>
      <c r="Q1103" s="191"/>
      <c r="R1103" s="191"/>
      <c r="S1103" s="191"/>
      <c r="T1103" s="127"/>
      <c r="U1103" s="127"/>
      <c r="V1103" s="191"/>
      <c r="W1103" s="190"/>
      <c r="X1103" s="191"/>
      <c r="Y1103" s="191"/>
      <c r="Z1103" s="191"/>
      <c r="AA1103" s="191"/>
      <c r="AB1103" s="191"/>
      <c r="AC1103" s="191"/>
      <c r="AD1103" s="191"/>
      <c r="AE1103" s="191"/>
      <c r="AF1103" s="191"/>
      <c r="AG1103" s="191"/>
      <c r="AH1103" s="191"/>
      <c r="AI1103" s="127"/>
      <c r="AJ1103" s="191"/>
      <c r="AK1103" s="191"/>
      <c r="AL1103" s="190"/>
      <c r="AM1103" s="191"/>
    </row>
    <row r="1104" spans="5:39">
      <c r="E1104" s="21"/>
      <c r="Q1104" s="191"/>
      <c r="R1104" s="191"/>
      <c r="S1104" s="191"/>
      <c r="T1104" s="127"/>
      <c r="U1104" s="127"/>
      <c r="V1104" s="191"/>
      <c r="W1104" s="190"/>
      <c r="X1104" s="191"/>
      <c r="Y1104" s="191"/>
      <c r="Z1104" s="191"/>
      <c r="AA1104" s="191"/>
      <c r="AB1104" s="191"/>
      <c r="AC1104" s="191"/>
      <c r="AD1104" s="191"/>
      <c r="AE1104" s="191"/>
      <c r="AF1104" s="191"/>
      <c r="AG1104" s="191"/>
      <c r="AH1104" s="191"/>
      <c r="AI1104" s="127"/>
      <c r="AJ1104" s="191"/>
      <c r="AK1104" s="191"/>
      <c r="AL1104" s="190"/>
      <c r="AM1104" s="191"/>
    </row>
    <row r="1105" spans="5:39">
      <c r="E1105" s="21"/>
      <c r="Q1105" s="191"/>
      <c r="R1105" s="191"/>
      <c r="S1105" s="191"/>
      <c r="T1105" s="127"/>
      <c r="U1105" s="127"/>
      <c r="V1105" s="191"/>
      <c r="W1105" s="190"/>
      <c r="X1105" s="191"/>
      <c r="Y1105" s="191"/>
      <c r="Z1105" s="191"/>
      <c r="AA1105" s="191"/>
      <c r="AB1105" s="191"/>
      <c r="AC1105" s="191"/>
      <c r="AD1105" s="191"/>
      <c r="AE1105" s="191"/>
      <c r="AF1105" s="191"/>
      <c r="AG1105" s="191"/>
      <c r="AH1105" s="191"/>
      <c r="AI1105" s="127"/>
      <c r="AJ1105" s="191"/>
      <c r="AK1105" s="191"/>
      <c r="AL1105" s="190"/>
      <c r="AM1105" s="191"/>
    </row>
    <row r="1106" spans="5:39">
      <c r="E1106" s="21"/>
      <c r="Q1106" s="191"/>
      <c r="R1106" s="191"/>
      <c r="S1106" s="191"/>
      <c r="T1106" s="127"/>
      <c r="U1106" s="127"/>
      <c r="V1106" s="191"/>
      <c r="W1106" s="190"/>
      <c r="X1106" s="191"/>
      <c r="Y1106" s="191"/>
      <c r="Z1106" s="191"/>
      <c r="AA1106" s="191"/>
      <c r="AB1106" s="191"/>
      <c r="AC1106" s="191"/>
      <c r="AD1106" s="191"/>
      <c r="AE1106" s="191"/>
      <c r="AF1106" s="191"/>
      <c r="AG1106" s="191"/>
      <c r="AH1106" s="191"/>
      <c r="AI1106" s="127"/>
      <c r="AJ1106" s="191"/>
      <c r="AK1106" s="191"/>
      <c r="AL1106" s="190"/>
      <c r="AM1106" s="191"/>
    </row>
    <row r="1107" spans="5:39">
      <c r="E1107" s="21"/>
      <c r="Q1107" s="191"/>
      <c r="R1107" s="191"/>
      <c r="S1107" s="191"/>
      <c r="T1107" s="127"/>
      <c r="U1107" s="127"/>
      <c r="V1107" s="191"/>
      <c r="W1107" s="190"/>
      <c r="X1107" s="191"/>
      <c r="Y1107" s="191"/>
      <c r="Z1107" s="191"/>
      <c r="AA1107" s="191"/>
      <c r="AB1107" s="191"/>
      <c r="AC1107" s="191"/>
      <c r="AD1107" s="191"/>
      <c r="AE1107" s="191"/>
      <c r="AF1107" s="191"/>
      <c r="AG1107" s="191"/>
      <c r="AH1107" s="191"/>
      <c r="AI1107" s="127"/>
      <c r="AJ1107" s="191"/>
      <c r="AK1107" s="191"/>
      <c r="AL1107" s="190"/>
      <c r="AM1107" s="191"/>
    </row>
    <row r="1108" spans="5:39">
      <c r="E1108" s="21"/>
      <c r="Q1108" s="191"/>
      <c r="R1108" s="191"/>
      <c r="S1108" s="191"/>
      <c r="T1108" s="127"/>
      <c r="U1108" s="127"/>
      <c r="V1108" s="191"/>
      <c r="W1108" s="190"/>
      <c r="X1108" s="191"/>
      <c r="Y1108" s="191"/>
      <c r="Z1108" s="191"/>
      <c r="AA1108" s="191"/>
      <c r="AB1108" s="191"/>
      <c r="AC1108" s="191"/>
      <c r="AD1108" s="191"/>
      <c r="AE1108" s="191"/>
      <c r="AF1108" s="191"/>
      <c r="AG1108" s="191"/>
      <c r="AH1108" s="191"/>
      <c r="AI1108" s="127"/>
      <c r="AJ1108" s="191"/>
      <c r="AK1108" s="191"/>
      <c r="AL1108" s="190"/>
      <c r="AM1108" s="191"/>
    </row>
    <row r="1109" spans="5:39">
      <c r="E1109" s="21"/>
      <c r="Q1109" s="191"/>
      <c r="R1109" s="191"/>
      <c r="S1109" s="191"/>
      <c r="T1109" s="127"/>
      <c r="U1109" s="127"/>
      <c r="V1109" s="191"/>
      <c r="W1109" s="190"/>
      <c r="X1109" s="191"/>
      <c r="Y1109" s="191"/>
      <c r="Z1109" s="191"/>
      <c r="AA1109" s="191"/>
      <c r="AB1109" s="191"/>
      <c r="AC1109" s="191"/>
      <c r="AD1109" s="191"/>
      <c r="AE1109" s="191"/>
      <c r="AF1109" s="191"/>
      <c r="AG1109" s="191"/>
      <c r="AH1109" s="191"/>
      <c r="AI1109" s="127"/>
      <c r="AJ1109" s="191"/>
      <c r="AK1109" s="191"/>
      <c r="AL1109" s="190"/>
      <c r="AM1109" s="191"/>
    </row>
    <row r="1110" spans="5:39">
      <c r="E1110" s="21"/>
      <c r="Q1110" s="191"/>
      <c r="R1110" s="191"/>
      <c r="S1110" s="191"/>
      <c r="T1110" s="127"/>
      <c r="U1110" s="127"/>
      <c r="V1110" s="191"/>
      <c r="W1110" s="190"/>
      <c r="X1110" s="191"/>
      <c r="Y1110" s="191"/>
      <c r="Z1110" s="191"/>
      <c r="AA1110" s="191"/>
      <c r="AB1110" s="191"/>
      <c r="AC1110" s="191"/>
      <c r="AD1110" s="191"/>
      <c r="AE1110" s="191"/>
      <c r="AF1110" s="191"/>
      <c r="AG1110" s="191"/>
      <c r="AH1110" s="191"/>
      <c r="AI1110" s="127"/>
      <c r="AJ1110" s="191"/>
      <c r="AK1110" s="191"/>
      <c r="AL1110" s="190"/>
      <c r="AM1110" s="191"/>
    </row>
    <row r="1111" spans="5:39">
      <c r="E1111" s="21"/>
      <c r="Q1111" s="191"/>
      <c r="R1111" s="191"/>
      <c r="S1111" s="191"/>
      <c r="T1111" s="127"/>
      <c r="U1111" s="127"/>
      <c r="V1111" s="191"/>
      <c r="W1111" s="190"/>
      <c r="X1111" s="191"/>
      <c r="Y1111" s="191"/>
      <c r="Z1111" s="191"/>
      <c r="AA1111" s="191"/>
      <c r="AB1111" s="191"/>
      <c r="AC1111" s="191"/>
      <c r="AD1111" s="191"/>
      <c r="AE1111" s="191"/>
      <c r="AF1111" s="191"/>
      <c r="AG1111" s="191"/>
      <c r="AH1111" s="191"/>
      <c r="AI1111" s="127"/>
      <c r="AJ1111" s="191"/>
      <c r="AK1111" s="191"/>
      <c r="AL1111" s="190"/>
      <c r="AM1111" s="191"/>
    </row>
    <row r="1112" spans="5:39">
      <c r="E1112" s="21"/>
      <c r="Q1112" s="191"/>
      <c r="R1112" s="191"/>
      <c r="S1112" s="191"/>
      <c r="T1112" s="127"/>
      <c r="U1112" s="127"/>
      <c r="V1112" s="191"/>
      <c r="W1112" s="190"/>
      <c r="X1112" s="191"/>
      <c r="Y1112" s="191"/>
      <c r="Z1112" s="191"/>
      <c r="AA1112" s="191"/>
      <c r="AB1112" s="191"/>
      <c r="AC1112" s="191"/>
      <c r="AD1112" s="191"/>
      <c r="AE1112" s="191"/>
      <c r="AF1112" s="191"/>
      <c r="AG1112" s="191"/>
      <c r="AH1112" s="191"/>
      <c r="AI1112" s="127"/>
      <c r="AJ1112" s="191"/>
      <c r="AK1112" s="191"/>
      <c r="AL1112" s="190"/>
      <c r="AM1112" s="191"/>
    </row>
    <row r="1113" spans="5:39">
      <c r="E1113" s="21"/>
      <c r="Q1113" s="191"/>
      <c r="R1113" s="191"/>
      <c r="S1113" s="191"/>
      <c r="T1113" s="127"/>
      <c r="U1113" s="127"/>
      <c r="V1113" s="191"/>
      <c r="W1113" s="190"/>
      <c r="X1113" s="191"/>
      <c r="Y1113" s="191"/>
      <c r="Z1113" s="191"/>
      <c r="AA1113" s="191"/>
      <c r="AB1113" s="191"/>
      <c r="AC1113" s="191"/>
      <c r="AD1113" s="191"/>
      <c r="AE1113" s="191"/>
      <c r="AF1113" s="191"/>
      <c r="AG1113" s="191"/>
      <c r="AH1113" s="191"/>
      <c r="AI1113" s="127"/>
      <c r="AJ1113" s="191"/>
      <c r="AK1113" s="191"/>
      <c r="AL1113" s="190"/>
      <c r="AM1113" s="191"/>
    </row>
    <row r="1114" spans="5:39">
      <c r="E1114" s="21"/>
      <c r="Q1114" s="191"/>
      <c r="R1114" s="191"/>
      <c r="S1114" s="191"/>
      <c r="T1114" s="127"/>
      <c r="U1114" s="127"/>
      <c r="V1114" s="191"/>
      <c r="W1114" s="190"/>
      <c r="X1114" s="191"/>
      <c r="Y1114" s="191"/>
      <c r="Z1114" s="191"/>
      <c r="AA1114" s="191"/>
      <c r="AB1114" s="191"/>
      <c r="AC1114" s="191"/>
      <c r="AD1114" s="191"/>
      <c r="AE1114" s="191"/>
      <c r="AF1114" s="191"/>
      <c r="AG1114" s="191"/>
      <c r="AH1114" s="191"/>
      <c r="AI1114" s="127"/>
      <c r="AJ1114" s="191"/>
      <c r="AK1114" s="191"/>
      <c r="AL1114" s="190"/>
      <c r="AM1114" s="191"/>
    </row>
    <row r="1115" spans="5:39">
      <c r="E1115" s="21"/>
      <c r="Q1115" s="191"/>
      <c r="R1115" s="191"/>
      <c r="S1115" s="191"/>
      <c r="T1115" s="127"/>
      <c r="U1115" s="127"/>
      <c r="V1115" s="191"/>
      <c r="W1115" s="190"/>
      <c r="X1115" s="191"/>
      <c r="Y1115" s="191"/>
      <c r="Z1115" s="191"/>
      <c r="AA1115" s="191"/>
      <c r="AB1115" s="191"/>
      <c r="AC1115" s="191"/>
      <c r="AD1115" s="191"/>
      <c r="AE1115" s="191"/>
      <c r="AF1115" s="191"/>
      <c r="AG1115" s="191"/>
      <c r="AH1115" s="191"/>
      <c r="AI1115" s="127"/>
      <c r="AJ1115" s="191"/>
      <c r="AK1115" s="191"/>
      <c r="AL1115" s="190"/>
      <c r="AM1115" s="191"/>
    </row>
    <row r="1116" spans="5:39">
      <c r="E1116" s="21"/>
      <c r="Q1116" s="191"/>
      <c r="R1116" s="191"/>
      <c r="S1116" s="191"/>
      <c r="T1116" s="127"/>
      <c r="U1116" s="127"/>
      <c r="V1116" s="191"/>
      <c r="W1116" s="190"/>
      <c r="X1116" s="191"/>
      <c r="Y1116" s="191"/>
      <c r="Z1116" s="191"/>
      <c r="AA1116" s="191"/>
      <c r="AB1116" s="191"/>
      <c r="AC1116" s="191"/>
      <c r="AD1116" s="191"/>
      <c r="AE1116" s="191"/>
      <c r="AF1116" s="191"/>
      <c r="AG1116" s="191"/>
      <c r="AH1116" s="191"/>
      <c r="AI1116" s="127"/>
      <c r="AJ1116" s="191"/>
      <c r="AK1116" s="191"/>
      <c r="AL1116" s="190"/>
      <c r="AM1116" s="191"/>
    </row>
    <row r="1117" spans="5:39">
      <c r="E1117" s="21"/>
      <c r="Q1117" s="191"/>
      <c r="R1117" s="191"/>
      <c r="S1117" s="191"/>
      <c r="T1117" s="127"/>
      <c r="U1117" s="127"/>
      <c r="V1117" s="191"/>
      <c r="W1117" s="190"/>
      <c r="X1117" s="191"/>
      <c r="Y1117" s="191"/>
      <c r="Z1117" s="191"/>
      <c r="AA1117" s="191"/>
      <c r="AB1117" s="191"/>
      <c r="AC1117" s="191"/>
      <c r="AD1117" s="191"/>
      <c r="AE1117" s="191"/>
      <c r="AF1117" s="191"/>
      <c r="AG1117" s="191"/>
      <c r="AH1117" s="191"/>
      <c r="AI1117" s="127"/>
      <c r="AJ1117" s="191"/>
      <c r="AK1117" s="191"/>
      <c r="AL1117" s="190"/>
      <c r="AM1117" s="191"/>
    </row>
    <row r="1118" spans="5:39">
      <c r="E1118" s="21"/>
      <c r="Q1118" s="191"/>
      <c r="R1118" s="191"/>
      <c r="S1118" s="191"/>
      <c r="T1118" s="127"/>
      <c r="U1118" s="127"/>
      <c r="V1118" s="191"/>
      <c r="W1118" s="190"/>
      <c r="X1118" s="191"/>
      <c r="Y1118" s="191"/>
      <c r="Z1118" s="191"/>
      <c r="AA1118" s="191"/>
      <c r="AB1118" s="191"/>
      <c r="AC1118" s="191"/>
      <c r="AD1118" s="191"/>
      <c r="AE1118" s="191"/>
      <c r="AF1118" s="191"/>
      <c r="AG1118" s="191"/>
      <c r="AH1118" s="191"/>
      <c r="AI1118" s="127"/>
      <c r="AJ1118" s="191"/>
      <c r="AK1118" s="191"/>
      <c r="AL1118" s="190"/>
      <c r="AM1118" s="191"/>
    </row>
    <row r="1119" spans="5:39">
      <c r="E1119" s="21"/>
      <c r="Q1119" s="191"/>
      <c r="R1119" s="191"/>
      <c r="S1119" s="191"/>
      <c r="T1119" s="127"/>
      <c r="U1119" s="127"/>
      <c r="V1119" s="191"/>
      <c r="W1119" s="190"/>
      <c r="X1119" s="191"/>
      <c r="Y1119" s="191"/>
      <c r="Z1119" s="191"/>
      <c r="AA1119" s="191"/>
      <c r="AB1119" s="191"/>
      <c r="AC1119" s="191"/>
      <c r="AD1119" s="191"/>
      <c r="AE1119" s="191"/>
      <c r="AF1119" s="191"/>
      <c r="AG1119" s="191"/>
      <c r="AH1119" s="191"/>
      <c r="AI1119" s="127"/>
      <c r="AJ1119" s="191"/>
      <c r="AK1119" s="191"/>
      <c r="AL1119" s="190"/>
      <c r="AM1119" s="191"/>
    </row>
    <row r="1120" spans="5:39">
      <c r="E1120" s="21"/>
      <c r="Q1120" s="191"/>
      <c r="R1120" s="191"/>
      <c r="S1120" s="191"/>
      <c r="T1120" s="127"/>
      <c r="U1120" s="127"/>
      <c r="V1120" s="191"/>
      <c r="W1120" s="190"/>
      <c r="X1120" s="191"/>
      <c r="Y1120" s="191"/>
      <c r="Z1120" s="191"/>
      <c r="AA1120" s="191"/>
      <c r="AB1120" s="191"/>
      <c r="AC1120" s="191"/>
      <c r="AD1120" s="191"/>
      <c r="AE1120" s="191"/>
      <c r="AF1120" s="191"/>
      <c r="AG1120" s="191"/>
      <c r="AH1120" s="191"/>
      <c r="AI1120" s="127"/>
      <c r="AJ1120" s="191"/>
      <c r="AK1120" s="191"/>
      <c r="AL1120" s="190"/>
      <c r="AM1120" s="191"/>
    </row>
    <row r="1121" spans="5:39">
      <c r="E1121" s="21"/>
      <c r="Q1121" s="191"/>
      <c r="R1121" s="191"/>
      <c r="S1121" s="191"/>
      <c r="T1121" s="127"/>
      <c r="U1121" s="127"/>
      <c r="V1121" s="191"/>
      <c r="W1121" s="190"/>
      <c r="X1121" s="191"/>
      <c r="Y1121" s="191"/>
      <c r="Z1121" s="191"/>
      <c r="AA1121" s="191"/>
      <c r="AB1121" s="191"/>
      <c r="AC1121" s="191"/>
      <c r="AD1121" s="191"/>
      <c r="AE1121" s="191"/>
      <c r="AF1121" s="191"/>
      <c r="AG1121" s="191"/>
      <c r="AH1121" s="191"/>
      <c r="AI1121" s="127"/>
      <c r="AJ1121" s="191"/>
      <c r="AK1121" s="191"/>
      <c r="AL1121" s="190"/>
      <c r="AM1121" s="191"/>
    </row>
    <row r="1122" spans="5:39">
      <c r="E1122" s="21"/>
      <c r="Q1122" s="191"/>
      <c r="R1122" s="191"/>
      <c r="S1122" s="191"/>
      <c r="T1122" s="127"/>
      <c r="U1122" s="127"/>
      <c r="V1122" s="191"/>
      <c r="W1122" s="190"/>
      <c r="X1122" s="191"/>
      <c r="Y1122" s="191"/>
      <c r="Z1122" s="191"/>
      <c r="AA1122" s="191"/>
      <c r="AB1122" s="191"/>
      <c r="AC1122" s="191"/>
      <c r="AD1122" s="191"/>
      <c r="AE1122" s="191"/>
      <c r="AF1122" s="191"/>
      <c r="AG1122" s="191"/>
      <c r="AH1122" s="191"/>
      <c r="AI1122" s="127"/>
      <c r="AJ1122" s="191"/>
      <c r="AK1122" s="191"/>
      <c r="AL1122" s="190"/>
      <c r="AM1122" s="191"/>
    </row>
    <row r="1123" spans="5:39">
      <c r="E1123" s="21"/>
      <c r="Q1123" s="191"/>
      <c r="R1123" s="191"/>
      <c r="S1123" s="191"/>
      <c r="T1123" s="127"/>
      <c r="U1123" s="127"/>
      <c r="V1123" s="191"/>
      <c r="W1123" s="190"/>
      <c r="X1123" s="191"/>
      <c r="Y1123" s="191"/>
      <c r="Z1123" s="191"/>
      <c r="AA1123" s="191"/>
      <c r="AB1123" s="191"/>
      <c r="AC1123" s="191"/>
      <c r="AD1123" s="191"/>
      <c r="AE1123" s="191"/>
      <c r="AF1123" s="191"/>
      <c r="AG1123" s="191"/>
      <c r="AH1123" s="191"/>
      <c r="AI1123" s="127"/>
      <c r="AJ1123" s="191"/>
      <c r="AK1123" s="191"/>
      <c r="AL1123" s="190"/>
      <c r="AM1123" s="191"/>
    </row>
    <row r="1124" spans="5:39">
      <c r="E1124" s="21"/>
      <c r="Q1124" s="191"/>
      <c r="R1124" s="191"/>
      <c r="S1124" s="191"/>
      <c r="T1124" s="127"/>
      <c r="U1124" s="127"/>
      <c r="V1124" s="191"/>
      <c r="W1124" s="190"/>
      <c r="X1124" s="191"/>
      <c r="Y1124" s="191"/>
      <c r="Z1124" s="191"/>
      <c r="AA1124" s="191"/>
      <c r="AB1124" s="191"/>
      <c r="AC1124" s="191"/>
      <c r="AD1124" s="191"/>
      <c r="AE1124" s="191"/>
      <c r="AF1124" s="191"/>
      <c r="AG1124" s="191"/>
      <c r="AH1124" s="191"/>
      <c r="AI1124" s="127"/>
      <c r="AJ1124" s="191"/>
      <c r="AK1124" s="191"/>
      <c r="AL1124" s="190"/>
      <c r="AM1124" s="191"/>
    </row>
    <row r="1125" spans="5:39">
      <c r="E1125" s="21"/>
      <c r="Q1125" s="191"/>
      <c r="R1125" s="191"/>
      <c r="S1125" s="191"/>
      <c r="T1125" s="127"/>
      <c r="U1125" s="127"/>
      <c r="V1125" s="191"/>
      <c r="W1125" s="190"/>
      <c r="X1125" s="191"/>
      <c r="Y1125" s="191"/>
      <c r="Z1125" s="191"/>
      <c r="AA1125" s="191"/>
      <c r="AB1125" s="191"/>
      <c r="AC1125" s="191"/>
      <c r="AD1125" s="191"/>
      <c r="AE1125" s="191"/>
      <c r="AF1125" s="191"/>
      <c r="AG1125" s="191"/>
      <c r="AH1125" s="191"/>
      <c r="AI1125" s="127"/>
      <c r="AJ1125" s="191"/>
      <c r="AK1125" s="191"/>
      <c r="AL1125" s="190"/>
      <c r="AM1125" s="191"/>
    </row>
    <row r="1126" spans="5:39">
      <c r="E1126" s="21"/>
      <c r="Q1126" s="191"/>
      <c r="R1126" s="191"/>
      <c r="S1126" s="191"/>
      <c r="T1126" s="127"/>
      <c r="U1126" s="127"/>
      <c r="V1126" s="191"/>
      <c r="W1126" s="190"/>
      <c r="X1126" s="191"/>
      <c r="Y1126" s="191"/>
      <c r="Z1126" s="191"/>
      <c r="AA1126" s="191"/>
      <c r="AB1126" s="191"/>
      <c r="AC1126" s="191"/>
      <c r="AD1126" s="191"/>
      <c r="AE1126" s="191"/>
      <c r="AF1126" s="191"/>
      <c r="AG1126" s="191"/>
      <c r="AH1126" s="191"/>
      <c r="AI1126" s="127"/>
      <c r="AJ1126" s="191"/>
      <c r="AK1126" s="191"/>
      <c r="AL1126" s="190"/>
      <c r="AM1126" s="191"/>
    </row>
    <row r="1127" spans="5:39">
      <c r="E1127" s="21"/>
      <c r="Q1127" s="191"/>
      <c r="R1127" s="191"/>
      <c r="S1127" s="191"/>
      <c r="T1127" s="127"/>
      <c r="U1127" s="127"/>
      <c r="V1127" s="191"/>
      <c r="W1127" s="190"/>
      <c r="X1127" s="191"/>
      <c r="Y1127" s="191"/>
      <c r="Z1127" s="191"/>
      <c r="AA1127" s="191"/>
      <c r="AB1127" s="191"/>
      <c r="AC1127" s="191"/>
      <c r="AD1127" s="191"/>
      <c r="AE1127" s="191"/>
      <c r="AF1127" s="191"/>
      <c r="AG1127" s="191"/>
      <c r="AH1127" s="191"/>
      <c r="AI1127" s="127"/>
      <c r="AJ1127" s="191"/>
      <c r="AK1127" s="191"/>
      <c r="AL1127" s="190"/>
      <c r="AM1127" s="191"/>
    </row>
    <row r="1128" spans="5:39">
      <c r="E1128" s="21"/>
      <c r="Q1128" s="191"/>
      <c r="R1128" s="191"/>
      <c r="S1128" s="191"/>
      <c r="T1128" s="127"/>
      <c r="U1128" s="127"/>
      <c r="V1128" s="191"/>
      <c r="W1128" s="190"/>
      <c r="X1128" s="191"/>
      <c r="Y1128" s="191"/>
      <c r="Z1128" s="191"/>
      <c r="AA1128" s="191"/>
      <c r="AB1128" s="191"/>
      <c r="AC1128" s="191"/>
      <c r="AD1128" s="191"/>
      <c r="AE1128" s="191"/>
      <c r="AF1128" s="191"/>
      <c r="AG1128" s="191"/>
      <c r="AH1128" s="191"/>
      <c r="AI1128" s="127"/>
      <c r="AJ1128" s="191"/>
      <c r="AK1128" s="191"/>
      <c r="AL1128" s="190"/>
      <c r="AM1128" s="191"/>
    </row>
    <row r="1129" spans="5:39">
      <c r="E1129" s="21"/>
      <c r="Q1129" s="191"/>
      <c r="R1129" s="191"/>
      <c r="S1129" s="191"/>
      <c r="T1129" s="127"/>
      <c r="U1129" s="127"/>
      <c r="V1129" s="191"/>
      <c r="W1129" s="190"/>
      <c r="X1129" s="191"/>
      <c r="Y1129" s="191"/>
      <c r="Z1129" s="191"/>
      <c r="AA1129" s="191"/>
      <c r="AB1129" s="191"/>
      <c r="AC1129" s="191"/>
      <c r="AD1129" s="191"/>
      <c r="AE1129" s="191"/>
      <c r="AF1129" s="191"/>
      <c r="AG1129" s="191"/>
      <c r="AH1129" s="191"/>
      <c r="AI1129" s="127"/>
      <c r="AJ1129" s="191"/>
      <c r="AK1129" s="191"/>
      <c r="AL1129" s="190"/>
      <c r="AM1129" s="191"/>
    </row>
    <row r="1130" spans="5:39">
      <c r="E1130" s="21"/>
      <c r="Q1130" s="191"/>
      <c r="R1130" s="191"/>
      <c r="S1130" s="191"/>
      <c r="T1130" s="127"/>
      <c r="U1130" s="127"/>
      <c r="V1130" s="191"/>
      <c r="W1130" s="190"/>
      <c r="X1130" s="191"/>
      <c r="Y1130" s="191"/>
      <c r="Z1130" s="191"/>
      <c r="AA1130" s="191"/>
      <c r="AB1130" s="191"/>
      <c r="AC1130" s="191"/>
      <c r="AD1130" s="191"/>
      <c r="AE1130" s="191"/>
      <c r="AF1130" s="191"/>
      <c r="AG1130" s="191"/>
      <c r="AH1130" s="191"/>
      <c r="AI1130" s="127"/>
      <c r="AJ1130" s="191"/>
      <c r="AK1130" s="191"/>
      <c r="AL1130" s="190"/>
      <c r="AM1130" s="191"/>
    </row>
    <row r="1131" spans="5:39">
      <c r="E1131" s="21"/>
      <c r="Q1131" s="191"/>
      <c r="R1131" s="191"/>
      <c r="S1131" s="191"/>
      <c r="T1131" s="127"/>
      <c r="U1131" s="127"/>
      <c r="V1131" s="191"/>
      <c r="W1131" s="190"/>
      <c r="X1131" s="191"/>
      <c r="Y1131" s="191"/>
      <c r="Z1131" s="191"/>
      <c r="AA1131" s="191"/>
      <c r="AB1131" s="191"/>
      <c r="AC1131" s="191"/>
      <c r="AD1131" s="191"/>
      <c r="AE1131" s="191"/>
      <c r="AF1131" s="191"/>
      <c r="AG1131" s="191"/>
      <c r="AH1131" s="191"/>
      <c r="AI1131" s="127"/>
      <c r="AJ1131" s="191"/>
      <c r="AK1131" s="191"/>
      <c r="AL1131" s="190"/>
      <c r="AM1131" s="191"/>
    </row>
    <row r="1132" spans="5:39">
      <c r="E1132" s="21"/>
      <c r="Q1132" s="191"/>
      <c r="R1132" s="191"/>
      <c r="S1132" s="191"/>
      <c r="T1132" s="127"/>
      <c r="U1132" s="127"/>
      <c r="V1132" s="191"/>
      <c r="W1132" s="190"/>
      <c r="X1132" s="191"/>
      <c r="Y1132" s="191"/>
      <c r="Z1132" s="191"/>
      <c r="AA1132" s="191"/>
      <c r="AB1132" s="191"/>
      <c r="AC1132" s="191"/>
      <c r="AD1132" s="191"/>
      <c r="AE1132" s="191"/>
      <c r="AF1132" s="191"/>
      <c r="AG1132" s="191"/>
      <c r="AH1132" s="191"/>
      <c r="AI1132" s="127"/>
      <c r="AJ1132" s="191"/>
      <c r="AK1132" s="191"/>
      <c r="AL1132" s="190"/>
      <c r="AM1132" s="191"/>
    </row>
    <row r="1133" spans="5:39">
      <c r="E1133" s="21"/>
      <c r="Q1133" s="191"/>
      <c r="R1133" s="191"/>
      <c r="S1133" s="191"/>
      <c r="T1133" s="127"/>
      <c r="U1133" s="127"/>
      <c r="V1133" s="191"/>
      <c r="W1133" s="190"/>
      <c r="X1133" s="191"/>
      <c r="Y1133" s="191"/>
      <c r="Z1133" s="191"/>
      <c r="AA1133" s="191"/>
      <c r="AB1133" s="191"/>
      <c r="AC1133" s="191"/>
      <c r="AD1133" s="191"/>
      <c r="AE1133" s="191"/>
      <c r="AF1133" s="191"/>
      <c r="AG1133" s="191"/>
      <c r="AH1133" s="191"/>
      <c r="AI1133" s="127"/>
      <c r="AJ1133" s="191"/>
      <c r="AK1133" s="191"/>
      <c r="AL1133" s="190"/>
      <c r="AM1133" s="191"/>
    </row>
    <row r="1134" spans="5:39">
      <c r="E1134" s="21"/>
      <c r="Q1134" s="191"/>
      <c r="R1134" s="191"/>
      <c r="S1134" s="191"/>
      <c r="T1134" s="127"/>
      <c r="U1134" s="127"/>
      <c r="V1134" s="191"/>
      <c r="W1134" s="190"/>
      <c r="X1134" s="191"/>
      <c r="Y1134" s="191"/>
      <c r="Z1134" s="191"/>
      <c r="AA1134" s="191"/>
      <c r="AB1134" s="191"/>
      <c r="AC1134" s="191"/>
      <c r="AD1134" s="191"/>
      <c r="AE1134" s="191"/>
      <c r="AF1134" s="191"/>
      <c r="AG1134" s="191"/>
      <c r="AH1134" s="191"/>
      <c r="AI1134" s="127"/>
      <c r="AJ1134" s="191"/>
      <c r="AK1134" s="191"/>
      <c r="AL1134" s="190"/>
      <c r="AM1134" s="191"/>
    </row>
    <row r="1135" spans="5:39">
      <c r="E1135" s="21"/>
      <c r="Q1135" s="191"/>
      <c r="R1135" s="191"/>
      <c r="S1135" s="191"/>
      <c r="T1135" s="127"/>
      <c r="U1135" s="127"/>
      <c r="V1135" s="191"/>
      <c r="W1135" s="190"/>
      <c r="X1135" s="191"/>
      <c r="Y1135" s="191"/>
      <c r="Z1135" s="191"/>
      <c r="AA1135" s="191"/>
      <c r="AB1135" s="191"/>
      <c r="AC1135" s="191"/>
      <c r="AD1135" s="191"/>
      <c r="AE1135" s="191"/>
      <c r="AF1135" s="191"/>
      <c r="AG1135" s="191"/>
      <c r="AH1135" s="191"/>
      <c r="AI1135" s="127"/>
      <c r="AJ1135" s="191"/>
      <c r="AK1135" s="191"/>
      <c r="AL1135" s="190"/>
      <c r="AM1135" s="191"/>
    </row>
    <row r="1136" spans="5:39">
      <c r="E1136" s="21"/>
      <c r="Q1136" s="191"/>
      <c r="R1136" s="191"/>
      <c r="S1136" s="191"/>
      <c r="T1136" s="127"/>
      <c r="U1136" s="127"/>
      <c r="V1136" s="191"/>
      <c r="W1136" s="190"/>
      <c r="X1136" s="191"/>
      <c r="Y1136" s="191"/>
      <c r="Z1136" s="191"/>
      <c r="AA1136" s="191"/>
      <c r="AB1136" s="191"/>
      <c r="AC1136" s="191"/>
      <c r="AD1136" s="191"/>
      <c r="AE1136" s="191"/>
      <c r="AF1136" s="191"/>
      <c r="AG1136" s="191"/>
      <c r="AH1136" s="191"/>
      <c r="AI1136" s="127"/>
      <c r="AJ1136" s="191"/>
      <c r="AK1136" s="191"/>
      <c r="AL1136" s="190"/>
      <c r="AM1136" s="191"/>
    </row>
    <row r="1137" spans="5:39">
      <c r="E1137" s="21"/>
      <c r="Q1137" s="191"/>
      <c r="R1137" s="191"/>
      <c r="S1137" s="191"/>
      <c r="T1137" s="127"/>
      <c r="U1137" s="127"/>
      <c r="V1137" s="191"/>
      <c r="W1137" s="190"/>
      <c r="X1137" s="191"/>
      <c r="Y1137" s="191"/>
      <c r="Z1137" s="191"/>
      <c r="AA1137" s="191"/>
      <c r="AB1137" s="191"/>
      <c r="AC1137" s="191"/>
      <c r="AD1137" s="191"/>
      <c r="AE1137" s="191"/>
      <c r="AF1137" s="191"/>
      <c r="AG1137" s="191"/>
      <c r="AH1137" s="191"/>
      <c r="AI1137" s="127"/>
      <c r="AJ1137" s="191"/>
      <c r="AK1137" s="191"/>
      <c r="AL1137" s="190"/>
      <c r="AM1137" s="191"/>
    </row>
    <row r="1138" spans="5:39">
      <c r="E1138" s="21"/>
      <c r="Q1138" s="191"/>
      <c r="R1138" s="191"/>
      <c r="S1138" s="191"/>
      <c r="T1138" s="127"/>
      <c r="U1138" s="127"/>
      <c r="V1138" s="191"/>
      <c r="W1138" s="190"/>
      <c r="X1138" s="191"/>
      <c r="Y1138" s="191"/>
      <c r="Z1138" s="191"/>
      <c r="AA1138" s="191"/>
      <c r="AB1138" s="191"/>
      <c r="AC1138" s="191"/>
      <c r="AD1138" s="191"/>
      <c r="AE1138" s="191"/>
      <c r="AF1138" s="191"/>
      <c r="AG1138" s="191"/>
      <c r="AH1138" s="191"/>
      <c r="AI1138" s="127"/>
      <c r="AJ1138" s="191"/>
      <c r="AK1138" s="191"/>
      <c r="AL1138" s="190"/>
      <c r="AM1138" s="191"/>
    </row>
    <row r="1139" spans="5:39">
      <c r="E1139" s="21"/>
      <c r="Q1139" s="191"/>
      <c r="R1139" s="191"/>
      <c r="S1139" s="191"/>
      <c r="T1139" s="127"/>
      <c r="U1139" s="127"/>
      <c r="V1139" s="191"/>
      <c r="W1139" s="190"/>
      <c r="X1139" s="191"/>
      <c r="Y1139" s="191"/>
      <c r="Z1139" s="191"/>
      <c r="AA1139" s="191"/>
      <c r="AB1139" s="191"/>
      <c r="AC1139" s="191"/>
      <c r="AD1139" s="191"/>
      <c r="AE1139" s="191"/>
      <c r="AF1139" s="191"/>
      <c r="AG1139" s="191"/>
      <c r="AH1139" s="191"/>
      <c r="AI1139" s="127"/>
      <c r="AJ1139" s="191"/>
      <c r="AK1139" s="191"/>
      <c r="AL1139" s="190"/>
      <c r="AM1139" s="191"/>
    </row>
    <row r="1140" spans="5:39">
      <c r="E1140" s="21"/>
      <c r="Q1140" s="191"/>
      <c r="R1140" s="191"/>
      <c r="S1140" s="191"/>
      <c r="T1140" s="127"/>
      <c r="U1140" s="127"/>
      <c r="V1140" s="191"/>
      <c r="W1140" s="190"/>
      <c r="X1140" s="191"/>
      <c r="Y1140" s="191"/>
      <c r="Z1140" s="191"/>
      <c r="AA1140" s="191"/>
      <c r="AB1140" s="191"/>
      <c r="AC1140" s="191"/>
      <c r="AD1140" s="191"/>
      <c r="AE1140" s="191"/>
      <c r="AF1140" s="191"/>
      <c r="AG1140" s="191"/>
      <c r="AH1140" s="191"/>
      <c r="AI1140" s="127"/>
      <c r="AJ1140" s="191"/>
      <c r="AK1140" s="191"/>
      <c r="AL1140" s="190"/>
      <c r="AM1140" s="191"/>
    </row>
    <row r="1141" spans="5:39">
      <c r="E1141" s="21"/>
      <c r="Q1141" s="191"/>
      <c r="R1141" s="191"/>
      <c r="S1141" s="191"/>
      <c r="T1141" s="127"/>
      <c r="U1141" s="127"/>
      <c r="V1141" s="191"/>
      <c r="W1141" s="190"/>
      <c r="X1141" s="191"/>
      <c r="Y1141" s="191"/>
      <c r="Z1141" s="191"/>
      <c r="AA1141" s="191"/>
      <c r="AB1141" s="191"/>
      <c r="AC1141" s="191"/>
      <c r="AD1141" s="191"/>
      <c r="AE1141" s="191"/>
      <c r="AF1141" s="191"/>
      <c r="AG1141" s="191"/>
      <c r="AH1141" s="191"/>
      <c r="AI1141" s="127"/>
      <c r="AJ1141" s="191"/>
      <c r="AK1141" s="191"/>
      <c r="AL1141" s="190"/>
      <c r="AM1141" s="191"/>
    </row>
    <row r="1142" spans="5:39">
      <c r="E1142" s="21"/>
      <c r="Q1142" s="191"/>
      <c r="R1142" s="191"/>
      <c r="S1142" s="191"/>
      <c r="T1142" s="127"/>
      <c r="U1142" s="127"/>
      <c r="V1142" s="191"/>
      <c r="W1142" s="190"/>
      <c r="X1142" s="191"/>
      <c r="Y1142" s="191"/>
      <c r="Z1142" s="191"/>
      <c r="AA1142" s="191"/>
      <c r="AB1142" s="191"/>
      <c r="AC1142" s="191"/>
      <c r="AD1142" s="191"/>
      <c r="AE1142" s="191"/>
      <c r="AF1142" s="191"/>
      <c r="AG1142" s="191"/>
      <c r="AH1142" s="191"/>
      <c r="AI1142" s="127"/>
      <c r="AJ1142" s="191"/>
      <c r="AK1142" s="191"/>
      <c r="AL1142" s="190"/>
      <c r="AM1142" s="191"/>
    </row>
    <row r="1143" spans="5:39">
      <c r="E1143" s="21"/>
      <c r="Q1143" s="191"/>
      <c r="R1143" s="191"/>
      <c r="S1143" s="191"/>
      <c r="T1143" s="127"/>
      <c r="U1143" s="127"/>
      <c r="V1143" s="191"/>
      <c r="W1143" s="190"/>
      <c r="X1143" s="191"/>
      <c r="Y1143" s="191"/>
      <c r="Z1143" s="191"/>
      <c r="AA1143" s="191"/>
      <c r="AB1143" s="191"/>
      <c r="AC1143" s="191"/>
      <c r="AD1143" s="191"/>
      <c r="AE1143" s="191"/>
      <c r="AF1143" s="191"/>
      <c r="AG1143" s="191"/>
      <c r="AH1143" s="191"/>
      <c r="AI1143" s="127"/>
      <c r="AJ1143" s="191"/>
      <c r="AK1143" s="191"/>
      <c r="AL1143" s="190"/>
      <c r="AM1143" s="191"/>
    </row>
    <row r="1144" spans="5:39">
      <c r="E1144" s="21"/>
      <c r="Q1144" s="191"/>
      <c r="R1144" s="191"/>
      <c r="S1144" s="191"/>
      <c r="T1144" s="127"/>
      <c r="U1144" s="127"/>
      <c r="V1144" s="191"/>
      <c r="W1144" s="190"/>
      <c r="X1144" s="191"/>
      <c r="Y1144" s="191"/>
      <c r="Z1144" s="191"/>
      <c r="AA1144" s="191"/>
      <c r="AB1144" s="191"/>
      <c r="AC1144" s="191"/>
      <c r="AD1144" s="191"/>
      <c r="AE1144" s="191"/>
      <c r="AF1144" s="191"/>
      <c r="AG1144" s="191"/>
      <c r="AH1144" s="191"/>
      <c r="AI1144" s="127"/>
      <c r="AJ1144" s="191"/>
      <c r="AK1144" s="191"/>
      <c r="AL1144" s="190"/>
      <c r="AM1144" s="191"/>
    </row>
    <row r="1145" spans="5:39">
      <c r="E1145" s="21"/>
      <c r="Q1145" s="191"/>
      <c r="R1145" s="191"/>
      <c r="S1145" s="191"/>
      <c r="T1145" s="127"/>
      <c r="U1145" s="127"/>
      <c r="V1145" s="191"/>
      <c r="W1145" s="190"/>
      <c r="X1145" s="191"/>
      <c r="Y1145" s="191"/>
      <c r="Z1145" s="191"/>
      <c r="AA1145" s="191"/>
      <c r="AB1145" s="191"/>
      <c r="AC1145" s="191"/>
      <c r="AD1145" s="191"/>
      <c r="AE1145" s="191"/>
      <c r="AF1145" s="191"/>
      <c r="AG1145" s="191"/>
      <c r="AH1145" s="191"/>
      <c r="AI1145" s="127"/>
      <c r="AJ1145" s="191"/>
      <c r="AK1145" s="191"/>
      <c r="AL1145" s="190"/>
      <c r="AM1145" s="191"/>
    </row>
    <row r="1146" spans="5:39">
      <c r="E1146" s="21"/>
      <c r="Q1146" s="191"/>
      <c r="R1146" s="191"/>
      <c r="S1146" s="191"/>
      <c r="T1146" s="127"/>
      <c r="U1146" s="127"/>
      <c r="V1146" s="191"/>
      <c r="W1146" s="190"/>
      <c r="X1146" s="191"/>
      <c r="Y1146" s="191"/>
      <c r="Z1146" s="191"/>
      <c r="AA1146" s="191"/>
      <c r="AB1146" s="191"/>
      <c r="AC1146" s="191"/>
      <c r="AD1146" s="191"/>
      <c r="AE1146" s="191"/>
      <c r="AF1146" s="191"/>
      <c r="AG1146" s="191"/>
      <c r="AH1146" s="191"/>
      <c r="AI1146" s="127"/>
      <c r="AJ1146" s="191"/>
      <c r="AK1146" s="191"/>
      <c r="AL1146" s="190"/>
      <c r="AM1146" s="191"/>
    </row>
    <row r="1147" spans="5:39">
      <c r="E1147" s="21"/>
      <c r="Q1147" s="191"/>
      <c r="R1147" s="191"/>
      <c r="S1147" s="191"/>
      <c r="T1147" s="127"/>
      <c r="U1147" s="127"/>
      <c r="V1147" s="191"/>
      <c r="W1147" s="190"/>
      <c r="X1147" s="191"/>
      <c r="Y1147" s="191"/>
      <c r="Z1147" s="191"/>
      <c r="AA1147" s="191"/>
      <c r="AB1147" s="191"/>
      <c r="AC1147" s="191"/>
      <c r="AD1147" s="191"/>
      <c r="AE1147" s="191"/>
      <c r="AF1147" s="191"/>
      <c r="AG1147" s="191"/>
      <c r="AH1147" s="191"/>
      <c r="AI1147" s="127"/>
      <c r="AJ1147" s="191"/>
      <c r="AK1147" s="191"/>
      <c r="AL1147" s="190"/>
      <c r="AM1147" s="191"/>
    </row>
    <row r="1148" spans="5:39">
      <c r="E1148" s="21"/>
      <c r="Q1148" s="191"/>
      <c r="R1148" s="191"/>
      <c r="S1148" s="191"/>
      <c r="T1148" s="127"/>
      <c r="U1148" s="127"/>
      <c r="V1148" s="191"/>
      <c r="W1148" s="190"/>
      <c r="X1148" s="191"/>
      <c r="Y1148" s="191"/>
      <c r="Z1148" s="191"/>
      <c r="AA1148" s="191"/>
      <c r="AB1148" s="191"/>
      <c r="AC1148" s="191"/>
      <c r="AD1148" s="191"/>
      <c r="AE1148" s="191"/>
      <c r="AF1148" s="191"/>
      <c r="AG1148" s="191"/>
      <c r="AH1148" s="191"/>
      <c r="AI1148" s="127"/>
      <c r="AJ1148" s="191"/>
      <c r="AK1148" s="191"/>
      <c r="AL1148" s="190"/>
      <c r="AM1148" s="191"/>
    </row>
    <row r="1149" spans="5:39">
      <c r="E1149" s="21"/>
      <c r="Q1149" s="191"/>
      <c r="R1149" s="191"/>
      <c r="S1149" s="191"/>
      <c r="T1149" s="127"/>
      <c r="U1149" s="127"/>
      <c r="V1149" s="191"/>
      <c r="W1149" s="190"/>
      <c r="X1149" s="191"/>
      <c r="Y1149" s="191"/>
      <c r="Z1149" s="191"/>
      <c r="AA1149" s="191"/>
      <c r="AB1149" s="191"/>
      <c r="AC1149" s="191"/>
      <c r="AD1149" s="191"/>
      <c r="AE1149" s="191"/>
      <c r="AF1149" s="191"/>
      <c r="AG1149" s="191"/>
      <c r="AH1149" s="191"/>
      <c r="AI1149" s="127"/>
      <c r="AJ1149" s="191"/>
      <c r="AK1149" s="191"/>
      <c r="AL1149" s="190"/>
      <c r="AM1149" s="191"/>
    </row>
    <row r="1150" spans="5:39">
      <c r="E1150" s="21"/>
      <c r="Q1150" s="191"/>
      <c r="R1150" s="191"/>
      <c r="S1150" s="191"/>
      <c r="T1150" s="127"/>
      <c r="U1150" s="127"/>
      <c r="V1150" s="191"/>
      <c r="W1150" s="190"/>
      <c r="X1150" s="191"/>
      <c r="Y1150" s="191"/>
      <c r="Z1150" s="191"/>
      <c r="AA1150" s="191"/>
      <c r="AB1150" s="191"/>
      <c r="AC1150" s="191"/>
      <c r="AD1150" s="191"/>
      <c r="AE1150" s="191"/>
      <c r="AF1150" s="191"/>
      <c r="AG1150" s="191"/>
      <c r="AH1150" s="191"/>
      <c r="AI1150" s="127"/>
      <c r="AJ1150" s="191"/>
      <c r="AK1150" s="191"/>
      <c r="AL1150" s="190"/>
      <c r="AM1150" s="191"/>
    </row>
    <row r="1151" spans="5:39">
      <c r="E1151" s="21"/>
      <c r="Q1151" s="191"/>
      <c r="R1151" s="191"/>
      <c r="S1151" s="191"/>
      <c r="T1151" s="127"/>
      <c r="U1151" s="127"/>
      <c r="V1151" s="191"/>
      <c r="W1151" s="190"/>
      <c r="X1151" s="191"/>
      <c r="Y1151" s="191"/>
      <c r="Z1151" s="191"/>
      <c r="AA1151" s="191"/>
      <c r="AB1151" s="191"/>
      <c r="AC1151" s="191"/>
      <c r="AD1151" s="191"/>
      <c r="AE1151" s="191"/>
      <c r="AF1151" s="191"/>
      <c r="AG1151" s="191"/>
      <c r="AH1151" s="191"/>
      <c r="AI1151" s="127"/>
      <c r="AJ1151" s="191"/>
      <c r="AK1151" s="191"/>
      <c r="AL1151" s="190"/>
      <c r="AM1151" s="191"/>
    </row>
    <row r="1152" spans="5:39">
      <c r="E1152" s="21"/>
      <c r="Q1152" s="191"/>
      <c r="R1152" s="191"/>
      <c r="S1152" s="191"/>
      <c r="T1152" s="127"/>
      <c r="U1152" s="127"/>
      <c r="V1152" s="191"/>
      <c r="W1152" s="190"/>
      <c r="X1152" s="191"/>
      <c r="Y1152" s="191"/>
      <c r="Z1152" s="191"/>
      <c r="AA1152" s="191"/>
      <c r="AB1152" s="191"/>
      <c r="AC1152" s="191"/>
      <c r="AD1152" s="191"/>
      <c r="AE1152" s="191"/>
      <c r="AF1152" s="191"/>
      <c r="AG1152" s="191"/>
      <c r="AH1152" s="191"/>
      <c r="AI1152" s="127"/>
      <c r="AJ1152" s="191"/>
      <c r="AK1152" s="191"/>
      <c r="AL1152" s="190"/>
      <c r="AM1152" s="191"/>
    </row>
    <row r="1153" spans="5:39">
      <c r="E1153" s="21"/>
      <c r="Q1153" s="191"/>
      <c r="R1153" s="191"/>
      <c r="S1153" s="191"/>
      <c r="T1153" s="127"/>
      <c r="U1153" s="127"/>
      <c r="V1153" s="191"/>
      <c r="W1153" s="190"/>
      <c r="X1153" s="191"/>
      <c r="Y1153" s="191"/>
      <c r="Z1153" s="191"/>
      <c r="AA1153" s="191"/>
      <c r="AB1153" s="191"/>
      <c r="AC1153" s="191"/>
      <c r="AD1153" s="191"/>
      <c r="AE1153" s="191"/>
      <c r="AF1153" s="191"/>
      <c r="AG1153" s="191"/>
      <c r="AH1153" s="191"/>
      <c r="AI1153" s="127"/>
      <c r="AJ1153" s="191"/>
      <c r="AK1153" s="191"/>
      <c r="AL1153" s="190"/>
      <c r="AM1153" s="191"/>
    </row>
    <row r="1154" spans="5:39">
      <c r="E1154" s="21"/>
      <c r="Q1154" s="191"/>
      <c r="R1154" s="191"/>
      <c r="S1154" s="191"/>
      <c r="T1154" s="127"/>
      <c r="U1154" s="127"/>
      <c r="V1154" s="191"/>
      <c r="W1154" s="190"/>
      <c r="X1154" s="191"/>
      <c r="Y1154" s="191"/>
      <c r="Z1154" s="191"/>
      <c r="AA1154" s="191"/>
      <c r="AB1154" s="191"/>
      <c r="AC1154" s="191"/>
      <c r="AD1154" s="191"/>
      <c r="AE1154" s="191"/>
      <c r="AF1154" s="191"/>
      <c r="AG1154" s="191"/>
      <c r="AH1154" s="191"/>
      <c r="AI1154" s="127"/>
      <c r="AJ1154" s="191"/>
      <c r="AK1154" s="191"/>
      <c r="AL1154" s="190"/>
      <c r="AM1154" s="191"/>
    </row>
    <row r="1155" spans="5:39">
      <c r="E1155" s="21"/>
      <c r="Q1155" s="191"/>
      <c r="R1155" s="191"/>
      <c r="S1155" s="191"/>
      <c r="T1155" s="127"/>
      <c r="U1155" s="127"/>
      <c r="V1155" s="191"/>
      <c r="W1155" s="190"/>
      <c r="X1155" s="191"/>
      <c r="Y1155" s="191"/>
      <c r="Z1155" s="191"/>
      <c r="AA1155" s="191"/>
      <c r="AB1155" s="191"/>
      <c r="AC1155" s="191"/>
      <c r="AD1155" s="191"/>
      <c r="AE1155" s="191"/>
      <c r="AF1155" s="191"/>
      <c r="AG1155" s="191"/>
      <c r="AH1155" s="191"/>
      <c r="AI1155" s="127"/>
      <c r="AJ1155" s="191"/>
      <c r="AK1155" s="191"/>
      <c r="AL1155" s="190"/>
      <c r="AM1155" s="191"/>
    </row>
    <row r="1156" spans="5:39">
      <c r="E1156" s="21"/>
      <c r="Q1156" s="191"/>
      <c r="R1156" s="191"/>
      <c r="S1156" s="191"/>
      <c r="T1156" s="127"/>
      <c r="U1156" s="127"/>
      <c r="V1156" s="191"/>
      <c r="W1156" s="190"/>
      <c r="X1156" s="191"/>
      <c r="Y1156" s="191"/>
      <c r="Z1156" s="191"/>
      <c r="AA1156" s="191"/>
      <c r="AB1156" s="191"/>
      <c r="AC1156" s="191"/>
      <c r="AD1156" s="191"/>
      <c r="AE1156" s="191"/>
      <c r="AF1156" s="191"/>
      <c r="AG1156" s="191"/>
      <c r="AH1156" s="191"/>
      <c r="AI1156" s="127"/>
      <c r="AJ1156" s="191"/>
      <c r="AK1156" s="191"/>
      <c r="AL1156" s="190"/>
      <c r="AM1156" s="191"/>
    </row>
    <row r="1157" spans="5:39">
      <c r="E1157" s="21"/>
      <c r="Q1157" s="191"/>
      <c r="R1157" s="191"/>
      <c r="S1157" s="191"/>
      <c r="T1157" s="127"/>
      <c r="U1157" s="127"/>
      <c r="V1157" s="191"/>
      <c r="W1157" s="190"/>
      <c r="X1157" s="191"/>
      <c r="Y1157" s="191"/>
      <c r="Z1157" s="191"/>
      <c r="AA1157" s="191"/>
      <c r="AB1157" s="191"/>
      <c r="AC1157" s="191"/>
      <c r="AD1157" s="191"/>
      <c r="AE1157" s="191"/>
      <c r="AF1157" s="191"/>
      <c r="AG1157" s="191"/>
      <c r="AH1157" s="191"/>
      <c r="AI1157" s="127"/>
      <c r="AJ1157" s="191"/>
      <c r="AK1157" s="191"/>
      <c r="AL1157" s="190"/>
      <c r="AM1157" s="191"/>
    </row>
    <row r="1158" spans="5:39">
      <c r="E1158" s="21"/>
      <c r="Q1158" s="191"/>
      <c r="R1158" s="191"/>
      <c r="S1158" s="191"/>
      <c r="T1158" s="127"/>
      <c r="U1158" s="127"/>
      <c r="V1158" s="191"/>
      <c r="W1158" s="190"/>
      <c r="X1158" s="191"/>
      <c r="Y1158" s="191"/>
      <c r="Z1158" s="191"/>
      <c r="AA1158" s="191"/>
      <c r="AB1158" s="191"/>
      <c r="AC1158" s="191"/>
      <c r="AD1158" s="191"/>
      <c r="AE1158" s="191"/>
      <c r="AF1158" s="191"/>
      <c r="AG1158" s="191"/>
      <c r="AH1158" s="191"/>
      <c r="AI1158" s="127"/>
      <c r="AJ1158" s="191"/>
      <c r="AK1158" s="191"/>
      <c r="AL1158" s="190"/>
      <c r="AM1158" s="191"/>
    </row>
    <row r="1159" spans="5:39">
      <c r="E1159" s="21"/>
      <c r="Q1159" s="191"/>
      <c r="R1159" s="191"/>
      <c r="S1159" s="191"/>
      <c r="T1159" s="127"/>
      <c r="U1159" s="127"/>
      <c r="V1159" s="191"/>
      <c r="W1159" s="190"/>
      <c r="X1159" s="191"/>
      <c r="Y1159" s="191"/>
      <c r="Z1159" s="191"/>
      <c r="AA1159" s="191"/>
      <c r="AB1159" s="191"/>
      <c r="AC1159" s="191"/>
      <c r="AD1159" s="191"/>
      <c r="AE1159" s="191"/>
      <c r="AF1159" s="191"/>
      <c r="AG1159" s="191"/>
      <c r="AH1159" s="191"/>
      <c r="AI1159" s="127"/>
      <c r="AJ1159" s="191"/>
      <c r="AK1159" s="191"/>
      <c r="AL1159" s="190"/>
      <c r="AM1159" s="191"/>
    </row>
    <row r="1160" spans="5:39">
      <c r="E1160" s="21"/>
      <c r="Q1160" s="191"/>
      <c r="R1160" s="191"/>
      <c r="S1160" s="191"/>
      <c r="T1160" s="127"/>
      <c r="U1160" s="127"/>
      <c r="V1160" s="191"/>
      <c r="W1160" s="190"/>
      <c r="X1160" s="191"/>
      <c r="Y1160" s="191"/>
      <c r="Z1160" s="191"/>
      <c r="AA1160" s="191"/>
      <c r="AB1160" s="191"/>
      <c r="AC1160" s="191"/>
      <c r="AD1160" s="191"/>
      <c r="AE1160" s="191"/>
      <c r="AF1160" s="191"/>
      <c r="AG1160" s="191"/>
      <c r="AH1160" s="191"/>
      <c r="AI1160" s="127"/>
      <c r="AJ1160" s="191"/>
      <c r="AK1160" s="191"/>
      <c r="AL1160" s="190"/>
      <c r="AM1160" s="191"/>
    </row>
    <row r="1161" spans="5:39">
      <c r="E1161" s="21"/>
      <c r="Q1161" s="191"/>
      <c r="R1161" s="191"/>
      <c r="S1161" s="191"/>
      <c r="T1161" s="127"/>
      <c r="U1161" s="127"/>
      <c r="V1161" s="191"/>
      <c r="W1161" s="190"/>
      <c r="X1161" s="191"/>
      <c r="Y1161" s="191"/>
      <c r="Z1161" s="191"/>
      <c r="AA1161" s="191"/>
      <c r="AB1161" s="191"/>
      <c r="AC1161" s="191"/>
      <c r="AD1161" s="191"/>
      <c r="AE1161" s="191"/>
      <c r="AF1161" s="191"/>
      <c r="AG1161" s="191"/>
      <c r="AH1161" s="191"/>
      <c r="AI1161" s="127"/>
      <c r="AJ1161" s="191"/>
      <c r="AK1161" s="191"/>
      <c r="AL1161" s="190"/>
      <c r="AM1161" s="191"/>
    </row>
    <row r="1162" spans="5:39">
      <c r="E1162" s="21"/>
      <c r="Q1162" s="191"/>
      <c r="R1162" s="191"/>
      <c r="S1162" s="191"/>
      <c r="T1162" s="127"/>
      <c r="U1162" s="127"/>
      <c r="V1162" s="191"/>
      <c r="W1162" s="190"/>
      <c r="X1162" s="191"/>
      <c r="Y1162" s="191"/>
      <c r="Z1162" s="191"/>
      <c r="AA1162" s="191"/>
      <c r="AB1162" s="191"/>
      <c r="AC1162" s="191"/>
      <c r="AD1162" s="191"/>
      <c r="AE1162" s="191"/>
      <c r="AF1162" s="191"/>
      <c r="AG1162" s="191"/>
      <c r="AH1162" s="191"/>
      <c r="AI1162" s="127"/>
      <c r="AJ1162" s="191"/>
      <c r="AK1162" s="191"/>
      <c r="AL1162" s="190"/>
      <c r="AM1162" s="191"/>
    </row>
    <row r="1163" spans="5:39">
      <c r="E1163" s="21"/>
      <c r="Q1163" s="191"/>
      <c r="R1163" s="191"/>
      <c r="S1163" s="191"/>
      <c r="T1163" s="127"/>
      <c r="U1163" s="127"/>
      <c r="V1163" s="191"/>
      <c r="W1163" s="190"/>
      <c r="X1163" s="191"/>
      <c r="Y1163" s="191"/>
      <c r="Z1163" s="191"/>
      <c r="AA1163" s="191"/>
      <c r="AB1163" s="191"/>
      <c r="AC1163" s="191"/>
      <c r="AD1163" s="191"/>
      <c r="AE1163" s="191"/>
      <c r="AF1163" s="191"/>
      <c r="AG1163" s="191"/>
      <c r="AH1163" s="191"/>
      <c r="AI1163" s="127"/>
      <c r="AJ1163" s="191"/>
      <c r="AK1163" s="191"/>
      <c r="AL1163" s="190"/>
      <c r="AM1163" s="191"/>
    </row>
    <row r="1164" spans="5:39">
      <c r="E1164" s="21"/>
      <c r="Q1164" s="191"/>
      <c r="R1164" s="191"/>
      <c r="S1164" s="191"/>
      <c r="T1164" s="127"/>
      <c r="U1164" s="127"/>
      <c r="V1164" s="191"/>
      <c r="W1164" s="190"/>
      <c r="X1164" s="191"/>
      <c r="Y1164" s="191"/>
      <c r="Z1164" s="191"/>
      <c r="AA1164" s="191"/>
      <c r="AB1164" s="191"/>
      <c r="AC1164" s="191"/>
      <c r="AD1164" s="191"/>
      <c r="AE1164" s="191"/>
      <c r="AF1164" s="191"/>
      <c r="AG1164" s="191"/>
      <c r="AH1164" s="191"/>
      <c r="AI1164" s="127"/>
      <c r="AJ1164" s="191"/>
      <c r="AK1164" s="191"/>
      <c r="AL1164" s="190"/>
      <c r="AM1164" s="191"/>
    </row>
    <row r="1165" spans="5:39">
      <c r="E1165" s="21"/>
      <c r="Q1165" s="191"/>
      <c r="R1165" s="191"/>
      <c r="S1165" s="191"/>
      <c r="T1165" s="127"/>
      <c r="U1165" s="127"/>
      <c r="V1165" s="191"/>
      <c r="W1165" s="190"/>
      <c r="X1165" s="191"/>
      <c r="Y1165" s="191"/>
      <c r="Z1165" s="191"/>
      <c r="AA1165" s="191"/>
      <c r="AB1165" s="191"/>
      <c r="AC1165" s="191"/>
      <c r="AD1165" s="191"/>
      <c r="AE1165" s="191"/>
      <c r="AF1165" s="191"/>
      <c r="AG1165" s="191"/>
      <c r="AH1165" s="191"/>
      <c r="AI1165" s="127"/>
      <c r="AJ1165" s="191"/>
      <c r="AK1165" s="191"/>
      <c r="AL1165" s="190"/>
      <c r="AM1165" s="191"/>
    </row>
    <row r="1166" spans="5:39">
      <c r="E1166" s="21"/>
      <c r="Q1166" s="191"/>
      <c r="R1166" s="191"/>
      <c r="S1166" s="191"/>
      <c r="T1166" s="127"/>
      <c r="U1166" s="127"/>
      <c r="V1166" s="191"/>
      <c r="W1166" s="190"/>
      <c r="X1166" s="191"/>
      <c r="Y1166" s="191"/>
      <c r="Z1166" s="191"/>
      <c r="AA1166" s="191"/>
      <c r="AB1166" s="191"/>
      <c r="AC1166" s="191"/>
      <c r="AD1166" s="191"/>
      <c r="AE1166" s="191"/>
      <c r="AF1166" s="191"/>
      <c r="AG1166" s="191"/>
      <c r="AH1166" s="191"/>
      <c r="AI1166" s="127"/>
      <c r="AJ1166" s="191"/>
      <c r="AK1166" s="191"/>
      <c r="AL1166" s="190"/>
      <c r="AM1166" s="191"/>
    </row>
    <row r="1167" spans="5:39">
      <c r="E1167" s="21"/>
      <c r="Q1167" s="191"/>
      <c r="R1167" s="191"/>
      <c r="S1167" s="191"/>
      <c r="T1167" s="127"/>
      <c r="U1167" s="127"/>
      <c r="V1167" s="191"/>
      <c r="W1167" s="190"/>
      <c r="X1167" s="191"/>
      <c r="Y1167" s="191"/>
      <c r="Z1167" s="191"/>
      <c r="AA1167" s="191"/>
      <c r="AB1167" s="191"/>
      <c r="AC1167" s="191"/>
      <c r="AD1167" s="191"/>
      <c r="AE1167" s="191"/>
      <c r="AF1167" s="191"/>
      <c r="AG1167" s="191"/>
      <c r="AH1167" s="191"/>
      <c r="AI1167" s="127"/>
      <c r="AJ1167" s="191"/>
      <c r="AK1167" s="191"/>
      <c r="AL1167" s="190"/>
      <c r="AM1167" s="191"/>
    </row>
    <row r="1168" spans="5:39">
      <c r="E1168" s="21"/>
      <c r="Q1168" s="191"/>
      <c r="R1168" s="191"/>
      <c r="S1168" s="191"/>
      <c r="T1168" s="127"/>
      <c r="U1168" s="127"/>
      <c r="V1168" s="191"/>
      <c r="W1168" s="190"/>
      <c r="X1168" s="191"/>
      <c r="Y1168" s="191"/>
      <c r="Z1168" s="191"/>
      <c r="AA1168" s="191"/>
      <c r="AB1168" s="191"/>
      <c r="AC1168" s="191"/>
      <c r="AD1168" s="191"/>
      <c r="AE1168" s="191"/>
      <c r="AF1168" s="191"/>
      <c r="AG1168" s="191"/>
      <c r="AH1168" s="191"/>
      <c r="AI1168" s="127"/>
      <c r="AJ1168" s="191"/>
      <c r="AK1168" s="191"/>
      <c r="AL1168" s="190"/>
      <c r="AM1168" s="191"/>
    </row>
    <row r="1169" spans="5:39">
      <c r="E1169" s="21"/>
      <c r="Q1169" s="191"/>
      <c r="R1169" s="191"/>
      <c r="S1169" s="191"/>
      <c r="T1169" s="127"/>
      <c r="U1169" s="127"/>
      <c r="V1169" s="191"/>
      <c r="W1169" s="190"/>
      <c r="X1169" s="191"/>
      <c r="Y1169" s="191"/>
      <c r="Z1169" s="191"/>
      <c r="AA1169" s="191"/>
      <c r="AB1169" s="191"/>
      <c r="AC1169" s="191"/>
      <c r="AD1169" s="191"/>
      <c r="AE1169" s="191"/>
      <c r="AF1169" s="191"/>
      <c r="AG1169" s="191"/>
      <c r="AH1169" s="191"/>
      <c r="AI1169" s="127"/>
      <c r="AJ1169" s="191"/>
      <c r="AK1169" s="191"/>
      <c r="AL1169" s="190"/>
      <c r="AM1169" s="191"/>
    </row>
    <row r="1170" spans="5:39">
      <c r="E1170" s="21"/>
      <c r="Q1170" s="191"/>
      <c r="R1170" s="191"/>
      <c r="S1170" s="191"/>
      <c r="T1170" s="127"/>
      <c r="U1170" s="127"/>
      <c r="V1170" s="191"/>
      <c r="W1170" s="190"/>
      <c r="X1170" s="191"/>
      <c r="Y1170" s="191"/>
      <c r="Z1170" s="191"/>
      <c r="AA1170" s="191"/>
      <c r="AB1170" s="191"/>
      <c r="AC1170" s="191"/>
      <c r="AD1170" s="191"/>
      <c r="AE1170" s="191"/>
      <c r="AF1170" s="191"/>
      <c r="AG1170" s="191"/>
      <c r="AH1170" s="191"/>
      <c r="AI1170" s="127"/>
      <c r="AJ1170" s="191"/>
      <c r="AK1170" s="191"/>
      <c r="AL1170" s="190"/>
      <c r="AM1170" s="191"/>
    </row>
    <row r="1171" spans="5:39">
      <c r="E1171" s="21"/>
      <c r="Q1171" s="191"/>
      <c r="R1171" s="191"/>
      <c r="S1171" s="191"/>
      <c r="T1171" s="127"/>
      <c r="U1171" s="127"/>
      <c r="V1171" s="191"/>
      <c r="W1171" s="190"/>
      <c r="X1171" s="191"/>
      <c r="Y1171" s="191"/>
      <c r="Z1171" s="191"/>
      <c r="AA1171" s="191"/>
      <c r="AB1171" s="191"/>
      <c r="AC1171" s="191"/>
      <c r="AD1171" s="191"/>
      <c r="AE1171" s="191"/>
      <c r="AF1171" s="191"/>
      <c r="AG1171" s="191"/>
      <c r="AH1171" s="191"/>
      <c r="AI1171" s="127"/>
      <c r="AJ1171" s="191"/>
      <c r="AK1171" s="191"/>
      <c r="AL1171" s="190"/>
      <c r="AM1171" s="191"/>
    </row>
    <row r="1172" spans="5:39">
      <c r="E1172" s="21"/>
      <c r="Q1172" s="191"/>
      <c r="R1172" s="191"/>
      <c r="S1172" s="191"/>
      <c r="T1172" s="127"/>
      <c r="U1172" s="127"/>
      <c r="V1172" s="191"/>
      <c r="W1172" s="190"/>
      <c r="X1172" s="191"/>
      <c r="Y1172" s="191"/>
      <c r="Z1172" s="191"/>
      <c r="AA1172" s="191"/>
      <c r="AB1172" s="191"/>
      <c r="AC1172" s="191"/>
      <c r="AD1172" s="191"/>
      <c r="AE1172" s="191"/>
      <c r="AF1172" s="191"/>
      <c r="AG1172" s="191"/>
      <c r="AH1172" s="191"/>
      <c r="AI1172" s="127"/>
      <c r="AJ1172" s="191"/>
      <c r="AK1172" s="191"/>
      <c r="AL1172" s="190"/>
      <c r="AM1172" s="191"/>
    </row>
    <row r="1173" spans="5:39">
      <c r="E1173" s="21"/>
      <c r="Q1173" s="191"/>
      <c r="R1173" s="191"/>
      <c r="S1173" s="191"/>
      <c r="T1173" s="127"/>
      <c r="U1173" s="127"/>
      <c r="V1173" s="191"/>
      <c r="W1173" s="190"/>
      <c r="X1173" s="191"/>
      <c r="Y1173" s="191"/>
      <c r="Z1173" s="191"/>
      <c r="AA1173" s="191"/>
      <c r="AB1173" s="191"/>
      <c r="AC1173" s="191"/>
      <c r="AD1173" s="191"/>
      <c r="AE1173" s="191"/>
      <c r="AF1173" s="191"/>
      <c r="AG1173" s="191"/>
      <c r="AH1173" s="191"/>
      <c r="AI1173" s="127"/>
      <c r="AJ1173" s="191"/>
      <c r="AK1173" s="191"/>
      <c r="AL1173" s="190"/>
      <c r="AM1173" s="191"/>
    </row>
    <row r="1174" spans="5:39">
      <c r="E1174" s="21"/>
      <c r="Q1174" s="191"/>
      <c r="R1174" s="191"/>
      <c r="S1174" s="191"/>
      <c r="T1174" s="127"/>
      <c r="U1174" s="127"/>
      <c r="V1174" s="191"/>
      <c r="W1174" s="190"/>
      <c r="X1174" s="191"/>
      <c r="Y1174" s="191"/>
      <c r="Z1174" s="191"/>
      <c r="AA1174" s="191"/>
      <c r="AB1174" s="191"/>
      <c r="AC1174" s="191"/>
      <c r="AD1174" s="191"/>
      <c r="AE1174" s="191"/>
      <c r="AF1174" s="191"/>
      <c r="AG1174" s="191"/>
      <c r="AH1174" s="191"/>
      <c r="AI1174" s="127"/>
      <c r="AJ1174" s="191"/>
      <c r="AK1174" s="191"/>
      <c r="AL1174" s="190"/>
      <c r="AM1174" s="191"/>
    </row>
    <row r="1175" spans="5:39">
      <c r="E1175" s="21"/>
      <c r="Q1175" s="191"/>
      <c r="R1175" s="191"/>
      <c r="S1175" s="191"/>
      <c r="T1175" s="127"/>
      <c r="U1175" s="127"/>
      <c r="V1175" s="191"/>
      <c r="W1175" s="190"/>
      <c r="X1175" s="191"/>
      <c r="Y1175" s="191"/>
      <c r="Z1175" s="191"/>
      <c r="AA1175" s="191"/>
      <c r="AB1175" s="191"/>
      <c r="AC1175" s="191"/>
      <c r="AD1175" s="191"/>
      <c r="AE1175" s="191"/>
      <c r="AF1175" s="191"/>
      <c r="AG1175" s="191"/>
      <c r="AH1175" s="191"/>
      <c r="AI1175" s="127"/>
      <c r="AJ1175" s="191"/>
      <c r="AK1175" s="191"/>
      <c r="AL1175" s="190"/>
      <c r="AM1175" s="191"/>
    </row>
    <row r="1176" spans="5:39">
      <c r="E1176" s="21"/>
      <c r="Q1176" s="191"/>
      <c r="R1176" s="191"/>
      <c r="S1176" s="191"/>
      <c r="T1176" s="127"/>
      <c r="U1176" s="127"/>
      <c r="V1176" s="191"/>
      <c r="W1176" s="190"/>
      <c r="X1176" s="191"/>
      <c r="Y1176" s="191"/>
      <c r="Z1176" s="191"/>
      <c r="AA1176" s="191"/>
      <c r="AB1176" s="191"/>
      <c r="AC1176" s="191"/>
      <c r="AD1176" s="191"/>
      <c r="AE1176" s="191"/>
      <c r="AF1176" s="191"/>
      <c r="AG1176" s="191"/>
      <c r="AH1176" s="191"/>
      <c r="AI1176" s="127"/>
      <c r="AJ1176" s="191"/>
      <c r="AK1176" s="191"/>
      <c r="AL1176" s="190"/>
      <c r="AM1176" s="191"/>
    </row>
    <row r="1177" spans="5:39">
      <c r="E1177" s="21"/>
      <c r="Q1177" s="191"/>
      <c r="R1177" s="191"/>
      <c r="S1177" s="191"/>
      <c r="T1177" s="127"/>
      <c r="U1177" s="127"/>
      <c r="V1177" s="191"/>
      <c r="W1177" s="190"/>
      <c r="X1177" s="191"/>
      <c r="Y1177" s="191"/>
      <c r="Z1177" s="191"/>
      <c r="AA1177" s="191"/>
      <c r="AB1177" s="191"/>
      <c r="AC1177" s="191"/>
      <c r="AD1177" s="191"/>
      <c r="AE1177" s="191"/>
      <c r="AF1177" s="191"/>
      <c r="AG1177" s="191"/>
      <c r="AH1177" s="191"/>
      <c r="AI1177" s="127"/>
      <c r="AJ1177" s="191"/>
      <c r="AK1177" s="191"/>
      <c r="AL1177" s="190"/>
      <c r="AM1177" s="191"/>
    </row>
    <row r="1178" spans="5:39">
      <c r="E1178" s="21"/>
      <c r="Q1178" s="191"/>
      <c r="R1178" s="191"/>
      <c r="S1178" s="191"/>
      <c r="T1178" s="127"/>
      <c r="U1178" s="127"/>
      <c r="V1178" s="191"/>
      <c r="W1178" s="190"/>
      <c r="X1178" s="191"/>
      <c r="Y1178" s="191"/>
      <c r="Z1178" s="191"/>
      <c r="AA1178" s="191"/>
      <c r="AB1178" s="191"/>
      <c r="AC1178" s="191"/>
      <c r="AD1178" s="191"/>
      <c r="AE1178" s="191"/>
      <c r="AF1178" s="191"/>
      <c r="AG1178" s="191"/>
      <c r="AH1178" s="191"/>
      <c r="AI1178" s="127"/>
      <c r="AJ1178" s="191"/>
      <c r="AK1178" s="191"/>
      <c r="AL1178" s="190"/>
      <c r="AM1178" s="191"/>
    </row>
    <row r="1179" spans="5:39">
      <c r="E1179" s="21"/>
      <c r="Q1179" s="191"/>
      <c r="R1179" s="191"/>
      <c r="S1179" s="191"/>
      <c r="T1179" s="127"/>
      <c r="U1179" s="127"/>
      <c r="V1179" s="191"/>
      <c r="W1179" s="190"/>
      <c r="X1179" s="191"/>
      <c r="Y1179" s="191"/>
      <c r="Z1179" s="191"/>
      <c r="AA1179" s="191"/>
      <c r="AB1179" s="191"/>
      <c r="AC1179" s="191"/>
      <c r="AD1179" s="191"/>
      <c r="AE1179" s="191"/>
      <c r="AF1179" s="191"/>
      <c r="AG1179" s="191"/>
      <c r="AH1179" s="191"/>
      <c r="AI1179" s="127"/>
      <c r="AJ1179" s="191"/>
      <c r="AK1179" s="191"/>
      <c r="AL1179" s="190"/>
      <c r="AM1179" s="191"/>
    </row>
    <row r="1180" spans="5:39">
      <c r="E1180" s="21"/>
      <c r="Q1180" s="191"/>
      <c r="R1180" s="191"/>
      <c r="S1180" s="191"/>
      <c r="T1180" s="127"/>
      <c r="U1180" s="127"/>
      <c r="V1180" s="191"/>
      <c r="W1180" s="190"/>
      <c r="X1180" s="191"/>
      <c r="Y1180" s="191"/>
      <c r="Z1180" s="191"/>
      <c r="AA1180" s="191"/>
      <c r="AB1180" s="191"/>
      <c r="AC1180" s="191"/>
      <c r="AD1180" s="191"/>
      <c r="AE1180" s="191"/>
      <c r="AF1180" s="191"/>
      <c r="AG1180" s="191"/>
      <c r="AH1180" s="191"/>
      <c r="AI1180" s="127"/>
      <c r="AJ1180" s="191"/>
      <c r="AK1180" s="191"/>
      <c r="AL1180" s="190"/>
      <c r="AM1180" s="191"/>
    </row>
    <row r="1181" spans="5:39">
      <c r="E1181" s="21"/>
      <c r="Q1181" s="191"/>
      <c r="R1181" s="191"/>
      <c r="S1181" s="191"/>
      <c r="T1181" s="127"/>
      <c r="U1181" s="127"/>
      <c r="V1181" s="191"/>
      <c r="W1181" s="190"/>
      <c r="X1181" s="191"/>
      <c r="Y1181" s="191"/>
      <c r="Z1181" s="191"/>
      <c r="AA1181" s="191"/>
      <c r="AB1181" s="191"/>
      <c r="AC1181" s="191"/>
      <c r="AD1181" s="191"/>
      <c r="AE1181" s="191"/>
      <c r="AF1181" s="191"/>
      <c r="AG1181" s="191"/>
      <c r="AH1181" s="191"/>
      <c r="AI1181" s="127"/>
      <c r="AJ1181" s="191"/>
      <c r="AK1181" s="191"/>
      <c r="AL1181" s="190"/>
      <c r="AM1181" s="191"/>
    </row>
    <row r="1182" spans="5:39">
      <c r="E1182" s="21"/>
      <c r="Q1182" s="191"/>
      <c r="R1182" s="191"/>
      <c r="S1182" s="191"/>
      <c r="T1182" s="127"/>
      <c r="U1182" s="127"/>
      <c r="V1182" s="191"/>
      <c r="W1182" s="190"/>
      <c r="X1182" s="191"/>
      <c r="Y1182" s="191"/>
      <c r="Z1182" s="191"/>
      <c r="AA1182" s="191"/>
      <c r="AB1182" s="191"/>
      <c r="AC1182" s="191"/>
      <c r="AD1182" s="191"/>
      <c r="AE1182" s="191"/>
      <c r="AF1182" s="191"/>
      <c r="AG1182" s="191"/>
      <c r="AH1182" s="191"/>
      <c r="AI1182" s="127"/>
      <c r="AJ1182" s="191"/>
      <c r="AK1182" s="191"/>
      <c r="AL1182" s="190"/>
      <c r="AM1182" s="191"/>
    </row>
    <row r="1183" spans="5:39">
      <c r="E1183" s="21"/>
      <c r="Q1183" s="191"/>
      <c r="R1183" s="191"/>
      <c r="S1183" s="191"/>
      <c r="T1183" s="127"/>
      <c r="U1183" s="127"/>
      <c r="V1183" s="191"/>
      <c r="W1183" s="190"/>
      <c r="X1183" s="191"/>
      <c r="Y1183" s="191"/>
      <c r="Z1183" s="191"/>
      <c r="AA1183" s="191"/>
      <c r="AB1183" s="191"/>
      <c r="AC1183" s="191"/>
      <c r="AD1183" s="191"/>
      <c r="AE1183" s="191"/>
      <c r="AF1183" s="191"/>
      <c r="AG1183" s="191"/>
      <c r="AH1183" s="191"/>
      <c r="AI1183" s="127"/>
      <c r="AJ1183" s="191"/>
      <c r="AK1183" s="191"/>
      <c r="AL1183" s="190"/>
      <c r="AM1183" s="191"/>
    </row>
    <row r="1184" spans="5:39">
      <c r="E1184" s="21"/>
      <c r="Q1184" s="191"/>
      <c r="R1184" s="191"/>
      <c r="S1184" s="191"/>
      <c r="T1184" s="127"/>
      <c r="U1184" s="127"/>
      <c r="V1184" s="191"/>
      <c r="W1184" s="190"/>
      <c r="X1184" s="191"/>
      <c r="Y1184" s="191"/>
      <c r="Z1184" s="191"/>
      <c r="AA1184" s="191"/>
      <c r="AB1184" s="191"/>
      <c r="AC1184" s="191"/>
      <c r="AD1184" s="191"/>
      <c r="AE1184" s="191"/>
      <c r="AF1184" s="191"/>
      <c r="AG1184" s="191"/>
      <c r="AH1184" s="191"/>
      <c r="AI1184" s="127"/>
      <c r="AJ1184" s="191"/>
      <c r="AK1184" s="191"/>
      <c r="AL1184" s="190"/>
      <c r="AM1184" s="191"/>
    </row>
    <row r="1185" spans="5:39">
      <c r="E1185" s="21"/>
      <c r="Q1185" s="191"/>
      <c r="R1185" s="191"/>
      <c r="S1185" s="191"/>
      <c r="T1185" s="127"/>
      <c r="U1185" s="127"/>
      <c r="V1185" s="191"/>
      <c r="W1185" s="190"/>
      <c r="X1185" s="191"/>
      <c r="Y1185" s="191"/>
      <c r="Z1185" s="191"/>
      <c r="AA1185" s="191"/>
      <c r="AB1185" s="191"/>
      <c r="AC1185" s="191"/>
      <c r="AD1185" s="191"/>
      <c r="AE1185" s="191"/>
      <c r="AF1185" s="191"/>
      <c r="AG1185" s="191"/>
      <c r="AH1185" s="191"/>
      <c r="AI1185" s="127"/>
      <c r="AJ1185" s="191"/>
      <c r="AK1185" s="191"/>
      <c r="AL1185" s="190"/>
      <c r="AM1185" s="191"/>
    </row>
    <row r="1186" spans="5:39">
      <c r="E1186" s="21"/>
      <c r="Q1186" s="191"/>
      <c r="R1186" s="191"/>
      <c r="S1186" s="191"/>
      <c r="T1186" s="127"/>
      <c r="U1186" s="127"/>
      <c r="V1186" s="191"/>
      <c r="W1186" s="190"/>
      <c r="X1186" s="191"/>
      <c r="Y1186" s="191"/>
      <c r="Z1186" s="191"/>
      <c r="AA1186" s="191"/>
      <c r="AB1186" s="191"/>
      <c r="AC1186" s="191"/>
      <c r="AD1186" s="191"/>
      <c r="AE1186" s="191"/>
      <c r="AF1186" s="191"/>
      <c r="AG1186" s="191"/>
      <c r="AH1186" s="191"/>
      <c r="AI1186" s="127"/>
      <c r="AJ1186" s="191"/>
      <c r="AK1186" s="191"/>
      <c r="AL1186" s="190"/>
      <c r="AM1186" s="191"/>
    </row>
    <row r="1187" spans="5:39">
      <c r="E1187" s="21"/>
      <c r="Q1187" s="191"/>
      <c r="R1187" s="191"/>
      <c r="S1187" s="191"/>
      <c r="T1187" s="127"/>
      <c r="U1187" s="127"/>
      <c r="V1187" s="191"/>
      <c r="W1187" s="190"/>
      <c r="X1187" s="191"/>
      <c r="Y1187" s="191"/>
      <c r="Z1187" s="191"/>
      <c r="AA1187" s="191"/>
      <c r="AB1187" s="191"/>
      <c r="AC1187" s="191"/>
      <c r="AD1187" s="191"/>
      <c r="AE1187" s="191"/>
      <c r="AF1187" s="191"/>
      <c r="AG1187" s="191"/>
      <c r="AH1187" s="191"/>
      <c r="AI1187" s="127"/>
      <c r="AJ1187" s="191"/>
      <c r="AK1187" s="191"/>
      <c r="AL1187" s="190"/>
      <c r="AM1187" s="191"/>
    </row>
    <row r="1188" spans="5:39">
      <c r="E1188" s="21"/>
      <c r="Q1188" s="191"/>
      <c r="R1188" s="191"/>
      <c r="S1188" s="191"/>
      <c r="T1188" s="127"/>
      <c r="U1188" s="127"/>
      <c r="V1188" s="191"/>
      <c r="W1188" s="190"/>
      <c r="X1188" s="191"/>
      <c r="Y1188" s="191"/>
      <c r="Z1188" s="191"/>
      <c r="AA1188" s="191"/>
      <c r="AB1188" s="191"/>
      <c r="AC1188" s="191"/>
      <c r="AD1188" s="191"/>
      <c r="AE1188" s="191"/>
      <c r="AF1188" s="191"/>
      <c r="AG1188" s="191"/>
      <c r="AH1188" s="191"/>
      <c r="AI1188" s="127"/>
      <c r="AJ1188" s="191"/>
      <c r="AK1188" s="191"/>
      <c r="AL1188" s="190"/>
      <c r="AM1188" s="191"/>
    </row>
    <row r="1189" spans="5:39">
      <c r="E1189" s="21"/>
      <c r="Q1189" s="191"/>
      <c r="R1189" s="191"/>
      <c r="S1189" s="191"/>
      <c r="T1189" s="127"/>
      <c r="U1189" s="127"/>
      <c r="V1189" s="191"/>
      <c r="W1189" s="190"/>
      <c r="X1189" s="191"/>
      <c r="Y1189" s="191"/>
      <c r="Z1189" s="191"/>
      <c r="AA1189" s="191"/>
      <c r="AB1189" s="191"/>
      <c r="AC1189" s="191"/>
      <c r="AD1189" s="191"/>
      <c r="AE1189" s="191"/>
      <c r="AF1189" s="191"/>
      <c r="AG1189" s="191"/>
      <c r="AH1189" s="191"/>
      <c r="AI1189" s="127"/>
      <c r="AJ1189" s="191"/>
      <c r="AK1189" s="191"/>
      <c r="AL1189" s="190"/>
      <c r="AM1189" s="191"/>
    </row>
    <row r="1190" spans="5:39">
      <c r="E1190" s="21"/>
      <c r="Q1190" s="191"/>
      <c r="R1190" s="191"/>
      <c r="S1190" s="191"/>
      <c r="T1190" s="127"/>
      <c r="U1190" s="127"/>
      <c r="V1190" s="191"/>
      <c r="W1190" s="190"/>
      <c r="X1190" s="191"/>
      <c r="Y1190" s="191"/>
      <c r="Z1190" s="191"/>
      <c r="AA1190" s="191"/>
      <c r="AB1190" s="191"/>
      <c r="AC1190" s="191"/>
      <c r="AD1190" s="191"/>
      <c r="AE1190" s="191"/>
      <c r="AF1190" s="191"/>
      <c r="AG1190" s="191"/>
      <c r="AH1190" s="191"/>
      <c r="AI1190" s="127"/>
      <c r="AJ1190" s="191"/>
      <c r="AK1190" s="191"/>
      <c r="AL1190" s="190"/>
      <c r="AM1190" s="191"/>
    </row>
    <row r="1191" spans="5:39">
      <c r="E1191" s="21"/>
      <c r="Q1191" s="191"/>
      <c r="R1191" s="191"/>
      <c r="S1191" s="191"/>
      <c r="T1191" s="127"/>
      <c r="U1191" s="127"/>
      <c r="V1191" s="191"/>
      <c r="W1191" s="190"/>
      <c r="X1191" s="191"/>
      <c r="Y1191" s="191"/>
      <c r="Z1191" s="191"/>
      <c r="AA1191" s="191"/>
      <c r="AB1191" s="191"/>
      <c r="AC1191" s="191"/>
      <c r="AD1191" s="191"/>
      <c r="AE1191" s="191"/>
      <c r="AF1191" s="191"/>
      <c r="AG1191" s="191"/>
      <c r="AH1191" s="191"/>
      <c r="AI1191" s="127"/>
      <c r="AJ1191" s="191"/>
      <c r="AK1191" s="191"/>
      <c r="AL1191" s="190"/>
      <c r="AM1191" s="191"/>
    </row>
    <row r="1192" spans="5:39">
      <c r="E1192" s="21"/>
      <c r="Q1192" s="191"/>
      <c r="R1192" s="191"/>
      <c r="S1192" s="191"/>
      <c r="T1192" s="127"/>
      <c r="U1192" s="127"/>
      <c r="V1192" s="191"/>
      <c r="W1192" s="190"/>
      <c r="X1192" s="191"/>
      <c r="Y1192" s="191"/>
      <c r="Z1192" s="191"/>
      <c r="AA1192" s="191"/>
      <c r="AB1192" s="191"/>
      <c r="AC1192" s="191"/>
      <c r="AD1192" s="191"/>
      <c r="AE1192" s="191"/>
      <c r="AF1192" s="191"/>
      <c r="AG1192" s="191"/>
      <c r="AH1192" s="191"/>
      <c r="AI1192" s="127"/>
      <c r="AJ1192" s="191"/>
      <c r="AK1192" s="191"/>
      <c r="AL1192" s="190"/>
      <c r="AM1192" s="191"/>
    </row>
    <row r="1193" spans="5:39">
      <c r="E1193" s="21"/>
      <c r="Q1193" s="191"/>
      <c r="R1193" s="191"/>
      <c r="S1193" s="191"/>
      <c r="T1193" s="127"/>
      <c r="U1193" s="127"/>
      <c r="V1193" s="191"/>
      <c r="W1193" s="190"/>
      <c r="X1193" s="191"/>
      <c r="Y1193" s="191"/>
      <c r="Z1193" s="191"/>
      <c r="AA1193" s="191"/>
      <c r="AB1193" s="191"/>
      <c r="AC1193" s="191"/>
      <c r="AD1193" s="191"/>
      <c r="AE1193" s="191"/>
      <c r="AF1193" s="191"/>
      <c r="AG1193" s="191"/>
      <c r="AH1193" s="191"/>
      <c r="AI1193" s="127"/>
      <c r="AJ1193" s="191"/>
      <c r="AK1193" s="191"/>
      <c r="AL1193" s="190"/>
      <c r="AM1193" s="191"/>
    </row>
    <row r="1194" spans="5:39">
      <c r="E1194" s="21"/>
      <c r="Q1194" s="191"/>
      <c r="R1194" s="191"/>
      <c r="S1194" s="191"/>
      <c r="T1194" s="127"/>
      <c r="U1194" s="127"/>
      <c r="V1194" s="191"/>
      <c r="W1194" s="190"/>
      <c r="X1194" s="191"/>
      <c r="Y1194" s="191"/>
      <c r="Z1194" s="191"/>
      <c r="AA1194" s="191"/>
      <c r="AB1194" s="191"/>
      <c r="AC1194" s="191"/>
      <c r="AD1194" s="191"/>
      <c r="AE1194" s="191"/>
      <c r="AF1194" s="191"/>
      <c r="AG1194" s="191"/>
      <c r="AH1194" s="191"/>
      <c r="AI1194" s="127"/>
      <c r="AJ1194" s="191"/>
      <c r="AK1194" s="191"/>
      <c r="AL1194" s="190"/>
      <c r="AM1194" s="191"/>
    </row>
    <row r="1195" spans="5:39">
      <c r="E1195" s="21"/>
      <c r="Q1195" s="191"/>
      <c r="R1195" s="191"/>
      <c r="S1195" s="191"/>
      <c r="T1195" s="127"/>
      <c r="U1195" s="127"/>
      <c r="V1195" s="191"/>
      <c r="W1195" s="190"/>
      <c r="X1195" s="191"/>
      <c r="Y1195" s="191"/>
      <c r="Z1195" s="191"/>
      <c r="AA1195" s="191"/>
      <c r="AB1195" s="191"/>
      <c r="AC1195" s="191"/>
      <c r="AD1195" s="191"/>
      <c r="AE1195" s="191"/>
      <c r="AF1195" s="191"/>
      <c r="AG1195" s="191"/>
      <c r="AH1195" s="191"/>
      <c r="AI1195" s="127"/>
      <c r="AJ1195" s="191"/>
      <c r="AK1195" s="191"/>
      <c r="AL1195" s="190"/>
      <c r="AM1195" s="191"/>
    </row>
    <row r="1196" spans="5:39">
      <c r="E1196" s="21"/>
      <c r="Q1196" s="191"/>
      <c r="R1196" s="191"/>
      <c r="S1196" s="191"/>
      <c r="T1196" s="127"/>
      <c r="U1196" s="127"/>
      <c r="V1196" s="191"/>
      <c r="W1196" s="190"/>
      <c r="X1196" s="191"/>
      <c r="Y1196" s="191"/>
      <c r="Z1196" s="191"/>
      <c r="AA1196" s="191"/>
      <c r="AB1196" s="191"/>
      <c r="AC1196" s="191"/>
      <c r="AD1196" s="191"/>
      <c r="AE1196" s="191"/>
      <c r="AF1196" s="191"/>
      <c r="AG1196" s="191"/>
      <c r="AH1196" s="191"/>
      <c r="AI1196" s="127"/>
      <c r="AJ1196" s="191"/>
      <c r="AK1196" s="191"/>
      <c r="AL1196" s="190"/>
      <c r="AM1196" s="191"/>
    </row>
    <row r="1197" spans="5:39">
      <c r="E1197" s="21"/>
      <c r="Q1197" s="191"/>
      <c r="R1197" s="191"/>
      <c r="S1197" s="191"/>
      <c r="T1197" s="127"/>
      <c r="U1197" s="127"/>
      <c r="V1197" s="191"/>
      <c r="W1197" s="190"/>
      <c r="X1197" s="191"/>
      <c r="Y1197" s="191"/>
      <c r="Z1197" s="191"/>
      <c r="AA1197" s="191"/>
      <c r="AB1197" s="191"/>
      <c r="AC1197" s="191"/>
      <c r="AD1197" s="191"/>
      <c r="AE1197" s="191"/>
      <c r="AF1197" s="191"/>
      <c r="AG1197" s="191"/>
      <c r="AH1197" s="191"/>
      <c r="AI1197" s="127"/>
      <c r="AJ1197" s="191"/>
      <c r="AK1197" s="191"/>
      <c r="AL1197" s="190"/>
      <c r="AM1197" s="191"/>
    </row>
    <row r="1198" spans="5:39">
      <c r="E1198" s="21"/>
      <c r="Q1198" s="191"/>
      <c r="R1198" s="191"/>
      <c r="S1198" s="191"/>
      <c r="T1198" s="127"/>
      <c r="U1198" s="127"/>
      <c r="V1198" s="191"/>
      <c r="W1198" s="190"/>
      <c r="X1198" s="191"/>
      <c r="Y1198" s="191"/>
      <c r="Z1198" s="191"/>
      <c r="AA1198" s="191"/>
      <c r="AB1198" s="191"/>
      <c r="AC1198" s="191"/>
      <c r="AD1198" s="191"/>
      <c r="AE1198" s="191"/>
      <c r="AF1198" s="191"/>
      <c r="AG1198" s="191"/>
      <c r="AH1198" s="191"/>
      <c r="AI1198" s="127"/>
      <c r="AJ1198" s="191"/>
      <c r="AK1198" s="191"/>
      <c r="AL1198" s="190"/>
      <c r="AM1198" s="191"/>
    </row>
    <row r="1199" spans="5:39">
      <c r="E1199" s="21"/>
      <c r="Q1199" s="191"/>
      <c r="R1199" s="191"/>
      <c r="S1199" s="191"/>
      <c r="T1199" s="127"/>
      <c r="U1199" s="127"/>
      <c r="V1199" s="191"/>
      <c r="W1199" s="190"/>
      <c r="X1199" s="191"/>
      <c r="Y1199" s="191"/>
      <c r="Z1199" s="191"/>
      <c r="AA1199" s="191"/>
      <c r="AB1199" s="191"/>
      <c r="AC1199" s="191"/>
      <c r="AD1199" s="191"/>
      <c r="AE1199" s="191"/>
      <c r="AF1199" s="191"/>
      <c r="AG1199" s="191"/>
      <c r="AH1199" s="191"/>
      <c r="AI1199" s="127"/>
      <c r="AJ1199" s="191"/>
      <c r="AK1199" s="191"/>
      <c r="AL1199" s="190"/>
      <c r="AM1199" s="191"/>
    </row>
    <row r="1200" spans="5:39">
      <c r="E1200" s="21"/>
      <c r="Q1200" s="191"/>
      <c r="R1200" s="191"/>
      <c r="S1200" s="191"/>
      <c r="T1200" s="127"/>
      <c r="U1200" s="127"/>
      <c r="V1200" s="191"/>
      <c r="W1200" s="190"/>
      <c r="X1200" s="191"/>
      <c r="Y1200" s="191"/>
      <c r="Z1200" s="191"/>
      <c r="AA1200" s="191"/>
      <c r="AB1200" s="191"/>
      <c r="AC1200" s="191"/>
      <c r="AD1200" s="191"/>
      <c r="AE1200" s="191"/>
      <c r="AF1200" s="191"/>
      <c r="AG1200" s="191"/>
      <c r="AH1200" s="191"/>
      <c r="AI1200" s="127"/>
      <c r="AJ1200" s="191"/>
      <c r="AK1200" s="191"/>
      <c r="AL1200" s="190"/>
      <c r="AM1200" s="191"/>
    </row>
    <row r="1201" spans="5:39">
      <c r="E1201" s="21"/>
      <c r="Q1201" s="191"/>
      <c r="R1201" s="191"/>
      <c r="S1201" s="191"/>
      <c r="T1201" s="127"/>
      <c r="U1201" s="127"/>
      <c r="V1201" s="191"/>
      <c r="W1201" s="190"/>
      <c r="X1201" s="191"/>
      <c r="Y1201" s="191"/>
      <c r="Z1201" s="191"/>
      <c r="AA1201" s="191"/>
      <c r="AB1201" s="191"/>
      <c r="AC1201" s="191"/>
      <c r="AD1201" s="191"/>
      <c r="AE1201" s="191"/>
      <c r="AF1201" s="191"/>
      <c r="AG1201" s="191"/>
      <c r="AH1201" s="191"/>
      <c r="AI1201" s="127"/>
      <c r="AJ1201" s="191"/>
      <c r="AK1201" s="191"/>
      <c r="AL1201" s="190"/>
      <c r="AM1201" s="191"/>
    </row>
    <row r="1202" spans="5:39">
      <c r="E1202" s="21"/>
      <c r="Q1202" s="191"/>
      <c r="R1202" s="191"/>
      <c r="S1202" s="191"/>
      <c r="T1202" s="127"/>
      <c r="U1202" s="127"/>
      <c r="V1202" s="191"/>
      <c r="W1202" s="190"/>
      <c r="X1202" s="191"/>
      <c r="Y1202" s="191"/>
      <c r="Z1202" s="191"/>
      <c r="AA1202" s="191"/>
      <c r="AB1202" s="191"/>
      <c r="AC1202" s="191"/>
      <c r="AD1202" s="191"/>
      <c r="AE1202" s="191"/>
      <c r="AF1202" s="191"/>
      <c r="AG1202" s="191"/>
      <c r="AH1202" s="191"/>
      <c r="AI1202" s="127"/>
      <c r="AJ1202" s="191"/>
      <c r="AK1202" s="191"/>
      <c r="AL1202" s="190"/>
      <c r="AM1202" s="191"/>
    </row>
    <row r="1203" spans="5:39">
      <c r="E1203" s="21"/>
      <c r="Q1203" s="191"/>
      <c r="R1203" s="191"/>
      <c r="S1203" s="191"/>
      <c r="T1203" s="127"/>
      <c r="U1203" s="127"/>
      <c r="V1203" s="191"/>
      <c r="W1203" s="190"/>
      <c r="X1203" s="191"/>
      <c r="Y1203" s="191"/>
      <c r="Z1203" s="191"/>
      <c r="AA1203" s="191"/>
      <c r="AB1203" s="191"/>
      <c r="AC1203" s="191"/>
      <c r="AD1203" s="191"/>
      <c r="AE1203" s="191"/>
      <c r="AF1203" s="191"/>
      <c r="AG1203" s="191"/>
      <c r="AH1203" s="191"/>
      <c r="AI1203" s="127"/>
      <c r="AJ1203" s="191"/>
      <c r="AK1203" s="191"/>
      <c r="AL1203" s="190"/>
      <c r="AM1203" s="191"/>
    </row>
    <row r="1204" spans="5:39">
      <c r="E1204" s="21"/>
      <c r="Q1204" s="191"/>
      <c r="R1204" s="191"/>
      <c r="S1204" s="191"/>
      <c r="T1204" s="127"/>
      <c r="U1204" s="127"/>
      <c r="V1204" s="191"/>
      <c r="W1204" s="190"/>
      <c r="X1204" s="191"/>
      <c r="Y1204" s="191"/>
      <c r="Z1204" s="191"/>
      <c r="AA1204" s="191"/>
      <c r="AB1204" s="191"/>
      <c r="AC1204" s="191"/>
      <c r="AD1204" s="191"/>
      <c r="AE1204" s="191"/>
      <c r="AF1204" s="191"/>
      <c r="AG1204" s="191"/>
      <c r="AH1204" s="191"/>
      <c r="AI1204" s="127"/>
      <c r="AJ1204" s="191"/>
      <c r="AK1204" s="191"/>
      <c r="AL1204" s="190"/>
      <c r="AM1204" s="191"/>
    </row>
    <row r="1205" spans="5:39">
      <c r="E1205" s="21"/>
      <c r="Q1205" s="191"/>
      <c r="R1205" s="191"/>
      <c r="S1205" s="191"/>
      <c r="T1205" s="127"/>
      <c r="U1205" s="127"/>
      <c r="V1205" s="191"/>
      <c r="W1205" s="190"/>
      <c r="X1205" s="191"/>
      <c r="Y1205" s="191"/>
      <c r="Z1205" s="191"/>
      <c r="AA1205" s="191"/>
      <c r="AB1205" s="191"/>
      <c r="AC1205" s="191"/>
      <c r="AD1205" s="191"/>
      <c r="AE1205" s="191"/>
      <c r="AF1205" s="191"/>
      <c r="AG1205" s="191"/>
      <c r="AH1205" s="191"/>
      <c r="AI1205" s="127"/>
      <c r="AJ1205" s="191"/>
      <c r="AK1205" s="191"/>
      <c r="AL1205" s="190"/>
      <c r="AM1205" s="191"/>
    </row>
    <row r="1206" spans="5:39">
      <c r="E1206" s="21"/>
      <c r="Q1206" s="191"/>
      <c r="R1206" s="191"/>
      <c r="S1206" s="191"/>
      <c r="T1206" s="127"/>
      <c r="U1206" s="127"/>
      <c r="V1206" s="191"/>
      <c r="W1206" s="190"/>
      <c r="X1206" s="191"/>
      <c r="Y1206" s="191"/>
      <c r="Z1206" s="191"/>
      <c r="AA1206" s="191"/>
      <c r="AB1206" s="191"/>
      <c r="AC1206" s="191"/>
      <c r="AD1206" s="191"/>
      <c r="AE1206" s="191"/>
      <c r="AF1206" s="191"/>
      <c r="AG1206" s="191"/>
      <c r="AH1206" s="191"/>
      <c r="AI1206" s="127"/>
      <c r="AJ1206" s="191"/>
      <c r="AK1206" s="191"/>
      <c r="AL1206" s="190"/>
      <c r="AM1206" s="191"/>
    </row>
    <row r="1207" spans="5:39">
      <c r="E1207" s="21"/>
      <c r="Q1207" s="191"/>
      <c r="R1207" s="191"/>
      <c r="S1207" s="191"/>
      <c r="T1207" s="127"/>
      <c r="U1207" s="127"/>
      <c r="V1207" s="191"/>
      <c r="W1207" s="190"/>
      <c r="X1207" s="191"/>
      <c r="Y1207" s="191"/>
      <c r="Z1207" s="191"/>
      <c r="AA1207" s="191"/>
      <c r="AB1207" s="191"/>
      <c r="AC1207" s="191"/>
      <c r="AD1207" s="191"/>
      <c r="AE1207" s="191"/>
      <c r="AF1207" s="191"/>
      <c r="AG1207" s="191"/>
      <c r="AH1207" s="191"/>
      <c r="AI1207" s="127"/>
      <c r="AJ1207" s="191"/>
      <c r="AK1207" s="191"/>
      <c r="AL1207" s="190"/>
      <c r="AM1207" s="191"/>
    </row>
    <row r="1208" spans="5:39">
      <c r="E1208" s="21"/>
      <c r="Q1208" s="191"/>
      <c r="R1208" s="191"/>
      <c r="S1208" s="191"/>
      <c r="T1208" s="127"/>
      <c r="U1208" s="127"/>
      <c r="V1208" s="191"/>
      <c r="W1208" s="190"/>
      <c r="X1208" s="191"/>
      <c r="Y1208" s="191"/>
      <c r="Z1208" s="191"/>
      <c r="AA1208" s="191"/>
      <c r="AB1208" s="191"/>
      <c r="AC1208" s="191"/>
      <c r="AD1208" s="191"/>
      <c r="AE1208" s="191"/>
      <c r="AF1208" s="191"/>
      <c r="AG1208" s="191"/>
      <c r="AH1208" s="191"/>
      <c r="AI1208" s="127"/>
      <c r="AJ1208" s="191"/>
      <c r="AK1208" s="191"/>
      <c r="AL1208" s="190"/>
      <c r="AM1208" s="191"/>
    </row>
    <row r="1209" spans="5:39">
      <c r="E1209" s="21"/>
      <c r="Q1209" s="191"/>
      <c r="R1209" s="191"/>
      <c r="S1209" s="191"/>
      <c r="T1209" s="127"/>
      <c r="U1209" s="127"/>
      <c r="V1209" s="191"/>
      <c r="W1209" s="190"/>
      <c r="X1209" s="191"/>
      <c r="Y1209" s="191"/>
      <c r="Z1209" s="191"/>
      <c r="AA1209" s="191"/>
      <c r="AB1209" s="191"/>
      <c r="AC1209" s="191"/>
      <c r="AD1209" s="191"/>
      <c r="AE1209" s="191"/>
      <c r="AF1209" s="191"/>
      <c r="AG1209" s="191"/>
      <c r="AH1209" s="191"/>
      <c r="AI1209" s="127"/>
      <c r="AJ1209" s="191"/>
      <c r="AK1209" s="191"/>
      <c r="AL1209" s="190"/>
      <c r="AM1209" s="191"/>
    </row>
    <row r="1210" spans="5:39">
      <c r="E1210" s="21"/>
      <c r="Q1210" s="191"/>
      <c r="R1210" s="191"/>
      <c r="S1210" s="191"/>
      <c r="T1210" s="127"/>
      <c r="U1210" s="127"/>
      <c r="V1210" s="191"/>
      <c r="W1210" s="190"/>
      <c r="X1210" s="191"/>
      <c r="Y1210" s="191"/>
      <c r="Z1210" s="191"/>
      <c r="AA1210" s="191"/>
      <c r="AB1210" s="191"/>
      <c r="AC1210" s="191"/>
      <c r="AD1210" s="191"/>
      <c r="AE1210" s="191"/>
      <c r="AF1210" s="191"/>
      <c r="AG1210" s="191"/>
      <c r="AH1210" s="191"/>
      <c r="AI1210" s="127"/>
      <c r="AJ1210" s="191"/>
      <c r="AK1210" s="191"/>
      <c r="AL1210" s="190"/>
      <c r="AM1210" s="191"/>
    </row>
    <row r="1211" spans="5:39">
      <c r="E1211" s="21"/>
      <c r="Q1211" s="191"/>
      <c r="R1211" s="191"/>
      <c r="S1211" s="191"/>
      <c r="T1211" s="127"/>
      <c r="U1211" s="127"/>
      <c r="V1211" s="191"/>
      <c r="W1211" s="190"/>
      <c r="X1211" s="191"/>
      <c r="Y1211" s="191"/>
      <c r="Z1211" s="191"/>
      <c r="AA1211" s="191"/>
      <c r="AB1211" s="191"/>
      <c r="AC1211" s="191"/>
      <c r="AD1211" s="191"/>
      <c r="AE1211" s="191"/>
      <c r="AF1211" s="191"/>
      <c r="AG1211" s="191"/>
      <c r="AH1211" s="191"/>
      <c r="AI1211" s="127"/>
      <c r="AJ1211" s="191"/>
      <c r="AK1211" s="191"/>
      <c r="AL1211" s="190"/>
      <c r="AM1211" s="191"/>
    </row>
    <row r="1212" spans="5:39">
      <c r="E1212" s="21"/>
      <c r="Q1212" s="191"/>
      <c r="R1212" s="191"/>
      <c r="S1212" s="191"/>
      <c r="T1212" s="127"/>
      <c r="U1212" s="127"/>
      <c r="V1212" s="191"/>
      <c r="W1212" s="190"/>
      <c r="X1212" s="191"/>
      <c r="Y1212" s="191"/>
      <c r="Z1212" s="191"/>
      <c r="AA1212" s="191"/>
      <c r="AB1212" s="191"/>
      <c r="AC1212" s="191"/>
      <c r="AD1212" s="191"/>
      <c r="AE1212" s="191"/>
      <c r="AF1212" s="191"/>
      <c r="AG1212" s="191"/>
      <c r="AH1212" s="191"/>
      <c r="AI1212" s="127"/>
      <c r="AJ1212" s="191"/>
      <c r="AK1212" s="191"/>
      <c r="AL1212" s="190"/>
      <c r="AM1212" s="191"/>
    </row>
    <row r="1213" spans="5:39">
      <c r="E1213" s="21"/>
      <c r="Q1213" s="191"/>
      <c r="R1213" s="191"/>
      <c r="S1213" s="191"/>
      <c r="T1213" s="127"/>
      <c r="U1213" s="127"/>
      <c r="V1213" s="191"/>
      <c r="W1213" s="190"/>
      <c r="X1213" s="191"/>
      <c r="Y1213" s="191"/>
      <c r="Z1213" s="191"/>
      <c r="AA1213" s="191"/>
      <c r="AB1213" s="191"/>
      <c r="AC1213" s="191"/>
      <c r="AD1213" s="191"/>
      <c r="AE1213" s="191"/>
      <c r="AF1213" s="191"/>
      <c r="AG1213" s="191"/>
      <c r="AH1213" s="191"/>
      <c r="AI1213" s="127"/>
      <c r="AJ1213" s="191"/>
      <c r="AK1213" s="191"/>
      <c r="AL1213" s="190"/>
      <c r="AM1213" s="191"/>
    </row>
    <row r="1214" spans="5:39">
      <c r="E1214" s="21"/>
      <c r="Q1214" s="191"/>
      <c r="R1214" s="191"/>
      <c r="S1214" s="191"/>
      <c r="T1214" s="127"/>
      <c r="U1214" s="127"/>
      <c r="V1214" s="191"/>
      <c r="W1214" s="190"/>
      <c r="X1214" s="191"/>
      <c r="Y1214" s="191"/>
      <c r="Z1214" s="191"/>
      <c r="AA1214" s="191"/>
      <c r="AB1214" s="191"/>
      <c r="AC1214" s="191"/>
      <c r="AD1214" s="191"/>
      <c r="AE1214" s="191"/>
      <c r="AF1214" s="191"/>
      <c r="AG1214" s="191"/>
      <c r="AH1214" s="191"/>
      <c r="AI1214" s="127"/>
      <c r="AJ1214" s="191"/>
      <c r="AK1214" s="191"/>
      <c r="AL1214" s="190"/>
      <c r="AM1214" s="191"/>
    </row>
    <row r="1215" spans="5:39">
      <c r="E1215" s="21"/>
      <c r="Q1215" s="191"/>
      <c r="R1215" s="191"/>
      <c r="S1215" s="191"/>
      <c r="T1215" s="127"/>
      <c r="U1215" s="127"/>
      <c r="V1215" s="191"/>
      <c r="W1215" s="190"/>
      <c r="X1215" s="191"/>
      <c r="Y1215" s="191"/>
      <c r="Z1215" s="191"/>
      <c r="AA1215" s="191"/>
      <c r="AB1215" s="191"/>
      <c r="AC1215" s="191"/>
      <c r="AD1215" s="191"/>
      <c r="AE1215" s="191"/>
      <c r="AF1215" s="191"/>
      <c r="AG1215" s="191"/>
      <c r="AH1215" s="191"/>
      <c r="AI1215" s="127"/>
      <c r="AJ1215" s="191"/>
      <c r="AK1215" s="191"/>
      <c r="AL1215" s="190"/>
      <c r="AM1215" s="191"/>
    </row>
    <row r="1216" spans="5:39">
      <c r="E1216" s="21"/>
      <c r="Q1216" s="191"/>
      <c r="R1216" s="191"/>
      <c r="S1216" s="191"/>
      <c r="T1216" s="127"/>
      <c r="U1216" s="127"/>
      <c r="V1216" s="191"/>
      <c r="W1216" s="190"/>
      <c r="X1216" s="191"/>
      <c r="Y1216" s="191"/>
      <c r="Z1216" s="191"/>
      <c r="AA1216" s="191"/>
      <c r="AB1216" s="191"/>
      <c r="AC1216" s="191"/>
      <c r="AD1216" s="191"/>
      <c r="AE1216" s="191"/>
      <c r="AF1216" s="191"/>
      <c r="AG1216" s="191"/>
      <c r="AH1216" s="191"/>
      <c r="AI1216" s="127"/>
      <c r="AJ1216" s="191"/>
      <c r="AK1216" s="191"/>
      <c r="AL1216" s="190"/>
      <c r="AM1216" s="191"/>
    </row>
    <row r="1217" spans="5:39">
      <c r="E1217" s="21"/>
      <c r="Q1217" s="191"/>
      <c r="R1217" s="191"/>
      <c r="S1217" s="191"/>
      <c r="T1217" s="127"/>
      <c r="U1217" s="127"/>
      <c r="V1217" s="191"/>
      <c r="W1217" s="190"/>
      <c r="X1217" s="191"/>
      <c r="Y1217" s="191"/>
      <c r="Z1217" s="191"/>
      <c r="AA1217" s="191"/>
      <c r="AB1217" s="191"/>
      <c r="AC1217" s="191"/>
      <c r="AD1217" s="191"/>
      <c r="AE1217" s="191"/>
      <c r="AF1217" s="191"/>
      <c r="AG1217" s="191"/>
      <c r="AH1217" s="191"/>
      <c r="AI1217" s="127"/>
      <c r="AJ1217" s="191"/>
      <c r="AK1217" s="191"/>
      <c r="AL1217" s="190"/>
      <c r="AM1217" s="191"/>
    </row>
    <row r="1218" spans="5:39">
      <c r="E1218" s="21"/>
      <c r="Q1218" s="191"/>
      <c r="R1218" s="191"/>
      <c r="S1218" s="191"/>
      <c r="T1218" s="127"/>
      <c r="U1218" s="127"/>
      <c r="V1218" s="191"/>
      <c r="W1218" s="190"/>
      <c r="X1218" s="191"/>
      <c r="Y1218" s="191"/>
      <c r="Z1218" s="191"/>
      <c r="AA1218" s="191"/>
      <c r="AB1218" s="191"/>
      <c r="AC1218" s="191"/>
      <c r="AD1218" s="191"/>
      <c r="AE1218" s="191"/>
      <c r="AF1218" s="191"/>
      <c r="AG1218" s="191"/>
      <c r="AH1218" s="191"/>
      <c r="AI1218" s="127"/>
      <c r="AJ1218" s="191"/>
      <c r="AK1218" s="191"/>
      <c r="AL1218" s="190"/>
      <c r="AM1218" s="191"/>
    </row>
    <row r="1219" spans="5:39">
      <c r="E1219" s="21"/>
      <c r="Q1219" s="191"/>
      <c r="R1219" s="191"/>
      <c r="S1219" s="191"/>
      <c r="T1219" s="127"/>
      <c r="U1219" s="127"/>
      <c r="V1219" s="191"/>
      <c r="W1219" s="190"/>
      <c r="X1219" s="191"/>
      <c r="Y1219" s="191"/>
      <c r="Z1219" s="191"/>
      <c r="AA1219" s="191"/>
      <c r="AB1219" s="191"/>
      <c r="AC1219" s="191"/>
      <c r="AD1219" s="191"/>
      <c r="AE1219" s="191"/>
      <c r="AF1219" s="191"/>
      <c r="AG1219" s="191"/>
      <c r="AH1219" s="191"/>
      <c r="AI1219" s="127"/>
      <c r="AJ1219" s="191"/>
      <c r="AK1219" s="191"/>
      <c r="AL1219" s="190"/>
      <c r="AM1219" s="191"/>
    </row>
    <row r="1220" spans="5:39">
      <c r="E1220" s="21"/>
      <c r="Q1220" s="191"/>
      <c r="R1220" s="191"/>
      <c r="S1220" s="191"/>
      <c r="T1220" s="127"/>
      <c r="U1220" s="127"/>
      <c r="V1220" s="191"/>
      <c r="W1220" s="190"/>
      <c r="X1220" s="191"/>
      <c r="Y1220" s="191"/>
      <c r="Z1220" s="191"/>
      <c r="AA1220" s="191"/>
      <c r="AB1220" s="191"/>
      <c r="AC1220" s="191"/>
      <c r="AD1220" s="191"/>
      <c r="AE1220" s="191"/>
      <c r="AF1220" s="191"/>
      <c r="AG1220" s="191"/>
      <c r="AH1220" s="191"/>
      <c r="AI1220" s="127"/>
      <c r="AJ1220" s="191"/>
      <c r="AK1220" s="191"/>
      <c r="AL1220" s="190"/>
      <c r="AM1220" s="191"/>
    </row>
    <row r="1221" spans="5:39">
      <c r="E1221" s="21"/>
      <c r="Q1221" s="191"/>
      <c r="R1221" s="191"/>
      <c r="S1221" s="191"/>
      <c r="T1221" s="127"/>
      <c r="U1221" s="127"/>
      <c r="V1221" s="191"/>
      <c r="W1221" s="190"/>
      <c r="X1221" s="191"/>
      <c r="Y1221" s="191"/>
      <c r="Z1221" s="191"/>
      <c r="AA1221" s="191"/>
      <c r="AB1221" s="191"/>
      <c r="AC1221" s="191"/>
      <c r="AD1221" s="191"/>
      <c r="AE1221" s="191"/>
      <c r="AF1221" s="191"/>
      <c r="AG1221" s="191"/>
      <c r="AH1221" s="191"/>
      <c r="AI1221" s="127"/>
      <c r="AJ1221" s="191"/>
      <c r="AK1221" s="191"/>
      <c r="AL1221" s="190"/>
      <c r="AM1221" s="191"/>
    </row>
    <row r="1222" spans="5:39">
      <c r="E1222" s="21"/>
      <c r="Q1222" s="191"/>
      <c r="R1222" s="191"/>
      <c r="S1222" s="191"/>
      <c r="T1222" s="127"/>
      <c r="U1222" s="127"/>
      <c r="V1222" s="191"/>
      <c r="W1222" s="190"/>
      <c r="X1222" s="191"/>
      <c r="Y1222" s="191"/>
      <c r="Z1222" s="191"/>
      <c r="AA1222" s="191"/>
      <c r="AB1222" s="191"/>
      <c r="AC1222" s="191"/>
      <c r="AD1222" s="191"/>
      <c r="AE1222" s="191"/>
      <c r="AF1222" s="191"/>
      <c r="AG1222" s="191"/>
      <c r="AH1222" s="191"/>
      <c r="AI1222" s="127"/>
      <c r="AJ1222" s="191"/>
      <c r="AK1222" s="191"/>
      <c r="AL1222" s="190"/>
      <c r="AM1222" s="191"/>
    </row>
    <row r="1223" spans="5:39">
      <c r="E1223" s="21"/>
      <c r="Q1223" s="191"/>
      <c r="R1223" s="191"/>
      <c r="S1223" s="191"/>
      <c r="T1223" s="127"/>
      <c r="U1223" s="127"/>
      <c r="V1223" s="191"/>
      <c r="W1223" s="190"/>
      <c r="X1223" s="191"/>
      <c r="Y1223" s="191"/>
      <c r="Z1223" s="191"/>
      <c r="AA1223" s="191"/>
      <c r="AB1223" s="191"/>
      <c r="AC1223" s="191"/>
      <c r="AD1223" s="191"/>
      <c r="AE1223" s="191"/>
      <c r="AF1223" s="191"/>
      <c r="AG1223" s="191"/>
      <c r="AH1223" s="191"/>
      <c r="AI1223" s="127"/>
      <c r="AJ1223" s="191"/>
      <c r="AK1223" s="191"/>
      <c r="AL1223" s="190"/>
      <c r="AM1223" s="191"/>
    </row>
    <row r="1224" spans="5:39">
      <c r="E1224" s="21"/>
      <c r="Q1224" s="191"/>
      <c r="R1224" s="191"/>
      <c r="S1224" s="191"/>
      <c r="T1224" s="127"/>
      <c r="U1224" s="127"/>
      <c r="V1224" s="191"/>
      <c r="W1224" s="190"/>
      <c r="X1224" s="191"/>
      <c r="Y1224" s="191"/>
      <c r="Z1224" s="191"/>
      <c r="AA1224" s="191"/>
      <c r="AB1224" s="191"/>
      <c r="AC1224" s="191"/>
      <c r="AD1224" s="191"/>
      <c r="AE1224" s="191"/>
      <c r="AF1224" s="191"/>
      <c r="AG1224" s="191"/>
      <c r="AH1224" s="191"/>
      <c r="AI1224" s="127"/>
      <c r="AJ1224" s="191"/>
      <c r="AK1224" s="191"/>
      <c r="AL1224" s="190"/>
      <c r="AM1224" s="191"/>
    </row>
    <row r="1225" spans="5:39">
      <c r="E1225" s="21"/>
      <c r="Q1225" s="191"/>
      <c r="R1225" s="191"/>
      <c r="S1225" s="191"/>
      <c r="T1225" s="127"/>
      <c r="U1225" s="127"/>
      <c r="V1225" s="191"/>
      <c r="W1225" s="190"/>
      <c r="X1225" s="191"/>
      <c r="Y1225" s="191"/>
      <c r="Z1225" s="191"/>
      <c r="AA1225" s="191"/>
      <c r="AB1225" s="191"/>
      <c r="AC1225" s="191"/>
      <c r="AD1225" s="191"/>
      <c r="AE1225" s="191"/>
      <c r="AF1225" s="191"/>
      <c r="AG1225" s="191"/>
      <c r="AH1225" s="191"/>
      <c r="AI1225" s="127"/>
      <c r="AJ1225" s="191"/>
      <c r="AK1225" s="191"/>
      <c r="AL1225" s="190"/>
      <c r="AM1225" s="191"/>
    </row>
    <row r="1226" spans="5:39">
      <c r="E1226" s="21"/>
      <c r="Q1226" s="191"/>
      <c r="R1226" s="191"/>
      <c r="S1226" s="191"/>
      <c r="T1226" s="127"/>
      <c r="U1226" s="127"/>
      <c r="V1226" s="191"/>
      <c r="W1226" s="190"/>
      <c r="X1226" s="191"/>
      <c r="Y1226" s="191"/>
      <c r="Z1226" s="191"/>
      <c r="AA1226" s="191"/>
      <c r="AB1226" s="191"/>
      <c r="AC1226" s="191"/>
      <c r="AD1226" s="191"/>
      <c r="AE1226" s="191"/>
      <c r="AF1226" s="191"/>
      <c r="AG1226" s="191"/>
      <c r="AH1226" s="191"/>
      <c r="AI1226" s="127"/>
      <c r="AJ1226" s="191"/>
      <c r="AK1226" s="191"/>
      <c r="AL1226" s="190"/>
      <c r="AM1226" s="191"/>
    </row>
    <row r="1227" spans="5:39">
      <c r="E1227" s="21"/>
      <c r="Q1227" s="191"/>
      <c r="R1227" s="191"/>
      <c r="S1227" s="191"/>
      <c r="T1227" s="127"/>
      <c r="U1227" s="127"/>
      <c r="V1227" s="191"/>
      <c r="W1227" s="190"/>
      <c r="X1227" s="191"/>
      <c r="Y1227" s="191"/>
      <c r="Z1227" s="191"/>
      <c r="AA1227" s="191"/>
      <c r="AB1227" s="191"/>
      <c r="AC1227" s="191"/>
      <c r="AD1227" s="191"/>
      <c r="AE1227" s="191"/>
      <c r="AF1227" s="191"/>
      <c r="AG1227" s="191"/>
      <c r="AH1227" s="191"/>
      <c r="AI1227" s="127"/>
      <c r="AJ1227" s="191"/>
      <c r="AK1227" s="191"/>
      <c r="AL1227" s="190"/>
      <c r="AM1227" s="191"/>
    </row>
    <row r="1228" spans="5:39">
      <c r="E1228" s="21"/>
      <c r="Q1228" s="191"/>
      <c r="R1228" s="191"/>
      <c r="S1228" s="191"/>
      <c r="T1228" s="127"/>
      <c r="U1228" s="127"/>
      <c r="V1228" s="191"/>
      <c r="W1228" s="190"/>
      <c r="X1228" s="191"/>
      <c r="Y1228" s="191"/>
      <c r="Z1228" s="191"/>
      <c r="AA1228" s="191"/>
      <c r="AB1228" s="191"/>
      <c r="AC1228" s="191"/>
      <c r="AD1228" s="191"/>
      <c r="AE1228" s="191"/>
      <c r="AF1228" s="191"/>
      <c r="AG1228" s="191"/>
      <c r="AH1228" s="191"/>
      <c r="AI1228" s="127"/>
      <c r="AJ1228" s="191"/>
      <c r="AK1228" s="191"/>
      <c r="AL1228" s="190"/>
      <c r="AM1228" s="191"/>
    </row>
    <row r="1229" spans="5:39">
      <c r="E1229" s="21"/>
      <c r="Q1229" s="191"/>
      <c r="R1229" s="191"/>
      <c r="S1229" s="191"/>
      <c r="T1229" s="127"/>
      <c r="U1229" s="127"/>
      <c r="V1229" s="191"/>
      <c r="W1229" s="190"/>
      <c r="X1229" s="191"/>
      <c r="Y1229" s="191"/>
      <c r="Z1229" s="191"/>
      <c r="AA1229" s="191"/>
      <c r="AB1229" s="191"/>
      <c r="AC1229" s="191"/>
      <c r="AD1229" s="191"/>
      <c r="AE1229" s="191"/>
      <c r="AF1229" s="191"/>
      <c r="AG1229" s="191"/>
      <c r="AH1229" s="191"/>
      <c r="AI1229" s="127"/>
      <c r="AJ1229" s="191"/>
      <c r="AK1229" s="191"/>
      <c r="AL1229" s="190"/>
      <c r="AM1229" s="191"/>
    </row>
    <row r="1230" spans="5:39">
      <c r="E1230" s="21"/>
      <c r="Q1230" s="191"/>
      <c r="R1230" s="191"/>
      <c r="S1230" s="191"/>
      <c r="T1230" s="127"/>
      <c r="U1230" s="127"/>
      <c r="V1230" s="191"/>
      <c r="W1230" s="190"/>
      <c r="X1230" s="191"/>
      <c r="Y1230" s="191"/>
      <c r="Z1230" s="191"/>
      <c r="AA1230" s="191"/>
      <c r="AB1230" s="191"/>
      <c r="AC1230" s="191"/>
      <c r="AD1230" s="191"/>
      <c r="AE1230" s="191"/>
      <c r="AF1230" s="191"/>
      <c r="AG1230" s="191"/>
      <c r="AH1230" s="191"/>
      <c r="AI1230" s="127"/>
      <c r="AJ1230" s="191"/>
      <c r="AK1230" s="191"/>
      <c r="AL1230" s="190"/>
      <c r="AM1230" s="191"/>
    </row>
    <row r="1231" spans="5:39">
      <c r="E1231" s="21"/>
      <c r="Q1231" s="191"/>
      <c r="R1231" s="191"/>
      <c r="S1231" s="191"/>
      <c r="T1231" s="127"/>
      <c r="U1231" s="127"/>
      <c r="V1231" s="191"/>
      <c r="W1231" s="190"/>
      <c r="X1231" s="191"/>
      <c r="Y1231" s="191"/>
      <c r="Z1231" s="191"/>
      <c r="AA1231" s="191"/>
      <c r="AB1231" s="191"/>
      <c r="AC1231" s="191"/>
      <c r="AD1231" s="191"/>
      <c r="AE1231" s="191"/>
      <c r="AF1231" s="191"/>
      <c r="AG1231" s="191"/>
      <c r="AH1231" s="191"/>
      <c r="AI1231" s="127"/>
      <c r="AJ1231" s="191"/>
      <c r="AK1231" s="191"/>
      <c r="AL1231" s="190"/>
      <c r="AM1231" s="191"/>
    </row>
    <row r="1232" spans="5:39">
      <c r="E1232" s="21"/>
      <c r="Q1232" s="191"/>
      <c r="R1232" s="191"/>
      <c r="S1232" s="191"/>
      <c r="T1232" s="127"/>
      <c r="U1232" s="127"/>
      <c r="V1232" s="191"/>
      <c r="W1232" s="190"/>
      <c r="X1232" s="191"/>
      <c r="Y1232" s="191"/>
      <c r="Z1232" s="191"/>
      <c r="AA1232" s="191"/>
      <c r="AB1232" s="191"/>
      <c r="AC1232" s="191"/>
      <c r="AD1232" s="191"/>
      <c r="AE1232" s="191"/>
      <c r="AF1232" s="191"/>
      <c r="AG1232" s="191"/>
      <c r="AH1232" s="191"/>
      <c r="AI1232" s="127"/>
      <c r="AJ1232" s="191"/>
      <c r="AK1232" s="191"/>
      <c r="AL1232" s="190"/>
      <c r="AM1232" s="191"/>
    </row>
    <row r="1233" spans="5:39">
      <c r="E1233" s="21"/>
      <c r="Q1233" s="191"/>
      <c r="R1233" s="191"/>
      <c r="S1233" s="191"/>
      <c r="T1233" s="127"/>
      <c r="U1233" s="127"/>
      <c r="V1233" s="191"/>
      <c r="W1233" s="190"/>
      <c r="X1233" s="191"/>
      <c r="Y1233" s="191"/>
      <c r="Z1233" s="191"/>
      <c r="AA1233" s="191"/>
      <c r="AB1233" s="191"/>
      <c r="AC1233" s="191"/>
      <c r="AD1233" s="191"/>
      <c r="AE1233" s="191"/>
      <c r="AF1233" s="191"/>
      <c r="AG1233" s="191"/>
      <c r="AH1233" s="191"/>
      <c r="AI1233" s="127"/>
      <c r="AJ1233" s="191"/>
      <c r="AK1233" s="191"/>
      <c r="AL1233" s="190"/>
      <c r="AM1233" s="191"/>
    </row>
    <row r="1234" spans="5:39">
      <c r="E1234" s="21"/>
      <c r="Q1234" s="191"/>
      <c r="R1234" s="191"/>
      <c r="S1234" s="191"/>
      <c r="T1234" s="127"/>
      <c r="U1234" s="127"/>
      <c r="V1234" s="191"/>
      <c r="W1234" s="190"/>
      <c r="X1234" s="191"/>
      <c r="Y1234" s="191"/>
      <c r="Z1234" s="191"/>
      <c r="AA1234" s="191"/>
      <c r="AB1234" s="191"/>
      <c r="AC1234" s="191"/>
      <c r="AD1234" s="191"/>
      <c r="AE1234" s="191"/>
      <c r="AF1234" s="191"/>
      <c r="AG1234" s="191"/>
      <c r="AH1234" s="191"/>
      <c r="AI1234" s="127"/>
      <c r="AJ1234" s="191"/>
      <c r="AK1234" s="191"/>
      <c r="AL1234" s="190"/>
      <c r="AM1234" s="191"/>
    </row>
    <row r="1235" spans="5:39">
      <c r="E1235" s="21"/>
      <c r="Q1235" s="191"/>
      <c r="R1235" s="191"/>
      <c r="S1235" s="191"/>
      <c r="T1235" s="127"/>
      <c r="U1235" s="127"/>
      <c r="V1235" s="191"/>
      <c r="W1235" s="190"/>
      <c r="X1235" s="191"/>
      <c r="Y1235" s="191"/>
      <c r="Z1235" s="191"/>
      <c r="AA1235" s="191"/>
      <c r="AB1235" s="191"/>
      <c r="AC1235" s="191"/>
      <c r="AD1235" s="191"/>
      <c r="AE1235" s="191"/>
      <c r="AF1235" s="191"/>
      <c r="AG1235" s="191"/>
      <c r="AH1235" s="191"/>
      <c r="AI1235" s="127"/>
      <c r="AJ1235" s="191"/>
      <c r="AK1235" s="191"/>
      <c r="AL1235" s="190"/>
      <c r="AM1235" s="191"/>
    </row>
    <row r="1236" spans="5:39">
      <c r="E1236" s="21"/>
      <c r="Q1236" s="191"/>
      <c r="R1236" s="191"/>
      <c r="S1236" s="191"/>
      <c r="T1236" s="127"/>
      <c r="U1236" s="127"/>
      <c r="V1236" s="191"/>
      <c r="W1236" s="190"/>
      <c r="X1236" s="191"/>
      <c r="Y1236" s="191"/>
      <c r="Z1236" s="191"/>
      <c r="AA1236" s="191"/>
      <c r="AB1236" s="191"/>
      <c r="AC1236" s="191"/>
      <c r="AD1236" s="191"/>
      <c r="AE1236" s="191"/>
      <c r="AF1236" s="191"/>
      <c r="AG1236" s="191"/>
      <c r="AH1236" s="191"/>
      <c r="AI1236" s="127"/>
      <c r="AJ1236" s="191"/>
      <c r="AK1236" s="191"/>
      <c r="AL1236" s="190"/>
      <c r="AM1236" s="191"/>
    </row>
    <row r="1237" spans="5:39">
      <c r="E1237" s="21"/>
      <c r="Q1237" s="191"/>
      <c r="R1237" s="191"/>
      <c r="S1237" s="191"/>
      <c r="T1237" s="127"/>
      <c r="U1237" s="127"/>
      <c r="V1237" s="191"/>
      <c r="W1237" s="190"/>
      <c r="X1237" s="191"/>
      <c r="Y1237" s="191"/>
      <c r="Z1237" s="191"/>
      <c r="AA1237" s="191"/>
      <c r="AB1237" s="191"/>
      <c r="AC1237" s="191"/>
      <c r="AD1237" s="191"/>
      <c r="AE1237" s="191"/>
      <c r="AF1237" s="191"/>
      <c r="AG1237" s="191"/>
      <c r="AH1237" s="191"/>
      <c r="AI1237" s="127"/>
      <c r="AJ1237" s="191"/>
      <c r="AK1237" s="191"/>
      <c r="AL1237" s="190"/>
      <c r="AM1237" s="191"/>
    </row>
    <row r="1238" spans="5:39">
      <c r="E1238" s="21"/>
      <c r="Q1238" s="191"/>
      <c r="R1238" s="191"/>
      <c r="S1238" s="191"/>
      <c r="T1238" s="127"/>
      <c r="U1238" s="127"/>
      <c r="V1238" s="191"/>
      <c r="W1238" s="190"/>
      <c r="X1238" s="191"/>
      <c r="Y1238" s="191"/>
      <c r="Z1238" s="191"/>
      <c r="AA1238" s="191"/>
      <c r="AB1238" s="191"/>
      <c r="AC1238" s="191"/>
      <c r="AD1238" s="191"/>
      <c r="AE1238" s="191"/>
      <c r="AF1238" s="191"/>
      <c r="AG1238" s="191"/>
      <c r="AH1238" s="191"/>
      <c r="AI1238" s="127"/>
      <c r="AJ1238" s="191"/>
      <c r="AK1238" s="191"/>
      <c r="AL1238" s="190"/>
      <c r="AM1238" s="191"/>
    </row>
    <row r="1239" spans="5:39">
      <c r="E1239" s="21"/>
      <c r="Q1239" s="191"/>
      <c r="R1239" s="191"/>
      <c r="S1239" s="191"/>
      <c r="T1239" s="127"/>
      <c r="U1239" s="127"/>
      <c r="V1239" s="191"/>
      <c r="W1239" s="190"/>
      <c r="X1239" s="191"/>
      <c r="Y1239" s="191"/>
      <c r="Z1239" s="191"/>
      <c r="AA1239" s="191"/>
      <c r="AB1239" s="191"/>
      <c r="AC1239" s="191"/>
      <c r="AD1239" s="191"/>
      <c r="AE1239" s="191"/>
      <c r="AF1239" s="191"/>
      <c r="AG1239" s="191"/>
      <c r="AH1239" s="191"/>
      <c r="AI1239" s="127"/>
      <c r="AJ1239" s="191"/>
      <c r="AK1239" s="191"/>
      <c r="AL1239" s="190"/>
      <c r="AM1239" s="191"/>
    </row>
    <row r="1240" spans="5:39">
      <c r="E1240" s="21"/>
      <c r="Q1240" s="191"/>
      <c r="R1240" s="191"/>
      <c r="S1240" s="191"/>
      <c r="T1240" s="127"/>
      <c r="U1240" s="127"/>
      <c r="V1240" s="191"/>
      <c r="W1240" s="190"/>
      <c r="X1240" s="191"/>
      <c r="Y1240" s="191"/>
      <c r="Z1240" s="191"/>
      <c r="AA1240" s="191"/>
      <c r="AB1240" s="191"/>
      <c r="AC1240" s="191"/>
      <c r="AD1240" s="191"/>
      <c r="AE1240" s="191"/>
      <c r="AF1240" s="191"/>
      <c r="AG1240" s="191"/>
      <c r="AH1240" s="191"/>
      <c r="AI1240" s="127"/>
      <c r="AJ1240" s="191"/>
      <c r="AK1240" s="191"/>
      <c r="AL1240" s="190"/>
      <c r="AM1240" s="191"/>
    </row>
    <row r="1241" spans="5:39">
      <c r="E1241" s="21"/>
      <c r="Q1241" s="191"/>
      <c r="R1241" s="191"/>
      <c r="S1241" s="191"/>
      <c r="T1241" s="127"/>
      <c r="U1241" s="127"/>
      <c r="V1241" s="191"/>
      <c r="W1241" s="190"/>
      <c r="X1241" s="191"/>
      <c r="Y1241" s="191"/>
      <c r="Z1241" s="191"/>
      <c r="AA1241" s="191"/>
      <c r="AB1241" s="191"/>
      <c r="AC1241" s="191"/>
      <c r="AD1241" s="191"/>
      <c r="AE1241" s="191"/>
      <c r="AF1241" s="191"/>
      <c r="AG1241" s="191"/>
      <c r="AH1241" s="191"/>
      <c r="AI1241" s="127"/>
      <c r="AJ1241" s="191"/>
      <c r="AK1241" s="191"/>
      <c r="AL1241" s="190"/>
      <c r="AM1241" s="191"/>
    </row>
    <row r="1242" spans="5:39">
      <c r="E1242" s="21"/>
      <c r="Q1242" s="191"/>
      <c r="R1242" s="191"/>
      <c r="S1242" s="191"/>
      <c r="T1242" s="127"/>
      <c r="U1242" s="127"/>
      <c r="V1242" s="191"/>
      <c r="W1242" s="190"/>
      <c r="X1242" s="191"/>
      <c r="Y1242" s="191"/>
      <c r="Z1242" s="191"/>
      <c r="AA1242" s="191"/>
      <c r="AB1242" s="191"/>
      <c r="AC1242" s="191"/>
      <c r="AD1242" s="191"/>
      <c r="AE1242" s="191"/>
      <c r="AF1242" s="191"/>
      <c r="AG1242" s="191"/>
      <c r="AH1242" s="191"/>
      <c r="AI1242" s="127"/>
      <c r="AJ1242" s="191"/>
      <c r="AK1242" s="191"/>
      <c r="AL1242" s="190"/>
      <c r="AM1242" s="191"/>
    </row>
    <row r="1243" spans="5:39">
      <c r="E1243" s="21"/>
      <c r="Q1243" s="191"/>
      <c r="R1243" s="191"/>
      <c r="S1243" s="191"/>
      <c r="T1243" s="127"/>
      <c r="U1243" s="127"/>
      <c r="V1243" s="191"/>
      <c r="W1243" s="190"/>
      <c r="X1243" s="191"/>
      <c r="Y1243" s="191"/>
      <c r="Z1243" s="191"/>
      <c r="AA1243" s="191"/>
      <c r="AB1243" s="191"/>
      <c r="AC1243" s="191"/>
      <c r="AD1243" s="191"/>
      <c r="AE1243" s="191"/>
      <c r="AF1243" s="191"/>
      <c r="AG1243" s="191"/>
      <c r="AH1243" s="191"/>
      <c r="AI1243" s="127"/>
      <c r="AJ1243" s="191"/>
      <c r="AK1243" s="191"/>
      <c r="AL1243" s="190"/>
      <c r="AM1243" s="191"/>
    </row>
    <row r="1244" spans="5:39">
      <c r="E1244" s="21"/>
      <c r="Q1244" s="191"/>
      <c r="R1244" s="191"/>
      <c r="S1244" s="191"/>
      <c r="T1244" s="127"/>
      <c r="U1244" s="127"/>
      <c r="V1244" s="191"/>
      <c r="W1244" s="190"/>
      <c r="X1244" s="191"/>
      <c r="Y1244" s="191"/>
      <c r="Z1244" s="191"/>
      <c r="AA1244" s="191"/>
      <c r="AB1244" s="191"/>
      <c r="AC1244" s="191"/>
      <c r="AD1244" s="191"/>
      <c r="AE1244" s="191"/>
      <c r="AF1244" s="191"/>
      <c r="AG1244" s="191"/>
      <c r="AH1244" s="191"/>
      <c r="AI1244" s="127"/>
      <c r="AJ1244" s="191"/>
      <c r="AK1244" s="191"/>
      <c r="AL1244" s="190"/>
      <c r="AM1244" s="191"/>
    </row>
    <row r="1245" spans="5:39">
      <c r="E1245" s="21"/>
      <c r="Q1245" s="191"/>
      <c r="R1245" s="191"/>
      <c r="S1245" s="191"/>
      <c r="T1245" s="127"/>
      <c r="U1245" s="127"/>
      <c r="V1245" s="191"/>
      <c r="W1245" s="190"/>
      <c r="X1245" s="191"/>
      <c r="Y1245" s="191"/>
      <c r="Z1245" s="191"/>
      <c r="AA1245" s="191"/>
      <c r="AB1245" s="191"/>
      <c r="AC1245" s="191"/>
      <c r="AD1245" s="191"/>
      <c r="AE1245" s="191"/>
      <c r="AF1245" s="191"/>
      <c r="AG1245" s="191"/>
      <c r="AH1245" s="191"/>
      <c r="AI1245" s="127"/>
      <c r="AJ1245" s="191"/>
      <c r="AK1245" s="191"/>
      <c r="AL1245" s="190"/>
      <c r="AM1245" s="191"/>
    </row>
    <row r="1246" spans="5:39">
      <c r="E1246" s="21"/>
      <c r="Q1246" s="191"/>
      <c r="R1246" s="191"/>
      <c r="S1246" s="191"/>
      <c r="T1246" s="127"/>
      <c r="U1246" s="127"/>
      <c r="V1246" s="191"/>
      <c r="W1246" s="190"/>
      <c r="X1246" s="191"/>
      <c r="Y1246" s="191"/>
      <c r="Z1246" s="191"/>
      <c r="AA1246" s="191"/>
      <c r="AB1246" s="191"/>
      <c r="AC1246" s="191"/>
      <c r="AD1246" s="191"/>
      <c r="AE1246" s="191"/>
      <c r="AF1246" s="191"/>
      <c r="AG1246" s="191"/>
      <c r="AH1246" s="191"/>
      <c r="AI1246" s="127"/>
      <c r="AJ1246" s="191"/>
      <c r="AK1246" s="191"/>
      <c r="AL1246" s="190"/>
      <c r="AM1246" s="191"/>
    </row>
    <row r="1247" spans="5:39">
      <c r="E1247" s="21"/>
      <c r="Q1247" s="191"/>
      <c r="R1247" s="191"/>
      <c r="S1247" s="191"/>
      <c r="T1247" s="127"/>
      <c r="U1247" s="127"/>
      <c r="V1247" s="191"/>
      <c r="W1247" s="190"/>
      <c r="X1247" s="191"/>
      <c r="Y1247" s="191"/>
      <c r="Z1247" s="191"/>
      <c r="AA1247" s="191"/>
      <c r="AB1247" s="191"/>
      <c r="AC1247" s="191"/>
      <c r="AD1247" s="191"/>
      <c r="AE1247" s="191"/>
      <c r="AF1247" s="191"/>
      <c r="AG1247" s="191"/>
      <c r="AH1247" s="191"/>
      <c r="AI1247" s="127"/>
      <c r="AJ1247" s="191"/>
      <c r="AK1247" s="191"/>
      <c r="AL1247" s="190"/>
      <c r="AM1247" s="191"/>
    </row>
    <row r="1248" spans="5:39">
      <c r="E1248" s="21"/>
      <c r="Q1248" s="191"/>
      <c r="R1248" s="191"/>
      <c r="S1248" s="191"/>
      <c r="T1248" s="127"/>
      <c r="U1248" s="127"/>
      <c r="V1248" s="191"/>
      <c r="W1248" s="190"/>
      <c r="X1248" s="191"/>
      <c r="Y1248" s="191"/>
      <c r="Z1248" s="191"/>
      <c r="AA1248" s="191"/>
      <c r="AB1248" s="191"/>
      <c r="AC1248" s="191"/>
      <c r="AD1248" s="191"/>
      <c r="AE1248" s="191"/>
      <c r="AF1248" s="191"/>
      <c r="AG1248" s="191"/>
      <c r="AH1248" s="191"/>
      <c r="AI1248" s="127"/>
      <c r="AJ1248" s="191"/>
      <c r="AK1248" s="191"/>
      <c r="AL1248" s="190"/>
      <c r="AM1248" s="191"/>
    </row>
    <row r="1249" spans="5:39">
      <c r="E1249" s="21"/>
      <c r="Q1249" s="191"/>
      <c r="R1249" s="191"/>
      <c r="S1249" s="191"/>
      <c r="T1249" s="127"/>
      <c r="U1249" s="127"/>
      <c r="V1249" s="191"/>
      <c r="W1249" s="190"/>
      <c r="X1249" s="191"/>
      <c r="Y1249" s="191"/>
      <c r="Z1249" s="191"/>
      <c r="AA1249" s="191"/>
      <c r="AB1249" s="191"/>
      <c r="AC1249" s="191"/>
      <c r="AD1249" s="191"/>
      <c r="AE1249" s="191"/>
      <c r="AF1249" s="191"/>
      <c r="AG1249" s="191"/>
      <c r="AH1249" s="191"/>
      <c r="AI1249" s="127"/>
      <c r="AJ1249" s="191"/>
      <c r="AK1249" s="191"/>
      <c r="AL1249" s="190"/>
      <c r="AM1249" s="191"/>
    </row>
    <row r="1250" spans="5:39">
      <c r="E1250" s="21"/>
      <c r="Q1250" s="191"/>
      <c r="R1250" s="191"/>
      <c r="S1250" s="191"/>
      <c r="T1250" s="127"/>
      <c r="U1250" s="127"/>
      <c r="V1250" s="191"/>
      <c r="W1250" s="190"/>
      <c r="X1250" s="191"/>
      <c r="Y1250" s="191"/>
      <c r="Z1250" s="191"/>
      <c r="AA1250" s="191"/>
      <c r="AB1250" s="191"/>
      <c r="AC1250" s="191"/>
      <c r="AD1250" s="191"/>
      <c r="AE1250" s="191"/>
      <c r="AF1250" s="191"/>
      <c r="AG1250" s="191"/>
      <c r="AH1250" s="191"/>
      <c r="AI1250" s="127"/>
      <c r="AJ1250" s="191"/>
      <c r="AK1250" s="191"/>
      <c r="AL1250" s="190"/>
      <c r="AM1250" s="191"/>
    </row>
    <row r="1251" spans="5:39">
      <c r="E1251" s="21"/>
      <c r="Q1251" s="191"/>
      <c r="R1251" s="191"/>
      <c r="S1251" s="191"/>
      <c r="T1251" s="127"/>
      <c r="U1251" s="127"/>
      <c r="V1251" s="191"/>
      <c r="W1251" s="190"/>
      <c r="X1251" s="191"/>
      <c r="Y1251" s="191"/>
      <c r="Z1251" s="191"/>
      <c r="AA1251" s="191"/>
      <c r="AB1251" s="191"/>
      <c r="AC1251" s="191"/>
      <c r="AD1251" s="191"/>
      <c r="AE1251" s="191"/>
      <c r="AF1251" s="191"/>
      <c r="AG1251" s="191"/>
      <c r="AH1251" s="191"/>
      <c r="AI1251" s="127"/>
      <c r="AJ1251" s="191"/>
      <c r="AK1251" s="191"/>
      <c r="AL1251" s="190"/>
      <c r="AM1251" s="191"/>
    </row>
    <row r="1252" spans="5:39">
      <c r="E1252" s="21"/>
      <c r="Q1252" s="191"/>
      <c r="R1252" s="191"/>
      <c r="S1252" s="191"/>
      <c r="T1252" s="127"/>
      <c r="U1252" s="127"/>
      <c r="V1252" s="191"/>
      <c r="W1252" s="190"/>
      <c r="X1252" s="191"/>
      <c r="Y1252" s="191"/>
      <c r="Z1252" s="191"/>
      <c r="AA1252" s="191"/>
      <c r="AB1252" s="191"/>
      <c r="AC1252" s="191"/>
      <c r="AD1252" s="191"/>
      <c r="AE1252" s="191"/>
      <c r="AF1252" s="191"/>
      <c r="AG1252" s="191"/>
      <c r="AH1252" s="191"/>
      <c r="AI1252" s="127"/>
      <c r="AJ1252" s="191"/>
      <c r="AK1252" s="191"/>
      <c r="AL1252" s="190"/>
      <c r="AM1252" s="191"/>
    </row>
    <row r="1253" spans="5:39">
      <c r="E1253" s="21"/>
      <c r="Q1253" s="191"/>
      <c r="R1253" s="191"/>
      <c r="S1253" s="191"/>
      <c r="T1253" s="127"/>
      <c r="U1253" s="127"/>
      <c r="V1253" s="191"/>
      <c r="W1253" s="190"/>
      <c r="X1253" s="191"/>
      <c r="Y1253" s="191"/>
      <c r="Z1253" s="191"/>
      <c r="AA1253" s="191"/>
      <c r="AB1253" s="191"/>
      <c r="AC1253" s="191"/>
      <c r="AD1253" s="191"/>
      <c r="AE1253" s="191"/>
      <c r="AF1253" s="191"/>
      <c r="AG1253" s="191"/>
      <c r="AH1253" s="191"/>
      <c r="AI1253" s="127"/>
      <c r="AJ1253" s="191"/>
      <c r="AK1253" s="191"/>
      <c r="AL1253" s="190"/>
      <c r="AM1253" s="191"/>
    </row>
    <row r="1254" spans="5:39">
      <c r="E1254" s="21"/>
      <c r="Q1254" s="191"/>
      <c r="R1254" s="191"/>
      <c r="S1254" s="191"/>
      <c r="T1254" s="127"/>
      <c r="U1254" s="127"/>
      <c r="V1254" s="191"/>
      <c r="W1254" s="190"/>
      <c r="X1254" s="191"/>
      <c r="Y1254" s="191"/>
      <c r="Z1254" s="191"/>
      <c r="AA1254" s="191"/>
      <c r="AB1254" s="191"/>
      <c r="AC1254" s="191"/>
      <c r="AD1254" s="191"/>
      <c r="AE1254" s="191"/>
      <c r="AF1254" s="191"/>
      <c r="AG1254" s="191"/>
      <c r="AH1254" s="191"/>
      <c r="AI1254" s="127"/>
      <c r="AJ1254" s="191"/>
      <c r="AK1254" s="191"/>
      <c r="AL1254" s="190"/>
      <c r="AM1254" s="191"/>
    </row>
    <row r="1255" spans="5:39">
      <c r="E1255" s="21"/>
      <c r="Q1255" s="191"/>
      <c r="R1255" s="191"/>
      <c r="S1255" s="191"/>
      <c r="T1255" s="127"/>
      <c r="U1255" s="127"/>
      <c r="V1255" s="191"/>
      <c r="W1255" s="190"/>
      <c r="X1255" s="191"/>
      <c r="Y1255" s="191"/>
      <c r="Z1255" s="191"/>
      <c r="AA1255" s="191"/>
      <c r="AB1255" s="191"/>
      <c r="AC1255" s="191"/>
      <c r="AD1255" s="191"/>
      <c r="AE1255" s="191"/>
      <c r="AF1255" s="191"/>
      <c r="AG1255" s="191"/>
      <c r="AH1255" s="191"/>
      <c r="AI1255" s="127"/>
      <c r="AJ1255" s="191"/>
      <c r="AK1255" s="191"/>
      <c r="AL1255" s="190"/>
      <c r="AM1255" s="191"/>
    </row>
    <row r="1256" spans="5:39">
      <c r="E1256" s="21"/>
      <c r="Q1256" s="191"/>
      <c r="R1256" s="191"/>
      <c r="S1256" s="191"/>
      <c r="T1256" s="127"/>
      <c r="U1256" s="127"/>
      <c r="V1256" s="191"/>
      <c r="W1256" s="190"/>
      <c r="X1256" s="191"/>
      <c r="Y1256" s="191"/>
      <c r="Z1256" s="191"/>
      <c r="AA1256" s="191"/>
      <c r="AB1256" s="191"/>
      <c r="AC1256" s="191"/>
      <c r="AD1256" s="191"/>
      <c r="AE1256" s="191"/>
      <c r="AF1256" s="191"/>
      <c r="AG1256" s="191"/>
      <c r="AH1256" s="191"/>
      <c r="AI1256" s="127"/>
      <c r="AJ1256" s="191"/>
      <c r="AK1256" s="191"/>
      <c r="AL1256" s="190"/>
      <c r="AM1256" s="191"/>
    </row>
    <row r="1257" spans="5:39">
      <c r="E1257" s="21"/>
      <c r="Q1257" s="191"/>
      <c r="R1257" s="191"/>
      <c r="S1257" s="191"/>
      <c r="T1257" s="127"/>
      <c r="U1257" s="127"/>
      <c r="V1257" s="191"/>
      <c r="W1257" s="190"/>
      <c r="X1257" s="191"/>
      <c r="Y1257" s="191"/>
      <c r="Z1257" s="191"/>
      <c r="AA1257" s="191"/>
      <c r="AB1257" s="191"/>
      <c r="AC1257" s="191"/>
      <c r="AD1257" s="191"/>
      <c r="AE1257" s="191"/>
      <c r="AF1257" s="191"/>
      <c r="AG1257" s="191"/>
      <c r="AH1257" s="191"/>
      <c r="AI1257" s="127"/>
      <c r="AJ1257" s="191"/>
      <c r="AK1257" s="191"/>
      <c r="AL1257" s="190"/>
      <c r="AM1257" s="191"/>
    </row>
    <row r="1258" spans="5:39">
      <c r="E1258" s="21"/>
      <c r="Q1258" s="191"/>
      <c r="R1258" s="191"/>
      <c r="S1258" s="191"/>
      <c r="T1258" s="127"/>
      <c r="U1258" s="127"/>
      <c r="V1258" s="191"/>
      <c r="W1258" s="190"/>
      <c r="X1258" s="191"/>
      <c r="Y1258" s="191"/>
      <c r="Z1258" s="191"/>
      <c r="AA1258" s="191"/>
      <c r="AB1258" s="191"/>
      <c r="AC1258" s="191"/>
      <c r="AD1258" s="191"/>
      <c r="AE1258" s="191"/>
      <c r="AF1258" s="191"/>
      <c r="AG1258" s="191"/>
      <c r="AH1258" s="191"/>
      <c r="AI1258" s="127"/>
      <c r="AJ1258" s="191"/>
      <c r="AK1258" s="191"/>
      <c r="AL1258" s="190"/>
      <c r="AM1258" s="191"/>
    </row>
    <row r="1259" spans="5:39">
      <c r="E1259" s="21"/>
      <c r="Q1259" s="191"/>
      <c r="R1259" s="191"/>
      <c r="S1259" s="191"/>
      <c r="T1259" s="127"/>
      <c r="U1259" s="127"/>
      <c r="V1259" s="191"/>
      <c r="W1259" s="190"/>
      <c r="X1259" s="191"/>
      <c r="Y1259" s="191"/>
      <c r="Z1259" s="191"/>
      <c r="AA1259" s="191"/>
      <c r="AB1259" s="191"/>
      <c r="AC1259" s="191"/>
      <c r="AD1259" s="191"/>
      <c r="AE1259" s="191"/>
      <c r="AF1259" s="191"/>
      <c r="AG1259" s="191"/>
      <c r="AH1259" s="191"/>
      <c r="AI1259" s="127"/>
      <c r="AJ1259" s="191"/>
      <c r="AK1259" s="191"/>
      <c r="AL1259" s="190"/>
      <c r="AM1259" s="191"/>
    </row>
    <row r="1260" spans="5:39">
      <c r="E1260" s="21"/>
      <c r="Q1260" s="191"/>
      <c r="R1260" s="191"/>
      <c r="S1260" s="191"/>
      <c r="T1260" s="127"/>
      <c r="U1260" s="127"/>
      <c r="V1260" s="191"/>
      <c r="W1260" s="190"/>
      <c r="X1260" s="191"/>
      <c r="Y1260" s="191"/>
      <c r="Z1260" s="191"/>
      <c r="AA1260" s="191"/>
      <c r="AB1260" s="191"/>
      <c r="AC1260" s="191"/>
      <c r="AD1260" s="191"/>
      <c r="AE1260" s="191"/>
      <c r="AF1260" s="191"/>
      <c r="AG1260" s="191"/>
      <c r="AH1260" s="191"/>
      <c r="AI1260" s="127"/>
      <c r="AJ1260" s="191"/>
      <c r="AK1260" s="191"/>
      <c r="AL1260" s="190"/>
      <c r="AM1260" s="191"/>
    </row>
    <row r="1261" spans="5:39">
      <c r="E1261" s="21"/>
      <c r="Q1261" s="191"/>
      <c r="R1261" s="191"/>
      <c r="S1261" s="191"/>
      <c r="T1261" s="127"/>
      <c r="U1261" s="127"/>
      <c r="V1261" s="191"/>
      <c r="W1261" s="190"/>
      <c r="X1261" s="191"/>
      <c r="Y1261" s="191"/>
      <c r="Z1261" s="191"/>
      <c r="AA1261" s="191"/>
      <c r="AB1261" s="191"/>
      <c r="AC1261" s="191"/>
      <c r="AD1261" s="191"/>
      <c r="AE1261" s="191"/>
      <c r="AF1261" s="191"/>
      <c r="AG1261" s="191"/>
      <c r="AH1261" s="191"/>
      <c r="AI1261" s="127"/>
      <c r="AJ1261" s="191"/>
      <c r="AK1261" s="191"/>
      <c r="AL1261" s="190"/>
      <c r="AM1261" s="191"/>
    </row>
    <row r="1262" spans="5:39">
      <c r="E1262" s="21"/>
      <c r="Q1262" s="191"/>
      <c r="R1262" s="191"/>
      <c r="S1262" s="191"/>
      <c r="T1262" s="127"/>
      <c r="U1262" s="127"/>
      <c r="V1262" s="191"/>
      <c r="W1262" s="190"/>
      <c r="X1262" s="191"/>
      <c r="Y1262" s="191"/>
      <c r="Z1262" s="191"/>
      <c r="AA1262" s="191"/>
      <c r="AB1262" s="191"/>
      <c r="AC1262" s="191"/>
      <c r="AD1262" s="191"/>
      <c r="AE1262" s="191"/>
      <c r="AF1262" s="191"/>
      <c r="AG1262" s="191"/>
      <c r="AH1262" s="191"/>
      <c r="AI1262" s="127"/>
      <c r="AJ1262" s="191"/>
      <c r="AK1262" s="191"/>
      <c r="AL1262" s="190"/>
      <c r="AM1262" s="191"/>
    </row>
    <row r="1263" spans="5:39">
      <c r="E1263" s="21"/>
      <c r="Q1263" s="191"/>
      <c r="R1263" s="191"/>
      <c r="S1263" s="191"/>
      <c r="T1263" s="127"/>
      <c r="U1263" s="127"/>
      <c r="V1263" s="191"/>
      <c r="W1263" s="190"/>
      <c r="X1263" s="191"/>
      <c r="Y1263" s="191"/>
      <c r="Z1263" s="191"/>
      <c r="AA1263" s="191"/>
      <c r="AB1263" s="191"/>
      <c r="AC1263" s="191"/>
      <c r="AD1263" s="191"/>
      <c r="AE1263" s="191"/>
      <c r="AF1263" s="191"/>
      <c r="AG1263" s="191"/>
      <c r="AH1263" s="191"/>
      <c r="AI1263" s="127"/>
      <c r="AJ1263" s="191"/>
      <c r="AK1263" s="191"/>
      <c r="AL1263" s="190"/>
      <c r="AM1263" s="191"/>
    </row>
    <row r="1264" spans="5:39">
      <c r="E1264" s="21"/>
      <c r="Q1264" s="191"/>
      <c r="R1264" s="191"/>
      <c r="S1264" s="191"/>
      <c r="T1264" s="127"/>
      <c r="U1264" s="127"/>
      <c r="V1264" s="191"/>
      <c r="W1264" s="190"/>
      <c r="X1264" s="191"/>
      <c r="Y1264" s="191"/>
      <c r="Z1264" s="191"/>
      <c r="AA1264" s="191"/>
      <c r="AB1264" s="191"/>
      <c r="AC1264" s="191"/>
      <c r="AD1264" s="191"/>
      <c r="AE1264" s="191"/>
      <c r="AF1264" s="191"/>
      <c r="AG1264" s="191"/>
      <c r="AH1264" s="191"/>
      <c r="AI1264" s="127"/>
      <c r="AJ1264" s="191"/>
      <c r="AK1264" s="191"/>
      <c r="AL1264" s="190"/>
      <c r="AM1264" s="191"/>
    </row>
    <row r="1265" spans="5:39">
      <c r="E1265" s="21"/>
      <c r="Q1265" s="191"/>
      <c r="R1265" s="191"/>
      <c r="S1265" s="191"/>
      <c r="T1265" s="127"/>
      <c r="U1265" s="127"/>
      <c r="V1265" s="191"/>
      <c r="W1265" s="190"/>
      <c r="X1265" s="191"/>
      <c r="Y1265" s="191"/>
      <c r="Z1265" s="191"/>
      <c r="AA1265" s="191"/>
      <c r="AB1265" s="191"/>
      <c r="AC1265" s="191"/>
      <c r="AD1265" s="191"/>
      <c r="AE1265" s="191"/>
      <c r="AF1265" s="191"/>
      <c r="AG1265" s="191"/>
      <c r="AH1265" s="191"/>
      <c r="AI1265" s="127"/>
      <c r="AJ1265" s="191"/>
      <c r="AK1265" s="191"/>
      <c r="AL1265" s="190"/>
      <c r="AM1265" s="191"/>
    </row>
    <row r="1266" spans="5:39">
      <c r="E1266" s="21"/>
      <c r="Q1266" s="191"/>
      <c r="R1266" s="191"/>
      <c r="S1266" s="191"/>
      <c r="T1266" s="127"/>
      <c r="U1266" s="127"/>
      <c r="V1266" s="191"/>
      <c r="W1266" s="190"/>
      <c r="X1266" s="191"/>
      <c r="Y1266" s="191"/>
      <c r="Z1266" s="191"/>
      <c r="AA1266" s="191"/>
      <c r="AB1266" s="191"/>
      <c r="AC1266" s="191"/>
      <c r="AD1266" s="191"/>
      <c r="AE1266" s="191"/>
      <c r="AF1266" s="191"/>
      <c r="AG1266" s="191"/>
      <c r="AH1266" s="191"/>
      <c r="AI1266" s="127"/>
      <c r="AJ1266" s="191"/>
      <c r="AK1266" s="191"/>
      <c r="AL1266" s="190"/>
      <c r="AM1266" s="191"/>
    </row>
    <row r="1267" spans="5:39">
      <c r="E1267" s="21"/>
      <c r="Q1267" s="191"/>
      <c r="R1267" s="191"/>
      <c r="S1267" s="191"/>
      <c r="T1267" s="127"/>
      <c r="U1267" s="127"/>
      <c r="V1267" s="191"/>
      <c r="W1267" s="190"/>
      <c r="X1267" s="191"/>
      <c r="Y1267" s="191"/>
      <c r="Z1267" s="191"/>
      <c r="AA1267" s="191"/>
      <c r="AB1267" s="191"/>
      <c r="AC1267" s="191"/>
      <c r="AD1267" s="191"/>
      <c r="AE1267" s="191"/>
      <c r="AF1267" s="191"/>
      <c r="AG1267" s="191"/>
      <c r="AH1267" s="191"/>
      <c r="AI1267" s="127"/>
      <c r="AJ1267" s="191"/>
      <c r="AK1267" s="191"/>
      <c r="AL1267" s="190"/>
      <c r="AM1267" s="191"/>
    </row>
    <row r="1268" spans="5:39">
      <c r="E1268" s="21"/>
      <c r="Q1268" s="191"/>
      <c r="R1268" s="191"/>
      <c r="S1268" s="191"/>
      <c r="T1268" s="127"/>
      <c r="U1268" s="127"/>
      <c r="V1268" s="191"/>
      <c r="W1268" s="190"/>
      <c r="X1268" s="191"/>
      <c r="Y1268" s="191"/>
      <c r="Z1268" s="191"/>
      <c r="AA1268" s="191"/>
      <c r="AB1268" s="191"/>
      <c r="AC1268" s="191"/>
      <c r="AD1268" s="191"/>
      <c r="AE1268" s="191"/>
      <c r="AF1268" s="191"/>
      <c r="AG1268" s="191"/>
      <c r="AH1268" s="191"/>
      <c r="AI1268" s="127"/>
      <c r="AJ1268" s="191"/>
      <c r="AK1268" s="191"/>
      <c r="AL1268" s="190"/>
      <c r="AM1268" s="191"/>
    </row>
    <row r="1269" spans="5:39">
      <c r="E1269" s="21"/>
      <c r="Q1269" s="191"/>
      <c r="R1269" s="191"/>
      <c r="S1269" s="191"/>
      <c r="T1269" s="127"/>
      <c r="U1269" s="127"/>
      <c r="V1269" s="191"/>
      <c r="W1269" s="190"/>
      <c r="X1269" s="191"/>
      <c r="Y1269" s="191"/>
      <c r="Z1269" s="191"/>
      <c r="AA1269" s="191"/>
      <c r="AB1269" s="191"/>
      <c r="AC1269" s="191"/>
      <c r="AD1269" s="191"/>
      <c r="AE1269" s="191"/>
      <c r="AF1269" s="191"/>
      <c r="AG1269" s="191"/>
      <c r="AH1269" s="191"/>
      <c r="AI1269" s="127"/>
      <c r="AJ1269" s="191"/>
      <c r="AK1269" s="191"/>
      <c r="AL1269" s="190"/>
      <c r="AM1269" s="191"/>
    </row>
    <row r="1270" spans="5:39">
      <c r="E1270" s="21"/>
      <c r="Q1270" s="191"/>
      <c r="R1270" s="191"/>
      <c r="S1270" s="191"/>
      <c r="T1270" s="127"/>
      <c r="U1270" s="127"/>
      <c r="V1270" s="191"/>
      <c r="W1270" s="190"/>
      <c r="X1270" s="191"/>
      <c r="Y1270" s="191"/>
      <c r="Z1270" s="191"/>
      <c r="AA1270" s="191"/>
      <c r="AB1270" s="191"/>
      <c r="AC1270" s="191"/>
      <c r="AD1270" s="191"/>
      <c r="AE1270" s="191"/>
      <c r="AF1270" s="191"/>
      <c r="AG1270" s="191"/>
      <c r="AH1270" s="191"/>
      <c r="AI1270" s="127"/>
      <c r="AJ1270" s="191"/>
      <c r="AK1270" s="191"/>
      <c r="AL1270" s="190"/>
      <c r="AM1270" s="191"/>
    </row>
    <row r="1271" spans="5:39">
      <c r="E1271" s="21"/>
      <c r="Q1271" s="191"/>
      <c r="R1271" s="191"/>
      <c r="S1271" s="191"/>
      <c r="T1271" s="127"/>
      <c r="U1271" s="127"/>
      <c r="V1271" s="191"/>
      <c r="W1271" s="190"/>
      <c r="X1271" s="191"/>
      <c r="Y1271" s="191"/>
      <c r="Z1271" s="191"/>
      <c r="AA1271" s="191"/>
      <c r="AB1271" s="191"/>
      <c r="AC1271" s="191"/>
      <c r="AD1271" s="191"/>
      <c r="AE1271" s="191"/>
      <c r="AF1271" s="191"/>
      <c r="AG1271" s="191"/>
      <c r="AH1271" s="191"/>
      <c r="AI1271" s="127"/>
      <c r="AJ1271" s="191"/>
      <c r="AK1271" s="191"/>
      <c r="AL1271" s="190"/>
      <c r="AM1271" s="191"/>
    </row>
    <row r="1272" spans="5:39">
      <c r="E1272" s="21"/>
      <c r="Q1272" s="191"/>
      <c r="R1272" s="191"/>
      <c r="S1272" s="191"/>
      <c r="T1272" s="127"/>
      <c r="U1272" s="127"/>
      <c r="V1272" s="191"/>
      <c r="W1272" s="190"/>
      <c r="X1272" s="191"/>
      <c r="Y1272" s="191"/>
      <c r="Z1272" s="191"/>
      <c r="AA1272" s="191"/>
      <c r="AB1272" s="191"/>
      <c r="AC1272" s="191"/>
      <c r="AD1272" s="191"/>
      <c r="AE1272" s="191"/>
      <c r="AF1272" s="191"/>
      <c r="AG1272" s="191"/>
      <c r="AH1272" s="191"/>
      <c r="AI1272" s="127"/>
      <c r="AJ1272" s="191"/>
      <c r="AK1272" s="191"/>
      <c r="AL1272" s="190"/>
      <c r="AM1272" s="191"/>
    </row>
    <row r="1273" spans="5:39">
      <c r="E1273" s="21"/>
      <c r="Q1273" s="191"/>
      <c r="R1273" s="191"/>
      <c r="S1273" s="191"/>
      <c r="T1273" s="127"/>
      <c r="U1273" s="127"/>
      <c r="V1273" s="191"/>
      <c r="W1273" s="190"/>
      <c r="X1273" s="191"/>
      <c r="Y1273" s="191"/>
      <c r="Z1273" s="191"/>
      <c r="AA1273" s="191"/>
      <c r="AB1273" s="191"/>
      <c r="AC1273" s="191"/>
      <c r="AD1273" s="191"/>
      <c r="AE1273" s="191"/>
      <c r="AF1273" s="191"/>
      <c r="AG1273" s="191"/>
      <c r="AH1273" s="191"/>
      <c r="AI1273" s="127"/>
      <c r="AJ1273" s="191"/>
      <c r="AK1273" s="191"/>
      <c r="AL1273" s="190"/>
      <c r="AM1273" s="191"/>
    </row>
    <row r="1274" spans="5:39">
      <c r="E1274" s="21"/>
      <c r="Q1274" s="191"/>
      <c r="R1274" s="191"/>
      <c r="S1274" s="191"/>
      <c r="T1274" s="127"/>
      <c r="U1274" s="127"/>
      <c r="V1274" s="191"/>
      <c r="W1274" s="190"/>
      <c r="X1274" s="191"/>
      <c r="Y1274" s="191"/>
      <c r="Z1274" s="191"/>
      <c r="AA1274" s="191"/>
      <c r="AB1274" s="191"/>
      <c r="AC1274" s="191"/>
      <c r="AD1274" s="191"/>
      <c r="AE1274" s="191"/>
      <c r="AF1274" s="191"/>
      <c r="AG1274" s="191"/>
      <c r="AH1274" s="191"/>
      <c r="AI1274" s="127"/>
      <c r="AJ1274" s="191"/>
      <c r="AK1274" s="191"/>
      <c r="AL1274" s="190"/>
      <c r="AM1274" s="191"/>
    </row>
    <row r="1275" spans="5:39">
      <c r="E1275" s="21"/>
      <c r="Q1275" s="191"/>
      <c r="R1275" s="191"/>
      <c r="S1275" s="191"/>
      <c r="T1275" s="127"/>
      <c r="U1275" s="127"/>
      <c r="V1275" s="191"/>
      <c r="W1275" s="190"/>
      <c r="X1275" s="191"/>
      <c r="Y1275" s="191"/>
      <c r="Z1275" s="191"/>
      <c r="AA1275" s="191"/>
      <c r="AB1275" s="191"/>
      <c r="AC1275" s="191"/>
      <c r="AD1275" s="191"/>
      <c r="AE1275" s="191"/>
      <c r="AF1275" s="191"/>
      <c r="AG1275" s="191"/>
      <c r="AH1275" s="191"/>
      <c r="AI1275" s="127"/>
      <c r="AJ1275" s="191"/>
      <c r="AK1275" s="191"/>
      <c r="AL1275" s="190"/>
      <c r="AM1275" s="191"/>
    </row>
    <row r="1276" spans="5:39">
      <c r="E1276" s="21"/>
      <c r="Q1276" s="191"/>
      <c r="R1276" s="191"/>
      <c r="S1276" s="191"/>
      <c r="T1276" s="127"/>
      <c r="U1276" s="127"/>
      <c r="V1276" s="191"/>
      <c r="W1276" s="190"/>
      <c r="X1276" s="191"/>
      <c r="Y1276" s="191"/>
      <c r="Z1276" s="191"/>
      <c r="AA1276" s="191"/>
      <c r="AB1276" s="191"/>
      <c r="AC1276" s="191"/>
      <c r="AD1276" s="191"/>
      <c r="AE1276" s="191"/>
      <c r="AF1276" s="191"/>
      <c r="AG1276" s="191"/>
      <c r="AH1276" s="191"/>
      <c r="AI1276" s="127"/>
      <c r="AJ1276" s="191"/>
      <c r="AK1276" s="191"/>
      <c r="AL1276" s="190"/>
      <c r="AM1276" s="191"/>
    </row>
    <row r="1277" spans="5:39">
      <c r="E1277" s="21"/>
      <c r="Q1277" s="191"/>
      <c r="R1277" s="191"/>
      <c r="S1277" s="191"/>
      <c r="T1277" s="127"/>
      <c r="U1277" s="127"/>
      <c r="V1277" s="191"/>
      <c r="W1277" s="190"/>
      <c r="X1277" s="191"/>
      <c r="Y1277" s="191"/>
      <c r="Z1277" s="191"/>
      <c r="AA1277" s="191"/>
      <c r="AB1277" s="191"/>
      <c r="AC1277" s="191"/>
      <c r="AD1277" s="191"/>
      <c r="AE1277" s="191"/>
      <c r="AF1277" s="191"/>
      <c r="AG1277" s="191"/>
      <c r="AH1277" s="191"/>
      <c r="AI1277" s="127"/>
      <c r="AJ1277" s="191"/>
      <c r="AK1277" s="191"/>
      <c r="AL1277" s="190"/>
      <c r="AM1277" s="191"/>
    </row>
    <row r="1278" spans="5:39">
      <c r="E1278" s="21"/>
      <c r="Q1278" s="191"/>
      <c r="R1278" s="191"/>
      <c r="S1278" s="191"/>
      <c r="T1278" s="127"/>
      <c r="U1278" s="127"/>
      <c r="V1278" s="191"/>
      <c r="W1278" s="190"/>
      <c r="X1278" s="191"/>
      <c r="Y1278" s="191"/>
      <c r="Z1278" s="191"/>
      <c r="AA1278" s="191"/>
      <c r="AB1278" s="191"/>
      <c r="AC1278" s="191"/>
      <c r="AD1278" s="191"/>
      <c r="AE1278" s="191"/>
      <c r="AF1278" s="191"/>
      <c r="AG1278" s="191"/>
      <c r="AH1278" s="191"/>
      <c r="AI1278" s="127"/>
      <c r="AJ1278" s="191"/>
      <c r="AK1278" s="191"/>
      <c r="AL1278" s="190"/>
      <c r="AM1278" s="191"/>
    </row>
    <row r="1279" spans="5:39">
      <c r="E1279" s="21"/>
      <c r="Q1279" s="191"/>
      <c r="R1279" s="191"/>
      <c r="S1279" s="191"/>
      <c r="T1279" s="127"/>
      <c r="U1279" s="127"/>
      <c r="V1279" s="191"/>
      <c r="W1279" s="190"/>
      <c r="X1279" s="191"/>
      <c r="Y1279" s="191"/>
      <c r="Z1279" s="191"/>
      <c r="AA1279" s="191"/>
      <c r="AB1279" s="191"/>
      <c r="AC1279" s="191"/>
      <c r="AD1279" s="191"/>
      <c r="AE1279" s="191"/>
      <c r="AF1279" s="191"/>
      <c r="AG1279" s="191"/>
      <c r="AH1279" s="191"/>
      <c r="AI1279" s="127"/>
      <c r="AJ1279" s="191"/>
      <c r="AK1279" s="191"/>
      <c r="AL1279" s="190"/>
      <c r="AM1279" s="191"/>
    </row>
    <row r="1280" spans="5:39">
      <c r="E1280" s="21"/>
      <c r="Q1280" s="191"/>
      <c r="R1280" s="191"/>
      <c r="S1280" s="191"/>
      <c r="T1280" s="127"/>
      <c r="U1280" s="127"/>
      <c r="V1280" s="191"/>
      <c r="W1280" s="190"/>
      <c r="X1280" s="191"/>
      <c r="Y1280" s="191"/>
      <c r="Z1280" s="191"/>
      <c r="AA1280" s="191"/>
      <c r="AB1280" s="191"/>
      <c r="AC1280" s="191"/>
      <c r="AD1280" s="191"/>
      <c r="AE1280" s="191"/>
      <c r="AF1280" s="191"/>
      <c r="AG1280" s="191"/>
      <c r="AH1280" s="191"/>
      <c r="AI1280" s="127"/>
      <c r="AJ1280" s="191"/>
      <c r="AK1280" s="191"/>
      <c r="AL1280" s="190"/>
      <c r="AM1280" s="191"/>
    </row>
    <row r="1281" spans="5:39">
      <c r="E1281" s="21"/>
      <c r="Q1281" s="191"/>
      <c r="R1281" s="191"/>
      <c r="S1281" s="191"/>
      <c r="T1281" s="127"/>
      <c r="U1281" s="127"/>
      <c r="V1281" s="191"/>
      <c r="W1281" s="190"/>
      <c r="X1281" s="191"/>
      <c r="Y1281" s="191"/>
      <c r="Z1281" s="191"/>
      <c r="AA1281" s="191"/>
      <c r="AB1281" s="191"/>
      <c r="AC1281" s="191"/>
      <c r="AD1281" s="191"/>
      <c r="AE1281" s="191"/>
      <c r="AF1281" s="191"/>
      <c r="AG1281" s="191"/>
      <c r="AH1281" s="191"/>
      <c r="AI1281" s="127"/>
      <c r="AJ1281" s="191"/>
      <c r="AK1281" s="191"/>
      <c r="AL1281" s="190"/>
      <c r="AM1281" s="191"/>
    </row>
    <row r="1282" spans="5:39">
      <c r="E1282" s="21"/>
      <c r="Q1282" s="191"/>
      <c r="R1282" s="191"/>
      <c r="S1282" s="191"/>
      <c r="T1282" s="127"/>
      <c r="U1282" s="127"/>
      <c r="V1282" s="191"/>
      <c r="W1282" s="190"/>
      <c r="X1282" s="191"/>
      <c r="Y1282" s="191"/>
      <c r="Z1282" s="191"/>
      <c r="AA1282" s="191"/>
      <c r="AB1282" s="191"/>
      <c r="AC1282" s="191"/>
      <c r="AD1282" s="191"/>
      <c r="AE1282" s="191"/>
      <c r="AF1282" s="191"/>
      <c r="AG1282" s="191"/>
      <c r="AH1282" s="191"/>
      <c r="AI1282" s="127"/>
      <c r="AJ1282" s="191"/>
      <c r="AK1282" s="191"/>
      <c r="AL1282" s="190"/>
      <c r="AM1282" s="191"/>
    </row>
    <row r="1283" spans="5:39">
      <c r="E1283" s="21"/>
      <c r="Q1283" s="191"/>
      <c r="R1283" s="191"/>
      <c r="S1283" s="191"/>
      <c r="T1283" s="127"/>
      <c r="U1283" s="127"/>
      <c r="V1283" s="191"/>
      <c r="W1283" s="190"/>
      <c r="X1283" s="191"/>
      <c r="Y1283" s="191"/>
      <c r="Z1283" s="191"/>
      <c r="AA1283" s="191"/>
      <c r="AB1283" s="191"/>
      <c r="AC1283" s="191"/>
      <c r="AD1283" s="191"/>
      <c r="AE1283" s="191"/>
      <c r="AF1283" s="191"/>
      <c r="AG1283" s="191"/>
      <c r="AH1283" s="191"/>
      <c r="AI1283" s="127"/>
      <c r="AJ1283" s="191"/>
      <c r="AK1283" s="191"/>
      <c r="AL1283" s="190"/>
      <c r="AM1283" s="191"/>
    </row>
    <row r="1284" spans="5:39">
      <c r="E1284" s="21"/>
      <c r="Q1284" s="191"/>
      <c r="R1284" s="191"/>
      <c r="S1284" s="191"/>
      <c r="T1284" s="127"/>
      <c r="U1284" s="127"/>
      <c r="V1284" s="191"/>
      <c r="W1284" s="190"/>
      <c r="X1284" s="191"/>
      <c r="Y1284" s="191"/>
      <c r="Z1284" s="191"/>
      <c r="AA1284" s="191"/>
      <c r="AB1284" s="191"/>
      <c r="AC1284" s="191"/>
      <c r="AD1284" s="191"/>
      <c r="AE1284" s="191"/>
      <c r="AF1284" s="191"/>
      <c r="AG1284" s="191"/>
      <c r="AH1284" s="191"/>
      <c r="AI1284" s="127"/>
      <c r="AJ1284" s="191"/>
      <c r="AK1284" s="191"/>
      <c r="AL1284" s="190"/>
      <c r="AM1284" s="191"/>
    </row>
    <row r="1285" spans="5:39">
      <c r="E1285" s="21"/>
      <c r="Q1285" s="191"/>
      <c r="R1285" s="191"/>
      <c r="S1285" s="191"/>
      <c r="T1285" s="127"/>
      <c r="U1285" s="127"/>
      <c r="V1285" s="191"/>
      <c r="W1285" s="190"/>
      <c r="X1285" s="191"/>
      <c r="Y1285" s="191"/>
      <c r="Z1285" s="191"/>
      <c r="AA1285" s="191"/>
      <c r="AB1285" s="191"/>
      <c r="AC1285" s="191"/>
      <c r="AD1285" s="191"/>
      <c r="AE1285" s="191"/>
      <c r="AF1285" s="191"/>
      <c r="AG1285" s="191"/>
      <c r="AH1285" s="191"/>
      <c r="AI1285" s="127"/>
      <c r="AJ1285" s="191"/>
      <c r="AK1285" s="191"/>
      <c r="AL1285" s="190"/>
      <c r="AM1285" s="191"/>
    </row>
    <row r="1286" spans="5:39">
      <c r="E1286" s="21"/>
      <c r="Q1286" s="191"/>
      <c r="R1286" s="191"/>
      <c r="S1286" s="191"/>
      <c r="T1286" s="127"/>
      <c r="U1286" s="127"/>
      <c r="V1286" s="191"/>
      <c r="W1286" s="190"/>
      <c r="X1286" s="191"/>
      <c r="Y1286" s="191"/>
      <c r="Z1286" s="191"/>
      <c r="AA1286" s="191"/>
      <c r="AB1286" s="191"/>
      <c r="AC1286" s="191"/>
      <c r="AD1286" s="191"/>
      <c r="AE1286" s="191"/>
      <c r="AF1286" s="191"/>
      <c r="AG1286" s="191"/>
      <c r="AH1286" s="191"/>
      <c r="AI1286" s="127"/>
      <c r="AJ1286" s="191"/>
      <c r="AK1286" s="191"/>
      <c r="AL1286" s="190"/>
      <c r="AM1286" s="191"/>
    </row>
    <row r="1287" spans="5:39">
      <c r="E1287" s="21"/>
      <c r="Q1287" s="191"/>
      <c r="R1287" s="191"/>
      <c r="S1287" s="191"/>
      <c r="T1287" s="127"/>
      <c r="U1287" s="127"/>
      <c r="V1287" s="191"/>
      <c r="W1287" s="190"/>
      <c r="X1287" s="191"/>
      <c r="Y1287" s="191"/>
      <c r="Z1287" s="191"/>
      <c r="AA1287" s="191"/>
      <c r="AB1287" s="191"/>
      <c r="AC1287" s="191"/>
      <c r="AD1287" s="191"/>
      <c r="AE1287" s="191"/>
      <c r="AF1287" s="191"/>
      <c r="AG1287" s="191"/>
      <c r="AH1287" s="191"/>
      <c r="AI1287" s="127"/>
      <c r="AJ1287" s="191"/>
      <c r="AK1287" s="191"/>
      <c r="AL1287" s="190"/>
      <c r="AM1287" s="191"/>
    </row>
    <row r="1288" spans="5:39">
      <c r="E1288" s="21"/>
      <c r="Q1288" s="191"/>
      <c r="R1288" s="191"/>
      <c r="S1288" s="191"/>
      <c r="T1288" s="127"/>
      <c r="U1288" s="127"/>
      <c r="V1288" s="191"/>
      <c r="W1288" s="190"/>
      <c r="X1288" s="191"/>
      <c r="Y1288" s="191"/>
      <c r="Z1288" s="191"/>
      <c r="AA1288" s="191"/>
      <c r="AB1288" s="191"/>
      <c r="AC1288" s="191"/>
      <c r="AD1288" s="191"/>
      <c r="AE1288" s="191"/>
      <c r="AF1288" s="191"/>
      <c r="AG1288" s="191"/>
      <c r="AH1288" s="191"/>
      <c r="AI1288" s="127"/>
      <c r="AJ1288" s="191"/>
      <c r="AK1288" s="191"/>
      <c r="AL1288" s="190"/>
      <c r="AM1288" s="191"/>
    </row>
    <row r="1289" spans="5:39">
      <c r="E1289" s="21"/>
      <c r="Q1289" s="191"/>
      <c r="R1289" s="191"/>
      <c r="S1289" s="191"/>
      <c r="T1289" s="127"/>
      <c r="U1289" s="127"/>
      <c r="V1289" s="191"/>
      <c r="W1289" s="190"/>
      <c r="X1289" s="191"/>
      <c r="Y1289" s="191"/>
      <c r="Z1289" s="191"/>
      <c r="AA1289" s="191"/>
      <c r="AB1289" s="191"/>
      <c r="AC1289" s="191"/>
      <c r="AD1289" s="191"/>
      <c r="AE1289" s="191"/>
      <c r="AF1289" s="191"/>
      <c r="AG1289" s="191"/>
      <c r="AH1289" s="191"/>
      <c r="AI1289" s="127"/>
      <c r="AJ1289" s="191"/>
      <c r="AK1289" s="191"/>
      <c r="AL1289" s="190"/>
      <c r="AM1289" s="191"/>
    </row>
    <row r="1290" spans="5:39">
      <c r="E1290" s="21"/>
      <c r="Q1290" s="191"/>
      <c r="R1290" s="191"/>
      <c r="S1290" s="191"/>
      <c r="T1290" s="127"/>
      <c r="U1290" s="127"/>
      <c r="V1290" s="191"/>
      <c r="W1290" s="190"/>
      <c r="X1290" s="191"/>
      <c r="Y1290" s="191"/>
      <c r="Z1290" s="191"/>
      <c r="AA1290" s="191"/>
      <c r="AB1290" s="191"/>
      <c r="AC1290" s="191"/>
      <c r="AD1290" s="191"/>
      <c r="AE1290" s="191"/>
      <c r="AF1290" s="191"/>
      <c r="AG1290" s="191"/>
      <c r="AH1290" s="191"/>
      <c r="AI1290" s="127"/>
      <c r="AJ1290" s="191"/>
      <c r="AK1290" s="191"/>
      <c r="AL1290" s="190"/>
      <c r="AM1290" s="191"/>
    </row>
    <row r="1291" spans="5:39">
      <c r="E1291" s="21"/>
      <c r="Q1291" s="191"/>
      <c r="R1291" s="191"/>
      <c r="S1291" s="191"/>
      <c r="T1291" s="127"/>
      <c r="U1291" s="127"/>
      <c r="V1291" s="191"/>
      <c r="W1291" s="190"/>
      <c r="X1291" s="191"/>
      <c r="Y1291" s="191"/>
      <c r="Z1291" s="191"/>
      <c r="AA1291" s="191"/>
      <c r="AB1291" s="191"/>
      <c r="AC1291" s="191"/>
      <c r="AD1291" s="191"/>
      <c r="AE1291" s="191"/>
      <c r="AF1291" s="191"/>
      <c r="AG1291" s="191"/>
      <c r="AH1291" s="191"/>
      <c r="AI1291" s="127"/>
      <c r="AJ1291" s="191"/>
      <c r="AK1291" s="191"/>
      <c r="AL1291" s="190"/>
      <c r="AM1291" s="191"/>
    </row>
    <row r="1292" spans="5:39">
      <c r="E1292" s="21"/>
      <c r="Q1292" s="191"/>
      <c r="R1292" s="191"/>
      <c r="S1292" s="191"/>
      <c r="T1292" s="127"/>
      <c r="U1292" s="127"/>
      <c r="V1292" s="191"/>
      <c r="W1292" s="190"/>
      <c r="X1292" s="191"/>
      <c r="Y1292" s="191"/>
      <c r="Z1292" s="191"/>
      <c r="AA1292" s="191"/>
      <c r="AB1292" s="191"/>
      <c r="AC1292" s="191"/>
      <c r="AD1292" s="191"/>
      <c r="AE1292" s="191"/>
      <c r="AF1292" s="191"/>
      <c r="AG1292" s="191"/>
      <c r="AH1292" s="191"/>
      <c r="AI1292" s="127"/>
      <c r="AJ1292" s="191"/>
      <c r="AK1292" s="191"/>
      <c r="AL1292" s="190"/>
      <c r="AM1292" s="191"/>
    </row>
    <row r="1293" spans="5:39">
      <c r="E1293" s="21"/>
      <c r="Q1293" s="191"/>
      <c r="R1293" s="191"/>
      <c r="S1293" s="191"/>
      <c r="T1293" s="127"/>
      <c r="U1293" s="127"/>
      <c r="V1293" s="191"/>
      <c r="W1293" s="190"/>
      <c r="X1293" s="191"/>
      <c r="Y1293" s="191"/>
      <c r="Z1293" s="191"/>
      <c r="AA1293" s="191"/>
      <c r="AB1293" s="191"/>
      <c r="AC1293" s="191"/>
      <c r="AD1293" s="191"/>
      <c r="AE1293" s="191"/>
      <c r="AF1293" s="191"/>
      <c r="AG1293" s="191"/>
      <c r="AH1293" s="191"/>
      <c r="AI1293" s="127"/>
      <c r="AJ1293" s="191"/>
      <c r="AK1293" s="191"/>
      <c r="AL1293" s="190"/>
      <c r="AM1293" s="191"/>
    </row>
    <row r="1294" spans="5:39">
      <c r="E1294" s="21"/>
      <c r="Q1294" s="191"/>
      <c r="R1294" s="191"/>
      <c r="S1294" s="191"/>
      <c r="T1294" s="127"/>
      <c r="U1294" s="127"/>
      <c r="V1294" s="191"/>
      <c r="W1294" s="190"/>
      <c r="X1294" s="191"/>
      <c r="Y1294" s="191"/>
      <c r="Z1294" s="191"/>
      <c r="AA1294" s="191"/>
      <c r="AB1294" s="191"/>
      <c r="AC1294" s="191"/>
      <c r="AD1294" s="191"/>
      <c r="AE1294" s="191"/>
      <c r="AF1294" s="191"/>
      <c r="AG1294" s="191"/>
      <c r="AH1294" s="191"/>
      <c r="AI1294" s="127"/>
      <c r="AJ1294" s="191"/>
      <c r="AK1294" s="191"/>
      <c r="AL1294" s="190"/>
      <c r="AM1294" s="191"/>
    </row>
    <row r="1295" spans="5:39">
      <c r="E1295" s="21"/>
      <c r="Q1295" s="191"/>
      <c r="R1295" s="191"/>
      <c r="S1295" s="191"/>
      <c r="T1295" s="127"/>
      <c r="U1295" s="127"/>
      <c r="V1295" s="191"/>
      <c r="W1295" s="190"/>
      <c r="X1295" s="191"/>
      <c r="Y1295" s="191"/>
      <c r="Z1295" s="191"/>
      <c r="AA1295" s="191"/>
      <c r="AB1295" s="191"/>
      <c r="AC1295" s="191"/>
      <c r="AD1295" s="191"/>
      <c r="AE1295" s="191"/>
      <c r="AF1295" s="191"/>
      <c r="AG1295" s="191"/>
      <c r="AH1295" s="191"/>
      <c r="AI1295" s="127"/>
      <c r="AJ1295" s="191"/>
      <c r="AK1295" s="191"/>
      <c r="AL1295" s="190"/>
      <c r="AM1295" s="191"/>
    </row>
    <row r="1296" spans="5:39">
      <c r="E1296" s="21"/>
      <c r="Q1296" s="191"/>
      <c r="R1296" s="191"/>
      <c r="S1296" s="191"/>
      <c r="T1296" s="127"/>
      <c r="U1296" s="127"/>
      <c r="V1296" s="191"/>
      <c r="W1296" s="190"/>
      <c r="X1296" s="191"/>
      <c r="Y1296" s="191"/>
      <c r="Z1296" s="191"/>
      <c r="AA1296" s="191"/>
      <c r="AB1296" s="191"/>
      <c r="AC1296" s="191"/>
      <c r="AD1296" s="191"/>
      <c r="AE1296" s="191"/>
      <c r="AF1296" s="191"/>
      <c r="AG1296" s="191"/>
      <c r="AH1296" s="191"/>
      <c r="AI1296" s="127"/>
      <c r="AJ1296" s="191"/>
      <c r="AK1296" s="191"/>
      <c r="AL1296" s="190"/>
      <c r="AM1296" s="191"/>
    </row>
    <row r="1297" spans="5:39">
      <c r="E1297" s="21"/>
      <c r="Q1297" s="191"/>
      <c r="R1297" s="191"/>
      <c r="S1297" s="191"/>
      <c r="T1297" s="127"/>
      <c r="U1297" s="127"/>
      <c r="V1297" s="191"/>
      <c r="W1297" s="190"/>
      <c r="X1297" s="191"/>
      <c r="Y1297" s="191"/>
      <c r="Z1297" s="191"/>
      <c r="AA1297" s="191"/>
      <c r="AB1297" s="191"/>
      <c r="AC1297" s="191"/>
      <c r="AD1297" s="191"/>
      <c r="AE1297" s="191"/>
      <c r="AF1297" s="191"/>
      <c r="AG1297" s="191"/>
      <c r="AH1297" s="191"/>
      <c r="AI1297" s="127"/>
      <c r="AJ1297" s="191"/>
      <c r="AK1297" s="191"/>
      <c r="AL1297" s="190"/>
      <c r="AM1297" s="191"/>
    </row>
    <row r="1298" spans="5:39">
      <c r="E1298" s="21"/>
      <c r="Q1298" s="191"/>
      <c r="R1298" s="191"/>
      <c r="S1298" s="191"/>
      <c r="T1298" s="127"/>
      <c r="U1298" s="127"/>
      <c r="V1298" s="191"/>
      <c r="W1298" s="190"/>
      <c r="X1298" s="191"/>
      <c r="Y1298" s="191"/>
      <c r="Z1298" s="191"/>
      <c r="AA1298" s="191"/>
      <c r="AB1298" s="191"/>
      <c r="AC1298" s="191"/>
      <c r="AD1298" s="191"/>
      <c r="AE1298" s="191"/>
      <c r="AF1298" s="191"/>
      <c r="AG1298" s="191"/>
      <c r="AH1298" s="191"/>
      <c r="AI1298" s="127"/>
      <c r="AJ1298" s="191"/>
      <c r="AK1298" s="191"/>
      <c r="AL1298" s="190"/>
      <c r="AM1298" s="191"/>
    </row>
    <row r="1299" spans="5:39">
      <c r="E1299" s="21"/>
      <c r="Q1299" s="191"/>
      <c r="R1299" s="191"/>
      <c r="S1299" s="191"/>
      <c r="T1299" s="127"/>
      <c r="U1299" s="127"/>
      <c r="V1299" s="191"/>
      <c r="W1299" s="190"/>
      <c r="X1299" s="191"/>
      <c r="Y1299" s="191"/>
      <c r="Z1299" s="191"/>
      <c r="AA1299" s="191"/>
      <c r="AB1299" s="191"/>
      <c r="AC1299" s="191"/>
      <c r="AD1299" s="191"/>
      <c r="AE1299" s="191"/>
      <c r="AF1299" s="191"/>
      <c r="AG1299" s="191"/>
      <c r="AH1299" s="191"/>
      <c r="AI1299" s="127"/>
      <c r="AJ1299" s="191"/>
      <c r="AK1299" s="191"/>
      <c r="AL1299" s="190"/>
      <c r="AM1299" s="191"/>
    </row>
    <row r="1300" spans="5:39">
      <c r="E1300" s="21"/>
      <c r="Q1300" s="191"/>
      <c r="R1300" s="191"/>
      <c r="S1300" s="191"/>
      <c r="T1300" s="127"/>
      <c r="U1300" s="127"/>
      <c r="V1300" s="191"/>
      <c r="W1300" s="190"/>
      <c r="X1300" s="191"/>
      <c r="Y1300" s="191"/>
      <c r="Z1300" s="191"/>
      <c r="AA1300" s="191"/>
      <c r="AB1300" s="191"/>
      <c r="AC1300" s="191"/>
      <c r="AD1300" s="191"/>
      <c r="AE1300" s="191"/>
      <c r="AF1300" s="191"/>
      <c r="AG1300" s="191"/>
      <c r="AH1300" s="191"/>
      <c r="AI1300" s="127"/>
      <c r="AJ1300" s="191"/>
      <c r="AK1300" s="191"/>
      <c r="AL1300" s="190"/>
      <c r="AM1300" s="191"/>
    </row>
    <row r="1301" spans="5:39">
      <c r="E1301" s="21"/>
      <c r="Q1301" s="191"/>
      <c r="R1301" s="191"/>
      <c r="S1301" s="191"/>
      <c r="T1301" s="127"/>
      <c r="U1301" s="127"/>
      <c r="V1301" s="191"/>
      <c r="W1301" s="190"/>
      <c r="X1301" s="191"/>
      <c r="Y1301" s="191"/>
      <c r="Z1301" s="191"/>
      <c r="AA1301" s="191"/>
      <c r="AB1301" s="191"/>
      <c r="AC1301" s="191"/>
      <c r="AD1301" s="191"/>
      <c r="AE1301" s="191"/>
      <c r="AF1301" s="191"/>
      <c r="AG1301" s="191"/>
      <c r="AH1301" s="191"/>
      <c r="AI1301" s="127"/>
      <c r="AJ1301" s="191"/>
      <c r="AK1301" s="191"/>
      <c r="AL1301" s="190"/>
      <c r="AM1301" s="191"/>
    </row>
    <row r="1302" spans="5:39">
      <c r="E1302" s="21"/>
      <c r="T1302" s="21"/>
      <c r="U1302" s="21"/>
      <c r="AI1302" s="21"/>
    </row>
    <row r="1303" spans="5:39">
      <c r="E1303" s="21"/>
      <c r="T1303" s="21"/>
      <c r="U1303" s="21"/>
      <c r="AI1303" s="21"/>
    </row>
    <row r="1304" spans="5:39">
      <c r="E1304" s="21"/>
      <c r="T1304" s="21"/>
      <c r="U1304" s="21"/>
      <c r="AI1304" s="21"/>
    </row>
    <row r="1305" spans="5:39">
      <c r="E1305" s="21"/>
      <c r="T1305" s="21"/>
      <c r="U1305" s="21"/>
      <c r="AI1305" s="21"/>
    </row>
    <row r="1306" spans="5:39">
      <c r="E1306" s="21"/>
      <c r="T1306" s="21"/>
      <c r="U1306" s="21"/>
      <c r="AI1306" s="21"/>
    </row>
    <row r="1307" spans="5:39">
      <c r="E1307" s="21"/>
      <c r="T1307" s="21"/>
      <c r="U1307" s="21"/>
      <c r="AI1307" s="21"/>
    </row>
    <row r="1308" spans="5:39">
      <c r="E1308" s="21"/>
      <c r="T1308" s="21"/>
      <c r="U1308" s="21"/>
      <c r="AI1308" s="21"/>
    </row>
    <row r="1309" spans="5:39">
      <c r="E1309" s="21"/>
      <c r="T1309" s="21"/>
      <c r="U1309" s="21"/>
      <c r="AI1309" s="21"/>
    </row>
    <row r="1310" spans="5:39">
      <c r="E1310" s="21"/>
      <c r="T1310" s="21"/>
      <c r="U1310" s="21"/>
      <c r="AI1310" s="21"/>
    </row>
    <row r="1311" spans="5:39">
      <c r="E1311" s="21"/>
      <c r="T1311" s="21"/>
      <c r="U1311" s="21"/>
      <c r="AI1311" s="21"/>
    </row>
    <row r="1312" spans="5:39">
      <c r="E1312" s="21"/>
      <c r="T1312" s="21"/>
      <c r="U1312" s="21"/>
      <c r="AI1312" s="21"/>
    </row>
    <row r="1313" spans="5:35">
      <c r="E1313" s="21"/>
      <c r="T1313" s="21"/>
      <c r="U1313" s="21"/>
      <c r="AI1313" s="21"/>
    </row>
    <row r="1314" spans="5:35">
      <c r="E1314" s="21"/>
      <c r="T1314" s="21"/>
      <c r="U1314" s="21"/>
      <c r="AI1314" s="21"/>
    </row>
    <row r="1315" spans="5:35">
      <c r="E1315" s="21"/>
      <c r="T1315" s="21"/>
      <c r="U1315" s="21"/>
      <c r="AI1315" s="21"/>
    </row>
    <row r="1316" spans="5:35">
      <c r="E1316" s="21"/>
      <c r="T1316" s="21"/>
      <c r="U1316" s="21"/>
      <c r="AI1316" s="21"/>
    </row>
    <row r="1317" spans="5:35">
      <c r="E1317" s="21"/>
      <c r="T1317" s="21"/>
      <c r="U1317" s="21"/>
      <c r="AI1317" s="21"/>
    </row>
    <row r="1318" spans="5:35">
      <c r="E1318" s="21"/>
      <c r="T1318" s="21"/>
      <c r="U1318" s="21"/>
      <c r="AI1318" s="21"/>
    </row>
    <row r="1319" spans="5:35">
      <c r="E1319" s="21"/>
      <c r="T1319" s="21"/>
      <c r="U1319" s="21"/>
      <c r="AI1319" s="21"/>
    </row>
    <row r="1320" spans="5:35">
      <c r="E1320" s="21"/>
      <c r="T1320" s="21"/>
      <c r="U1320" s="21"/>
      <c r="AI1320" s="21"/>
    </row>
    <row r="1321" spans="5:35">
      <c r="E1321" s="21"/>
      <c r="T1321" s="21"/>
      <c r="U1321" s="21"/>
      <c r="AI1321" s="21"/>
    </row>
    <row r="1322" spans="5:35">
      <c r="E1322" s="21"/>
      <c r="T1322" s="21"/>
      <c r="U1322" s="21"/>
      <c r="AI1322" s="21"/>
    </row>
    <row r="1323" spans="5:35">
      <c r="E1323" s="21"/>
      <c r="T1323" s="21"/>
      <c r="U1323" s="21"/>
      <c r="AI1323" s="21"/>
    </row>
    <row r="1324" spans="5:35">
      <c r="E1324" s="21"/>
      <c r="T1324" s="21"/>
      <c r="U1324" s="21"/>
      <c r="AI1324" s="21"/>
    </row>
    <row r="1325" spans="5:35">
      <c r="E1325" s="21"/>
      <c r="T1325" s="21"/>
      <c r="U1325" s="21"/>
      <c r="AI1325" s="21"/>
    </row>
    <row r="1326" spans="5:35">
      <c r="E1326" s="21"/>
      <c r="T1326" s="21"/>
      <c r="U1326" s="21"/>
      <c r="AI1326" s="21"/>
    </row>
    <row r="1327" spans="5:35">
      <c r="E1327" s="21"/>
      <c r="T1327" s="21"/>
      <c r="U1327" s="21"/>
      <c r="AI1327" s="21"/>
    </row>
    <row r="1328" spans="5:35">
      <c r="E1328" s="21"/>
      <c r="T1328" s="21"/>
      <c r="U1328" s="21"/>
      <c r="AI1328" s="21"/>
    </row>
    <row r="1329" spans="5:35">
      <c r="E1329" s="21"/>
      <c r="T1329" s="21"/>
      <c r="U1329" s="21"/>
      <c r="AI1329" s="21"/>
    </row>
    <row r="1330" spans="5:35">
      <c r="E1330" s="21"/>
      <c r="T1330" s="21"/>
      <c r="U1330" s="21"/>
      <c r="AI1330" s="21"/>
    </row>
    <row r="1331" spans="5:35">
      <c r="E1331" s="21"/>
      <c r="T1331" s="21"/>
      <c r="U1331" s="21"/>
      <c r="AI1331" s="21"/>
    </row>
    <row r="1332" spans="5:35">
      <c r="E1332" s="21"/>
      <c r="T1332" s="21"/>
      <c r="U1332" s="21"/>
      <c r="AI1332" s="21"/>
    </row>
    <row r="1333" spans="5:35">
      <c r="E1333" s="21"/>
      <c r="T1333" s="21"/>
      <c r="U1333" s="21"/>
      <c r="AI1333" s="21"/>
    </row>
    <row r="1334" spans="5:35">
      <c r="E1334" s="21"/>
      <c r="T1334" s="21"/>
      <c r="U1334" s="21"/>
      <c r="AI1334" s="21"/>
    </row>
    <row r="1335" spans="5:35">
      <c r="E1335" s="21"/>
      <c r="T1335" s="21"/>
      <c r="U1335" s="21"/>
      <c r="AI1335" s="21"/>
    </row>
    <row r="1336" spans="5:35">
      <c r="E1336" s="21"/>
      <c r="T1336" s="21"/>
      <c r="U1336" s="21"/>
      <c r="AI1336" s="21"/>
    </row>
    <row r="1337" spans="5:35">
      <c r="E1337" s="21"/>
      <c r="T1337" s="21"/>
      <c r="U1337" s="21"/>
      <c r="AI1337" s="21"/>
    </row>
    <row r="1338" spans="5:35">
      <c r="E1338" s="21"/>
      <c r="T1338" s="21"/>
      <c r="U1338" s="21"/>
      <c r="AI1338" s="21"/>
    </row>
    <row r="1339" spans="5:35">
      <c r="E1339" s="21"/>
      <c r="T1339" s="21"/>
      <c r="U1339" s="21"/>
      <c r="AI1339" s="21"/>
    </row>
    <row r="1340" spans="5:35">
      <c r="E1340" s="21"/>
      <c r="T1340" s="21"/>
      <c r="U1340" s="21"/>
      <c r="AI1340" s="21"/>
    </row>
    <row r="1341" spans="5:35">
      <c r="E1341" s="21"/>
      <c r="T1341" s="21"/>
      <c r="U1341" s="21"/>
      <c r="AI1341" s="21"/>
    </row>
    <row r="1342" spans="5:35">
      <c r="E1342" s="21"/>
      <c r="T1342" s="21"/>
      <c r="U1342" s="21"/>
      <c r="AI1342" s="21"/>
    </row>
    <row r="1343" spans="5:35">
      <c r="E1343" s="21"/>
      <c r="T1343" s="21"/>
      <c r="U1343" s="21"/>
      <c r="AI1343" s="21"/>
    </row>
    <row r="1344" spans="5:35">
      <c r="E1344" s="21"/>
      <c r="T1344" s="21"/>
      <c r="U1344" s="21"/>
      <c r="AI1344" s="21"/>
    </row>
    <row r="1345" spans="5:35">
      <c r="E1345" s="21"/>
      <c r="T1345" s="21"/>
      <c r="U1345" s="21"/>
      <c r="AI1345" s="21"/>
    </row>
    <row r="1346" spans="5:35">
      <c r="E1346" s="21"/>
      <c r="T1346" s="21"/>
      <c r="U1346" s="21"/>
      <c r="AI1346" s="21"/>
    </row>
    <row r="1347" spans="5:35">
      <c r="E1347" s="21"/>
      <c r="T1347" s="21"/>
      <c r="U1347" s="21"/>
      <c r="AI1347" s="21"/>
    </row>
    <row r="1348" spans="5:35">
      <c r="E1348" s="21"/>
      <c r="T1348" s="21"/>
      <c r="U1348" s="21"/>
      <c r="AI1348" s="21"/>
    </row>
    <row r="1349" spans="5:35">
      <c r="E1349" s="21"/>
      <c r="T1349" s="21"/>
      <c r="U1349" s="21"/>
      <c r="AI1349" s="21"/>
    </row>
    <row r="1350" spans="5:35">
      <c r="E1350" s="21"/>
      <c r="T1350" s="21"/>
      <c r="U1350" s="21"/>
      <c r="AI1350" s="21"/>
    </row>
    <row r="1351" spans="5:35">
      <c r="E1351" s="21"/>
      <c r="T1351" s="21"/>
      <c r="U1351" s="21"/>
      <c r="AI1351" s="21"/>
    </row>
    <row r="1352" spans="5:35">
      <c r="E1352" s="21"/>
      <c r="T1352" s="21"/>
      <c r="U1352" s="21"/>
      <c r="AI1352" s="21"/>
    </row>
    <row r="1353" spans="5:35">
      <c r="E1353" s="21"/>
      <c r="T1353" s="21"/>
      <c r="U1353" s="21"/>
      <c r="AI1353" s="21"/>
    </row>
    <row r="1354" spans="5:35">
      <c r="E1354" s="21"/>
      <c r="T1354" s="21"/>
      <c r="U1354" s="21"/>
      <c r="AI1354" s="21"/>
    </row>
    <row r="1355" spans="5:35">
      <c r="E1355" s="21"/>
      <c r="T1355" s="21"/>
      <c r="U1355" s="21"/>
      <c r="AI1355" s="21"/>
    </row>
    <row r="1356" spans="5:35">
      <c r="E1356" s="21"/>
      <c r="T1356" s="21"/>
      <c r="U1356" s="21"/>
      <c r="AI1356" s="21"/>
    </row>
    <row r="1357" spans="5:35">
      <c r="E1357" s="21"/>
      <c r="T1357" s="21"/>
      <c r="U1357" s="21"/>
      <c r="AI1357" s="21"/>
    </row>
    <row r="1358" spans="5:35">
      <c r="E1358" s="21"/>
      <c r="T1358" s="21"/>
      <c r="U1358" s="21"/>
      <c r="AI1358" s="21"/>
    </row>
    <row r="1359" spans="5:35">
      <c r="E1359" s="21"/>
      <c r="T1359" s="21"/>
      <c r="U1359" s="21"/>
      <c r="AI1359" s="21"/>
    </row>
    <row r="1360" spans="5:35">
      <c r="E1360" s="21"/>
      <c r="T1360" s="21"/>
      <c r="U1360" s="21"/>
      <c r="AI1360" s="21"/>
    </row>
    <row r="1361" spans="5:35">
      <c r="E1361" s="21"/>
      <c r="T1361" s="21"/>
      <c r="U1361" s="21"/>
      <c r="AI1361" s="21"/>
    </row>
    <row r="1362" spans="5:35">
      <c r="E1362" s="21"/>
      <c r="T1362" s="21"/>
      <c r="U1362" s="21"/>
      <c r="AI1362" s="21"/>
    </row>
    <row r="1363" spans="5:35">
      <c r="E1363" s="21"/>
      <c r="T1363" s="21"/>
      <c r="U1363" s="21"/>
      <c r="AI1363" s="21"/>
    </row>
    <row r="1364" spans="5:35">
      <c r="E1364" s="21"/>
      <c r="T1364" s="21"/>
      <c r="U1364" s="21"/>
      <c r="AI1364" s="21"/>
    </row>
    <row r="1365" spans="5:35">
      <c r="E1365" s="21"/>
      <c r="T1365" s="21"/>
      <c r="U1365" s="21"/>
      <c r="AI1365" s="21"/>
    </row>
    <row r="1366" spans="5:35">
      <c r="E1366" s="21"/>
      <c r="T1366" s="21"/>
      <c r="U1366" s="21"/>
      <c r="AI1366" s="21"/>
    </row>
    <row r="1367" spans="5:35">
      <c r="E1367" s="21"/>
      <c r="T1367" s="21"/>
      <c r="U1367" s="21"/>
      <c r="AI1367" s="21"/>
    </row>
    <row r="1368" spans="5:35">
      <c r="E1368" s="21"/>
      <c r="T1368" s="21"/>
      <c r="U1368" s="21"/>
      <c r="AI1368" s="21"/>
    </row>
    <row r="1369" spans="5:35">
      <c r="E1369" s="21"/>
      <c r="T1369" s="21"/>
      <c r="U1369" s="21"/>
      <c r="AI1369" s="21"/>
    </row>
    <row r="1370" spans="5:35">
      <c r="E1370" s="21"/>
      <c r="T1370" s="21"/>
      <c r="U1370" s="21"/>
      <c r="AI1370" s="21"/>
    </row>
    <row r="1371" spans="5:35">
      <c r="E1371" s="21"/>
      <c r="T1371" s="21"/>
      <c r="U1371" s="21"/>
      <c r="AI1371" s="21"/>
    </row>
    <row r="1372" spans="5:35">
      <c r="E1372" s="21"/>
      <c r="T1372" s="21"/>
      <c r="U1372" s="21"/>
      <c r="AI1372" s="21"/>
    </row>
    <row r="1373" spans="5:35">
      <c r="E1373" s="21"/>
      <c r="T1373" s="21"/>
      <c r="U1373" s="21"/>
      <c r="AI1373" s="21"/>
    </row>
    <row r="1374" spans="5:35">
      <c r="E1374" s="21"/>
      <c r="T1374" s="21"/>
      <c r="U1374" s="21"/>
      <c r="AI1374" s="21"/>
    </row>
    <row r="1375" spans="5:35">
      <c r="E1375" s="21"/>
      <c r="T1375" s="21"/>
      <c r="U1375" s="21"/>
      <c r="AI1375" s="21"/>
    </row>
    <row r="1376" spans="5:35">
      <c r="E1376" s="21"/>
      <c r="T1376" s="21"/>
      <c r="U1376" s="21"/>
      <c r="AI1376" s="21"/>
    </row>
    <row r="1377" spans="5:35">
      <c r="E1377" s="21"/>
      <c r="T1377" s="21"/>
      <c r="U1377" s="21"/>
      <c r="AI1377" s="21"/>
    </row>
    <row r="1378" spans="5:35">
      <c r="E1378" s="21"/>
      <c r="T1378" s="21"/>
      <c r="U1378" s="21"/>
      <c r="AI1378" s="21"/>
    </row>
    <row r="1379" spans="5:35">
      <c r="E1379" s="21"/>
      <c r="T1379" s="21"/>
      <c r="U1379" s="21"/>
      <c r="AI1379" s="21"/>
    </row>
    <row r="1380" spans="5:35">
      <c r="E1380" s="21"/>
      <c r="T1380" s="21"/>
      <c r="U1380" s="21"/>
      <c r="AI1380" s="21"/>
    </row>
    <row r="1381" spans="5:35">
      <c r="E1381" s="21"/>
      <c r="T1381" s="21"/>
      <c r="U1381" s="21"/>
      <c r="AI1381" s="21"/>
    </row>
    <row r="1382" spans="5:35">
      <c r="E1382" s="21"/>
      <c r="T1382" s="21"/>
      <c r="U1382" s="21"/>
      <c r="AI1382" s="21"/>
    </row>
    <row r="1383" spans="5:35">
      <c r="E1383" s="21"/>
      <c r="T1383" s="21"/>
      <c r="U1383" s="21"/>
      <c r="AI1383" s="21"/>
    </row>
    <row r="1384" spans="5:35">
      <c r="E1384" s="21"/>
      <c r="T1384" s="21"/>
      <c r="U1384" s="21"/>
      <c r="AI1384" s="21"/>
    </row>
    <row r="1385" spans="5:35">
      <c r="E1385" s="21"/>
      <c r="T1385" s="21"/>
      <c r="U1385" s="21"/>
      <c r="AI1385" s="21"/>
    </row>
    <row r="1386" spans="5:35">
      <c r="E1386" s="21"/>
      <c r="T1386" s="21"/>
      <c r="U1386" s="21"/>
      <c r="AI1386" s="21"/>
    </row>
    <row r="1387" spans="5:35">
      <c r="E1387" s="21"/>
      <c r="T1387" s="21"/>
      <c r="U1387" s="21"/>
      <c r="AI1387" s="21"/>
    </row>
    <row r="1388" spans="5:35">
      <c r="E1388" s="21"/>
      <c r="T1388" s="21"/>
      <c r="U1388" s="21"/>
      <c r="AI1388" s="21"/>
    </row>
    <row r="1389" spans="5:35">
      <c r="E1389" s="21"/>
      <c r="T1389" s="21"/>
      <c r="U1389" s="21"/>
      <c r="AI1389" s="21"/>
    </row>
    <row r="1390" spans="5:35">
      <c r="E1390" s="21"/>
      <c r="T1390" s="21"/>
      <c r="U1390" s="21"/>
      <c r="AI1390" s="21"/>
    </row>
    <row r="1391" spans="5:35">
      <c r="E1391" s="21"/>
      <c r="T1391" s="21"/>
      <c r="U1391" s="21"/>
      <c r="AI1391" s="21"/>
    </row>
    <row r="1392" spans="5:35">
      <c r="E1392" s="21"/>
      <c r="T1392" s="21"/>
      <c r="U1392" s="21"/>
      <c r="AI1392" s="21"/>
    </row>
    <row r="1393" spans="5:35">
      <c r="E1393" s="21"/>
      <c r="T1393" s="21"/>
      <c r="U1393" s="21"/>
      <c r="AI1393" s="21"/>
    </row>
    <row r="1394" spans="5:35">
      <c r="E1394" s="21"/>
      <c r="T1394" s="21"/>
      <c r="U1394" s="21"/>
      <c r="AI1394" s="21"/>
    </row>
    <row r="1395" spans="5:35">
      <c r="E1395" s="21"/>
      <c r="T1395" s="21"/>
      <c r="U1395" s="21"/>
      <c r="AI1395" s="21"/>
    </row>
    <row r="1396" spans="5:35">
      <c r="E1396" s="21"/>
      <c r="T1396" s="21"/>
      <c r="U1396" s="21"/>
      <c r="AI1396" s="21"/>
    </row>
    <row r="1397" spans="5:35">
      <c r="E1397" s="21"/>
      <c r="T1397" s="21"/>
      <c r="U1397" s="21"/>
      <c r="AI1397" s="21"/>
    </row>
    <row r="1398" spans="5:35">
      <c r="E1398" s="21"/>
      <c r="T1398" s="21"/>
      <c r="U1398" s="21"/>
      <c r="AI1398" s="21"/>
    </row>
    <row r="1399" spans="5:35">
      <c r="E1399" s="21"/>
      <c r="T1399" s="21"/>
      <c r="U1399" s="21"/>
      <c r="AI1399" s="21"/>
    </row>
    <row r="1400" spans="5:35">
      <c r="E1400" s="21"/>
      <c r="T1400" s="21"/>
      <c r="U1400" s="21"/>
      <c r="AI1400" s="21"/>
    </row>
    <row r="1401" spans="5:35">
      <c r="E1401" s="21"/>
      <c r="T1401" s="21"/>
      <c r="U1401" s="21"/>
      <c r="AI1401" s="21"/>
    </row>
    <row r="1402" spans="5:35">
      <c r="E1402" s="21"/>
      <c r="T1402" s="21"/>
      <c r="U1402" s="21"/>
      <c r="AI1402" s="21"/>
    </row>
    <row r="1403" spans="5:35">
      <c r="E1403" s="21"/>
      <c r="T1403" s="21"/>
      <c r="U1403" s="21"/>
      <c r="AI1403" s="21"/>
    </row>
    <row r="1404" spans="5:35">
      <c r="E1404" s="21"/>
      <c r="T1404" s="21"/>
      <c r="U1404" s="21"/>
      <c r="AI1404" s="21"/>
    </row>
    <row r="1405" spans="5:35">
      <c r="E1405" s="21"/>
      <c r="T1405" s="21"/>
      <c r="U1405" s="21"/>
      <c r="AI1405" s="21"/>
    </row>
    <row r="1406" spans="5:35">
      <c r="E1406" s="21"/>
      <c r="T1406" s="21"/>
      <c r="U1406" s="21"/>
      <c r="AI1406" s="21"/>
    </row>
    <row r="1407" spans="5:35">
      <c r="E1407" s="21"/>
      <c r="T1407" s="21"/>
      <c r="U1407" s="21"/>
      <c r="AI1407" s="21"/>
    </row>
    <row r="1408" spans="5:35">
      <c r="E1408" s="21"/>
      <c r="T1408" s="21"/>
      <c r="U1408" s="21"/>
      <c r="AI1408" s="21"/>
    </row>
    <row r="1409" spans="5:35">
      <c r="E1409" s="21"/>
      <c r="T1409" s="21"/>
      <c r="U1409" s="21"/>
      <c r="AI1409" s="21"/>
    </row>
    <row r="1410" spans="5:35">
      <c r="E1410" s="21"/>
      <c r="T1410" s="21"/>
      <c r="U1410" s="21"/>
      <c r="AI1410" s="21"/>
    </row>
    <row r="1411" spans="5:35">
      <c r="E1411" s="21"/>
      <c r="T1411" s="21"/>
      <c r="U1411" s="21"/>
      <c r="AI1411" s="21"/>
    </row>
    <row r="1412" spans="5:35">
      <c r="E1412" s="21"/>
      <c r="T1412" s="21"/>
      <c r="U1412" s="21"/>
      <c r="AI1412" s="21"/>
    </row>
    <row r="1413" spans="5:35">
      <c r="E1413" s="21"/>
      <c r="T1413" s="21"/>
      <c r="U1413" s="21"/>
      <c r="AI1413" s="21"/>
    </row>
    <row r="1414" spans="5:35">
      <c r="E1414" s="21"/>
      <c r="T1414" s="21"/>
      <c r="U1414" s="21"/>
      <c r="AI1414" s="21"/>
    </row>
    <row r="1415" spans="5:35">
      <c r="E1415" s="21"/>
      <c r="T1415" s="21"/>
      <c r="U1415" s="21"/>
      <c r="AI1415" s="21"/>
    </row>
    <row r="1416" spans="5:35">
      <c r="E1416" s="21"/>
      <c r="T1416" s="21"/>
      <c r="U1416" s="21"/>
      <c r="AI1416" s="21"/>
    </row>
    <row r="1417" spans="5:35">
      <c r="E1417" s="21"/>
      <c r="T1417" s="21"/>
      <c r="U1417" s="21"/>
      <c r="AI1417" s="21"/>
    </row>
    <row r="1418" spans="5:35">
      <c r="E1418" s="21"/>
      <c r="T1418" s="21"/>
      <c r="U1418" s="21"/>
      <c r="AI1418" s="21"/>
    </row>
    <row r="1419" spans="5:35">
      <c r="E1419" s="21"/>
      <c r="T1419" s="21"/>
      <c r="U1419" s="21"/>
      <c r="AI1419" s="21"/>
    </row>
    <row r="1420" spans="5:35">
      <c r="E1420" s="21"/>
      <c r="T1420" s="21"/>
      <c r="U1420" s="21"/>
      <c r="AI1420" s="21"/>
    </row>
    <row r="1421" spans="5:35">
      <c r="E1421" s="21"/>
      <c r="T1421" s="21"/>
      <c r="U1421" s="21"/>
      <c r="AI1421" s="21"/>
    </row>
    <row r="1422" spans="5:35">
      <c r="E1422" s="21"/>
      <c r="T1422" s="21"/>
      <c r="U1422" s="21"/>
      <c r="AI1422" s="21"/>
    </row>
    <row r="1423" spans="5:35">
      <c r="E1423" s="21"/>
      <c r="T1423" s="21"/>
      <c r="U1423" s="21"/>
      <c r="AI1423" s="21"/>
    </row>
    <row r="1424" spans="5:35">
      <c r="E1424" s="21"/>
      <c r="T1424" s="21"/>
      <c r="U1424" s="21"/>
      <c r="AI1424" s="21"/>
    </row>
    <row r="1425" spans="5:35">
      <c r="E1425" s="21"/>
      <c r="T1425" s="21"/>
      <c r="U1425" s="21"/>
      <c r="AI1425" s="21"/>
    </row>
    <row r="1426" spans="5:35">
      <c r="E1426" s="21"/>
      <c r="T1426" s="21"/>
      <c r="U1426" s="21"/>
      <c r="AI1426" s="21"/>
    </row>
    <row r="1427" spans="5:35">
      <c r="E1427" s="21"/>
      <c r="T1427" s="21"/>
      <c r="U1427" s="21"/>
      <c r="AI1427" s="21"/>
    </row>
    <row r="1428" spans="5:35">
      <c r="E1428" s="21"/>
      <c r="T1428" s="21"/>
      <c r="U1428" s="21"/>
      <c r="AI1428" s="21"/>
    </row>
    <row r="1429" spans="5:35">
      <c r="E1429" s="21"/>
      <c r="T1429" s="21"/>
      <c r="U1429" s="21"/>
      <c r="AI1429" s="21"/>
    </row>
    <row r="1430" spans="5:35">
      <c r="E1430" s="21"/>
      <c r="T1430" s="21"/>
      <c r="U1430" s="21"/>
      <c r="AI1430" s="21"/>
    </row>
    <row r="1431" spans="5:35">
      <c r="E1431" s="21"/>
      <c r="T1431" s="21"/>
      <c r="U1431" s="21"/>
      <c r="AI1431" s="21"/>
    </row>
    <row r="1432" spans="5:35">
      <c r="E1432" s="21"/>
      <c r="T1432" s="21"/>
      <c r="U1432" s="21"/>
      <c r="AI1432" s="21"/>
    </row>
    <row r="1433" spans="5:35">
      <c r="E1433" s="21"/>
      <c r="T1433" s="21"/>
      <c r="U1433" s="21"/>
      <c r="AI1433" s="21"/>
    </row>
    <row r="1434" spans="5:35">
      <c r="E1434" s="21"/>
      <c r="T1434" s="21"/>
      <c r="U1434" s="21"/>
      <c r="AI1434" s="21"/>
    </row>
    <row r="1435" spans="5:35">
      <c r="E1435" s="21"/>
      <c r="T1435" s="21"/>
      <c r="U1435" s="21"/>
      <c r="AI1435" s="21"/>
    </row>
    <row r="1436" spans="5:35">
      <c r="E1436" s="21"/>
      <c r="T1436" s="21"/>
      <c r="U1436" s="21"/>
      <c r="AI1436" s="21"/>
    </row>
    <row r="1437" spans="5:35">
      <c r="E1437" s="21"/>
      <c r="T1437" s="21"/>
      <c r="U1437" s="21"/>
      <c r="AI1437" s="21"/>
    </row>
    <row r="1438" spans="5:35">
      <c r="E1438" s="21"/>
      <c r="T1438" s="21"/>
      <c r="U1438" s="21"/>
      <c r="AI1438" s="21"/>
    </row>
    <row r="1439" spans="5:35">
      <c r="E1439" s="21"/>
      <c r="T1439" s="21"/>
      <c r="U1439" s="21"/>
      <c r="AI1439" s="21"/>
    </row>
    <row r="1440" spans="5:35">
      <c r="E1440" s="21"/>
      <c r="T1440" s="21"/>
      <c r="U1440" s="21"/>
      <c r="AI1440" s="21"/>
    </row>
    <row r="1441" spans="5:35">
      <c r="E1441" s="21"/>
      <c r="T1441" s="21"/>
      <c r="U1441" s="21"/>
      <c r="AI1441" s="21"/>
    </row>
    <row r="1442" spans="5:35">
      <c r="E1442" s="21"/>
      <c r="T1442" s="21"/>
      <c r="U1442" s="21"/>
      <c r="AI1442" s="21"/>
    </row>
    <row r="1443" spans="5:35">
      <c r="E1443" s="21"/>
      <c r="T1443" s="21"/>
      <c r="U1443" s="21"/>
      <c r="AI1443" s="21"/>
    </row>
    <row r="1444" spans="5:35">
      <c r="E1444" s="21"/>
      <c r="T1444" s="21"/>
      <c r="U1444" s="21"/>
      <c r="AI1444" s="21"/>
    </row>
    <row r="1445" spans="5:35">
      <c r="E1445" s="21"/>
      <c r="T1445" s="21"/>
      <c r="U1445" s="21"/>
      <c r="AI1445" s="21"/>
    </row>
    <row r="1446" spans="5:35">
      <c r="E1446" s="21"/>
      <c r="T1446" s="21"/>
      <c r="U1446" s="21"/>
      <c r="AI1446" s="21"/>
    </row>
    <row r="1447" spans="5:35">
      <c r="E1447" s="21"/>
      <c r="T1447" s="21"/>
      <c r="U1447" s="21"/>
      <c r="AI1447" s="21"/>
    </row>
    <row r="1448" spans="5:35">
      <c r="E1448" s="21"/>
      <c r="T1448" s="21"/>
      <c r="U1448" s="21"/>
      <c r="AI1448" s="21"/>
    </row>
    <row r="1449" spans="5:35">
      <c r="E1449" s="21"/>
      <c r="T1449" s="21"/>
      <c r="U1449" s="21"/>
      <c r="AI1449" s="21"/>
    </row>
    <row r="1450" spans="5:35">
      <c r="E1450" s="21"/>
      <c r="T1450" s="21"/>
      <c r="U1450" s="21"/>
      <c r="AI1450" s="21"/>
    </row>
    <row r="1451" spans="5:35">
      <c r="E1451" s="21"/>
      <c r="T1451" s="21"/>
      <c r="U1451" s="21"/>
      <c r="AI1451" s="21"/>
    </row>
    <row r="1452" spans="5:35">
      <c r="E1452" s="21"/>
      <c r="T1452" s="21"/>
      <c r="U1452" s="21"/>
      <c r="AI1452" s="21"/>
    </row>
    <row r="1453" spans="5:35">
      <c r="E1453" s="21"/>
      <c r="T1453" s="21"/>
      <c r="U1453" s="21"/>
      <c r="AI1453" s="21"/>
    </row>
    <row r="1454" spans="5:35">
      <c r="E1454" s="21"/>
      <c r="T1454" s="21"/>
      <c r="U1454" s="21"/>
      <c r="AI1454" s="21"/>
    </row>
    <row r="1455" spans="5:35">
      <c r="E1455" s="21"/>
      <c r="T1455" s="21"/>
      <c r="U1455" s="21"/>
      <c r="AI1455" s="21"/>
    </row>
    <row r="1456" spans="5:35">
      <c r="E1456" s="21"/>
      <c r="T1456" s="21"/>
      <c r="U1456" s="21"/>
      <c r="AI1456" s="21"/>
    </row>
    <row r="1457" spans="5:35">
      <c r="E1457" s="21"/>
      <c r="T1457" s="21"/>
      <c r="U1457" s="21"/>
      <c r="AI1457" s="21"/>
    </row>
    <row r="1458" spans="5:35">
      <c r="E1458" s="21"/>
      <c r="T1458" s="21"/>
      <c r="U1458" s="21"/>
      <c r="AI1458" s="21"/>
    </row>
    <row r="1459" spans="5:35">
      <c r="E1459" s="21"/>
      <c r="T1459" s="21"/>
      <c r="U1459" s="21"/>
      <c r="AI1459" s="21"/>
    </row>
    <row r="1460" spans="5:35">
      <c r="E1460" s="21"/>
      <c r="T1460" s="21"/>
      <c r="U1460" s="21"/>
      <c r="AI1460" s="21"/>
    </row>
    <row r="1461" spans="5:35">
      <c r="E1461" s="21"/>
      <c r="T1461" s="21"/>
      <c r="U1461" s="21"/>
      <c r="AI1461" s="21"/>
    </row>
    <row r="1462" spans="5:35">
      <c r="E1462" s="21"/>
      <c r="T1462" s="21"/>
      <c r="U1462" s="21"/>
      <c r="AI1462" s="21"/>
    </row>
    <row r="1463" spans="5:35">
      <c r="E1463" s="21"/>
      <c r="T1463" s="21"/>
      <c r="U1463" s="21"/>
      <c r="AI1463" s="21"/>
    </row>
    <row r="1464" spans="5:35">
      <c r="E1464" s="21"/>
      <c r="T1464" s="21"/>
      <c r="U1464" s="21"/>
      <c r="AI1464" s="21"/>
    </row>
    <row r="1465" spans="5:35">
      <c r="E1465" s="21"/>
      <c r="T1465" s="21"/>
      <c r="U1465" s="21"/>
      <c r="AI1465" s="21"/>
    </row>
    <row r="1466" spans="5:35">
      <c r="E1466" s="21"/>
      <c r="T1466" s="21"/>
      <c r="U1466" s="21"/>
      <c r="AI1466" s="21"/>
    </row>
    <row r="1467" spans="5:35">
      <c r="E1467" s="21"/>
      <c r="T1467" s="21"/>
      <c r="U1467" s="21"/>
      <c r="AI1467" s="21"/>
    </row>
    <row r="1468" spans="5:35">
      <c r="E1468" s="21"/>
      <c r="T1468" s="21"/>
      <c r="U1468" s="21"/>
      <c r="AI1468" s="21"/>
    </row>
    <row r="1469" spans="5:35">
      <c r="E1469" s="21"/>
      <c r="T1469" s="21"/>
      <c r="U1469" s="21"/>
      <c r="AI1469" s="21"/>
    </row>
    <row r="1470" spans="5:35">
      <c r="E1470" s="21"/>
      <c r="T1470" s="21"/>
      <c r="U1470" s="21"/>
      <c r="AI1470" s="21"/>
    </row>
    <row r="1471" spans="5:35">
      <c r="E1471" s="21"/>
      <c r="T1471" s="21"/>
      <c r="U1471" s="21"/>
      <c r="AI1471" s="21"/>
    </row>
    <row r="1472" spans="5:35">
      <c r="E1472" s="21"/>
      <c r="T1472" s="21"/>
      <c r="U1472" s="21"/>
      <c r="AI1472" s="21"/>
    </row>
    <row r="1473" spans="5:35">
      <c r="E1473" s="21"/>
      <c r="T1473" s="21"/>
      <c r="U1473" s="21"/>
      <c r="AI1473" s="21"/>
    </row>
    <row r="1474" spans="5:35">
      <c r="E1474" s="21"/>
      <c r="T1474" s="21"/>
      <c r="U1474" s="21"/>
      <c r="AI1474" s="21"/>
    </row>
    <row r="1475" spans="5:35">
      <c r="E1475" s="21"/>
      <c r="T1475" s="21"/>
      <c r="U1475" s="21"/>
      <c r="AI1475" s="21"/>
    </row>
    <row r="1476" spans="5:35">
      <c r="E1476" s="21"/>
      <c r="T1476" s="21"/>
      <c r="U1476" s="21"/>
      <c r="AI1476" s="21"/>
    </row>
    <row r="1477" spans="5:35">
      <c r="E1477" s="21"/>
      <c r="T1477" s="21"/>
      <c r="U1477" s="21"/>
      <c r="AI1477" s="21"/>
    </row>
    <row r="1478" spans="5:35">
      <c r="E1478" s="21"/>
      <c r="T1478" s="21"/>
      <c r="U1478" s="21"/>
      <c r="AI1478" s="21"/>
    </row>
    <row r="1479" spans="5:35">
      <c r="E1479" s="21"/>
      <c r="T1479" s="21"/>
      <c r="U1479" s="21"/>
      <c r="AI1479" s="21"/>
    </row>
    <row r="1480" spans="5:35">
      <c r="E1480" s="21"/>
      <c r="T1480" s="21"/>
      <c r="U1480" s="21"/>
      <c r="AI1480" s="21"/>
    </row>
    <row r="1481" spans="5:35">
      <c r="E1481" s="21"/>
      <c r="T1481" s="21"/>
      <c r="U1481" s="21"/>
      <c r="AI1481" s="21"/>
    </row>
    <row r="1482" spans="5:35">
      <c r="E1482" s="21"/>
      <c r="T1482" s="21"/>
      <c r="U1482" s="21"/>
      <c r="AI1482" s="21"/>
    </row>
    <row r="1483" spans="5:35">
      <c r="E1483" s="21"/>
      <c r="T1483" s="21"/>
      <c r="U1483" s="21"/>
      <c r="AI1483" s="21"/>
    </row>
    <row r="1484" spans="5:35">
      <c r="E1484" s="21"/>
      <c r="T1484" s="21"/>
      <c r="U1484" s="21"/>
      <c r="AI1484" s="21"/>
    </row>
    <row r="1485" spans="5:35">
      <c r="E1485" s="21"/>
      <c r="T1485" s="21"/>
      <c r="U1485" s="21"/>
      <c r="AI1485" s="21"/>
    </row>
    <row r="1486" spans="5:35">
      <c r="E1486" s="21"/>
      <c r="T1486" s="21"/>
      <c r="U1486" s="21"/>
      <c r="AI1486" s="21"/>
    </row>
    <row r="1487" spans="5:35">
      <c r="E1487" s="21"/>
      <c r="T1487" s="21"/>
      <c r="U1487" s="21"/>
      <c r="AI1487" s="21"/>
    </row>
    <row r="1488" spans="5:35">
      <c r="E1488" s="21"/>
      <c r="T1488" s="21"/>
      <c r="U1488" s="21"/>
      <c r="AI1488" s="21"/>
    </row>
    <row r="1489" spans="5:35">
      <c r="E1489" s="21"/>
      <c r="T1489" s="21"/>
      <c r="U1489" s="21"/>
      <c r="AI1489" s="21"/>
    </row>
    <row r="1490" spans="5:35">
      <c r="E1490" s="21"/>
      <c r="T1490" s="21"/>
      <c r="U1490" s="21"/>
      <c r="AI1490" s="21"/>
    </row>
    <row r="1491" spans="5:35">
      <c r="E1491" s="21"/>
      <c r="T1491" s="21"/>
      <c r="U1491" s="21"/>
      <c r="AI1491" s="21"/>
    </row>
    <row r="1492" spans="5:35">
      <c r="E1492" s="21"/>
      <c r="T1492" s="21"/>
      <c r="U1492" s="21"/>
      <c r="AI1492" s="21"/>
    </row>
    <row r="1493" spans="5:35">
      <c r="E1493" s="21"/>
      <c r="T1493" s="21"/>
      <c r="U1493" s="21"/>
      <c r="AI1493" s="21"/>
    </row>
    <row r="1494" spans="5:35">
      <c r="E1494" s="21"/>
      <c r="T1494" s="21"/>
      <c r="U1494" s="21"/>
      <c r="AI1494" s="21"/>
    </row>
    <row r="1495" spans="5:35">
      <c r="E1495" s="21"/>
      <c r="T1495" s="21"/>
      <c r="U1495" s="21"/>
      <c r="AI1495" s="21"/>
    </row>
    <row r="1496" spans="5:35">
      <c r="E1496" s="21"/>
      <c r="T1496" s="21"/>
      <c r="U1496" s="21"/>
      <c r="AI1496" s="21"/>
    </row>
    <row r="1497" spans="5:35">
      <c r="E1497" s="21"/>
      <c r="T1497" s="21"/>
      <c r="U1497" s="21"/>
      <c r="AI1497" s="21"/>
    </row>
    <row r="1498" spans="5:35">
      <c r="E1498" s="21"/>
      <c r="T1498" s="21"/>
      <c r="U1498" s="21"/>
      <c r="AI1498" s="21"/>
    </row>
    <row r="1499" spans="5:35">
      <c r="E1499" s="21"/>
      <c r="T1499" s="21"/>
      <c r="U1499" s="21"/>
      <c r="AI1499" s="21"/>
    </row>
    <row r="1500" spans="5:35">
      <c r="E1500" s="21"/>
      <c r="T1500" s="21"/>
      <c r="U1500" s="21"/>
      <c r="AI1500" s="21"/>
    </row>
    <row r="1501" spans="5:35">
      <c r="E1501" s="21"/>
      <c r="T1501" s="21"/>
      <c r="U1501" s="21"/>
      <c r="AI1501" s="21"/>
    </row>
    <row r="1502" spans="5:35">
      <c r="E1502" s="21"/>
      <c r="T1502" s="21"/>
      <c r="U1502" s="21"/>
      <c r="AI1502" s="21"/>
    </row>
    <row r="1503" spans="5:35">
      <c r="E1503" s="21"/>
      <c r="T1503" s="21"/>
      <c r="U1503" s="21"/>
      <c r="AI1503" s="21"/>
    </row>
    <row r="1504" spans="5:35">
      <c r="E1504" s="21"/>
      <c r="T1504" s="21"/>
      <c r="U1504" s="21"/>
      <c r="AI1504" s="21"/>
    </row>
    <row r="1505" spans="5:35">
      <c r="E1505" s="21"/>
      <c r="T1505" s="21"/>
      <c r="U1505" s="21"/>
      <c r="AI1505" s="21"/>
    </row>
    <row r="1506" spans="5:35">
      <c r="E1506" s="21"/>
      <c r="T1506" s="21"/>
      <c r="U1506" s="21"/>
      <c r="AI1506" s="21"/>
    </row>
    <row r="1507" spans="5:35">
      <c r="E1507" s="21"/>
      <c r="T1507" s="21"/>
      <c r="U1507" s="21"/>
      <c r="AI1507" s="21"/>
    </row>
    <row r="1508" spans="5:35">
      <c r="E1508" s="21"/>
      <c r="T1508" s="21"/>
      <c r="U1508" s="21"/>
      <c r="AI1508" s="21"/>
    </row>
    <row r="1509" spans="5:35">
      <c r="E1509" s="21"/>
      <c r="T1509" s="21"/>
      <c r="U1509" s="21"/>
      <c r="AI1509" s="21"/>
    </row>
    <row r="1510" spans="5:35">
      <c r="E1510" s="21"/>
      <c r="T1510" s="21"/>
      <c r="U1510" s="21"/>
      <c r="AI1510" s="21"/>
    </row>
    <row r="1511" spans="5:35">
      <c r="E1511" s="21"/>
      <c r="T1511" s="21"/>
      <c r="U1511" s="21"/>
      <c r="AI1511" s="21"/>
    </row>
    <row r="1512" spans="5:35">
      <c r="E1512" s="21"/>
      <c r="T1512" s="21"/>
      <c r="U1512" s="21"/>
      <c r="AI1512" s="21"/>
    </row>
    <row r="1513" spans="5:35">
      <c r="E1513" s="21"/>
      <c r="T1513" s="21"/>
      <c r="U1513" s="21"/>
      <c r="AI1513" s="21"/>
    </row>
    <row r="1514" spans="5:35">
      <c r="E1514" s="21"/>
      <c r="T1514" s="21"/>
      <c r="U1514" s="21"/>
      <c r="AI1514" s="21"/>
    </row>
    <row r="1515" spans="5:35">
      <c r="E1515" s="21"/>
      <c r="T1515" s="21"/>
      <c r="U1515" s="21"/>
      <c r="AI1515" s="21"/>
    </row>
    <row r="1516" spans="5:35">
      <c r="E1516" s="21"/>
      <c r="T1516" s="21"/>
      <c r="U1516" s="21"/>
      <c r="AI1516" s="21"/>
    </row>
    <row r="1517" spans="5:35">
      <c r="E1517" s="21"/>
      <c r="T1517" s="21"/>
      <c r="U1517" s="21"/>
      <c r="AI1517" s="21"/>
    </row>
    <row r="1518" spans="5:35">
      <c r="E1518" s="21"/>
      <c r="T1518" s="21"/>
      <c r="U1518" s="21"/>
      <c r="AI1518" s="21"/>
    </row>
    <row r="1519" spans="5:35">
      <c r="E1519" s="21"/>
      <c r="T1519" s="21"/>
      <c r="U1519" s="21"/>
      <c r="AI1519" s="21"/>
    </row>
    <row r="1520" spans="5:35">
      <c r="E1520" s="21"/>
      <c r="T1520" s="21"/>
      <c r="U1520" s="21"/>
      <c r="AI1520" s="21"/>
    </row>
    <row r="1521" spans="5:35">
      <c r="E1521" s="21"/>
      <c r="T1521" s="21"/>
      <c r="U1521" s="21"/>
      <c r="AI1521" s="21"/>
    </row>
    <row r="1522" spans="5:35">
      <c r="E1522" s="21"/>
      <c r="T1522" s="21"/>
      <c r="U1522" s="21"/>
      <c r="AI1522" s="21"/>
    </row>
    <row r="1523" spans="5:35">
      <c r="E1523" s="21"/>
      <c r="T1523" s="21"/>
      <c r="U1523" s="21"/>
      <c r="AI1523" s="21"/>
    </row>
    <row r="1524" spans="5:35">
      <c r="E1524" s="21"/>
      <c r="T1524" s="21"/>
      <c r="U1524" s="21"/>
      <c r="AI1524" s="21"/>
    </row>
    <row r="1525" spans="5:35">
      <c r="E1525" s="21"/>
      <c r="T1525" s="21"/>
      <c r="U1525" s="21"/>
      <c r="AI1525" s="21"/>
    </row>
    <row r="1526" spans="5:35">
      <c r="E1526" s="21"/>
      <c r="T1526" s="21"/>
      <c r="U1526" s="21"/>
      <c r="AI1526" s="21"/>
    </row>
    <row r="1527" spans="5:35">
      <c r="E1527" s="21"/>
      <c r="T1527" s="21"/>
      <c r="U1527" s="21"/>
      <c r="AI1527" s="21"/>
    </row>
    <row r="1528" spans="5:35">
      <c r="E1528" s="21"/>
      <c r="T1528" s="21"/>
      <c r="U1528" s="21"/>
      <c r="AI1528" s="21"/>
    </row>
    <row r="1529" spans="5:35">
      <c r="E1529" s="21"/>
      <c r="T1529" s="21"/>
      <c r="U1529" s="21"/>
      <c r="AI1529" s="21"/>
    </row>
    <row r="1530" spans="5:35">
      <c r="E1530" s="21"/>
      <c r="T1530" s="21"/>
      <c r="U1530" s="21"/>
      <c r="AI1530" s="21"/>
    </row>
    <row r="1531" spans="5:35">
      <c r="E1531" s="21"/>
      <c r="T1531" s="21"/>
      <c r="U1531" s="21"/>
      <c r="AI1531" s="21"/>
    </row>
    <row r="1532" spans="5:35">
      <c r="E1532" s="21"/>
      <c r="T1532" s="21"/>
      <c r="U1532" s="21"/>
      <c r="AI1532" s="21"/>
    </row>
    <row r="1533" spans="5:35">
      <c r="E1533" s="21"/>
      <c r="T1533" s="21"/>
      <c r="U1533" s="21"/>
      <c r="AI1533" s="21"/>
    </row>
    <row r="1534" spans="5:35">
      <c r="E1534" s="21"/>
      <c r="T1534" s="21"/>
      <c r="U1534" s="21"/>
      <c r="AI1534" s="21"/>
    </row>
    <row r="1535" spans="5:35">
      <c r="E1535" s="21"/>
      <c r="T1535" s="21"/>
      <c r="U1535" s="21"/>
      <c r="AI1535" s="21"/>
    </row>
    <row r="1536" spans="5:35">
      <c r="E1536" s="21"/>
      <c r="T1536" s="21"/>
      <c r="U1536" s="21"/>
      <c r="AI1536" s="21"/>
    </row>
    <row r="1537" spans="5:35">
      <c r="E1537" s="21"/>
      <c r="T1537" s="21"/>
      <c r="U1537" s="21"/>
      <c r="AI1537" s="21"/>
    </row>
    <row r="1538" spans="5:35">
      <c r="E1538" s="21"/>
      <c r="T1538" s="21"/>
      <c r="U1538" s="21"/>
      <c r="AI1538" s="21"/>
    </row>
    <row r="1539" spans="5:35">
      <c r="E1539" s="21"/>
      <c r="T1539" s="21"/>
      <c r="U1539" s="21"/>
      <c r="AI1539" s="21"/>
    </row>
    <row r="1540" spans="5:35">
      <c r="E1540" s="21"/>
      <c r="T1540" s="21"/>
      <c r="U1540" s="21"/>
      <c r="AI1540" s="21"/>
    </row>
    <row r="1541" spans="5:35">
      <c r="E1541" s="21"/>
      <c r="T1541" s="21"/>
      <c r="U1541" s="21"/>
      <c r="AI1541" s="21"/>
    </row>
    <row r="1542" spans="5:35">
      <c r="E1542" s="21"/>
      <c r="T1542" s="21"/>
      <c r="U1542" s="21"/>
      <c r="AI1542" s="21"/>
    </row>
    <row r="1543" spans="5:35">
      <c r="E1543" s="21"/>
      <c r="T1543" s="21"/>
      <c r="U1543" s="21"/>
      <c r="AI1543" s="21"/>
    </row>
    <row r="1544" spans="5:35">
      <c r="E1544" s="21"/>
      <c r="T1544" s="21"/>
      <c r="U1544" s="21"/>
      <c r="AI1544" s="21"/>
    </row>
    <row r="1545" spans="5:35">
      <c r="E1545" s="21"/>
      <c r="T1545" s="21"/>
      <c r="U1545" s="21"/>
      <c r="AI1545" s="21"/>
    </row>
    <row r="1546" spans="5:35">
      <c r="E1546" s="21"/>
      <c r="T1546" s="21"/>
      <c r="U1546" s="21"/>
      <c r="AI1546" s="21"/>
    </row>
    <row r="1547" spans="5:35">
      <c r="E1547" s="21"/>
      <c r="T1547" s="21"/>
      <c r="U1547" s="21"/>
      <c r="AI1547" s="21"/>
    </row>
    <row r="1548" spans="5:35">
      <c r="E1548" s="21"/>
      <c r="T1548" s="21"/>
      <c r="U1548" s="21"/>
      <c r="AI1548" s="21"/>
    </row>
    <row r="1549" spans="5:35">
      <c r="E1549" s="21"/>
      <c r="T1549" s="21"/>
      <c r="U1549" s="21"/>
      <c r="AI1549" s="21"/>
    </row>
    <row r="1550" spans="5:35">
      <c r="E1550" s="21"/>
      <c r="T1550" s="21"/>
      <c r="U1550" s="21"/>
      <c r="AI1550" s="21"/>
    </row>
    <row r="1551" spans="5:35">
      <c r="E1551" s="21"/>
      <c r="T1551" s="21"/>
      <c r="U1551" s="21"/>
      <c r="AI1551" s="21"/>
    </row>
    <row r="1552" spans="5:35">
      <c r="E1552" s="21"/>
      <c r="T1552" s="21"/>
      <c r="U1552" s="21"/>
      <c r="AI1552" s="21"/>
    </row>
    <row r="1553" spans="5:35">
      <c r="E1553" s="21"/>
      <c r="T1553" s="21"/>
      <c r="U1553" s="21"/>
      <c r="AI1553" s="21"/>
    </row>
    <row r="1554" spans="5:35">
      <c r="E1554" s="21"/>
      <c r="T1554" s="21"/>
      <c r="U1554" s="21"/>
      <c r="AI1554" s="21"/>
    </row>
    <row r="1555" spans="5:35">
      <c r="E1555" s="21"/>
      <c r="T1555" s="21"/>
      <c r="U1555" s="21"/>
      <c r="AI1555" s="21"/>
    </row>
    <row r="1556" spans="5:35">
      <c r="E1556" s="21"/>
      <c r="T1556" s="21"/>
      <c r="U1556" s="21"/>
      <c r="AI1556" s="21"/>
    </row>
    <row r="1557" spans="5:35">
      <c r="E1557" s="21"/>
      <c r="T1557" s="21"/>
      <c r="U1557" s="21"/>
      <c r="AI1557" s="21"/>
    </row>
    <row r="1558" spans="5:35">
      <c r="E1558" s="21"/>
      <c r="T1558" s="21"/>
      <c r="U1558" s="21"/>
      <c r="AI1558" s="21"/>
    </row>
    <row r="1559" spans="5:35">
      <c r="E1559" s="21"/>
      <c r="T1559" s="21"/>
      <c r="U1559" s="21"/>
      <c r="AI1559" s="21"/>
    </row>
    <row r="1560" spans="5:35">
      <c r="E1560" s="21"/>
      <c r="T1560" s="21"/>
      <c r="U1560" s="21"/>
      <c r="AI1560" s="21"/>
    </row>
    <row r="1561" spans="5:35">
      <c r="E1561" s="21"/>
      <c r="T1561" s="21"/>
      <c r="U1561" s="21"/>
      <c r="AI1561" s="21"/>
    </row>
    <row r="1562" spans="5:35">
      <c r="E1562" s="21"/>
      <c r="T1562" s="21"/>
      <c r="U1562" s="21"/>
      <c r="AI1562" s="21"/>
    </row>
    <row r="1563" spans="5:35">
      <c r="E1563" s="21"/>
      <c r="T1563" s="21"/>
      <c r="U1563" s="21"/>
      <c r="AI1563" s="21"/>
    </row>
    <row r="1564" spans="5:35">
      <c r="E1564" s="21"/>
      <c r="T1564" s="21"/>
      <c r="U1564" s="21"/>
      <c r="AI1564" s="21"/>
    </row>
    <row r="1565" spans="5:35">
      <c r="E1565" s="21"/>
      <c r="T1565" s="21"/>
      <c r="U1565" s="21"/>
      <c r="AI1565" s="21"/>
    </row>
    <row r="1566" spans="5:35">
      <c r="E1566" s="21"/>
      <c r="T1566" s="21"/>
      <c r="U1566" s="21"/>
      <c r="AI1566" s="21"/>
    </row>
    <row r="1567" spans="5:35">
      <c r="E1567" s="21"/>
      <c r="T1567" s="21"/>
      <c r="U1567" s="21"/>
      <c r="AI1567" s="21"/>
    </row>
    <row r="1568" spans="5:35">
      <c r="E1568" s="21"/>
      <c r="T1568" s="21"/>
      <c r="U1568" s="21"/>
      <c r="AI1568" s="21"/>
    </row>
    <row r="1569" spans="5:35">
      <c r="E1569" s="21"/>
      <c r="T1569" s="21"/>
      <c r="U1569" s="21"/>
      <c r="AI1569" s="21"/>
    </row>
    <row r="1570" spans="5:35">
      <c r="E1570" s="21"/>
      <c r="T1570" s="21"/>
      <c r="U1570" s="21"/>
      <c r="AI1570" s="21"/>
    </row>
    <row r="1571" spans="5:35">
      <c r="E1571" s="21"/>
      <c r="T1571" s="21"/>
      <c r="U1571" s="21"/>
      <c r="AI1571" s="21"/>
    </row>
    <row r="1572" spans="5:35">
      <c r="E1572" s="21"/>
      <c r="T1572" s="21"/>
      <c r="U1572" s="21"/>
      <c r="AI1572" s="21"/>
    </row>
    <row r="1573" spans="5:35">
      <c r="E1573" s="21"/>
      <c r="T1573" s="21"/>
      <c r="U1573" s="21"/>
      <c r="AI1573" s="21"/>
    </row>
    <row r="1574" spans="5:35">
      <c r="E1574" s="21"/>
      <c r="T1574" s="21"/>
      <c r="U1574" s="21"/>
      <c r="AI1574" s="21"/>
    </row>
    <row r="1575" spans="5:35">
      <c r="E1575" s="21"/>
      <c r="T1575" s="21"/>
      <c r="U1575" s="21"/>
      <c r="AI1575" s="21"/>
    </row>
    <row r="1576" spans="5:35">
      <c r="E1576" s="21"/>
      <c r="T1576" s="21"/>
      <c r="U1576" s="21"/>
      <c r="AI1576" s="21"/>
    </row>
    <row r="1577" spans="5:35">
      <c r="E1577" s="21"/>
      <c r="S1577" s="21"/>
      <c r="Z1577" s="21"/>
    </row>
    <row r="1578" spans="5:35">
      <c r="E1578" s="21"/>
      <c r="S1578" s="21"/>
      <c r="Z1578" s="21"/>
    </row>
    <row r="1579" spans="5:35">
      <c r="E1579" s="21"/>
      <c r="S1579" s="21"/>
      <c r="Z1579" s="21"/>
    </row>
    <row r="1580" spans="5:35">
      <c r="E1580" s="21"/>
      <c r="S1580" s="21"/>
      <c r="Z1580" s="21"/>
    </row>
    <row r="1581" spans="5:35">
      <c r="E1581" s="21"/>
      <c r="S1581" s="21"/>
      <c r="Z1581" s="21"/>
    </row>
    <row r="1582" spans="5:35">
      <c r="E1582" s="21"/>
      <c r="S1582" s="21"/>
      <c r="Z1582" s="21"/>
    </row>
    <row r="1583" spans="5:35">
      <c r="E1583" s="21"/>
      <c r="S1583" s="21"/>
      <c r="Z1583" s="21"/>
    </row>
    <row r="1584" spans="5:35">
      <c r="E1584" s="21"/>
      <c r="S1584" s="21"/>
      <c r="Z1584" s="21"/>
    </row>
    <row r="1585" spans="5:26">
      <c r="E1585" s="21"/>
      <c r="S1585" s="21"/>
      <c r="Z1585" s="21"/>
    </row>
    <row r="1586" spans="5:26">
      <c r="E1586" s="21"/>
      <c r="S1586" s="21"/>
      <c r="Z1586" s="21"/>
    </row>
    <row r="1587" spans="5:26">
      <c r="E1587" s="21"/>
      <c r="S1587" s="21"/>
      <c r="Z1587" s="21"/>
    </row>
    <row r="1588" spans="5:26">
      <c r="E1588" s="21"/>
      <c r="S1588" s="21"/>
      <c r="Z1588" s="21"/>
    </row>
    <row r="1589" spans="5:26">
      <c r="E1589" s="21"/>
      <c r="S1589" s="21"/>
      <c r="Z1589" s="21"/>
    </row>
    <row r="1590" spans="5:26">
      <c r="E1590" s="21"/>
      <c r="S1590" s="21"/>
      <c r="Z1590" s="21"/>
    </row>
    <row r="1591" spans="5:26">
      <c r="E1591" s="21"/>
      <c r="S1591" s="21"/>
      <c r="Z1591" s="21"/>
    </row>
    <row r="1592" spans="5:26">
      <c r="E1592" s="21"/>
      <c r="S1592" s="21"/>
      <c r="Z1592" s="21"/>
    </row>
    <row r="1593" spans="5:26">
      <c r="E1593" s="21"/>
      <c r="S1593" s="21"/>
      <c r="Z1593" s="21"/>
    </row>
    <row r="1594" spans="5:26">
      <c r="E1594" s="21"/>
      <c r="S1594" s="21"/>
      <c r="Z1594" s="21"/>
    </row>
    <row r="1595" spans="5:26">
      <c r="E1595" s="21"/>
      <c r="S1595" s="21"/>
      <c r="Z1595" s="21"/>
    </row>
    <row r="1596" spans="5:26">
      <c r="E1596" s="21"/>
      <c r="S1596" s="21"/>
      <c r="Z1596" s="21"/>
    </row>
    <row r="1597" spans="5:26">
      <c r="E1597" s="21"/>
      <c r="S1597" s="21"/>
      <c r="Z1597" s="21"/>
    </row>
    <row r="1598" spans="5:26">
      <c r="E1598" s="21"/>
      <c r="S1598" s="21"/>
      <c r="Z1598" s="21"/>
    </row>
    <row r="1599" spans="5:26">
      <c r="E1599" s="21"/>
      <c r="S1599" s="21"/>
      <c r="Z1599" s="21"/>
    </row>
    <row r="1600" spans="5:26">
      <c r="E1600" s="21"/>
      <c r="S1600" s="21"/>
      <c r="Z1600" s="21"/>
    </row>
    <row r="1601" spans="5:26">
      <c r="E1601" s="21"/>
      <c r="S1601" s="21"/>
      <c r="Z1601" s="21"/>
    </row>
    <row r="1602" spans="5:26">
      <c r="E1602" s="21"/>
      <c r="S1602" s="21"/>
      <c r="Z1602" s="21"/>
    </row>
    <row r="1603" spans="5:26">
      <c r="E1603" s="21"/>
      <c r="S1603" s="21"/>
      <c r="Z1603" s="21"/>
    </row>
    <row r="1604" spans="5:26">
      <c r="E1604" s="21"/>
      <c r="S1604" s="21"/>
      <c r="Z1604" s="21"/>
    </row>
    <row r="1605" spans="5:26">
      <c r="E1605" s="21"/>
      <c r="S1605" s="21"/>
      <c r="Z1605" s="21"/>
    </row>
    <row r="1606" spans="5:26">
      <c r="E1606" s="21"/>
      <c r="S1606" s="21"/>
      <c r="Z1606" s="21"/>
    </row>
    <row r="1607" spans="5:26">
      <c r="E1607" s="21"/>
      <c r="S1607" s="21"/>
      <c r="Z1607" s="21"/>
    </row>
    <row r="1608" spans="5:26">
      <c r="E1608" s="21"/>
      <c r="S1608" s="21"/>
      <c r="Z1608" s="21"/>
    </row>
    <row r="1609" spans="5:26">
      <c r="E1609" s="21"/>
      <c r="S1609" s="21"/>
      <c r="Z1609" s="21"/>
    </row>
    <row r="1610" spans="5:26">
      <c r="E1610" s="21"/>
      <c r="S1610" s="21"/>
      <c r="Z1610" s="21"/>
    </row>
    <row r="1611" spans="5:26">
      <c r="E1611" s="21"/>
      <c r="S1611" s="21"/>
      <c r="Z1611" s="21"/>
    </row>
    <row r="1612" spans="5:26">
      <c r="E1612" s="21"/>
      <c r="S1612" s="21"/>
      <c r="Z1612" s="21"/>
    </row>
    <row r="1613" spans="5:26">
      <c r="E1613" s="21"/>
      <c r="S1613" s="21"/>
      <c r="Z1613" s="21"/>
    </row>
    <row r="1614" spans="5:26">
      <c r="E1614" s="21"/>
      <c r="S1614" s="21"/>
      <c r="Z1614" s="21"/>
    </row>
    <row r="1615" spans="5:26">
      <c r="E1615" s="21"/>
      <c r="S1615" s="21"/>
      <c r="Z1615" s="21"/>
    </row>
    <row r="1616" spans="5:26">
      <c r="E1616" s="21"/>
      <c r="S1616" s="21"/>
      <c r="Z1616" s="21"/>
    </row>
    <row r="1617" spans="5:26">
      <c r="E1617" s="21"/>
      <c r="S1617" s="21"/>
      <c r="Z1617" s="21"/>
    </row>
    <row r="1618" spans="5:26">
      <c r="E1618" s="21"/>
      <c r="S1618" s="21"/>
      <c r="Z1618" s="21"/>
    </row>
    <row r="1619" spans="5:26">
      <c r="E1619" s="21"/>
      <c r="S1619" s="21"/>
      <c r="Z1619" s="21"/>
    </row>
    <row r="1620" spans="5:26">
      <c r="E1620" s="21"/>
      <c r="S1620" s="21"/>
      <c r="Z1620" s="21"/>
    </row>
    <row r="1621" spans="5:26">
      <c r="E1621" s="21"/>
      <c r="S1621" s="21"/>
      <c r="Z1621" s="21"/>
    </row>
    <row r="1622" spans="5:26">
      <c r="E1622" s="21"/>
      <c r="S1622" s="21"/>
      <c r="Z1622" s="21"/>
    </row>
    <row r="1623" spans="5:26">
      <c r="E1623" s="21"/>
      <c r="S1623" s="21"/>
      <c r="Z1623" s="21"/>
    </row>
    <row r="1624" spans="5:26">
      <c r="E1624" s="21"/>
      <c r="S1624" s="21"/>
      <c r="Z1624" s="21"/>
    </row>
    <row r="1625" spans="5:26">
      <c r="E1625" s="21"/>
      <c r="S1625" s="21"/>
      <c r="Z1625" s="21"/>
    </row>
    <row r="1626" spans="5:26">
      <c r="E1626" s="21"/>
      <c r="S1626" s="21"/>
      <c r="Z1626" s="21"/>
    </row>
    <row r="1627" spans="5:26">
      <c r="E1627" s="21"/>
      <c r="S1627" s="21"/>
      <c r="Z1627" s="21"/>
    </row>
    <row r="1628" spans="5:26">
      <c r="E1628" s="21"/>
      <c r="S1628" s="21"/>
      <c r="Z1628" s="21"/>
    </row>
    <row r="1629" spans="5:26">
      <c r="E1629" s="21"/>
      <c r="S1629" s="21"/>
      <c r="Z1629" s="21"/>
    </row>
    <row r="1630" spans="5:26">
      <c r="E1630" s="21"/>
      <c r="S1630" s="21"/>
      <c r="Z1630" s="21"/>
    </row>
    <row r="1631" spans="5:26">
      <c r="E1631" s="21"/>
      <c r="S1631" s="21"/>
      <c r="Z1631" s="21"/>
    </row>
    <row r="1632" spans="5:26">
      <c r="E1632" s="21"/>
      <c r="S1632" s="21"/>
      <c r="Z1632" s="21"/>
    </row>
    <row r="1633" spans="5:26">
      <c r="E1633" s="21"/>
      <c r="S1633" s="21"/>
      <c r="Z1633" s="21"/>
    </row>
    <row r="1634" spans="5:26">
      <c r="E1634" s="21"/>
      <c r="S1634" s="21"/>
      <c r="Z1634" s="21"/>
    </row>
  </sheetData>
  <sortState ref="AQ2:AZ262">
    <sortCondition descending="1" ref="AR1"/>
  </sortState>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sheetPr codeName="Sheet10"/>
  <dimension ref="A1:AD2003"/>
  <sheetViews>
    <sheetView showGridLines="0" showRowColHeaders="0" zoomScale="75" zoomScaleNormal="75" workbookViewId="0">
      <pane ySplit="4" topLeftCell="A5" activePane="bottomLeft" state="frozen"/>
      <selection pane="bottomLeft" activeCell="A5" sqref="A5"/>
    </sheetView>
  </sheetViews>
  <sheetFormatPr defaultColWidth="9.140625" defaultRowHeight="15" zeroHeight="1"/>
  <cols>
    <col min="1" max="1" width="6.140625" bestFit="1" customWidth="1"/>
    <col min="2" max="2" width="18.42578125" customWidth="1"/>
    <col min="3" max="3" width="28.5703125" customWidth="1"/>
    <col min="4" max="5" width="14.28515625" customWidth="1"/>
    <col min="6" max="6" width="35.7109375" customWidth="1"/>
    <col min="7" max="7" width="19" bestFit="1" customWidth="1"/>
    <col min="8" max="8" width="17.140625" customWidth="1"/>
    <col min="9" max="9" width="14.42578125" bestFit="1" customWidth="1"/>
    <col min="10" max="10" width="11.42578125" customWidth="1"/>
    <col min="11" max="11" width="28.5703125" customWidth="1"/>
    <col min="12" max="12" width="16.5703125" bestFit="1" customWidth="1"/>
    <col min="13" max="16" width="14.28515625" customWidth="1"/>
    <col min="17" max="17" width="16" bestFit="1" customWidth="1"/>
    <col min="18" max="19" width="14.28515625" customWidth="1"/>
    <col min="20" max="20" width="14" bestFit="1" customWidth="1"/>
    <col min="21" max="21" width="17.85546875" customWidth="1"/>
    <col min="22" max="22" width="12.85546875" customWidth="1"/>
    <col min="23" max="23" width="18.28515625" bestFit="1" customWidth="1"/>
    <col min="24" max="24" width="14.28515625" customWidth="1"/>
    <col min="25" max="25" width="13.5703125" bestFit="1" customWidth="1"/>
    <col min="26" max="26" width="17.28515625" bestFit="1" customWidth="1"/>
    <col min="27" max="27" width="9.42578125" customWidth="1"/>
    <col min="28" max="28" width="7.7109375" customWidth="1"/>
    <col min="29" max="29" width="31.42578125" style="115" customWidth="1"/>
    <col min="30" max="30" width="13.42578125" style="115" customWidth="1"/>
    <col min="16384" max="16384" width="5.140625" customWidth="1"/>
  </cols>
  <sheetData>
    <row r="1" spans="1:30" s="96" customFormat="1">
      <c r="A1"/>
      <c r="H1"/>
      <c r="AC1" s="115"/>
      <c r="AD1" s="115"/>
    </row>
    <row r="2" spans="1:30" s="96" customFormat="1">
      <c r="A2"/>
      <c r="AC2" s="115"/>
      <c r="AD2" s="115"/>
    </row>
    <row r="3" spans="1:30" s="96" customFormat="1">
      <c r="A3"/>
      <c r="AC3" s="116"/>
      <c r="AD3" s="115"/>
    </row>
    <row r="4" spans="1:30">
      <c r="A4" s="136" t="s">
        <v>139</v>
      </c>
      <c r="B4" s="137" t="s">
        <v>140</v>
      </c>
      <c r="C4" s="138" t="s">
        <v>141</v>
      </c>
      <c r="D4" s="139" t="s">
        <v>142</v>
      </c>
      <c r="E4" s="140" t="s">
        <v>143</v>
      </c>
      <c r="F4" s="141" t="s">
        <v>144</v>
      </c>
      <c r="G4" s="141" t="s">
        <v>145</v>
      </c>
      <c r="H4" s="141" t="s">
        <v>146</v>
      </c>
      <c r="I4" s="141" t="s">
        <v>147</v>
      </c>
      <c r="J4" s="141" t="s">
        <v>10</v>
      </c>
      <c r="K4" s="141" t="s">
        <v>12</v>
      </c>
      <c r="L4" s="141" t="s">
        <v>148</v>
      </c>
      <c r="M4" s="141" t="s">
        <v>13</v>
      </c>
      <c r="N4" s="141" t="s">
        <v>149</v>
      </c>
      <c r="O4" s="141" t="s">
        <v>16</v>
      </c>
      <c r="P4" s="141" t="s">
        <v>18</v>
      </c>
      <c r="Q4" s="141" t="s">
        <v>150</v>
      </c>
      <c r="R4" s="141" t="s">
        <v>151</v>
      </c>
      <c r="S4" s="142" t="s">
        <v>152</v>
      </c>
      <c r="T4" s="142" t="s">
        <v>153</v>
      </c>
      <c r="U4" s="142" t="s">
        <v>154</v>
      </c>
      <c r="V4" s="142" t="s">
        <v>155</v>
      </c>
      <c r="W4" s="142" t="s">
        <v>156</v>
      </c>
      <c r="X4" s="142" t="s">
        <v>157</v>
      </c>
      <c r="Y4" s="142" t="s">
        <v>158</v>
      </c>
      <c r="Z4" s="142" t="s">
        <v>160</v>
      </c>
      <c r="AA4" s="143" t="s">
        <v>330</v>
      </c>
      <c r="AB4" s="142" t="s">
        <v>161</v>
      </c>
      <c r="AC4" s="144" t="s">
        <v>334</v>
      </c>
      <c r="AD4" s="141" t="s">
        <v>333</v>
      </c>
    </row>
    <row r="5" spans="1:30">
      <c r="A5" s="155"/>
      <c r="B5" s="113" t="str">
        <f t="shared" ref="B5:B68" si="0">IF(AND(A5&lt;&gt;"",D5&lt;&gt;"",J5&lt;&gt;"",N5&lt;&gt;""),TEXT(D5,"YY")&amp;"-"&amp;TEXT(D5,"MMM")&amp;"-"&amp;UPPER(LEFT(TRIM(N5),2))&amp;"-"&amp;UPPER(LEFT(TRIM(J5),3))&amp;"-"&amp;A5,"")</f>
        <v/>
      </c>
      <c r="C5" s="183"/>
      <c r="D5" s="152"/>
      <c r="E5" s="152"/>
      <c r="F5" s="151"/>
      <c r="G5" s="153"/>
      <c r="H5" s="151"/>
      <c r="I5" s="151"/>
      <c r="J5" s="151"/>
      <c r="K5" s="151"/>
      <c r="L5" s="151"/>
      <c r="M5" s="151"/>
      <c r="N5" s="151"/>
      <c r="O5" s="151"/>
      <c r="P5" s="151"/>
      <c r="Q5" s="151"/>
      <c r="R5" s="151"/>
      <c r="S5" s="152"/>
      <c r="T5" s="151"/>
      <c r="U5" s="151"/>
      <c r="V5" s="153"/>
      <c r="W5" s="151"/>
      <c r="X5" s="151"/>
      <c r="Y5" s="153"/>
      <c r="Z5" s="151"/>
      <c r="AA5" s="187" t="str">
        <f t="shared" ref="AA5:AA68" si="1">IF(E5="","No","Yes")</f>
        <v>No</v>
      </c>
      <c r="AB5" s="158"/>
      <c r="AC5" s="159"/>
      <c r="AD5" s="160"/>
    </row>
    <row r="6" spans="1:30">
      <c r="A6" s="155"/>
      <c r="B6" s="112" t="str">
        <f t="shared" si="0"/>
        <v/>
      </c>
      <c r="C6" s="183"/>
      <c r="D6" s="152"/>
      <c r="E6" s="152"/>
      <c r="F6" s="151"/>
      <c r="G6" s="153"/>
      <c r="H6" s="151"/>
      <c r="I6" s="151"/>
      <c r="J6" s="151"/>
      <c r="K6" s="151"/>
      <c r="L6" s="151"/>
      <c r="M6" s="151"/>
      <c r="N6" s="151"/>
      <c r="O6" s="151"/>
      <c r="P6" s="151"/>
      <c r="Q6" s="151"/>
      <c r="R6" s="151"/>
      <c r="S6" s="152"/>
      <c r="T6" s="151"/>
      <c r="U6" s="151"/>
      <c r="V6" s="153"/>
      <c r="W6" s="151"/>
      <c r="X6" s="151"/>
      <c r="Y6" s="153"/>
      <c r="Z6" s="151"/>
      <c r="AA6" s="187" t="str">
        <f t="shared" si="1"/>
        <v>No</v>
      </c>
      <c r="AB6" s="158"/>
      <c r="AC6" s="159"/>
      <c r="AD6" s="160"/>
    </row>
    <row r="7" spans="1:30">
      <c r="A7" s="155"/>
      <c r="B7" s="112" t="str">
        <f t="shared" si="0"/>
        <v/>
      </c>
      <c r="C7" s="183"/>
      <c r="D7" s="152"/>
      <c r="E7" s="152"/>
      <c r="F7" s="151"/>
      <c r="G7" s="153"/>
      <c r="H7" s="151"/>
      <c r="I7" s="151"/>
      <c r="J7" s="151"/>
      <c r="K7" s="151"/>
      <c r="L7" s="151"/>
      <c r="M7" s="151"/>
      <c r="N7" s="151"/>
      <c r="O7" s="151"/>
      <c r="P7" s="151"/>
      <c r="Q7" s="151"/>
      <c r="R7" s="151"/>
      <c r="S7" s="152"/>
      <c r="T7" s="151"/>
      <c r="U7" s="151"/>
      <c r="V7" s="153"/>
      <c r="W7" s="151"/>
      <c r="X7" s="151"/>
      <c r="Y7" s="153"/>
      <c r="Z7" s="151"/>
      <c r="AA7" s="187" t="str">
        <f t="shared" si="1"/>
        <v>No</v>
      </c>
      <c r="AB7" s="158"/>
      <c r="AC7" s="159"/>
      <c r="AD7" s="160"/>
    </row>
    <row r="8" spans="1:30">
      <c r="A8" s="155"/>
      <c r="B8" s="112" t="str">
        <f t="shared" si="0"/>
        <v/>
      </c>
      <c r="C8" s="183"/>
      <c r="D8" s="152"/>
      <c r="E8" s="152"/>
      <c r="F8" s="151"/>
      <c r="G8" s="153"/>
      <c r="H8" s="151"/>
      <c r="I8" s="151"/>
      <c r="J8" s="151"/>
      <c r="K8" s="151"/>
      <c r="L8" s="151"/>
      <c r="M8" s="151"/>
      <c r="N8" s="151"/>
      <c r="O8" s="151"/>
      <c r="P8" s="151"/>
      <c r="Q8" s="151"/>
      <c r="R8" s="151"/>
      <c r="S8" s="152"/>
      <c r="T8" s="151"/>
      <c r="U8" s="151"/>
      <c r="V8" s="153"/>
      <c r="W8" s="151"/>
      <c r="X8" s="151"/>
      <c r="Y8" s="153"/>
      <c r="Z8" s="151"/>
      <c r="AA8" s="187" t="str">
        <f t="shared" si="1"/>
        <v>No</v>
      </c>
      <c r="AB8" s="158"/>
      <c r="AC8" s="159"/>
      <c r="AD8" s="160"/>
    </row>
    <row r="9" spans="1:30">
      <c r="A9" s="155"/>
      <c r="B9" s="112" t="str">
        <f t="shared" si="0"/>
        <v/>
      </c>
      <c r="C9" s="183"/>
      <c r="D9" s="152"/>
      <c r="E9" s="152"/>
      <c r="F9" s="151"/>
      <c r="G9" s="153"/>
      <c r="H9" s="151"/>
      <c r="I9" s="151"/>
      <c r="J9" s="151"/>
      <c r="K9" s="151"/>
      <c r="L9" s="151"/>
      <c r="M9" s="151"/>
      <c r="N9" s="151"/>
      <c r="O9" s="151"/>
      <c r="P9" s="151"/>
      <c r="Q9" s="151"/>
      <c r="R9" s="151"/>
      <c r="S9" s="152"/>
      <c r="T9" s="151"/>
      <c r="U9" s="151"/>
      <c r="V9" s="153"/>
      <c r="W9" s="151"/>
      <c r="X9" s="151"/>
      <c r="Y9" s="153"/>
      <c r="Z9" s="151"/>
      <c r="AA9" s="187" t="str">
        <f t="shared" si="1"/>
        <v>No</v>
      </c>
      <c r="AB9" s="158"/>
      <c r="AC9" s="159"/>
      <c r="AD9" s="160"/>
    </row>
    <row r="10" spans="1:30">
      <c r="A10" s="155"/>
      <c r="B10" s="112" t="str">
        <f t="shared" si="0"/>
        <v/>
      </c>
      <c r="C10" s="183"/>
      <c r="D10" s="152"/>
      <c r="E10" s="152"/>
      <c r="F10" s="151"/>
      <c r="G10" s="153"/>
      <c r="H10" s="151"/>
      <c r="I10" s="151"/>
      <c r="J10" s="151"/>
      <c r="K10" s="151"/>
      <c r="L10" s="151"/>
      <c r="M10" s="151"/>
      <c r="N10" s="151"/>
      <c r="O10" s="151"/>
      <c r="P10" s="151"/>
      <c r="Q10" s="151"/>
      <c r="R10" s="151"/>
      <c r="S10" s="152"/>
      <c r="T10" s="151"/>
      <c r="U10" s="151"/>
      <c r="V10" s="153"/>
      <c r="W10" s="151"/>
      <c r="X10" s="151"/>
      <c r="Y10" s="153"/>
      <c r="Z10" s="151"/>
      <c r="AA10" s="187" t="str">
        <f t="shared" si="1"/>
        <v>No</v>
      </c>
      <c r="AB10" s="158"/>
      <c r="AC10" s="159"/>
      <c r="AD10" s="160"/>
    </row>
    <row r="11" spans="1:30">
      <c r="A11" s="155"/>
      <c r="B11" s="112" t="str">
        <f t="shared" si="0"/>
        <v/>
      </c>
      <c r="C11" s="183"/>
      <c r="D11" s="152"/>
      <c r="E11" s="152"/>
      <c r="F11" s="151"/>
      <c r="G11" s="153"/>
      <c r="H11" s="151"/>
      <c r="I11" s="151"/>
      <c r="J11" s="151"/>
      <c r="K11" s="151"/>
      <c r="L11" s="151"/>
      <c r="M11" s="151"/>
      <c r="N11" s="151"/>
      <c r="O11" s="151"/>
      <c r="P11" s="151"/>
      <c r="Q11" s="151"/>
      <c r="R11" s="151"/>
      <c r="S11" s="152"/>
      <c r="T11" s="151"/>
      <c r="U11" s="151"/>
      <c r="V11" s="153"/>
      <c r="W11" s="151"/>
      <c r="X11" s="151"/>
      <c r="Y11" s="153"/>
      <c r="Z11" s="151"/>
      <c r="AA11" s="187" t="str">
        <f t="shared" si="1"/>
        <v>No</v>
      </c>
      <c r="AB11" s="158"/>
      <c r="AC11" s="159"/>
      <c r="AD11" s="160"/>
    </row>
    <row r="12" spans="1:30">
      <c r="A12" s="155"/>
      <c r="B12" s="112" t="str">
        <f t="shared" si="0"/>
        <v/>
      </c>
      <c r="C12" s="183"/>
      <c r="D12" s="152"/>
      <c r="E12" s="152"/>
      <c r="F12" s="151"/>
      <c r="G12" s="153"/>
      <c r="H12" s="151"/>
      <c r="I12" s="151"/>
      <c r="J12" s="151"/>
      <c r="K12" s="151"/>
      <c r="L12" s="151"/>
      <c r="M12" s="151"/>
      <c r="N12" s="151"/>
      <c r="O12" s="151"/>
      <c r="P12" s="151"/>
      <c r="Q12" s="151"/>
      <c r="R12" s="151"/>
      <c r="S12" s="152"/>
      <c r="T12" s="151"/>
      <c r="U12" s="151"/>
      <c r="V12" s="153"/>
      <c r="W12" s="151"/>
      <c r="X12" s="151"/>
      <c r="Y12" s="153"/>
      <c r="Z12" s="151"/>
      <c r="AA12" s="187" t="str">
        <f t="shared" si="1"/>
        <v>No</v>
      </c>
      <c r="AB12" s="158"/>
      <c r="AC12" s="159"/>
      <c r="AD12" s="160"/>
    </row>
    <row r="13" spans="1:30">
      <c r="A13" s="155"/>
      <c r="B13" s="112" t="str">
        <f t="shared" si="0"/>
        <v/>
      </c>
      <c r="C13" s="183"/>
      <c r="D13" s="152"/>
      <c r="E13" s="152"/>
      <c r="F13" s="151"/>
      <c r="G13" s="153"/>
      <c r="H13" s="151"/>
      <c r="I13" s="151"/>
      <c r="J13" s="151"/>
      <c r="K13" s="151"/>
      <c r="L13" s="151"/>
      <c r="M13" s="151"/>
      <c r="N13" s="151"/>
      <c r="O13" s="151"/>
      <c r="P13" s="151"/>
      <c r="Q13" s="151"/>
      <c r="R13" s="151"/>
      <c r="S13" s="152"/>
      <c r="T13" s="151"/>
      <c r="U13" s="151"/>
      <c r="V13" s="153"/>
      <c r="W13" s="151"/>
      <c r="X13" s="151"/>
      <c r="Y13" s="153"/>
      <c r="Z13" s="151"/>
      <c r="AA13" s="187" t="str">
        <f t="shared" si="1"/>
        <v>No</v>
      </c>
      <c r="AB13" s="158"/>
      <c r="AC13" s="159"/>
      <c r="AD13" s="160"/>
    </row>
    <row r="14" spans="1:30">
      <c r="A14" s="155"/>
      <c r="B14" s="112" t="str">
        <f t="shared" si="0"/>
        <v/>
      </c>
      <c r="C14" s="183"/>
      <c r="D14" s="152"/>
      <c r="E14" s="152"/>
      <c r="F14" s="151"/>
      <c r="G14" s="153"/>
      <c r="H14" s="151"/>
      <c r="I14" s="151"/>
      <c r="J14" s="151"/>
      <c r="K14" s="151"/>
      <c r="L14" s="151"/>
      <c r="M14" s="151"/>
      <c r="N14" s="151"/>
      <c r="O14" s="151"/>
      <c r="P14" s="151"/>
      <c r="Q14" s="151"/>
      <c r="R14" s="151"/>
      <c r="S14" s="152"/>
      <c r="T14" s="151"/>
      <c r="U14" s="151"/>
      <c r="V14" s="153"/>
      <c r="W14" s="151"/>
      <c r="X14" s="151"/>
      <c r="Y14" s="153"/>
      <c r="Z14" s="151"/>
      <c r="AA14" s="187" t="str">
        <f t="shared" si="1"/>
        <v>No</v>
      </c>
      <c r="AB14" s="158"/>
      <c r="AC14" s="159"/>
      <c r="AD14" s="160"/>
    </row>
    <row r="15" spans="1:30">
      <c r="A15" s="155"/>
      <c r="B15" s="112" t="str">
        <f t="shared" si="0"/>
        <v/>
      </c>
      <c r="C15" s="183"/>
      <c r="D15" s="152"/>
      <c r="E15" s="152"/>
      <c r="F15" s="151"/>
      <c r="G15" s="153"/>
      <c r="H15" s="151"/>
      <c r="I15" s="151"/>
      <c r="J15" s="151"/>
      <c r="K15" s="151"/>
      <c r="L15" s="151"/>
      <c r="M15" s="151"/>
      <c r="N15" s="151"/>
      <c r="O15" s="151"/>
      <c r="P15" s="151"/>
      <c r="Q15" s="151"/>
      <c r="R15" s="151"/>
      <c r="S15" s="152"/>
      <c r="T15" s="151"/>
      <c r="U15" s="151"/>
      <c r="V15" s="153"/>
      <c r="W15" s="151"/>
      <c r="X15" s="151"/>
      <c r="Y15" s="153"/>
      <c r="Z15" s="151"/>
      <c r="AA15" s="187" t="str">
        <f t="shared" si="1"/>
        <v>No</v>
      </c>
      <c r="AB15" s="158"/>
      <c r="AC15" s="159"/>
      <c r="AD15" s="160"/>
    </row>
    <row r="16" spans="1:30">
      <c r="A16" s="155"/>
      <c r="B16" s="112" t="str">
        <f t="shared" si="0"/>
        <v/>
      </c>
      <c r="C16" s="183"/>
      <c r="D16" s="152"/>
      <c r="E16" s="152"/>
      <c r="F16" s="151"/>
      <c r="G16" s="153"/>
      <c r="H16" s="151"/>
      <c r="I16" s="151"/>
      <c r="J16" s="151"/>
      <c r="K16" s="151"/>
      <c r="L16" s="151"/>
      <c r="M16" s="151"/>
      <c r="N16" s="151"/>
      <c r="O16" s="151"/>
      <c r="P16" s="151"/>
      <c r="Q16" s="151"/>
      <c r="R16" s="151"/>
      <c r="S16" s="152"/>
      <c r="T16" s="151"/>
      <c r="U16" s="151"/>
      <c r="V16" s="153"/>
      <c r="W16" s="151"/>
      <c r="X16" s="151"/>
      <c r="Y16" s="153"/>
      <c r="Z16" s="151"/>
      <c r="AA16" s="187" t="str">
        <f t="shared" si="1"/>
        <v>No</v>
      </c>
      <c r="AB16" s="158"/>
      <c r="AC16" s="159"/>
      <c r="AD16" s="160"/>
    </row>
    <row r="17" spans="1:30">
      <c r="A17" s="155"/>
      <c r="B17" s="112" t="str">
        <f t="shared" si="0"/>
        <v/>
      </c>
      <c r="C17" s="183"/>
      <c r="D17" s="152"/>
      <c r="E17" s="152"/>
      <c r="F17" s="151"/>
      <c r="G17" s="153"/>
      <c r="H17" s="151"/>
      <c r="I17" s="151"/>
      <c r="J17" s="151"/>
      <c r="K17" s="151"/>
      <c r="L17" s="151"/>
      <c r="M17" s="151"/>
      <c r="N17" s="151"/>
      <c r="O17" s="151"/>
      <c r="P17" s="151"/>
      <c r="Q17" s="151"/>
      <c r="R17" s="151"/>
      <c r="S17" s="152"/>
      <c r="T17" s="151"/>
      <c r="U17" s="151"/>
      <c r="V17" s="153"/>
      <c r="W17" s="151"/>
      <c r="X17" s="151"/>
      <c r="Y17" s="153"/>
      <c r="Z17" s="151"/>
      <c r="AA17" s="187" t="str">
        <f t="shared" si="1"/>
        <v>No</v>
      </c>
      <c r="AB17" s="158"/>
      <c r="AC17" s="159"/>
      <c r="AD17" s="160"/>
    </row>
    <row r="18" spans="1:30">
      <c r="A18" s="155"/>
      <c r="B18" s="112" t="str">
        <f t="shared" si="0"/>
        <v/>
      </c>
      <c r="C18" s="183"/>
      <c r="D18" s="152"/>
      <c r="E18" s="152"/>
      <c r="F18" s="151"/>
      <c r="G18" s="153"/>
      <c r="H18" s="151"/>
      <c r="I18" s="151"/>
      <c r="J18" s="151"/>
      <c r="K18" s="151"/>
      <c r="L18" s="151"/>
      <c r="M18" s="151"/>
      <c r="N18" s="151"/>
      <c r="O18" s="151"/>
      <c r="P18" s="151"/>
      <c r="Q18" s="151"/>
      <c r="R18" s="151"/>
      <c r="S18" s="152"/>
      <c r="T18" s="151"/>
      <c r="U18" s="151"/>
      <c r="V18" s="153"/>
      <c r="W18" s="151"/>
      <c r="X18" s="151"/>
      <c r="Y18" s="153"/>
      <c r="Z18" s="151"/>
      <c r="AA18" s="187" t="str">
        <f t="shared" si="1"/>
        <v>No</v>
      </c>
      <c r="AB18" s="158"/>
      <c r="AC18" s="159"/>
      <c r="AD18" s="160"/>
    </row>
    <row r="19" spans="1:30">
      <c r="A19" s="155"/>
      <c r="B19" s="112" t="str">
        <f t="shared" si="0"/>
        <v/>
      </c>
      <c r="C19" s="183"/>
      <c r="D19" s="152"/>
      <c r="E19" s="152"/>
      <c r="F19" s="151"/>
      <c r="G19" s="153"/>
      <c r="H19" s="151"/>
      <c r="I19" s="151"/>
      <c r="J19" s="151"/>
      <c r="K19" s="151"/>
      <c r="L19" s="151"/>
      <c r="M19" s="151"/>
      <c r="N19" s="151"/>
      <c r="O19" s="151"/>
      <c r="P19" s="151"/>
      <c r="Q19" s="151"/>
      <c r="R19" s="151"/>
      <c r="S19" s="152"/>
      <c r="T19" s="151"/>
      <c r="U19" s="151"/>
      <c r="V19" s="153"/>
      <c r="W19" s="151"/>
      <c r="X19" s="151"/>
      <c r="Y19" s="153"/>
      <c r="Z19" s="151"/>
      <c r="AA19" s="187" t="str">
        <f t="shared" si="1"/>
        <v>No</v>
      </c>
      <c r="AB19" s="158"/>
      <c r="AC19" s="159"/>
      <c r="AD19" s="160"/>
    </row>
    <row r="20" spans="1:30">
      <c r="A20" s="155"/>
      <c r="B20" s="112" t="str">
        <f t="shared" si="0"/>
        <v/>
      </c>
      <c r="C20" s="183"/>
      <c r="D20" s="152"/>
      <c r="E20" s="152"/>
      <c r="F20" s="151"/>
      <c r="G20" s="153"/>
      <c r="H20" s="151"/>
      <c r="I20" s="151"/>
      <c r="J20" s="151"/>
      <c r="K20" s="151"/>
      <c r="L20" s="151"/>
      <c r="M20" s="151"/>
      <c r="N20" s="151"/>
      <c r="O20" s="151"/>
      <c r="P20" s="151"/>
      <c r="Q20" s="151"/>
      <c r="R20" s="151"/>
      <c r="S20" s="152"/>
      <c r="T20" s="151"/>
      <c r="U20" s="151"/>
      <c r="V20" s="153"/>
      <c r="W20" s="151"/>
      <c r="X20" s="151"/>
      <c r="Y20" s="153"/>
      <c r="Z20" s="151"/>
      <c r="AA20" s="187" t="str">
        <f t="shared" si="1"/>
        <v>No</v>
      </c>
      <c r="AB20" s="158"/>
      <c r="AC20" s="159"/>
      <c r="AD20" s="160"/>
    </row>
    <row r="21" spans="1:30">
      <c r="A21" s="155"/>
      <c r="B21" s="112" t="str">
        <f t="shared" si="0"/>
        <v/>
      </c>
      <c r="C21" s="183"/>
      <c r="D21" s="152"/>
      <c r="E21" s="152"/>
      <c r="F21" s="151"/>
      <c r="G21" s="153"/>
      <c r="H21" s="151"/>
      <c r="I21" s="151"/>
      <c r="J21" s="151"/>
      <c r="K21" s="151"/>
      <c r="L21" s="151"/>
      <c r="M21" s="151"/>
      <c r="N21" s="151"/>
      <c r="O21" s="151"/>
      <c r="P21" s="151"/>
      <c r="Q21" s="151"/>
      <c r="R21" s="151"/>
      <c r="S21" s="152"/>
      <c r="T21" s="151"/>
      <c r="U21" s="151"/>
      <c r="V21" s="153"/>
      <c r="W21" s="151"/>
      <c r="X21" s="151"/>
      <c r="Y21" s="153"/>
      <c r="Z21" s="151"/>
      <c r="AA21" s="187" t="str">
        <f t="shared" si="1"/>
        <v>No</v>
      </c>
      <c r="AB21" s="158"/>
      <c r="AC21" s="159"/>
      <c r="AD21" s="160"/>
    </row>
    <row r="22" spans="1:30">
      <c r="A22" s="155"/>
      <c r="B22" s="112" t="str">
        <f t="shared" si="0"/>
        <v/>
      </c>
      <c r="C22" s="183"/>
      <c r="D22" s="152"/>
      <c r="E22" s="152"/>
      <c r="F22" s="151"/>
      <c r="G22" s="153"/>
      <c r="H22" s="151"/>
      <c r="I22" s="151"/>
      <c r="J22" s="151"/>
      <c r="K22" s="151"/>
      <c r="L22" s="151"/>
      <c r="M22" s="151"/>
      <c r="N22" s="151"/>
      <c r="O22" s="151"/>
      <c r="P22" s="151"/>
      <c r="Q22" s="151"/>
      <c r="R22" s="151"/>
      <c r="S22" s="152"/>
      <c r="T22" s="151"/>
      <c r="U22" s="151"/>
      <c r="V22" s="153"/>
      <c r="W22" s="151"/>
      <c r="X22" s="151"/>
      <c r="Y22" s="153"/>
      <c r="Z22" s="151"/>
      <c r="AA22" s="187" t="str">
        <f t="shared" si="1"/>
        <v>No</v>
      </c>
      <c r="AB22" s="158"/>
      <c r="AC22" s="159"/>
      <c r="AD22" s="160"/>
    </row>
    <row r="23" spans="1:30">
      <c r="A23" s="155"/>
      <c r="B23" s="112" t="str">
        <f t="shared" si="0"/>
        <v/>
      </c>
      <c r="C23" s="183"/>
      <c r="D23" s="152"/>
      <c r="E23" s="152"/>
      <c r="F23" s="151"/>
      <c r="G23" s="153"/>
      <c r="H23" s="151"/>
      <c r="I23" s="151"/>
      <c r="J23" s="151"/>
      <c r="K23" s="151"/>
      <c r="L23" s="151"/>
      <c r="M23" s="151"/>
      <c r="N23" s="151"/>
      <c r="O23" s="151"/>
      <c r="P23" s="151"/>
      <c r="Q23" s="151"/>
      <c r="R23" s="151"/>
      <c r="S23" s="152"/>
      <c r="T23" s="151"/>
      <c r="U23" s="151"/>
      <c r="V23" s="153"/>
      <c r="W23" s="151"/>
      <c r="X23" s="151"/>
      <c r="Y23" s="153"/>
      <c r="Z23" s="151"/>
      <c r="AA23" s="187" t="str">
        <f t="shared" si="1"/>
        <v>No</v>
      </c>
      <c r="AB23" s="158"/>
      <c r="AC23" s="159"/>
      <c r="AD23" s="160"/>
    </row>
    <row r="24" spans="1:30">
      <c r="A24" s="155"/>
      <c r="B24" s="112" t="str">
        <f t="shared" si="0"/>
        <v/>
      </c>
      <c r="C24" s="183"/>
      <c r="D24" s="152"/>
      <c r="E24" s="152"/>
      <c r="F24" s="151"/>
      <c r="G24" s="153"/>
      <c r="H24" s="151"/>
      <c r="I24" s="151"/>
      <c r="J24" s="151"/>
      <c r="K24" s="151"/>
      <c r="L24" s="151"/>
      <c r="M24" s="151"/>
      <c r="N24" s="151"/>
      <c r="O24" s="151"/>
      <c r="P24" s="151"/>
      <c r="Q24" s="151"/>
      <c r="R24" s="151"/>
      <c r="S24" s="152"/>
      <c r="T24" s="151"/>
      <c r="U24" s="151"/>
      <c r="V24" s="153"/>
      <c r="W24" s="151"/>
      <c r="X24" s="151"/>
      <c r="Y24" s="153"/>
      <c r="Z24" s="151"/>
      <c r="AA24" s="187" t="str">
        <f t="shared" si="1"/>
        <v>No</v>
      </c>
      <c r="AB24" s="158"/>
      <c r="AC24" s="159"/>
      <c r="AD24" s="160"/>
    </row>
    <row r="25" spans="1:30">
      <c r="A25" s="155"/>
      <c r="B25" s="112" t="str">
        <f t="shared" si="0"/>
        <v/>
      </c>
      <c r="C25" s="183"/>
      <c r="D25" s="152"/>
      <c r="E25" s="152"/>
      <c r="F25" s="151"/>
      <c r="G25" s="153"/>
      <c r="H25" s="151"/>
      <c r="I25" s="151"/>
      <c r="J25" s="151"/>
      <c r="K25" s="151"/>
      <c r="L25" s="151"/>
      <c r="M25" s="151"/>
      <c r="N25" s="151"/>
      <c r="O25" s="151"/>
      <c r="P25" s="151"/>
      <c r="Q25" s="151"/>
      <c r="R25" s="151"/>
      <c r="S25" s="152"/>
      <c r="T25" s="151"/>
      <c r="U25" s="151"/>
      <c r="V25" s="153"/>
      <c r="W25" s="151"/>
      <c r="X25" s="151"/>
      <c r="Y25" s="153"/>
      <c r="Z25" s="151"/>
      <c r="AA25" s="187" t="str">
        <f t="shared" si="1"/>
        <v>No</v>
      </c>
      <c r="AB25" s="158"/>
      <c r="AC25" s="159"/>
      <c r="AD25" s="160"/>
    </row>
    <row r="26" spans="1:30">
      <c r="A26" s="155"/>
      <c r="B26" s="112" t="str">
        <f t="shared" si="0"/>
        <v/>
      </c>
      <c r="C26" s="183"/>
      <c r="D26" s="152"/>
      <c r="E26" s="154"/>
      <c r="F26" s="151"/>
      <c r="G26" s="153"/>
      <c r="H26" s="151"/>
      <c r="I26" s="151"/>
      <c r="J26" s="151"/>
      <c r="K26" s="151"/>
      <c r="L26" s="151"/>
      <c r="M26" s="151"/>
      <c r="N26" s="151"/>
      <c r="O26" s="151"/>
      <c r="P26" s="151"/>
      <c r="Q26" s="151"/>
      <c r="R26" s="151"/>
      <c r="S26" s="152"/>
      <c r="T26" s="151"/>
      <c r="U26" s="151"/>
      <c r="V26" s="153"/>
      <c r="W26" s="151"/>
      <c r="X26" s="151"/>
      <c r="Y26" s="153"/>
      <c r="Z26" s="151"/>
      <c r="AA26" s="187" t="str">
        <f t="shared" si="1"/>
        <v>No</v>
      </c>
      <c r="AB26" s="158"/>
      <c r="AC26" s="159"/>
      <c r="AD26" s="160"/>
    </row>
    <row r="27" spans="1:30">
      <c r="A27" s="155"/>
      <c r="B27" s="112" t="str">
        <f t="shared" si="0"/>
        <v/>
      </c>
      <c r="C27" s="183"/>
      <c r="D27" s="152"/>
      <c r="E27" s="152"/>
      <c r="F27" s="151"/>
      <c r="G27" s="153"/>
      <c r="H27" s="151"/>
      <c r="I27" s="151"/>
      <c r="J27" s="151"/>
      <c r="K27" s="151"/>
      <c r="L27" s="151"/>
      <c r="M27" s="151"/>
      <c r="N27" s="151"/>
      <c r="O27" s="151"/>
      <c r="P27" s="151"/>
      <c r="Q27" s="151"/>
      <c r="R27" s="151"/>
      <c r="S27" s="152"/>
      <c r="T27" s="151"/>
      <c r="U27" s="151"/>
      <c r="V27" s="153"/>
      <c r="W27" s="151"/>
      <c r="X27" s="151"/>
      <c r="Y27" s="153"/>
      <c r="Z27" s="151"/>
      <c r="AA27" s="187" t="str">
        <f t="shared" si="1"/>
        <v>No</v>
      </c>
      <c r="AB27" s="158"/>
      <c r="AC27" s="159"/>
      <c r="AD27" s="160"/>
    </row>
    <row r="28" spans="1:30">
      <c r="A28" s="155"/>
      <c r="B28" s="112" t="str">
        <f t="shared" si="0"/>
        <v/>
      </c>
      <c r="C28" s="183"/>
      <c r="D28" s="152"/>
      <c r="E28" s="152"/>
      <c r="F28" s="151"/>
      <c r="G28" s="153"/>
      <c r="H28" s="151"/>
      <c r="I28" s="151"/>
      <c r="J28" s="151"/>
      <c r="K28" s="151"/>
      <c r="L28" s="151"/>
      <c r="M28" s="151"/>
      <c r="N28" s="151"/>
      <c r="O28" s="151"/>
      <c r="P28" s="151"/>
      <c r="Q28" s="151"/>
      <c r="R28" s="151"/>
      <c r="S28" s="152"/>
      <c r="T28" s="151"/>
      <c r="U28" s="151"/>
      <c r="V28" s="153"/>
      <c r="W28" s="151"/>
      <c r="X28" s="151"/>
      <c r="Y28" s="153"/>
      <c r="Z28" s="151"/>
      <c r="AA28" s="187" t="str">
        <f t="shared" si="1"/>
        <v>No</v>
      </c>
      <c r="AB28" s="158"/>
      <c r="AC28" s="159"/>
      <c r="AD28" s="160"/>
    </row>
    <row r="29" spans="1:30">
      <c r="A29" s="155"/>
      <c r="B29" s="112" t="str">
        <f t="shared" si="0"/>
        <v/>
      </c>
      <c r="C29" s="183"/>
      <c r="D29" s="152"/>
      <c r="E29" s="152"/>
      <c r="F29" s="151"/>
      <c r="G29" s="153"/>
      <c r="H29" s="151"/>
      <c r="I29" s="151"/>
      <c r="J29" s="151"/>
      <c r="K29" s="151"/>
      <c r="L29" s="151"/>
      <c r="M29" s="151"/>
      <c r="N29" s="151"/>
      <c r="O29" s="151"/>
      <c r="P29" s="151"/>
      <c r="Q29" s="151"/>
      <c r="R29" s="151"/>
      <c r="S29" s="152"/>
      <c r="T29" s="151"/>
      <c r="U29" s="151"/>
      <c r="V29" s="153"/>
      <c r="W29" s="151"/>
      <c r="X29" s="151"/>
      <c r="Y29" s="153"/>
      <c r="Z29" s="151"/>
      <c r="AA29" s="187" t="str">
        <f t="shared" si="1"/>
        <v>No</v>
      </c>
      <c r="AB29" s="158"/>
      <c r="AC29" s="159"/>
      <c r="AD29" s="160"/>
    </row>
    <row r="30" spans="1:30">
      <c r="A30" s="155"/>
      <c r="B30" s="112" t="str">
        <f t="shared" si="0"/>
        <v/>
      </c>
      <c r="C30" s="183"/>
      <c r="D30" s="152"/>
      <c r="E30" s="152"/>
      <c r="F30" s="151"/>
      <c r="G30" s="153"/>
      <c r="H30" s="151"/>
      <c r="I30" s="151"/>
      <c r="J30" s="151"/>
      <c r="K30" s="151"/>
      <c r="L30" s="151"/>
      <c r="M30" s="151"/>
      <c r="N30" s="151"/>
      <c r="O30" s="151"/>
      <c r="P30" s="151"/>
      <c r="Q30" s="151"/>
      <c r="R30" s="151"/>
      <c r="S30" s="152"/>
      <c r="T30" s="151"/>
      <c r="U30" s="151"/>
      <c r="V30" s="153"/>
      <c r="W30" s="151"/>
      <c r="X30" s="151"/>
      <c r="Y30" s="153"/>
      <c r="Z30" s="151"/>
      <c r="AA30" s="187" t="str">
        <f t="shared" si="1"/>
        <v>No</v>
      </c>
      <c r="AB30" s="158"/>
      <c r="AC30" s="159"/>
      <c r="AD30" s="160"/>
    </row>
    <row r="31" spans="1:30">
      <c r="A31" s="155"/>
      <c r="B31" s="112" t="str">
        <f t="shared" si="0"/>
        <v/>
      </c>
      <c r="C31" s="183"/>
      <c r="D31" s="152"/>
      <c r="E31" s="152"/>
      <c r="F31" s="151"/>
      <c r="G31" s="153"/>
      <c r="H31" s="151"/>
      <c r="I31" s="151"/>
      <c r="J31" s="151"/>
      <c r="K31" s="151"/>
      <c r="L31" s="151"/>
      <c r="M31" s="151"/>
      <c r="N31" s="151"/>
      <c r="O31" s="151"/>
      <c r="P31" s="151"/>
      <c r="Q31" s="151"/>
      <c r="R31" s="151"/>
      <c r="S31" s="152"/>
      <c r="T31" s="151"/>
      <c r="U31" s="151"/>
      <c r="V31" s="153"/>
      <c r="W31" s="151"/>
      <c r="X31" s="151"/>
      <c r="Y31" s="153"/>
      <c r="Z31" s="151"/>
      <c r="AA31" s="187" t="str">
        <f t="shared" si="1"/>
        <v>No</v>
      </c>
      <c r="AB31" s="158"/>
      <c r="AC31" s="159"/>
      <c r="AD31" s="160"/>
    </row>
    <row r="32" spans="1:30">
      <c r="A32" s="155"/>
      <c r="B32" s="112" t="str">
        <f t="shared" si="0"/>
        <v/>
      </c>
      <c r="C32" s="183"/>
      <c r="D32" s="152"/>
      <c r="E32" s="152"/>
      <c r="F32" s="151"/>
      <c r="G32" s="153"/>
      <c r="H32" s="151"/>
      <c r="I32" s="151"/>
      <c r="J32" s="151"/>
      <c r="K32" s="151"/>
      <c r="L32" s="151"/>
      <c r="M32" s="151"/>
      <c r="N32" s="151"/>
      <c r="O32" s="151"/>
      <c r="P32" s="151"/>
      <c r="Q32" s="151"/>
      <c r="R32" s="151"/>
      <c r="S32" s="152"/>
      <c r="T32" s="151"/>
      <c r="U32" s="151"/>
      <c r="V32" s="153"/>
      <c r="W32" s="151"/>
      <c r="X32" s="151"/>
      <c r="Y32" s="153"/>
      <c r="Z32" s="151"/>
      <c r="AA32" s="187" t="str">
        <f t="shared" si="1"/>
        <v>No</v>
      </c>
      <c r="AB32" s="158"/>
      <c r="AC32" s="159"/>
      <c r="AD32" s="160"/>
    </row>
    <row r="33" spans="1:30">
      <c r="A33" s="155"/>
      <c r="B33" s="112" t="str">
        <f t="shared" si="0"/>
        <v/>
      </c>
      <c r="C33" s="183"/>
      <c r="D33" s="152"/>
      <c r="E33" s="152"/>
      <c r="F33" s="151"/>
      <c r="G33" s="153"/>
      <c r="H33" s="151"/>
      <c r="I33" s="151"/>
      <c r="J33" s="151"/>
      <c r="K33" s="151"/>
      <c r="L33" s="151"/>
      <c r="M33" s="151"/>
      <c r="N33" s="151"/>
      <c r="O33" s="151"/>
      <c r="P33" s="151"/>
      <c r="Q33" s="151"/>
      <c r="R33" s="151"/>
      <c r="S33" s="152"/>
      <c r="T33" s="151"/>
      <c r="U33" s="151"/>
      <c r="V33" s="153"/>
      <c r="W33" s="151"/>
      <c r="X33" s="151"/>
      <c r="Y33" s="153"/>
      <c r="Z33" s="151"/>
      <c r="AA33" s="187" t="str">
        <f t="shared" si="1"/>
        <v>No</v>
      </c>
      <c r="AB33" s="158"/>
      <c r="AC33" s="159"/>
      <c r="AD33" s="160"/>
    </row>
    <row r="34" spans="1:30">
      <c r="A34" s="155"/>
      <c r="B34" s="112" t="str">
        <f t="shared" si="0"/>
        <v/>
      </c>
      <c r="C34" s="183"/>
      <c r="D34" s="152"/>
      <c r="E34" s="152"/>
      <c r="F34" s="151"/>
      <c r="G34" s="153"/>
      <c r="H34" s="151"/>
      <c r="I34" s="151"/>
      <c r="J34" s="151"/>
      <c r="K34" s="151"/>
      <c r="L34" s="151"/>
      <c r="M34" s="151"/>
      <c r="N34" s="151"/>
      <c r="O34" s="151"/>
      <c r="P34" s="151"/>
      <c r="Q34" s="151"/>
      <c r="R34" s="151"/>
      <c r="S34" s="152"/>
      <c r="T34" s="151"/>
      <c r="U34" s="151"/>
      <c r="V34" s="153"/>
      <c r="W34" s="151"/>
      <c r="X34" s="151"/>
      <c r="Y34" s="153"/>
      <c r="Z34" s="151"/>
      <c r="AA34" s="187" t="str">
        <f t="shared" si="1"/>
        <v>No</v>
      </c>
      <c r="AB34" s="158"/>
      <c r="AC34" s="159"/>
      <c r="AD34" s="160"/>
    </row>
    <row r="35" spans="1:30">
      <c r="A35" s="155"/>
      <c r="B35" s="112" t="str">
        <f t="shared" si="0"/>
        <v/>
      </c>
      <c r="C35" s="183"/>
      <c r="D35" s="152"/>
      <c r="E35" s="152"/>
      <c r="F35" s="151"/>
      <c r="G35" s="153"/>
      <c r="H35" s="151"/>
      <c r="I35" s="151"/>
      <c r="J35" s="151"/>
      <c r="K35" s="151"/>
      <c r="L35" s="151"/>
      <c r="M35" s="151"/>
      <c r="N35" s="151"/>
      <c r="O35" s="151"/>
      <c r="P35" s="151"/>
      <c r="Q35" s="151"/>
      <c r="R35" s="151"/>
      <c r="S35" s="152"/>
      <c r="T35" s="151"/>
      <c r="U35" s="151"/>
      <c r="V35" s="153"/>
      <c r="W35" s="151"/>
      <c r="X35" s="151"/>
      <c r="Y35" s="153"/>
      <c r="Z35" s="151"/>
      <c r="AA35" s="187" t="str">
        <f t="shared" si="1"/>
        <v>No</v>
      </c>
      <c r="AB35" s="158"/>
      <c r="AC35" s="159"/>
      <c r="AD35" s="160"/>
    </row>
    <row r="36" spans="1:30">
      <c r="A36" s="155"/>
      <c r="B36" s="112" t="str">
        <f t="shared" si="0"/>
        <v/>
      </c>
      <c r="C36" s="183"/>
      <c r="D36" s="152"/>
      <c r="E36" s="152"/>
      <c r="F36" s="151"/>
      <c r="G36" s="153"/>
      <c r="H36" s="151"/>
      <c r="I36" s="151"/>
      <c r="J36" s="151"/>
      <c r="K36" s="151"/>
      <c r="L36" s="151"/>
      <c r="M36" s="151"/>
      <c r="N36" s="151"/>
      <c r="O36" s="151"/>
      <c r="P36" s="151"/>
      <c r="Q36" s="151"/>
      <c r="R36" s="151"/>
      <c r="S36" s="152"/>
      <c r="T36" s="151"/>
      <c r="U36" s="151"/>
      <c r="V36" s="153"/>
      <c r="W36" s="151"/>
      <c r="X36" s="151"/>
      <c r="Y36" s="153"/>
      <c r="Z36" s="151"/>
      <c r="AA36" s="187" t="str">
        <f t="shared" si="1"/>
        <v>No</v>
      </c>
      <c r="AB36" s="158"/>
      <c r="AC36" s="159"/>
      <c r="AD36" s="160"/>
    </row>
    <row r="37" spans="1:30">
      <c r="A37" s="155"/>
      <c r="B37" s="112" t="str">
        <f t="shared" si="0"/>
        <v/>
      </c>
      <c r="C37" s="183"/>
      <c r="D37" s="152"/>
      <c r="E37" s="152"/>
      <c r="F37" s="151"/>
      <c r="G37" s="153"/>
      <c r="H37" s="151"/>
      <c r="I37" s="151"/>
      <c r="J37" s="151"/>
      <c r="K37" s="151"/>
      <c r="L37" s="151"/>
      <c r="M37" s="151"/>
      <c r="N37" s="151"/>
      <c r="O37" s="151"/>
      <c r="P37" s="151"/>
      <c r="Q37" s="151"/>
      <c r="R37" s="151"/>
      <c r="S37" s="152"/>
      <c r="T37" s="151"/>
      <c r="U37" s="151"/>
      <c r="V37" s="153"/>
      <c r="W37" s="151"/>
      <c r="X37" s="151"/>
      <c r="Y37" s="153"/>
      <c r="Z37" s="151"/>
      <c r="AA37" s="187" t="str">
        <f t="shared" si="1"/>
        <v>No</v>
      </c>
      <c r="AB37" s="158"/>
      <c r="AC37" s="159"/>
      <c r="AD37" s="160"/>
    </row>
    <row r="38" spans="1:30">
      <c r="A38" s="155"/>
      <c r="B38" s="112" t="str">
        <f t="shared" si="0"/>
        <v/>
      </c>
      <c r="C38" s="183"/>
      <c r="D38" s="152"/>
      <c r="E38" s="152"/>
      <c r="F38" s="151"/>
      <c r="G38" s="153"/>
      <c r="H38" s="151"/>
      <c r="I38" s="151"/>
      <c r="J38" s="151"/>
      <c r="K38" s="151"/>
      <c r="L38" s="151"/>
      <c r="M38" s="151"/>
      <c r="N38" s="151"/>
      <c r="O38" s="151"/>
      <c r="P38" s="151"/>
      <c r="Q38" s="151"/>
      <c r="R38" s="151"/>
      <c r="S38" s="152"/>
      <c r="T38" s="151"/>
      <c r="U38" s="151"/>
      <c r="V38" s="153"/>
      <c r="W38" s="151"/>
      <c r="X38" s="151"/>
      <c r="Y38" s="153"/>
      <c r="Z38" s="151"/>
      <c r="AA38" s="187" t="str">
        <f t="shared" si="1"/>
        <v>No</v>
      </c>
      <c r="AB38" s="158"/>
      <c r="AC38" s="159"/>
      <c r="AD38" s="160"/>
    </row>
    <row r="39" spans="1:30">
      <c r="A39" s="155"/>
      <c r="B39" s="112" t="str">
        <f t="shared" si="0"/>
        <v/>
      </c>
      <c r="C39" s="183"/>
      <c r="D39" s="152"/>
      <c r="E39" s="152"/>
      <c r="F39" s="151"/>
      <c r="G39" s="153"/>
      <c r="H39" s="151"/>
      <c r="I39" s="151"/>
      <c r="J39" s="151"/>
      <c r="K39" s="151"/>
      <c r="L39" s="151"/>
      <c r="M39" s="151"/>
      <c r="N39" s="151"/>
      <c r="O39" s="151"/>
      <c r="P39" s="151"/>
      <c r="Q39" s="151"/>
      <c r="R39" s="151"/>
      <c r="S39" s="152"/>
      <c r="T39" s="151"/>
      <c r="U39" s="151"/>
      <c r="V39" s="153"/>
      <c r="W39" s="151"/>
      <c r="X39" s="151"/>
      <c r="Y39" s="153"/>
      <c r="Z39" s="151"/>
      <c r="AA39" s="187" t="str">
        <f t="shared" si="1"/>
        <v>No</v>
      </c>
      <c r="AB39" s="158"/>
      <c r="AC39" s="159"/>
      <c r="AD39" s="160"/>
    </row>
    <row r="40" spans="1:30">
      <c r="A40" s="155"/>
      <c r="B40" s="112" t="str">
        <f t="shared" si="0"/>
        <v/>
      </c>
      <c r="C40" s="183"/>
      <c r="D40" s="152"/>
      <c r="E40" s="152"/>
      <c r="F40" s="151"/>
      <c r="G40" s="153"/>
      <c r="H40" s="151"/>
      <c r="I40" s="151"/>
      <c r="J40" s="151"/>
      <c r="K40" s="151"/>
      <c r="L40" s="151"/>
      <c r="M40" s="151"/>
      <c r="N40" s="151"/>
      <c r="O40" s="151"/>
      <c r="P40" s="151"/>
      <c r="Q40" s="151"/>
      <c r="R40" s="151"/>
      <c r="S40" s="152"/>
      <c r="T40" s="151"/>
      <c r="U40" s="151"/>
      <c r="V40" s="153"/>
      <c r="W40" s="151"/>
      <c r="X40" s="151"/>
      <c r="Y40" s="153"/>
      <c r="Z40" s="151"/>
      <c r="AA40" s="187" t="str">
        <f t="shared" si="1"/>
        <v>No</v>
      </c>
      <c r="AB40" s="158"/>
      <c r="AC40" s="159"/>
      <c r="AD40" s="160"/>
    </row>
    <row r="41" spans="1:30">
      <c r="A41" s="155"/>
      <c r="B41" s="112" t="str">
        <f t="shared" si="0"/>
        <v/>
      </c>
      <c r="C41" s="183"/>
      <c r="D41" s="152"/>
      <c r="E41" s="152"/>
      <c r="F41" s="151"/>
      <c r="G41" s="153"/>
      <c r="H41" s="151"/>
      <c r="I41" s="151"/>
      <c r="J41" s="151"/>
      <c r="K41" s="151"/>
      <c r="L41" s="151"/>
      <c r="M41" s="151"/>
      <c r="N41" s="151"/>
      <c r="O41" s="151"/>
      <c r="P41" s="151"/>
      <c r="Q41" s="151"/>
      <c r="R41" s="151"/>
      <c r="S41" s="152"/>
      <c r="T41" s="151"/>
      <c r="U41" s="151"/>
      <c r="V41" s="153"/>
      <c r="W41" s="151"/>
      <c r="X41" s="151"/>
      <c r="Y41" s="153"/>
      <c r="Z41" s="151"/>
      <c r="AA41" s="187" t="str">
        <f t="shared" si="1"/>
        <v>No</v>
      </c>
      <c r="AB41" s="158"/>
      <c r="AC41" s="159"/>
      <c r="AD41" s="160"/>
    </row>
    <row r="42" spans="1:30">
      <c r="A42" s="155"/>
      <c r="B42" s="112" t="str">
        <f t="shared" si="0"/>
        <v/>
      </c>
      <c r="C42" s="183"/>
      <c r="D42" s="152"/>
      <c r="E42" s="152"/>
      <c r="F42" s="151"/>
      <c r="G42" s="153"/>
      <c r="H42" s="151"/>
      <c r="I42" s="151"/>
      <c r="J42" s="151"/>
      <c r="K42" s="151"/>
      <c r="L42" s="151"/>
      <c r="M42" s="151"/>
      <c r="N42" s="151"/>
      <c r="O42" s="151"/>
      <c r="P42" s="151"/>
      <c r="Q42" s="151"/>
      <c r="R42" s="151"/>
      <c r="S42" s="152"/>
      <c r="T42" s="151"/>
      <c r="U42" s="151"/>
      <c r="V42" s="153"/>
      <c r="W42" s="151"/>
      <c r="X42" s="151"/>
      <c r="Y42" s="153"/>
      <c r="Z42" s="151"/>
      <c r="AA42" s="187" t="str">
        <f t="shared" si="1"/>
        <v>No</v>
      </c>
      <c r="AB42" s="158"/>
      <c r="AC42" s="159"/>
      <c r="AD42" s="160"/>
    </row>
    <row r="43" spans="1:30">
      <c r="A43" s="155"/>
      <c r="B43" s="112" t="str">
        <f t="shared" si="0"/>
        <v/>
      </c>
      <c r="C43" s="183"/>
      <c r="D43" s="152"/>
      <c r="E43" s="152"/>
      <c r="F43" s="151"/>
      <c r="G43" s="153"/>
      <c r="H43" s="151"/>
      <c r="I43" s="151"/>
      <c r="J43" s="151"/>
      <c r="K43" s="151"/>
      <c r="L43" s="151"/>
      <c r="M43" s="151"/>
      <c r="N43" s="151"/>
      <c r="O43" s="151"/>
      <c r="P43" s="151"/>
      <c r="Q43" s="151"/>
      <c r="R43" s="151"/>
      <c r="S43" s="152"/>
      <c r="T43" s="151"/>
      <c r="U43" s="151"/>
      <c r="V43" s="153"/>
      <c r="W43" s="151"/>
      <c r="X43" s="151"/>
      <c r="Y43" s="153"/>
      <c r="Z43" s="151"/>
      <c r="AA43" s="187" t="str">
        <f t="shared" si="1"/>
        <v>No</v>
      </c>
      <c r="AB43" s="158"/>
      <c r="AC43" s="159"/>
      <c r="AD43" s="160"/>
    </row>
    <row r="44" spans="1:30">
      <c r="A44" s="155"/>
      <c r="B44" s="112" t="str">
        <f t="shared" si="0"/>
        <v/>
      </c>
      <c r="C44" s="183"/>
      <c r="D44" s="152"/>
      <c r="E44" s="152"/>
      <c r="F44" s="151"/>
      <c r="G44" s="153"/>
      <c r="H44" s="151"/>
      <c r="I44" s="151"/>
      <c r="J44" s="151"/>
      <c r="K44" s="151"/>
      <c r="L44" s="151"/>
      <c r="M44" s="151"/>
      <c r="N44" s="151"/>
      <c r="O44" s="151"/>
      <c r="P44" s="151"/>
      <c r="Q44" s="151"/>
      <c r="R44" s="151"/>
      <c r="S44" s="152"/>
      <c r="T44" s="151"/>
      <c r="U44" s="151"/>
      <c r="V44" s="153"/>
      <c r="W44" s="151"/>
      <c r="X44" s="151"/>
      <c r="Y44" s="153"/>
      <c r="Z44" s="151"/>
      <c r="AA44" s="187" t="str">
        <f t="shared" si="1"/>
        <v>No</v>
      </c>
      <c r="AB44" s="158"/>
      <c r="AC44" s="159"/>
      <c r="AD44" s="160"/>
    </row>
    <row r="45" spans="1:30">
      <c r="A45" s="155"/>
      <c r="B45" s="112" t="str">
        <f t="shared" si="0"/>
        <v/>
      </c>
      <c r="C45" s="183"/>
      <c r="D45" s="152"/>
      <c r="E45" s="152"/>
      <c r="F45" s="151"/>
      <c r="G45" s="153"/>
      <c r="H45" s="151"/>
      <c r="I45" s="151"/>
      <c r="J45" s="151"/>
      <c r="K45" s="151"/>
      <c r="L45" s="151"/>
      <c r="M45" s="151"/>
      <c r="N45" s="151"/>
      <c r="O45" s="151"/>
      <c r="P45" s="151"/>
      <c r="Q45" s="151"/>
      <c r="R45" s="151"/>
      <c r="S45" s="152"/>
      <c r="T45" s="151"/>
      <c r="U45" s="151"/>
      <c r="V45" s="153"/>
      <c r="W45" s="151"/>
      <c r="X45" s="151"/>
      <c r="Y45" s="153"/>
      <c r="Z45" s="151"/>
      <c r="AA45" s="187" t="str">
        <f t="shared" si="1"/>
        <v>No</v>
      </c>
      <c r="AB45" s="158"/>
      <c r="AC45" s="159"/>
      <c r="AD45" s="160"/>
    </row>
    <row r="46" spans="1:30">
      <c r="A46" s="155"/>
      <c r="B46" s="112" t="str">
        <f t="shared" si="0"/>
        <v/>
      </c>
      <c r="C46" s="183"/>
      <c r="D46" s="152"/>
      <c r="E46" s="152"/>
      <c r="F46" s="151"/>
      <c r="G46" s="153"/>
      <c r="H46" s="151"/>
      <c r="I46" s="151"/>
      <c r="J46" s="151"/>
      <c r="K46" s="151"/>
      <c r="L46" s="151"/>
      <c r="M46" s="151"/>
      <c r="N46" s="151"/>
      <c r="O46" s="151"/>
      <c r="P46" s="151"/>
      <c r="Q46" s="151"/>
      <c r="R46" s="151"/>
      <c r="S46" s="152"/>
      <c r="T46" s="151"/>
      <c r="U46" s="151"/>
      <c r="V46" s="153"/>
      <c r="W46" s="151"/>
      <c r="X46" s="151"/>
      <c r="Y46" s="153"/>
      <c r="Z46" s="151"/>
      <c r="AA46" s="187" t="str">
        <f t="shared" si="1"/>
        <v>No</v>
      </c>
      <c r="AB46" s="158"/>
      <c r="AC46" s="159"/>
      <c r="AD46" s="160"/>
    </row>
    <row r="47" spans="1:30">
      <c r="A47" s="155"/>
      <c r="B47" s="112" t="str">
        <f t="shared" si="0"/>
        <v/>
      </c>
      <c r="C47" s="183"/>
      <c r="D47" s="152"/>
      <c r="E47" s="152"/>
      <c r="F47" s="151"/>
      <c r="G47" s="153"/>
      <c r="H47" s="151"/>
      <c r="I47" s="151"/>
      <c r="J47" s="151"/>
      <c r="K47" s="151"/>
      <c r="L47" s="151"/>
      <c r="M47" s="151"/>
      <c r="N47" s="151"/>
      <c r="O47" s="151"/>
      <c r="P47" s="151"/>
      <c r="Q47" s="151"/>
      <c r="R47" s="151"/>
      <c r="S47" s="152"/>
      <c r="T47" s="151"/>
      <c r="U47" s="151"/>
      <c r="V47" s="153"/>
      <c r="W47" s="151"/>
      <c r="X47" s="151"/>
      <c r="Y47" s="153"/>
      <c r="Z47" s="151"/>
      <c r="AA47" s="187" t="str">
        <f t="shared" si="1"/>
        <v>No</v>
      </c>
      <c r="AB47" s="158"/>
      <c r="AC47" s="159"/>
      <c r="AD47" s="160"/>
    </row>
    <row r="48" spans="1:30">
      <c r="A48" s="155"/>
      <c r="B48" s="112" t="str">
        <f t="shared" si="0"/>
        <v/>
      </c>
      <c r="C48" s="183"/>
      <c r="D48" s="152"/>
      <c r="E48" s="152"/>
      <c r="F48" s="151"/>
      <c r="G48" s="153"/>
      <c r="H48" s="151"/>
      <c r="I48" s="151"/>
      <c r="J48" s="151"/>
      <c r="K48" s="151"/>
      <c r="L48" s="151"/>
      <c r="M48" s="151"/>
      <c r="N48" s="151"/>
      <c r="O48" s="151"/>
      <c r="P48" s="151"/>
      <c r="Q48" s="151"/>
      <c r="R48" s="151"/>
      <c r="S48" s="152"/>
      <c r="T48" s="151"/>
      <c r="U48" s="151"/>
      <c r="V48" s="153"/>
      <c r="W48" s="151"/>
      <c r="X48" s="151"/>
      <c r="Y48" s="153"/>
      <c r="Z48" s="151"/>
      <c r="AA48" s="187" t="str">
        <f t="shared" si="1"/>
        <v>No</v>
      </c>
      <c r="AB48" s="158"/>
      <c r="AC48" s="159"/>
      <c r="AD48" s="160"/>
    </row>
    <row r="49" spans="1:30">
      <c r="A49" s="155"/>
      <c r="B49" s="112" t="str">
        <f t="shared" si="0"/>
        <v/>
      </c>
      <c r="C49" s="183"/>
      <c r="D49" s="152"/>
      <c r="E49" s="152"/>
      <c r="F49" s="151"/>
      <c r="G49" s="153"/>
      <c r="H49" s="151"/>
      <c r="I49" s="151"/>
      <c r="J49" s="151"/>
      <c r="K49" s="151"/>
      <c r="L49" s="151"/>
      <c r="M49" s="151"/>
      <c r="N49" s="151"/>
      <c r="O49" s="151"/>
      <c r="P49" s="151"/>
      <c r="Q49" s="151"/>
      <c r="R49" s="151"/>
      <c r="S49" s="152"/>
      <c r="T49" s="151"/>
      <c r="U49" s="151"/>
      <c r="V49" s="153"/>
      <c r="W49" s="151"/>
      <c r="X49" s="151"/>
      <c r="Y49" s="153"/>
      <c r="Z49" s="151"/>
      <c r="AA49" s="187" t="str">
        <f t="shared" si="1"/>
        <v>No</v>
      </c>
      <c r="AB49" s="158"/>
      <c r="AC49" s="159"/>
      <c r="AD49" s="160"/>
    </row>
    <row r="50" spans="1:30">
      <c r="A50" s="155"/>
      <c r="B50" s="112" t="str">
        <f t="shared" si="0"/>
        <v/>
      </c>
      <c r="C50" s="183"/>
      <c r="D50" s="152"/>
      <c r="E50" s="152"/>
      <c r="F50" s="151"/>
      <c r="G50" s="153"/>
      <c r="H50" s="151"/>
      <c r="I50" s="151"/>
      <c r="J50" s="151"/>
      <c r="K50" s="151"/>
      <c r="L50" s="151"/>
      <c r="M50" s="151"/>
      <c r="N50" s="151"/>
      <c r="O50" s="151"/>
      <c r="P50" s="151"/>
      <c r="Q50" s="151"/>
      <c r="R50" s="151"/>
      <c r="S50" s="152"/>
      <c r="T50" s="151"/>
      <c r="U50" s="151"/>
      <c r="V50" s="153"/>
      <c r="W50" s="151"/>
      <c r="X50" s="151"/>
      <c r="Y50" s="153"/>
      <c r="Z50" s="151"/>
      <c r="AA50" s="187" t="str">
        <f t="shared" si="1"/>
        <v>No</v>
      </c>
      <c r="AB50" s="158"/>
      <c r="AC50" s="159"/>
      <c r="AD50" s="160"/>
    </row>
    <row r="51" spans="1:30">
      <c r="A51" s="155"/>
      <c r="B51" s="112" t="str">
        <f t="shared" si="0"/>
        <v/>
      </c>
      <c r="C51" s="183"/>
      <c r="D51" s="152"/>
      <c r="E51" s="152"/>
      <c r="F51" s="151"/>
      <c r="G51" s="153"/>
      <c r="H51" s="151"/>
      <c r="I51" s="151"/>
      <c r="J51" s="151"/>
      <c r="K51" s="151"/>
      <c r="L51" s="151"/>
      <c r="M51" s="151"/>
      <c r="N51" s="151"/>
      <c r="O51" s="151"/>
      <c r="P51" s="151"/>
      <c r="Q51" s="151"/>
      <c r="R51" s="151"/>
      <c r="S51" s="152"/>
      <c r="T51" s="151"/>
      <c r="U51" s="151"/>
      <c r="V51" s="153"/>
      <c r="W51" s="151"/>
      <c r="X51" s="151"/>
      <c r="Y51" s="153"/>
      <c r="Z51" s="151"/>
      <c r="AA51" s="187" t="str">
        <f t="shared" si="1"/>
        <v>No</v>
      </c>
      <c r="AB51" s="158"/>
      <c r="AC51" s="159"/>
      <c r="AD51" s="160"/>
    </row>
    <row r="52" spans="1:30">
      <c r="A52" s="155"/>
      <c r="B52" s="112" t="str">
        <f t="shared" si="0"/>
        <v/>
      </c>
      <c r="C52" s="183"/>
      <c r="D52" s="152"/>
      <c r="E52" s="152"/>
      <c r="F52" s="151"/>
      <c r="G52" s="153"/>
      <c r="H52" s="151"/>
      <c r="I52" s="151"/>
      <c r="J52" s="151"/>
      <c r="K52" s="151"/>
      <c r="L52" s="151"/>
      <c r="M52" s="151"/>
      <c r="N52" s="151"/>
      <c r="O52" s="151"/>
      <c r="P52" s="151"/>
      <c r="Q52" s="151"/>
      <c r="R52" s="151"/>
      <c r="S52" s="152"/>
      <c r="T52" s="151"/>
      <c r="U52" s="151"/>
      <c r="V52" s="153"/>
      <c r="W52" s="151"/>
      <c r="X52" s="151"/>
      <c r="Y52" s="153"/>
      <c r="Z52" s="151"/>
      <c r="AA52" s="187" t="str">
        <f t="shared" si="1"/>
        <v>No</v>
      </c>
      <c r="AB52" s="158"/>
      <c r="AC52" s="159"/>
      <c r="AD52" s="160"/>
    </row>
    <row r="53" spans="1:30">
      <c r="A53" s="155"/>
      <c r="B53" s="112" t="str">
        <f t="shared" si="0"/>
        <v/>
      </c>
      <c r="C53" s="183"/>
      <c r="D53" s="152"/>
      <c r="E53" s="152"/>
      <c r="F53" s="151"/>
      <c r="G53" s="153"/>
      <c r="H53" s="151"/>
      <c r="I53" s="151"/>
      <c r="J53" s="151"/>
      <c r="K53" s="151"/>
      <c r="L53" s="151"/>
      <c r="M53" s="151"/>
      <c r="N53" s="151"/>
      <c r="O53" s="151"/>
      <c r="P53" s="151"/>
      <c r="Q53" s="151"/>
      <c r="R53" s="151"/>
      <c r="S53" s="152"/>
      <c r="T53" s="151"/>
      <c r="U53" s="151"/>
      <c r="V53" s="153"/>
      <c r="W53" s="151"/>
      <c r="X53" s="151"/>
      <c r="Y53" s="153"/>
      <c r="Z53" s="151"/>
      <c r="AA53" s="187" t="str">
        <f t="shared" si="1"/>
        <v>No</v>
      </c>
      <c r="AB53" s="158"/>
      <c r="AC53" s="159"/>
      <c r="AD53" s="160"/>
    </row>
    <row r="54" spans="1:30">
      <c r="A54" s="155"/>
      <c r="B54" s="112" t="str">
        <f t="shared" si="0"/>
        <v/>
      </c>
      <c r="C54" s="183"/>
      <c r="D54" s="152"/>
      <c r="E54" s="152"/>
      <c r="F54" s="151"/>
      <c r="G54" s="153"/>
      <c r="H54" s="151"/>
      <c r="I54" s="151"/>
      <c r="J54" s="151"/>
      <c r="K54" s="151"/>
      <c r="L54" s="151"/>
      <c r="M54" s="151"/>
      <c r="N54" s="151"/>
      <c r="O54" s="151"/>
      <c r="P54" s="151"/>
      <c r="Q54" s="151"/>
      <c r="R54" s="151"/>
      <c r="S54" s="152"/>
      <c r="T54" s="151"/>
      <c r="U54" s="151"/>
      <c r="V54" s="153"/>
      <c r="W54" s="151"/>
      <c r="X54" s="151"/>
      <c r="Y54" s="153"/>
      <c r="Z54" s="151"/>
      <c r="AA54" s="187" t="str">
        <f t="shared" si="1"/>
        <v>No</v>
      </c>
      <c r="AB54" s="158"/>
      <c r="AC54" s="159"/>
      <c r="AD54" s="160"/>
    </row>
    <row r="55" spans="1:30">
      <c r="A55" s="155"/>
      <c r="B55" s="112" t="str">
        <f t="shared" si="0"/>
        <v/>
      </c>
      <c r="C55" s="183"/>
      <c r="D55" s="152"/>
      <c r="E55" s="152"/>
      <c r="F55" s="151"/>
      <c r="G55" s="153"/>
      <c r="H55" s="151"/>
      <c r="I55" s="151"/>
      <c r="J55" s="151"/>
      <c r="K55" s="151"/>
      <c r="L55" s="151"/>
      <c r="M55" s="151"/>
      <c r="N55" s="151"/>
      <c r="O55" s="151"/>
      <c r="P55" s="151"/>
      <c r="Q55" s="151"/>
      <c r="R55" s="151"/>
      <c r="S55" s="152"/>
      <c r="T55" s="151"/>
      <c r="U55" s="151"/>
      <c r="V55" s="153"/>
      <c r="W55" s="151"/>
      <c r="X55" s="151"/>
      <c r="Y55" s="153"/>
      <c r="Z55" s="151"/>
      <c r="AA55" s="187" t="str">
        <f t="shared" si="1"/>
        <v>No</v>
      </c>
      <c r="AB55" s="158"/>
      <c r="AC55" s="159"/>
      <c r="AD55" s="160"/>
    </row>
    <row r="56" spans="1:30">
      <c r="A56" s="155"/>
      <c r="B56" s="112" t="str">
        <f t="shared" si="0"/>
        <v/>
      </c>
      <c r="C56" s="183"/>
      <c r="D56" s="152"/>
      <c r="E56" s="152"/>
      <c r="F56" s="151"/>
      <c r="G56" s="153"/>
      <c r="H56" s="151"/>
      <c r="I56" s="151"/>
      <c r="J56" s="151"/>
      <c r="K56" s="151"/>
      <c r="L56" s="151"/>
      <c r="M56" s="151"/>
      <c r="N56" s="151"/>
      <c r="O56" s="151"/>
      <c r="P56" s="151"/>
      <c r="Q56" s="151"/>
      <c r="R56" s="151"/>
      <c r="S56" s="152"/>
      <c r="T56" s="151"/>
      <c r="U56" s="151"/>
      <c r="V56" s="153"/>
      <c r="W56" s="151"/>
      <c r="X56" s="151"/>
      <c r="Y56" s="153"/>
      <c r="Z56" s="151"/>
      <c r="AA56" s="187" t="str">
        <f t="shared" si="1"/>
        <v>No</v>
      </c>
      <c r="AB56" s="158"/>
      <c r="AC56" s="159"/>
      <c r="AD56" s="160"/>
    </row>
    <row r="57" spans="1:30">
      <c r="A57" s="155"/>
      <c r="B57" s="112" t="str">
        <f t="shared" si="0"/>
        <v/>
      </c>
      <c r="C57" s="183"/>
      <c r="D57" s="152"/>
      <c r="E57" s="152"/>
      <c r="F57" s="151"/>
      <c r="G57" s="153"/>
      <c r="H57" s="151"/>
      <c r="I57" s="151"/>
      <c r="J57" s="151"/>
      <c r="K57" s="151"/>
      <c r="L57" s="151"/>
      <c r="M57" s="151"/>
      <c r="N57" s="151"/>
      <c r="O57" s="151"/>
      <c r="P57" s="151"/>
      <c r="Q57" s="151"/>
      <c r="R57" s="151"/>
      <c r="S57" s="152"/>
      <c r="T57" s="151"/>
      <c r="U57" s="151"/>
      <c r="V57" s="153"/>
      <c r="W57" s="151"/>
      <c r="X57" s="151"/>
      <c r="Y57" s="153"/>
      <c r="Z57" s="151"/>
      <c r="AA57" s="187" t="str">
        <f t="shared" si="1"/>
        <v>No</v>
      </c>
      <c r="AB57" s="158"/>
      <c r="AC57" s="159"/>
      <c r="AD57" s="160"/>
    </row>
    <row r="58" spans="1:30">
      <c r="A58" s="155"/>
      <c r="B58" s="112" t="str">
        <f t="shared" si="0"/>
        <v/>
      </c>
      <c r="C58" s="183"/>
      <c r="D58" s="152"/>
      <c r="E58" s="152"/>
      <c r="F58" s="151"/>
      <c r="G58" s="153"/>
      <c r="H58" s="151"/>
      <c r="I58" s="151"/>
      <c r="J58" s="151"/>
      <c r="K58" s="151"/>
      <c r="L58" s="151"/>
      <c r="M58" s="151"/>
      <c r="N58" s="151"/>
      <c r="O58" s="151"/>
      <c r="P58" s="151"/>
      <c r="Q58" s="151"/>
      <c r="R58" s="151"/>
      <c r="S58" s="152"/>
      <c r="T58" s="151"/>
      <c r="U58" s="151"/>
      <c r="V58" s="153"/>
      <c r="W58" s="151"/>
      <c r="X58" s="151"/>
      <c r="Y58" s="153"/>
      <c r="Z58" s="151"/>
      <c r="AA58" s="187" t="str">
        <f t="shared" si="1"/>
        <v>No</v>
      </c>
      <c r="AB58" s="158"/>
      <c r="AC58" s="159"/>
      <c r="AD58" s="160"/>
    </row>
    <row r="59" spans="1:30">
      <c r="A59" s="155"/>
      <c r="B59" s="112" t="str">
        <f t="shared" si="0"/>
        <v/>
      </c>
      <c r="C59" s="183"/>
      <c r="D59" s="152"/>
      <c r="E59" s="152"/>
      <c r="F59" s="151"/>
      <c r="G59" s="153"/>
      <c r="H59" s="151"/>
      <c r="I59" s="151"/>
      <c r="J59" s="151"/>
      <c r="K59" s="151"/>
      <c r="L59" s="151"/>
      <c r="M59" s="151"/>
      <c r="N59" s="151"/>
      <c r="O59" s="151"/>
      <c r="P59" s="151"/>
      <c r="Q59" s="151"/>
      <c r="R59" s="151"/>
      <c r="S59" s="152"/>
      <c r="T59" s="151"/>
      <c r="U59" s="151"/>
      <c r="V59" s="153"/>
      <c r="W59" s="151"/>
      <c r="X59" s="151"/>
      <c r="Y59" s="153"/>
      <c r="Z59" s="151"/>
      <c r="AA59" s="187" t="str">
        <f t="shared" si="1"/>
        <v>No</v>
      </c>
      <c r="AB59" s="158"/>
      <c r="AC59" s="159"/>
      <c r="AD59" s="160"/>
    </row>
    <row r="60" spans="1:30">
      <c r="A60" s="155"/>
      <c r="B60" s="112" t="str">
        <f t="shared" si="0"/>
        <v/>
      </c>
      <c r="C60" s="183"/>
      <c r="D60" s="152"/>
      <c r="E60" s="152"/>
      <c r="F60" s="151"/>
      <c r="G60" s="153"/>
      <c r="H60" s="151"/>
      <c r="I60" s="151"/>
      <c r="J60" s="151"/>
      <c r="K60" s="151"/>
      <c r="L60" s="151"/>
      <c r="M60" s="151"/>
      <c r="N60" s="151"/>
      <c r="O60" s="151"/>
      <c r="P60" s="151"/>
      <c r="Q60" s="151"/>
      <c r="R60" s="151"/>
      <c r="S60" s="152"/>
      <c r="T60" s="151"/>
      <c r="U60" s="151"/>
      <c r="V60" s="153"/>
      <c r="W60" s="151"/>
      <c r="X60" s="151"/>
      <c r="Y60" s="153"/>
      <c r="Z60" s="151"/>
      <c r="AA60" s="187" t="str">
        <f t="shared" si="1"/>
        <v>No</v>
      </c>
      <c r="AB60" s="158"/>
      <c r="AC60" s="159"/>
      <c r="AD60" s="160"/>
    </row>
    <row r="61" spans="1:30">
      <c r="A61" s="155"/>
      <c r="B61" s="112" t="str">
        <f t="shared" si="0"/>
        <v/>
      </c>
      <c r="C61" s="183"/>
      <c r="D61" s="152"/>
      <c r="E61" s="152"/>
      <c r="F61" s="151"/>
      <c r="G61" s="153"/>
      <c r="H61" s="151"/>
      <c r="I61" s="151"/>
      <c r="J61" s="151"/>
      <c r="K61" s="151"/>
      <c r="L61" s="151"/>
      <c r="M61" s="151"/>
      <c r="N61" s="151"/>
      <c r="O61" s="151"/>
      <c r="P61" s="151"/>
      <c r="Q61" s="151"/>
      <c r="R61" s="151"/>
      <c r="S61" s="152"/>
      <c r="T61" s="151"/>
      <c r="U61" s="151"/>
      <c r="V61" s="153"/>
      <c r="W61" s="151"/>
      <c r="X61" s="151"/>
      <c r="Y61" s="153"/>
      <c r="Z61" s="151"/>
      <c r="AA61" s="187" t="str">
        <f t="shared" si="1"/>
        <v>No</v>
      </c>
      <c r="AB61" s="158"/>
      <c r="AC61" s="159"/>
      <c r="AD61" s="160"/>
    </row>
    <row r="62" spans="1:30">
      <c r="A62" s="155"/>
      <c r="B62" s="112" t="str">
        <f t="shared" si="0"/>
        <v/>
      </c>
      <c r="C62" s="183"/>
      <c r="D62" s="152"/>
      <c r="E62" s="152"/>
      <c r="F62" s="151"/>
      <c r="G62" s="153"/>
      <c r="H62" s="151"/>
      <c r="I62" s="151"/>
      <c r="J62" s="151"/>
      <c r="K62" s="151"/>
      <c r="L62" s="151"/>
      <c r="M62" s="151"/>
      <c r="N62" s="151"/>
      <c r="O62" s="151"/>
      <c r="P62" s="151"/>
      <c r="Q62" s="151"/>
      <c r="R62" s="151"/>
      <c r="S62" s="152"/>
      <c r="T62" s="151"/>
      <c r="U62" s="151"/>
      <c r="V62" s="153"/>
      <c r="W62" s="151"/>
      <c r="X62" s="151"/>
      <c r="Y62" s="153"/>
      <c r="Z62" s="151"/>
      <c r="AA62" s="187" t="str">
        <f t="shared" si="1"/>
        <v>No</v>
      </c>
      <c r="AB62" s="158"/>
      <c r="AC62" s="159"/>
      <c r="AD62" s="160"/>
    </row>
    <row r="63" spans="1:30">
      <c r="A63" s="155"/>
      <c r="B63" s="112" t="str">
        <f t="shared" si="0"/>
        <v/>
      </c>
      <c r="C63" s="183"/>
      <c r="D63" s="152"/>
      <c r="E63" s="152"/>
      <c r="F63" s="151"/>
      <c r="G63" s="153"/>
      <c r="H63" s="151"/>
      <c r="I63" s="151"/>
      <c r="J63" s="151"/>
      <c r="K63" s="151"/>
      <c r="L63" s="151"/>
      <c r="M63" s="151"/>
      <c r="N63" s="151"/>
      <c r="O63" s="151"/>
      <c r="P63" s="151"/>
      <c r="Q63" s="151"/>
      <c r="R63" s="151"/>
      <c r="S63" s="152"/>
      <c r="T63" s="151"/>
      <c r="U63" s="151"/>
      <c r="V63" s="153"/>
      <c r="W63" s="151"/>
      <c r="X63" s="151"/>
      <c r="Y63" s="153"/>
      <c r="Z63" s="151"/>
      <c r="AA63" s="187" t="str">
        <f t="shared" si="1"/>
        <v>No</v>
      </c>
      <c r="AB63" s="158"/>
      <c r="AC63" s="159"/>
      <c r="AD63" s="160"/>
    </row>
    <row r="64" spans="1:30">
      <c r="A64" s="155"/>
      <c r="B64" s="112" t="str">
        <f t="shared" si="0"/>
        <v/>
      </c>
      <c r="C64" s="183"/>
      <c r="D64" s="152"/>
      <c r="E64" s="152"/>
      <c r="F64" s="151"/>
      <c r="G64" s="153"/>
      <c r="H64" s="151"/>
      <c r="I64" s="151"/>
      <c r="J64" s="151"/>
      <c r="K64" s="151"/>
      <c r="L64" s="151"/>
      <c r="M64" s="151"/>
      <c r="N64" s="151"/>
      <c r="O64" s="151"/>
      <c r="P64" s="151"/>
      <c r="Q64" s="151"/>
      <c r="R64" s="151"/>
      <c r="S64" s="152"/>
      <c r="T64" s="151"/>
      <c r="U64" s="151"/>
      <c r="V64" s="153"/>
      <c r="W64" s="151"/>
      <c r="X64" s="151"/>
      <c r="Y64" s="153"/>
      <c r="Z64" s="151"/>
      <c r="AA64" s="187" t="str">
        <f t="shared" si="1"/>
        <v>No</v>
      </c>
      <c r="AB64" s="158"/>
      <c r="AC64" s="159"/>
      <c r="AD64" s="160"/>
    </row>
    <row r="65" spans="1:30">
      <c r="A65" s="155"/>
      <c r="B65" s="112" t="str">
        <f t="shared" si="0"/>
        <v/>
      </c>
      <c r="C65" s="183"/>
      <c r="D65" s="152"/>
      <c r="E65" s="152"/>
      <c r="F65" s="151"/>
      <c r="G65" s="153"/>
      <c r="H65" s="151"/>
      <c r="I65" s="151"/>
      <c r="J65" s="151"/>
      <c r="K65" s="151"/>
      <c r="L65" s="151"/>
      <c r="M65" s="151"/>
      <c r="N65" s="151"/>
      <c r="O65" s="151"/>
      <c r="P65" s="151"/>
      <c r="Q65" s="151"/>
      <c r="R65" s="151"/>
      <c r="S65" s="152"/>
      <c r="T65" s="151"/>
      <c r="U65" s="151"/>
      <c r="V65" s="153"/>
      <c r="W65" s="151"/>
      <c r="X65" s="151"/>
      <c r="Y65" s="153"/>
      <c r="Z65" s="151"/>
      <c r="AA65" s="187" t="str">
        <f t="shared" si="1"/>
        <v>No</v>
      </c>
      <c r="AB65" s="158"/>
      <c r="AC65" s="159"/>
      <c r="AD65" s="160"/>
    </row>
    <row r="66" spans="1:30">
      <c r="A66" s="155"/>
      <c r="B66" s="112" t="str">
        <f t="shared" si="0"/>
        <v/>
      </c>
      <c r="C66" s="183"/>
      <c r="D66" s="152"/>
      <c r="E66" s="152"/>
      <c r="F66" s="151"/>
      <c r="G66" s="153"/>
      <c r="H66" s="151"/>
      <c r="I66" s="151"/>
      <c r="J66" s="151"/>
      <c r="K66" s="151"/>
      <c r="L66" s="151"/>
      <c r="M66" s="151"/>
      <c r="N66" s="151"/>
      <c r="O66" s="151"/>
      <c r="P66" s="151"/>
      <c r="Q66" s="151"/>
      <c r="R66" s="151"/>
      <c r="S66" s="152"/>
      <c r="T66" s="151"/>
      <c r="U66" s="151"/>
      <c r="V66" s="153"/>
      <c r="W66" s="151"/>
      <c r="X66" s="151"/>
      <c r="Y66" s="153"/>
      <c r="Z66" s="151"/>
      <c r="AA66" s="187" t="str">
        <f t="shared" si="1"/>
        <v>No</v>
      </c>
      <c r="AB66" s="158"/>
      <c r="AC66" s="159"/>
      <c r="AD66" s="160"/>
    </row>
    <row r="67" spans="1:30">
      <c r="A67" s="155"/>
      <c r="B67" s="112" t="str">
        <f t="shared" si="0"/>
        <v/>
      </c>
      <c r="C67" s="183"/>
      <c r="D67" s="152"/>
      <c r="E67" s="152"/>
      <c r="F67" s="151"/>
      <c r="G67" s="153"/>
      <c r="H67" s="151"/>
      <c r="I67" s="151"/>
      <c r="J67" s="151"/>
      <c r="K67" s="151"/>
      <c r="L67" s="151"/>
      <c r="M67" s="151"/>
      <c r="N67" s="151"/>
      <c r="O67" s="151"/>
      <c r="P67" s="151"/>
      <c r="Q67" s="151"/>
      <c r="R67" s="151"/>
      <c r="S67" s="152"/>
      <c r="T67" s="151"/>
      <c r="U67" s="151"/>
      <c r="V67" s="153"/>
      <c r="W67" s="151"/>
      <c r="X67" s="151"/>
      <c r="Y67" s="153"/>
      <c r="Z67" s="151"/>
      <c r="AA67" s="187" t="str">
        <f t="shared" si="1"/>
        <v>No</v>
      </c>
      <c r="AB67" s="158"/>
      <c r="AC67" s="159"/>
      <c r="AD67" s="160"/>
    </row>
    <row r="68" spans="1:30">
      <c r="A68" s="155"/>
      <c r="B68" s="112" t="str">
        <f t="shared" si="0"/>
        <v/>
      </c>
      <c r="C68" s="183"/>
      <c r="D68" s="152"/>
      <c r="E68" s="152"/>
      <c r="F68" s="151"/>
      <c r="G68" s="153"/>
      <c r="H68" s="151"/>
      <c r="I68" s="151"/>
      <c r="J68" s="151"/>
      <c r="K68" s="151"/>
      <c r="L68" s="151"/>
      <c r="M68" s="151"/>
      <c r="N68" s="151"/>
      <c r="O68" s="151"/>
      <c r="P68" s="151"/>
      <c r="Q68" s="151"/>
      <c r="R68" s="151"/>
      <c r="S68" s="152"/>
      <c r="T68" s="151"/>
      <c r="U68" s="151"/>
      <c r="V68" s="153"/>
      <c r="W68" s="151"/>
      <c r="X68" s="151"/>
      <c r="Y68" s="153"/>
      <c r="Z68" s="151"/>
      <c r="AA68" s="187" t="str">
        <f t="shared" si="1"/>
        <v>No</v>
      </c>
      <c r="AB68" s="158"/>
      <c r="AC68" s="159"/>
      <c r="AD68" s="160"/>
    </row>
    <row r="69" spans="1:30">
      <c r="A69" s="155"/>
      <c r="B69" s="112" t="str">
        <f t="shared" ref="B69:B132" si="2">IF(AND(A69&lt;&gt;"",D69&lt;&gt;"",J69&lt;&gt;"",N69&lt;&gt;""),TEXT(D69,"YY")&amp;"-"&amp;TEXT(D69,"MMM")&amp;"-"&amp;UPPER(LEFT(TRIM(N69),2))&amp;"-"&amp;UPPER(LEFT(TRIM(J69),3))&amp;"-"&amp;A69,"")</f>
        <v/>
      </c>
      <c r="C69" s="183"/>
      <c r="D69" s="152"/>
      <c r="E69" s="152"/>
      <c r="F69" s="151"/>
      <c r="G69" s="153"/>
      <c r="H69" s="151"/>
      <c r="I69" s="151"/>
      <c r="J69" s="151"/>
      <c r="K69" s="151"/>
      <c r="L69" s="151"/>
      <c r="M69" s="151"/>
      <c r="N69" s="151"/>
      <c r="O69" s="151"/>
      <c r="P69" s="151"/>
      <c r="Q69" s="151"/>
      <c r="R69" s="151"/>
      <c r="S69" s="152"/>
      <c r="T69" s="151"/>
      <c r="U69" s="151"/>
      <c r="V69" s="153"/>
      <c r="W69" s="151"/>
      <c r="X69" s="151"/>
      <c r="Y69" s="153"/>
      <c r="Z69" s="151"/>
      <c r="AA69" s="187" t="str">
        <f t="shared" ref="AA69:AA132" si="3">IF(E69="","No","Yes")</f>
        <v>No</v>
      </c>
      <c r="AB69" s="158"/>
      <c r="AC69" s="159"/>
      <c r="AD69" s="160"/>
    </row>
    <row r="70" spans="1:30">
      <c r="A70" s="155"/>
      <c r="B70" s="112" t="str">
        <f t="shared" si="2"/>
        <v/>
      </c>
      <c r="C70" s="183"/>
      <c r="D70" s="152"/>
      <c r="E70" s="152"/>
      <c r="F70" s="151"/>
      <c r="G70" s="153"/>
      <c r="H70" s="151"/>
      <c r="I70" s="151"/>
      <c r="J70" s="151"/>
      <c r="K70" s="151"/>
      <c r="L70" s="151"/>
      <c r="M70" s="151"/>
      <c r="N70" s="151"/>
      <c r="O70" s="151"/>
      <c r="P70" s="151"/>
      <c r="Q70" s="151"/>
      <c r="R70" s="151"/>
      <c r="S70" s="152"/>
      <c r="T70" s="151"/>
      <c r="U70" s="151"/>
      <c r="V70" s="153"/>
      <c r="W70" s="151"/>
      <c r="X70" s="151"/>
      <c r="Y70" s="153"/>
      <c r="Z70" s="151"/>
      <c r="AA70" s="187" t="str">
        <f t="shared" si="3"/>
        <v>No</v>
      </c>
      <c r="AB70" s="158"/>
      <c r="AC70" s="159"/>
      <c r="AD70" s="160"/>
    </row>
    <row r="71" spans="1:30">
      <c r="A71" s="155"/>
      <c r="B71" s="112" t="str">
        <f t="shared" si="2"/>
        <v/>
      </c>
      <c r="C71" s="183"/>
      <c r="D71" s="152"/>
      <c r="E71" s="152"/>
      <c r="F71" s="151"/>
      <c r="G71" s="153"/>
      <c r="H71" s="151"/>
      <c r="I71" s="151"/>
      <c r="J71" s="151"/>
      <c r="K71" s="151"/>
      <c r="L71" s="151"/>
      <c r="M71" s="151"/>
      <c r="N71" s="151"/>
      <c r="O71" s="151"/>
      <c r="P71" s="151"/>
      <c r="Q71" s="151"/>
      <c r="R71" s="151"/>
      <c r="S71" s="152"/>
      <c r="T71" s="151"/>
      <c r="U71" s="151"/>
      <c r="V71" s="153"/>
      <c r="W71" s="151"/>
      <c r="X71" s="151"/>
      <c r="Y71" s="153"/>
      <c r="Z71" s="151"/>
      <c r="AA71" s="187" t="str">
        <f t="shared" si="3"/>
        <v>No</v>
      </c>
      <c r="AB71" s="158"/>
      <c r="AC71" s="159"/>
      <c r="AD71" s="160"/>
    </row>
    <row r="72" spans="1:30">
      <c r="A72" s="155"/>
      <c r="B72" s="112" t="str">
        <f t="shared" si="2"/>
        <v/>
      </c>
      <c r="C72" s="183"/>
      <c r="D72" s="152"/>
      <c r="E72" s="152"/>
      <c r="F72" s="151"/>
      <c r="G72" s="153"/>
      <c r="H72" s="151"/>
      <c r="I72" s="151"/>
      <c r="J72" s="151"/>
      <c r="K72" s="151"/>
      <c r="L72" s="151"/>
      <c r="M72" s="151"/>
      <c r="N72" s="151"/>
      <c r="O72" s="151"/>
      <c r="P72" s="151"/>
      <c r="Q72" s="151"/>
      <c r="R72" s="151"/>
      <c r="S72" s="152"/>
      <c r="T72" s="151"/>
      <c r="U72" s="151"/>
      <c r="V72" s="153"/>
      <c r="W72" s="151"/>
      <c r="X72" s="151"/>
      <c r="Y72" s="153"/>
      <c r="Z72" s="151"/>
      <c r="AA72" s="187" t="str">
        <f t="shared" si="3"/>
        <v>No</v>
      </c>
      <c r="AB72" s="158"/>
      <c r="AC72" s="159"/>
      <c r="AD72" s="160"/>
    </row>
    <row r="73" spans="1:30">
      <c r="A73" s="155"/>
      <c r="B73" s="112" t="str">
        <f t="shared" si="2"/>
        <v/>
      </c>
      <c r="C73" s="183"/>
      <c r="D73" s="152"/>
      <c r="E73" s="152"/>
      <c r="F73" s="151"/>
      <c r="G73" s="153"/>
      <c r="H73" s="151"/>
      <c r="I73" s="151"/>
      <c r="J73" s="151"/>
      <c r="K73" s="151"/>
      <c r="L73" s="151"/>
      <c r="M73" s="151"/>
      <c r="N73" s="151"/>
      <c r="O73" s="151"/>
      <c r="P73" s="151"/>
      <c r="Q73" s="151"/>
      <c r="R73" s="151"/>
      <c r="S73" s="152"/>
      <c r="T73" s="151"/>
      <c r="U73" s="151"/>
      <c r="V73" s="153"/>
      <c r="W73" s="151"/>
      <c r="X73" s="151"/>
      <c r="Y73" s="153"/>
      <c r="Z73" s="151"/>
      <c r="AA73" s="187" t="str">
        <f t="shared" si="3"/>
        <v>No</v>
      </c>
      <c r="AB73" s="158"/>
      <c r="AC73" s="159"/>
      <c r="AD73" s="160"/>
    </row>
    <row r="74" spans="1:30">
      <c r="A74" s="155"/>
      <c r="B74" s="112" t="str">
        <f t="shared" si="2"/>
        <v/>
      </c>
      <c r="C74" s="183"/>
      <c r="D74" s="152"/>
      <c r="E74" s="152"/>
      <c r="F74" s="151"/>
      <c r="G74" s="153"/>
      <c r="H74" s="151"/>
      <c r="I74" s="151"/>
      <c r="J74" s="151"/>
      <c r="K74" s="151"/>
      <c r="L74" s="151"/>
      <c r="M74" s="151"/>
      <c r="N74" s="151"/>
      <c r="O74" s="151"/>
      <c r="P74" s="151"/>
      <c r="Q74" s="151"/>
      <c r="R74" s="151"/>
      <c r="S74" s="152"/>
      <c r="T74" s="151"/>
      <c r="U74" s="151"/>
      <c r="V74" s="153"/>
      <c r="W74" s="151"/>
      <c r="X74" s="151"/>
      <c r="Y74" s="153"/>
      <c r="Z74" s="151"/>
      <c r="AA74" s="187" t="str">
        <f t="shared" si="3"/>
        <v>No</v>
      </c>
      <c r="AB74" s="158"/>
      <c r="AC74" s="159"/>
      <c r="AD74" s="160"/>
    </row>
    <row r="75" spans="1:30">
      <c r="A75" s="155"/>
      <c r="B75" s="112" t="str">
        <f t="shared" si="2"/>
        <v/>
      </c>
      <c r="C75" s="183"/>
      <c r="D75" s="152"/>
      <c r="E75" s="152"/>
      <c r="F75" s="151"/>
      <c r="G75" s="153"/>
      <c r="H75" s="151"/>
      <c r="I75" s="151"/>
      <c r="J75" s="151"/>
      <c r="K75" s="151"/>
      <c r="L75" s="151"/>
      <c r="M75" s="151"/>
      <c r="N75" s="151"/>
      <c r="O75" s="151"/>
      <c r="P75" s="151"/>
      <c r="Q75" s="151"/>
      <c r="R75" s="151"/>
      <c r="S75" s="152"/>
      <c r="T75" s="151"/>
      <c r="U75" s="151"/>
      <c r="V75" s="153"/>
      <c r="W75" s="151"/>
      <c r="X75" s="151"/>
      <c r="Y75" s="153"/>
      <c r="Z75" s="151"/>
      <c r="AA75" s="187" t="str">
        <f t="shared" si="3"/>
        <v>No</v>
      </c>
      <c r="AB75" s="158"/>
      <c r="AC75" s="159"/>
      <c r="AD75" s="160"/>
    </row>
    <row r="76" spans="1:30">
      <c r="A76" s="155"/>
      <c r="B76" s="112" t="str">
        <f t="shared" si="2"/>
        <v/>
      </c>
      <c r="C76" s="183"/>
      <c r="D76" s="152"/>
      <c r="E76" s="152"/>
      <c r="F76" s="151"/>
      <c r="G76" s="153"/>
      <c r="H76" s="151"/>
      <c r="I76" s="151"/>
      <c r="J76" s="151"/>
      <c r="K76" s="151"/>
      <c r="L76" s="151"/>
      <c r="M76" s="151"/>
      <c r="N76" s="151"/>
      <c r="O76" s="151"/>
      <c r="P76" s="151"/>
      <c r="Q76" s="151"/>
      <c r="R76" s="151"/>
      <c r="S76" s="152"/>
      <c r="T76" s="151"/>
      <c r="U76" s="151"/>
      <c r="V76" s="153"/>
      <c r="W76" s="151"/>
      <c r="X76" s="151"/>
      <c r="Y76" s="153"/>
      <c r="Z76" s="151"/>
      <c r="AA76" s="187" t="str">
        <f t="shared" si="3"/>
        <v>No</v>
      </c>
      <c r="AB76" s="158"/>
      <c r="AC76" s="159"/>
      <c r="AD76" s="160"/>
    </row>
    <row r="77" spans="1:30">
      <c r="A77" s="155"/>
      <c r="B77" s="112" t="str">
        <f t="shared" si="2"/>
        <v/>
      </c>
      <c r="C77" s="183"/>
      <c r="D77" s="152"/>
      <c r="E77" s="152"/>
      <c r="F77" s="151"/>
      <c r="G77" s="153"/>
      <c r="H77" s="151"/>
      <c r="I77" s="151"/>
      <c r="J77" s="151"/>
      <c r="K77" s="151"/>
      <c r="L77" s="151"/>
      <c r="M77" s="151"/>
      <c r="N77" s="151"/>
      <c r="O77" s="151"/>
      <c r="P77" s="151"/>
      <c r="Q77" s="151"/>
      <c r="R77" s="151"/>
      <c r="S77" s="152"/>
      <c r="T77" s="151"/>
      <c r="U77" s="151"/>
      <c r="V77" s="153"/>
      <c r="W77" s="151"/>
      <c r="X77" s="151"/>
      <c r="Y77" s="153"/>
      <c r="Z77" s="151"/>
      <c r="AA77" s="187" t="str">
        <f t="shared" si="3"/>
        <v>No</v>
      </c>
      <c r="AB77" s="158"/>
      <c r="AC77" s="159"/>
      <c r="AD77" s="160"/>
    </row>
    <row r="78" spans="1:30">
      <c r="A78" s="155"/>
      <c r="B78" s="112" t="str">
        <f t="shared" si="2"/>
        <v/>
      </c>
      <c r="C78" s="183"/>
      <c r="D78" s="152"/>
      <c r="E78" s="152"/>
      <c r="F78" s="151"/>
      <c r="G78" s="153"/>
      <c r="H78" s="151"/>
      <c r="I78" s="151"/>
      <c r="J78" s="151"/>
      <c r="K78" s="151"/>
      <c r="L78" s="151"/>
      <c r="M78" s="151"/>
      <c r="N78" s="151"/>
      <c r="O78" s="151"/>
      <c r="P78" s="151"/>
      <c r="Q78" s="151"/>
      <c r="R78" s="151"/>
      <c r="S78" s="152"/>
      <c r="T78" s="151"/>
      <c r="U78" s="151"/>
      <c r="V78" s="153"/>
      <c r="W78" s="151"/>
      <c r="X78" s="151"/>
      <c r="Y78" s="153"/>
      <c r="Z78" s="151"/>
      <c r="AA78" s="187" t="str">
        <f t="shared" si="3"/>
        <v>No</v>
      </c>
      <c r="AB78" s="158"/>
      <c r="AC78" s="159"/>
      <c r="AD78" s="160"/>
    </row>
    <row r="79" spans="1:30">
      <c r="A79" s="155"/>
      <c r="B79" s="112" t="str">
        <f t="shared" si="2"/>
        <v/>
      </c>
      <c r="C79" s="183"/>
      <c r="D79" s="152"/>
      <c r="E79" s="152"/>
      <c r="F79" s="151"/>
      <c r="G79" s="153"/>
      <c r="H79" s="151"/>
      <c r="I79" s="151"/>
      <c r="J79" s="151"/>
      <c r="K79" s="151"/>
      <c r="L79" s="151"/>
      <c r="M79" s="151"/>
      <c r="N79" s="151"/>
      <c r="O79" s="151"/>
      <c r="P79" s="151"/>
      <c r="Q79" s="151"/>
      <c r="R79" s="151"/>
      <c r="S79" s="152"/>
      <c r="T79" s="151"/>
      <c r="U79" s="151"/>
      <c r="V79" s="153"/>
      <c r="W79" s="151"/>
      <c r="X79" s="151"/>
      <c r="Y79" s="153"/>
      <c r="Z79" s="151"/>
      <c r="AA79" s="187" t="str">
        <f t="shared" si="3"/>
        <v>No</v>
      </c>
      <c r="AB79" s="158"/>
      <c r="AC79" s="159"/>
      <c r="AD79" s="160"/>
    </row>
    <row r="80" spans="1:30">
      <c r="A80" s="155"/>
      <c r="B80" s="112" t="str">
        <f t="shared" si="2"/>
        <v/>
      </c>
      <c r="C80" s="183"/>
      <c r="D80" s="152"/>
      <c r="E80" s="152"/>
      <c r="F80" s="151"/>
      <c r="G80" s="153"/>
      <c r="H80" s="151"/>
      <c r="I80" s="151"/>
      <c r="J80" s="151"/>
      <c r="K80" s="151"/>
      <c r="L80" s="151"/>
      <c r="M80" s="151"/>
      <c r="N80" s="151"/>
      <c r="O80" s="151"/>
      <c r="P80" s="151"/>
      <c r="Q80" s="151"/>
      <c r="R80" s="151"/>
      <c r="S80" s="152"/>
      <c r="T80" s="151"/>
      <c r="U80" s="151"/>
      <c r="V80" s="153"/>
      <c r="W80" s="151"/>
      <c r="X80" s="151"/>
      <c r="Y80" s="153"/>
      <c r="Z80" s="151"/>
      <c r="AA80" s="187" t="str">
        <f t="shared" si="3"/>
        <v>No</v>
      </c>
      <c r="AB80" s="158"/>
      <c r="AC80" s="159"/>
      <c r="AD80" s="160"/>
    </row>
    <row r="81" spans="1:30">
      <c r="A81" s="155"/>
      <c r="B81" s="112" t="str">
        <f t="shared" si="2"/>
        <v/>
      </c>
      <c r="C81" s="183"/>
      <c r="D81" s="152"/>
      <c r="E81" s="152"/>
      <c r="F81" s="151"/>
      <c r="G81" s="153"/>
      <c r="H81" s="151"/>
      <c r="I81" s="151"/>
      <c r="J81" s="151"/>
      <c r="K81" s="151"/>
      <c r="L81" s="151"/>
      <c r="M81" s="151"/>
      <c r="N81" s="151"/>
      <c r="O81" s="151"/>
      <c r="P81" s="151"/>
      <c r="Q81" s="151"/>
      <c r="R81" s="151"/>
      <c r="S81" s="152"/>
      <c r="T81" s="151"/>
      <c r="U81" s="151"/>
      <c r="V81" s="153"/>
      <c r="W81" s="151"/>
      <c r="X81" s="151"/>
      <c r="Y81" s="153"/>
      <c r="Z81" s="151"/>
      <c r="AA81" s="187" t="str">
        <f t="shared" si="3"/>
        <v>No</v>
      </c>
      <c r="AB81" s="158"/>
      <c r="AC81" s="159"/>
      <c r="AD81" s="160"/>
    </row>
    <row r="82" spans="1:30">
      <c r="A82" s="155"/>
      <c r="B82" s="112" t="str">
        <f t="shared" si="2"/>
        <v/>
      </c>
      <c r="C82" s="183"/>
      <c r="D82" s="152"/>
      <c r="E82" s="152"/>
      <c r="F82" s="151"/>
      <c r="G82" s="153"/>
      <c r="H82" s="151"/>
      <c r="I82" s="151"/>
      <c r="J82" s="151"/>
      <c r="K82" s="151"/>
      <c r="L82" s="151"/>
      <c r="M82" s="151"/>
      <c r="N82" s="151"/>
      <c r="O82" s="151"/>
      <c r="P82" s="151"/>
      <c r="Q82" s="151"/>
      <c r="R82" s="151"/>
      <c r="S82" s="152"/>
      <c r="T82" s="151"/>
      <c r="U82" s="151"/>
      <c r="V82" s="153"/>
      <c r="W82" s="151"/>
      <c r="X82" s="151"/>
      <c r="Y82" s="153"/>
      <c r="Z82" s="151"/>
      <c r="AA82" s="187" t="str">
        <f t="shared" si="3"/>
        <v>No</v>
      </c>
      <c r="AB82" s="158"/>
      <c r="AC82" s="159"/>
      <c r="AD82" s="160"/>
    </row>
    <row r="83" spans="1:30">
      <c r="A83" s="155"/>
      <c r="B83" s="112" t="str">
        <f t="shared" si="2"/>
        <v/>
      </c>
      <c r="C83" s="183"/>
      <c r="D83" s="152"/>
      <c r="E83" s="152"/>
      <c r="F83" s="151"/>
      <c r="G83" s="153"/>
      <c r="H83" s="151"/>
      <c r="I83" s="151"/>
      <c r="J83" s="151"/>
      <c r="K83" s="151"/>
      <c r="L83" s="151"/>
      <c r="M83" s="151"/>
      <c r="N83" s="151"/>
      <c r="O83" s="151"/>
      <c r="P83" s="151"/>
      <c r="Q83" s="151"/>
      <c r="R83" s="151"/>
      <c r="S83" s="152"/>
      <c r="T83" s="151"/>
      <c r="U83" s="151"/>
      <c r="V83" s="153"/>
      <c r="W83" s="151"/>
      <c r="X83" s="151"/>
      <c r="Y83" s="153"/>
      <c r="Z83" s="151"/>
      <c r="AA83" s="187" t="str">
        <f t="shared" si="3"/>
        <v>No</v>
      </c>
      <c r="AB83" s="158"/>
      <c r="AC83" s="159"/>
      <c r="AD83" s="160"/>
    </row>
    <row r="84" spans="1:30">
      <c r="A84" s="155"/>
      <c r="B84" s="112" t="str">
        <f t="shared" si="2"/>
        <v/>
      </c>
      <c r="C84" s="183"/>
      <c r="D84" s="152"/>
      <c r="E84" s="152"/>
      <c r="F84" s="151"/>
      <c r="G84" s="153"/>
      <c r="H84" s="151"/>
      <c r="I84" s="151"/>
      <c r="J84" s="151"/>
      <c r="K84" s="151"/>
      <c r="L84" s="151"/>
      <c r="M84" s="151"/>
      <c r="N84" s="151"/>
      <c r="O84" s="151"/>
      <c r="P84" s="151"/>
      <c r="Q84" s="151"/>
      <c r="R84" s="151"/>
      <c r="S84" s="152"/>
      <c r="T84" s="151"/>
      <c r="U84" s="151"/>
      <c r="V84" s="153"/>
      <c r="W84" s="151"/>
      <c r="X84" s="151"/>
      <c r="Y84" s="153"/>
      <c r="Z84" s="151"/>
      <c r="AA84" s="187" t="str">
        <f t="shared" si="3"/>
        <v>No</v>
      </c>
      <c r="AB84" s="158"/>
      <c r="AC84" s="159"/>
      <c r="AD84" s="160"/>
    </row>
    <row r="85" spans="1:30">
      <c r="A85" s="155"/>
      <c r="B85" s="112" t="str">
        <f t="shared" si="2"/>
        <v/>
      </c>
      <c r="C85" s="183"/>
      <c r="D85" s="152"/>
      <c r="E85" s="152"/>
      <c r="F85" s="151"/>
      <c r="G85" s="153"/>
      <c r="H85" s="151"/>
      <c r="I85" s="151"/>
      <c r="J85" s="151"/>
      <c r="K85" s="151"/>
      <c r="L85" s="151"/>
      <c r="M85" s="151"/>
      <c r="N85" s="151"/>
      <c r="O85" s="151"/>
      <c r="P85" s="151"/>
      <c r="Q85" s="151"/>
      <c r="R85" s="151"/>
      <c r="S85" s="152"/>
      <c r="T85" s="151"/>
      <c r="U85" s="151"/>
      <c r="V85" s="153"/>
      <c r="W85" s="151"/>
      <c r="X85" s="151"/>
      <c r="Y85" s="153"/>
      <c r="Z85" s="151"/>
      <c r="AA85" s="187" t="str">
        <f t="shared" si="3"/>
        <v>No</v>
      </c>
      <c r="AB85" s="158"/>
      <c r="AC85" s="159"/>
      <c r="AD85" s="160"/>
    </row>
    <row r="86" spans="1:30">
      <c r="A86" s="155"/>
      <c r="B86" s="112" t="str">
        <f t="shared" si="2"/>
        <v/>
      </c>
      <c r="C86" s="183"/>
      <c r="D86" s="152"/>
      <c r="E86" s="152"/>
      <c r="F86" s="151"/>
      <c r="G86" s="153"/>
      <c r="H86" s="151"/>
      <c r="I86" s="151"/>
      <c r="J86" s="151"/>
      <c r="K86" s="151"/>
      <c r="L86" s="151"/>
      <c r="M86" s="151"/>
      <c r="N86" s="151"/>
      <c r="O86" s="151"/>
      <c r="P86" s="151"/>
      <c r="Q86" s="151"/>
      <c r="R86" s="151"/>
      <c r="S86" s="152"/>
      <c r="T86" s="151"/>
      <c r="U86" s="151"/>
      <c r="V86" s="153"/>
      <c r="W86" s="151"/>
      <c r="X86" s="151"/>
      <c r="Y86" s="153"/>
      <c r="Z86" s="151"/>
      <c r="AA86" s="187" t="str">
        <f t="shared" si="3"/>
        <v>No</v>
      </c>
      <c r="AB86" s="158"/>
      <c r="AC86" s="159"/>
      <c r="AD86" s="160"/>
    </row>
    <row r="87" spans="1:30">
      <c r="A87" s="155"/>
      <c r="B87" s="112" t="str">
        <f t="shared" si="2"/>
        <v/>
      </c>
      <c r="C87" s="183"/>
      <c r="D87" s="152"/>
      <c r="E87" s="152"/>
      <c r="F87" s="151"/>
      <c r="G87" s="153"/>
      <c r="H87" s="151"/>
      <c r="I87" s="151"/>
      <c r="J87" s="151"/>
      <c r="K87" s="151"/>
      <c r="L87" s="151"/>
      <c r="M87" s="151"/>
      <c r="N87" s="151"/>
      <c r="O87" s="151"/>
      <c r="P87" s="151"/>
      <c r="Q87" s="151"/>
      <c r="R87" s="151"/>
      <c r="S87" s="152"/>
      <c r="T87" s="151"/>
      <c r="U87" s="151"/>
      <c r="V87" s="153"/>
      <c r="W87" s="151"/>
      <c r="X87" s="151"/>
      <c r="Y87" s="153"/>
      <c r="Z87" s="151"/>
      <c r="AA87" s="187" t="str">
        <f t="shared" si="3"/>
        <v>No</v>
      </c>
      <c r="AB87" s="158"/>
      <c r="AC87" s="159"/>
      <c r="AD87" s="160"/>
    </row>
    <row r="88" spans="1:30">
      <c r="A88" s="155"/>
      <c r="B88" s="112" t="str">
        <f t="shared" si="2"/>
        <v/>
      </c>
      <c r="C88" s="183"/>
      <c r="D88" s="152"/>
      <c r="E88" s="152"/>
      <c r="F88" s="151"/>
      <c r="G88" s="153"/>
      <c r="H88" s="151"/>
      <c r="I88" s="151"/>
      <c r="J88" s="151"/>
      <c r="K88" s="151"/>
      <c r="L88" s="151"/>
      <c r="M88" s="151"/>
      <c r="N88" s="151"/>
      <c r="O88" s="151"/>
      <c r="P88" s="151"/>
      <c r="Q88" s="151"/>
      <c r="R88" s="151"/>
      <c r="S88" s="152"/>
      <c r="T88" s="151"/>
      <c r="U88" s="151"/>
      <c r="V88" s="153"/>
      <c r="W88" s="151"/>
      <c r="X88" s="151"/>
      <c r="Y88" s="153"/>
      <c r="Z88" s="151"/>
      <c r="AA88" s="187" t="str">
        <f t="shared" si="3"/>
        <v>No</v>
      </c>
      <c r="AB88" s="158"/>
      <c r="AC88" s="159"/>
      <c r="AD88" s="160"/>
    </row>
    <row r="89" spans="1:30">
      <c r="A89" s="155"/>
      <c r="B89" s="112" t="str">
        <f t="shared" si="2"/>
        <v/>
      </c>
      <c r="C89" s="183"/>
      <c r="D89" s="152"/>
      <c r="E89" s="152"/>
      <c r="F89" s="151"/>
      <c r="G89" s="153"/>
      <c r="H89" s="151"/>
      <c r="I89" s="151"/>
      <c r="J89" s="151"/>
      <c r="K89" s="151"/>
      <c r="L89" s="151"/>
      <c r="M89" s="151"/>
      <c r="N89" s="151"/>
      <c r="O89" s="151"/>
      <c r="P89" s="151"/>
      <c r="Q89" s="151"/>
      <c r="R89" s="151"/>
      <c r="S89" s="152"/>
      <c r="T89" s="151"/>
      <c r="U89" s="151"/>
      <c r="V89" s="153"/>
      <c r="W89" s="151"/>
      <c r="X89" s="151"/>
      <c r="Y89" s="153"/>
      <c r="Z89" s="151"/>
      <c r="AA89" s="187" t="str">
        <f t="shared" si="3"/>
        <v>No</v>
      </c>
      <c r="AB89" s="158"/>
      <c r="AC89" s="159"/>
      <c r="AD89" s="160"/>
    </row>
    <row r="90" spans="1:30">
      <c r="A90" s="155"/>
      <c r="B90" s="112" t="str">
        <f t="shared" si="2"/>
        <v/>
      </c>
      <c r="C90" s="183"/>
      <c r="D90" s="152"/>
      <c r="E90" s="152"/>
      <c r="F90" s="151"/>
      <c r="G90" s="153"/>
      <c r="H90" s="151"/>
      <c r="I90" s="151"/>
      <c r="J90" s="151"/>
      <c r="K90" s="151"/>
      <c r="L90" s="151"/>
      <c r="M90" s="151"/>
      <c r="N90" s="151"/>
      <c r="O90" s="151"/>
      <c r="P90" s="151"/>
      <c r="Q90" s="151"/>
      <c r="R90" s="151"/>
      <c r="S90" s="152"/>
      <c r="T90" s="151"/>
      <c r="U90" s="151"/>
      <c r="V90" s="153"/>
      <c r="W90" s="151"/>
      <c r="X90" s="151"/>
      <c r="Y90" s="153"/>
      <c r="Z90" s="151"/>
      <c r="AA90" s="187" t="str">
        <f t="shared" si="3"/>
        <v>No</v>
      </c>
      <c r="AB90" s="158"/>
      <c r="AC90" s="159"/>
      <c r="AD90" s="160"/>
    </row>
    <row r="91" spans="1:30">
      <c r="A91" s="155"/>
      <c r="B91" s="112" t="str">
        <f t="shared" si="2"/>
        <v/>
      </c>
      <c r="C91" s="183"/>
      <c r="D91" s="152"/>
      <c r="E91" s="152"/>
      <c r="F91" s="151"/>
      <c r="G91" s="153"/>
      <c r="H91" s="151"/>
      <c r="I91" s="151"/>
      <c r="J91" s="151"/>
      <c r="K91" s="151"/>
      <c r="L91" s="151"/>
      <c r="M91" s="151"/>
      <c r="N91" s="151"/>
      <c r="O91" s="151"/>
      <c r="P91" s="151"/>
      <c r="Q91" s="151"/>
      <c r="R91" s="151"/>
      <c r="S91" s="152"/>
      <c r="T91" s="151"/>
      <c r="U91" s="151"/>
      <c r="V91" s="153"/>
      <c r="W91" s="151"/>
      <c r="X91" s="151"/>
      <c r="Y91" s="153"/>
      <c r="Z91" s="151"/>
      <c r="AA91" s="187" t="str">
        <f t="shared" si="3"/>
        <v>No</v>
      </c>
      <c r="AB91" s="158"/>
      <c r="AC91" s="159"/>
      <c r="AD91" s="160"/>
    </row>
    <row r="92" spans="1:30">
      <c r="A92" s="155"/>
      <c r="B92" s="112" t="str">
        <f t="shared" si="2"/>
        <v/>
      </c>
      <c r="C92" s="183"/>
      <c r="D92" s="152"/>
      <c r="E92" s="152"/>
      <c r="F92" s="151"/>
      <c r="G92" s="153"/>
      <c r="H92" s="151"/>
      <c r="I92" s="151"/>
      <c r="J92" s="151"/>
      <c r="K92" s="151"/>
      <c r="L92" s="151"/>
      <c r="M92" s="151"/>
      <c r="N92" s="151"/>
      <c r="O92" s="151"/>
      <c r="P92" s="151"/>
      <c r="Q92" s="151"/>
      <c r="R92" s="151"/>
      <c r="S92" s="152"/>
      <c r="T92" s="151"/>
      <c r="U92" s="151"/>
      <c r="V92" s="153"/>
      <c r="W92" s="151"/>
      <c r="X92" s="151"/>
      <c r="Y92" s="153"/>
      <c r="Z92" s="151"/>
      <c r="AA92" s="187" t="str">
        <f t="shared" si="3"/>
        <v>No</v>
      </c>
      <c r="AB92" s="158"/>
      <c r="AC92" s="159"/>
      <c r="AD92" s="160"/>
    </row>
    <row r="93" spans="1:30">
      <c r="A93" s="155"/>
      <c r="B93" s="112" t="str">
        <f t="shared" si="2"/>
        <v/>
      </c>
      <c r="C93" s="183"/>
      <c r="D93" s="152"/>
      <c r="E93" s="152"/>
      <c r="F93" s="151"/>
      <c r="G93" s="153"/>
      <c r="H93" s="151"/>
      <c r="I93" s="151"/>
      <c r="J93" s="151"/>
      <c r="K93" s="151"/>
      <c r="L93" s="151"/>
      <c r="M93" s="151"/>
      <c r="N93" s="151"/>
      <c r="O93" s="151"/>
      <c r="P93" s="151"/>
      <c r="Q93" s="151"/>
      <c r="R93" s="151"/>
      <c r="S93" s="152"/>
      <c r="T93" s="151"/>
      <c r="U93" s="151"/>
      <c r="V93" s="153"/>
      <c r="W93" s="151"/>
      <c r="X93" s="151"/>
      <c r="Y93" s="153"/>
      <c r="Z93" s="151"/>
      <c r="AA93" s="187" t="str">
        <f t="shared" si="3"/>
        <v>No</v>
      </c>
      <c r="AB93" s="158"/>
      <c r="AC93" s="159"/>
      <c r="AD93" s="160"/>
    </row>
    <row r="94" spans="1:30">
      <c r="A94" s="155"/>
      <c r="B94" s="112" t="str">
        <f t="shared" si="2"/>
        <v/>
      </c>
      <c r="C94" s="183"/>
      <c r="D94" s="152"/>
      <c r="E94" s="152"/>
      <c r="F94" s="151"/>
      <c r="G94" s="153"/>
      <c r="H94" s="151"/>
      <c r="I94" s="151"/>
      <c r="J94" s="151"/>
      <c r="K94" s="151"/>
      <c r="L94" s="151"/>
      <c r="M94" s="151"/>
      <c r="N94" s="151"/>
      <c r="O94" s="151"/>
      <c r="P94" s="151"/>
      <c r="Q94" s="151"/>
      <c r="R94" s="151"/>
      <c r="S94" s="152"/>
      <c r="T94" s="151"/>
      <c r="U94" s="151"/>
      <c r="V94" s="153"/>
      <c r="W94" s="151"/>
      <c r="X94" s="151"/>
      <c r="Y94" s="153"/>
      <c r="Z94" s="151"/>
      <c r="AA94" s="187" t="str">
        <f t="shared" si="3"/>
        <v>No</v>
      </c>
      <c r="AB94" s="158"/>
      <c r="AC94" s="159"/>
      <c r="AD94" s="160"/>
    </row>
    <row r="95" spans="1:30">
      <c r="A95" s="155"/>
      <c r="B95" s="112" t="str">
        <f t="shared" si="2"/>
        <v/>
      </c>
      <c r="C95" s="183"/>
      <c r="D95" s="152"/>
      <c r="E95" s="152"/>
      <c r="F95" s="151"/>
      <c r="G95" s="153"/>
      <c r="H95" s="151"/>
      <c r="I95" s="151"/>
      <c r="J95" s="151"/>
      <c r="K95" s="151"/>
      <c r="L95" s="151"/>
      <c r="M95" s="151"/>
      <c r="N95" s="151"/>
      <c r="O95" s="151"/>
      <c r="P95" s="151"/>
      <c r="Q95" s="151"/>
      <c r="R95" s="151"/>
      <c r="S95" s="152"/>
      <c r="T95" s="151"/>
      <c r="U95" s="151"/>
      <c r="V95" s="153"/>
      <c r="W95" s="151"/>
      <c r="X95" s="151"/>
      <c r="Y95" s="153"/>
      <c r="Z95" s="151"/>
      <c r="AA95" s="187" t="str">
        <f t="shared" si="3"/>
        <v>No</v>
      </c>
      <c r="AB95" s="158"/>
      <c r="AC95" s="159"/>
      <c r="AD95" s="160"/>
    </row>
    <row r="96" spans="1:30">
      <c r="A96" s="155"/>
      <c r="B96" s="112" t="str">
        <f t="shared" si="2"/>
        <v/>
      </c>
      <c r="C96" s="183"/>
      <c r="D96" s="152"/>
      <c r="E96" s="152"/>
      <c r="F96" s="151"/>
      <c r="G96" s="153"/>
      <c r="H96" s="151"/>
      <c r="I96" s="151"/>
      <c r="J96" s="151"/>
      <c r="K96" s="151"/>
      <c r="L96" s="151"/>
      <c r="M96" s="151"/>
      <c r="N96" s="151"/>
      <c r="O96" s="151"/>
      <c r="P96" s="151"/>
      <c r="Q96" s="151"/>
      <c r="R96" s="151"/>
      <c r="S96" s="152"/>
      <c r="T96" s="151"/>
      <c r="U96" s="151"/>
      <c r="V96" s="153"/>
      <c r="W96" s="151"/>
      <c r="X96" s="151"/>
      <c r="Y96" s="153"/>
      <c r="Z96" s="151"/>
      <c r="AA96" s="187" t="str">
        <f t="shared" si="3"/>
        <v>No</v>
      </c>
      <c r="AB96" s="158"/>
      <c r="AC96" s="159"/>
      <c r="AD96" s="160"/>
    </row>
    <row r="97" spans="1:30">
      <c r="A97" s="155"/>
      <c r="B97" s="112" t="str">
        <f t="shared" si="2"/>
        <v/>
      </c>
      <c r="C97" s="183"/>
      <c r="D97" s="152"/>
      <c r="E97" s="152"/>
      <c r="F97" s="151"/>
      <c r="G97" s="153"/>
      <c r="H97" s="151"/>
      <c r="I97" s="151"/>
      <c r="J97" s="151"/>
      <c r="K97" s="151"/>
      <c r="L97" s="151"/>
      <c r="M97" s="151"/>
      <c r="N97" s="151"/>
      <c r="O97" s="151"/>
      <c r="P97" s="151"/>
      <c r="Q97" s="151"/>
      <c r="R97" s="151"/>
      <c r="S97" s="152"/>
      <c r="T97" s="151"/>
      <c r="U97" s="151"/>
      <c r="V97" s="153"/>
      <c r="W97" s="151"/>
      <c r="X97" s="151"/>
      <c r="Y97" s="153"/>
      <c r="Z97" s="151"/>
      <c r="AA97" s="187" t="str">
        <f t="shared" si="3"/>
        <v>No</v>
      </c>
      <c r="AB97" s="158"/>
      <c r="AC97" s="159"/>
      <c r="AD97" s="160"/>
    </row>
    <row r="98" spans="1:30">
      <c r="A98" s="155"/>
      <c r="B98" s="112" t="str">
        <f t="shared" si="2"/>
        <v/>
      </c>
      <c r="C98" s="183"/>
      <c r="D98" s="152"/>
      <c r="E98" s="152"/>
      <c r="F98" s="151"/>
      <c r="G98" s="153"/>
      <c r="H98" s="151"/>
      <c r="I98" s="151"/>
      <c r="J98" s="151"/>
      <c r="K98" s="151"/>
      <c r="L98" s="151"/>
      <c r="M98" s="151"/>
      <c r="N98" s="151"/>
      <c r="O98" s="151"/>
      <c r="P98" s="151"/>
      <c r="Q98" s="151"/>
      <c r="R98" s="151"/>
      <c r="S98" s="152"/>
      <c r="T98" s="151"/>
      <c r="U98" s="151"/>
      <c r="V98" s="153"/>
      <c r="W98" s="151"/>
      <c r="X98" s="151"/>
      <c r="Y98" s="153"/>
      <c r="Z98" s="151"/>
      <c r="AA98" s="187" t="str">
        <f t="shared" si="3"/>
        <v>No</v>
      </c>
      <c r="AB98" s="158"/>
      <c r="AC98" s="159"/>
      <c r="AD98" s="160"/>
    </row>
    <row r="99" spans="1:30">
      <c r="A99" s="155"/>
      <c r="B99" s="112" t="str">
        <f t="shared" si="2"/>
        <v/>
      </c>
      <c r="C99" s="183"/>
      <c r="D99" s="152"/>
      <c r="E99" s="152"/>
      <c r="F99" s="151"/>
      <c r="G99" s="153"/>
      <c r="H99" s="151"/>
      <c r="I99" s="151"/>
      <c r="J99" s="151"/>
      <c r="K99" s="151"/>
      <c r="L99" s="151"/>
      <c r="M99" s="151"/>
      <c r="N99" s="151"/>
      <c r="O99" s="151"/>
      <c r="P99" s="151"/>
      <c r="Q99" s="151"/>
      <c r="R99" s="151"/>
      <c r="S99" s="152"/>
      <c r="T99" s="151"/>
      <c r="U99" s="151"/>
      <c r="V99" s="153"/>
      <c r="W99" s="151"/>
      <c r="X99" s="151"/>
      <c r="Y99" s="153"/>
      <c r="Z99" s="151"/>
      <c r="AA99" s="187" t="str">
        <f t="shared" si="3"/>
        <v>No</v>
      </c>
      <c r="AB99" s="158"/>
      <c r="AC99" s="159"/>
      <c r="AD99" s="160"/>
    </row>
    <row r="100" spans="1:30">
      <c r="A100" s="155"/>
      <c r="B100" s="112" t="str">
        <f t="shared" si="2"/>
        <v/>
      </c>
      <c r="C100" s="183"/>
      <c r="D100" s="152"/>
      <c r="E100" s="152"/>
      <c r="F100" s="151"/>
      <c r="G100" s="153"/>
      <c r="H100" s="151"/>
      <c r="I100" s="151"/>
      <c r="J100" s="151"/>
      <c r="K100" s="151"/>
      <c r="L100" s="151"/>
      <c r="M100" s="151"/>
      <c r="N100" s="151"/>
      <c r="O100" s="151"/>
      <c r="P100" s="151"/>
      <c r="Q100" s="151"/>
      <c r="R100" s="151"/>
      <c r="S100" s="152"/>
      <c r="T100" s="151"/>
      <c r="U100" s="151"/>
      <c r="V100" s="153"/>
      <c r="W100" s="151"/>
      <c r="X100" s="151"/>
      <c r="Y100" s="153"/>
      <c r="Z100" s="151"/>
      <c r="AA100" s="187" t="str">
        <f t="shared" si="3"/>
        <v>No</v>
      </c>
      <c r="AB100" s="158"/>
      <c r="AC100" s="159"/>
      <c r="AD100" s="160"/>
    </row>
    <row r="101" spans="1:30">
      <c r="A101" s="155"/>
      <c r="B101" s="112" t="str">
        <f t="shared" si="2"/>
        <v/>
      </c>
      <c r="C101" s="183"/>
      <c r="D101" s="152"/>
      <c r="E101" s="152"/>
      <c r="F101" s="151"/>
      <c r="G101" s="153"/>
      <c r="H101" s="151"/>
      <c r="I101" s="151"/>
      <c r="J101" s="151"/>
      <c r="K101" s="151"/>
      <c r="L101" s="151"/>
      <c r="M101" s="151"/>
      <c r="N101" s="151"/>
      <c r="O101" s="151"/>
      <c r="P101" s="151"/>
      <c r="Q101" s="151"/>
      <c r="R101" s="151"/>
      <c r="S101" s="152"/>
      <c r="T101" s="151"/>
      <c r="U101" s="151"/>
      <c r="V101" s="153"/>
      <c r="W101" s="151"/>
      <c r="X101" s="151"/>
      <c r="Y101" s="153"/>
      <c r="Z101" s="151"/>
      <c r="AA101" s="187" t="str">
        <f t="shared" si="3"/>
        <v>No</v>
      </c>
      <c r="AB101" s="158"/>
      <c r="AC101" s="159"/>
      <c r="AD101" s="160"/>
    </row>
    <row r="102" spans="1:30">
      <c r="A102" s="155"/>
      <c r="B102" s="112" t="str">
        <f t="shared" si="2"/>
        <v/>
      </c>
      <c r="C102" s="183"/>
      <c r="D102" s="152"/>
      <c r="E102" s="152"/>
      <c r="F102" s="151"/>
      <c r="G102" s="153"/>
      <c r="H102" s="151"/>
      <c r="I102" s="151"/>
      <c r="J102" s="151"/>
      <c r="K102" s="151"/>
      <c r="L102" s="151"/>
      <c r="M102" s="151"/>
      <c r="N102" s="151"/>
      <c r="O102" s="151"/>
      <c r="P102" s="151"/>
      <c r="Q102" s="151"/>
      <c r="R102" s="151"/>
      <c r="S102" s="152"/>
      <c r="T102" s="151"/>
      <c r="U102" s="151"/>
      <c r="V102" s="153"/>
      <c r="W102" s="151"/>
      <c r="X102" s="151"/>
      <c r="Y102" s="153"/>
      <c r="Z102" s="151"/>
      <c r="AA102" s="187" t="str">
        <f t="shared" si="3"/>
        <v>No</v>
      </c>
      <c r="AB102" s="158"/>
      <c r="AC102" s="159"/>
      <c r="AD102" s="160"/>
    </row>
    <row r="103" spans="1:30">
      <c r="A103" s="155"/>
      <c r="B103" s="112" t="str">
        <f t="shared" si="2"/>
        <v/>
      </c>
      <c r="C103" s="183"/>
      <c r="D103" s="152"/>
      <c r="E103" s="152"/>
      <c r="F103" s="151"/>
      <c r="G103" s="153"/>
      <c r="H103" s="151"/>
      <c r="I103" s="151"/>
      <c r="J103" s="151"/>
      <c r="K103" s="151"/>
      <c r="L103" s="151"/>
      <c r="M103" s="151"/>
      <c r="N103" s="151"/>
      <c r="O103" s="151"/>
      <c r="P103" s="151"/>
      <c r="Q103" s="151"/>
      <c r="R103" s="151"/>
      <c r="S103" s="152"/>
      <c r="T103" s="151"/>
      <c r="U103" s="151"/>
      <c r="V103" s="153"/>
      <c r="W103" s="151"/>
      <c r="X103" s="151"/>
      <c r="Y103" s="153"/>
      <c r="Z103" s="151"/>
      <c r="AA103" s="187" t="str">
        <f t="shared" si="3"/>
        <v>No</v>
      </c>
      <c r="AB103" s="158"/>
      <c r="AC103" s="159"/>
      <c r="AD103" s="160"/>
    </row>
    <row r="104" spans="1:30">
      <c r="A104" s="155"/>
      <c r="B104" s="112" t="str">
        <f t="shared" si="2"/>
        <v/>
      </c>
      <c r="C104" s="183"/>
      <c r="D104" s="152"/>
      <c r="E104" s="152"/>
      <c r="F104" s="151"/>
      <c r="G104" s="153"/>
      <c r="H104" s="151"/>
      <c r="I104" s="151"/>
      <c r="J104" s="151"/>
      <c r="K104" s="151"/>
      <c r="L104" s="151"/>
      <c r="M104" s="151"/>
      <c r="N104" s="151"/>
      <c r="O104" s="151"/>
      <c r="P104" s="151"/>
      <c r="Q104" s="151"/>
      <c r="R104" s="151"/>
      <c r="S104" s="152"/>
      <c r="T104" s="151"/>
      <c r="U104" s="151"/>
      <c r="V104" s="153"/>
      <c r="W104" s="151"/>
      <c r="X104" s="151"/>
      <c r="Y104" s="153"/>
      <c r="Z104" s="151"/>
      <c r="AA104" s="187" t="str">
        <f t="shared" si="3"/>
        <v>No</v>
      </c>
      <c r="AB104" s="158"/>
      <c r="AC104" s="159"/>
      <c r="AD104" s="160"/>
    </row>
    <row r="105" spans="1:30">
      <c r="A105" s="155"/>
      <c r="B105" s="112" t="str">
        <f t="shared" si="2"/>
        <v/>
      </c>
      <c r="C105" s="183"/>
      <c r="D105" s="152"/>
      <c r="E105" s="152"/>
      <c r="F105" s="151"/>
      <c r="G105" s="153"/>
      <c r="H105" s="151"/>
      <c r="I105" s="151"/>
      <c r="J105" s="151"/>
      <c r="K105" s="151"/>
      <c r="L105" s="151"/>
      <c r="M105" s="151"/>
      <c r="N105" s="151"/>
      <c r="O105" s="151"/>
      <c r="P105" s="151"/>
      <c r="Q105" s="151"/>
      <c r="R105" s="151"/>
      <c r="S105" s="152"/>
      <c r="T105" s="151"/>
      <c r="U105" s="151"/>
      <c r="V105" s="153"/>
      <c r="W105" s="151"/>
      <c r="X105" s="151"/>
      <c r="Y105" s="153"/>
      <c r="Z105" s="151"/>
      <c r="AA105" s="187" t="str">
        <f t="shared" si="3"/>
        <v>No</v>
      </c>
      <c r="AB105" s="158"/>
      <c r="AC105" s="159"/>
      <c r="AD105" s="160"/>
    </row>
    <row r="106" spans="1:30">
      <c r="A106" s="155"/>
      <c r="B106" s="112" t="str">
        <f t="shared" si="2"/>
        <v/>
      </c>
      <c r="C106" s="183"/>
      <c r="D106" s="152"/>
      <c r="E106" s="152"/>
      <c r="F106" s="151"/>
      <c r="G106" s="153"/>
      <c r="H106" s="151"/>
      <c r="I106" s="151"/>
      <c r="J106" s="151"/>
      <c r="K106" s="151"/>
      <c r="L106" s="151"/>
      <c r="M106" s="151"/>
      <c r="N106" s="151"/>
      <c r="O106" s="151"/>
      <c r="P106" s="151"/>
      <c r="Q106" s="151"/>
      <c r="R106" s="151"/>
      <c r="S106" s="152"/>
      <c r="T106" s="151"/>
      <c r="U106" s="151"/>
      <c r="V106" s="153"/>
      <c r="W106" s="151"/>
      <c r="X106" s="151"/>
      <c r="Y106" s="153"/>
      <c r="Z106" s="151"/>
      <c r="AA106" s="187" t="str">
        <f t="shared" si="3"/>
        <v>No</v>
      </c>
      <c r="AB106" s="158"/>
      <c r="AC106" s="159"/>
      <c r="AD106" s="160"/>
    </row>
    <row r="107" spans="1:30">
      <c r="A107" s="155"/>
      <c r="B107" s="112" t="str">
        <f t="shared" si="2"/>
        <v/>
      </c>
      <c r="C107" s="183"/>
      <c r="D107" s="152"/>
      <c r="E107" s="152"/>
      <c r="F107" s="151"/>
      <c r="G107" s="153"/>
      <c r="H107" s="151"/>
      <c r="I107" s="151"/>
      <c r="J107" s="151"/>
      <c r="K107" s="151"/>
      <c r="L107" s="151"/>
      <c r="M107" s="151"/>
      <c r="N107" s="151"/>
      <c r="O107" s="151"/>
      <c r="P107" s="151"/>
      <c r="Q107" s="151"/>
      <c r="R107" s="151"/>
      <c r="S107" s="152"/>
      <c r="T107" s="151"/>
      <c r="U107" s="151"/>
      <c r="V107" s="153"/>
      <c r="W107" s="151"/>
      <c r="X107" s="151"/>
      <c r="Y107" s="153"/>
      <c r="Z107" s="151"/>
      <c r="AA107" s="187" t="str">
        <f t="shared" si="3"/>
        <v>No</v>
      </c>
      <c r="AB107" s="158"/>
      <c r="AC107" s="159"/>
      <c r="AD107" s="160"/>
    </row>
    <row r="108" spans="1:30">
      <c r="A108" s="155"/>
      <c r="B108" s="112" t="str">
        <f t="shared" si="2"/>
        <v/>
      </c>
      <c r="C108" s="183"/>
      <c r="D108" s="152"/>
      <c r="E108" s="152"/>
      <c r="F108" s="151"/>
      <c r="G108" s="153"/>
      <c r="H108" s="151"/>
      <c r="I108" s="151"/>
      <c r="J108" s="151"/>
      <c r="K108" s="151"/>
      <c r="L108" s="151"/>
      <c r="M108" s="151"/>
      <c r="N108" s="151"/>
      <c r="O108" s="151"/>
      <c r="P108" s="151"/>
      <c r="Q108" s="151"/>
      <c r="R108" s="151"/>
      <c r="S108" s="152"/>
      <c r="T108" s="151"/>
      <c r="U108" s="151"/>
      <c r="V108" s="153"/>
      <c r="W108" s="151"/>
      <c r="X108" s="151"/>
      <c r="Y108" s="153"/>
      <c r="Z108" s="151"/>
      <c r="AA108" s="187" t="str">
        <f t="shared" si="3"/>
        <v>No</v>
      </c>
      <c r="AB108" s="158"/>
      <c r="AC108" s="159"/>
      <c r="AD108" s="160"/>
    </row>
    <row r="109" spans="1:30">
      <c r="A109" s="155"/>
      <c r="B109" s="112" t="str">
        <f t="shared" si="2"/>
        <v/>
      </c>
      <c r="C109" s="183"/>
      <c r="D109" s="152"/>
      <c r="E109" s="152"/>
      <c r="F109" s="151"/>
      <c r="G109" s="153"/>
      <c r="H109" s="151"/>
      <c r="I109" s="151"/>
      <c r="J109" s="151"/>
      <c r="K109" s="151"/>
      <c r="L109" s="151"/>
      <c r="M109" s="151"/>
      <c r="N109" s="151"/>
      <c r="O109" s="151"/>
      <c r="P109" s="151"/>
      <c r="Q109" s="151"/>
      <c r="R109" s="151"/>
      <c r="S109" s="152"/>
      <c r="T109" s="151"/>
      <c r="U109" s="151"/>
      <c r="V109" s="153"/>
      <c r="W109" s="151"/>
      <c r="X109" s="151"/>
      <c r="Y109" s="153"/>
      <c r="Z109" s="151"/>
      <c r="AA109" s="187" t="str">
        <f t="shared" si="3"/>
        <v>No</v>
      </c>
      <c r="AB109" s="158"/>
      <c r="AC109" s="159"/>
      <c r="AD109" s="160"/>
    </row>
    <row r="110" spans="1:30">
      <c r="A110" s="155"/>
      <c r="B110" s="112" t="str">
        <f t="shared" si="2"/>
        <v/>
      </c>
      <c r="C110" s="183"/>
      <c r="D110" s="152"/>
      <c r="E110" s="152"/>
      <c r="F110" s="151"/>
      <c r="G110" s="153"/>
      <c r="H110" s="151"/>
      <c r="I110" s="151"/>
      <c r="J110" s="151"/>
      <c r="K110" s="151"/>
      <c r="L110" s="151"/>
      <c r="M110" s="151"/>
      <c r="N110" s="151"/>
      <c r="O110" s="151"/>
      <c r="P110" s="151"/>
      <c r="Q110" s="151"/>
      <c r="R110" s="151"/>
      <c r="S110" s="152"/>
      <c r="T110" s="151"/>
      <c r="U110" s="151"/>
      <c r="V110" s="153"/>
      <c r="W110" s="151"/>
      <c r="X110" s="151"/>
      <c r="Y110" s="153"/>
      <c r="Z110" s="151"/>
      <c r="AA110" s="187" t="str">
        <f t="shared" si="3"/>
        <v>No</v>
      </c>
      <c r="AB110" s="158"/>
      <c r="AC110" s="159"/>
      <c r="AD110" s="160"/>
    </row>
    <row r="111" spans="1:30">
      <c r="A111" s="155"/>
      <c r="B111" s="112" t="str">
        <f t="shared" si="2"/>
        <v/>
      </c>
      <c r="C111" s="183"/>
      <c r="D111" s="152"/>
      <c r="E111" s="152"/>
      <c r="F111" s="151"/>
      <c r="G111" s="153"/>
      <c r="H111" s="151"/>
      <c r="I111" s="151"/>
      <c r="J111" s="151"/>
      <c r="K111" s="151"/>
      <c r="L111" s="151"/>
      <c r="M111" s="151"/>
      <c r="N111" s="151"/>
      <c r="O111" s="151"/>
      <c r="P111" s="151"/>
      <c r="Q111" s="151"/>
      <c r="R111" s="151"/>
      <c r="S111" s="152"/>
      <c r="T111" s="151"/>
      <c r="U111" s="151"/>
      <c r="V111" s="153"/>
      <c r="W111" s="151"/>
      <c r="X111" s="151"/>
      <c r="Y111" s="153"/>
      <c r="Z111" s="151"/>
      <c r="AA111" s="187" t="str">
        <f t="shared" si="3"/>
        <v>No</v>
      </c>
      <c r="AB111" s="158"/>
      <c r="AC111" s="159"/>
      <c r="AD111" s="160"/>
    </row>
    <row r="112" spans="1:30">
      <c r="A112" s="155"/>
      <c r="B112" s="112" t="str">
        <f t="shared" si="2"/>
        <v/>
      </c>
      <c r="C112" s="183"/>
      <c r="D112" s="152"/>
      <c r="E112" s="152"/>
      <c r="F112" s="151"/>
      <c r="G112" s="153"/>
      <c r="H112" s="151"/>
      <c r="I112" s="151"/>
      <c r="J112" s="151"/>
      <c r="K112" s="151"/>
      <c r="L112" s="151"/>
      <c r="M112" s="151"/>
      <c r="N112" s="151"/>
      <c r="O112" s="151"/>
      <c r="P112" s="151"/>
      <c r="Q112" s="151"/>
      <c r="R112" s="151"/>
      <c r="S112" s="152"/>
      <c r="T112" s="151"/>
      <c r="U112" s="151"/>
      <c r="V112" s="153"/>
      <c r="W112" s="151"/>
      <c r="X112" s="151"/>
      <c r="Y112" s="153"/>
      <c r="Z112" s="151"/>
      <c r="AA112" s="187" t="str">
        <f t="shared" si="3"/>
        <v>No</v>
      </c>
      <c r="AB112" s="158"/>
      <c r="AC112" s="159"/>
      <c r="AD112" s="160"/>
    </row>
    <row r="113" spans="1:30">
      <c r="A113" s="155"/>
      <c r="B113" s="112" t="str">
        <f t="shared" si="2"/>
        <v/>
      </c>
      <c r="C113" s="183"/>
      <c r="D113" s="152"/>
      <c r="E113" s="152"/>
      <c r="F113" s="151"/>
      <c r="G113" s="153"/>
      <c r="H113" s="151"/>
      <c r="I113" s="151"/>
      <c r="J113" s="151"/>
      <c r="K113" s="151"/>
      <c r="L113" s="151"/>
      <c r="M113" s="151"/>
      <c r="N113" s="151"/>
      <c r="O113" s="151"/>
      <c r="P113" s="151"/>
      <c r="Q113" s="151"/>
      <c r="R113" s="151"/>
      <c r="S113" s="152"/>
      <c r="T113" s="151"/>
      <c r="U113" s="151"/>
      <c r="V113" s="153"/>
      <c r="W113" s="151"/>
      <c r="X113" s="151"/>
      <c r="Y113" s="153"/>
      <c r="Z113" s="151"/>
      <c r="AA113" s="187" t="str">
        <f t="shared" si="3"/>
        <v>No</v>
      </c>
      <c r="AB113" s="158"/>
      <c r="AC113" s="159"/>
      <c r="AD113" s="160"/>
    </row>
    <row r="114" spans="1:30">
      <c r="A114" s="155"/>
      <c r="B114" s="112" t="str">
        <f t="shared" si="2"/>
        <v/>
      </c>
      <c r="C114" s="183"/>
      <c r="D114" s="152"/>
      <c r="E114" s="152"/>
      <c r="F114" s="151"/>
      <c r="G114" s="153"/>
      <c r="H114" s="151"/>
      <c r="I114" s="151"/>
      <c r="J114" s="151"/>
      <c r="K114" s="151"/>
      <c r="L114" s="151"/>
      <c r="M114" s="151"/>
      <c r="N114" s="151"/>
      <c r="O114" s="151"/>
      <c r="P114" s="151"/>
      <c r="Q114" s="151"/>
      <c r="R114" s="151"/>
      <c r="S114" s="152"/>
      <c r="T114" s="151"/>
      <c r="U114" s="151"/>
      <c r="V114" s="153"/>
      <c r="W114" s="151"/>
      <c r="X114" s="151"/>
      <c r="Y114" s="153"/>
      <c r="Z114" s="151"/>
      <c r="AA114" s="187" t="str">
        <f t="shared" si="3"/>
        <v>No</v>
      </c>
      <c r="AB114" s="158"/>
      <c r="AC114" s="159"/>
      <c r="AD114" s="160"/>
    </row>
    <row r="115" spans="1:30">
      <c r="A115" s="155"/>
      <c r="B115" s="112" t="str">
        <f t="shared" si="2"/>
        <v/>
      </c>
      <c r="C115" s="183"/>
      <c r="D115" s="152"/>
      <c r="E115" s="152"/>
      <c r="F115" s="151"/>
      <c r="G115" s="153"/>
      <c r="H115" s="151"/>
      <c r="I115" s="151"/>
      <c r="J115" s="151"/>
      <c r="K115" s="151"/>
      <c r="L115" s="151"/>
      <c r="M115" s="151"/>
      <c r="N115" s="151"/>
      <c r="O115" s="151"/>
      <c r="P115" s="151"/>
      <c r="Q115" s="151"/>
      <c r="R115" s="151"/>
      <c r="S115" s="152"/>
      <c r="T115" s="151"/>
      <c r="U115" s="151"/>
      <c r="V115" s="153"/>
      <c r="W115" s="151"/>
      <c r="X115" s="151"/>
      <c r="Y115" s="153"/>
      <c r="Z115" s="151"/>
      <c r="AA115" s="187" t="str">
        <f t="shared" si="3"/>
        <v>No</v>
      </c>
      <c r="AB115" s="158"/>
      <c r="AC115" s="159"/>
      <c r="AD115" s="160"/>
    </row>
    <row r="116" spans="1:30">
      <c r="A116" s="155"/>
      <c r="B116" s="112" t="str">
        <f t="shared" si="2"/>
        <v/>
      </c>
      <c r="C116" s="183"/>
      <c r="D116" s="152"/>
      <c r="E116" s="152"/>
      <c r="F116" s="151"/>
      <c r="G116" s="153"/>
      <c r="H116" s="151"/>
      <c r="I116" s="151"/>
      <c r="J116" s="151"/>
      <c r="K116" s="151"/>
      <c r="L116" s="151"/>
      <c r="M116" s="151"/>
      <c r="N116" s="151"/>
      <c r="O116" s="151"/>
      <c r="P116" s="151"/>
      <c r="Q116" s="151"/>
      <c r="R116" s="151"/>
      <c r="S116" s="152"/>
      <c r="T116" s="151"/>
      <c r="U116" s="151"/>
      <c r="V116" s="153"/>
      <c r="W116" s="151"/>
      <c r="X116" s="151"/>
      <c r="Y116" s="153"/>
      <c r="Z116" s="151"/>
      <c r="AA116" s="187" t="str">
        <f t="shared" si="3"/>
        <v>No</v>
      </c>
      <c r="AB116" s="158"/>
      <c r="AC116" s="159"/>
      <c r="AD116" s="160"/>
    </row>
    <row r="117" spans="1:30">
      <c r="A117" s="155"/>
      <c r="B117" s="112" t="str">
        <f t="shared" si="2"/>
        <v/>
      </c>
      <c r="C117" s="183"/>
      <c r="D117" s="152"/>
      <c r="E117" s="152"/>
      <c r="F117" s="151"/>
      <c r="G117" s="153"/>
      <c r="H117" s="151"/>
      <c r="I117" s="151"/>
      <c r="J117" s="151"/>
      <c r="K117" s="151"/>
      <c r="L117" s="151"/>
      <c r="M117" s="151"/>
      <c r="N117" s="151"/>
      <c r="O117" s="151"/>
      <c r="P117" s="151"/>
      <c r="Q117" s="151"/>
      <c r="R117" s="151"/>
      <c r="S117" s="152"/>
      <c r="T117" s="151"/>
      <c r="U117" s="151"/>
      <c r="V117" s="153"/>
      <c r="W117" s="151"/>
      <c r="X117" s="151"/>
      <c r="Y117" s="153"/>
      <c r="Z117" s="151"/>
      <c r="AA117" s="187" t="str">
        <f t="shared" si="3"/>
        <v>No</v>
      </c>
      <c r="AB117" s="158"/>
      <c r="AC117" s="159"/>
      <c r="AD117" s="160"/>
    </row>
    <row r="118" spans="1:30">
      <c r="A118" s="155"/>
      <c r="B118" s="112" t="str">
        <f t="shared" si="2"/>
        <v/>
      </c>
      <c r="C118" s="183"/>
      <c r="D118" s="152"/>
      <c r="E118" s="152"/>
      <c r="F118" s="151"/>
      <c r="G118" s="153"/>
      <c r="H118" s="151"/>
      <c r="I118" s="151"/>
      <c r="J118" s="151"/>
      <c r="K118" s="151"/>
      <c r="L118" s="151"/>
      <c r="M118" s="151"/>
      <c r="N118" s="151"/>
      <c r="O118" s="151"/>
      <c r="P118" s="151"/>
      <c r="Q118" s="151"/>
      <c r="R118" s="151"/>
      <c r="S118" s="152"/>
      <c r="T118" s="151"/>
      <c r="U118" s="151"/>
      <c r="V118" s="153"/>
      <c r="W118" s="151"/>
      <c r="X118" s="151"/>
      <c r="Y118" s="153"/>
      <c r="Z118" s="151"/>
      <c r="AA118" s="187" t="str">
        <f t="shared" si="3"/>
        <v>No</v>
      </c>
      <c r="AB118" s="158"/>
      <c r="AC118" s="159"/>
      <c r="AD118" s="160"/>
    </row>
    <row r="119" spans="1:30">
      <c r="A119" s="155"/>
      <c r="B119" s="112" t="str">
        <f t="shared" si="2"/>
        <v/>
      </c>
      <c r="C119" s="183"/>
      <c r="D119" s="152"/>
      <c r="E119" s="152"/>
      <c r="F119" s="151"/>
      <c r="G119" s="153"/>
      <c r="H119" s="151"/>
      <c r="I119" s="151"/>
      <c r="J119" s="151"/>
      <c r="K119" s="151"/>
      <c r="L119" s="151"/>
      <c r="M119" s="151"/>
      <c r="N119" s="151"/>
      <c r="O119" s="151"/>
      <c r="P119" s="151"/>
      <c r="Q119" s="151"/>
      <c r="R119" s="151"/>
      <c r="S119" s="152"/>
      <c r="T119" s="151"/>
      <c r="U119" s="151"/>
      <c r="V119" s="153"/>
      <c r="W119" s="151"/>
      <c r="X119" s="151"/>
      <c r="Y119" s="153"/>
      <c r="Z119" s="151"/>
      <c r="AA119" s="187" t="str">
        <f t="shared" si="3"/>
        <v>No</v>
      </c>
      <c r="AB119" s="158"/>
      <c r="AC119" s="159"/>
      <c r="AD119" s="160"/>
    </row>
    <row r="120" spans="1:30">
      <c r="A120" s="155"/>
      <c r="B120" s="112" t="str">
        <f t="shared" si="2"/>
        <v/>
      </c>
      <c r="C120" s="183"/>
      <c r="D120" s="152"/>
      <c r="E120" s="152"/>
      <c r="F120" s="151"/>
      <c r="G120" s="153"/>
      <c r="H120" s="151"/>
      <c r="I120" s="151"/>
      <c r="J120" s="151"/>
      <c r="K120" s="151"/>
      <c r="L120" s="151"/>
      <c r="M120" s="151"/>
      <c r="N120" s="151"/>
      <c r="O120" s="151"/>
      <c r="P120" s="151"/>
      <c r="Q120" s="151"/>
      <c r="R120" s="151"/>
      <c r="S120" s="152"/>
      <c r="T120" s="151"/>
      <c r="U120" s="151"/>
      <c r="V120" s="153"/>
      <c r="W120" s="151"/>
      <c r="X120" s="151"/>
      <c r="Y120" s="153"/>
      <c r="Z120" s="151"/>
      <c r="AA120" s="187" t="str">
        <f t="shared" si="3"/>
        <v>No</v>
      </c>
      <c r="AB120" s="158"/>
      <c r="AC120" s="159"/>
      <c r="AD120" s="160"/>
    </row>
    <row r="121" spans="1:30">
      <c r="A121" s="155"/>
      <c r="B121" s="112" t="str">
        <f t="shared" si="2"/>
        <v/>
      </c>
      <c r="C121" s="183"/>
      <c r="D121" s="152"/>
      <c r="E121" s="152"/>
      <c r="F121" s="151"/>
      <c r="G121" s="153"/>
      <c r="H121" s="151"/>
      <c r="I121" s="151"/>
      <c r="J121" s="151"/>
      <c r="K121" s="151"/>
      <c r="L121" s="151"/>
      <c r="M121" s="151"/>
      <c r="N121" s="151"/>
      <c r="O121" s="151"/>
      <c r="P121" s="151"/>
      <c r="Q121" s="151"/>
      <c r="R121" s="151"/>
      <c r="S121" s="152"/>
      <c r="T121" s="151"/>
      <c r="U121" s="151"/>
      <c r="V121" s="153"/>
      <c r="W121" s="151"/>
      <c r="X121" s="151"/>
      <c r="Y121" s="153"/>
      <c r="Z121" s="151"/>
      <c r="AA121" s="187" t="str">
        <f t="shared" si="3"/>
        <v>No</v>
      </c>
      <c r="AB121" s="158"/>
      <c r="AC121" s="159"/>
      <c r="AD121" s="160"/>
    </row>
    <row r="122" spans="1:30">
      <c r="A122" s="155"/>
      <c r="B122" s="112" t="str">
        <f t="shared" si="2"/>
        <v/>
      </c>
      <c r="C122" s="183"/>
      <c r="D122" s="152"/>
      <c r="E122" s="152"/>
      <c r="F122" s="151"/>
      <c r="G122" s="153"/>
      <c r="H122" s="151"/>
      <c r="I122" s="151"/>
      <c r="J122" s="151"/>
      <c r="K122" s="151"/>
      <c r="L122" s="151"/>
      <c r="M122" s="151"/>
      <c r="N122" s="151"/>
      <c r="O122" s="151"/>
      <c r="P122" s="151"/>
      <c r="Q122" s="151"/>
      <c r="R122" s="151"/>
      <c r="S122" s="152"/>
      <c r="T122" s="151"/>
      <c r="U122" s="151"/>
      <c r="V122" s="153"/>
      <c r="W122" s="151"/>
      <c r="X122" s="151"/>
      <c r="Y122" s="153"/>
      <c r="Z122" s="151"/>
      <c r="AA122" s="187" t="str">
        <f t="shared" si="3"/>
        <v>No</v>
      </c>
      <c r="AB122" s="158"/>
      <c r="AC122" s="159"/>
      <c r="AD122" s="160"/>
    </row>
    <row r="123" spans="1:30">
      <c r="A123" s="155"/>
      <c r="B123" s="112" t="str">
        <f t="shared" si="2"/>
        <v/>
      </c>
      <c r="C123" s="183"/>
      <c r="D123" s="152"/>
      <c r="E123" s="152"/>
      <c r="F123" s="151"/>
      <c r="G123" s="153"/>
      <c r="H123" s="151"/>
      <c r="I123" s="151"/>
      <c r="J123" s="151"/>
      <c r="K123" s="151"/>
      <c r="L123" s="151"/>
      <c r="M123" s="151"/>
      <c r="N123" s="151"/>
      <c r="O123" s="151"/>
      <c r="P123" s="151"/>
      <c r="Q123" s="151"/>
      <c r="R123" s="151"/>
      <c r="S123" s="152"/>
      <c r="T123" s="151"/>
      <c r="U123" s="151"/>
      <c r="V123" s="153"/>
      <c r="W123" s="151"/>
      <c r="X123" s="151"/>
      <c r="Y123" s="153"/>
      <c r="Z123" s="151"/>
      <c r="AA123" s="187" t="str">
        <f t="shared" si="3"/>
        <v>No</v>
      </c>
      <c r="AB123" s="158"/>
      <c r="AC123" s="159"/>
      <c r="AD123" s="160"/>
    </row>
    <row r="124" spans="1:30">
      <c r="A124" s="155"/>
      <c r="B124" s="112" t="str">
        <f t="shared" si="2"/>
        <v/>
      </c>
      <c r="C124" s="183"/>
      <c r="D124" s="152"/>
      <c r="E124" s="152"/>
      <c r="F124" s="151"/>
      <c r="G124" s="153"/>
      <c r="H124" s="151"/>
      <c r="I124" s="151"/>
      <c r="J124" s="151"/>
      <c r="K124" s="151"/>
      <c r="L124" s="151"/>
      <c r="M124" s="151"/>
      <c r="N124" s="151"/>
      <c r="O124" s="151"/>
      <c r="P124" s="151"/>
      <c r="Q124" s="151"/>
      <c r="R124" s="151"/>
      <c r="S124" s="152"/>
      <c r="T124" s="151"/>
      <c r="U124" s="151"/>
      <c r="V124" s="153"/>
      <c r="W124" s="151"/>
      <c r="X124" s="151"/>
      <c r="Y124" s="153"/>
      <c r="Z124" s="151"/>
      <c r="AA124" s="187" t="str">
        <f t="shared" si="3"/>
        <v>No</v>
      </c>
      <c r="AB124" s="158"/>
      <c r="AC124" s="159"/>
      <c r="AD124" s="160"/>
    </row>
    <row r="125" spans="1:30">
      <c r="A125" s="155"/>
      <c r="B125" s="112" t="str">
        <f t="shared" si="2"/>
        <v/>
      </c>
      <c r="C125" s="183"/>
      <c r="D125" s="152"/>
      <c r="E125" s="152"/>
      <c r="F125" s="151"/>
      <c r="G125" s="153"/>
      <c r="H125" s="151"/>
      <c r="I125" s="151"/>
      <c r="J125" s="151"/>
      <c r="K125" s="151"/>
      <c r="L125" s="151"/>
      <c r="M125" s="151"/>
      <c r="N125" s="151"/>
      <c r="O125" s="151"/>
      <c r="P125" s="151"/>
      <c r="Q125" s="151"/>
      <c r="R125" s="151"/>
      <c r="S125" s="152"/>
      <c r="T125" s="151"/>
      <c r="U125" s="151"/>
      <c r="V125" s="153"/>
      <c r="W125" s="151"/>
      <c r="X125" s="151"/>
      <c r="Y125" s="153"/>
      <c r="Z125" s="151"/>
      <c r="AA125" s="187" t="str">
        <f t="shared" si="3"/>
        <v>No</v>
      </c>
      <c r="AB125" s="158"/>
      <c r="AC125" s="159"/>
      <c r="AD125" s="160"/>
    </row>
    <row r="126" spans="1:30">
      <c r="A126" s="155"/>
      <c r="B126" s="112" t="str">
        <f t="shared" si="2"/>
        <v/>
      </c>
      <c r="C126" s="183"/>
      <c r="D126" s="152"/>
      <c r="E126" s="152"/>
      <c r="F126" s="151"/>
      <c r="G126" s="153"/>
      <c r="H126" s="151"/>
      <c r="I126" s="151"/>
      <c r="J126" s="151"/>
      <c r="K126" s="151"/>
      <c r="L126" s="151"/>
      <c r="M126" s="151"/>
      <c r="N126" s="151"/>
      <c r="O126" s="151"/>
      <c r="P126" s="151"/>
      <c r="Q126" s="151"/>
      <c r="R126" s="151"/>
      <c r="S126" s="152"/>
      <c r="T126" s="151"/>
      <c r="U126" s="151"/>
      <c r="V126" s="153"/>
      <c r="W126" s="151"/>
      <c r="X126" s="151"/>
      <c r="Y126" s="153"/>
      <c r="Z126" s="151"/>
      <c r="AA126" s="187" t="str">
        <f t="shared" si="3"/>
        <v>No</v>
      </c>
      <c r="AB126" s="158"/>
      <c r="AC126" s="159"/>
      <c r="AD126" s="160"/>
    </row>
    <row r="127" spans="1:30">
      <c r="A127" s="155"/>
      <c r="B127" s="112" t="str">
        <f t="shared" si="2"/>
        <v/>
      </c>
      <c r="C127" s="183"/>
      <c r="D127" s="152"/>
      <c r="E127" s="152"/>
      <c r="F127" s="151"/>
      <c r="G127" s="153"/>
      <c r="H127" s="151"/>
      <c r="I127" s="151"/>
      <c r="J127" s="151"/>
      <c r="K127" s="151"/>
      <c r="L127" s="151"/>
      <c r="M127" s="151"/>
      <c r="N127" s="151"/>
      <c r="O127" s="151"/>
      <c r="P127" s="151"/>
      <c r="Q127" s="151"/>
      <c r="R127" s="151"/>
      <c r="S127" s="152"/>
      <c r="T127" s="151"/>
      <c r="U127" s="151"/>
      <c r="V127" s="153"/>
      <c r="W127" s="151"/>
      <c r="X127" s="151"/>
      <c r="Y127" s="153"/>
      <c r="Z127" s="151"/>
      <c r="AA127" s="187" t="str">
        <f t="shared" si="3"/>
        <v>No</v>
      </c>
      <c r="AB127" s="158"/>
      <c r="AC127" s="159"/>
      <c r="AD127" s="160"/>
    </row>
    <row r="128" spans="1:30">
      <c r="A128" s="155"/>
      <c r="B128" s="112" t="str">
        <f t="shared" si="2"/>
        <v/>
      </c>
      <c r="C128" s="183"/>
      <c r="D128" s="152"/>
      <c r="E128" s="152"/>
      <c r="F128" s="151"/>
      <c r="G128" s="153"/>
      <c r="H128" s="151"/>
      <c r="I128" s="151"/>
      <c r="J128" s="151"/>
      <c r="K128" s="151"/>
      <c r="L128" s="151"/>
      <c r="M128" s="151"/>
      <c r="N128" s="151"/>
      <c r="O128" s="151"/>
      <c r="P128" s="151"/>
      <c r="Q128" s="151"/>
      <c r="R128" s="151"/>
      <c r="S128" s="152"/>
      <c r="T128" s="151"/>
      <c r="U128" s="151"/>
      <c r="V128" s="153"/>
      <c r="W128" s="151"/>
      <c r="X128" s="151"/>
      <c r="Y128" s="153"/>
      <c r="Z128" s="151"/>
      <c r="AA128" s="187" t="str">
        <f t="shared" si="3"/>
        <v>No</v>
      </c>
      <c r="AB128" s="158"/>
      <c r="AC128" s="159"/>
      <c r="AD128" s="160"/>
    </row>
    <row r="129" spans="1:30">
      <c r="A129" s="155"/>
      <c r="B129" s="112" t="str">
        <f t="shared" si="2"/>
        <v/>
      </c>
      <c r="C129" s="183"/>
      <c r="D129" s="152"/>
      <c r="E129" s="152"/>
      <c r="F129" s="151"/>
      <c r="G129" s="153"/>
      <c r="H129" s="151"/>
      <c r="I129" s="151"/>
      <c r="J129" s="151"/>
      <c r="K129" s="151"/>
      <c r="L129" s="151"/>
      <c r="M129" s="151"/>
      <c r="N129" s="151"/>
      <c r="O129" s="151"/>
      <c r="P129" s="151"/>
      <c r="Q129" s="151"/>
      <c r="R129" s="151"/>
      <c r="S129" s="152"/>
      <c r="T129" s="151"/>
      <c r="U129" s="151"/>
      <c r="V129" s="153"/>
      <c r="W129" s="151"/>
      <c r="X129" s="151"/>
      <c r="Y129" s="153"/>
      <c r="Z129" s="151"/>
      <c r="AA129" s="187" t="str">
        <f t="shared" si="3"/>
        <v>No</v>
      </c>
      <c r="AB129" s="158"/>
      <c r="AC129" s="159"/>
      <c r="AD129" s="160"/>
    </row>
    <row r="130" spans="1:30">
      <c r="A130" s="155"/>
      <c r="B130" s="112" t="str">
        <f t="shared" si="2"/>
        <v/>
      </c>
      <c r="C130" s="183"/>
      <c r="D130" s="152"/>
      <c r="E130" s="152"/>
      <c r="F130" s="151"/>
      <c r="G130" s="153"/>
      <c r="H130" s="151"/>
      <c r="I130" s="151"/>
      <c r="J130" s="151"/>
      <c r="K130" s="151"/>
      <c r="L130" s="151"/>
      <c r="M130" s="151"/>
      <c r="N130" s="151"/>
      <c r="O130" s="151"/>
      <c r="P130" s="151"/>
      <c r="Q130" s="151"/>
      <c r="R130" s="151"/>
      <c r="S130" s="152"/>
      <c r="T130" s="151"/>
      <c r="U130" s="151"/>
      <c r="V130" s="153"/>
      <c r="W130" s="151"/>
      <c r="X130" s="151"/>
      <c r="Y130" s="153"/>
      <c r="Z130" s="151"/>
      <c r="AA130" s="187" t="str">
        <f t="shared" si="3"/>
        <v>No</v>
      </c>
      <c r="AB130" s="158"/>
      <c r="AC130" s="159"/>
      <c r="AD130" s="160"/>
    </row>
    <row r="131" spans="1:30">
      <c r="A131" s="155"/>
      <c r="B131" s="112" t="str">
        <f t="shared" si="2"/>
        <v/>
      </c>
      <c r="C131" s="183"/>
      <c r="D131" s="152"/>
      <c r="E131" s="152"/>
      <c r="F131" s="151"/>
      <c r="G131" s="153"/>
      <c r="H131" s="151"/>
      <c r="I131" s="151"/>
      <c r="J131" s="151"/>
      <c r="K131" s="151"/>
      <c r="L131" s="151"/>
      <c r="M131" s="151"/>
      <c r="N131" s="151"/>
      <c r="O131" s="151"/>
      <c r="P131" s="151"/>
      <c r="Q131" s="151"/>
      <c r="R131" s="151"/>
      <c r="S131" s="152"/>
      <c r="T131" s="151"/>
      <c r="U131" s="151"/>
      <c r="V131" s="153"/>
      <c r="W131" s="151"/>
      <c r="X131" s="151"/>
      <c r="Y131" s="153"/>
      <c r="Z131" s="151"/>
      <c r="AA131" s="187" t="str">
        <f t="shared" si="3"/>
        <v>No</v>
      </c>
      <c r="AB131" s="158"/>
      <c r="AC131" s="159"/>
      <c r="AD131" s="160"/>
    </row>
    <row r="132" spans="1:30">
      <c r="A132" s="155"/>
      <c r="B132" s="112" t="str">
        <f t="shared" si="2"/>
        <v/>
      </c>
      <c r="C132" s="183"/>
      <c r="D132" s="152"/>
      <c r="E132" s="152"/>
      <c r="F132" s="151"/>
      <c r="G132" s="153"/>
      <c r="H132" s="151"/>
      <c r="I132" s="151"/>
      <c r="J132" s="151"/>
      <c r="K132" s="151"/>
      <c r="L132" s="151"/>
      <c r="M132" s="151"/>
      <c r="N132" s="151"/>
      <c r="O132" s="151"/>
      <c r="P132" s="151"/>
      <c r="Q132" s="151"/>
      <c r="R132" s="151"/>
      <c r="S132" s="152"/>
      <c r="T132" s="151"/>
      <c r="U132" s="151"/>
      <c r="V132" s="153"/>
      <c r="W132" s="151"/>
      <c r="X132" s="151"/>
      <c r="Y132" s="153"/>
      <c r="Z132" s="151"/>
      <c r="AA132" s="187" t="str">
        <f t="shared" si="3"/>
        <v>No</v>
      </c>
      <c r="AB132" s="158"/>
      <c r="AC132" s="159"/>
      <c r="AD132" s="160"/>
    </row>
    <row r="133" spans="1:30">
      <c r="A133" s="155"/>
      <c r="B133" s="112" t="str">
        <f t="shared" ref="B133:B196" si="4">IF(AND(A133&lt;&gt;"",D133&lt;&gt;"",J133&lt;&gt;"",N133&lt;&gt;""),TEXT(D133,"YY")&amp;"-"&amp;TEXT(D133,"MMM")&amp;"-"&amp;UPPER(LEFT(TRIM(N133),2))&amp;"-"&amp;UPPER(LEFT(TRIM(J133),3))&amp;"-"&amp;A133,"")</f>
        <v/>
      </c>
      <c r="C133" s="183"/>
      <c r="D133" s="152"/>
      <c r="E133" s="152"/>
      <c r="F133" s="151"/>
      <c r="G133" s="153"/>
      <c r="H133" s="151"/>
      <c r="I133" s="151"/>
      <c r="J133" s="151"/>
      <c r="K133" s="151"/>
      <c r="L133" s="151"/>
      <c r="M133" s="151"/>
      <c r="N133" s="151"/>
      <c r="O133" s="151"/>
      <c r="P133" s="151"/>
      <c r="Q133" s="151"/>
      <c r="R133" s="151"/>
      <c r="S133" s="152"/>
      <c r="T133" s="151"/>
      <c r="U133" s="151"/>
      <c r="V133" s="153"/>
      <c r="W133" s="151"/>
      <c r="X133" s="151"/>
      <c r="Y133" s="153"/>
      <c r="Z133" s="151"/>
      <c r="AA133" s="187" t="str">
        <f t="shared" ref="AA133:AA196" si="5">IF(E133="","No","Yes")</f>
        <v>No</v>
      </c>
      <c r="AB133" s="158"/>
      <c r="AC133" s="159"/>
      <c r="AD133" s="160"/>
    </row>
    <row r="134" spans="1:30">
      <c r="A134" s="155"/>
      <c r="B134" s="112" t="str">
        <f t="shared" si="4"/>
        <v/>
      </c>
      <c r="C134" s="183"/>
      <c r="D134" s="152"/>
      <c r="E134" s="152"/>
      <c r="F134" s="151"/>
      <c r="G134" s="153"/>
      <c r="H134" s="151"/>
      <c r="I134" s="151"/>
      <c r="J134" s="151"/>
      <c r="K134" s="151"/>
      <c r="L134" s="151"/>
      <c r="M134" s="151"/>
      <c r="N134" s="151"/>
      <c r="O134" s="151"/>
      <c r="P134" s="151"/>
      <c r="Q134" s="151"/>
      <c r="R134" s="151"/>
      <c r="S134" s="152"/>
      <c r="T134" s="151"/>
      <c r="U134" s="151"/>
      <c r="V134" s="153"/>
      <c r="W134" s="151"/>
      <c r="X134" s="151"/>
      <c r="Y134" s="153"/>
      <c r="Z134" s="151"/>
      <c r="AA134" s="187" t="str">
        <f t="shared" si="5"/>
        <v>No</v>
      </c>
      <c r="AB134" s="158"/>
      <c r="AC134" s="159"/>
      <c r="AD134" s="160"/>
    </row>
    <row r="135" spans="1:30">
      <c r="A135" s="155"/>
      <c r="B135" s="112" t="str">
        <f t="shared" si="4"/>
        <v/>
      </c>
      <c r="C135" s="183"/>
      <c r="D135" s="152"/>
      <c r="E135" s="152"/>
      <c r="F135" s="151"/>
      <c r="G135" s="153"/>
      <c r="H135" s="151"/>
      <c r="I135" s="151"/>
      <c r="J135" s="151"/>
      <c r="K135" s="151"/>
      <c r="L135" s="151"/>
      <c r="M135" s="151"/>
      <c r="N135" s="151"/>
      <c r="O135" s="151"/>
      <c r="P135" s="151"/>
      <c r="Q135" s="151"/>
      <c r="R135" s="151"/>
      <c r="S135" s="152"/>
      <c r="T135" s="151"/>
      <c r="U135" s="151"/>
      <c r="V135" s="153"/>
      <c r="W135" s="151"/>
      <c r="X135" s="151"/>
      <c r="Y135" s="153"/>
      <c r="Z135" s="151"/>
      <c r="AA135" s="187" t="str">
        <f t="shared" si="5"/>
        <v>No</v>
      </c>
      <c r="AB135" s="158"/>
      <c r="AC135" s="159"/>
      <c r="AD135" s="160"/>
    </row>
    <row r="136" spans="1:30">
      <c r="A136" s="155"/>
      <c r="B136" s="112" t="str">
        <f t="shared" si="4"/>
        <v/>
      </c>
      <c r="C136" s="183"/>
      <c r="D136" s="152"/>
      <c r="E136" s="152"/>
      <c r="F136" s="151"/>
      <c r="G136" s="153"/>
      <c r="H136" s="151"/>
      <c r="I136" s="151"/>
      <c r="J136" s="151"/>
      <c r="K136" s="151"/>
      <c r="L136" s="151"/>
      <c r="M136" s="151"/>
      <c r="N136" s="151"/>
      <c r="O136" s="151"/>
      <c r="P136" s="151"/>
      <c r="Q136" s="151"/>
      <c r="R136" s="151"/>
      <c r="S136" s="152"/>
      <c r="T136" s="151"/>
      <c r="U136" s="151"/>
      <c r="V136" s="153"/>
      <c r="W136" s="151"/>
      <c r="X136" s="151"/>
      <c r="Y136" s="153"/>
      <c r="Z136" s="151"/>
      <c r="AA136" s="187" t="str">
        <f t="shared" si="5"/>
        <v>No</v>
      </c>
      <c r="AB136" s="158"/>
      <c r="AC136" s="159"/>
      <c r="AD136" s="160"/>
    </row>
    <row r="137" spans="1:30">
      <c r="A137" s="155"/>
      <c r="B137" s="112" t="str">
        <f t="shared" si="4"/>
        <v/>
      </c>
      <c r="C137" s="183"/>
      <c r="D137" s="152"/>
      <c r="E137" s="152"/>
      <c r="F137" s="151"/>
      <c r="G137" s="153"/>
      <c r="H137" s="151"/>
      <c r="I137" s="151"/>
      <c r="J137" s="151"/>
      <c r="K137" s="151"/>
      <c r="L137" s="151"/>
      <c r="M137" s="151"/>
      <c r="N137" s="151"/>
      <c r="O137" s="151"/>
      <c r="P137" s="151"/>
      <c r="Q137" s="151"/>
      <c r="R137" s="151"/>
      <c r="S137" s="152"/>
      <c r="T137" s="151"/>
      <c r="U137" s="151"/>
      <c r="V137" s="153"/>
      <c r="W137" s="151"/>
      <c r="X137" s="151"/>
      <c r="Y137" s="153"/>
      <c r="Z137" s="151"/>
      <c r="AA137" s="187" t="str">
        <f t="shared" si="5"/>
        <v>No</v>
      </c>
      <c r="AB137" s="158"/>
      <c r="AC137" s="159"/>
      <c r="AD137" s="160"/>
    </row>
    <row r="138" spans="1:30">
      <c r="A138" s="155"/>
      <c r="B138" s="112" t="str">
        <f t="shared" si="4"/>
        <v/>
      </c>
      <c r="C138" s="183"/>
      <c r="D138" s="152"/>
      <c r="E138" s="152"/>
      <c r="F138" s="151"/>
      <c r="G138" s="153"/>
      <c r="H138" s="151"/>
      <c r="I138" s="151"/>
      <c r="J138" s="151"/>
      <c r="K138" s="151"/>
      <c r="L138" s="151"/>
      <c r="M138" s="151"/>
      <c r="N138" s="151"/>
      <c r="O138" s="151"/>
      <c r="P138" s="151"/>
      <c r="Q138" s="151"/>
      <c r="R138" s="151"/>
      <c r="S138" s="152"/>
      <c r="T138" s="151"/>
      <c r="U138" s="151"/>
      <c r="V138" s="153"/>
      <c r="W138" s="151"/>
      <c r="X138" s="151"/>
      <c r="Y138" s="153"/>
      <c r="Z138" s="151"/>
      <c r="AA138" s="187" t="str">
        <f t="shared" si="5"/>
        <v>No</v>
      </c>
      <c r="AB138" s="158"/>
      <c r="AC138" s="159"/>
      <c r="AD138" s="160"/>
    </row>
    <row r="139" spans="1:30">
      <c r="A139" s="155"/>
      <c r="B139" s="112" t="str">
        <f t="shared" si="4"/>
        <v/>
      </c>
      <c r="C139" s="183"/>
      <c r="D139" s="152"/>
      <c r="E139" s="152"/>
      <c r="F139" s="151"/>
      <c r="G139" s="153"/>
      <c r="H139" s="151"/>
      <c r="I139" s="151"/>
      <c r="J139" s="151"/>
      <c r="K139" s="151"/>
      <c r="L139" s="151"/>
      <c r="M139" s="151"/>
      <c r="N139" s="151"/>
      <c r="O139" s="151"/>
      <c r="P139" s="151"/>
      <c r="Q139" s="151"/>
      <c r="R139" s="151"/>
      <c r="S139" s="152"/>
      <c r="T139" s="151"/>
      <c r="U139" s="151"/>
      <c r="V139" s="153"/>
      <c r="W139" s="151"/>
      <c r="X139" s="151"/>
      <c r="Y139" s="153"/>
      <c r="Z139" s="151"/>
      <c r="AA139" s="187" t="str">
        <f t="shared" si="5"/>
        <v>No</v>
      </c>
      <c r="AB139" s="158"/>
      <c r="AC139" s="159"/>
      <c r="AD139" s="160"/>
    </row>
    <row r="140" spans="1:30">
      <c r="A140" s="155"/>
      <c r="B140" s="112" t="str">
        <f t="shared" si="4"/>
        <v/>
      </c>
      <c r="C140" s="183"/>
      <c r="D140" s="152"/>
      <c r="E140" s="152"/>
      <c r="F140" s="151"/>
      <c r="G140" s="153"/>
      <c r="H140" s="151"/>
      <c r="I140" s="151"/>
      <c r="J140" s="151"/>
      <c r="K140" s="151"/>
      <c r="L140" s="151"/>
      <c r="M140" s="151"/>
      <c r="N140" s="151"/>
      <c r="O140" s="151"/>
      <c r="P140" s="151"/>
      <c r="Q140" s="151"/>
      <c r="R140" s="151"/>
      <c r="S140" s="152"/>
      <c r="T140" s="151"/>
      <c r="U140" s="151"/>
      <c r="V140" s="153"/>
      <c r="W140" s="151"/>
      <c r="X140" s="151"/>
      <c r="Y140" s="153"/>
      <c r="Z140" s="151"/>
      <c r="AA140" s="187" t="str">
        <f t="shared" si="5"/>
        <v>No</v>
      </c>
      <c r="AB140" s="158"/>
      <c r="AC140" s="159"/>
      <c r="AD140" s="160"/>
    </row>
    <row r="141" spans="1:30">
      <c r="A141" s="155"/>
      <c r="B141" s="112" t="str">
        <f t="shared" si="4"/>
        <v/>
      </c>
      <c r="C141" s="183"/>
      <c r="D141" s="152"/>
      <c r="E141" s="152"/>
      <c r="F141" s="151"/>
      <c r="G141" s="153"/>
      <c r="H141" s="151"/>
      <c r="I141" s="151"/>
      <c r="J141" s="151"/>
      <c r="K141" s="151"/>
      <c r="L141" s="151"/>
      <c r="M141" s="151"/>
      <c r="N141" s="151"/>
      <c r="O141" s="151"/>
      <c r="P141" s="151"/>
      <c r="Q141" s="151"/>
      <c r="R141" s="151"/>
      <c r="S141" s="152"/>
      <c r="T141" s="151"/>
      <c r="U141" s="151"/>
      <c r="V141" s="153"/>
      <c r="W141" s="151"/>
      <c r="X141" s="151"/>
      <c r="Y141" s="153"/>
      <c r="Z141" s="151"/>
      <c r="AA141" s="187" t="str">
        <f t="shared" si="5"/>
        <v>No</v>
      </c>
      <c r="AB141" s="158"/>
      <c r="AC141" s="159"/>
      <c r="AD141" s="160"/>
    </row>
    <row r="142" spans="1:30">
      <c r="A142" s="155"/>
      <c r="B142" s="112" t="str">
        <f t="shared" si="4"/>
        <v/>
      </c>
      <c r="C142" s="183"/>
      <c r="D142" s="152"/>
      <c r="E142" s="152"/>
      <c r="F142" s="151"/>
      <c r="G142" s="153"/>
      <c r="H142" s="151"/>
      <c r="I142" s="151"/>
      <c r="J142" s="151"/>
      <c r="K142" s="151"/>
      <c r="L142" s="151"/>
      <c r="M142" s="151"/>
      <c r="N142" s="151"/>
      <c r="O142" s="151"/>
      <c r="P142" s="151"/>
      <c r="Q142" s="151"/>
      <c r="R142" s="151"/>
      <c r="S142" s="152"/>
      <c r="T142" s="151"/>
      <c r="U142" s="151"/>
      <c r="V142" s="153"/>
      <c r="W142" s="151"/>
      <c r="X142" s="151"/>
      <c r="Y142" s="153"/>
      <c r="Z142" s="151"/>
      <c r="AA142" s="187" t="str">
        <f t="shared" si="5"/>
        <v>No</v>
      </c>
      <c r="AB142" s="158"/>
      <c r="AC142" s="159"/>
      <c r="AD142" s="160"/>
    </row>
    <row r="143" spans="1:30">
      <c r="A143" s="155"/>
      <c r="B143" s="112" t="str">
        <f t="shared" si="4"/>
        <v/>
      </c>
      <c r="C143" s="183"/>
      <c r="D143" s="152"/>
      <c r="E143" s="152"/>
      <c r="F143" s="151"/>
      <c r="G143" s="153"/>
      <c r="H143" s="151"/>
      <c r="I143" s="151"/>
      <c r="J143" s="151"/>
      <c r="K143" s="151"/>
      <c r="L143" s="151"/>
      <c r="M143" s="151"/>
      <c r="N143" s="151"/>
      <c r="O143" s="151"/>
      <c r="P143" s="151"/>
      <c r="Q143" s="151"/>
      <c r="R143" s="151"/>
      <c r="S143" s="152"/>
      <c r="T143" s="151"/>
      <c r="U143" s="151"/>
      <c r="V143" s="153"/>
      <c r="W143" s="151"/>
      <c r="X143" s="151"/>
      <c r="Y143" s="153"/>
      <c r="Z143" s="151"/>
      <c r="AA143" s="187" t="str">
        <f t="shared" si="5"/>
        <v>No</v>
      </c>
      <c r="AB143" s="158"/>
      <c r="AC143" s="159"/>
      <c r="AD143" s="160"/>
    </row>
    <row r="144" spans="1:30">
      <c r="A144" s="155"/>
      <c r="B144" s="112" t="str">
        <f t="shared" si="4"/>
        <v/>
      </c>
      <c r="C144" s="183"/>
      <c r="D144" s="152"/>
      <c r="E144" s="152"/>
      <c r="F144" s="151"/>
      <c r="G144" s="153"/>
      <c r="H144" s="151"/>
      <c r="I144" s="151"/>
      <c r="J144" s="151"/>
      <c r="K144" s="151"/>
      <c r="L144" s="151"/>
      <c r="M144" s="151"/>
      <c r="N144" s="151"/>
      <c r="O144" s="151"/>
      <c r="P144" s="151"/>
      <c r="Q144" s="151"/>
      <c r="R144" s="151"/>
      <c r="S144" s="152"/>
      <c r="T144" s="151"/>
      <c r="U144" s="151"/>
      <c r="V144" s="153"/>
      <c r="W144" s="151"/>
      <c r="X144" s="151"/>
      <c r="Y144" s="153"/>
      <c r="Z144" s="151"/>
      <c r="AA144" s="187" t="str">
        <f t="shared" si="5"/>
        <v>No</v>
      </c>
      <c r="AB144" s="158"/>
      <c r="AC144" s="159"/>
      <c r="AD144" s="160"/>
    </row>
    <row r="145" spans="1:30">
      <c r="A145" s="155"/>
      <c r="B145" s="112" t="str">
        <f t="shared" si="4"/>
        <v/>
      </c>
      <c r="C145" s="183"/>
      <c r="D145" s="152"/>
      <c r="E145" s="152"/>
      <c r="F145" s="151"/>
      <c r="G145" s="153"/>
      <c r="H145" s="151"/>
      <c r="I145" s="151"/>
      <c r="J145" s="151"/>
      <c r="K145" s="151"/>
      <c r="L145" s="151"/>
      <c r="M145" s="151"/>
      <c r="N145" s="151"/>
      <c r="O145" s="151"/>
      <c r="P145" s="151"/>
      <c r="Q145" s="151"/>
      <c r="R145" s="151"/>
      <c r="S145" s="152"/>
      <c r="T145" s="151"/>
      <c r="U145" s="151"/>
      <c r="V145" s="153"/>
      <c r="W145" s="151"/>
      <c r="X145" s="151"/>
      <c r="Y145" s="153"/>
      <c r="Z145" s="151"/>
      <c r="AA145" s="187" t="str">
        <f t="shared" si="5"/>
        <v>No</v>
      </c>
      <c r="AB145" s="158"/>
      <c r="AC145" s="159"/>
      <c r="AD145" s="160"/>
    </row>
    <row r="146" spans="1:30">
      <c r="A146" s="155"/>
      <c r="B146" s="112" t="str">
        <f t="shared" si="4"/>
        <v/>
      </c>
      <c r="C146" s="183"/>
      <c r="D146" s="152"/>
      <c r="E146" s="152"/>
      <c r="F146" s="151"/>
      <c r="G146" s="153"/>
      <c r="H146" s="151"/>
      <c r="I146" s="151"/>
      <c r="J146" s="151"/>
      <c r="K146" s="151"/>
      <c r="L146" s="151"/>
      <c r="M146" s="151"/>
      <c r="N146" s="151"/>
      <c r="O146" s="151"/>
      <c r="P146" s="151"/>
      <c r="Q146" s="151"/>
      <c r="R146" s="151"/>
      <c r="S146" s="152"/>
      <c r="T146" s="151"/>
      <c r="U146" s="151"/>
      <c r="V146" s="153"/>
      <c r="W146" s="151"/>
      <c r="X146" s="151"/>
      <c r="Y146" s="153"/>
      <c r="Z146" s="151"/>
      <c r="AA146" s="187" t="str">
        <f t="shared" si="5"/>
        <v>No</v>
      </c>
      <c r="AB146" s="158"/>
      <c r="AC146" s="159"/>
      <c r="AD146" s="160"/>
    </row>
    <row r="147" spans="1:30">
      <c r="A147" s="155"/>
      <c r="B147" s="112" t="str">
        <f t="shared" si="4"/>
        <v/>
      </c>
      <c r="C147" s="183"/>
      <c r="D147" s="152"/>
      <c r="E147" s="152"/>
      <c r="F147" s="151"/>
      <c r="G147" s="153"/>
      <c r="H147" s="151"/>
      <c r="I147" s="151"/>
      <c r="J147" s="151"/>
      <c r="K147" s="151"/>
      <c r="L147" s="151"/>
      <c r="M147" s="151"/>
      <c r="N147" s="151"/>
      <c r="O147" s="151"/>
      <c r="P147" s="151"/>
      <c r="Q147" s="151"/>
      <c r="R147" s="151"/>
      <c r="S147" s="152"/>
      <c r="T147" s="151"/>
      <c r="U147" s="151"/>
      <c r="V147" s="153"/>
      <c r="W147" s="151"/>
      <c r="X147" s="151"/>
      <c r="Y147" s="153"/>
      <c r="Z147" s="151"/>
      <c r="AA147" s="187" t="str">
        <f t="shared" si="5"/>
        <v>No</v>
      </c>
      <c r="AB147" s="158"/>
      <c r="AC147" s="159"/>
      <c r="AD147" s="160"/>
    </row>
    <row r="148" spans="1:30">
      <c r="A148" s="155"/>
      <c r="B148" s="112" t="str">
        <f t="shared" si="4"/>
        <v/>
      </c>
      <c r="C148" s="183"/>
      <c r="D148" s="152"/>
      <c r="E148" s="152"/>
      <c r="F148" s="151"/>
      <c r="G148" s="153"/>
      <c r="H148" s="151"/>
      <c r="I148" s="151"/>
      <c r="J148" s="151"/>
      <c r="K148" s="151"/>
      <c r="L148" s="151"/>
      <c r="M148" s="151"/>
      <c r="N148" s="151"/>
      <c r="O148" s="151"/>
      <c r="P148" s="151"/>
      <c r="Q148" s="151"/>
      <c r="R148" s="151"/>
      <c r="S148" s="152"/>
      <c r="T148" s="151"/>
      <c r="U148" s="151"/>
      <c r="V148" s="153"/>
      <c r="W148" s="151"/>
      <c r="X148" s="151"/>
      <c r="Y148" s="153"/>
      <c r="Z148" s="151"/>
      <c r="AA148" s="187" t="str">
        <f t="shared" si="5"/>
        <v>No</v>
      </c>
      <c r="AB148" s="158"/>
      <c r="AC148" s="159"/>
      <c r="AD148" s="160"/>
    </row>
    <row r="149" spans="1:30">
      <c r="A149" s="155"/>
      <c r="B149" s="112" t="str">
        <f t="shared" si="4"/>
        <v/>
      </c>
      <c r="C149" s="183"/>
      <c r="D149" s="152"/>
      <c r="E149" s="152"/>
      <c r="F149" s="151"/>
      <c r="G149" s="153"/>
      <c r="H149" s="151"/>
      <c r="I149" s="151"/>
      <c r="J149" s="151"/>
      <c r="K149" s="151"/>
      <c r="L149" s="151"/>
      <c r="M149" s="151"/>
      <c r="N149" s="151"/>
      <c r="O149" s="151"/>
      <c r="P149" s="151"/>
      <c r="Q149" s="151"/>
      <c r="R149" s="151"/>
      <c r="S149" s="152"/>
      <c r="T149" s="151"/>
      <c r="U149" s="151"/>
      <c r="V149" s="153"/>
      <c r="W149" s="151"/>
      <c r="X149" s="151"/>
      <c r="Y149" s="153"/>
      <c r="Z149" s="151"/>
      <c r="AA149" s="187" t="str">
        <f t="shared" si="5"/>
        <v>No</v>
      </c>
      <c r="AB149" s="158"/>
      <c r="AC149" s="159"/>
      <c r="AD149" s="160"/>
    </row>
    <row r="150" spans="1:30">
      <c r="A150" s="155"/>
      <c r="B150" s="112" t="str">
        <f t="shared" si="4"/>
        <v/>
      </c>
      <c r="C150" s="183"/>
      <c r="D150" s="152"/>
      <c r="E150" s="152"/>
      <c r="F150" s="151"/>
      <c r="G150" s="153"/>
      <c r="H150" s="151"/>
      <c r="I150" s="151"/>
      <c r="J150" s="151"/>
      <c r="K150" s="151"/>
      <c r="L150" s="151"/>
      <c r="M150" s="151"/>
      <c r="N150" s="151"/>
      <c r="O150" s="151"/>
      <c r="P150" s="151"/>
      <c r="Q150" s="151"/>
      <c r="R150" s="151"/>
      <c r="S150" s="152"/>
      <c r="T150" s="151"/>
      <c r="U150" s="151"/>
      <c r="V150" s="153"/>
      <c r="W150" s="151"/>
      <c r="X150" s="151"/>
      <c r="Y150" s="153"/>
      <c r="Z150" s="151"/>
      <c r="AA150" s="187" t="str">
        <f t="shared" si="5"/>
        <v>No</v>
      </c>
      <c r="AB150" s="158"/>
      <c r="AC150" s="159"/>
      <c r="AD150" s="160"/>
    </row>
    <row r="151" spans="1:30">
      <c r="A151" s="155"/>
      <c r="B151" s="112" t="str">
        <f t="shared" si="4"/>
        <v/>
      </c>
      <c r="C151" s="183"/>
      <c r="D151" s="152"/>
      <c r="E151" s="152"/>
      <c r="F151" s="151"/>
      <c r="G151" s="153"/>
      <c r="H151" s="151"/>
      <c r="I151" s="151"/>
      <c r="J151" s="151"/>
      <c r="K151" s="151"/>
      <c r="L151" s="151"/>
      <c r="M151" s="151"/>
      <c r="N151" s="151"/>
      <c r="O151" s="151"/>
      <c r="P151" s="151"/>
      <c r="Q151" s="151"/>
      <c r="R151" s="151"/>
      <c r="S151" s="152"/>
      <c r="T151" s="151"/>
      <c r="U151" s="151"/>
      <c r="V151" s="153"/>
      <c r="W151" s="151"/>
      <c r="X151" s="151"/>
      <c r="Y151" s="153"/>
      <c r="Z151" s="151"/>
      <c r="AA151" s="187" t="str">
        <f t="shared" si="5"/>
        <v>No</v>
      </c>
      <c r="AB151" s="158"/>
      <c r="AC151" s="159"/>
      <c r="AD151" s="160"/>
    </row>
    <row r="152" spans="1:30">
      <c r="A152" s="155"/>
      <c r="B152" s="112" t="str">
        <f t="shared" si="4"/>
        <v/>
      </c>
      <c r="C152" s="183"/>
      <c r="D152" s="152"/>
      <c r="E152" s="152"/>
      <c r="F152" s="151"/>
      <c r="G152" s="153"/>
      <c r="H152" s="151"/>
      <c r="I152" s="151"/>
      <c r="J152" s="151"/>
      <c r="K152" s="151"/>
      <c r="L152" s="151"/>
      <c r="M152" s="151"/>
      <c r="N152" s="151"/>
      <c r="O152" s="151"/>
      <c r="P152" s="151"/>
      <c r="Q152" s="151"/>
      <c r="R152" s="151"/>
      <c r="S152" s="152"/>
      <c r="T152" s="151"/>
      <c r="U152" s="151"/>
      <c r="V152" s="153"/>
      <c r="W152" s="151"/>
      <c r="X152" s="151"/>
      <c r="Y152" s="153"/>
      <c r="Z152" s="151"/>
      <c r="AA152" s="187" t="str">
        <f t="shared" si="5"/>
        <v>No</v>
      </c>
      <c r="AB152" s="158"/>
      <c r="AC152" s="159"/>
      <c r="AD152" s="160"/>
    </row>
    <row r="153" spans="1:30">
      <c r="A153" s="155"/>
      <c r="B153" s="112" t="str">
        <f t="shared" si="4"/>
        <v/>
      </c>
      <c r="C153" s="183"/>
      <c r="D153" s="152"/>
      <c r="E153" s="152"/>
      <c r="F153" s="151"/>
      <c r="G153" s="153"/>
      <c r="H153" s="151"/>
      <c r="I153" s="151"/>
      <c r="J153" s="151"/>
      <c r="K153" s="151"/>
      <c r="L153" s="151"/>
      <c r="M153" s="151"/>
      <c r="N153" s="151"/>
      <c r="O153" s="151"/>
      <c r="P153" s="151"/>
      <c r="Q153" s="151"/>
      <c r="R153" s="151"/>
      <c r="S153" s="152"/>
      <c r="T153" s="151"/>
      <c r="U153" s="151"/>
      <c r="V153" s="153"/>
      <c r="W153" s="151"/>
      <c r="X153" s="151"/>
      <c r="Y153" s="153"/>
      <c r="Z153" s="151"/>
      <c r="AA153" s="187" t="str">
        <f t="shared" si="5"/>
        <v>No</v>
      </c>
      <c r="AB153" s="158"/>
      <c r="AC153" s="159"/>
      <c r="AD153" s="160"/>
    </row>
    <row r="154" spans="1:30">
      <c r="A154" s="155"/>
      <c r="B154" s="112" t="str">
        <f t="shared" si="4"/>
        <v/>
      </c>
      <c r="C154" s="183"/>
      <c r="D154" s="152"/>
      <c r="E154" s="152"/>
      <c r="F154" s="151"/>
      <c r="G154" s="153"/>
      <c r="H154" s="151"/>
      <c r="I154" s="151"/>
      <c r="J154" s="151"/>
      <c r="K154" s="151"/>
      <c r="L154" s="151"/>
      <c r="M154" s="151"/>
      <c r="N154" s="151"/>
      <c r="O154" s="151"/>
      <c r="P154" s="151"/>
      <c r="Q154" s="151"/>
      <c r="R154" s="151"/>
      <c r="S154" s="152"/>
      <c r="T154" s="151"/>
      <c r="U154" s="151"/>
      <c r="V154" s="153"/>
      <c r="W154" s="151"/>
      <c r="X154" s="151"/>
      <c r="Y154" s="153"/>
      <c r="Z154" s="151"/>
      <c r="AA154" s="187" t="str">
        <f t="shared" si="5"/>
        <v>No</v>
      </c>
      <c r="AB154" s="158"/>
      <c r="AC154" s="159"/>
      <c r="AD154" s="160"/>
    </row>
    <row r="155" spans="1:30">
      <c r="A155" s="155"/>
      <c r="B155" s="112" t="str">
        <f t="shared" si="4"/>
        <v/>
      </c>
      <c r="C155" s="183"/>
      <c r="D155" s="152"/>
      <c r="E155" s="152"/>
      <c r="F155" s="151"/>
      <c r="G155" s="153"/>
      <c r="H155" s="151"/>
      <c r="I155" s="151"/>
      <c r="J155" s="151"/>
      <c r="K155" s="151"/>
      <c r="L155" s="151"/>
      <c r="M155" s="151"/>
      <c r="N155" s="151"/>
      <c r="O155" s="151"/>
      <c r="P155" s="151"/>
      <c r="Q155" s="151"/>
      <c r="R155" s="151"/>
      <c r="S155" s="152"/>
      <c r="T155" s="151"/>
      <c r="U155" s="151"/>
      <c r="V155" s="153"/>
      <c r="W155" s="151"/>
      <c r="X155" s="151"/>
      <c r="Y155" s="153"/>
      <c r="Z155" s="151"/>
      <c r="AA155" s="187" t="str">
        <f t="shared" si="5"/>
        <v>No</v>
      </c>
      <c r="AB155" s="158"/>
      <c r="AC155" s="159"/>
      <c r="AD155" s="160"/>
    </row>
    <row r="156" spans="1:30">
      <c r="A156" s="155"/>
      <c r="B156" s="112" t="str">
        <f t="shared" si="4"/>
        <v/>
      </c>
      <c r="C156" s="183"/>
      <c r="D156" s="152"/>
      <c r="E156" s="152"/>
      <c r="F156" s="151"/>
      <c r="G156" s="153"/>
      <c r="H156" s="151"/>
      <c r="I156" s="151"/>
      <c r="J156" s="151"/>
      <c r="K156" s="151"/>
      <c r="L156" s="151"/>
      <c r="M156" s="151"/>
      <c r="N156" s="151"/>
      <c r="O156" s="151"/>
      <c r="P156" s="151"/>
      <c r="Q156" s="151"/>
      <c r="R156" s="151"/>
      <c r="S156" s="152"/>
      <c r="T156" s="151"/>
      <c r="U156" s="151"/>
      <c r="V156" s="153"/>
      <c r="W156" s="151"/>
      <c r="X156" s="151"/>
      <c r="Y156" s="153"/>
      <c r="Z156" s="151"/>
      <c r="AA156" s="187" t="str">
        <f t="shared" si="5"/>
        <v>No</v>
      </c>
      <c r="AB156" s="158"/>
      <c r="AC156" s="159"/>
      <c r="AD156" s="160"/>
    </row>
    <row r="157" spans="1:30">
      <c r="A157" s="155"/>
      <c r="B157" s="112" t="str">
        <f t="shared" si="4"/>
        <v/>
      </c>
      <c r="C157" s="183"/>
      <c r="D157" s="152"/>
      <c r="E157" s="152"/>
      <c r="F157" s="151"/>
      <c r="G157" s="153"/>
      <c r="H157" s="151"/>
      <c r="I157" s="151"/>
      <c r="J157" s="151"/>
      <c r="K157" s="151"/>
      <c r="L157" s="151"/>
      <c r="M157" s="151"/>
      <c r="N157" s="151"/>
      <c r="O157" s="151"/>
      <c r="P157" s="151"/>
      <c r="Q157" s="151"/>
      <c r="R157" s="151"/>
      <c r="S157" s="152"/>
      <c r="T157" s="151"/>
      <c r="U157" s="151"/>
      <c r="V157" s="153"/>
      <c r="W157" s="151"/>
      <c r="X157" s="151"/>
      <c r="Y157" s="153"/>
      <c r="Z157" s="151"/>
      <c r="AA157" s="187" t="str">
        <f t="shared" si="5"/>
        <v>No</v>
      </c>
      <c r="AB157" s="158"/>
      <c r="AC157" s="159"/>
      <c r="AD157" s="160"/>
    </row>
    <row r="158" spans="1:30">
      <c r="A158" s="155"/>
      <c r="B158" s="112" t="str">
        <f t="shared" si="4"/>
        <v/>
      </c>
      <c r="C158" s="183"/>
      <c r="D158" s="152"/>
      <c r="E158" s="152"/>
      <c r="F158" s="151"/>
      <c r="G158" s="153"/>
      <c r="H158" s="151"/>
      <c r="I158" s="151"/>
      <c r="J158" s="151"/>
      <c r="K158" s="151"/>
      <c r="L158" s="151"/>
      <c r="M158" s="151"/>
      <c r="N158" s="151"/>
      <c r="O158" s="151"/>
      <c r="P158" s="151"/>
      <c r="Q158" s="151"/>
      <c r="R158" s="151"/>
      <c r="S158" s="152"/>
      <c r="T158" s="151"/>
      <c r="U158" s="151"/>
      <c r="V158" s="153"/>
      <c r="W158" s="151"/>
      <c r="X158" s="151"/>
      <c r="Y158" s="153"/>
      <c r="Z158" s="151"/>
      <c r="AA158" s="187" t="str">
        <f t="shared" si="5"/>
        <v>No</v>
      </c>
      <c r="AB158" s="158"/>
      <c r="AC158" s="159"/>
      <c r="AD158" s="160"/>
    </row>
    <row r="159" spans="1:30">
      <c r="A159" s="155"/>
      <c r="B159" s="112" t="str">
        <f t="shared" si="4"/>
        <v/>
      </c>
      <c r="C159" s="183"/>
      <c r="D159" s="152"/>
      <c r="E159" s="152"/>
      <c r="F159" s="151"/>
      <c r="G159" s="153"/>
      <c r="H159" s="151"/>
      <c r="I159" s="151"/>
      <c r="J159" s="151"/>
      <c r="K159" s="151"/>
      <c r="L159" s="151"/>
      <c r="M159" s="151"/>
      <c r="N159" s="151"/>
      <c r="O159" s="151"/>
      <c r="P159" s="151"/>
      <c r="Q159" s="151"/>
      <c r="R159" s="151"/>
      <c r="S159" s="152"/>
      <c r="T159" s="151"/>
      <c r="U159" s="151"/>
      <c r="V159" s="153"/>
      <c r="W159" s="151"/>
      <c r="X159" s="151"/>
      <c r="Y159" s="153"/>
      <c r="Z159" s="151"/>
      <c r="AA159" s="187" t="str">
        <f t="shared" si="5"/>
        <v>No</v>
      </c>
      <c r="AB159" s="158"/>
      <c r="AC159" s="159"/>
      <c r="AD159" s="160"/>
    </row>
    <row r="160" spans="1:30">
      <c r="A160" s="155"/>
      <c r="B160" s="112" t="str">
        <f t="shared" si="4"/>
        <v/>
      </c>
      <c r="C160" s="183"/>
      <c r="D160" s="152"/>
      <c r="E160" s="152"/>
      <c r="F160" s="151"/>
      <c r="G160" s="153"/>
      <c r="H160" s="151"/>
      <c r="I160" s="151"/>
      <c r="J160" s="151"/>
      <c r="K160" s="151"/>
      <c r="L160" s="151"/>
      <c r="M160" s="151"/>
      <c r="N160" s="151"/>
      <c r="O160" s="151"/>
      <c r="P160" s="151"/>
      <c r="Q160" s="151"/>
      <c r="R160" s="151"/>
      <c r="S160" s="152"/>
      <c r="T160" s="151"/>
      <c r="U160" s="151"/>
      <c r="V160" s="153"/>
      <c r="W160" s="151"/>
      <c r="X160" s="151"/>
      <c r="Y160" s="153"/>
      <c r="Z160" s="151"/>
      <c r="AA160" s="187" t="str">
        <f t="shared" si="5"/>
        <v>No</v>
      </c>
      <c r="AB160" s="158"/>
      <c r="AC160" s="159"/>
      <c r="AD160" s="160"/>
    </row>
    <row r="161" spans="1:30">
      <c r="A161" s="155"/>
      <c r="B161" s="112" t="str">
        <f t="shared" si="4"/>
        <v/>
      </c>
      <c r="C161" s="183"/>
      <c r="D161" s="152"/>
      <c r="E161" s="152"/>
      <c r="F161" s="151"/>
      <c r="G161" s="153"/>
      <c r="H161" s="151"/>
      <c r="I161" s="151"/>
      <c r="J161" s="151"/>
      <c r="K161" s="151"/>
      <c r="L161" s="151"/>
      <c r="M161" s="151"/>
      <c r="N161" s="151"/>
      <c r="O161" s="151"/>
      <c r="P161" s="151"/>
      <c r="Q161" s="151"/>
      <c r="R161" s="151"/>
      <c r="S161" s="152"/>
      <c r="T161" s="151"/>
      <c r="U161" s="151"/>
      <c r="V161" s="153"/>
      <c r="W161" s="151"/>
      <c r="X161" s="151"/>
      <c r="Y161" s="153"/>
      <c r="Z161" s="151"/>
      <c r="AA161" s="187" t="str">
        <f t="shared" si="5"/>
        <v>No</v>
      </c>
      <c r="AB161" s="158"/>
      <c r="AC161" s="159"/>
      <c r="AD161" s="160"/>
    </row>
    <row r="162" spans="1:30">
      <c r="A162" s="155"/>
      <c r="B162" s="112" t="str">
        <f t="shared" si="4"/>
        <v/>
      </c>
      <c r="C162" s="183"/>
      <c r="D162" s="152"/>
      <c r="E162" s="152"/>
      <c r="F162" s="151"/>
      <c r="G162" s="153"/>
      <c r="H162" s="151"/>
      <c r="I162" s="151"/>
      <c r="J162" s="151"/>
      <c r="K162" s="151"/>
      <c r="L162" s="151"/>
      <c r="M162" s="151"/>
      <c r="N162" s="151"/>
      <c r="O162" s="151"/>
      <c r="P162" s="151"/>
      <c r="Q162" s="151"/>
      <c r="R162" s="151"/>
      <c r="S162" s="152"/>
      <c r="T162" s="151"/>
      <c r="U162" s="151"/>
      <c r="V162" s="153"/>
      <c r="W162" s="151"/>
      <c r="X162" s="151"/>
      <c r="Y162" s="153"/>
      <c r="Z162" s="151"/>
      <c r="AA162" s="187" t="str">
        <f t="shared" si="5"/>
        <v>No</v>
      </c>
      <c r="AB162" s="158"/>
      <c r="AC162" s="159"/>
      <c r="AD162" s="160"/>
    </row>
    <row r="163" spans="1:30">
      <c r="A163" s="155"/>
      <c r="B163" s="112" t="str">
        <f t="shared" si="4"/>
        <v/>
      </c>
      <c r="C163" s="183"/>
      <c r="D163" s="152"/>
      <c r="E163" s="152"/>
      <c r="F163" s="151"/>
      <c r="G163" s="153"/>
      <c r="H163" s="151"/>
      <c r="I163" s="151"/>
      <c r="J163" s="151"/>
      <c r="K163" s="151"/>
      <c r="L163" s="151"/>
      <c r="M163" s="151"/>
      <c r="N163" s="151"/>
      <c r="O163" s="151"/>
      <c r="P163" s="151"/>
      <c r="Q163" s="151"/>
      <c r="R163" s="151"/>
      <c r="S163" s="152"/>
      <c r="T163" s="151"/>
      <c r="U163" s="151"/>
      <c r="V163" s="153"/>
      <c r="W163" s="151"/>
      <c r="X163" s="151"/>
      <c r="Y163" s="153"/>
      <c r="Z163" s="151"/>
      <c r="AA163" s="187" t="str">
        <f t="shared" si="5"/>
        <v>No</v>
      </c>
      <c r="AB163" s="158"/>
      <c r="AC163" s="159"/>
      <c r="AD163" s="160"/>
    </row>
    <row r="164" spans="1:30">
      <c r="A164" s="155"/>
      <c r="B164" s="112" t="str">
        <f t="shared" si="4"/>
        <v/>
      </c>
      <c r="C164" s="183"/>
      <c r="D164" s="152"/>
      <c r="E164" s="152"/>
      <c r="F164" s="151"/>
      <c r="G164" s="153"/>
      <c r="H164" s="151"/>
      <c r="I164" s="151"/>
      <c r="J164" s="151"/>
      <c r="K164" s="151"/>
      <c r="L164" s="151"/>
      <c r="M164" s="151"/>
      <c r="N164" s="151"/>
      <c r="O164" s="151"/>
      <c r="P164" s="151"/>
      <c r="Q164" s="151"/>
      <c r="R164" s="151"/>
      <c r="S164" s="152"/>
      <c r="T164" s="151"/>
      <c r="U164" s="151"/>
      <c r="V164" s="153"/>
      <c r="W164" s="151"/>
      <c r="X164" s="151"/>
      <c r="Y164" s="153"/>
      <c r="Z164" s="151"/>
      <c r="AA164" s="187" t="str">
        <f t="shared" si="5"/>
        <v>No</v>
      </c>
      <c r="AB164" s="158"/>
      <c r="AC164" s="159"/>
      <c r="AD164" s="160"/>
    </row>
    <row r="165" spans="1:30">
      <c r="A165" s="155"/>
      <c r="B165" s="112" t="str">
        <f t="shared" si="4"/>
        <v/>
      </c>
      <c r="C165" s="183"/>
      <c r="D165" s="152"/>
      <c r="E165" s="152"/>
      <c r="F165" s="151"/>
      <c r="G165" s="153"/>
      <c r="H165" s="151"/>
      <c r="I165" s="151"/>
      <c r="J165" s="151"/>
      <c r="K165" s="151"/>
      <c r="L165" s="151"/>
      <c r="M165" s="151"/>
      <c r="N165" s="151"/>
      <c r="O165" s="151"/>
      <c r="P165" s="151"/>
      <c r="Q165" s="151"/>
      <c r="R165" s="151"/>
      <c r="S165" s="152"/>
      <c r="T165" s="151"/>
      <c r="U165" s="151"/>
      <c r="V165" s="153"/>
      <c r="W165" s="151"/>
      <c r="X165" s="151"/>
      <c r="Y165" s="153"/>
      <c r="Z165" s="151"/>
      <c r="AA165" s="187" t="str">
        <f t="shared" si="5"/>
        <v>No</v>
      </c>
      <c r="AB165" s="158"/>
      <c r="AC165" s="159"/>
      <c r="AD165" s="160"/>
    </row>
    <row r="166" spans="1:30">
      <c r="A166" s="155"/>
      <c r="B166" s="112" t="str">
        <f t="shared" si="4"/>
        <v/>
      </c>
      <c r="C166" s="183"/>
      <c r="D166" s="152"/>
      <c r="E166" s="152"/>
      <c r="F166" s="151"/>
      <c r="G166" s="153"/>
      <c r="H166" s="151"/>
      <c r="I166" s="151"/>
      <c r="J166" s="151"/>
      <c r="K166" s="151"/>
      <c r="L166" s="151"/>
      <c r="M166" s="151"/>
      <c r="N166" s="151"/>
      <c r="O166" s="151"/>
      <c r="P166" s="151"/>
      <c r="Q166" s="151"/>
      <c r="R166" s="151"/>
      <c r="S166" s="152"/>
      <c r="T166" s="151"/>
      <c r="U166" s="151"/>
      <c r="V166" s="153"/>
      <c r="W166" s="151"/>
      <c r="X166" s="151"/>
      <c r="Y166" s="153"/>
      <c r="Z166" s="151"/>
      <c r="AA166" s="187" t="str">
        <f t="shared" si="5"/>
        <v>No</v>
      </c>
      <c r="AB166" s="158"/>
      <c r="AC166" s="159"/>
      <c r="AD166" s="160"/>
    </row>
    <row r="167" spans="1:30">
      <c r="A167" s="155"/>
      <c r="B167" s="112" t="str">
        <f t="shared" si="4"/>
        <v/>
      </c>
      <c r="C167" s="183"/>
      <c r="D167" s="152"/>
      <c r="E167" s="152"/>
      <c r="F167" s="151"/>
      <c r="G167" s="153"/>
      <c r="H167" s="151"/>
      <c r="I167" s="151"/>
      <c r="J167" s="151"/>
      <c r="K167" s="151"/>
      <c r="L167" s="151"/>
      <c r="M167" s="151"/>
      <c r="N167" s="151"/>
      <c r="O167" s="151"/>
      <c r="P167" s="151"/>
      <c r="Q167" s="151"/>
      <c r="R167" s="151"/>
      <c r="S167" s="152"/>
      <c r="T167" s="151"/>
      <c r="U167" s="151"/>
      <c r="V167" s="153"/>
      <c r="W167" s="151"/>
      <c r="X167" s="151"/>
      <c r="Y167" s="153"/>
      <c r="Z167" s="151"/>
      <c r="AA167" s="187" t="str">
        <f t="shared" si="5"/>
        <v>No</v>
      </c>
      <c r="AB167" s="158"/>
      <c r="AC167" s="159"/>
      <c r="AD167" s="160"/>
    </row>
    <row r="168" spans="1:30">
      <c r="A168" s="155"/>
      <c r="B168" s="112" t="str">
        <f t="shared" si="4"/>
        <v/>
      </c>
      <c r="C168" s="183"/>
      <c r="D168" s="152"/>
      <c r="E168" s="152"/>
      <c r="F168" s="151"/>
      <c r="G168" s="153"/>
      <c r="H168" s="151"/>
      <c r="I168" s="151"/>
      <c r="J168" s="151"/>
      <c r="K168" s="151"/>
      <c r="L168" s="151"/>
      <c r="M168" s="151"/>
      <c r="N168" s="151"/>
      <c r="O168" s="151"/>
      <c r="P168" s="151"/>
      <c r="Q168" s="151"/>
      <c r="R168" s="151"/>
      <c r="S168" s="152"/>
      <c r="T168" s="151"/>
      <c r="U168" s="151"/>
      <c r="V168" s="153"/>
      <c r="W168" s="151"/>
      <c r="X168" s="151"/>
      <c r="Y168" s="153"/>
      <c r="Z168" s="151"/>
      <c r="AA168" s="187" t="str">
        <f t="shared" si="5"/>
        <v>No</v>
      </c>
      <c r="AB168" s="158"/>
      <c r="AC168" s="159"/>
      <c r="AD168" s="160"/>
    </row>
    <row r="169" spans="1:30">
      <c r="A169" s="155"/>
      <c r="B169" s="112" t="str">
        <f t="shared" si="4"/>
        <v/>
      </c>
      <c r="C169" s="183"/>
      <c r="D169" s="152"/>
      <c r="E169" s="152"/>
      <c r="F169" s="151"/>
      <c r="G169" s="153"/>
      <c r="H169" s="151"/>
      <c r="I169" s="151"/>
      <c r="J169" s="151"/>
      <c r="K169" s="151"/>
      <c r="L169" s="151"/>
      <c r="M169" s="151"/>
      <c r="N169" s="151"/>
      <c r="O169" s="151"/>
      <c r="P169" s="151"/>
      <c r="Q169" s="151"/>
      <c r="R169" s="151"/>
      <c r="S169" s="152"/>
      <c r="T169" s="151"/>
      <c r="U169" s="151"/>
      <c r="V169" s="153"/>
      <c r="W169" s="151"/>
      <c r="X169" s="151"/>
      <c r="Y169" s="153"/>
      <c r="Z169" s="151"/>
      <c r="AA169" s="187" t="str">
        <f t="shared" si="5"/>
        <v>No</v>
      </c>
      <c r="AB169" s="158"/>
      <c r="AC169" s="159"/>
      <c r="AD169" s="160"/>
    </row>
    <row r="170" spans="1:30">
      <c r="A170" s="155"/>
      <c r="B170" s="112" t="str">
        <f t="shared" si="4"/>
        <v/>
      </c>
      <c r="C170" s="183"/>
      <c r="D170" s="152"/>
      <c r="E170" s="152"/>
      <c r="F170" s="151"/>
      <c r="G170" s="153"/>
      <c r="H170" s="151"/>
      <c r="I170" s="151"/>
      <c r="J170" s="151"/>
      <c r="K170" s="151"/>
      <c r="L170" s="151"/>
      <c r="M170" s="151"/>
      <c r="N170" s="151"/>
      <c r="O170" s="151"/>
      <c r="P170" s="151"/>
      <c r="Q170" s="151"/>
      <c r="R170" s="151"/>
      <c r="S170" s="152"/>
      <c r="T170" s="151"/>
      <c r="U170" s="151"/>
      <c r="V170" s="153"/>
      <c r="W170" s="151"/>
      <c r="X170" s="151"/>
      <c r="Y170" s="153"/>
      <c r="Z170" s="151"/>
      <c r="AA170" s="187" t="str">
        <f t="shared" si="5"/>
        <v>No</v>
      </c>
      <c r="AB170" s="158"/>
      <c r="AC170" s="159"/>
      <c r="AD170" s="160"/>
    </row>
    <row r="171" spans="1:30">
      <c r="A171" s="155"/>
      <c r="B171" s="112" t="str">
        <f t="shared" si="4"/>
        <v/>
      </c>
      <c r="C171" s="183"/>
      <c r="D171" s="152"/>
      <c r="E171" s="152"/>
      <c r="F171" s="151"/>
      <c r="G171" s="153"/>
      <c r="H171" s="151"/>
      <c r="I171" s="151"/>
      <c r="J171" s="151"/>
      <c r="K171" s="151"/>
      <c r="L171" s="151"/>
      <c r="M171" s="151"/>
      <c r="N171" s="151"/>
      <c r="O171" s="151"/>
      <c r="P171" s="151"/>
      <c r="Q171" s="151"/>
      <c r="R171" s="151"/>
      <c r="S171" s="152"/>
      <c r="T171" s="151"/>
      <c r="U171" s="151"/>
      <c r="V171" s="153"/>
      <c r="W171" s="151"/>
      <c r="X171" s="151"/>
      <c r="Y171" s="153"/>
      <c r="Z171" s="151"/>
      <c r="AA171" s="187" t="str">
        <f t="shared" si="5"/>
        <v>No</v>
      </c>
      <c r="AB171" s="158"/>
      <c r="AC171" s="159"/>
      <c r="AD171" s="160"/>
    </row>
    <row r="172" spans="1:30">
      <c r="A172" s="155"/>
      <c r="B172" s="112" t="str">
        <f t="shared" si="4"/>
        <v/>
      </c>
      <c r="C172" s="183"/>
      <c r="D172" s="152"/>
      <c r="E172" s="152"/>
      <c r="F172" s="151"/>
      <c r="G172" s="153"/>
      <c r="H172" s="151"/>
      <c r="I172" s="151"/>
      <c r="J172" s="151"/>
      <c r="K172" s="151"/>
      <c r="L172" s="151"/>
      <c r="M172" s="151"/>
      <c r="N172" s="151"/>
      <c r="O172" s="151"/>
      <c r="P172" s="151"/>
      <c r="Q172" s="151"/>
      <c r="R172" s="151"/>
      <c r="S172" s="152"/>
      <c r="T172" s="151"/>
      <c r="U172" s="151"/>
      <c r="V172" s="153"/>
      <c r="W172" s="151"/>
      <c r="X172" s="151"/>
      <c r="Y172" s="153"/>
      <c r="Z172" s="151"/>
      <c r="AA172" s="187" t="str">
        <f t="shared" si="5"/>
        <v>No</v>
      </c>
      <c r="AB172" s="158"/>
      <c r="AC172" s="159"/>
      <c r="AD172" s="160"/>
    </row>
    <row r="173" spans="1:30">
      <c r="A173" s="155"/>
      <c r="B173" s="112" t="str">
        <f t="shared" si="4"/>
        <v/>
      </c>
      <c r="C173" s="183"/>
      <c r="D173" s="152"/>
      <c r="E173" s="152"/>
      <c r="F173" s="151"/>
      <c r="G173" s="153"/>
      <c r="H173" s="151"/>
      <c r="I173" s="151"/>
      <c r="J173" s="151"/>
      <c r="K173" s="151"/>
      <c r="L173" s="151"/>
      <c r="M173" s="151"/>
      <c r="N173" s="151"/>
      <c r="O173" s="151"/>
      <c r="P173" s="151"/>
      <c r="Q173" s="151"/>
      <c r="R173" s="151"/>
      <c r="S173" s="152"/>
      <c r="T173" s="151"/>
      <c r="U173" s="151"/>
      <c r="V173" s="153"/>
      <c r="W173" s="151"/>
      <c r="X173" s="151"/>
      <c r="Y173" s="153"/>
      <c r="Z173" s="151"/>
      <c r="AA173" s="187" t="str">
        <f t="shared" si="5"/>
        <v>No</v>
      </c>
      <c r="AB173" s="158"/>
      <c r="AC173" s="159"/>
      <c r="AD173" s="160"/>
    </row>
    <row r="174" spans="1:30">
      <c r="A174" s="155"/>
      <c r="B174" s="112" t="str">
        <f t="shared" si="4"/>
        <v/>
      </c>
      <c r="C174" s="183"/>
      <c r="D174" s="152"/>
      <c r="E174" s="152"/>
      <c r="F174" s="151"/>
      <c r="G174" s="153"/>
      <c r="H174" s="151"/>
      <c r="I174" s="151"/>
      <c r="J174" s="151"/>
      <c r="K174" s="151"/>
      <c r="L174" s="151"/>
      <c r="M174" s="151"/>
      <c r="N174" s="151"/>
      <c r="O174" s="151"/>
      <c r="P174" s="151"/>
      <c r="Q174" s="151"/>
      <c r="R174" s="151"/>
      <c r="S174" s="152"/>
      <c r="T174" s="151"/>
      <c r="U174" s="151"/>
      <c r="V174" s="153"/>
      <c r="W174" s="151"/>
      <c r="X174" s="151"/>
      <c r="Y174" s="153"/>
      <c r="Z174" s="151"/>
      <c r="AA174" s="187" t="str">
        <f t="shared" si="5"/>
        <v>No</v>
      </c>
      <c r="AB174" s="158"/>
      <c r="AC174" s="159"/>
      <c r="AD174" s="160"/>
    </row>
    <row r="175" spans="1:30">
      <c r="A175" s="155"/>
      <c r="B175" s="112" t="str">
        <f t="shared" si="4"/>
        <v/>
      </c>
      <c r="C175" s="183"/>
      <c r="D175" s="152"/>
      <c r="E175" s="152"/>
      <c r="F175" s="151"/>
      <c r="G175" s="153"/>
      <c r="H175" s="151"/>
      <c r="I175" s="151"/>
      <c r="J175" s="151"/>
      <c r="K175" s="151"/>
      <c r="L175" s="151"/>
      <c r="M175" s="151"/>
      <c r="N175" s="151"/>
      <c r="O175" s="151"/>
      <c r="P175" s="151"/>
      <c r="Q175" s="151"/>
      <c r="R175" s="151"/>
      <c r="S175" s="152"/>
      <c r="T175" s="151"/>
      <c r="U175" s="151"/>
      <c r="V175" s="153"/>
      <c r="W175" s="151"/>
      <c r="X175" s="151"/>
      <c r="Y175" s="153"/>
      <c r="Z175" s="151"/>
      <c r="AA175" s="187" t="str">
        <f t="shared" si="5"/>
        <v>No</v>
      </c>
      <c r="AB175" s="158"/>
      <c r="AC175" s="159"/>
      <c r="AD175" s="160"/>
    </row>
    <row r="176" spans="1:30">
      <c r="A176" s="155"/>
      <c r="B176" s="112" t="str">
        <f t="shared" si="4"/>
        <v/>
      </c>
      <c r="C176" s="183"/>
      <c r="D176" s="152"/>
      <c r="E176" s="152"/>
      <c r="F176" s="151"/>
      <c r="G176" s="153"/>
      <c r="H176" s="151"/>
      <c r="I176" s="151"/>
      <c r="J176" s="151"/>
      <c r="K176" s="151"/>
      <c r="L176" s="151"/>
      <c r="M176" s="151"/>
      <c r="N176" s="151"/>
      <c r="O176" s="151"/>
      <c r="P176" s="151"/>
      <c r="Q176" s="151"/>
      <c r="R176" s="151"/>
      <c r="S176" s="152"/>
      <c r="T176" s="151"/>
      <c r="U176" s="151"/>
      <c r="V176" s="153"/>
      <c r="W176" s="151"/>
      <c r="X176" s="151"/>
      <c r="Y176" s="153"/>
      <c r="Z176" s="151"/>
      <c r="AA176" s="187" t="str">
        <f t="shared" si="5"/>
        <v>No</v>
      </c>
      <c r="AB176" s="158"/>
      <c r="AC176" s="159"/>
      <c r="AD176" s="160"/>
    </row>
    <row r="177" spans="1:30">
      <c r="A177" s="155"/>
      <c r="B177" s="112" t="str">
        <f t="shared" si="4"/>
        <v/>
      </c>
      <c r="C177" s="183"/>
      <c r="D177" s="152"/>
      <c r="E177" s="152"/>
      <c r="F177" s="151"/>
      <c r="G177" s="153"/>
      <c r="H177" s="151"/>
      <c r="I177" s="151"/>
      <c r="J177" s="151"/>
      <c r="K177" s="151"/>
      <c r="L177" s="151"/>
      <c r="M177" s="151"/>
      <c r="N177" s="151"/>
      <c r="O177" s="151"/>
      <c r="P177" s="151"/>
      <c r="Q177" s="151"/>
      <c r="R177" s="151"/>
      <c r="S177" s="152"/>
      <c r="T177" s="151"/>
      <c r="U177" s="151"/>
      <c r="V177" s="153"/>
      <c r="W177" s="151"/>
      <c r="X177" s="151"/>
      <c r="Y177" s="153"/>
      <c r="Z177" s="151"/>
      <c r="AA177" s="187" t="str">
        <f t="shared" si="5"/>
        <v>No</v>
      </c>
      <c r="AB177" s="158"/>
      <c r="AC177" s="159"/>
      <c r="AD177" s="160"/>
    </row>
    <row r="178" spans="1:30">
      <c r="A178" s="155"/>
      <c r="B178" s="112" t="str">
        <f t="shared" si="4"/>
        <v/>
      </c>
      <c r="C178" s="183"/>
      <c r="D178" s="152"/>
      <c r="E178" s="152"/>
      <c r="F178" s="151"/>
      <c r="G178" s="153"/>
      <c r="H178" s="151"/>
      <c r="I178" s="151"/>
      <c r="J178" s="151"/>
      <c r="K178" s="151"/>
      <c r="L178" s="151"/>
      <c r="M178" s="151"/>
      <c r="N178" s="151"/>
      <c r="O178" s="151"/>
      <c r="P178" s="151"/>
      <c r="Q178" s="151"/>
      <c r="R178" s="151"/>
      <c r="S178" s="152"/>
      <c r="T178" s="151"/>
      <c r="U178" s="151"/>
      <c r="V178" s="153"/>
      <c r="W178" s="151"/>
      <c r="X178" s="151"/>
      <c r="Y178" s="153"/>
      <c r="Z178" s="151"/>
      <c r="AA178" s="187" t="str">
        <f t="shared" si="5"/>
        <v>No</v>
      </c>
      <c r="AB178" s="158"/>
      <c r="AC178" s="159"/>
      <c r="AD178" s="160"/>
    </row>
    <row r="179" spans="1:30">
      <c r="A179" s="155"/>
      <c r="B179" s="112" t="str">
        <f t="shared" si="4"/>
        <v/>
      </c>
      <c r="C179" s="183"/>
      <c r="D179" s="152"/>
      <c r="E179" s="152"/>
      <c r="F179" s="151"/>
      <c r="G179" s="153"/>
      <c r="H179" s="151"/>
      <c r="I179" s="151"/>
      <c r="J179" s="151"/>
      <c r="K179" s="151"/>
      <c r="L179" s="151"/>
      <c r="M179" s="151"/>
      <c r="N179" s="151"/>
      <c r="O179" s="151"/>
      <c r="P179" s="151"/>
      <c r="Q179" s="151"/>
      <c r="R179" s="151"/>
      <c r="S179" s="152"/>
      <c r="T179" s="151"/>
      <c r="U179" s="151"/>
      <c r="V179" s="153"/>
      <c r="W179" s="151"/>
      <c r="X179" s="151"/>
      <c r="Y179" s="153"/>
      <c r="Z179" s="151"/>
      <c r="AA179" s="187" t="str">
        <f t="shared" si="5"/>
        <v>No</v>
      </c>
      <c r="AB179" s="158"/>
      <c r="AC179" s="159"/>
      <c r="AD179" s="160"/>
    </row>
    <row r="180" spans="1:30">
      <c r="A180" s="155"/>
      <c r="B180" s="112" t="str">
        <f t="shared" si="4"/>
        <v/>
      </c>
      <c r="C180" s="183"/>
      <c r="D180" s="152"/>
      <c r="E180" s="152"/>
      <c r="F180" s="151"/>
      <c r="G180" s="153"/>
      <c r="H180" s="151"/>
      <c r="I180" s="151"/>
      <c r="J180" s="151"/>
      <c r="K180" s="151"/>
      <c r="L180" s="151"/>
      <c r="M180" s="151"/>
      <c r="N180" s="151"/>
      <c r="O180" s="151"/>
      <c r="P180" s="151"/>
      <c r="Q180" s="151"/>
      <c r="R180" s="151"/>
      <c r="S180" s="152"/>
      <c r="T180" s="151"/>
      <c r="U180" s="151"/>
      <c r="V180" s="153"/>
      <c r="W180" s="151"/>
      <c r="X180" s="151"/>
      <c r="Y180" s="153"/>
      <c r="Z180" s="151"/>
      <c r="AA180" s="187" t="str">
        <f t="shared" si="5"/>
        <v>No</v>
      </c>
      <c r="AB180" s="158"/>
      <c r="AC180" s="159"/>
      <c r="AD180" s="160"/>
    </row>
    <row r="181" spans="1:30">
      <c r="A181" s="155"/>
      <c r="B181" s="112" t="str">
        <f t="shared" si="4"/>
        <v/>
      </c>
      <c r="C181" s="183"/>
      <c r="D181" s="152"/>
      <c r="E181" s="152"/>
      <c r="F181" s="151"/>
      <c r="G181" s="153"/>
      <c r="H181" s="151"/>
      <c r="I181" s="151"/>
      <c r="J181" s="151"/>
      <c r="K181" s="151"/>
      <c r="L181" s="151"/>
      <c r="M181" s="151"/>
      <c r="N181" s="151"/>
      <c r="O181" s="151"/>
      <c r="P181" s="151"/>
      <c r="Q181" s="151"/>
      <c r="R181" s="151"/>
      <c r="S181" s="152"/>
      <c r="T181" s="151"/>
      <c r="U181" s="151"/>
      <c r="V181" s="153"/>
      <c r="W181" s="151"/>
      <c r="X181" s="151"/>
      <c r="Y181" s="153"/>
      <c r="Z181" s="151"/>
      <c r="AA181" s="187" t="str">
        <f t="shared" si="5"/>
        <v>No</v>
      </c>
      <c r="AB181" s="158"/>
      <c r="AC181" s="159"/>
      <c r="AD181" s="160"/>
    </row>
    <row r="182" spans="1:30">
      <c r="A182" s="155"/>
      <c r="B182" s="112" t="str">
        <f t="shared" si="4"/>
        <v/>
      </c>
      <c r="C182" s="183"/>
      <c r="D182" s="152"/>
      <c r="E182" s="152"/>
      <c r="F182" s="151"/>
      <c r="G182" s="153"/>
      <c r="H182" s="151"/>
      <c r="I182" s="151"/>
      <c r="J182" s="151"/>
      <c r="K182" s="151"/>
      <c r="L182" s="151"/>
      <c r="M182" s="151"/>
      <c r="N182" s="151"/>
      <c r="O182" s="151"/>
      <c r="P182" s="151"/>
      <c r="Q182" s="151"/>
      <c r="R182" s="151"/>
      <c r="S182" s="152"/>
      <c r="T182" s="151"/>
      <c r="U182" s="151"/>
      <c r="V182" s="153"/>
      <c r="W182" s="151"/>
      <c r="X182" s="151"/>
      <c r="Y182" s="153"/>
      <c r="Z182" s="151"/>
      <c r="AA182" s="187" t="str">
        <f t="shared" si="5"/>
        <v>No</v>
      </c>
      <c r="AB182" s="158"/>
      <c r="AC182" s="159"/>
      <c r="AD182" s="160"/>
    </row>
    <row r="183" spans="1:30">
      <c r="A183" s="155"/>
      <c r="B183" s="112" t="str">
        <f t="shared" si="4"/>
        <v/>
      </c>
      <c r="C183" s="183"/>
      <c r="D183" s="152"/>
      <c r="E183" s="152"/>
      <c r="F183" s="151"/>
      <c r="G183" s="153"/>
      <c r="H183" s="151"/>
      <c r="I183" s="151"/>
      <c r="J183" s="151"/>
      <c r="K183" s="151"/>
      <c r="L183" s="151"/>
      <c r="M183" s="151"/>
      <c r="N183" s="151"/>
      <c r="O183" s="151"/>
      <c r="P183" s="151"/>
      <c r="Q183" s="151"/>
      <c r="R183" s="151"/>
      <c r="S183" s="152"/>
      <c r="T183" s="151"/>
      <c r="U183" s="151"/>
      <c r="V183" s="153"/>
      <c r="W183" s="151"/>
      <c r="X183" s="151"/>
      <c r="Y183" s="153"/>
      <c r="Z183" s="151"/>
      <c r="AA183" s="187" t="str">
        <f t="shared" si="5"/>
        <v>No</v>
      </c>
      <c r="AB183" s="158"/>
      <c r="AC183" s="159"/>
      <c r="AD183" s="160"/>
    </row>
    <row r="184" spans="1:30">
      <c r="A184" s="155"/>
      <c r="B184" s="112" t="str">
        <f t="shared" si="4"/>
        <v/>
      </c>
      <c r="C184" s="183"/>
      <c r="D184" s="152"/>
      <c r="E184" s="152"/>
      <c r="F184" s="151"/>
      <c r="G184" s="153"/>
      <c r="H184" s="151"/>
      <c r="I184" s="151"/>
      <c r="J184" s="151"/>
      <c r="K184" s="151"/>
      <c r="L184" s="151"/>
      <c r="M184" s="151"/>
      <c r="N184" s="151"/>
      <c r="O184" s="151"/>
      <c r="P184" s="151"/>
      <c r="Q184" s="151"/>
      <c r="R184" s="151"/>
      <c r="S184" s="152"/>
      <c r="T184" s="151"/>
      <c r="U184" s="151"/>
      <c r="V184" s="153"/>
      <c r="W184" s="151"/>
      <c r="X184" s="151"/>
      <c r="Y184" s="153"/>
      <c r="Z184" s="151"/>
      <c r="AA184" s="187" t="str">
        <f t="shared" si="5"/>
        <v>No</v>
      </c>
      <c r="AB184" s="158"/>
      <c r="AC184" s="159"/>
      <c r="AD184" s="160"/>
    </row>
    <row r="185" spans="1:30">
      <c r="A185" s="155"/>
      <c r="B185" s="112" t="str">
        <f t="shared" si="4"/>
        <v/>
      </c>
      <c r="C185" s="183"/>
      <c r="D185" s="152"/>
      <c r="E185" s="152"/>
      <c r="F185" s="151"/>
      <c r="G185" s="153"/>
      <c r="H185" s="151"/>
      <c r="I185" s="151"/>
      <c r="J185" s="151"/>
      <c r="K185" s="151"/>
      <c r="L185" s="151"/>
      <c r="M185" s="151"/>
      <c r="N185" s="151"/>
      <c r="O185" s="151"/>
      <c r="P185" s="151"/>
      <c r="Q185" s="151"/>
      <c r="R185" s="151"/>
      <c r="S185" s="152"/>
      <c r="T185" s="151"/>
      <c r="U185" s="151"/>
      <c r="V185" s="153"/>
      <c r="W185" s="151"/>
      <c r="X185" s="151"/>
      <c r="Y185" s="153"/>
      <c r="Z185" s="151"/>
      <c r="AA185" s="187" t="str">
        <f t="shared" si="5"/>
        <v>No</v>
      </c>
      <c r="AB185" s="158"/>
      <c r="AC185" s="159"/>
      <c r="AD185" s="160"/>
    </row>
    <row r="186" spans="1:30">
      <c r="A186" s="155"/>
      <c r="B186" s="112" t="str">
        <f t="shared" si="4"/>
        <v/>
      </c>
      <c r="C186" s="183"/>
      <c r="D186" s="152"/>
      <c r="E186" s="152"/>
      <c r="F186" s="151"/>
      <c r="G186" s="153"/>
      <c r="H186" s="151"/>
      <c r="I186" s="151"/>
      <c r="J186" s="151"/>
      <c r="K186" s="151"/>
      <c r="L186" s="151"/>
      <c r="M186" s="151"/>
      <c r="N186" s="151"/>
      <c r="O186" s="151"/>
      <c r="P186" s="151"/>
      <c r="Q186" s="151"/>
      <c r="R186" s="151"/>
      <c r="S186" s="152"/>
      <c r="T186" s="151"/>
      <c r="U186" s="151"/>
      <c r="V186" s="153"/>
      <c r="W186" s="151"/>
      <c r="X186" s="151"/>
      <c r="Y186" s="153"/>
      <c r="Z186" s="151"/>
      <c r="AA186" s="187" t="str">
        <f t="shared" si="5"/>
        <v>No</v>
      </c>
      <c r="AB186" s="158"/>
      <c r="AC186" s="159"/>
      <c r="AD186" s="160"/>
    </row>
    <row r="187" spans="1:30">
      <c r="A187" s="155"/>
      <c r="B187" s="112" t="str">
        <f t="shared" si="4"/>
        <v/>
      </c>
      <c r="C187" s="183"/>
      <c r="D187" s="152"/>
      <c r="E187" s="152"/>
      <c r="F187" s="151"/>
      <c r="G187" s="153"/>
      <c r="H187" s="151"/>
      <c r="I187" s="151"/>
      <c r="J187" s="151"/>
      <c r="K187" s="151"/>
      <c r="L187" s="151"/>
      <c r="M187" s="151"/>
      <c r="N187" s="151"/>
      <c r="O187" s="151"/>
      <c r="P187" s="151"/>
      <c r="Q187" s="151"/>
      <c r="R187" s="151"/>
      <c r="S187" s="152"/>
      <c r="T187" s="151"/>
      <c r="U187" s="151"/>
      <c r="V187" s="153"/>
      <c r="W187" s="151"/>
      <c r="X187" s="151"/>
      <c r="Y187" s="153"/>
      <c r="Z187" s="151"/>
      <c r="AA187" s="187" t="str">
        <f t="shared" si="5"/>
        <v>No</v>
      </c>
      <c r="AB187" s="158"/>
      <c r="AC187" s="159"/>
      <c r="AD187" s="160"/>
    </row>
    <row r="188" spans="1:30">
      <c r="A188" s="155"/>
      <c r="B188" s="112" t="str">
        <f t="shared" si="4"/>
        <v/>
      </c>
      <c r="C188" s="183"/>
      <c r="D188" s="152"/>
      <c r="E188" s="152"/>
      <c r="F188" s="151"/>
      <c r="G188" s="153"/>
      <c r="H188" s="151"/>
      <c r="I188" s="151"/>
      <c r="J188" s="151"/>
      <c r="K188" s="151"/>
      <c r="L188" s="151"/>
      <c r="M188" s="151"/>
      <c r="N188" s="151"/>
      <c r="O188" s="151"/>
      <c r="P188" s="151"/>
      <c r="Q188" s="151"/>
      <c r="R188" s="151"/>
      <c r="S188" s="152"/>
      <c r="T188" s="151"/>
      <c r="U188" s="151"/>
      <c r="V188" s="153"/>
      <c r="W188" s="151"/>
      <c r="X188" s="151"/>
      <c r="Y188" s="153"/>
      <c r="Z188" s="151"/>
      <c r="AA188" s="187" t="str">
        <f t="shared" si="5"/>
        <v>No</v>
      </c>
      <c r="AB188" s="158"/>
      <c r="AC188" s="159"/>
      <c r="AD188" s="160"/>
    </row>
    <row r="189" spans="1:30">
      <c r="A189" s="155"/>
      <c r="B189" s="112" t="str">
        <f t="shared" si="4"/>
        <v/>
      </c>
      <c r="C189" s="183"/>
      <c r="D189" s="152"/>
      <c r="E189" s="152"/>
      <c r="F189" s="151"/>
      <c r="G189" s="153"/>
      <c r="H189" s="151"/>
      <c r="I189" s="151"/>
      <c r="J189" s="151"/>
      <c r="K189" s="151"/>
      <c r="L189" s="151"/>
      <c r="M189" s="151"/>
      <c r="N189" s="151"/>
      <c r="O189" s="151"/>
      <c r="P189" s="151"/>
      <c r="Q189" s="151"/>
      <c r="R189" s="151"/>
      <c r="S189" s="152"/>
      <c r="T189" s="151"/>
      <c r="U189" s="151"/>
      <c r="V189" s="153"/>
      <c r="W189" s="151"/>
      <c r="X189" s="151"/>
      <c r="Y189" s="153"/>
      <c r="Z189" s="151"/>
      <c r="AA189" s="187" t="str">
        <f t="shared" si="5"/>
        <v>No</v>
      </c>
      <c r="AB189" s="158"/>
      <c r="AC189" s="159"/>
      <c r="AD189" s="160"/>
    </row>
    <row r="190" spans="1:30">
      <c r="A190" s="155"/>
      <c r="B190" s="112" t="str">
        <f t="shared" si="4"/>
        <v/>
      </c>
      <c r="C190" s="183"/>
      <c r="D190" s="152"/>
      <c r="E190" s="152"/>
      <c r="F190" s="151"/>
      <c r="G190" s="153"/>
      <c r="H190" s="151"/>
      <c r="I190" s="151"/>
      <c r="J190" s="151"/>
      <c r="K190" s="151"/>
      <c r="L190" s="151"/>
      <c r="M190" s="151"/>
      <c r="N190" s="151"/>
      <c r="O190" s="151"/>
      <c r="P190" s="151"/>
      <c r="Q190" s="151"/>
      <c r="R190" s="151"/>
      <c r="S190" s="152"/>
      <c r="T190" s="151"/>
      <c r="U190" s="151"/>
      <c r="V190" s="153"/>
      <c r="W190" s="151"/>
      <c r="X190" s="151"/>
      <c r="Y190" s="153"/>
      <c r="Z190" s="151"/>
      <c r="AA190" s="187" t="str">
        <f t="shared" si="5"/>
        <v>No</v>
      </c>
      <c r="AB190" s="158"/>
      <c r="AC190" s="159"/>
      <c r="AD190" s="160"/>
    </row>
    <row r="191" spans="1:30">
      <c r="A191" s="155"/>
      <c r="B191" s="112" t="str">
        <f t="shared" si="4"/>
        <v/>
      </c>
      <c r="C191" s="183"/>
      <c r="D191" s="152"/>
      <c r="E191" s="152"/>
      <c r="F191" s="151"/>
      <c r="G191" s="153"/>
      <c r="H191" s="151"/>
      <c r="I191" s="151"/>
      <c r="J191" s="151"/>
      <c r="K191" s="151"/>
      <c r="L191" s="151"/>
      <c r="M191" s="151"/>
      <c r="N191" s="151"/>
      <c r="O191" s="151"/>
      <c r="P191" s="151"/>
      <c r="Q191" s="151"/>
      <c r="R191" s="151"/>
      <c r="S191" s="152"/>
      <c r="T191" s="151"/>
      <c r="U191" s="151"/>
      <c r="V191" s="153"/>
      <c r="W191" s="151"/>
      <c r="X191" s="151"/>
      <c r="Y191" s="153"/>
      <c r="Z191" s="151"/>
      <c r="AA191" s="187" t="str">
        <f t="shared" si="5"/>
        <v>No</v>
      </c>
      <c r="AB191" s="158"/>
      <c r="AC191" s="159"/>
      <c r="AD191" s="160"/>
    </row>
    <row r="192" spans="1:30">
      <c r="A192" s="155"/>
      <c r="B192" s="112" t="str">
        <f t="shared" si="4"/>
        <v/>
      </c>
      <c r="C192" s="183"/>
      <c r="D192" s="152"/>
      <c r="E192" s="152"/>
      <c r="F192" s="151"/>
      <c r="G192" s="153"/>
      <c r="H192" s="151"/>
      <c r="I192" s="151"/>
      <c r="J192" s="151"/>
      <c r="K192" s="151"/>
      <c r="L192" s="151"/>
      <c r="M192" s="151"/>
      <c r="N192" s="151"/>
      <c r="O192" s="151"/>
      <c r="P192" s="151"/>
      <c r="Q192" s="151"/>
      <c r="R192" s="151"/>
      <c r="S192" s="152"/>
      <c r="T192" s="151"/>
      <c r="U192" s="151"/>
      <c r="V192" s="153"/>
      <c r="W192" s="151"/>
      <c r="X192" s="151"/>
      <c r="Y192" s="153"/>
      <c r="Z192" s="151"/>
      <c r="AA192" s="187" t="str">
        <f t="shared" si="5"/>
        <v>No</v>
      </c>
      <c r="AB192" s="158"/>
      <c r="AC192" s="159"/>
      <c r="AD192" s="160"/>
    </row>
    <row r="193" spans="1:30">
      <c r="A193" s="155"/>
      <c r="B193" s="112" t="str">
        <f t="shared" si="4"/>
        <v/>
      </c>
      <c r="C193" s="183"/>
      <c r="D193" s="152"/>
      <c r="E193" s="152"/>
      <c r="F193" s="151"/>
      <c r="G193" s="153"/>
      <c r="H193" s="151"/>
      <c r="I193" s="151"/>
      <c r="J193" s="151"/>
      <c r="K193" s="151"/>
      <c r="L193" s="151"/>
      <c r="M193" s="151"/>
      <c r="N193" s="151"/>
      <c r="O193" s="151"/>
      <c r="P193" s="151"/>
      <c r="Q193" s="151"/>
      <c r="R193" s="151"/>
      <c r="S193" s="152"/>
      <c r="T193" s="151"/>
      <c r="U193" s="151"/>
      <c r="V193" s="153"/>
      <c r="W193" s="151"/>
      <c r="X193" s="151"/>
      <c r="Y193" s="153"/>
      <c r="Z193" s="151"/>
      <c r="AA193" s="187" t="str">
        <f t="shared" si="5"/>
        <v>No</v>
      </c>
      <c r="AB193" s="158"/>
      <c r="AC193" s="159"/>
      <c r="AD193" s="160"/>
    </row>
    <row r="194" spans="1:30">
      <c r="A194" s="155"/>
      <c r="B194" s="112" t="str">
        <f t="shared" si="4"/>
        <v/>
      </c>
      <c r="C194" s="183"/>
      <c r="D194" s="152"/>
      <c r="E194" s="152"/>
      <c r="F194" s="151"/>
      <c r="G194" s="153"/>
      <c r="H194" s="151"/>
      <c r="I194" s="151"/>
      <c r="J194" s="151"/>
      <c r="K194" s="151"/>
      <c r="L194" s="151"/>
      <c r="M194" s="151"/>
      <c r="N194" s="151"/>
      <c r="O194" s="151"/>
      <c r="P194" s="151"/>
      <c r="Q194" s="151"/>
      <c r="R194" s="151"/>
      <c r="S194" s="152"/>
      <c r="T194" s="151"/>
      <c r="U194" s="151"/>
      <c r="V194" s="153"/>
      <c r="W194" s="151"/>
      <c r="X194" s="151"/>
      <c r="Y194" s="153"/>
      <c r="Z194" s="151"/>
      <c r="AA194" s="187" t="str">
        <f t="shared" si="5"/>
        <v>No</v>
      </c>
      <c r="AB194" s="158"/>
      <c r="AC194" s="159"/>
      <c r="AD194" s="160"/>
    </row>
    <row r="195" spans="1:30">
      <c r="A195" s="155"/>
      <c r="B195" s="112" t="str">
        <f t="shared" si="4"/>
        <v/>
      </c>
      <c r="C195" s="183"/>
      <c r="D195" s="152"/>
      <c r="E195" s="152"/>
      <c r="F195" s="151"/>
      <c r="G195" s="153"/>
      <c r="H195" s="151"/>
      <c r="I195" s="151"/>
      <c r="J195" s="151"/>
      <c r="K195" s="151"/>
      <c r="L195" s="151"/>
      <c r="M195" s="151"/>
      <c r="N195" s="151"/>
      <c r="O195" s="151"/>
      <c r="P195" s="151"/>
      <c r="Q195" s="151"/>
      <c r="R195" s="151"/>
      <c r="S195" s="152"/>
      <c r="T195" s="151"/>
      <c r="U195" s="151"/>
      <c r="V195" s="153"/>
      <c r="W195" s="151"/>
      <c r="X195" s="151"/>
      <c r="Y195" s="153"/>
      <c r="Z195" s="151"/>
      <c r="AA195" s="187" t="str">
        <f t="shared" si="5"/>
        <v>No</v>
      </c>
      <c r="AB195" s="158"/>
      <c r="AC195" s="159"/>
      <c r="AD195" s="160"/>
    </row>
    <row r="196" spans="1:30">
      <c r="A196" s="155"/>
      <c r="B196" s="112" t="str">
        <f t="shared" si="4"/>
        <v/>
      </c>
      <c r="C196" s="183"/>
      <c r="D196" s="152"/>
      <c r="E196" s="152"/>
      <c r="F196" s="151"/>
      <c r="G196" s="153"/>
      <c r="H196" s="151"/>
      <c r="I196" s="151"/>
      <c r="J196" s="151"/>
      <c r="K196" s="151"/>
      <c r="L196" s="151"/>
      <c r="M196" s="151"/>
      <c r="N196" s="151"/>
      <c r="O196" s="151"/>
      <c r="P196" s="151"/>
      <c r="Q196" s="151"/>
      <c r="R196" s="151"/>
      <c r="S196" s="152"/>
      <c r="T196" s="151"/>
      <c r="U196" s="151"/>
      <c r="V196" s="153"/>
      <c r="W196" s="151"/>
      <c r="X196" s="151"/>
      <c r="Y196" s="153"/>
      <c r="Z196" s="151"/>
      <c r="AA196" s="187" t="str">
        <f t="shared" si="5"/>
        <v>No</v>
      </c>
      <c r="AB196" s="158"/>
      <c r="AC196" s="159"/>
      <c r="AD196" s="160"/>
    </row>
    <row r="197" spans="1:30">
      <c r="A197" s="155"/>
      <c r="B197" s="112" t="str">
        <f t="shared" ref="B197:B260" si="6">IF(AND(A197&lt;&gt;"",D197&lt;&gt;"",J197&lt;&gt;"",N197&lt;&gt;""),TEXT(D197,"YY")&amp;"-"&amp;TEXT(D197,"MMM")&amp;"-"&amp;UPPER(LEFT(TRIM(N197),2))&amp;"-"&amp;UPPER(LEFT(TRIM(J197),3))&amp;"-"&amp;A197,"")</f>
        <v/>
      </c>
      <c r="C197" s="183"/>
      <c r="D197" s="152"/>
      <c r="E197" s="152"/>
      <c r="F197" s="151"/>
      <c r="G197" s="153"/>
      <c r="H197" s="151"/>
      <c r="I197" s="151"/>
      <c r="J197" s="151"/>
      <c r="K197" s="151"/>
      <c r="L197" s="151"/>
      <c r="M197" s="151"/>
      <c r="N197" s="151"/>
      <c r="O197" s="151"/>
      <c r="P197" s="151"/>
      <c r="Q197" s="151"/>
      <c r="R197" s="151"/>
      <c r="S197" s="152"/>
      <c r="T197" s="151"/>
      <c r="U197" s="151"/>
      <c r="V197" s="153"/>
      <c r="W197" s="151"/>
      <c r="X197" s="151"/>
      <c r="Y197" s="153"/>
      <c r="Z197" s="151"/>
      <c r="AA197" s="187" t="str">
        <f t="shared" ref="AA197:AA260" si="7">IF(E197="","No","Yes")</f>
        <v>No</v>
      </c>
      <c r="AB197" s="158"/>
      <c r="AC197" s="159"/>
      <c r="AD197" s="160"/>
    </row>
    <row r="198" spans="1:30">
      <c r="A198" s="155"/>
      <c r="B198" s="112" t="str">
        <f t="shared" si="6"/>
        <v/>
      </c>
      <c r="C198" s="183"/>
      <c r="D198" s="152"/>
      <c r="E198" s="152"/>
      <c r="F198" s="151"/>
      <c r="G198" s="153"/>
      <c r="H198" s="151"/>
      <c r="I198" s="151"/>
      <c r="J198" s="151"/>
      <c r="K198" s="151"/>
      <c r="L198" s="151"/>
      <c r="M198" s="151"/>
      <c r="N198" s="151"/>
      <c r="O198" s="151"/>
      <c r="P198" s="151"/>
      <c r="Q198" s="151"/>
      <c r="R198" s="151"/>
      <c r="S198" s="152"/>
      <c r="T198" s="151"/>
      <c r="U198" s="151"/>
      <c r="V198" s="153"/>
      <c r="W198" s="151"/>
      <c r="X198" s="151"/>
      <c r="Y198" s="153"/>
      <c r="Z198" s="151"/>
      <c r="AA198" s="187" t="str">
        <f t="shared" si="7"/>
        <v>No</v>
      </c>
      <c r="AB198" s="158"/>
      <c r="AC198" s="159"/>
      <c r="AD198" s="160"/>
    </row>
    <row r="199" spans="1:30">
      <c r="A199" s="155"/>
      <c r="B199" s="112" t="str">
        <f t="shared" si="6"/>
        <v/>
      </c>
      <c r="C199" s="183"/>
      <c r="D199" s="152"/>
      <c r="E199" s="152"/>
      <c r="F199" s="151"/>
      <c r="G199" s="153"/>
      <c r="H199" s="151"/>
      <c r="I199" s="151"/>
      <c r="J199" s="151"/>
      <c r="K199" s="151"/>
      <c r="L199" s="151"/>
      <c r="M199" s="151"/>
      <c r="N199" s="151"/>
      <c r="O199" s="151"/>
      <c r="P199" s="151"/>
      <c r="Q199" s="151"/>
      <c r="R199" s="151"/>
      <c r="S199" s="152"/>
      <c r="T199" s="151"/>
      <c r="U199" s="151"/>
      <c r="V199" s="153"/>
      <c r="W199" s="151"/>
      <c r="X199" s="151"/>
      <c r="Y199" s="153"/>
      <c r="Z199" s="151"/>
      <c r="AA199" s="187" t="str">
        <f t="shared" si="7"/>
        <v>No</v>
      </c>
      <c r="AB199" s="158"/>
      <c r="AC199" s="159"/>
      <c r="AD199" s="160"/>
    </row>
    <row r="200" spans="1:30">
      <c r="A200" s="155"/>
      <c r="B200" s="112" t="str">
        <f t="shared" si="6"/>
        <v/>
      </c>
      <c r="C200" s="183"/>
      <c r="D200" s="152"/>
      <c r="E200" s="152"/>
      <c r="F200" s="151"/>
      <c r="G200" s="153"/>
      <c r="H200" s="151"/>
      <c r="I200" s="151"/>
      <c r="J200" s="151"/>
      <c r="K200" s="151"/>
      <c r="L200" s="151"/>
      <c r="M200" s="151"/>
      <c r="N200" s="151"/>
      <c r="O200" s="151"/>
      <c r="P200" s="151"/>
      <c r="Q200" s="151"/>
      <c r="R200" s="151"/>
      <c r="S200" s="152"/>
      <c r="T200" s="151"/>
      <c r="U200" s="151"/>
      <c r="V200" s="153"/>
      <c r="W200" s="151"/>
      <c r="X200" s="151"/>
      <c r="Y200" s="153"/>
      <c r="Z200" s="151"/>
      <c r="AA200" s="187" t="str">
        <f t="shared" si="7"/>
        <v>No</v>
      </c>
      <c r="AB200" s="158"/>
      <c r="AC200" s="159"/>
      <c r="AD200" s="160"/>
    </row>
    <row r="201" spans="1:30">
      <c r="A201" s="155"/>
      <c r="B201" s="112" t="str">
        <f t="shared" si="6"/>
        <v/>
      </c>
      <c r="C201" s="183"/>
      <c r="D201" s="152"/>
      <c r="E201" s="152"/>
      <c r="F201" s="151"/>
      <c r="G201" s="153"/>
      <c r="H201" s="151"/>
      <c r="I201" s="151"/>
      <c r="J201" s="151"/>
      <c r="K201" s="151"/>
      <c r="L201" s="151"/>
      <c r="M201" s="151"/>
      <c r="N201" s="151"/>
      <c r="O201" s="151"/>
      <c r="P201" s="151"/>
      <c r="Q201" s="151"/>
      <c r="R201" s="151"/>
      <c r="S201" s="152"/>
      <c r="T201" s="151"/>
      <c r="U201" s="151"/>
      <c r="V201" s="153"/>
      <c r="W201" s="151"/>
      <c r="X201" s="151"/>
      <c r="Y201" s="153"/>
      <c r="Z201" s="151"/>
      <c r="AA201" s="187" t="str">
        <f t="shared" si="7"/>
        <v>No</v>
      </c>
      <c r="AB201" s="158"/>
      <c r="AC201" s="159"/>
      <c r="AD201" s="160"/>
    </row>
    <row r="202" spans="1:30">
      <c r="A202" s="155"/>
      <c r="B202" s="112" t="str">
        <f t="shared" si="6"/>
        <v/>
      </c>
      <c r="C202" s="183"/>
      <c r="D202" s="152"/>
      <c r="E202" s="152"/>
      <c r="F202" s="151"/>
      <c r="G202" s="153"/>
      <c r="H202" s="151"/>
      <c r="I202" s="151"/>
      <c r="J202" s="151"/>
      <c r="K202" s="151"/>
      <c r="L202" s="151"/>
      <c r="M202" s="151"/>
      <c r="N202" s="151"/>
      <c r="O202" s="151"/>
      <c r="P202" s="151"/>
      <c r="Q202" s="151"/>
      <c r="R202" s="151"/>
      <c r="S202" s="152"/>
      <c r="T202" s="151"/>
      <c r="U202" s="151"/>
      <c r="V202" s="153"/>
      <c r="W202" s="151"/>
      <c r="X202" s="151"/>
      <c r="Y202" s="153"/>
      <c r="Z202" s="151"/>
      <c r="AA202" s="187" t="str">
        <f t="shared" si="7"/>
        <v>No</v>
      </c>
      <c r="AB202" s="158"/>
      <c r="AC202" s="159"/>
      <c r="AD202" s="160"/>
    </row>
    <row r="203" spans="1:30">
      <c r="A203" s="155"/>
      <c r="B203" s="112" t="str">
        <f t="shared" si="6"/>
        <v/>
      </c>
      <c r="C203" s="183"/>
      <c r="D203" s="152"/>
      <c r="E203" s="152"/>
      <c r="F203" s="151"/>
      <c r="G203" s="153"/>
      <c r="H203" s="151"/>
      <c r="I203" s="151"/>
      <c r="J203" s="151"/>
      <c r="K203" s="151"/>
      <c r="L203" s="151"/>
      <c r="M203" s="151"/>
      <c r="N203" s="151"/>
      <c r="O203" s="151"/>
      <c r="P203" s="151"/>
      <c r="Q203" s="151"/>
      <c r="R203" s="151"/>
      <c r="S203" s="152"/>
      <c r="T203" s="151"/>
      <c r="U203" s="151"/>
      <c r="V203" s="153"/>
      <c r="W203" s="151"/>
      <c r="X203" s="151"/>
      <c r="Y203" s="153"/>
      <c r="Z203" s="151"/>
      <c r="AA203" s="187" t="str">
        <f t="shared" si="7"/>
        <v>No</v>
      </c>
      <c r="AB203" s="158"/>
      <c r="AC203" s="159"/>
      <c r="AD203" s="160"/>
    </row>
    <row r="204" spans="1:30">
      <c r="A204" s="155"/>
      <c r="B204" s="112" t="str">
        <f t="shared" si="6"/>
        <v/>
      </c>
      <c r="C204" s="183"/>
      <c r="D204" s="152"/>
      <c r="E204" s="152"/>
      <c r="F204" s="151"/>
      <c r="G204" s="153"/>
      <c r="H204" s="151"/>
      <c r="I204" s="151"/>
      <c r="J204" s="151"/>
      <c r="K204" s="151"/>
      <c r="L204" s="151"/>
      <c r="M204" s="151"/>
      <c r="N204" s="151"/>
      <c r="O204" s="151"/>
      <c r="P204" s="151"/>
      <c r="Q204" s="151"/>
      <c r="R204" s="151"/>
      <c r="S204" s="152"/>
      <c r="T204" s="151"/>
      <c r="U204" s="151"/>
      <c r="V204" s="153"/>
      <c r="W204" s="151"/>
      <c r="X204" s="151"/>
      <c r="Y204" s="153"/>
      <c r="Z204" s="151"/>
      <c r="AA204" s="187" t="str">
        <f t="shared" si="7"/>
        <v>No</v>
      </c>
      <c r="AB204" s="158"/>
      <c r="AC204" s="159"/>
      <c r="AD204" s="160"/>
    </row>
    <row r="205" spans="1:30">
      <c r="A205" s="155"/>
      <c r="B205" s="112" t="str">
        <f t="shared" si="6"/>
        <v/>
      </c>
      <c r="C205" s="183"/>
      <c r="D205" s="152"/>
      <c r="E205" s="152"/>
      <c r="F205" s="151"/>
      <c r="G205" s="153"/>
      <c r="H205" s="151"/>
      <c r="I205" s="151"/>
      <c r="J205" s="151"/>
      <c r="K205" s="151"/>
      <c r="L205" s="151"/>
      <c r="M205" s="151"/>
      <c r="N205" s="151"/>
      <c r="O205" s="151"/>
      <c r="P205" s="151"/>
      <c r="Q205" s="151"/>
      <c r="R205" s="151"/>
      <c r="S205" s="152"/>
      <c r="T205" s="151"/>
      <c r="U205" s="151"/>
      <c r="V205" s="153"/>
      <c r="W205" s="151"/>
      <c r="X205" s="151"/>
      <c r="Y205" s="153"/>
      <c r="Z205" s="151"/>
      <c r="AA205" s="187" t="str">
        <f t="shared" si="7"/>
        <v>No</v>
      </c>
      <c r="AB205" s="158"/>
      <c r="AC205" s="159"/>
      <c r="AD205" s="160"/>
    </row>
    <row r="206" spans="1:30">
      <c r="A206" s="155"/>
      <c r="B206" s="112" t="str">
        <f t="shared" si="6"/>
        <v/>
      </c>
      <c r="C206" s="183"/>
      <c r="D206" s="152"/>
      <c r="E206" s="152"/>
      <c r="F206" s="151"/>
      <c r="G206" s="153"/>
      <c r="H206" s="151"/>
      <c r="I206" s="151"/>
      <c r="J206" s="151"/>
      <c r="K206" s="151"/>
      <c r="L206" s="151"/>
      <c r="M206" s="151"/>
      <c r="N206" s="151"/>
      <c r="O206" s="151"/>
      <c r="P206" s="151"/>
      <c r="Q206" s="151"/>
      <c r="R206" s="151"/>
      <c r="S206" s="152"/>
      <c r="T206" s="151"/>
      <c r="U206" s="151"/>
      <c r="V206" s="153"/>
      <c r="W206" s="151"/>
      <c r="X206" s="151"/>
      <c r="Y206" s="153"/>
      <c r="Z206" s="151"/>
      <c r="AA206" s="187" t="str">
        <f t="shared" si="7"/>
        <v>No</v>
      </c>
      <c r="AB206" s="158"/>
      <c r="AC206" s="159"/>
      <c r="AD206" s="160"/>
    </row>
    <row r="207" spans="1:30">
      <c r="A207" s="155"/>
      <c r="B207" s="112" t="str">
        <f t="shared" si="6"/>
        <v/>
      </c>
      <c r="C207" s="183"/>
      <c r="D207" s="152"/>
      <c r="E207" s="152"/>
      <c r="F207" s="151"/>
      <c r="G207" s="153"/>
      <c r="H207" s="151"/>
      <c r="I207" s="151"/>
      <c r="J207" s="151"/>
      <c r="K207" s="151"/>
      <c r="L207" s="151"/>
      <c r="M207" s="151"/>
      <c r="N207" s="151"/>
      <c r="O207" s="151"/>
      <c r="P207" s="151"/>
      <c r="Q207" s="151"/>
      <c r="R207" s="151"/>
      <c r="S207" s="152"/>
      <c r="T207" s="151"/>
      <c r="U207" s="151"/>
      <c r="V207" s="153"/>
      <c r="W207" s="151"/>
      <c r="X207" s="151"/>
      <c r="Y207" s="153"/>
      <c r="Z207" s="151"/>
      <c r="AA207" s="187" t="str">
        <f t="shared" si="7"/>
        <v>No</v>
      </c>
      <c r="AB207" s="158"/>
      <c r="AC207" s="159"/>
      <c r="AD207" s="160"/>
    </row>
    <row r="208" spans="1:30">
      <c r="A208" s="155"/>
      <c r="B208" s="112" t="str">
        <f t="shared" si="6"/>
        <v/>
      </c>
      <c r="C208" s="183"/>
      <c r="D208" s="152"/>
      <c r="E208" s="152"/>
      <c r="F208" s="151"/>
      <c r="G208" s="153"/>
      <c r="H208" s="151"/>
      <c r="I208" s="151"/>
      <c r="J208" s="151"/>
      <c r="K208" s="151"/>
      <c r="L208" s="151"/>
      <c r="M208" s="151"/>
      <c r="N208" s="151"/>
      <c r="O208" s="151"/>
      <c r="P208" s="151"/>
      <c r="Q208" s="151"/>
      <c r="R208" s="151"/>
      <c r="S208" s="152"/>
      <c r="T208" s="151"/>
      <c r="U208" s="151"/>
      <c r="V208" s="153"/>
      <c r="W208" s="151"/>
      <c r="X208" s="151"/>
      <c r="Y208" s="153"/>
      <c r="Z208" s="151"/>
      <c r="AA208" s="187" t="str">
        <f t="shared" si="7"/>
        <v>No</v>
      </c>
      <c r="AB208" s="158"/>
      <c r="AC208" s="159"/>
      <c r="AD208" s="160"/>
    </row>
    <row r="209" spans="1:30">
      <c r="A209" s="155"/>
      <c r="B209" s="112" t="str">
        <f t="shared" si="6"/>
        <v/>
      </c>
      <c r="C209" s="183"/>
      <c r="D209" s="152"/>
      <c r="E209" s="152"/>
      <c r="F209" s="151"/>
      <c r="G209" s="153"/>
      <c r="H209" s="151"/>
      <c r="I209" s="151"/>
      <c r="J209" s="151"/>
      <c r="K209" s="151"/>
      <c r="L209" s="151"/>
      <c r="M209" s="151"/>
      <c r="N209" s="151"/>
      <c r="O209" s="151"/>
      <c r="P209" s="151"/>
      <c r="Q209" s="151"/>
      <c r="R209" s="151"/>
      <c r="S209" s="152"/>
      <c r="T209" s="151"/>
      <c r="U209" s="151"/>
      <c r="V209" s="153"/>
      <c r="W209" s="151"/>
      <c r="X209" s="151"/>
      <c r="Y209" s="153"/>
      <c r="Z209" s="151"/>
      <c r="AA209" s="187" t="str">
        <f t="shared" si="7"/>
        <v>No</v>
      </c>
      <c r="AB209" s="158"/>
      <c r="AC209" s="159"/>
      <c r="AD209" s="160"/>
    </row>
    <row r="210" spans="1:30">
      <c r="A210" s="155"/>
      <c r="B210" s="112" t="str">
        <f t="shared" si="6"/>
        <v/>
      </c>
      <c r="C210" s="183"/>
      <c r="D210" s="152"/>
      <c r="E210" s="152"/>
      <c r="F210" s="151"/>
      <c r="G210" s="153"/>
      <c r="H210" s="151"/>
      <c r="I210" s="151"/>
      <c r="J210" s="151"/>
      <c r="K210" s="151"/>
      <c r="L210" s="151"/>
      <c r="M210" s="151"/>
      <c r="N210" s="151"/>
      <c r="O210" s="151"/>
      <c r="P210" s="151"/>
      <c r="Q210" s="151"/>
      <c r="R210" s="151"/>
      <c r="S210" s="152"/>
      <c r="T210" s="151"/>
      <c r="U210" s="151"/>
      <c r="V210" s="153"/>
      <c r="W210" s="151"/>
      <c r="X210" s="151"/>
      <c r="Y210" s="153"/>
      <c r="Z210" s="151"/>
      <c r="AA210" s="187" t="str">
        <f t="shared" si="7"/>
        <v>No</v>
      </c>
      <c r="AB210" s="158"/>
      <c r="AC210" s="159"/>
      <c r="AD210" s="160"/>
    </row>
    <row r="211" spans="1:30">
      <c r="A211" s="155"/>
      <c r="B211" s="112" t="str">
        <f t="shared" si="6"/>
        <v/>
      </c>
      <c r="C211" s="183"/>
      <c r="D211" s="152"/>
      <c r="E211" s="152"/>
      <c r="F211" s="151"/>
      <c r="G211" s="153"/>
      <c r="H211" s="151"/>
      <c r="I211" s="151"/>
      <c r="J211" s="151"/>
      <c r="K211" s="151"/>
      <c r="L211" s="151"/>
      <c r="M211" s="151"/>
      <c r="N211" s="151"/>
      <c r="O211" s="151"/>
      <c r="P211" s="151"/>
      <c r="Q211" s="151"/>
      <c r="R211" s="151"/>
      <c r="S211" s="152"/>
      <c r="T211" s="151"/>
      <c r="U211" s="151"/>
      <c r="V211" s="153"/>
      <c r="W211" s="151"/>
      <c r="X211" s="151"/>
      <c r="Y211" s="153"/>
      <c r="Z211" s="151"/>
      <c r="AA211" s="187" t="str">
        <f t="shared" si="7"/>
        <v>No</v>
      </c>
      <c r="AB211" s="158"/>
      <c r="AC211" s="159"/>
      <c r="AD211" s="160"/>
    </row>
    <row r="212" spans="1:30">
      <c r="A212" s="155"/>
      <c r="B212" s="112" t="str">
        <f t="shared" si="6"/>
        <v/>
      </c>
      <c r="C212" s="183"/>
      <c r="D212" s="152"/>
      <c r="E212" s="152"/>
      <c r="F212" s="151"/>
      <c r="G212" s="153"/>
      <c r="H212" s="151"/>
      <c r="I212" s="151"/>
      <c r="J212" s="151"/>
      <c r="K212" s="151"/>
      <c r="L212" s="151"/>
      <c r="M212" s="151"/>
      <c r="N212" s="151"/>
      <c r="O212" s="151"/>
      <c r="P212" s="151"/>
      <c r="Q212" s="151"/>
      <c r="R212" s="151"/>
      <c r="S212" s="152"/>
      <c r="T212" s="151"/>
      <c r="U212" s="151"/>
      <c r="V212" s="153"/>
      <c r="W212" s="151"/>
      <c r="X212" s="151"/>
      <c r="Y212" s="153"/>
      <c r="Z212" s="151"/>
      <c r="AA212" s="187" t="str">
        <f t="shared" si="7"/>
        <v>No</v>
      </c>
      <c r="AB212" s="158"/>
      <c r="AC212" s="159"/>
      <c r="AD212" s="160"/>
    </row>
    <row r="213" spans="1:30">
      <c r="A213" s="155"/>
      <c r="B213" s="112" t="str">
        <f t="shared" si="6"/>
        <v/>
      </c>
      <c r="C213" s="183"/>
      <c r="D213" s="152"/>
      <c r="E213" s="152"/>
      <c r="F213" s="151"/>
      <c r="G213" s="153"/>
      <c r="H213" s="151"/>
      <c r="I213" s="151"/>
      <c r="J213" s="151"/>
      <c r="K213" s="151"/>
      <c r="L213" s="151"/>
      <c r="M213" s="151"/>
      <c r="N213" s="151"/>
      <c r="O213" s="151"/>
      <c r="P213" s="151"/>
      <c r="Q213" s="151"/>
      <c r="R213" s="151"/>
      <c r="S213" s="152"/>
      <c r="T213" s="151"/>
      <c r="U213" s="151"/>
      <c r="V213" s="153"/>
      <c r="W213" s="151"/>
      <c r="X213" s="151"/>
      <c r="Y213" s="153"/>
      <c r="Z213" s="151"/>
      <c r="AA213" s="187" t="str">
        <f t="shared" si="7"/>
        <v>No</v>
      </c>
      <c r="AB213" s="158"/>
      <c r="AC213" s="159"/>
      <c r="AD213" s="160"/>
    </row>
    <row r="214" spans="1:30">
      <c r="A214" s="155"/>
      <c r="B214" s="112" t="str">
        <f t="shared" si="6"/>
        <v/>
      </c>
      <c r="C214" s="183"/>
      <c r="D214" s="152"/>
      <c r="E214" s="152"/>
      <c r="F214" s="151"/>
      <c r="G214" s="153"/>
      <c r="H214" s="151"/>
      <c r="I214" s="151"/>
      <c r="J214" s="151"/>
      <c r="K214" s="151"/>
      <c r="L214" s="151"/>
      <c r="M214" s="151"/>
      <c r="N214" s="151"/>
      <c r="O214" s="151"/>
      <c r="P214" s="151"/>
      <c r="Q214" s="151"/>
      <c r="R214" s="151"/>
      <c r="S214" s="152"/>
      <c r="T214" s="151"/>
      <c r="U214" s="151"/>
      <c r="V214" s="153"/>
      <c r="W214" s="151"/>
      <c r="X214" s="151"/>
      <c r="Y214" s="153"/>
      <c r="Z214" s="151"/>
      <c r="AA214" s="187" t="str">
        <f t="shared" si="7"/>
        <v>No</v>
      </c>
      <c r="AB214" s="158"/>
      <c r="AC214" s="159"/>
      <c r="AD214" s="160"/>
    </row>
    <row r="215" spans="1:30">
      <c r="A215" s="155"/>
      <c r="B215" s="112" t="str">
        <f t="shared" si="6"/>
        <v/>
      </c>
      <c r="C215" s="183"/>
      <c r="D215" s="152"/>
      <c r="E215" s="152"/>
      <c r="F215" s="151"/>
      <c r="G215" s="153"/>
      <c r="H215" s="151"/>
      <c r="I215" s="151"/>
      <c r="J215" s="151"/>
      <c r="K215" s="151"/>
      <c r="L215" s="151"/>
      <c r="M215" s="151"/>
      <c r="N215" s="151"/>
      <c r="O215" s="151"/>
      <c r="P215" s="151"/>
      <c r="Q215" s="151"/>
      <c r="R215" s="151"/>
      <c r="S215" s="152"/>
      <c r="T215" s="151"/>
      <c r="U215" s="151"/>
      <c r="V215" s="153"/>
      <c r="W215" s="151"/>
      <c r="X215" s="151"/>
      <c r="Y215" s="153"/>
      <c r="Z215" s="151"/>
      <c r="AA215" s="187" t="str">
        <f t="shared" si="7"/>
        <v>No</v>
      </c>
      <c r="AB215" s="158"/>
      <c r="AC215" s="159"/>
      <c r="AD215" s="160"/>
    </row>
    <row r="216" spans="1:30">
      <c r="A216" s="155"/>
      <c r="B216" s="112" t="str">
        <f t="shared" si="6"/>
        <v/>
      </c>
      <c r="C216" s="183"/>
      <c r="D216" s="152"/>
      <c r="E216" s="152"/>
      <c r="F216" s="151"/>
      <c r="G216" s="153"/>
      <c r="H216" s="151"/>
      <c r="I216" s="151"/>
      <c r="J216" s="151"/>
      <c r="K216" s="151"/>
      <c r="L216" s="151"/>
      <c r="M216" s="151"/>
      <c r="N216" s="151"/>
      <c r="O216" s="151"/>
      <c r="P216" s="151"/>
      <c r="Q216" s="151"/>
      <c r="R216" s="151"/>
      <c r="S216" s="152"/>
      <c r="T216" s="151"/>
      <c r="U216" s="151"/>
      <c r="V216" s="153"/>
      <c r="W216" s="151"/>
      <c r="X216" s="151"/>
      <c r="Y216" s="153"/>
      <c r="Z216" s="151"/>
      <c r="AA216" s="187" t="str">
        <f t="shared" si="7"/>
        <v>No</v>
      </c>
      <c r="AB216" s="158"/>
      <c r="AC216" s="159"/>
      <c r="AD216" s="160"/>
    </row>
    <row r="217" spans="1:30">
      <c r="A217" s="155"/>
      <c r="B217" s="112" t="str">
        <f t="shared" si="6"/>
        <v/>
      </c>
      <c r="C217" s="183"/>
      <c r="D217" s="152"/>
      <c r="E217" s="152"/>
      <c r="F217" s="151"/>
      <c r="G217" s="153"/>
      <c r="H217" s="151"/>
      <c r="I217" s="151"/>
      <c r="J217" s="151"/>
      <c r="K217" s="151"/>
      <c r="L217" s="151"/>
      <c r="M217" s="151"/>
      <c r="N217" s="151"/>
      <c r="O217" s="151"/>
      <c r="P217" s="151"/>
      <c r="Q217" s="151"/>
      <c r="R217" s="151"/>
      <c r="S217" s="152"/>
      <c r="T217" s="151"/>
      <c r="U217" s="151"/>
      <c r="V217" s="153"/>
      <c r="W217" s="151"/>
      <c r="X217" s="151"/>
      <c r="Y217" s="153"/>
      <c r="Z217" s="151"/>
      <c r="AA217" s="187" t="str">
        <f t="shared" si="7"/>
        <v>No</v>
      </c>
      <c r="AB217" s="158"/>
      <c r="AC217" s="159"/>
      <c r="AD217" s="160"/>
    </row>
    <row r="218" spans="1:30">
      <c r="A218" s="155"/>
      <c r="B218" s="112" t="str">
        <f t="shared" si="6"/>
        <v/>
      </c>
      <c r="C218" s="183"/>
      <c r="D218" s="152"/>
      <c r="E218" s="152"/>
      <c r="F218" s="151"/>
      <c r="G218" s="153"/>
      <c r="H218" s="151"/>
      <c r="I218" s="151"/>
      <c r="J218" s="151"/>
      <c r="K218" s="151"/>
      <c r="L218" s="151"/>
      <c r="M218" s="151"/>
      <c r="N218" s="151"/>
      <c r="O218" s="151"/>
      <c r="P218" s="151"/>
      <c r="Q218" s="151"/>
      <c r="R218" s="151"/>
      <c r="S218" s="152"/>
      <c r="T218" s="151"/>
      <c r="U218" s="151"/>
      <c r="V218" s="153"/>
      <c r="W218" s="151"/>
      <c r="X218" s="151"/>
      <c r="Y218" s="153"/>
      <c r="Z218" s="151"/>
      <c r="AA218" s="187" t="str">
        <f t="shared" si="7"/>
        <v>No</v>
      </c>
      <c r="AB218" s="158"/>
      <c r="AC218" s="159"/>
      <c r="AD218" s="160"/>
    </row>
    <row r="219" spans="1:30">
      <c r="A219" s="155"/>
      <c r="B219" s="112" t="str">
        <f t="shared" si="6"/>
        <v/>
      </c>
      <c r="C219" s="183"/>
      <c r="D219" s="152"/>
      <c r="E219" s="152"/>
      <c r="F219" s="151"/>
      <c r="G219" s="153"/>
      <c r="H219" s="151"/>
      <c r="I219" s="151"/>
      <c r="J219" s="151"/>
      <c r="K219" s="151"/>
      <c r="L219" s="151"/>
      <c r="M219" s="151"/>
      <c r="N219" s="151"/>
      <c r="O219" s="151"/>
      <c r="P219" s="151"/>
      <c r="Q219" s="151"/>
      <c r="R219" s="151"/>
      <c r="S219" s="152"/>
      <c r="T219" s="151"/>
      <c r="U219" s="151"/>
      <c r="V219" s="153"/>
      <c r="W219" s="151"/>
      <c r="X219" s="151"/>
      <c r="Y219" s="153"/>
      <c r="Z219" s="151"/>
      <c r="AA219" s="187" t="str">
        <f t="shared" si="7"/>
        <v>No</v>
      </c>
      <c r="AB219" s="158"/>
      <c r="AC219" s="159"/>
      <c r="AD219" s="160"/>
    </row>
    <row r="220" spans="1:30">
      <c r="A220" s="155"/>
      <c r="B220" s="112" t="str">
        <f t="shared" si="6"/>
        <v/>
      </c>
      <c r="C220" s="183"/>
      <c r="D220" s="152"/>
      <c r="E220" s="152"/>
      <c r="F220" s="151"/>
      <c r="G220" s="153"/>
      <c r="H220" s="151"/>
      <c r="I220" s="151"/>
      <c r="J220" s="151"/>
      <c r="K220" s="151"/>
      <c r="L220" s="151"/>
      <c r="M220" s="151"/>
      <c r="N220" s="151"/>
      <c r="O220" s="151"/>
      <c r="P220" s="151"/>
      <c r="Q220" s="151"/>
      <c r="R220" s="151"/>
      <c r="S220" s="152"/>
      <c r="T220" s="151"/>
      <c r="U220" s="151"/>
      <c r="V220" s="153"/>
      <c r="W220" s="151"/>
      <c r="X220" s="151"/>
      <c r="Y220" s="153"/>
      <c r="Z220" s="151"/>
      <c r="AA220" s="187" t="str">
        <f t="shared" si="7"/>
        <v>No</v>
      </c>
      <c r="AB220" s="158"/>
      <c r="AC220" s="159"/>
      <c r="AD220" s="160"/>
    </row>
    <row r="221" spans="1:30">
      <c r="A221" s="155"/>
      <c r="B221" s="112" t="str">
        <f t="shared" si="6"/>
        <v/>
      </c>
      <c r="C221" s="183"/>
      <c r="D221" s="152"/>
      <c r="E221" s="152"/>
      <c r="F221" s="151"/>
      <c r="G221" s="153"/>
      <c r="H221" s="151"/>
      <c r="I221" s="151"/>
      <c r="J221" s="151"/>
      <c r="K221" s="151"/>
      <c r="L221" s="151"/>
      <c r="M221" s="151"/>
      <c r="N221" s="151"/>
      <c r="O221" s="151"/>
      <c r="P221" s="151"/>
      <c r="Q221" s="151"/>
      <c r="R221" s="151"/>
      <c r="S221" s="152"/>
      <c r="T221" s="151"/>
      <c r="U221" s="151"/>
      <c r="V221" s="153"/>
      <c r="W221" s="151"/>
      <c r="X221" s="151"/>
      <c r="Y221" s="153"/>
      <c r="Z221" s="151"/>
      <c r="AA221" s="187" t="str">
        <f t="shared" si="7"/>
        <v>No</v>
      </c>
      <c r="AB221" s="158"/>
      <c r="AC221" s="159"/>
      <c r="AD221" s="160"/>
    </row>
    <row r="222" spans="1:30">
      <c r="A222" s="155"/>
      <c r="B222" s="112" t="str">
        <f t="shared" si="6"/>
        <v/>
      </c>
      <c r="C222" s="183"/>
      <c r="D222" s="152"/>
      <c r="E222" s="152"/>
      <c r="F222" s="151"/>
      <c r="G222" s="153"/>
      <c r="H222" s="151"/>
      <c r="I222" s="151"/>
      <c r="J222" s="151"/>
      <c r="K222" s="151"/>
      <c r="L222" s="151"/>
      <c r="M222" s="151"/>
      <c r="N222" s="151"/>
      <c r="O222" s="151"/>
      <c r="P222" s="151"/>
      <c r="Q222" s="151"/>
      <c r="R222" s="151"/>
      <c r="S222" s="152"/>
      <c r="T222" s="151"/>
      <c r="U222" s="151"/>
      <c r="V222" s="153"/>
      <c r="W222" s="151"/>
      <c r="X222" s="151"/>
      <c r="Y222" s="153"/>
      <c r="Z222" s="151"/>
      <c r="AA222" s="187" t="str">
        <f t="shared" si="7"/>
        <v>No</v>
      </c>
      <c r="AB222" s="158"/>
      <c r="AC222" s="159"/>
      <c r="AD222" s="160"/>
    </row>
    <row r="223" spans="1:30">
      <c r="A223" s="155"/>
      <c r="B223" s="112" t="str">
        <f t="shared" si="6"/>
        <v/>
      </c>
      <c r="C223" s="183"/>
      <c r="D223" s="152"/>
      <c r="E223" s="152"/>
      <c r="F223" s="151"/>
      <c r="G223" s="153"/>
      <c r="H223" s="151"/>
      <c r="I223" s="151"/>
      <c r="J223" s="151"/>
      <c r="K223" s="151"/>
      <c r="L223" s="151"/>
      <c r="M223" s="151"/>
      <c r="N223" s="151"/>
      <c r="O223" s="151"/>
      <c r="P223" s="151"/>
      <c r="Q223" s="151"/>
      <c r="R223" s="151"/>
      <c r="S223" s="152"/>
      <c r="T223" s="151"/>
      <c r="U223" s="151"/>
      <c r="V223" s="153"/>
      <c r="W223" s="151"/>
      <c r="X223" s="151"/>
      <c r="Y223" s="153"/>
      <c r="Z223" s="151"/>
      <c r="AA223" s="187" t="str">
        <f t="shared" si="7"/>
        <v>No</v>
      </c>
      <c r="AB223" s="158"/>
      <c r="AC223" s="159"/>
      <c r="AD223" s="160"/>
    </row>
    <row r="224" spans="1:30">
      <c r="A224" s="155"/>
      <c r="B224" s="112" t="str">
        <f t="shared" si="6"/>
        <v/>
      </c>
      <c r="C224" s="183"/>
      <c r="D224" s="152"/>
      <c r="E224" s="152"/>
      <c r="F224" s="151"/>
      <c r="G224" s="153"/>
      <c r="H224" s="151"/>
      <c r="I224" s="151"/>
      <c r="J224" s="151"/>
      <c r="K224" s="151"/>
      <c r="L224" s="151"/>
      <c r="M224" s="151"/>
      <c r="N224" s="151"/>
      <c r="O224" s="151"/>
      <c r="P224" s="151"/>
      <c r="Q224" s="151"/>
      <c r="R224" s="151"/>
      <c r="S224" s="152"/>
      <c r="T224" s="151"/>
      <c r="U224" s="151"/>
      <c r="V224" s="153"/>
      <c r="W224" s="151"/>
      <c r="X224" s="151"/>
      <c r="Y224" s="153"/>
      <c r="Z224" s="151"/>
      <c r="AA224" s="187" t="str">
        <f t="shared" si="7"/>
        <v>No</v>
      </c>
      <c r="AB224" s="158"/>
      <c r="AC224" s="159"/>
      <c r="AD224" s="160"/>
    </row>
    <row r="225" spans="1:30">
      <c r="A225" s="155"/>
      <c r="B225" s="112" t="str">
        <f t="shared" si="6"/>
        <v/>
      </c>
      <c r="C225" s="183"/>
      <c r="D225" s="152"/>
      <c r="E225" s="152"/>
      <c r="F225" s="151"/>
      <c r="G225" s="153"/>
      <c r="H225" s="151"/>
      <c r="I225" s="151"/>
      <c r="J225" s="151"/>
      <c r="K225" s="151"/>
      <c r="L225" s="151"/>
      <c r="M225" s="151"/>
      <c r="N225" s="151"/>
      <c r="O225" s="151"/>
      <c r="P225" s="151"/>
      <c r="Q225" s="151"/>
      <c r="R225" s="151"/>
      <c r="S225" s="152"/>
      <c r="T225" s="151"/>
      <c r="U225" s="151"/>
      <c r="V225" s="153"/>
      <c r="W225" s="151"/>
      <c r="X225" s="151"/>
      <c r="Y225" s="153"/>
      <c r="Z225" s="151"/>
      <c r="AA225" s="187" t="str">
        <f t="shared" si="7"/>
        <v>No</v>
      </c>
      <c r="AB225" s="158"/>
      <c r="AC225" s="159"/>
      <c r="AD225" s="160"/>
    </row>
    <row r="226" spans="1:30">
      <c r="A226" s="155"/>
      <c r="B226" s="112" t="str">
        <f t="shared" si="6"/>
        <v/>
      </c>
      <c r="C226" s="183"/>
      <c r="D226" s="152"/>
      <c r="E226" s="152"/>
      <c r="F226" s="151"/>
      <c r="G226" s="153"/>
      <c r="H226" s="151"/>
      <c r="I226" s="151"/>
      <c r="J226" s="151"/>
      <c r="K226" s="151"/>
      <c r="L226" s="151"/>
      <c r="M226" s="151"/>
      <c r="N226" s="151"/>
      <c r="O226" s="151"/>
      <c r="P226" s="151"/>
      <c r="Q226" s="151"/>
      <c r="R226" s="151"/>
      <c r="S226" s="152"/>
      <c r="T226" s="151"/>
      <c r="U226" s="151"/>
      <c r="V226" s="153"/>
      <c r="W226" s="151"/>
      <c r="X226" s="151"/>
      <c r="Y226" s="153"/>
      <c r="Z226" s="151"/>
      <c r="AA226" s="187" t="str">
        <f t="shared" si="7"/>
        <v>No</v>
      </c>
      <c r="AB226" s="158"/>
      <c r="AC226" s="159"/>
      <c r="AD226" s="160"/>
    </row>
    <row r="227" spans="1:30">
      <c r="A227" s="155"/>
      <c r="B227" s="112" t="str">
        <f t="shared" si="6"/>
        <v/>
      </c>
      <c r="C227" s="183"/>
      <c r="D227" s="152"/>
      <c r="E227" s="152"/>
      <c r="F227" s="151"/>
      <c r="G227" s="153"/>
      <c r="H227" s="151"/>
      <c r="I227" s="151"/>
      <c r="J227" s="151"/>
      <c r="K227" s="151"/>
      <c r="L227" s="151"/>
      <c r="M227" s="151"/>
      <c r="N227" s="151"/>
      <c r="O227" s="151"/>
      <c r="P227" s="151"/>
      <c r="Q227" s="151"/>
      <c r="R227" s="151"/>
      <c r="S227" s="152"/>
      <c r="T227" s="151"/>
      <c r="U227" s="151"/>
      <c r="V227" s="153"/>
      <c r="W227" s="151"/>
      <c r="X227" s="151"/>
      <c r="Y227" s="153"/>
      <c r="Z227" s="151"/>
      <c r="AA227" s="187" t="str">
        <f t="shared" si="7"/>
        <v>No</v>
      </c>
      <c r="AB227" s="158"/>
      <c r="AC227" s="159"/>
      <c r="AD227" s="160"/>
    </row>
    <row r="228" spans="1:30">
      <c r="A228" s="155"/>
      <c r="B228" s="112" t="str">
        <f t="shared" si="6"/>
        <v/>
      </c>
      <c r="C228" s="183"/>
      <c r="D228" s="152"/>
      <c r="E228" s="152"/>
      <c r="F228" s="151"/>
      <c r="G228" s="153"/>
      <c r="H228" s="151"/>
      <c r="I228" s="151"/>
      <c r="J228" s="151"/>
      <c r="K228" s="151"/>
      <c r="L228" s="151"/>
      <c r="M228" s="151"/>
      <c r="N228" s="151"/>
      <c r="O228" s="151"/>
      <c r="P228" s="151"/>
      <c r="Q228" s="151"/>
      <c r="R228" s="151"/>
      <c r="S228" s="152"/>
      <c r="T228" s="151"/>
      <c r="U228" s="151"/>
      <c r="V228" s="153"/>
      <c r="W228" s="151"/>
      <c r="X228" s="151"/>
      <c r="Y228" s="153"/>
      <c r="Z228" s="151"/>
      <c r="AA228" s="187" t="str">
        <f t="shared" si="7"/>
        <v>No</v>
      </c>
      <c r="AB228" s="158"/>
      <c r="AC228" s="159"/>
      <c r="AD228" s="160"/>
    </row>
    <row r="229" spans="1:30">
      <c r="A229" s="155"/>
      <c r="B229" s="112" t="str">
        <f t="shared" si="6"/>
        <v/>
      </c>
      <c r="C229" s="183"/>
      <c r="D229" s="152"/>
      <c r="E229" s="152"/>
      <c r="F229" s="151"/>
      <c r="G229" s="153"/>
      <c r="H229" s="151"/>
      <c r="I229" s="151"/>
      <c r="J229" s="151"/>
      <c r="K229" s="151"/>
      <c r="L229" s="151"/>
      <c r="M229" s="151"/>
      <c r="N229" s="151"/>
      <c r="O229" s="151"/>
      <c r="P229" s="151"/>
      <c r="Q229" s="151"/>
      <c r="R229" s="151"/>
      <c r="S229" s="152"/>
      <c r="T229" s="151"/>
      <c r="U229" s="151"/>
      <c r="V229" s="153"/>
      <c r="W229" s="151"/>
      <c r="X229" s="151"/>
      <c r="Y229" s="153"/>
      <c r="Z229" s="151"/>
      <c r="AA229" s="187" t="str">
        <f t="shared" si="7"/>
        <v>No</v>
      </c>
      <c r="AB229" s="158"/>
      <c r="AC229" s="159"/>
      <c r="AD229" s="160"/>
    </row>
    <row r="230" spans="1:30">
      <c r="A230" s="155"/>
      <c r="B230" s="112" t="str">
        <f t="shared" si="6"/>
        <v/>
      </c>
      <c r="C230" s="183"/>
      <c r="D230" s="152"/>
      <c r="E230" s="152"/>
      <c r="F230" s="151"/>
      <c r="G230" s="153"/>
      <c r="H230" s="151"/>
      <c r="I230" s="151"/>
      <c r="J230" s="151"/>
      <c r="K230" s="151"/>
      <c r="L230" s="151"/>
      <c r="M230" s="151"/>
      <c r="N230" s="151"/>
      <c r="O230" s="151"/>
      <c r="P230" s="151"/>
      <c r="Q230" s="151"/>
      <c r="R230" s="151"/>
      <c r="S230" s="152"/>
      <c r="T230" s="151"/>
      <c r="U230" s="151"/>
      <c r="V230" s="153"/>
      <c r="W230" s="151"/>
      <c r="X230" s="151"/>
      <c r="Y230" s="153"/>
      <c r="Z230" s="151"/>
      <c r="AA230" s="187" t="str">
        <f t="shared" si="7"/>
        <v>No</v>
      </c>
      <c r="AB230" s="158"/>
      <c r="AC230" s="159"/>
      <c r="AD230" s="160"/>
    </row>
    <row r="231" spans="1:30">
      <c r="A231" s="155"/>
      <c r="B231" s="112" t="str">
        <f t="shared" si="6"/>
        <v/>
      </c>
      <c r="C231" s="183"/>
      <c r="D231" s="152"/>
      <c r="E231" s="152"/>
      <c r="F231" s="151"/>
      <c r="G231" s="153"/>
      <c r="H231" s="151"/>
      <c r="I231" s="151"/>
      <c r="J231" s="151"/>
      <c r="K231" s="151"/>
      <c r="L231" s="151"/>
      <c r="M231" s="151"/>
      <c r="N231" s="151"/>
      <c r="O231" s="151"/>
      <c r="P231" s="151"/>
      <c r="Q231" s="151"/>
      <c r="R231" s="151"/>
      <c r="S231" s="152"/>
      <c r="T231" s="151"/>
      <c r="U231" s="151"/>
      <c r="V231" s="153"/>
      <c r="W231" s="151"/>
      <c r="X231" s="151"/>
      <c r="Y231" s="153"/>
      <c r="Z231" s="151"/>
      <c r="AA231" s="187" t="str">
        <f t="shared" si="7"/>
        <v>No</v>
      </c>
      <c r="AB231" s="158"/>
      <c r="AC231" s="159"/>
      <c r="AD231" s="160"/>
    </row>
    <row r="232" spans="1:30">
      <c r="A232" s="155"/>
      <c r="B232" s="112" t="str">
        <f t="shared" si="6"/>
        <v/>
      </c>
      <c r="C232" s="183"/>
      <c r="D232" s="152"/>
      <c r="E232" s="152"/>
      <c r="F232" s="151"/>
      <c r="G232" s="153"/>
      <c r="H232" s="151"/>
      <c r="I232" s="151"/>
      <c r="J232" s="151"/>
      <c r="K232" s="151"/>
      <c r="L232" s="151"/>
      <c r="M232" s="151"/>
      <c r="N232" s="151"/>
      <c r="O232" s="151"/>
      <c r="P232" s="151"/>
      <c r="Q232" s="151"/>
      <c r="R232" s="151"/>
      <c r="S232" s="152"/>
      <c r="T232" s="151"/>
      <c r="U232" s="151"/>
      <c r="V232" s="153"/>
      <c r="W232" s="151"/>
      <c r="X232" s="151"/>
      <c r="Y232" s="153"/>
      <c r="Z232" s="151"/>
      <c r="AA232" s="187" t="str">
        <f t="shared" si="7"/>
        <v>No</v>
      </c>
      <c r="AB232" s="158"/>
      <c r="AC232" s="159"/>
      <c r="AD232" s="160"/>
    </row>
    <row r="233" spans="1:30">
      <c r="A233" s="155"/>
      <c r="B233" s="112" t="str">
        <f t="shared" si="6"/>
        <v/>
      </c>
      <c r="C233" s="183"/>
      <c r="D233" s="152"/>
      <c r="E233" s="152"/>
      <c r="F233" s="151"/>
      <c r="G233" s="153"/>
      <c r="H233" s="151"/>
      <c r="I233" s="151"/>
      <c r="J233" s="151"/>
      <c r="K233" s="151"/>
      <c r="L233" s="151"/>
      <c r="M233" s="151"/>
      <c r="N233" s="151"/>
      <c r="O233" s="151"/>
      <c r="P233" s="151"/>
      <c r="Q233" s="151"/>
      <c r="R233" s="151"/>
      <c r="S233" s="152"/>
      <c r="T233" s="151"/>
      <c r="U233" s="151"/>
      <c r="V233" s="153"/>
      <c r="W233" s="151"/>
      <c r="X233" s="151"/>
      <c r="Y233" s="153"/>
      <c r="Z233" s="151"/>
      <c r="AA233" s="187" t="str">
        <f t="shared" si="7"/>
        <v>No</v>
      </c>
      <c r="AB233" s="158"/>
      <c r="AC233" s="159"/>
      <c r="AD233" s="160"/>
    </row>
    <row r="234" spans="1:30">
      <c r="A234" s="155"/>
      <c r="B234" s="112" t="str">
        <f t="shared" si="6"/>
        <v/>
      </c>
      <c r="C234" s="183"/>
      <c r="D234" s="152"/>
      <c r="E234" s="152"/>
      <c r="F234" s="151"/>
      <c r="G234" s="153"/>
      <c r="H234" s="151"/>
      <c r="I234" s="151"/>
      <c r="J234" s="151"/>
      <c r="K234" s="151"/>
      <c r="L234" s="151"/>
      <c r="M234" s="151"/>
      <c r="N234" s="151"/>
      <c r="O234" s="151"/>
      <c r="P234" s="151"/>
      <c r="Q234" s="151"/>
      <c r="R234" s="151"/>
      <c r="S234" s="152"/>
      <c r="T234" s="151"/>
      <c r="U234" s="151"/>
      <c r="V234" s="153"/>
      <c r="W234" s="151"/>
      <c r="X234" s="151"/>
      <c r="Y234" s="153"/>
      <c r="Z234" s="151"/>
      <c r="AA234" s="187" t="str">
        <f t="shared" si="7"/>
        <v>No</v>
      </c>
      <c r="AB234" s="158"/>
      <c r="AC234" s="159"/>
      <c r="AD234" s="160"/>
    </row>
    <row r="235" spans="1:30">
      <c r="A235" s="155"/>
      <c r="B235" s="112" t="str">
        <f t="shared" si="6"/>
        <v/>
      </c>
      <c r="C235" s="183"/>
      <c r="D235" s="152"/>
      <c r="E235" s="152"/>
      <c r="F235" s="151"/>
      <c r="G235" s="153"/>
      <c r="H235" s="151"/>
      <c r="I235" s="151"/>
      <c r="J235" s="151"/>
      <c r="K235" s="151"/>
      <c r="L235" s="151"/>
      <c r="M235" s="151"/>
      <c r="N235" s="151"/>
      <c r="O235" s="151"/>
      <c r="P235" s="151"/>
      <c r="Q235" s="151"/>
      <c r="R235" s="151"/>
      <c r="S235" s="152"/>
      <c r="T235" s="151"/>
      <c r="U235" s="151"/>
      <c r="V235" s="153"/>
      <c r="W235" s="151"/>
      <c r="X235" s="151"/>
      <c r="Y235" s="153"/>
      <c r="Z235" s="151"/>
      <c r="AA235" s="187" t="str">
        <f t="shared" si="7"/>
        <v>No</v>
      </c>
      <c r="AB235" s="158"/>
      <c r="AC235" s="159"/>
      <c r="AD235" s="160"/>
    </row>
    <row r="236" spans="1:30">
      <c r="A236" s="155"/>
      <c r="B236" s="112" t="str">
        <f t="shared" si="6"/>
        <v/>
      </c>
      <c r="C236" s="183"/>
      <c r="D236" s="152"/>
      <c r="E236" s="152"/>
      <c r="F236" s="151"/>
      <c r="G236" s="153"/>
      <c r="H236" s="151"/>
      <c r="I236" s="151"/>
      <c r="J236" s="151"/>
      <c r="K236" s="151"/>
      <c r="L236" s="151"/>
      <c r="M236" s="151"/>
      <c r="N236" s="151"/>
      <c r="O236" s="151"/>
      <c r="P236" s="151"/>
      <c r="Q236" s="151"/>
      <c r="R236" s="151"/>
      <c r="S236" s="152"/>
      <c r="T236" s="151"/>
      <c r="U236" s="151"/>
      <c r="V236" s="153"/>
      <c r="W236" s="151"/>
      <c r="X236" s="151"/>
      <c r="Y236" s="153"/>
      <c r="Z236" s="151"/>
      <c r="AA236" s="187" t="str">
        <f t="shared" si="7"/>
        <v>No</v>
      </c>
      <c r="AB236" s="158"/>
      <c r="AC236" s="159"/>
      <c r="AD236" s="160"/>
    </row>
    <row r="237" spans="1:30">
      <c r="A237" s="155"/>
      <c r="B237" s="112" t="str">
        <f t="shared" si="6"/>
        <v/>
      </c>
      <c r="C237" s="183"/>
      <c r="D237" s="152"/>
      <c r="E237" s="152"/>
      <c r="F237" s="151"/>
      <c r="G237" s="153"/>
      <c r="H237" s="151"/>
      <c r="I237" s="151"/>
      <c r="J237" s="151"/>
      <c r="K237" s="151"/>
      <c r="L237" s="151"/>
      <c r="M237" s="151"/>
      <c r="N237" s="151"/>
      <c r="O237" s="151"/>
      <c r="P237" s="151"/>
      <c r="Q237" s="151"/>
      <c r="R237" s="151"/>
      <c r="S237" s="152"/>
      <c r="T237" s="151"/>
      <c r="U237" s="151"/>
      <c r="V237" s="153"/>
      <c r="W237" s="151"/>
      <c r="X237" s="151"/>
      <c r="Y237" s="153"/>
      <c r="Z237" s="151"/>
      <c r="AA237" s="187" t="str">
        <f t="shared" si="7"/>
        <v>No</v>
      </c>
      <c r="AB237" s="158"/>
      <c r="AC237" s="159"/>
      <c r="AD237" s="160"/>
    </row>
    <row r="238" spans="1:30">
      <c r="A238" s="155"/>
      <c r="B238" s="112" t="str">
        <f t="shared" si="6"/>
        <v/>
      </c>
      <c r="C238" s="183"/>
      <c r="D238" s="152"/>
      <c r="E238" s="152"/>
      <c r="F238" s="151"/>
      <c r="G238" s="153"/>
      <c r="H238" s="151"/>
      <c r="I238" s="151"/>
      <c r="J238" s="151"/>
      <c r="K238" s="151"/>
      <c r="L238" s="151"/>
      <c r="M238" s="151"/>
      <c r="N238" s="151"/>
      <c r="O238" s="151"/>
      <c r="P238" s="151"/>
      <c r="Q238" s="151"/>
      <c r="R238" s="151"/>
      <c r="S238" s="152"/>
      <c r="T238" s="151"/>
      <c r="U238" s="151"/>
      <c r="V238" s="153"/>
      <c r="W238" s="151"/>
      <c r="X238" s="151"/>
      <c r="Y238" s="153"/>
      <c r="Z238" s="151"/>
      <c r="AA238" s="187" t="str">
        <f t="shared" si="7"/>
        <v>No</v>
      </c>
      <c r="AB238" s="158"/>
      <c r="AC238" s="159"/>
      <c r="AD238" s="160"/>
    </row>
    <row r="239" spans="1:30">
      <c r="A239" s="155"/>
      <c r="B239" s="112" t="str">
        <f t="shared" si="6"/>
        <v/>
      </c>
      <c r="C239" s="183"/>
      <c r="D239" s="152"/>
      <c r="E239" s="152"/>
      <c r="F239" s="151"/>
      <c r="G239" s="153"/>
      <c r="H239" s="151"/>
      <c r="I239" s="151"/>
      <c r="J239" s="151"/>
      <c r="K239" s="151"/>
      <c r="L239" s="151"/>
      <c r="M239" s="151"/>
      <c r="N239" s="151"/>
      <c r="O239" s="151"/>
      <c r="P239" s="151"/>
      <c r="Q239" s="151"/>
      <c r="R239" s="151"/>
      <c r="S239" s="152"/>
      <c r="T239" s="151"/>
      <c r="U239" s="151"/>
      <c r="V239" s="153"/>
      <c r="W239" s="151"/>
      <c r="X239" s="151"/>
      <c r="Y239" s="153"/>
      <c r="Z239" s="151"/>
      <c r="AA239" s="187" t="str">
        <f t="shared" si="7"/>
        <v>No</v>
      </c>
      <c r="AB239" s="158"/>
      <c r="AC239" s="159"/>
      <c r="AD239" s="160"/>
    </row>
    <row r="240" spans="1:30">
      <c r="A240" s="155"/>
      <c r="B240" s="112" t="str">
        <f t="shared" si="6"/>
        <v/>
      </c>
      <c r="C240" s="183"/>
      <c r="D240" s="152"/>
      <c r="E240" s="152"/>
      <c r="F240" s="151"/>
      <c r="G240" s="153"/>
      <c r="H240" s="151"/>
      <c r="I240" s="151"/>
      <c r="J240" s="151"/>
      <c r="K240" s="151"/>
      <c r="L240" s="151"/>
      <c r="M240" s="151"/>
      <c r="N240" s="151"/>
      <c r="O240" s="151"/>
      <c r="P240" s="151"/>
      <c r="Q240" s="151"/>
      <c r="R240" s="151"/>
      <c r="S240" s="152"/>
      <c r="T240" s="151"/>
      <c r="U240" s="151"/>
      <c r="V240" s="153"/>
      <c r="W240" s="151"/>
      <c r="X240" s="151"/>
      <c r="Y240" s="153"/>
      <c r="Z240" s="151"/>
      <c r="AA240" s="187" t="str">
        <f t="shared" si="7"/>
        <v>No</v>
      </c>
      <c r="AB240" s="158"/>
      <c r="AC240" s="159"/>
      <c r="AD240" s="160"/>
    </row>
    <row r="241" spans="1:30">
      <c r="A241" s="155"/>
      <c r="B241" s="112" t="str">
        <f t="shared" si="6"/>
        <v/>
      </c>
      <c r="C241" s="183"/>
      <c r="D241" s="152"/>
      <c r="E241" s="152"/>
      <c r="F241" s="151"/>
      <c r="G241" s="153"/>
      <c r="H241" s="151"/>
      <c r="I241" s="151"/>
      <c r="J241" s="151"/>
      <c r="K241" s="151"/>
      <c r="L241" s="151"/>
      <c r="M241" s="151"/>
      <c r="N241" s="151"/>
      <c r="O241" s="151"/>
      <c r="P241" s="151"/>
      <c r="Q241" s="151"/>
      <c r="R241" s="151"/>
      <c r="S241" s="152"/>
      <c r="T241" s="151"/>
      <c r="U241" s="151"/>
      <c r="V241" s="153"/>
      <c r="W241" s="151"/>
      <c r="X241" s="151"/>
      <c r="Y241" s="153"/>
      <c r="Z241" s="151"/>
      <c r="AA241" s="187" t="str">
        <f t="shared" si="7"/>
        <v>No</v>
      </c>
      <c r="AB241" s="158"/>
      <c r="AC241" s="159"/>
      <c r="AD241" s="160"/>
    </row>
    <row r="242" spans="1:30">
      <c r="A242" s="155"/>
      <c r="B242" s="112" t="str">
        <f t="shared" si="6"/>
        <v/>
      </c>
      <c r="C242" s="183"/>
      <c r="D242" s="152"/>
      <c r="E242" s="152"/>
      <c r="F242" s="151"/>
      <c r="G242" s="153"/>
      <c r="H242" s="151"/>
      <c r="I242" s="151"/>
      <c r="J242" s="151"/>
      <c r="K242" s="151"/>
      <c r="L242" s="151"/>
      <c r="M242" s="151"/>
      <c r="N242" s="151"/>
      <c r="O242" s="151"/>
      <c r="P242" s="151"/>
      <c r="Q242" s="151"/>
      <c r="R242" s="151"/>
      <c r="S242" s="152"/>
      <c r="T242" s="151"/>
      <c r="U242" s="151"/>
      <c r="V242" s="153"/>
      <c r="W242" s="151"/>
      <c r="X242" s="151"/>
      <c r="Y242" s="153"/>
      <c r="Z242" s="151"/>
      <c r="AA242" s="187" t="str">
        <f t="shared" si="7"/>
        <v>No</v>
      </c>
      <c r="AB242" s="158"/>
      <c r="AC242" s="159"/>
      <c r="AD242" s="160"/>
    </row>
    <row r="243" spans="1:30">
      <c r="A243" s="155"/>
      <c r="B243" s="112" t="str">
        <f t="shared" si="6"/>
        <v/>
      </c>
      <c r="C243" s="183"/>
      <c r="D243" s="152"/>
      <c r="E243" s="152"/>
      <c r="F243" s="151"/>
      <c r="G243" s="153"/>
      <c r="H243" s="151"/>
      <c r="I243" s="151"/>
      <c r="J243" s="151"/>
      <c r="K243" s="151"/>
      <c r="L243" s="151"/>
      <c r="M243" s="151"/>
      <c r="N243" s="151"/>
      <c r="O243" s="151"/>
      <c r="P243" s="151"/>
      <c r="Q243" s="151"/>
      <c r="R243" s="151"/>
      <c r="S243" s="152"/>
      <c r="T243" s="151"/>
      <c r="U243" s="151"/>
      <c r="V243" s="153"/>
      <c r="W243" s="151"/>
      <c r="X243" s="151"/>
      <c r="Y243" s="153"/>
      <c r="Z243" s="151"/>
      <c r="AA243" s="187" t="str">
        <f t="shared" si="7"/>
        <v>No</v>
      </c>
      <c r="AB243" s="158"/>
      <c r="AC243" s="159"/>
      <c r="AD243" s="160"/>
    </row>
    <row r="244" spans="1:30">
      <c r="A244" s="155"/>
      <c r="B244" s="112" t="str">
        <f t="shared" si="6"/>
        <v/>
      </c>
      <c r="C244" s="183"/>
      <c r="D244" s="152"/>
      <c r="E244" s="152"/>
      <c r="F244" s="151"/>
      <c r="G244" s="153"/>
      <c r="H244" s="151"/>
      <c r="I244" s="151"/>
      <c r="J244" s="151"/>
      <c r="K244" s="151"/>
      <c r="L244" s="151"/>
      <c r="M244" s="151"/>
      <c r="N244" s="151"/>
      <c r="O244" s="151"/>
      <c r="P244" s="151"/>
      <c r="Q244" s="151"/>
      <c r="R244" s="151"/>
      <c r="S244" s="152"/>
      <c r="T244" s="151"/>
      <c r="U244" s="151"/>
      <c r="V244" s="153"/>
      <c r="W244" s="151"/>
      <c r="X244" s="151"/>
      <c r="Y244" s="153"/>
      <c r="Z244" s="151"/>
      <c r="AA244" s="187" t="str">
        <f t="shared" si="7"/>
        <v>No</v>
      </c>
      <c r="AB244" s="158"/>
      <c r="AC244" s="159"/>
      <c r="AD244" s="160"/>
    </row>
    <row r="245" spans="1:30">
      <c r="A245" s="155"/>
      <c r="B245" s="112" t="str">
        <f t="shared" si="6"/>
        <v/>
      </c>
      <c r="C245" s="183"/>
      <c r="D245" s="152"/>
      <c r="E245" s="152"/>
      <c r="F245" s="151"/>
      <c r="G245" s="153"/>
      <c r="H245" s="151"/>
      <c r="I245" s="151"/>
      <c r="J245" s="151"/>
      <c r="K245" s="151"/>
      <c r="L245" s="151"/>
      <c r="M245" s="151"/>
      <c r="N245" s="151"/>
      <c r="O245" s="151"/>
      <c r="P245" s="151"/>
      <c r="Q245" s="151"/>
      <c r="R245" s="151"/>
      <c r="S245" s="152"/>
      <c r="T245" s="151"/>
      <c r="U245" s="151"/>
      <c r="V245" s="153"/>
      <c r="W245" s="151"/>
      <c r="X245" s="151"/>
      <c r="Y245" s="153"/>
      <c r="Z245" s="151"/>
      <c r="AA245" s="187" t="str">
        <f t="shared" si="7"/>
        <v>No</v>
      </c>
      <c r="AB245" s="158"/>
      <c r="AC245" s="159"/>
      <c r="AD245" s="160"/>
    </row>
    <row r="246" spans="1:30">
      <c r="A246" s="155"/>
      <c r="B246" s="112" t="str">
        <f t="shared" si="6"/>
        <v/>
      </c>
      <c r="C246" s="183"/>
      <c r="D246" s="152"/>
      <c r="E246" s="152"/>
      <c r="F246" s="151"/>
      <c r="G246" s="153"/>
      <c r="H246" s="151"/>
      <c r="I246" s="151"/>
      <c r="J246" s="151"/>
      <c r="K246" s="151"/>
      <c r="L246" s="151"/>
      <c r="M246" s="151"/>
      <c r="N246" s="151"/>
      <c r="O246" s="151"/>
      <c r="P246" s="151"/>
      <c r="Q246" s="151"/>
      <c r="R246" s="151"/>
      <c r="S246" s="152"/>
      <c r="T246" s="151"/>
      <c r="U246" s="151"/>
      <c r="V246" s="153"/>
      <c r="W246" s="151"/>
      <c r="X246" s="151"/>
      <c r="Y246" s="153"/>
      <c r="Z246" s="151"/>
      <c r="AA246" s="187" t="str">
        <f t="shared" si="7"/>
        <v>No</v>
      </c>
      <c r="AB246" s="158"/>
      <c r="AC246" s="159"/>
      <c r="AD246" s="160"/>
    </row>
    <row r="247" spans="1:30">
      <c r="A247" s="155"/>
      <c r="B247" s="112" t="str">
        <f t="shared" si="6"/>
        <v/>
      </c>
      <c r="C247" s="183"/>
      <c r="D247" s="152"/>
      <c r="E247" s="152"/>
      <c r="F247" s="151"/>
      <c r="G247" s="153"/>
      <c r="H247" s="151"/>
      <c r="I247" s="151"/>
      <c r="J247" s="151"/>
      <c r="K247" s="151"/>
      <c r="L247" s="151"/>
      <c r="M247" s="151"/>
      <c r="N247" s="151"/>
      <c r="O247" s="151"/>
      <c r="P247" s="151"/>
      <c r="Q247" s="151"/>
      <c r="R247" s="151"/>
      <c r="S247" s="152"/>
      <c r="T247" s="151"/>
      <c r="U247" s="151"/>
      <c r="V247" s="153"/>
      <c r="W247" s="151"/>
      <c r="X247" s="151"/>
      <c r="Y247" s="153"/>
      <c r="Z247" s="151"/>
      <c r="AA247" s="187" t="str">
        <f t="shared" si="7"/>
        <v>No</v>
      </c>
      <c r="AB247" s="158"/>
      <c r="AC247" s="159"/>
      <c r="AD247" s="160"/>
    </row>
    <row r="248" spans="1:30">
      <c r="A248" s="155"/>
      <c r="B248" s="112" t="str">
        <f t="shared" si="6"/>
        <v/>
      </c>
      <c r="C248" s="183"/>
      <c r="D248" s="152"/>
      <c r="E248" s="152"/>
      <c r="F248" s="151"/>
      <c r="G248" s="153"/>
      <c r="H248" s="151"/>
      <c r="I248" s="151"/>
      <c r="J248" s="151"/>
      <c r="K248" s="151"/>
      <c r="L248" s="151"/>
      <c r="M248" s="151"/>
      <c r="N248" s="151"/>
      <c r="O248" s="151"/>
      <c r="P248" s="151"/>
      <c r="Q248" s="151"/>
      <c r="R248" s="151"/>
      <c r="S248" s="152"/>
      <c r="T248" s="151"/>
      <c r="U248" s="151"/>
      <c r="V248" s="153"/>
      <c r="W248" s="151"/>
      <c r="X248" s="151"/>
      <c r="Y248" s="153"/>
      <c r="Z248" s="151"/>
      <c r="AA248" s="187" t="str">
        <f t="shared" si="7"/>
        <v>No</v>
      </c>
      <c r="AB248" s="158"/>
      <c r="AC248" s="159"/>
      <c r="AD248" s="160"/>
    </row>
    <row r="249" spans="1:30">
      <c r="A249" s="155"/>
      <c r="B249" s="112" t="str">
        <f t="shared" si="6"/>
        <v/>
      </c>
      <c r="C249" s="183"/>
      <c r="D249" s="152"/>
      <c r="E249" s="152"/>
      <c r="F249" s="151"/>
      <c r="G249" s="153"/>
      <c r="H249" s="151"/>
      <c r="I249" s="151"/>
      <c r="J249" s="151"/>
      <c r="K249" s="151"/>
      <c r="L249" s="151"/>
      <c r="M249" s="151"/>
      <c r="N249" s="151"/>
      <c r="O249" s="151"/>
      <c r="P249" s="151"/>
      <c r="Q249" s="151"/>
      <c r="R249" s="151"/>
      <c r="S249" s="152"/>
      <c r="T249" s="151"/>
      <c r="U249" s="151"/>
      <c r="V249" s="153"/>
      <c r="W249" s="151"/>
      <c r="X249" s="151"/>
      <c r="Y249" s="153"/>
      <c r="Z249" s="151"/>
      <c r="AA249" s="187" t="str">
        <f t="shared" si="7"/>
        <v>No</v>
      </c>
      <c r="AB249" s="158"/>
      <c r="AC249" s="159"/>
      <c r="AD249" s="160"/>
    </row>
    <row r="250" spans="1:30">
      <c r="A250" s="155"/>
      <c r="B250" s="112" t="str">
        <f t="shared" si="6"/>
        <v/>
      </c>
      <c r="C250" s="183"/>
      <c r="D250" s="152"/>
      <c r="E250" s="152"/>
      <c r="F250" s="151"/>
      <c r="G250" s="153"/>
      <c r="H250" s="151"/>
      <c r="I250" s="151"/>
      <c r="J250" s="151"/>
      <c r="K250" s="151"/>
      <c r="L250" s="151"/>
      <c r="M250" s="151"/>
      <c r="N250" s="151"/>
      <c r="O250" s="151"/>
      <c r="P250" s="151"/>
      <c r="Q250" s="151"/>
      <c r="R250" s="151"/>
      <c r="S250" s="152"/>
      <c r="T250" s="151"/>
      <c r="U250" s="151"/>
      <c r="V250" s="153"/>
      <c r="W250" s="151"/>
      <c r="X250" s="151"/>
      <c r="Y250" s="153"/>
      <c r="Z250" s="151"/>
      <c r="AA250" s="187" t="str">
        <f t="shared" si="7"/>
        <v>No</v>
      </c>
      <c r="AB250" s="158"/>
      <c r="AC250" s="159"/>
      <c r="AD250" s="160"/>
    </row>
    <row r="251" spans="1:30">
      <c r="A251" s="155"/>
      <c r="B251" s="112" t="str">
        <f t="shared" si="6"/>
        <v/>
      </c>
      <c r="C251" s="183"/>
      <c r="D251" s="152"/>
      <c r="E251" s="152"/>
      <c r="F251" s="151"/>
      <c r="G251" s="153"/>
      <c r="H251" s="151"/>
      <c r="I251" s="151"/>
      <c r="J251" s="151"/>
      <c r="K251" s="151"/>
      <c r="L251" s="151"/>
      <c r="M251" s="151"/>
      <c r="N251" s="151"/>
      <c r="O251" s="151"/>
      <c r="P251" s="151"/>
      <c r="Q251" s="151"/>
      <c r="R251" s="151"/>
      <c r="S251" s="152"/>
      <c r="T251" s="151"/>
      <c r="U251" s="151"/>
      <c r="V251" s="153"/>
      <c r="W251" s="151"/>
      <c r="X251" s="151"/>
      <c r="Y251" s="153"/>
      <c r="Z251" s="151"/>
      <c r="AA251" s="187" t="str">
        <f t="shared" si="7"/>
        <v>No</v>
      </c>
      <c r="AB251" s="158"/>
      <c r="AC251" s="159"/>
      <c r="AD251" s="160"/>
    </row>
    <row r="252" spans="1:30">
      <c r="A252" s="155"/>
      <c r="B252" s="112" t="str">
        <f t="shared" si="6"/>
        <v/>
      </c>
      <c r="C252" s="183"/>
      <c r="D252" s="152"/>
      <c r="E252" s="152"/>
      <c r="F252" s="151"/>
      <c r="G252" s="153"/>
      <c r="H252" s="151"/>
      <c r="I252" s="151"/>
      <c r="J252" s="151"/>
      <c r="K252" s="151"/>
      <c r="L252" s="151"/>
      <c r="M252" s="151"/>
      <c r="N252" s="151"/>
      <c r="O252" s="151"/>
      <c r="P252" s="151"/>
      <c r="Q252" s="151"/>
      <c r="R252" s="151"/>
      <c r="S252" s="152"/>
      <c r="T252" s="151"/>
      <c r="U252" s="151"/>
      <c r="V252" s="153"/>
      <c r="W252" s="151"/>
      <c r="X252" s="151"/>
      <c r="Y252" s="153"/>
      <c r="Z252" s="151"/>
      <c r="AA252" s="187" t="str">
        <f t="shared" si="7"/>
        <v>No</v>
      </c>
      <c r="AB252" s="158"/>
      <c r="AC252" s="159"/>
      <c r="AD252" s="160"/>
    </row>
    <row r="253" spans="1:30">
      <c r="A253" s="155"/>
      <c r="B253" s="112" t="str">
        <f t="shared" si="6"/>
        <v/>
      </c>
      <c r="C253" s="183"/>
      <c r="D253" s="152"/>
      <c r="E253" s="152"/>
      <c r="F253" s="151"/>
      <c r="G253" s="153"/>
      <c r="H253" s="151"/>
      <c r="I253" s="151"/>
      <c r="J253" s="151"/>
      <c r="K253" s="151"/>
      <c r="L253" s="151"/>
      <c r="M253" s="151"/>
      <c r="N253" s="151"/>
      <c r="O253" s="151"/>
      <c r="P253" s="151"/>
      <c r="Q253" s="151"/>
      <c r="R253" s="151"/>
      <c r="S253" s="152"/>
      <c r="T253" s="151"/>
      <c r="U253" s="151"/>
      <c r="V253" s="153"/>
      <c r="W253" s="151"/>
      <c r="X253" s="151"/>
      <c r="Y253" s="153"/>
      <c r="Z253" s="151"/>
      <c r="AA253" s="187" t="str">
        <f t="shared" si="7"/>
        <v>No</v>
      </c>
      <c r="AB253" s="158"/>
      <c r="AC253" s="159"/>
      <c r="AD253" s="160"/>
    </row>
    <row r="254" spans="1:30">
      <c r="A254" s="155"/>
      <c r="B254" s="112" t="str">
        <f t="shared" si="6"/>
        <v/>
      </c>
      <c r="C254" s="183"/>
      <c r="D254" s="152"/>
      <c r="E254" s="152"/>
      <c r="F254" s="151"/>
      <c r="G254" s="153"/>
      <c r="H254" s="151"/>
      <c r="I254" s="151"/>
      <c r="J254" s="151"/>
      <c r="K254" s="151"/>
      <c r="L254" s="151"/>
      <c r="M254" s="151"/>
      <c r="N254" s="151"/>
      <c r="O254" s="151"/>
      <c r="P254" s="151"/>
      <c r="Q254" s="151"/>
      <c r="R254" s="151"/>
      <c r="S254" s="152"/>
      <c r="T254" s="151"/>
      <c r="U254" s="151"/>
      <c r="V254" s="153"/>
      <c r="W254" s="151"/>
      <c r="X254" s="151"/>
      <c r="Y254" s="153"/>
      <c r="Z254" s="151"/>
      <c r="AA254" s="187" t="str">
        <f t="shared" si="7"/>
        <v>No</v>
      </c>
      <c r="AB254" s="158"/>
      <c r="AC254" s="159"/>
      <c r="AD254" s="160"/>
    </row>
    <row r="255" spans="1:30">
      <c r="A255" s="155"/>
      <c r="B255" s="112" t="str">
        <f t="shared" si="6"/>
        <v/>
      </c>
      <c r="C255" s="183"/>
      <c r="D255" s="152"/>
      <c r="E255" s="152"/>
      <c r="F255" s="151"/>
      <c r="G255" s="153"/>
      <c r="H255" s="151"/>
      <c r="I255" s="151"/>
      <c r="J255" s="151"/>
      <c r="K255" s="151"/>
      <c r="L255" s="151"/>
      <c r="M255" s="151"/>
      <c r="N255" s="151"/>
      <c r="O255" s="151"/>
      <c r="P255" s="151"/>
      <c r="Q255" s="151"/>
      <c r="R255" s="151"/>
      <c r="S255" s="152"/>
      <c r="T255" s="151"/>
      <c r="U255" s="151"/>
      <c r="V255" s="153"/>
      <c r="W255" s="151"/>
      <c r="X255" s="151"/>
      <c r="Y255" s="153"/>
      <c r="Z255" s="151"/>
      <c r="AA255" s="187" t="str">
        <f t="shared" si="7"/>
        <v>No</v>
      </c>
      <c r="AB255" s="158"/>
      <c r="AC255" s="159"/>
      <c r="AD255" s="160"/>
    </row>
    <row r="256" spans="1:30">
      <c r="A256" s="155"/>
      <c r="B256" s="112" t="str">
        <f t="shared" si="6"/>
        <v/>
      </c>
      <c r="C256" s="183"/>
      <c r="D256" s="152"/>
      <c r="E256" s="152"/>
      <c r="F256" s="151"/>
      <c r="G256" s="153"/>
      <c r="H256" s="151"/>
      <c r="I256" s="151"/>
      <c r="J256" s="151"/>
      <c r="K256" s="151"/>
      <c r="L256" s="151"/>
      <c r="M256" s="151"/>
      <c r="N256" s="151"/>
      <c r="O256" s="151"/>
      <c r="P256" s="151"/>
      <c r="Q256" s="151"/>
      <c r="R256" s="151"/>
      <c r="S256" s="152"/>
      <c r="T256" s="151"/>
      <c r="U256" s="151"/>
      <c r="V256" s="153"/>
      <c r="W256" s="151"/>
      <c r="X256" s="151"/>
      <c r="Y256" s="153"/>
      <c r="Z256" s="151"/>
      <c r="AA256" s="187" t="str">
        <f t="shared" si="7"/>
        <v>No</v>
      </c>
      <c r="AB256" s="158"/>
      <c r="AC256" s="159"/>
      <c r="AD256" s="160"/>
    </row>
    <row r="257" spans="1:30">
      <c r="A257" s="155"/>
      <c r="B257" s="112" t="str">
        <f t="shared" si="6"/>
        <v/>
      </c>
      <c r="C257" s="183"/>
      <c r="D257" s="152"/>
      <c r="E257" s="152"/>
      <c r="F257" s="151"/>
      <c r="G257" s="153"/>
      <c r="H257" s="151"/>
      <c r="I257" s="151"/>
      <c r="J257" s="151"/>
      <c r="K257" s="151"/>
      <c r="L257" s="151"/>
      <c r="M257" s="151"/>
      <c r="N257" s="151"/>
      <c r="O257" s="151"/>
      <c r="P257" s="151"/>
      <c r="Q257" s="151"/>
      <c r="R257" s="151"/>
      <c r="S257" s="152"/>
      <c r="T257" s="151"/>
      <c r="U257" s="151"/>
      <c r="V257" s="153"/>
      <c r="W257" s="151"/>
      <c r="X257" s="151"/>
      <c r="Y257" s="153"/>
      <c r="Z257" s="151"/>
      <c r="AA257" s="187" t="str">
        <f t="shared" si="7"/>
        <v>No</v>
      </c>
      <c r="AB257" s="158"/>
      <c r="AC257" s="159"/>
      <c r="AD257" s="160"/>
    </row>
    <row r="258" spans="1:30">
      <c r="A258" s="155"/>
      <c r="B258" s="112" t="str">
        <f t="shared" si="6"/>
        <v/>
      </c>
      <c r="C258" s="183"/>
      <c r="D258" s="152"/>
      <c r="E258" s="152"/>
      <c r="F258" s="151"/>
      <c r="G258" s="153"/>
      <c r="H258" s="151"/>
      <c r="I258" s="151"/>
      <c r="J258" s="151"/>
      <c r="K258" s="151"/>
      <c r="L258" s="151"/>
      <c r="M258" s="151"/>
      <c r="N258" s="151"/>
      <c r="O258" s="151"/>
      <c r="P258" s="151"/>
      <c r="Q258" s="151"/>
      <c r="R258" s="151"/>
      <c r="S258" s="152"/>
      <c r="T258" s="151"/>
      <c r="U258" s="151"/>
      <c r="V258" s="153"/>
      <c r="W258" s="151"/>
      <c r="X258" s="151"/>
      <c r="Y258" s="153"/>
      <c r="Z258" s="151"/>
      <c r="AA258" s="187" t="str">
        <f t="shared" si="7"/>
        <v>No</v>
      </c>
      <c r="AB258" s="158"/>
      <c r="AC258" s="159"/>
      <c r="AD258" s="160"/>
    </row>
    <row r="259" spans="1:30">
      <c r="A259" s="155"/>
      <c r="B259" s="112" t="str">
        <f t="shared" si="6"/>
        <v/>
      </c>
      <c r="C259" s="183"/>
      <c r="D259" s="152"/>
      <c r="E259" s="152"/>
      <c r="F259" s="151"/>
      <c r="G259" s="153"/>
      <c r="H259" s="151"/>
      <c r="I259" s="151"/>
      <c r="J259" s="151"/>
      <c r="K259" s="151"/>
      <c r="L259" s="151"/>
      <c r="M259" s="151"/>
      <c r="N259" s="151"/>
      <c r="O259" s="151"/>
      <c r="P259" s="151"/>
      <c r="Q259" s="151"/>
      <c r="R259" s="151"/>
      <c r="S259" s="152"/>
      <c r="T259" s="151"/>
      <c r="U259" s="151"/>
      <c r="V259" s="153"/>
      <c r="W259" s="151"/>
      <c r="X259" s="151"/>
      <c r="Y259" s="153"/>
      <c r="Z259" s="151"/>
      <c r="AA259" s="187" t="str">
        <f t="shared" si="7"/>
        <v>No</v>
      </c>
      <c r="AB259" s="158"/>
      <c r="AC259" s="159"/>
      <c r="AD259" s="160"/>
    </row>
    <row r="260" spans="1:30">
      <c r="A260" s="155"/>
      <c r="B260" s="112" t="str">
        <f t="shared" si="6"/>
        <v/>
      </c>
      <c r="C260" s="183"/>
      <c r="D260" s="152"/>
      <c r="E260" s="152"/>
      <c r="F260" s="151"/>
      <c r="G260" s="153"/>
      <c r="H260" s="151"/>
      <c r="I260" s="151"/>
      <c r="J260" s="151"/>
      <c r="K260" s="151"/>
      <c r="L260" s="151"/>
      <c r="M260" s="151"/>
      <c r="N260" s="151"/>
      <c r="O260" s="151"/>
      <c r="P260" s="151"/>
      <c r="Q260" s="151"/>
      <c r="R260" s="151"/>
      <c r="S260" s="152"/>
      <c r="T260" s="151"/>
      <c r="U260" s="151"/>
      <c r="V260" s="153"/>
      <c r="W260" s="151"/>
      <c r="X260" s="151"/>
      <c r="Y260" s="153"/>
      <c r="Z260" s="151"/>
      <c r="AA260" s="187" t="str">
        <f t="shared" si="7"/>
        <v>No</v>
      </c>
      <c r="AB260" s="158"/>
      <c r="AC260" s="159"/>
      <c r="AD260" s="160"/>
    </row>
    <row r="261" spans="1:30">
      <c r="A261" s="155"/>
      <c r="B261" s="112" t="str">
        <f t="shared" ref="B261:B324" si="8">IF(AND(A261&lt;&gt;"",D261&lt;&gt;"",J261&lt;&gt;"",N261&lt;&gt;""),TEXT(D261,"YY")&amp;"-"&amp;TEXT(D261,"MMM")&amp;"-"&amp;UPPER(LEFT(TRIM(N261),2))&amp;"-"&amp;UPPER(LEFT(TRIM(J261),3))&amp;"-"&amp;A261,"")</f>
        <v/>
      </c>
      <c r="C261" s="183"/>
      <c r="D261" s="152"/>
      <c r="E261" s="152"/>
      <c r="F261" s="151"/>
      <c r="G261" s="153"/>
      <c r="H261" s="151"/>
      <c r="I261" s="151"/>
      <c r="J261" s="151"/>
      <c r="K261" s="151"/>
      <c r="L261" s="151"/>
      <c r="M261" s="151"/>
      <c r="N261" s="151"/>
      <c r="O261" s="151"/>
      <c r="P261" s="151"/>
      <c r="Q261" s="151"/>
      <c r="R261" s="151"/>
      <c r="S261" s="152"/>
      <c r="T261" s="151"/>
      <c r="U261" s="151"/>
      <c r="V261" s="153"/>
      <c r="W261" s="151"/>
      <c r="X261" s="151"/>
      <c r="Y261" s="153"/>
      <c r="Z261" s="151"/>
      <c r="AA261" s="187" t="str">
        <f t="shared" ref="AA261:AA324" si="9">IF(E261="","No","Yes")</f>
        <v>No</v>
      </c>
      <c r="AB261" s="158"/>
      <c r="AC261" s="159"/>
      <c r="AD261" s="160"/>
    </row>
    <row r="262" spans="1:30">
      <c r="A262" s="155"/>
      <c r="B262" s="112" t="str">
        <f t="shared" si="8"/>
        <v/>
      </c>
      <c r="C262" s="183"/>
      <c r="D262" s="152"/>
      <c r="E262" s="152"/>
      <c r="F262" s="151"/>
      <c r="G262" s="153"/>
      <c r="H262" s="151"/>
      <c r="I262" s="151"/>
      <c r="J262" s="151"/>
      <c r="K262" s="151"/>
      <c r="L262" s="151"/>
      <c r="M262" s="151"/>
      <c r="N262" s="151"/>
      <c r="O262" s="151"/>
      <c r="P262" s="151"/>
      <c r="Q262" s="151"/>
      <c r="R262" s="151"/>
      <c r="S262" s="152"/>
      <c r="T262" s="151"/>
      <c r="U262" s="151"/>
      <c r="V262" s="153"/>
      <c r="W262" s="151"/>
      <c r="X262" s="151"/>
      <c r="Y262" s="153"/>
      <c r="Z262" s="151"/>
      <c r="AA262" s="187" t="str">
        <f t="shared" si="9"/>
        <v>No</v>
      </c>
      <c r="AB262" s="158"/>
      <c r="AC262" s="159"/>
      <c r="AD262" s="160"/>
    </row>
    <row r="263" spans="1:30">
      <c r="A263" s="155"/>
      <c r="B263" s="112" t="str">
        <f t="shared" si="8"/>
        <v/>
      </c>
      <c r="C263" s="183"/>
      <c r="D263" s="152"/>
      <c r="E263" s="152"/>
      <c r="F263" s="151"/>
      <c r="G263" s="153"/>
      <c r="H263" s="151"/>
      <c r="I263" s="151"/>
      <c r="J263" s="151"/>
      <c r="K263" s="151"/>
      <c r="L263" s="151"/>
      <c r="M263" s="151"/>
      <c r="N263" s="151"/>
      <c r="O263" s="151"/>
      <c r="P263" s="151"/>
      <c r="Q263" s="151"/>
      <c r="R263" s="151"/>
      <c r="S263" s="152"/>
      <c r="T263" s="151"/>
      <c r="U263" s="151"/>
      <c r="V263" s="153"/>
      <c r="W263" s="151"/>
      <c r="X263" s="151"/>
      <c r="Y263" s="153"/>
      <c r="Z263" s="151"/>
      <c r="AA263" s="187" t="str">
        <f t="shared" si="9"/>
        <v>No</v>
      </c>
      <c r="AB263" s="158"/>
      <c r="AC263" s="159"/>
      <c r="AD263" s="160"/>
    </row>
    <row r="264" spans="1:30">
      <c r="A264" s="155"/>
      <c r="B264" s="112" t="str">
        <f t="shared" si="8"/>
        <v/>
      </c>
      <c r="C264" s="183"/>
      <c r="D264" s="152"/>
      <c r="E264" s="152"/>
      <c r="F264" s="151"/>
      <c r="G264" s="153"/>
      <c r="H264" s="151"/>
      <c r="I264" s="151"/>
      <c r="J264" s="151"/>
      <c r="K264" s="151"/>
      <c r="L264" s="151"/>
      <c r="M264" s="151"/>
      <c r="N264" s="151"/>
      <c r="O264" s="151"/>
      <c r="P264" s="151"/>
      <c r="Q264" s="151"/>
      <c r="R264" s="151"/>
      <c r="S264" s="152"/>
      <c r="T264" s="151"/>
      <c r="U264" s="151"/>
      <c r="V264" s="153"/>
      <c r="W264" s="151"/>
      <c r="X264" s="151"/>
      <c r="Y264" s="153"/>
      <c r="Z264" s="151"/>
      <c r="AA264" s="187" t="str">
        <f t="shared" si="9"/>
        <v>No</v>
      </c>
      <c r="AB264" s="158"/>
      <c r="AC264" s="159"/>
      <c r="AD264" s="160"/>
    </row>
    <row r="265" spans="1:30">
      <c r="A265" s="155"/>
      <c r="B265" s="112" t="str">
        <f t="shared" si="8"/>
        <v/>
      </c>
      <c r="C265" s="183"/>
      <c r="D265" s="152"/>
      <c r="E265" s="152"/>
      <c r="F265" s="151"/>
      <c r="G265" s="153"/>
      <c r="H265" s="151"/>
      <c r="I265" s="151"/>
      <c r="J265" s="151"/>
      <c r="K265" s="151"/>
      <c r="L265" s="151"/>
      <c r="M265" s="151"/>
      <c r="N265" s="151"/>
      <c r="O265" s="151"/>
      <c r="P265" s="151"/>
      <c r="Q265" s="151"/>
      <c r="R265" s="151"/>
      <c r="S265" s="152"/>
      <c r="T265" s="151"/>
      <c r="U265" s="151"/>
      <c r="V265" s="153"/>
      <c r="W265" s="151"/>
      <c r="X265" s="151"/>
      <c r="Y265" s="153"/>
      <c r="Z265" s="151"/>
      <c r="AA265" s="187" t="str">
        <f t="shared" si="9"/>
        <v>No</v>
      </c>
      <c r="AB265" s="158"/>
      <c r="AC265" s="159"/>
      <c r="AD265" s="160"/>
    </row>
    <row r="266" spans="1:30">
      <c r="A266" s="155"/>
      <c r="B266" s="112" t="str">
        <f t="shared" si="8"/>
        <v/>
      </c>
      <c r="C266" s="183"/>
      <c r="D266" s="152"/>
      <c r="E266" s="152"/>
      <c r="F266" s="151"/>
      <c r="G266" s="153"/>
      <c r="H266" s="151"/>
      <c r="I266" s="151"/>
      <c r="J266" s="151"/>
      <c r="K266" s="151"/>
      <c r="L266" s="151"/>
      <c r="M266" s="151"/>
      <c r="N266" s="151"/>
      <c r="O266" s="151"/>
      <c r="P266" s="151"/>
      <c r="Q266" s="151"/>
      <c r="R266" s="151"/>
      <c r="S266" s="152"/>
      <c r="T266" s="151"/>
      <c r="U266" s="151"/>
      <c r="V266" s="153"/>
      <c r="W266" s="151"/>
      <c r="X266" s="151"/>
      <c r="Y266" s="153"/>
      <c r="Z266" s="151"/>
      <c r="AA266" s="187" t="str">
        <f t="shared" si="9"/>
        <v>No</v>
      </c>
      <c r="AB266" s="158"/>
      <c r="AC266" s="159"/>
      <c r="AD266" s="160"/>
    </row>
    <row r="267" spans="1:30">
      <c r="A267" s="155"/>
      <c r="B267" s="112" t="str">
        <f t="shared" si="8"/>
        <v/>
      </c>
      <c r="C267" s="183"/>
      <c r="D267" s="152"/>
      <c r="E267" s="152"/>
      <c r="F267" s="151"/>
      <c r="G267" s="153"/>
      <c r="H267" s="151"/>
      <c r="I267" s="151"/>
      <c r="J267" s="151"/>
      <c r="K267" s="151"/>
      <c r="L267" s="151"/>
      <c r="M267" s="151"/>
      <c r="N267" s="151"/>
      <c r="O267" s="151"/>
      <c r="P267" s="151"/>
      <c r="Q267" s="151"/>
      <c r="R267" s="151"/>
      <c r="S267" s="152"/>
      <c r="T267" s="151"/>
      <c r="U267" s="151"/>
      <c r="V267" s="153"/>
      <c r="W267" s="151"/>
      <c r="X267" s="151"/>
      <c r="Y267" s="153"/>
      <c r="Z267" s="151"/>
      <c r="AA267" s="187" t="str">
        <f t="shared" si="9"/>
        <v>No</v>
      </c>
      <c r="AB267" s="158"/>
      <c r="AC267" s="159"/>
      <c r="AD267" s="160"/>
    </row>
    <row r="268" spans="1:30">
      <c r="A268" s="155"/>
      <c r="B268" s="112" t="str">
        <f t="shared" si="8"/>
        <v/>
      </c>
      <c r="C268" s="183"/>
      <c r="D268" s="152"/>
      <c r="E268" s="152"/>
      <c r="F268" s="151"/>
      <c r="G268" s="153"/>
      <c r="H268" s="151"/>
      <c r="I268" s="151"/>
      <c r="J268" s="151"/>
      <c r="K268" s="151"/>
      <c r="L268" s="151"/>
      <c r="M268" s="151"/>
      <c r="N268" s="151"/>
      <c r="O268" s="151"/>
      <c r="P268" s="151"/>
      <c r="Q268" s="151"/>
      <c r="R268" s="151"/>
      <c r="S268" s="152"/>
      <c r="T268" s="151"/>
      <c r="U268" s="151"/>
      <c r="V268" s="153"/>
      <c r="W268" s="151"/>
      <c r="X268" s="151"/>
      <c r="Y268" s="153"/>
      <c r="Z268" s="151"/>
      <c r="AA268" s="187" t="str">
        <f t="shared" si="9"/>
        <v>No</v>
      </c>
      <c r="AB268" s="158"/>
      <c r="AC268" s="159"/>
      <c r="AD268" s="160"/>
    </row>
    <row r="269" spans="1:30">
      <c r="A269" s="155"/>
      <c r="B269" s="112" t="str">
        <f t="shared" si="8"/>
        <v/>
      </c>
      <c r="C269" s="183"/>
      <c r="D269" s="152"/>
      <c r="E269" s="152"/>
      <c r="F269" s="151"/>
      <c r="G269" s="153"/>
      <c r="H269" s="151"/>
      <c r="I269" s="151"/>
      <c r="J269" s="151"/>
      <c r="K269" s="151"/>
      <c r="L269" s="151"/>
      <c r="M269" s="151"/>
      <c r="N269" s="151"/>
      <c r="O269" s="151"/>
      <c r="P269" s="151"/>
      <c r="Q269" s="151"/>
      <c r="R269" s="151"/>
      <c r="S269" s="152"/>
      <c r="T269" s="151"/>
      <c r="U269" s="151"/>
      <c r="V269" s="153"/>
      <c r="W269" s="151"/>
      <c r="X269" s="151"/>
      <c r="Y269" s="153"/>
      <c r="Z269" s="151"/>
      <c r="AA269" s="187" t="str">
        <f t="shared" si="9"/>
        <v>No</v>
      </c>
      <c r="AB269" s="158"/>
      <c r="AC269" s="159"/>
      <c r="AD269" s="160"/>
    </row>
    <row r="270" spans="1:30">
      <c r="A270" s="155"/>
      <c r="B270" s="112" t="str">
        <f t="shared" si="8"/>
        <v/>
      </c>
      <c r="C270" s="183"/>
      <c r="D270" s="152"/>
      <c r="E270" s="152"/>
      <c r="F270" s="151"/>
      <c r="G270" s="153"/>
      <c r="H270" s="151"/>
      <c r="I270" s="151"/>
      <c r="J270" s="151"/>
      <c r="K270" s="151"/>
      <c r="L270" s="151"/>
      <c r="M270" s="151"/>
      <c r="N270" s="151"/>
      <c r="O270" s="151"/>
      <c r="P270" s="151"/>
      <c r="Q270" s="151"/>
      <c r="R270" s="151"/>
      <c r="S270" s="152"/>
      <c r="T270" s="151"/>
      <c r="U270" s="151"/>
      <c r="V270" s="153"/>
      <c r="W270" s="151"/>
      <c r="X270" s="151"/>
      <c r="Y270" s="153"/>
      <c r="Z270" s="151"/>
      <c r="AA270" s="187" t="str">
        <f t="shared" si="9"/>
        <v>No</v>
      </c>
      <c r="AB270" s="158"/>
      <c r="AC270" s="159"/>
      <c r="AD270" s="160"/>
    </row>
    <row r="271" spans="1:30">
      <c r="A271" s="155"/>
      <c r="B271" s="112" t="str">
        <f t="shared" si="8"/>
        <v/>
      </c>
      <c r="C271" s="183"/>
      <c r="D271" s="152"/>
      <c r="E271" s="152"/>
      <c r="F271" s="151"/>
      <c r="G271" s="153"/>
      <c r="H271" s="151"/>
      <c r="I271" s="151"/>
      <c r="J271" s="151"/>
      <c r="K271" s="151"/>
      <c r="L271" s="151"/>
      <c r="M271" s="151"/>
      <c r="N271" s="151"/>
      <c r="O271" s="151"/>
      <c r="P271" s="151"/>
      <c r="Q271" s="151"/>
      <c r="R271" s="151"/>
      <c r="S271" s="152"/>
      <c r="T271" s="151"/>
      <c r="U271" s="151"/>
      <c r="V271" s="153"/>
      <c r="W271" s="151"/>
      <c r="X271" s="151"/>
      <c r="Y271" s="153"/>
      <c r="Z271" s="151"/>
      <c r="AA271" s="187" t="str">
        <f t="shared" si="9"/>
        <v>No</v>
      </c>
      <c r="AB271" s="158"/>
      <c r="AC271" s="159"/>
      <c r="AD271" s="160"/>
    </row>
    <row r="272" spans="1:30">
      <c r="A272" s="155"/>
      <c r="B272" s="112" t="str">
        <f t="shared" si="8"/>
        <v/>
      </c>
      <c r="C272" s="183"/>
      <c r="D272" s="152"/>
      <c r="E272" s="152"/>
      <c r="F272" s="151"/>
      <c r="G272" s="153"/>
      <c r="H272" s="151"/>
      <c r="I272" s="151"/>
      <c r="J272" s="151"/>
      <c r="K272" s="151"/>
      <c r="L272" s="151"/>
      <c r="M272" s="151"/>
      <c r="N272" s="151"/>
      <c r="O272" s="151"/>
      <c r="P272" s="151"/>
      <c r="Q272" s="151"/>
      <c r="R272" s="151"/>
      <c r="S272" s="152"/>
      <c r="T272" s="151"/>
      <c r="U272" s="151"/>
      <c r="V272" s="153"/>
      <c r="W272" s="151"/>
      <c r="X272" s="151"/>
      <c r="Y272" s="153"/>
      <c r="Z272" s="151"/>
      <c r="AA272" s="187" t="str">
        <f t="shared" si="9"/>
        <v>No</v>
      </c>
      <c r="AB272" s="158"/>
      <c r="AC272" s="159"/>
      <c r="AD272" s="160"/>
    </row>
    <row r="273" spans="1:30">
      <c r="A273" s="155"/>
      <c r="B273" s="112" t="str">
        <f t="shared" si="8"/>
        <v/>
      </c>
      <c r="C273" s="183"/>
      <c r="D273" s="152"/>
      <c r="E273" s="152"/>
      <c r="F273" s="151"/>
      <c r="G273" s="153"/>
      <c r="H273" s="151"/>
      <c r="I273" s="151"/>
      <c r="J273" s="151"/>
      <c r="K273" s="151"/>
      <c r="L273" s="151"/>
      <c r="M273" s="151"/>
      <c r="N273" s="151"/>
      <c r="O273" s="151"/>
      <c r="P273" s="151"/>
      <c r="Q273" s="151"/>
      <c r="R273" s="151"/>
      <c r="S273" s="152"/>
      <c r="T273" s="151"/>
      <c r="U273" s="151"/>
      <c r="V273" s="153"/>
      <c r="W273" s="151"/>
      <c r="X273" s="151"/>
      <c r="Y273" s="153"/>
      <c r="Z273" s="151"/>
      <c r="AA273" s="187" t="str">
        <f t="shared" si="9"/>
        <v>No</v>
      </c>
      <c r="AB273" s="158"/>
      <c r="AC273" s="159"/>
      <c r="AD273" s="160"/>
    </row>
    <row r="274" spans="1:30">
      <c r="A274" s="155"/>
      <c r="B274" s="112" t="str">
        <f t="shared" si="8"/>
        <v/>
      </c>
      <c r="C274" s="183"/>
      <c r="D274" s="152"/>
      <c r="E274" s="152"/>
      <c r="F274" s="151"/>
      <c r="G274" s="153"/>
      <c r="H274" s="151"/>
      <c r="I274" s="151"/>
      <c r="J274" s="151"/>
      <c r="K274" s="151"/>
      <c r="L274" s="151"/>
      <c r="M274" s="151"/>
      <c r="N274" s="151"/>
      <c r="O274" s="151"/>
      <c r="P274" s="151"/>
      <c r="Q274" s="151"/>
      <c r="R274" s="151"/>
      <c r="S274" s="152"/>
      <c r="T274" s="151"/>
      <c r="U274" s="151"/>
      <c r="V274" s="153"/>
      <c r="W274" s="151"/>
      <c r="X274" s="151"/>
      <c r="Y274" s="153"/>
      <c r="Z274" s="151"/>
      <c r="AA274" s="187" t="str">
        <f t="shared" si="9"/>
        <v>No</v>
      </c>
      <c r="AB274" s="158"/>
      <c r="AC274" s="159"/>
      <c r="AD274" s="160"/>
    </row>
    <row r="275" spans="1:30">
      <c r="A275" s="155"/>
      <c r="B275" s="112" t="str">
        <f t="shared" si="8"/>
        <v/>
      </c>
      <c r="C275" s="183"/>
      <c r="D275" s="152"/>
      <c r="E275" s="152"/>
      <c r="F275" s="151"/>
      <c r="G275" s="153"/>
      <c r="H275" s="151"/>
      <c r="I275" s="151"/>
      <c r="J275" s="151"/>
      <c r="K275" s="151"/>
      <c r="L275" s="151"/>
      <c r="M275" s="151"/>
      <c r="N275" s="151"/>
      <c r="O275" s="151"/>
      <c r="P275" s="151"/>
      <c r="Q275" s="151"/>
      <c r="R275" s="151"/>
      <c r="S275" s="152"/>
      <c r="T275" s="151"/>
      <c r="U275" s="151"/>
      <c r="V275" s="153"/>
      <c r="W275" s="151"/>
      <c r="X275" s="151"/>
      <c r="Y275" s="153"/>
      <c r="Z275" s="151"/>
      <c r="AA275" s="187" t="str">
        <f t="shared" si="9"/>
        <v>No</v>
      </c>
      <c r="AB275" s="158"/>
      <c r="AC275" s="159"/>
      <c r="AD275" s="160"/>
    </row>
    <row r="276" spans="1:30">
      <c r="A276" s="155"/>
      <c r="B276" s="112" t="str">
        <f t="shared" si="8"/>
        <v/>
      </c>
      <c r="C276" s="183"/>
      <c r="D276" s="152"/>
      <c r="E276" s="152"/>
      <c r="F276" s="151"/>
      <c r="G276" s="153"/>
      <c r="H276" s="151"/>
      <c r="I276" s="151"/>
      <c r="J276" s="151"/>
      <c r="K276" s="151"/>
      <c r="L276" s="151"/>
      <c r="M276" s="151"/>
      <c r="N276" s="151"/>
      <c r="O276" s="151"/>
      <c r="P276" s="151"/>
      <c r="Q276" s="151"/>
      <c r="R276" s="151"/>
      <c r="S276" s="152"/>
      <c r="T276" s="151"/>
      <c r="U276" s="151"/>
      <c r="V276" s="153"/>
      <c r="W276" s="151"/>
      <c r="X276" s="151"/>
      <c r="Y276" s="153"/>
      <c r="Z276" s="151"/>
      <c r="AA276" s="187" t="str">
        <f t="shared" si="9"/>
        <v>No</v>
      </c>
      <c r="AB276" s="158"/>
      <c r="AC276" s="159"/>
      <c r="AD276" s="160"/>
    </row>
    <row r="277" spans="1:30">
      <c r="A277" s="155"/>
      <c r="B277" s="112" t="str">
        <f t="shared" si="8"/>
        <v/>
      </c>
      <c r="C277" s="183"/>
      <c r="D277" s="152"/>
      <c r="E277" s="152"/>
      <c r="F277" s="151"/>
      <c r="G277" s="153"/>
      <c r="H277" s="151"/>
      <c r="I277" s="151"/>
      <c r="J277" s="151"/>
      <c r="K277" s="151"/>
      <c r="L277" s="151"/>
      <c r="M277" s="151"/>
      <c r="N277" s="151"/>
      <c r="O277" s="151"/>
      <c r="P277" s="151"/>
      <c r="Q277" s="151"/>
      <c r="R277" s="151"/>
      <c r="S277" s="152"/>
      <c r="T277" s="151"/>
      <c r="U277" s="151"/>
      <c r="V277" s="153"/>
      <c r="W277" s="151"/>
      <c r="X277" s="151"/>
      <c r="Y277" s="153"/>
      <c r="Z277" s="151"/>
      <c r="AA277" s="187" t="str">
        <f t="shared" si="9"/>
        <v>No</v>
      </c>
      <c r="AB277" s="158"/>
      <c r="AC277" s="159"/>
      <c r="AD277" s="160"/>
    </row>
    <row r="278" spans="1:30">
      <c r="A278" s="155"/>
      <c r="B278" s="112" t="str">
        <f t="shared" si="8"/>
        <v/>
      </c>
      <c r="C278" s="183"/>
      <c r="D278" s="152"/>
      <c r="E278" s="152"/>
      <c r="F278" s="151"/>
      <c r="G278" s="153"/>
      <c r="H278" s="151"/>
      <c r="I278" s="151"/>
      <c r="J278" s="151"/>
      <c r="K278" s="151"/>
      <c r="L278" s="151"/>
      <c r="M278" s="151"/>
      <c r="N278" s="151"/>
      <c r="O278" s="151"/>
      <c r="P278" s="151"/>
      <c r="Q278" s="151"/>
      <c r="R278" s="151"/>
      <c r="S278" s="152"/>
      <c r="T278" s="151"/>
      <c r="U278" s="151"/>
      <c r="V278" s="153"/>
      <c r="W278" s="151"/>
      <c r="X278" s="151"/>
      <c r="Y278" s="153"/>
      <c r="Z278" s="151"/>
      <c r="AA278" s="187" t="str">
        <f t="shared" si="9"/>
        <v>No</v>
      </c>
      <c r="AB278" s="158"/>
      <c r="AC278" s="159"/>
      <c r="AD278" s="160"/>
    </row>
    <row r="279" spans="1:30">
      <c r="A279" s="155"/>
      <c r="B279" s="112" t="str">
        <f t="shared" si="8"/>
        <v/>
      </c>
      <c r="C279" s="183"/>
      <c r="D279" s="152"/>
      <c r="E279" s="152"/>
      <c r="F279" s="151"/>
      <c r="G279" s="153"/>
      <c r="H279" s="151"/>
      <c r="I279" s="151"/>
      <c r="J279" s="151"/>
      <c r="K279" s="151"/>
      <c r="L279" s="151"/>
      <c r="M279" s="151"/>
      <c r="N279" s="151"/>
      <c r="O279" s="151"/>
      <c r="P279" s="151"/>
      <c r="Q279" s="151"/>
      <c r="R279" s="151"/>
      <c r="S279" s="152"/>
      <c r="T279" s="151"/>
      <c r="U279" s="151"/>
      <c r="V279" s="153"/>
      <c r="W279" s="151"/>
      <c r="X279" s="151"/>
      <c r="Y279" s="153"/>
      <c r="Z279" s="151"/>
      <c r="AA279" s="187" t="str">
        <f t="shared" si="9"/>
        <v>No</v>
      </c>
      <c r="AB279" s="158"/>
      <c r="AC279" s="159"/>
      <c r="AD279" s="160"/>
    </row>
    <row r="280" spans="1:30">
      <c r="A280" s="155"/>
      <c r="B280" s="112" t="str">
        <f t="shared" si="8"/>
        <v/>
      </c>
      <c r="C280" s="183"/>
      <c r="D280" s="152"/>
      <c r="E280" s="152"/>
      <c r="F280" s="151"/>
      <c r="G280" s="153"/>
      <c r="H280" s="151"/>
      <c r="I280" s="151"/>
      <c r="J280" s="151"/>
      <c r="K280" s="151"/>
      <c r="L280" s="151"/>
      <c r="M280" s="151"/>
      <c r="N280" s="151"/>
      <c r="O280" s="151"/>
      <c r="P280" s="151"/>
      <c r="Q280" s="151"/>
      <c r="R280" s="151"/>
      <c r="S280" s="152"/>
      <c r="T280" s="151"/>
      <c r="U280" s="151"/>
      <c r="V280" s="153"/>
      <c r="W280" s="151"/>
      <c r="X280" s="151"/>
      <c r="Y280" s="153"/>
      <c r="Z280" s="151"/>
      <c r="AA280" s="187" t="str">
        <f t="shared" si="9"/>
        <v>No</v>
      </c>
      <c r="AB280" s="158"/>
      <c r="AC280" s="159"/>
      <c r="AD280" s="160"/>
    </row>
    <row r="281" spans="1:30">
      <c r="A281" s="155"/>
      <c r="B281" s="112" t="str">
        <f t="shared" si="8"/>
        <v/>
      </c>
      <c r="C281" s="183"/>
      <c r="D281" s="152"/>
      <c r="E281" s="152"/>
      <c r="F281" s="151"/>
      <c r="G281" s="153"/>
      <c r="H281" s="151"/>
      <c r="I281" s="151"/>
      <c r="J281" s="151"/>
      <c r="K281" s="151"/>
      <c r="L281" s="151"/>
      <c r="M281" s="151"/>
      <c r="N281" s="151"/>
      <c r="O281" s="151"/>
      <c r="P281" s="151"/>
      <c r="Q281" s="151"/>
      <c r="R281" s="151"/>
      <c r="S281" s="152"/>
      <c r="T281" s="151"/>
      <c r="U281" s="151"/>
      <c r="V281" s="153"/>
      <c r="W281" s="151"/>
      <c r="X281" s="151"/>
      <c r="Y281" s="153"/>
      <c r="Z281" s="151"/>
      <c r="AA281" s="187" t="str">
        <f t="shared" si="9"/>
        <v>No</v>
      </c>
      <c r="AB281" s="158"/>
      <c r="AC281" s="159"/>
      <c r="AD281" s="160"/>
    </row>
    <row r="282" spans="1:30">
      <c r="A282" s="155"/>
      <c r="B282" s="112" t="str">
        <f t="shared" si="8"/>
        <v/>
      </c>
      <c r="C282" s="183"/>
      <c r="D282" s="152"/>
      <c r="E282" s="152"/>
      <c r="F282" s="151"/>
      <c r="G282" s="153"/>
      <c r="H282" s="151"/>
      <c r="I282" s="151"/>
      <c r="J282" s="151"/>
      <c r="K282" s="151"/>
      <c r="L282" s="151"/>
      <c r="M282" s="151"/>
      <c r="N282" s="151"/>
      <c r="O282" s="151"/>
      <c r="P282" s="151"/>
      <c r="Q282" s="151"/>
      <c r="R282" s="151"/>
      <c r="S282" s="152"/>
      <c r="T282" s="151"/>
      <c r="U282" s="151"/>
      <c r="V282" s="153"/>
      <c r="W282" s="151"/>
      <c r="X282" s="151"/>
      <c r="Y282" s="153"/>
      <c r="Z282" s="151"/>
      <c r="AA282" s="187" t="str">
        <f t="shared" si="9"/>
        <v>No</v>
      </c>
      <c r="AB282" s="158"/>
      <c r="AC282" s="159"/>
      <c r="AD282" s="160"/>
    </row>
    <row r="283" spans="1:30">
      <c r="A283" s="155"/>
      <c r="B283" s="112" t="str">
        <f t="shared" si="8"/>
        <v/>
      </c>
      <c r="C283" s="183"/>
      <c r="D283" s="152"/>
      <c r="E283" s="152"/>
      <c r="F283" s="151"/>
      <c r="G283" s="153"/>
      <c r="H283" s="151"/>
      <c r="I283" s="151"/>
      <c r="J283" s="151"/>
      <c r="K283" s="151"/>
      <c r="L283" s="151"/>
      <c r="M283" s="151"/>
      <c r="N283" s="151"/>
      <c r="O283" s="151"/>
      <c r="P283" s="151"/>
      <c r="Q283" s="151"/>
      <c r="R283" s="151"/>
      <c r="S283" s="152"/>
      <c r="T283" s="151"/>
      <c r="U283" s="151"/>
      <c r="V283" s="153"/>
      <c r="W283" s="151"/>
      <c r="X283" s="151"/>
      <c r="Y283" s="153"/>
      <c r="Z283" s="151"/>
      <c r="AA283" s="187" t="str">
        <f t="shared" si="9"/>
        <v>No</v>
      </c>
      <c r="AB283" s="158"/>
      <c r="AC283" s="159"/>
      <c r="AD283" s="160"/>
    </row>
    <row r="284" spans="1:30">
      <c r="A284" s="155"/>
      <c r="B284" s="112" t="str">
        <f t="shared" si="8"/>
        <v/>
      </c>
      <c r="C284" s="183"/>
      <c r="D284" s="152"/>
      <c r="E284" s="152"/>
      <c r="F284" s="151"/>
      <c r="G284" s="153"/>
      <c r="H284" s="151"/>
      <c r="I284" s="151"/>
      <c r="J284" s="151"/>
      <c r="K284" s="151"/>
      <c r="L284" s="151"/>
      <c r="M284" s="151"/>
      <c r="N284" s="151"/>
      <c r="O284" s="151"/>
      <c r="P284" s="151"/>
      <c r="Q284" s="151"/>
      <c r="R284" s="151"/>
      <c r="S284" s="152"/>
      <c r="T284" s="151"/>
      <c r="U284" s="151"/>
      <c r="V284" s="153"/>
      <c r="W284" s="151"/>
      <c r="X284" s="151"/>
      <c r="Y284" s="153"/>
      <c r="Z284" s="151"/>
      <c r="AA284" s="187" t="str">
        <f t="shared" si="9"/>
        <v>No</v>
      </c>
      <c r="AB284" s="158"/>
      <c r="AC284" s="159"/>
      <c r="AD284" s="160"/>
    </row>
    <row r="285" spans="1:30">
      <c r="A285" s="155"/>
      <c r="B285" s="112" t="str">
        <f t="shared" si="8"/>
        <v/>
      </c>
      <c r="C285" s="183"/>
      <c r="D285" s="152"/>
      <c r="E285" s="152"/>
      <c r="F285" s="151"/>
      <c r="G285" s="153"/>
      <c r="H285" s="151"/>
      <c r="I285" s="151"/>
      <c r="J285" s="151"/>
      <c r="K285" s="151"/>
      <c r="L285" s="151"/>
      <c r="M285" s="151"/>
      <c r="N285" s="151"/>
      <c r="O285" s="151"/>
      <c r="P285" s="151"/>
      <c r="Q285" s="151"/>
      <c r="R285" s="151"/>
      <c r="S285" s="152"/>
      <c r="T285" s="151"/>
      <c r="U285" s="151"/>
      <c r="V285" s="153"/>
      <c r="W285" s="151"/>
      <c r="X285" s="151"/>
      <c r="Y285" s="153"/>
      <c r="Z285" s="151"/>
      <c r="AA285" s="187" t="str">
        <f t="shared" si="9"/>
        <v>No</v>
      </c>
      <c r="AB285" s="158"/>
      <c r="AC285" s="159"/>
      <c r="AD285" s="160"/>
    </row>
    <row r="286" spans="1:30">
      <c r="A286" s="155"/>
      <c r="B286" s="112" t="str">
        <f t="shared" si="8"/>
        <v/>
      </c>
      <c r="C286" s="183"/>
      <c r="D286" s="152"/>
      <c r="E286" s="152"/>
      <c r="F286" s="151"/>
      <c r="G286" s="153"/>
      <c r="H286" s="151"/>
      <c r="I286" s="151"/>
      <c r="J286" s="151"/>
      <c r="K286" s="151"/>
      <c r="L286" s="151"/>
      <c r="M286" s="151"/>
      <c r="N286" s="151"/>
      <c r="O286" s="151"/>
      <c r="P286" s="151"/>
      <c r="Q286" s="151"/>
      <c r="R286" s="151"/>
      <c r="S286" s="152"/>
      <c r="T286" s="151"/>
      <c r="U286" s="151"/>
      <c r="V286" s="153"/>
      <c r="W286" s="151"/>
      <c r="X286" s="151"/>
      <c r="Y286" s="153"/>
      <c r="Z286" s="151"/>
      <c r="AA286" s="187" t="str">
        <f t="shared" si="9"/>
        <v>No</v>
      </c>
      <c r="AB286" s="158"/>
      <c r="AC286" s="159"/>
      <c r="AD286" s="160"/>
    </row>
    <row r="287" spans="1:30">
      <c r="A287" s="155"/>
      <c r="B287" s="112" t="str">
        <f t="shared" si="8"/>
        <v/>
      </c>
      <c r="C287" s="183"/>
      <c r="D287" s="152"/>
      <c r="E287" s="152"/>
      <c r="F287" s="151"/>
      <c r="G287" s="153"/>
      <c r="H287" s="151"/>
      <c r="I287" s="151"/>
      <c r="J287" s="151"/>
      <c r="K287" s="151"/>
      <c r="L287" s="151"/>
      <c r="M287" s="151"/>
      <c r="N287" s="151"/>
      <c r="O287" s="151"/>
      <c r="P287" s="151"/>
      <c r="Q287" s="151"/>
      <c r="R287" s="151"/>
      <c r="S287" s="152"/>
      <c r="T287" s="151"/>
      <c r="U287" s="151"/>
      <c r="V287" s="153"/>
      <c r="W287" s="151"/>
      <c r="X287" s="151"/>
      <c r="Y287" s="153"/>
      <c r="Z287" s="151"/>
      <c r="AA287" s="187" t="str">
        <f t="shared" si="9"/>
        <v>No</v>
      </c>
      <c r="AB287" s="158"/>
      <c r="AC287" s="159"/>
      <c r="AD287" s="160"/>
    </row>
    <row r="288" spans="1:30">
      <c r="A288" s="155"/>
      <c r="B288" s="112" t="str">
        <f t="shared" si="8"/>
        <v/>
      </c>
      <c r="C288" s="183"/>
      <c r="D288" s="152"/>
      <c r="E288" s="152"/>
      <c r="F288" s="151"/>
      <c r="G288" s="153"/>
      <c r="H288" s="151"/>
      <c r="I288" s="151"/>
      <c r="J288" s="151"/>
      <c r="K288" s="151"/>
      <c r="L288" s="151"/>
      <c r="M288" s="151"/>
      <c r="N288" s="151"/>
      <c r="O288" s="151"/>
      <c r="P288" s="151"/>
      <c r="Q288" s="151"/>
      <c r="R288" s="151"/>
      <c r="S288" s="152"/>
      <c r="T288" s="151"/>
      <c r="U288" s="151"/>
      <c r="V288" s="153"/>
      <c r="W288" s="151"/>
      <c r="X288" s="151"/>
      <c r="Y288" s="153"/>
      <c r="Z288" s="151"/>
      <c r="AA288" s="187" t="str">
        <f t="shared" si="9"/>
        <v>No</v>
      </c>
      <c r="AB288" s="158"/>
      <c r="AC288" s="159"/>
      <c r="AD288" s="160"/>
    </row>
    <row r="289" spans="1:30">
      <c r="A289" s="155"/>
      <c r="B289" s="112" t="str">
        <f t="shared" si="8"/>
        <v/>
      </c>
      <c r="C289" s="183"/>
      <c r="D289" s="152"/>
      <c r="E289" s="152"/>
      <c r="F289" s="151"/>
      <c r="G289" s="153"/>
      <c r="H289" s="151"/>
      <c r="I289" s="151"/>
      <c r="J289" s="151"/>
      <c r="K289" s="151"/>
      <c r="L289" s="151"/>
      <c r="M289" s="151"/>
      <c r="N289" s="151"/>
      <c r="O289" s="151"/>
      <c r="P289" s="151"/>
      <c r="Q289" s="151"/>
      <c r="R289" s="151"/>
      <c r="S289" s="152"/>
      <c r="T289" s="151"/>
      <c r="U289" s="151"/>
      <c r="V289" s="153"/>
      <c r="W289" s="151"/>
      <c r="X289" s="151"/>
      <c r="Y289" s="153"/>
      <c r="Z289" s="151"/>
      <c r="AA289" s="187" t="str">
        <f t="shared" si="9"/>
        <v>No</v>
      </c>
      <c r="AB289" s="158"/>
      <c r="AC289" s="159"/>
      <c r="AD289" s="160"/>
    </row>
    <row r="290" spans="1:30">
      <c r="A290" s="155"/>
      <c r="B290" s="112" t="str">
        <f t="shared" si="8"/>
        <v/>
      </c>
      <c r="C290" s="183"/>
      <c r="D290" s="152"/>
      <c r="E290" s="152"/>
      <c r="F290" s="151"/>
      <c r="G290" s="153"/>
      <c r="H290" s="151"/>
      <c r="I290" s="151"/>
      <c r="J290" s="151"/>
      <c r="K290" s="151"/>
      <c r="L290" s="151"/>
      <c r="M290" s="151"/>
      <c r="N290" s="151"/>
      <c r="O290" s="151"/>
      <c r="P290" s="151"/>
      <c r="Q290" s="151"/>
      <c r="R290" s="151"/>
      <c r="S290" s="152"/>
      <c r="T290" s="151"/>
      <c r="U290" s="151"/>
      <c r="V290" s="153"/>
      <c r="W290" s="151"/>
      <c r="X290" s="151"/>
      <c r="Y290" s="153"/>
      <c r="Z290" s="151"/>
      <c r="AA290" s="187" t="str">
        <f t="shared" si="9"/>
        <v>No</v>
      </c>
      <c r="AB290" s="158"/>
      <c r="AC290" s="159"/>
      <c r="AD290" s="160"/>
    </row>
    <row r="291" spans="1:30">
      <c r="A291" s="155"/>
      <c r="B291" s="112" t="str">
        <f t="shared" si="8"/>
        <v/>
      </c>
      <c r="C291" s="183"/>
      <c r="D291" s="152"/>
      <c r="E291" s="152"/>
      <c r="F291" s="151"/>
      <c r="G291" s="153"/>
      <c r="H291" s="151"/>
      <c r="I291" s="151"/>
      <c r="J291" s="151"/>
      <c r="K291" s="151"/>
      <c r="L291" s="151"/>
      <c r="M291" s="151"/>
      <c r="N291" s="151"/>
      <c r="O291" s="151"/>
      <c r="P291" s="151"/>
      <c r="Q291" s="151"/>
      <c r="R291" s="151"/>
      <c r="S291" s="152"/>
      <c r="T291" s="151"/>
      <c r="U291" s="151"/>
      <c r="V291" s="153"/>
      <c r="W291" s="151"/>
      <c r="X291" s="151"/>
      <c r="Y291" s="153"/>
      <c r="Z291" s="151"/>
      <c r="AA291" s="187" t="str">
        <f t="shared" si="9"/>
        <v>No</v>
      </c>
      <c r="AB291" s="158"/>
      <c r="AC291" s="159"/>
      <c r="AD291" s="160"/>
    </row>
    <row r="292" spans="1:30">
      <c r="A292" s="155"/>
      <c r="B292" s="112" t="str">
        <f t="shared" si="8"/>
        <v/>
      </c>
      <c r="C292" s="183"/>
      <c r="D292" s="152"/>
      <c r="E292" s="152"/>
      <c r="F292" s="151"/>
      <c r="G292" s="153"/>
      <c r="H292" s="151"/>
      <c r="I292" s="151"/>
      <c r="J292" s="151"/>
      <c r="K292" s="151"/>
      <c r="L292" s="151"/>
      <c r="M292" s="151"/>
      <c r="N292" s="151"/>
      <c r="O292" s="151"/>
      <c r="P292" s="151"/>
      <c r="Q292" s="151"/>
      <c r="R292" s="151"/>
      <c r="S292" s="152"/>
      <c r="T292" s="151"/>
      <c r="U292" s="151"/>
      <c r="V292" s="153"/>
      <c r="W292" s="151"/>
      <c r="X292" s="151"/>
      <c r="Y292" s="153"/>
      <c r="Z292" s="151"/>
      <c r="AA292" s="187" t="str">
        <f t="shared" si="9"/>
        <v>No</v>
      </c>
      <c r="AB292" s="158"/>
      <c r="AC292" s="159"/>
      <c r="AD292" s="160"/>
    </row>
    <row r="293" spans="1:30">
      <c r="A293" s="155"/>
      <c r="B293" s="112" t="str">
        <f t="shared" si="8"/>
        <v/>
      </c>
      <c r="C293" s="183"/>
      <c r="D293" s="152"/>
      <c r="E293" s="152"/>
      <c r="F293" s="151"/>
      <c r="G293" s="153"/>
      <c r="H293" s="151"/>
      <c r="I293" s="151"/>
      <c r="J293" s="151"/>
      <c r="K293" s="151"/>
      <c r="L293" s="151"/>
      <c r="M293" s="151"/>
      <c r="N293" s="151"/>
      <c r="O293" s="151"/>
      <c r="P293" s="151"/>
      <c r="Q293" s="151"/>
      <c r="R293" s="151"/>
      <c r="S293" s="152"/>
      <c r="T293" s="151"/>
      <c r="U293" s="151"/>
      <c r="V293" s="153"/>
      <c r="W293" s="151"/>
      <c r="X293" s="151"/>
      <c r="Y293" s="153"/>
      <c r="Z293" s="151"/>
      <c r="AA293" s="187" t="str">
        <f t="shared" si="9"/>
        <v>No</v>
      </c>
      <c r="AB293" s="158"/>
      <c r="AC293" s="159"/>
      <c r="AD293" s="160"/>
    </row>
    <row r="294" spans="1:30">
      <c r="A294" s="155"/>
      <c r="B294" s="112" t="str">
        <f t="shared" si="8"/>
        <v/>
      </c>
      <c r="C294" s="183"/>
      <c r="D294" s="152"/>
      <c r="E294" s="152"/>
      <c r="F294" s="151"/>
      <c r="G294" s="153"/>
      <c r="H294" s="151"/>
      <c r="I294" s="151"/>
      <c r="J294" s="151"/>
      <c r="K294" s="151"/>
      <c r="L294" s="151"/>
      <c r="M294" s="151"/>
      <c r="N294" s="151"/>
      <c r="O294" s="151"/>
      <c r="P294" s="151"/>
      <c r="Q294" s="151"/>
      <c r="R294" s="151"/>
      <c r="S294" s="152"/>
      <c r="T294" s="151"/>
      <c r="U294" s="151"/>
      <c r="V294" s="153"/>
      <c r="W294" s="151"/>
      <c r="X294" s="151"/>
      <c r="Y294" s="153"/>
      <c r="Z294" s="151"/>
      <c r="AA294" s="187" t="str">
        <f t="shared" si="9"/>
        <v>No</v>
      </c>
      <c r="AB294" s="158"/>
      <c r="AC294" s="159"/>
      <c r="AD294" s="160"/>
    </row>
    <row r="295" spans="1:30">
      <c r="A295" s="155"/>
      <c r="B295" s="112" t="str">
        <f t="shared" si="8"/>
        <v/>
      </c>
      <c r="C295" s="183"/>
      <c r="D295" s="152"/>
      <c r="E295" s="152"/>
      <c r="F295" s="151"/>
      <c r="G295" s="153"/>
      <c r="H295" s="151"/>
      <c r="I295" s="151"/>
      <c r="J295" s="151"/>
      <c r="K295" s="151"/>
      <c r="L295" s="151"/>
      <c r="M295" s="151"/>
      <c r="N295" s="151"/>
      <c r="O295" s="151"/>
      <c r="P295" s="151"/>
      <c r="Q295" s="151"/>
      <c r="R295" s="151"/>
      <c r="S295" s="152"/>
      <c r="T295" s="151"/>
      <c r="U295" s="151"/>
      <c r="V295" s="153"/>
      <c r="W295" s="151"/>
      <c r="X295" s="151"/>
      <c r="Y295" s="153"/>
      <c r="Z295" s="151"/>
      <c r="AA295" s="187" t="str">
        <f t="shared" si="9"/>
        <v>No</v>
      </c>
      <c r="AB295" s="158"/>
      <c r="AC295" s="159"/>
      <c r="AD295" s="160"/>
    </row>
    <row r="296" spans="1:30">
      <c r="A296" s="155"/>
      <c r="B296" s="112" t="str">
        <f t="shared" si="8"/>
        <v/>
      </c>
      <c r="C296" s="183"/>
      <c r="D296" s="152"/>
      <c r="E296" s="152"/>
      <c r="F296" s="151"/>
      <c r="G296" s="153"/>
      <c r="H296" s="151"/>
      <c r="I296" s="151"/>
      <c r="J296" s="151"/>
      <c r="K296" s="151"/>
      <c r="L296" s="151"/>
      <c r="M296" s="151"/>
      <c r="N296" s="151"/>
      <c r="O296" s="151"/>
      <c r="P296" s="151"/>
      <c r="Q296" s="151"/>
      <c r="R296" s="151"/>
      <c r="S296" s="152"/>
      <c r="T296" s="151"/>
      <c r="U296" s="151"/>
      <c r="V296" s="153"/>
      <c r="W296" s="151"/>
      <c r="X296" s="151"/>
      <c r="Y296" s="153"/>
      <c r="Z296" s="151"/>
      <c r="AA296" s="187" t="str">
        <f t="shared" si="9"/>
        <v>No</v>
      </c>
      <c r="AB296" s="158"/>
      <c r="AC296" s="159"/>
      <c r="AD296" s="160"/>
    </row>
    <row r="297" spans="1:30">
      <c r="A297" s="155"/>
      <c r="B297" s="112" t="str">
        <f t="shared" si="8"/>
        <v/>
      </c>
      <c r="C297" s="183"/>
      <c r="D297" s="152"/>
      <c r="E297" s="152"/>
      <c r="F297" s="151"/>
      <c r="G297" s="153"/>
      <c r="H297" s="151"/>
      <c r="I297" s="151"/>
      <c r="J297" s="151"/>
      <c r="K297" s="151"/>
      <c r="L297" s="151"/>
      <c r="M297" s="151"/>
      <c r="N297" s="151"/>
      <c r="O297" s="151"/>
      <c r="P297" s="151"/>
      <c r="Q297" s="151"/>
      <c r="R297" s="151"/>
      <c r="S297" s="152"/>
      <c r="T297" s="151"/>
      <c r="U297" s="151"/>
      <c r="V297" s="153"/>
      <c r="W297" s="151"/>
      <c r="X297" s="151"/>
      <c r="Y297" s="153"/>
      <c r="Z297" s="151"/>
      <c r="AA297" s="187" t="str">
        <f t="shared" si="9"/>
        <v>No</v>
      </c>
      <c r="AB297" s="158"/>
      <c r="AC297" s="159"/>
      <c r="AD297" s="160"/>
    </row>
    <row r="298" spans="1:30">
      <c r="A298" s="155"/>
      <c r="B298" s="112" t="str">
        <f t="shared" si="8"/>
        <v/>
      </c>
      <c r="C298" s="183"/>
      <c r="D298" s="152"/>
      <c r="E298" s="152"/>
      <c r="F298" s="151"/>
      <c r="G298" s="153"/>
      <c r="H298" s="151"/>
      <c r="I298" s="151"/>
      <c r="J298" s="151"/>
      <c r="K298" s="151"/>
      <c r="L298" s="151"/>
      <c r="M298" s="151"/>
      <c r="N298" s="151"/>
      <c r="O298" s="151"/>
      <c r="P298" s="151"/>
      <c r="Q298" s="151"/>
      <c r="R298" s="151"/>
      <c r="S298" s="152"/>
      <c r="T298" s="151"/>
      <c r="U298" s="151"/>
      <c r="V298" s="153"/>
      <c r="W298" s="151"/>
      <c r="X298" s="151"/>
      <c r="Y298" s="153"/>
      <c r="Z298" s="151"/>
      <c r="AA298" s="187" t="str">
        <f t="shared" si="9"/>
        <v>No</v>
      </c>
      <c r="AB298" s="158"/>
      <c r="AC298" s="159"/>
      <c r="AD298" s="160"/>
    </row>
    <row r="299" spans="1:30">
      <c r="A299" s="155"/>
      <c r="B299" s="112" t="str">
        <f t="shared" si="8"/>
        <v/>
      </c>
      <c r="C299" s="183"/>
      <c r="D299" s="152"/>
      <c r="E299" s="152"/>
      <c r="F299" s="151"/>
      <c r="G299" s="153"/>
      <c r="H299" s="151"/>
      <c r="I299" s="151"/>
      <c r="J299" s="151"/>
      <c r="K299" s="151"/>
      <c r="L299" s="151"/>
      <c r="M299" s="151"/>
      <c r="N299" s="151"/>
      <c r="O299" s="151"/>
      <c r="P299" s="151"/>
      <c r="Q299" s="151"/>
      <c r="R299" s="151"/>
      <c r="S299" s="152"/>
      <c r="T299" s="151"/>
      <c r="U299" s="151"/>
      <c r="V299" s="153"/>
      <c r="W299" s="151"/>
      <c r="X299" s="151"/>
      <c r="Y299" s="153"/>
      <c r="Z299" s="151"/>
      <c r="AA299" s="187" t="str">
        <f t="shared" si="9"/>
        <v>No</v>
      </c>
      <c r="AB299" s="158"/>
      <c r="AC299" s="159"/>
      <c r="AD299" s="160"/>
    </row>
    <row r="300" spans="1:30">
      <c r="A300" s="155"/>
      <c r="B300" s="112" t="str">
        <f t="shared" si="8"/>
        <v/>
      </c>
      <c r="C300" s="183"/>
      <c r="D300" s="152"/>
      <c r="E300" s="152"/>
      <c r="F300" s="151"/>
      <c r="G300" s="153"/>
      <c r="H300" s="151"/>
      <c r="I300" s="151"/>
      <c r="J300" s="151"/>
      <c r="K300" s="151"/>
      <c r="L300" s="151"/>
      <c r="M300" s="151"/>
      <c r="N300" s="151"/>
      <c r="O300" s="151"/>
      <c r="P300" s="151"/>
      <c r="Q300" s="151"/>
      <c r="R300" s="151"/>
      <c r="S300" s="152"/>
      <c r="T300" s="151"/>
      <c r="U300" s="151"/>
      <c r="V300" s="153"/>
      <c r="W300" s="151"/>
      <c r="X300" s="151"/>
      <c r="Y300" s="153"/>
      <c r="Z300" s="151"/>
      <c r="AA300" s="187" t="str">
        <f t="shared" si="9"/>
        <v>No</v>
      </c>
      <c r="AB300" s="158"/>
      <c r="AC300" s="159"/>
      <c r="AD300" s="160"/>
    </row>
    <row r="301" spans="1:30">
      <c r="A301" s="155"/>
      <c r="B301" s="112" t="str">
        <f t="shared" si="8"/>
        <v/>
      </c>
      <c r="C301" s="183"/>
      <c r="D301" s="152"/>
      <c r="E301" s="152"/>
      <c r="F301" s="151"/>
      <c r="G301" s="153"/>
      <c r="H301" s="151"/>
      <c r="I301" s="151"/>
      <c r="J301" s="151"/>
      <c r="K301" s="151"/>
      <c r="L301" s="151"/>
      <c r="M301" s="151"/>
      <c r="N301" s="151"/>
      <c r="O301" s="151"/>
      <c r="P301" s="151"/>
      <c r="Q301" s="151"/>
      <c r="R301" s="151"/>
      <c r="S301" s="152"/>
      <c r="T301" s="151"/>
      <c r="U301" s="151"/>
      <c r="V301" s="153"/>
      <c r="W301" s="151"/>
      <c r="X301" s="151"/>
      <c r="Y301" s="153"/>
      <c r="Z301" s="151"/>
      <c r="AA301" s="187" t="str">
        <f t="shared" si="9"/>
        <v>No</v>
      </c>
      <c r="AB301" s="158"/>
      <c r="AC301" s="159"/>
      <c r="AD301" s="160"/>
    </row>
    <row r="302" spans="1:30">
      <c r="A302" s="155"/>
      <c r="B302" s="112" t="str">
        <f t="shared" si="8"/>
        <v/>
      </c>
      <c r="C302" s="183"/>
      <c r="D302" s="152"/>
      <c r="E302" s="152"/>
      <c r="F302" s="151"/>
      <c r="G302" s="153"/>
      <c r="H302" s="151"/>
      <c r="I302" s="151"/>
      <c r="J302" s="151"/>
      <c r="K302" s="151"/>
      <c r="L302" s="151"/>
      <c r="M302" s="151"/>
      <c r="N302" s="151"/>
      <c r="O302" s="151"/>
      <c r="P302" s="151"/>
      <c r="Q302" s="151"/>
      <c r="R302" s="151"/>
      <c r="S302" s="152"/>
      <c r="T302" s="151"/>
      <c r="U302" s="151"/>
      <c r="V302" s="153"/>
      <c r="W302" s="151"/>
      <c r="X302" s="151"/>
      <c r="Y302" s="153"/>
      <c r="Z302" s="151"/>
      <c r="AA302" s="187" t="str">
        <f t="shared" si="9"/>
        <v>No</v>
      </c>
      <c r="AB302" s="158"/>
      <c r="AC302" s="159"/>
      <c r="AD302" s="160"/>
    </row>
    <row r="303" spans="1:30">
      <c r="A303" s="155"/>
      <c r="B303" s="112" t="str">
        <f t="shared" si="8"/>
        <v/>
      </c>
      <c r="C303" s="183"/>
      <c r="D303" s="152"/>
      <c r="E303" s="152"/>
      <c r="F303" s="151"/>
      <c r="G303" s="153"/>
      <c r="H303" s="151"/>
      <c r="I303" s="151"/>
      <c r="J303" s="151"/>
      <c r="K303" s="151"/>
      <c r="L303" s="151"/>
      <c r="M303" s="151"/>
      <c r="N303" s="151"/>
      <c r="O303" s="151"/>
      <c r="P303" s="151"/>
      <c r="Q303" s="151"/>
      <c r="R303" s="151"/>
      <c r="S303" s="152"/>
      <c r="T303" s="151"/>
      <c r="U303" s="151"/>
      <c r="V303" s="153"/>
      <c r="W303" s="151"/>
      <c r="X303" s="151"/>
      <c r="Y303" s="153"/>
      <c r="Z303" s="151"/>
      <c r="AA303" s="187" t="str">
        <f t="shared" si="9"/>
        <v>No</v>
      </c>
      <c r="AB303" s="158"/>
      <c r="AC303" s="159"/>
      <c r="AD303" s="160"/>
    </row>
    <row r="304" spans="1:30">
      <c r="A304" s="155"/>
      <c r="B304" s="112" t="str">
        <f t="shared" si="8"/>
        <v/>
      </c>
      <c r="C304" s="183"/>
      <c r="D304" s="152"/>
      <c r="E304" s="152"/>
      <c r="F304" s="151"/>
      <c r="G304" s="153"/>
      <c r="H304" s="151"/>
      <c r="I304" s="151"/>
      <c r="J304" s="151"/>
      <c r="K304" s="151"/>
      <c r="L304" s="151"/>
      <c r="M304" s="151"/>
      <c r="N304" s="151"/>
      <c r="O304" s="151"/>
      <c r="P304" s="151"/>
      <c r="Q304" s="151"/>
      <c r="R304" s="151"/>
      <c r="S304" s="152"/>
      <c r="T304" s="151"/>
      <c r="U304" s="151"/>
      <c r="V304" s="153"/>
      <c r="W304" s="151"/>
      <c r="X304" s="151"/>
      <c r="Y304" s="153"/>
      <c r="Z304" s="151"/>
      <c r="AA304" s="187" t="str">
        <f t="shared" si="9"/>
        <v>No</v>
      </c>
      <c r="AB304" s="158"/>
      <c r="AC304" s="159"/>
      <c r="AD304" s="160"/>
    </row>
    <row r="305" spans="1:30">
      <c r="A305" s="155"/>
      <c r="B305" s="112" t="str">
        <f t="shared" si="8"/>
        <v/>
      </c>
      <c r="C305" s="183"/>
      <c r="D305" s="152"/>
      <c r="E305" s="152"/>
      <c r="F305" s="151"/>
      <c r="G305" s="153"/>
      <c r="H305" s="151"/>
      <c r="I305" s="151"/>
      <c r="J305" s="151"/>
      <c r="K305" s="151"/>
      <c r="L305" s="151"/>
      <c r="M305" s="151"/>
      <c r="N305" s="151"/>
      <c r="O305" s="151"/>
      <c r="P305" s="151"/>
      <c r="Q305" s="151"/>
      <c r="R305" s="151"/>
      <c r="S305" s="152"/>
      <c r="T305" s="151"/>
      <c r="U305" s="151"/>
      <c r="V305" s="153"/>
      <c r="W305" s="151"/>
      <c r="X305" s="151"/>
      <c r="Y305" s="153"/>
      <c r="Z305" s="151"/>
      <c r="AA305" s="187" t="str">
        <f t="shared" si="9"/>
        <v>No</v>
      </c>
      <c r="AB305" s="158"/>
      <c r="AC305" s="159"/>
      <c r="AD305" s="160"/>
    </row>
    <row r="306" spans="1:30">
      <c r="A306" s="155"/>
      <c r="B306" s="112" t="str">
        <f t="shared" si="8"/>
        <v/>
      </c>
      <c r="C306" s="183"/>
      <c r="D306" s="152"/>
      <c r="E306" s="152"/>
      <c r="F306" s="151"/>
      <c r="G306" s="153"/>
      <c r="H306" s="151"/>
      <c r="I306" s="151"/>
      <c r="J306" s="151"/>
      <c r="K306" s="151"/>
      <c r="L306" s="151"/>
      <c r="M306" s="151"/>
      <c r="N306" s="151"/>
      <c r="O306" s="151"/>
      <c r="P306" s="151"/>
      <c r="Q306" s="151"/>
      <c r="R306" s="151"/>
      <c r="S306" s="152"/>
      <c r="T306" s="151"/>
      <c r="U306" s="151"/>
      <c r="V306" s="153"/>
      <c r="W306" s="151"/>
      <c r="X306" s="151"/>
      <c r="Y306" s="153"/>
      <c r="Z306" s="151"/>
      <c r="AA306" s="187" t="str">
        <f t="shared" si="9"/>
        <v>No</v>
      </c>
      <c r="AB306" s="158"/>
      <c r="AC306" s="159"/>
      <c r="AD306" s="160"/>
    </row>
    <row r="307" spans="1:30">
      <c r="A307" s="155"/>
      <c r="B307" s="112" t="str">
        <f t="shared" si="8"/>
        <v/>
      </c>
      <c r="C307" s="183"/>
      <c r="D307" s="152"/>
      <c r="E307" s="152"/>
      <c r="F307" s="151"/>
      <c r="G307" s="153"/>
      <c r="H307" s="151"/>
      <c r="I307" s="151"/>
      <c r="J307" s="151"/>
      <c r="K307" s="151"/>
      <c r="L307" s="151"/>
      <c r="M307" s="151"/>
      <c r="N307" s="151"/>
      <c r="O307" s="151"/>
      <c r="P307" s="151"/>
      <c r="Q307" s="151"/>
      <c r="R307" s="151"/>
      <c r="S307" s="152"/>
      <c r="T307" s="151"/>
      <c r="U307" s="151"/>
      <c r="V307" s="153"/>
      <c r="W307" s="151"/>
      <c r="X307" s="151"/>
      <c r="Y307" s="153"/>
      <c r="Z307" s="151"/>
      <c r="AA307" s="187" t="str">
        <f t="shared" si="9"/>
        <v>No</v>
      </c>
      <c r="AB307" s="158"/>
      <c r="AC307" s="159"/>
      <c r="AD307" s="160"/>
    </row>
    <row r="308" spans="1:30">
      <c r="A308" s="155"/>
      <c r="B308" s="112" t="str">
        <f t="shared" si="8"/>
        <v/>
      </c>
      <c r="C308" s="183"/>
      <c r="D308" s="152"/>
      <c r="E308" s="152"/>
      <c r="F308" s="151"/>
      <c r="G308" s="153"/>
      <c r="H308" s="151"/>
      <c r="I308" s="151"/>
      <c r="J308" s="151"/>
      <c r="K308" s="151"/>
      <c r="L308" s="151"/>
      <c r="M308" s="151"/>
      <c r="N308" s="151"/>
      <c r="O308" s="151"/>
      <c r="P308" s="151"/>
      <c r="Q308" s="151"/>
      <c r="R308" s="151"/>
      <c r="S308" s="152"/>
      <c r="T308" s="151"/>
      <c r="U308" s="151"/>
      <c r="V308" s="153"/>
      <c r="W308" s="151"/>
      <c r="X308" s="151"/>
      <c r="Y308" s="153"/>
      <c r="Z308" s="151"/>
      <c r="AA308" s="187" t="str">
        <f t="shared" si="9"/>
        <v>No</v>
      </c>
      <c r="AB308" s="158"/>
      <c r="AC308" s="159"/>
      <c r="AD308" s="160"/>
    </row>
    <row r="309" spans="1:30">
      <c r="A309" s="155"/>
      <c r="B309" s="112" t="str">
        <f t="shared" si="8"/>
        <v/>
      </c>
      <c r="C309" s="183"/>
      <c r="D309" s="152"/>
      <c r="E309" s="152"/>
      <c r="F309" s="151"/>
      <c r="G309" s="153"/>
      <c r="H309" s="151"/>
      <c r="I309" s="151"/>
      <c r="J309" s="151"/>
      <c r="K309" s="151"/>
      <c r="L309" s="151"/>
      <c r="M309" s="151"/>
      <c r="N309" s="151"/>
      <c r="O309" s="151"/>
      <c r="P309" s="151"/>
      <c r="Q309" s="151"/>
      <c r="R309" s="151"/>
      <c r="S309" s="152"/>
      <c r="T309" s="151"/>
      <c r="U309" s="151"/>
      <c r="V309" s="153"/>
      <c r="W309" s="151"/>
      <c r="X309" s="151"/>
      <c r="Y309" s="153"/>
      <c r="Z309" s="151"/>
      <c r="AA309" s="187" t="str">
        <f t="shared" si="9"/>
        <v>No</v>
      </c>
      <c r="AB309" s="158"/>
      <c r="AC309" s="159"/>
      <c r="AD309" s="160"/>
    </row>
    <row r="310" spans="1:30">
      <c r="A310" s="155"/>
      <c r="B310" s="112" t="str">
        <f t="shared" si="8"/>
        <v/>
      </c>
      <c r="C310" s="183"/>
      <c r="D310" s="152"/>
      <c r="E310" s="152"/>
      <c r="F310" s="151"/>
      <c r="G310" s="153"/>
      <c r="H310" s="151"/>
      <c r="I310" s="151"/>
      <c r="J310" s="151"/>
      <c r="K310" s="151"/>
      <c r="L310" s="151"/>
      <c r="M310" s="151"/>
      <c r="N310" s="151"/>
      <c r="O310" s="151"/>
      <c r="P310" s="151"/>
      <c r="Q310" s="151"/>
      <c r="R310" s="151"/>
      <c r="S310" s="152"/>
      <c r="T310" s="151"/>
      <c r="U310" s="151"/>
      <c r="V310" s="153"/>
      <c r="W310" s="151"/>
      <c r="X310" s="151"/>
      <c r="Y310" s="153"/>
      <c r="Z310" s="151"/>
      <c r="AA310" s="187" t="str">
        <f t="shared" si="9"/>
        <v>No</v>
      </c>
      <c r="AB310" s="158"/>
      <c r="AC310" s="159"/>
      <c r="AD310" s="160"/>
    </row>
    <row r="311" spans="1:30">
      <c r="A311" s="155"/>
      <c r="B311" s="112" t="str">
        <f t="shared" si="8"/>
        <v/>
      </c>
      <c r="C311" s="183"/>
      <c r="D311" s="152"/>
      <c r="E311" s="152"/>
      <c r="F311" s="151"/>
      <c r="G311" s="153"/>
      <c r="H311" s="151"/>
      <c r="I311" s="151"/>
      <c r="J311" s="151"/>
      <c r="K311" s="151"/>
      <c r="L311" s="151"/>
      <c r="M311" s="151"/>
      <c r="N311" s="151"/>
      <c r="O311" s="151"/>
      <c r="P311" s="151"/>
      <c r="Q311" s="151"/>
      <c r="R311" s="151"/>
      <c r="S311" s="152"/>
      <c r="T311" s="151"/>
      <c r="U311" s="151"/>
      <c r="V311" s="153"/>
      <c r="W311" s="151"/>
      <c r="X311" s="151"/>
      <c r="Y311" s="153"/>
      <c r="Z311" s="151"/>
      <c r="AA311" s="187" t="str">
        <f t="shared" si="9"/>
        <v>No</v>
      </c>
      <c r="AB311" s="158"/>
      <c r="AC311" s="159"/>
      <c r="AD311" s="160"/>
    </row>
    <row r="312" spans="1:30">
      <c r="A312" s="155"/>
      <c r="B312" s="112" t="str">
        <f t="shared" si="8"/>
        <v/>
      </c>
      <c r="C312" s="183"/>
      <c r="D312" s="152"/>
      <c r="E312" s="152"/>
      <c r="F312" s="151"/>
      <c r="G312" s="153"/>
      <c r="H312" s="151"/>
      <c r="I312" s="151"/>
      <c r="J312" s="151"/>
      <c r="K312" s="151"/>
      <c r="L312" s="151"/>
      <c r="M312" s="151"/>
      <c r="N312" s="151"/>
      <c r="O312" s="151"/>
      <c r="P312" s="151"/>
      <c r="Q312" s="151"/>
      <c r="R312" s="151"/>
      <c r="S312" s="152"/>
      <c r="T312" s="151"/>
      <c r="U312" s="151"/>
      <c r="V312" s="153"/>
      <c r="W312" s="151"/>
      <c r="X312" s="151"/>
      <c r="Y312" s="153"/>
      <c r="Z312" s="151"/>
      <c r="AA312" s="187" t="str">
        <f t="shared" si="9"/>
        <v>No</v>
      </c>
      <c r="AB312" s="158"/>
      <c r="AC312" s="159"/>
      <c r="AD312" s="160"/>
    </row>
    <row r="313" spans="1:30">
      <c r="A313" s="155"/>
      <c r="B313" s="112" t="str">
        <f t="shared" si="8"/>
        <v/>
      </c>
      <c r="C313" s="183"/>
      <c r="D313" s="152"/>
      <c r="E313" s="152"/>
      <c r="F313" s="151"/>
      <c r="G313" s="153"/>
      <c r="H313" s="151"/>
      <c r="I313" s="151"/>
      <c r="J313" s="151"/>
      <c r="K313" s="151"/>
      <c r="L313" s="151"/>
      <c r="M313" s="151"/>
      <c r="N313" s="151"/>
      <c r="O313" s="151"/>
      <c r="P313" s="151"/>
      <c r="Q313" s="151"/>
      <c r="R313" s="151"/>
      <c r="S313" s="152"/>
      <c r="T313" s="151"/>
      <c r="U313" s="151"/>
      <c r="V313" s="153"/>
      <c r="W313" s="151"/>
      <c r="X313" s="151"/>
      <c r="Y313" s="153"/>
      <c r="Z313" s="151"/>
      <c r="AA313" s="187" t="str">
        <f t="shared" si="9"/>
        <v>No</v>
      </c>
      <c r="AB313" s="158"/>
      <c r="AC313" s="159"/>
      <c r="AD313" s="160"/>
    </row>
    <row r="314" spans="1:30">
      <c r="A314" s="155"/>
      <c r="B314" s="112" t="str">
        <f t="shared" si="8"/>
        <v/>
      </c>
      <c r="C314" s="183"/>
      <c r="D314" s="152"/>
      <c r="E314" s="152"/>
      <c r="F314" s="151"/>
      <c r="G314" s="153"/>
      <c r="H314" s="151"/>
      <c r="I314" s="151"/>
      <c r="J314" s="151"/>
      <c r="K314" s="151"/>
      <c r="L314" s="151"/>
      <c r="M314" s="151"/>
      <c r="N314" s="151"/>
      <c r="O314" s="151"/>
      <c r="P314" s="151"/>
      <c r="Q314" s="151"/>
      <c r="R314" s="151"/>
      <c r="S314" s="152"/>
      <c r="T314" s="151"/>
      <c r="U314" s="151"/>
      <c r="V314" s="153"/>
      <c r="W314" s="151"/>
      <c r="X314" s="151"/>
      <c r="Y314" s="153"/>
      <c r="Z314" s="151"/>
      <c r="AA314" s="187" t="str">
        <f t="shared" si="9"/>
        <v>No</v>
      </c>
      <c r="AB314" s="158"/>
      <c r="AC314" s="159"/>
      <c r="AD314" s="160"/>
    </row>
    <row r="315" spans="1:30">
      <c r="A315" s="155"/>
      <c r="B315" s="112" t="str">
        <f t="shared" si="8"/>
        <v/>
      </c>
      <c r="C315" s="183"/>
      <c r="D315" s="152"/>
      <c r="E315" s="152"/>
      <c r="F315" s="151"/>
      <c r="G315" s="153"/>
      <c r="H315" s="151"/>
      <c r="I315" s="151"/>
      <c r="J315" s="151"/>
      <c r="K315" s="151"/>
      <c r="L315" s="151"/>
      <c r="M315" s="151"/>
      <c r="N315" s="151"/>
      <c r="O315" s="151"/>
      <c r="P315" s="151"/>
      <c r="Q315" s="151"/>
      <c r="R315" s="151"/>
      <c r="S315" s="152"/>
      <c r="T315" s="151"/>
      <c r="U315" s="151"/>
      <c r="V315" s="153"/>
      <c r="W315" s="151"/>
      <c r="X315" s="151"/>
      <c r="Y315" s="153"/>
      <c r="Z315" s="151"/>
      <c r="AA315" s="187" t="str">
        <f t="shared" si="9"/>
        <v>No</v>
      </c>
      <c r="AB315" s="158"/>
      <c r="AC315" s="159"/>
      <c r="AD315" s="160"/>
    </row>
    <row r="316" spans="1:30">
      <c r="A316" s="155"/>
      <c r="B316" s="112" t="str">
        <f t="shared" si="8"/>
        <v/>
      </c>
      <c r="C316" s="183"/>
      <c r="D316" s="152"/>
      <c r="E316" s="152"/>
      <c r="F316" s="151"/>
      <c r="G316" s="153"/>
      <c r="H316" s="151"/>
      <c r="I316" s="151"/>
      <c r="J316" s="151"/>
      <c r="K316" s="151"/>
      <c r="L316" s="151"/>
      <c r="M316" s="151"/>
      <c r="N316" s="151"/>
      <c r="O316" s="151"/>
      <c r="P316" s="151"/>
      <c r="Q316" s="151"/>
      <c r="R316" s="151"/>
      <c r="S316" s="152"/>
      <c r="T316" s="151"/>
      <c r="U316" s="151"/>
      <c r="V316" s="153"/>
      <c r="W316" s="151"/>
      <c r="X316" s="151"/>
      <c r="Y316" s="153"/>
      <c r="Z316" s="151"/>
      <c r="AA316" s="187" t="str">
        <f t="shared" si="9"/>
        <v>No</v>
      </c>
      <c r="AB316" s="158"/>
      <c r="AC316" s="159"/>
      <c r="AD316" s="160"/>
    </row>
    <row r="317" spans="1:30">
      <c r="A317" s="155"/>
      <c r="B317" s="112" t="str">
        <f t="shared" si="8"/>
        <v/>
      </c>
      <c r="C317" s="183"/>
      <c r="D317" s="152"/>
      <c r="E317" s="152"/>
      <c r="F317" s="151"/>
      <c r="G317" s="153"/>
      <c r="H317" s="151"/>
      <c r="I317" s="151"/>
      <c r="J317" s="151"/>
      <c r="K317" s="151"/>
      <c r="L317" s="151"/>
      <c r="M317" s="151"/>
      <c r="N317" s="151"/>
      <c r="O317" s="151"/>
      <c r="P317" s="151"/>
      <c r="Q317" s="151"/>
      <c r="R317" s="151"/>
      <c r="S317" s="152"/>
      <c r="T317" s="151"/>
      <c r="U317" s="151"/>
      <c r="V317" s="153"/>
      <c r="W317" s="151"/>
      <c r="X317" s="151"/>
      <c r="Y317" s="153"/>
      <c r="Z317" s="151"/>
      <c r="AA317" s="187" t="str">
        <f t="shared" si="9"/>
        <v>No</v>
      </c>
      <c r="AB317" s="158"/>
      <c r="AC317" s="159"/>
      <c r="AD317" s="160"/>
    </row>
    <row r="318" spans="1:30">
      <c r="A318" s="155"/>
      <c r="B318" s="112" t="str">
        <f t="shared" si="8"/>
        <v/>
      </c>
      <c r="C318" s="183"/>
      <c r="D318" s="152"/>
      <c r="E318" s="152"/>
      <c r="F318" s="151"/>
      <c r="G318" s="153"/>
      <c r="H318" s="151"/>
      <c r="I318" s="151"/>
      <c r="J318" s="151"/>
      <c r="K318" s="151"/>
      <c r="L318" s="151"/>
      <c r="M318" s="151"/>
      <c r="N318" s="151"/>
      <c r="O318" s="151"/>
      <c r="P318" s="151"/>
      <c r="Q318" s="151"/>
      <c r="R318" s="151"/>
      <c r="S318" s="152"/>
      <c r="T318" s="151"/>
      <c r="U318" s="151"/>
      <c r="V318" s="153"/>
      <c r="W318" s="151"/>
      <c r="X318" s="151"/>
      <c r="Y318" s="153"/>
      <c r="Z318" s="151"/>
      <c r="AA318" s="187" t="str">
        <f t="shared" si="9"/>
        <v>No</v>
      </c>
      <c r="AB318" s="158"/>
      <c r="AC318" s="159"/>
      <c r="AD318" s="160"/>
    </row>
    <row r="319" spans="1:30">
      <c r="A319" s="155"/>
      <c r="B319" s="112" t="str">
        <f t="shared" si="8"/>
        <v/>
      </c>
      <c r="C319" s="183"/>
      <c r="D319" s="152"/>
      <c r="E319" s="152"/>
      <c r="F319" s="151"/>
      <c r="G319" s="153"/>
      <c r="H319" s="151"/>
      <c r="I319" s="151"/>
      <c r="J319" s="151"/>
      <c r="K319" s="151"/>
      <c r="L319" s="151"/>
      <c r="M319" s="151"/>
      <c r="N319" s="151"/>
      <c r="O319" s="151"/>
      <c r="P319" s="151"/>
      <c r="Q319" s="151"/>
      <c r="R319" s="151"/>
      <c r="S319" s="152"/>
      <c r="T319" s="151"/>
      <c r="U319" s="151"/>
      <c r="V319" s="153"/>
      <c r="W319" s="151"/>
      <c r="X319" s="151"/>
      <c r="Y319" s="153"/>
      <c r="Z319" s="151"/>
      <c r="AA319" s="187" t="str">
        <f t="shared" si="9"/>
        <v>No</v>
      </c>
      <c r="AB319" s="158"/>
      <c r="AC319" s="159"/>
      <c r="AD319" s="160"/>
    </row>
    <row r="320" spans="1:30">
      <c r="A320" s="155"/>
      <c r="B320" s="112" t="str">
        <f t="shared" si="8"/>
        <v/>
      </c>
      <c r="C320" s="183"/>
      <c r="D320" s="152"/>
      <c r="E320" s="152"/>
      <c r="F320" s="151"/>
      <c r="G320" s="153"/>
      <c r="H320" s="151"/>
      <c r="I320" s="151"/>
      <c r="J320" s="151"/>
      <c r="K320" s="151"/>
      <c r="L320" s="151"/>
      <c r="M320" s="151"/>
      <c r="N320" s="151"/>
      <c r="O320" s="151"/>
      <c r="P320" s="151"/>
      <c r="Q320" s="151"/>
      <c r="R320" s="151"/>
      <c r="S320" s="152"/>
      <c r="T320" s="151"/>
      <c r="U320" s="151"/>
      <c r="V320" s="153"/>
      <c r="W320" s="151"/>
      <c r="X320" s="151"/>
      <c r="Y320" s="153"/>
      <c r="Z320" s="151"/>
      <c r="AA320" s="187" t="str">
        <f t="shared" si="9"/>
        <v>No</v>
      </c>
      <c r="AB320" s="158"/>
      <c r="AC320" s="159"/>
      <c r="AD320" s="160"/>
    </row>
    <row r="321" spans="1:30">
      <c r="A321" s="155"/>
      <c r="B321" s="112" t="str">
        <f t="shared" si="8"/>
        <v/>
      </c>
      <c r="C321" s="183"/>
      <c r="D321" s="152"/>
      <c r="E321" s="152"/>
      <c r="F321" s="151"/>
      <c r="G321" s="153"/>
      <c r="H321" s="151"/>
      <c r="I321" s="151"/>
      <c r="J321" s="151"/>
      <c r="K321" s="151"/>
      <c r="L321" s="151"/>
      <c r="M321" s="151"/>
      <c r="N321" s="151"/>
      <c r="O321" s="151"/>
      <c r="P321" s="151"/>
      <c r="Q321" s="151"/>
      <c r="R321" s="151"/>
      <c r="S321" s="152"/>
      <c r="T321" s="151"/>
      <c r="U321" s="151"/>
      <c r="V321" s="153"/>
      <c r="W321" s="151"/>
      <c r="X321" s="151"/>
      <c r="Y321" s="153"/>
      <c r="Z321" s="151"/>
      <c r="AA321" s="187" t="str">
        <f t="shared" si="9"/>
        <v>No</v>
      </c>
      <c r="AB321" s="158"/>
      <c r="AC321" s="159"/>
      <c r="AD321" s="160"/>
    </row>
    <row r="322" spans="1:30">
      <c r="A322" s="155"/>
      <c r="B322" s="112" t="str">
        <f t="shared" si="8"/>
        <v/>
      </c>
      <c r="C322" s="183"/>
      <c r="D322" s="152"/>
      <c r="E322" s="152"/>
      <c r="F322" s="151"/>
      <c r="G322" s="153"/>
      <c r="H322" s="151"/>
      <c r="I322" s="151"/>
      <c r="J322" s="151"/>
      <c r="K322" s="151"/>
      <c r="L322" s="151"/>
      <c r="M322" s="151"/>
      <c r="N322" s="151"/>
      <c r="O322" s="151"/>
      <c r="P322" s="151"/>
      <c r="Q322" s="151"/>
      <c r="R322" s="151"/>
      <c r="S322" s="152"/>
      <c r="T322" s="151"/>
      <c r="U322" s="151"/>
      <c r="V322" s="153"/>
      <c r="W322" s="151"/>
      <c r="X322" s="151"/>
      <c r="Y322" s="153"/>
      <c r="Z322" s="151"/>
      <c r="AA322" s="187" t="str">
        <f t="shared" si="9"/>
        <v>No</v>
      </c>
      <c r="AB322" s="158"/>
      <c r="AC322" s="159"/>
      <c r="AD322" s="160"/>
    </row>
    <row r="323" spans="1:30">
      <c r="A323" s="155"/>
      <c r="B323" s="112" t="str">
        <f t="shared" si="8"/>
        <v/>
      </c>
      <c r="C323" s="183"/>
      <c r="D323" s="152"/>
      <c r="E323" s="152"/>
      <c r="F323" s="151"/>
      <c r="G323" s="153"/>
      <c r="H323" s="151"/>
      <c r="I323" s="151"/>
      <c r="J323" s="151"/>
      <c r="K323" s="151"/>
      <c r="L323" s="151"/>
      <c r="M323" s="151"/>
      <c r="N323" s="151"/>
      <c r="O323" s="151"/>
      <c r="P323" s="151"/>
      <c r="Q323" s="151"/>
      <c r="R323" s="151"/>
      <c r="S323" s="152"/>
      <c r="T323" s="151"/>
      <c r="U323" s="151"/>
      <c r="V323" s="153"/>
      <c r="W323" s="151"/>
      <c r="X323" s="151"/>
      <c r="Y323" s="153"/>
      <c r="Z323" s="151"/>
      <c r="AA323" s="187" t="str">
        <f t="shared" si="9"/>
        <v>No</v>
      </c>
      <c r="AB323" s="158"/>
      <c r="AC323" s="159"/>
      <c r="AD323" s="160"/>
    </row>
    <row r="324" spans="1:30">
      <c r="A324" s="155"/>
      <c r="B324" s="112" t="str">
        <f t="shared" si="8"/>
        <v/>
      </c>
      <c r="C324" s="183"/>
      <c r="D324" s="152"/>
      <c r="E324" s="152"/>
      <c r="F324" s="151"/>
      <c r="G324" s="153"/>
      <c r="H324" s="151"/>
      <c r="I324" s="151"/>
      <c r="J324" s="151"/>
      <c r="K324" s="151"/>
      <c r="L324" s="151"/>
      <c r="M324" s="151"/>
      <c r="N324" s="151"/>
      <c r="O324" s="151"/>
      <c r="P324" s="151"/>
      <c r="Q324" s="151"/>
      <c r="R324" s="151"/>
      <c r="S324" s="152"/>
      <c r="T324" s="151"/>
      <c r="U324" s="151"/>
      <c r="V324" s="153"/>
      <c r="W324" s="151"/>
      <c r="X324" s="151"/>
      <c r="Y324" s="153"/>
      <c r="Z324" s="151"/>
      <c r="AA324" s="187" t="str">
        <f t="shared" si="9"/>
        <v>No</v>
      </c>
      <c r="AB324" s="158"/>
      <c r="AC324" s="159"/>
      <c r="AD324" s="160"/>
    </row>
    <row r="325" spans="1:30">
      <c r="A325" s="155"/>
      <c r="B325" s="112" t="str">
        <f t="shared" ref="B325:B388" si="10">IF(AND(A325&lt;&gt;"",D325&lt;&gt;"",J325&lt;&gt;"",N325&lt;&gt;""),TEXT(D325,"YY")&amp;"-"&amp;TEXT(D325,"MMM")&amp;"-"&amp;UPPER(LEFT(TRIM(N325),2))&amp;"-"&amp;UPPER(LEFT(TRIM(J325),3))&amp;"-"&amp;A325,"")</f>
        <v/>
      </c>
      <c r="C325" s="183"/>
      <c r="D325" s="152"/>
      <c r="E325" s="152"/>
      <c r="F325" s="151"/>
      <c r="G325" s="153"/>
      <c r="H325" s="151"/>
      <c r="I325" s="151"/>
      <c r="J325" s="151"/>
      <c r="K325" s="151"/>
      <c r="L325" s="151"/>
      <c r="M325" s="151"/>
      <c r="N325" s="151"/>
      <c r="O325" s="151"/>
      <c r="P325" s="151"/>
      <c r="Q325" s="151"/>
      <c r="R325" s="151"/>
      <c r="S325" s="152"/>
      <c r="T325" s="151"/>
      <c r="U325" s="151"/>
      <c r="V325" s="153"/>
      <c r="W325" s="151"/>
      <c r="X325" s="151"/>
      <c r="Y325" s="153"/>
      <c r="Z325" s="151"/>
      <c r="AA325" s="187" t="str">
        <f t="shared" ref="AA325:AA388" si="11">IF(E325="","No","Yes")</f>
        <v>No</v>
      </c>
      <c r="AB325" s="158"/>
      <c r="AC325" s="159"/>
      <c r="AD325" s="160"/>
    </row>
    <row r="326" spans="1:30">
      <c r="A326" s="155"/>
      <c r="B326" s="112" t="str">
        <f t="shared" si="10"/>
        <v/>
      </c>
      <c r="C326" s="183"/>
      <c r="D326" s="152"/>
      <c r="E326" s="152"/>
      <c r="F326" s="151"/>
      <c r="G326" s="153"/>
      <c r="H326" s="151"/>
      <c r="I326" s="151"/>
      <c r="J326" s="151"/>
      <c r="K326" s="151"/>
      <c r="L326" s="151"/>
      <c r="M326" s="151"/>
      <c r="N326" s="151"/>
      <c r="O326" s="151"/>
      <c r="P326" s="151"/>
      <c r="Q326" s="151"/>
      <c r="R326" s="151"/>
      <c r="S326" s="152"/>
      <c r="T326" s="151"/>
      <c r="U326" s="151"/>
      <c r="V326" s="153"/>
      <c r="W326" s="151"/>
      <c r="X326" s="151"/>
      <c r="Y326" s="153"/>
      <c r="Z326" s="151"/>
      <c r="AA326" s="187" t="str">
        <f t="shared" si="11"/>
        <v>No</v>
      </c>
      <c r="AB326" s="158"/>
      <c r="AC326" s="159"/>
      <c r="AD326" s="160"/>
    </row>
    <row r="327" spans="1:30">
      <c r="A327" s="155"/>
      <c r="B327" s="112" t="str">
        <f t="shared" si="10"/>
        <v/>
      </c>
      <c r="C327" s="183"/>
      <c r="D327" s="152"/>
      <c r="E327" s="152"/>
      <c r="F327" s="151"/>
      <c r="G327" s="153"/>
      <c r="H327" s="151"/>
      <c r="I327" s="151"/>
      <c r="J327" s="151"/>
      <c r="K327" s="151"/>
      <c r="L327" s="151"/>
      <c r="M327" s="151"/>
      <c r="N327" s="151"/>
      <c r="O327" s="151"/>
      <c r="P327" s="151"/>
      <c r="Q327" s="151"/>
      <c r="R327" s="151"/>
      <c r="S327" s="152"/>
      <c r="T327" s="151"/>
      <c r="U327" s="151"/>
      <c r="V327" s="153"/>
      <c r="W327" s="151"/>
      <c r="X327" s="151"/>
      <c r="Y327" s="153"/>
      <c r="Z327" s="151"/>
      <c r="AA327" s="187" t="str">
        <f t="shared" si="11"/>
        <v>No</v>
      </c>
      <c r="AB327" s="158"/>
      <c r="AC327" s="159"/>
      <c r="AD327" s="160"/>
    </row>
    <row r="328" spans="1:30">
      <c r="A328" s="155"/>
      <c r="B328" s="112" t="str">
        <f t="shared" si="10"/>
        <v/>
      </c>
      <c r="C328" s="183"/>
      <c r="D328" s="152"/>
      <c r="E328" s="152"/>
      <c r="F328" s="151"/>
      <c r="G328" s="153"/>
      <c r="H328" s="151"/>
      <c r="I328" s="151"/>
      <c r="J328" s="151"/>
      <c r="K328" s="151"/>
      <c r="L328" s="151"/>
      <c r="M328" s="151"/>
      <c r="N328" s="151"/>
      <c r="O328" s="151"/>
      <c r="P328" s="151"/>
      <c r="Q328" s="151"/>
      <c r="R328" s="151"/>
      <c r="S328" s="152"/>
      <c r="T328" s="151"/>
      <c r="U328" s="151"/>
      <c r="V328" s="153"/>
      <c r="W328" s="151"/>
      <c r="X328" s="151"/>
      <c r="Y328" s="153"/>
      <c r="Z328" s="151"/>
      <c r="AA328" s="187" t="str">
        <f t="shared" si="11"/>
        <v>No</v>
      </c>
      <c r="AB328" s="158"/>
      <c r="AC328" s="159"/>
      <c r="AD328" s="160"/>
    </row>
    <row r="329" spans="1:30">
      <c r="A329" s="155"/>
      <c r="B329" s="112" t="str">
        <f t="shared" si="10"/>
        <v/>
      </c>
      <c r="C329" s="183"/>
      <c r="D329" s="152"/>
      <c r="E329" s="152"/>
      <c r="F329" s="151"/>
      <c r="G329" s="153"/>
      <c r="H329" s="151"/>
      <c r="I329" s="151"/>
      <c r="J329" s="151"/>
      <c r="K329" s="151"/>
      <c r="L329" s="151"/>
      <c r="M329" s="151"/>
      <c r="N329" s="151"/>
      <c r="O329" s="151"/>
      <c r="P329" s="151"/>
      <c r="Q329" s="151"/>
      <c r="R329" s="151"/>
      <c r="S329" s="152"/>
      <c r="T329" s="151"/>
      <c r="U329" s="151"/>
      <c r="V329" s="153"/>
      <c r="W329" s="151"/>
      <c r="X329" s="151"/>
      <c r="Y329" s="153"/>
      <c r="Z329" s="151"/>
      <c r="AA329" s="187" t="str">
        <f t="shared" si="11"/>
        <v>No</v>
      </c>
      <c r="AB329" s="158"/>
      <c r="AC329" s="159"/>
      <c r="AD329" s="160"/>
    </row>
    <row r="330" spans="1:30">
      <c r="A330" s="155"/>
      <c r="B330" s="112" t="str">
        <f t="shared" si="10"/>
        <v/>
      </c>
      <c r="C330" s="183"/>
      <c r="D330" s="152"/>
      <c r="E330" s="152"/>
      <c r="F330" s="151"/>
      <c r="G330" s="153"/>
      <c r="H330" s="151"/>
      <c r="I330" s="151"/>
      <c r="J330" s="151"/>
      <c r="K330" s="151"/>
      <c r="L330" s="151"/>
      <c r="M330" s="151"/>
      <c r="N330" s="151"/>
      <c r="O330" s="151"/>
      <c r="P330" s="151"/>
      <c r="Q330" s="151"/>
      <c r="R330" s="151"/>
      <c r="S330" s="152"/>
      <c r="T330" s="151"/>
      <c r="U330" s="151"/>
      <c r="V330" s="153"/>
      <c r="W330" s="151"/>
      <c r="X330" s="151"/>
      <c r="Y330" s="153"/>
      <c r="Z330" s="151"/>
      <c r="AA330" s="187" t="str">
        <f t="shared" si="11"/>
        <v>No</v>
      </c>
      <c r="AB330" s="158"/>
      <c r="AC330" s="159"/>
      <c r="AD330" s="160"/>
    </row>
    <row r="331" spans="1:30">
      <c r="A331" s="155"/>
      <c r="B331" s="112" t="str">
        <f t="shared" si="10"/>
        <v/>
      </c>
      <c r="C331" s="183"/>
      <c r="D331" s="152"/>
      <c r="E331" s="152"/>
      <c r="F331" s="151"/>
      <c r="G331" s="153"/>
      <c r="H331" s="151"/>
      <c r="I331" s="151"/>
      <c r="J331" s="151"/>
      <c r="K331" s="151"/>
      <c r="L331" s="151"/>
      <c r="M331" s="151"/>
      <c r="N331" s="151"/>
      <c r="O331" s="151"/>
      <c r="P331" s="151"/>
      <c r="Q331" s="151"/>
      <c r="R331" s="151"/>
      <c r="S331" s="152"/>
      <c r="T331" s="151"/>
      <c r="U331" s="151"/>
      <c r="V331" s="153"/>
      <c r="W331" s="151"/>
      <c r="X331" s="151"/>
      <c r="Y331" s="153"/>
      <c r="Z331" s="151"/>
      <c r="AA331" s="187" t="str">
        <f t="shared" si="11"/>
        <v>No</v>
      </c>
      <c r="AB331" s="158"/>
      <c r="AC331" s="159"/>
      <c r="AD331" s="160"/>
    </row>
    <row r="332" spans="1:30">
      <c r="A332" s="155"/>
      <c r="B332" s="112" t="str">
        <f t="shared" si="10"/>
        <v/>
      </c>
      <c r="C332" s="183"/>
      <c r="D332" s="152"/>
      <c r="E332" s="152"/>
      <c r="F332" s="151"/>
      <c r="G332" s="153"/>
      <c r="H332" s="151"/>
      <c r="I332" s="151"/>
      <c r="J332" s="151"/>
      <c r="K332" s="151"/>
      <c r="L332" s="151"/>
      <c r="M332" s="151"/>
      <c r="N332" s="151"/>
      <c r="O332" s="151"/>
      <c r="P332" s="151"/>
      <c r="Q332" s="151"/>
      <c r="R332" s="151"/>
      <c r="S332" s="152"/>
      <c r="T332" s="151"/>
      <c r="U332" s="151"/>
      <c r="V332" s="153"/>
      <c r="W332" s="151"/>
      <c r="X332" s="151"/>
      <c r="Y332" s="153"/>
      <c r="Z332" s="151"/>
      <c r="AA332" s="187" t="str">
        <f t="shared" si="11"/>
        <v>No</v>
      </c>
      <c r="AB332" s="158"/>
      <c r="AC332" s="159"/>
      <c r="AD332" s="160"/>
    </row>
    <row r="333" spans="1:30">
      <c r="A333" s="155"/>
      <c r="B333" s="112" t="str">
        <f t="shared" si="10"/>
        <v/>
      </c>
      <c r="C333" s="183"/>
      <c r="D333" s="152"/>
      <c r="E333" s="152"/>
      <c r="F333" s="151"/>
      <c r="G333" s="153"/>
      <c r="H333" s="151"/>
      <c r="I333" s="151"/>
      <c r="J333" s="151"/>
      <c r="K333" s="151"/>
      <c r="L333" s="151"/>
      <c r="M333" s="151"/>
      <c r="N333" s="151"/>
      <c r="O333" s="151"/>
      <c r="P333" s="151"/>
      <c r="Q333" s="151"/>
      <c r="R333" s="151"/>
      <c r="S333" s="152"/>
      <c r="T333" s="151"/>
      <c r="U333" s="151"/>
      <c r="V333" s="153"/>
      <c r="W333" s="151"/>
      <c r="X333" s="151"/>
      <c r="Y333" s="153"/>
      <c r="Z333" s="151"/>
      <c r="AA333" s="187" t="str">
        <f t="shared" si="11"/>
        <v>No</v>
      </c>
      <c r="AB333" s="158"/>
      <c r="AC333" s="159"/>
      <c r="AD333" s="160"/>
    </row>
    <row r="334" spans="1:30">
      <c r="A334" s="155"/>
      <c r="B334" s="112" t="str">
        <f t="shared" si="10"/>
        <v/>
      </c>
      <c r="C334" s="183"/>
      <c r="D334" s="152"/>
      <c r="E334" s="152"/>
      <c r="F334" s="151"/>
      <c r="G334" s="153"/>
      <c r="H334" s="151"/>
      <c r="I334" s="151"/>
      <c r="J334" s="151"/>
      <c r="K334" s="151"/>
      <c r="L334" s="151"/>
      <c r="M334" s="151"/>
      <c r="N334" s="151"/>
      <c r="O334" s="151"/>
      <c r="P334" s="151"/>
      <c r="Q334" s="151"/>
      <c r="R334" s="151"/>
      <c r="S334" s="152"/>
      <c r="T334" s="151"/>
      <c r="U334" s="151"/>
      <c r="V334" s="153"/>
      <c r="W334" s="151"/>
      <c r="X334" s="151"/>
      <c r="Y334" s="153"/>
      <c r="Z334" s="151"/>
      <c r="AA334" s="187" t="str">
        <f t="shared" si="11"/>
        <v>No</v>
      </c>
      <c r="AB334" s="158"/>
      <c r="AC334" s="159"/>
      <c r="AD334" s="160"/>
    </row>
    <row r="335" spans="1:30">
      <c r="A335" s="155"/>
      <c r="B335" s="112" t="str">
        <f t="shared" si="10"/>
        <v/>
      </c>
      <c r="C335" s="183"/>
      <c r="D335" s="152"/>
      <c r="E335" s="152"/>
      <c r="F335" s="151"/>
      <c r="G335" s="153"/>
      <c r="H335" s="151"/>
      <c r="I335" s="151"/>
      <c r="J335" s="151"/>
      <c r="K335" s="151"/>
      <c r="L335" s="151"/>
      <c r="M335" s="151"/>
      <c r="N335" s="151"/>
      <c r="O335" s="151"/>
      <c r="P335" s="151"/>
      <c r="Q335" s="151"/>
      <c r="R335" s="151"/>
      <c r="S335" s="152"/>
      <c r="T335" s="151"/>
      <c r="U335" s="151"/>
      <c r="V335" s="153"/>
      <c r="W335" s="151"/>
      <c r="X335" s="151"/>
      <c r="Y335" s="153"/>
      <c r="Z335" s="151"/>
      <c r="AA335" s="187" t="str">
        <f t="shared" si="11"/>
        <v>No</v>
      </c>
      <c r="AB335" s="158"/>
      <c r="AC335" s="159"/>
      <c r="AD335" s="160"/>
    </row>
    <row r="336" spans="1:30">
      <c r="A336" s="155"/>
      <c r="B336" s="112" t="str">
        <f t="shared" si="10"/>
        <v/>
      </c>
      <c r="C336" s="183"/>
      <c r="D336" s="152"/>
      <c r="E336" s="152"/>
      <c r="F336" s="151"/>
      <c r="G336" s="153"/>
      <c r="H336" s="151"/>
      <c r="I336" s="151"/>
      <c r="J336" s="151"/>
      <c r="K336" s="151"/>
      <c r="L336" s="151"/>
      <c r="M336" s="151"/>
      <c r="N336" s="151"/>
      <c r="O336" s="151"/>
      <c r="P336" s="151"/>
      <c r="Q336" s="151"/>
      <c r="R336" s="151"/>
      <c r="S336" s="152"/>
      <c r="T336" s="151"/>
      <c r="U336" s="151"/>
      <c r="V336" s="153"/>
      <c r="W336" s="151"/>
      <c r="X336" s="151"/>
      <c r="Y336" s="153"/>
      <c r="Z336" s="151"/>
      <c r="AA336" s="187" t="str">
        <f t="shared" si="11"/>
        <v>No</v>
      </c>
      <c r="AB336" s="158"/>
      <c r="AC336" s="159"/>
      <c r="AD336" s="160"/>
    </row>
    <row r="337" spans="1:30">
      <c r="A337" s="155"/>
      <c r="B337" s="112" t="str">
        <f t="shared" si="10"/>
        <v/>
      </c>
      <c r="C337" s="183"/>
      <c r="D337" s="152"/>
      <c r="E337" s="152"/>
      <c r="F337" s="151"/>
      <c r="G337" s="153"/>
      <c r="H337" s="151"/>
      <c r="I337" s="151"/>
      <c r="J337" s="151"/>
      <c r="K337" s="151"/>
      <c r="L337" s="151"/>
      <c r="M337" s="151"/>
      <c r="N337" s="151"/>
      <c r="O337" s="151"/>
      <c r="P337" s="151"/>
      <c r="Q337" s="151"/>
      <c r="R337" s="151"/>
      <c r="S337" s="152"/>
      <c r="T337" s="151"/>
      <c r="U337" s="151"/>
      <c r="V337" s="153"/>
      <c r="W337" s="151"/>
      <c r="X337" s="151"/>
      <c r="Y337" s="153"/>
      <c r="Z337" s="151"/>
      <c r="AA337" s="187" t="str">
        <f t="shared" si="11"/>
        <v>No</v>
      </c>
      <c r="AB337" s="158"/>
      <c r="AC337" s="159"/>
      <c r="AD337" s="160"/>
    </row>
    <row r="338" spans="1:30">
      <c r="A338" s="155"/>
      <c r="B338" s="112" t="str">
        <f t="shared" si="10"/>
        <v/>
      </c>
      <c r="C338" s="183"/>
      <c r="D338" s="152"/>
      <c r="E338" s="152"/>
      <c r="F338" s="151"/>
      <c r="G338" s="153"/>
      <c r="H338" s="151"/>
      <c r="I338" s="151"/>
      <c r="J338" s="151"/>
      <c r="K338" s="151"/>
      <c r="L338" s="151"/>
      <c r="M338" s="151"/>
      <c r="N338" s="151"/>
      <c r="O338" s="151"/>
      <c r="P338" s="151"/>
      <c r="Q338" s="151"/>
      <c r="R338" s="151"/>
      <c r="S338" s="152"/>
      <c r="T338" s="151"/>
      <c r="U338" s="151"/>
      <c r="V338" s="153"/>
      <c r="W338" s="151"/>
      <c r="X338" s="151"/>
      <c r="Y338" s="153"/>
      <c r="Z338" s="151"/>
      <c r="AA338" s="187" t="str">
        <f t="shared" si="11"/>
        <v>No</v>
      </c>
      <c r="AB338" s="158"/>
      <c r="AC338" s="159"/>
      <c r="AD338" s="160"/>
    </row>
    <row r="339" spans="1:30">
      <c r="A339" s="155"/>
      <c r="B339" s="112" t="str">
        <f t="shared" si="10"/>
        <v/>
      </c>
      <c r="C339" s="183"/>
      <c r="D339" s="152"/>
      <c r="E339" s="152"/>
      <c r="F339" s="151"/>
      <c r="G339" s="153"/>
      <c r="H339" s="151"/>
      <c r="I339" s="151"/>
      <c r="J339" s="151"/>
      <c r="K339" s="151"/>
      <c r="L339" s="151"/>
      <c r="M339" s="151"/>
      <c r="N339" s="151"/>
      <c r="O339" s="151"/>
      <c r="P339" s="151"/>
      <c r="Q339" s="151"/>
      <c r="R339" s="151"/>
      <c r="S339" s="152"/>
      <c r="T339" s="151"/>
      <c r="U339" s="151"/>
      <c r="V339" s="153"/>
      <c r="W339" s="151"/>
      <c r="X339" s="151"/>
      <c r="Y339" s="153"/>
      <c r="Z339" s="151"/>
      <c r="AA339" s="187" t="str">
        <f t="shared" si="11"/>
        <v>No</v>
      </c>
      <c r="AB339" s="158"/>
      <c r="AC339" s="159"/>
      <c r="AD339" s="160"/>
    </row>
    <row r="340" spans="1:30">
      <c r="A340" s="155"/>
      <c r="B340" s="112" t="str">
        <f t="shared" si="10"/>
        <v/>
      </c>
      <c r="C340" s="183"/>
      <c r="D340" s="152"/>
      <c r="E340" s="152"/>
      <c r="F340" s="151"/>
      <c r="G340" s="153"/>
      <c r="H340" s="151"/>
      <c r="I340" s="151"/>
      <c r="J340" s="151"/>
      <c r="K340" s="151"/>
      <c r="L340" s="151"/>
      <c r="M340" s="151"/>
      <c r="N340" s="151"/>
      <c r="O340" s="151"/>
      <c r="P340" s="151"/>
      <c r="Q340" s="151"/>
      <c r="R340" s="151"/>
      <c r="S340" s="152"/>
      <c r="T340" s="151"/>
      <c r="U340" s="151"/>
      <c r="V340" s="153"/>
      <c r="W340" s="151"/>
      <c r="X340" s="151"/>
      <c r="Y340" s="153"/>
      <c r="Z340" s="151"/>
      <c r="AA340" s="187" t="str">
        <f t="shared" si="11"/>
        <v>No</v>
      </c>
      <c r="AB340" s="158"/>
      <c r="AC340" s="159"/>
      <c r="AD340" s="160"/>
    </row>
    <row r="341" spans="1:30">
      <c r="A341" s="155"/>
      <c r="B341" s="112" t="str">
        <f t="shared" si="10"/>
        <v/>
      </c>
      <c r="C341" s="183"/>
      <c r="D341" s="152"/>
      <c r="E341" s="152"/>
      <c r="F341" s="151"/>
      <c r="G341" s="153"/>
      <c r="H341" s="151"/>
      <c r="I341" s="151"/>
      <c r="J341" s="151"/>
      <c r="K341" s="151"/>
      <c r="L341" s="151"/>
      <c r="M341" s="151"/>
      <c r="N341" s="151"/>
      <c r="O341" s="151"/>
      <c r="P341" s="151"/>
      <c r="Q341" s="151"/>
      <c r="R341" s="151"/>
      <c r="S341" s="152"/>
      <c r="T341" s="151"/>
      <c r="U341" s="151"/>
      <c r="V341" s="153"/>
      <c r="W341" s="151"/>
      <c r="X341" s="151"/>
      <c r="Y341" s="153"/>
      <c r="Z341" s="151"/>
      <c r="AA341" s="187" t="str">
        <f t="shared" si="11"/>
        <v>No</v>
      </c>
      <c r="AB341" s="158"/>
      <c r="AC341" s="159"/>
      <c r="AD341" s="160"/>
    </row>
    <row r="342" spans="1:30">
      <c r="A342" s="155"/>
      <c r="B342" s="112" t="str">
        <f t="shared" si="10"/>
        <v/>
      </c>
      <c r="C342" s="183"/>
      <c r="D342" s="152"/>
      <c r="E342" s="152"/>
      <c r="F342" s="151"/>
      <c r="G342" s="153"/>
      <c r="H342" s="151"/>
      <c r="I342" s="151"/>
      <c r="J342" s="151"/>
      <c r="K342" s="151"/>
      <c r="L342" s="151"/>
      <c r="M342" s="151"/>
      <c r="N342" s="151"/>
      <c r="O342" s="151"/>
      <c r="P342" s="151"/>
      <c r="Q342" s="151"/>
      <c r="R342" s="151"/>
      <c r="S342" s="152"/>
      <c r="T342" s="151"/>
      <c r="U342" s="151"/>
      <c r="V342" s="153"/>
      <c r="W342" s="151"/>
      <c r="X342" s="151"/>
      <c r="Y342" s="153"/>
      <c r="Z342" s="151"/>
      <c r="AA342" s="187" t="str">
        <f t="shared" si="11"/>
        <v>No</v>
      </c>
      <c r="AB342" s="158"/>
      <c r="AC342" s="159"/>
      <c r="AD342" s="160"/>
    </row>
    <row r="343" spans="1:30">
      <c r="A343" s="155"/>
      <c r="B343" s="112" t="str">
        <f t="shared" si="10"/>
        <v/>
      </c>
      <c r="C343" s="183"/>
      <c r="D343" s="152"/>
      <c r="E343" s="152"/>
      <c r="F343" s="151"/>
      <c r="G343" s="153"/>
      <c r="H343" s="151"/>
      <c r="I343" s="151"/>
      <c r="J343" s="151"/>
      <c r="K343" s="151"/>
      <c r="L343" s="151"/>
      <c r="M343" s="151"/>
      <c r="N343" s="151"/>
      <c r="O343" s="151"/>
      <c r="P343" s="151"/>
      <c r="Q343" s="151"/>
      <c r="R343" s="151"/>
      <c r="S343" s="152"/>
      <c r="T343" s="151"/>
      <c r="U343" s="151"/>
      <c r="V343" s="153"/>
      <c r="W343" s="151"/>
      <c r="X343" s="151"/>
      <c r="Y343" s="153"/>
      <c r="Z343" s="151"/>
      <c r="AA343" s="187" t="str">
        <f t="shared" si="11"/>
        <v>No</v>
      </c>
      <c r="AB343" s="158"/>
      <c r="AC343" s="159"/>
      <c r="AD343" s="160"/>
    </row>
    <row r="344" spans="1:30">
      <c r="A344" s="155"/>
      <c r="B344" s="112" t="str">
        <f t="shared" si="10"/>
        <v/>
      </c>
      <c r="C344" s="183"/>
      <c r="D344" s="152"/>
      <c r="E344" s="152"/>
      <c r="F344" s="151"/>
      <c r="G344" s="153"/>
      <c r="H344" s="151"/>
      <c r="I344" s="151"/>
      <c r="J344" s="151"/>
      <c r="K344" s="151"/>
      <c r="L344" s="151"/>
      <c r="M344" s="151"/>
      <c r="N344" s="151"/>
      <c r="O344" s="151"/>
      <c r="P344" s="151"/>
      <c r="Q344" s="151"/>
      <c r="R344" s="151"/>
      <c r="S344" s="152"/>
      <c r="T344" s="151"/>
      <c r="U344" s="151"/>
      <c r="V344" s="153"/>
      <c r="W344" s="151"/>
      <c r="X344" s="151"/>
      <c r="Y344" s="153"/>
      <c r="Z344" s="151"/>
      <c r="AA344" s="187" t="str">
        <f t="shared" si="11"/>
        <v>No</v>
      </c>
      <c r="AB344" s="158"/>
      <c r="AC344" s="159"/>
      <c r="AD344" s="160"/>
    </row>
    <row r="345" spans="1:30">
      <c r="A345" s="155"/>
      <c r="B345" s="112" t="str">
        <f t="shared" si="10"/>
        <v/>
      </c>
      <c r="C345" s="183"/>
      <c r="D345" s="152"/>
      <c r="E345" s="152"/>
      <c r="F345" s="151"/>
      <c r="G345" s="153"/>
      <c r="H345" s="151"/>
      <c r="I345" s="151"/>
      <c r="J345" s="151"/>
      <c r="K345" s="151"/>
      <c r="L345" s="151"/>
      <c r="M345" s="151"/>
      <c r="N345" s="151"/>
      <c r="O345" s="151"/>
      <c r="P345" s="151"/>
      <c r="Q345" s="151"/>
      <c r="R345" s="151"/>
      <c r="S345" s="152"/>
      <c r="T345" s="151"/>
      <c r="U345" s="151"/>
      <c r="V345" s="153"/>
      <c r="W345" s="151"/>
      <c r="X345" s="151"/>
      <c r="Y345" s="153"/>
      <c r="Z345" s="151"/>
      <c r="AA345" s="187" t="str">
        <f t="shared" si="11"/>
        <v>No</v>
      </c>
      <c r="AB345" s="158"/>
      <c r="AC345" s="159"/>
      <c r="AD345" s="160"/>
    </row>
    <row r="346" spans="1:30">
      <c r="A346" s="155"/>
      <c r="B346" s="112" t="str">
        <f t="shared" si="10"/>
        <v/>
      </c>
      <c r="C346" s="183"/>
      <c r="D346" s="152"/>
      <c r="E346" s="152"/>
      <c r="F346" s="151"/>
      <c r="G346" s="153"/>
      <c r="H346" s="151"/>
      <c r="I346" s="151"/>
      <c r="J346" s="151"/>
      <c r="K346" s="151"/>
      <c r="L346" s="151"/>
      <c r="M346" s="151"/>
      <c r="N346" s="151"/>
      <c r="O346" s="151"/>
      <c r="P346" s="151"/>
      <c r="Q346" s="151"/>
      <c r="R346" s="151"/>
      <c r="S346" s="152"/>
      <c r="T346" s="151"/>
      <c r="U346" s="151"/>
      <c r="V346" s="153"/>
      <c r="W346" s="151"/>
      <c r="X346" s="151"/>
      <c r="Y346" s="153"/>
      <c r="Z346" s="151"/>
      <c r="AA346" s="187" t="str">
        <f t="shared" si="11"/>
        <v>No</v>
      </c>
      <c r="AB346" s="158"/>
      <c r="AC346" s="159"/>
      <c r="AD346" s="160"/>
    </row>
    <row r="347" spans="1:30">
      <c r="A347" s="155"/>
      <c r="B347" s="112" t="str">
        <f t="shared" si="10"/>
        <v/>
      </c>
      <c r="C347" s="183"/>
      <c r="D347" s="152"/>
      <c r="E347" s="152"/>
      <c r="F347" s="151"/>
      <c r="G347" s="153"/>
      <c r="H347" s="151"/>
      <c r="I347" s="151"/>
      <c r="J347" s="151"/>
      <c r="K347" s="151"/>
      <c r="L347" s="151"/>
      <c r="M347" s="151"/>
      <c r="N347" s="151"/>
      <c r="O347" s="151"/>
      <c r="P347" s="151"/>
      <c r="Q347" s="151"/>
      <c r="R347" s="151"/>
      <c r="S347" s="152"/>
      <c r="T347" s="151"/>
      <c r="U347" s="151"/>
      <c r="V347" s="153"/>
      <c r="W347" s="151"/>
      <c r="X347" s="151"/>
      <c r="Y347" s="153"/>
      <c r="Z347" s="151"/>
      <c r="AA347" s="187" t="str">
        <f t="shared" si="11"/>
        <v>No</v>
      </c>
      <c r="AB347" s="158"/>
      <c r="AC347" s="159"/>
      <c r="AD347" s="160"/>
    </row>
    <row r="348" spans="1:30">
      <c r="A348" s="155"/>
      <c r="B348" s="112" t="str">
        <f t="shared" si="10"/>
        <v/>
      </c>
      <c r="C348" s="183"/>
      <c r="D348" s="152"/>
      <c r="E348" s="152"/>
      <c r="F348" s="151"/>
      <c r="G348" s="153"/>
      <c r="H348" s="151"/>
      <c r="I348" s="151"/>
      <c r="J348" s="151"/>
      <c r="K348" s="151"/>
      <c r="L348" s="151"/>
      <c r="M348" s="151"/>
      <c r="N348" s="151"/>
      <c r="O348" s="151"/>
      <c r="P348" s="151"/>
      <c r="Q348" s="151"/>
      <c r="R348" s="151"/>
      <c r="S348" s="152"/>
      <c r="T348" s="151"/>
      <c r="U348" s="151"/>
      <c r="V348" s="153"/>
      <c r="W348" s="151"/>
      <c r="X348" s="151"/>
      <c r="Y348" s="153"/>
      <c r="Z348" s="151"/>
      <c r="AA348" s="187" t="str">
        <f t="shared" si="11"/>
        <v>No</v>
      </c>
      <c r="AB348" s="158"/>
      <c r="AC348" s="159"/>
      <c r="AD348" s="160"/>
    </row>
    <row r="349" spans="1:30">
      <c r="A349" s="155"/>
      <c r="B349" s="112" t="str">
        <f t="shared" si="10"/>
        <v/>
      </c>
      <c r="C349" s="183"/>
      <c r="D349" s="152"/>
      <c r="E349" s="152"/>
      <c r="F349" s="151"/>
      <c r="G349" s="153"/>
      <c r="H349" s="151"/>
      <c r="I349" s="151"/>
      <c r="J349" s="151"/>
      <c r="K349" s="151"/>
      <c r="L349" s="151"/>
      <c r="M349" s="151"/>
      <c r="N349" s="151"/>
      <c r="O349" s="151"/>
      <c r="P349" s="151"/>
      <c r="Q349" s="151"/>
      <c r="R349" s="151"/>
      <c r="S349" s="152"/>
      <c r="T349" s="151"/>
      <c r="U349" s="151"/>
      <c r="V349" s="153"/>
      <c r="W349" s="151"/>
      <c r="X349" s="151"/>
      <c r="Y349" s="153"/>
      <c r="Z349" s="151"/>
      <c r="AA349" s="187" t="str">
        <f t="shared" si="11"/>
        <v>No</v>
      </c>
      <c r="AB349" s="158"/>
      <c r="AC349" s="159"/>
      <c r="AD349" s="160"/>
    </row>
    <row r="350" spans="1:30">
      <c r="A350" s="155"/>
      <c r="B350" s="112" t="str">
        <f t="shared" si="10"/>
        <v/>
      </c>
      <c r="C350" s="183"/>
      <c r="D350" s="152"/>
      <c r="E350" s="152"/>
      <c r="F350" s="151"/>
      <c r="G350" s="153"/>
      <c r="H350" s="151"/>
      <c r="I350" s="151"/>
      <c r="J350" s="151"/>
      <c r="K350" s="151"/>
      <c r="L350" s="151"/>
      <c r="M350" s="151"/>
      <c r="N350" s="151"/>
      <c r="O350" s="151"/>
      <c r="P350" s="151"/>
      <c r="Q350" s="151"/>
      <c r="R350" s="151"/>
      <c r="S350" s="152"/>
      <c r="T350" s="151"/>
      <c r="U350" s="151"/>
      <c r="V350" s="153"/>
      <c r="W350" s="151"/>
      <c r="X350" s="151"/>
      <c r="Y350" s="153"/>
      <c r="Z350" s="151"/>
      <c r="AA350" s="187" t="str">
        <f t="shared" si="11"/>
        <v>No</v>
      </c>
      <c r="AB350" s="158"/>
      <c r="AC350" s="159"/>
      <c r="AD350" s="160"/>
    </row>
    <row r="351" spans="1:30">
      <c r="A351" s="155"/>
      <c r="B351" s="112" t="str">
        <f t="shared" si="10"/>
        <v/>
      </c>
      <c r="C351" s="183"/>
      <c r="D351" s="152"/>
      <c r="E351" s="152"/>
      <c r="F351" s="151"/>
      <c r="G351" s="153"/>
      <c r="H351" s="151"/>
      <c r="I351" s="151"/>
      <c r="J351" s="151"/>
      <c r="K351" s="151"/>
      <c r="L351" s="151"/>
      <c r="M351" s="151"/>
      <c r="N351" s="151"/>
      <c r="O351" s="151"/>
      <c r="P351" s="151"/>
      <c r="Q351" s="151"/>
      <c r="R351" s="151"/>
      <c r="S351" s="152"/>
      <c r="T351" s="151"/>
      <c r="U351" s="151"/>
      <c r="V351" s="153"/>
      <c r="W351" s="151"/>
      <c r="X351" s="151"/>
      <c r="Y351" s="153"/>
      <c r="Z351" s="151"/>
      <c r="AA351" s="187" t="str">
        <f t="shared" si="11"/>
        <v>No</v>
      </c>
      <c r="AB351" s="158"/>
      <c r="AC351" s="159"/>
      <c r="AD351" s="160"/>
    </row>
    <row r="352" spans="1:30">
      <c r="A352" s="155"/>
      <c r="B352" s="112" t="str">
        <f t="shared" si="10"/>
        <v/>
      </c>
      <c r="C352" s="183"/>
      <c r="D352" s="152"/>
      <c r="E352" s="152"/>
      <c r="F352" s="151"/>
      <c r="G352" s="153"/>
      <c r="H352" s="151"/>
      <c r="I352" s="151"/>
      <c r="J352" s="151"/>
      <c r="K352" s="151"/>
      <c r="L352" s="151"/>
      <c r="M352" s="151"/>
      <c r="N352" s="151"/>
      <c r="O352" s="151"/>
      <c r="P352" s="151"/>
      <c r="Q352" s="151"/>
      <c r="R352" s="151"/>
      <c r="S352" s="152"/>
      <c r="T352" s="151"/>
      <c r="U352" s="151"/>
      <c r="V352" s="153"/>
      <c r="W352" s="151"/>
      <c r="X352" s="151"/>
      <c r="Y352" s="153"/>
      <c r="Z352" s="151"/>
      <c r="AA352" s="187" t="str">
        <f t="shared" si="11"/>
        <v>No</v>
      </c>
      <c r="AB352" s="158"/>
      <c r="AC352" s="159"/>
      <c r="AD352" s="160"/>
    </row>
    <row r="353" spans="1:30">
      <c r="A353" s="155"/>
      <c r="B353" s="112" t="str">
        <f t="shared" si="10"/>
        <v/>
      </c>
      <c r="C353" s="183"/>
      <c r="D353" s="152"/>
      <c r="E353" s="152"/>
      <c r="F353" s="151"/>
      <c r="G353" s="153"/>
      <c r="H353" s="151"/>
      <c r="I353" s="151"/>
      <c r="J353" s="151"/>
      <c r="K353" s="151"/>
      <c r="L353" s="151"/>
      <c r="M353" s="151"/>
      <c r="N353" s="151"/>
      <c r="O353" s="151"/>
      <c r="P353" s="151"/>
      <c r="Q353" s="151"/>
      <c r="R353" s="151"/>
      <c r="S353" s="152"/>
      <c r="T353" s="151"/>
      <c r="U353" s="151"/>
      <c r="V353" s="153"/>
      <c r="W353" s="151"/>
      <c r="X353" s="151"/>
      <c r="Y353" s="153"/>
      <c r="Z353" s="151"/>
      <c r="AA353" s="187" t="str">
        <f t="shared" si="11"/>
        <v>No</v>
      </c>
      <c r="AB353" s="158"/>
      <c r="AC353" s="159"/>
      <c r="AD353" s="160"/>
    </row>
    <row r="354" spans="1:30">
      <c r="A354" s="155"/>
      <c r="B354" s="112" t="str">
        <f t="shared" si="10"/>
        <v/>
      </c>
      <c r="C354" s="183"/>
      <c r="D354" s="152"/>
      <c r="E354" s="152"/>
      <c r="F354" s="151"/>
      <c r="G354" s="153"/>
      <c r="H354" s="151"/>
      <c r="I354" s="151"/>
      <c r="J354" s="151"/>
      <c r="K354" s="151"/>
      <c r="L354" s="151"/>
      <c r="M354" s="151"/>
      <c r="N354" s="151"/>
      <c r="O354" s="151"/>
      <c r="P354" s="151"/>
      <c r="Q354" s="151"/>
      <c r="R354" s="151"/>
      <c r="S354" s="152"/>
      <c r="T354" s="151"/>
      <c r="U354" s="151"/>
      <c r="V354" s="153"/>
      <c r="W354" s="151"/>
      <c r="X354" s="151"/>
      <c r="Y354" s="153"/>
      <c r="Z354" s="151"/>
      <c r="AA354" s="187" t="str">
        <f t="shared" si="11"/>
        <v>No</v>
      </c>
      <c r="AB354" s="158"/>
      <c r="AC354" s="159"/>
      <c r="AD354" s="160"/>
    </row>
    <row r="355" spans="1:30">
      <c r="A355" s="155"/>
      <c r="B355" s="112" t="str">
        <f t="shared" si="10"/>
        <v/>
      </c>
      <c r="C355" s="183"/>
      <c r="D355" s="152"/>
      <c r="E355" s="152"/>
      <c r="F355" s="151"/>
      <c r="G355" s="153"/>
      <c r="H355" s="151"/>
      <c r="I355" s="151"/>
      <c r="J355" s="151"/>
      <c r="K355" s="151"/>
      <c r="L355" s="151"/>
      <c r="M355" s="151"/>
      <c r="N355" s="151"/>
      <c r="O355" s="151"/>
      <c r="P355" s="151"/>
      <c r="Q355" s="151"/>
      <c r="R355" s="151"/>
      <c r="S355" s="152"/>
      <c r="T355" s="151"/>
      <c r="U355" s="151"/>
      <c r="V355" s="153"/>
      <c r="W355" s="151"/>
      <c r="X355" s="151"/>
      <c r="Y355" s="153"/>
      <c r="Z355" s="151"/>
      <c r="AA355" s="187" t="str">
        <f t="shared" si="11"/>
        <v>No</v>
      </c>
      <c r="AB355" s="158"/>
      <c r="AC355" s="159"/>
      <c r="AD355" s="160"/>
    </row>
    <row r="356" spans="1:30">
      <c r="A356" s="155"/>
      <c r="B356" s="112" t="str">
        <f t="shared" si="10"/>
        <v/>
      </c>
      <c r="C356" s="183"/>
      <c r="D356" s="152"/>
      <c r="E356" s="152"/>
      <c r="F356" s="151"/>
      <c r="G356" s="153"/>
      <c r="H356" s="151"/>
      <c r="I356" s="151"/>
      <c r="J356" s="151"/>
      <c r="K356" s="151"/>
      <c r="L356" s="151"/>
      <c r="M356" s="151"/>
      <c r="N356" s="151"/>
      <c r="O356" s="151"/>
      <c r="P356" s="151"/>
      <c r="Q356" s="151"/>
      <c r="R356" s="151"/>
      <c r="S356" s="152"/>
      <c r="T356" s="151"/>
      <c r="U356" s="151"/>
      <c r="V356" s="153"/>
      <c r="W356" s="151"/>
      <c r="X356" s="151"/>
      <c r="Y356" s="153"/>
      <c r="Z356" s="151"/>
      <c r="AA356" s="187" t="str">
        <f t="shared" si="11"/>
        <v>No</v>
      </c>
      <c r="AB356" s="158"/>
      <c r="AC356" s="159"/>
      <c r="AD356" s="160"/>
    </row>
    <row r="357" spans="1:30">
      <c r="A357" s="155"/>
      <c r="B357" s="112" t="str">
        <f t="shared" si="10"/>
        <v/>
      </c>
      <c r="C357" s="183"/>
      <c r="D357" s="152"/>
      <c r="E357" s="152"/>
      <c r="F357" s="151"/>
      <c r="G357" s="153"/>
      <c r="H357" s="151"/>
      <c r="I357" s="151"/>
      <c r="J357" s="151"/>
      <c r="K357" s="151"/>
      <c r="L357" s="151"/>
      <c r="M357" s="151"/>
      <c r="N357" s="151"/>
      <c r="O357" s="151"/>
      <c r="P357" s="151"/>
      <c r="Q357" s="151"/>
      <c r="R357" s="151"/>
      <c r="S357" s="152"/>
      <c r="T357" s="151"/>
      <c r="U357" s="151"/>
      <c r="V357" s="153"/>
      <c r="W357" s="151"/>
      <c r="X357" s="151"/>
      <c r="Y357" s="153"/>
      <c r="Z357" s="151"/>
      <c r="AA357" s="187" t="str">
        <f t="shared" si="11"/>
        <v>No</v>
      </c>
      <c r="AB357" s="158"/>
      <c r="AC357" s="159"/>
      <c r="AD357" s="160"/>
    </row>
    <row r="358" spans="1:30">
      <c r="A358" s="155"/>
      <c r="B358" s="112" t="str">
        <f t="shared" si="10"/>
        <v/>
      </c>
      <c r="C358" s="183"/>
      <c r="D358" s="152"/>
      <c r="E358" s="152"/>
      <c r="F358" s="151"/>
      <c r="G358" s="153"/>
      <c r="H358" s="151"/>
      <c r="I358" s="151"/>
      <c r="J358" s="151"/>
      <c r="K358" s="151"/>
      <c r="L358" s="151"/>
      <c r="M358" s="151"/>
      <c r="N358" s="151"/>
      <c r="O358" s="151"/>
      <c r="P358" s="151"/>
      <c r="Q358" s="151"/>
      <c r="R358" s="151"/>
      <c r="S358" s="152"/>
      <c r="T358" s="151"/>
      <c r="U358" s="151"/>
      <c r="V358" s="153"/>
      <c r="W358" s="151"/>
      <c r="X358" s="151"/>
      <c r="Y358" s="153"/>
      <c r="Z358" s="151"/>
      <c r="AA358" s="187" t="str">
        <f t="shared" si="11"/>
        <v>No</v>
      </c>
      <c r="AB358" s="158"/>
      <c r="AC358" s="159"/>
      <c r="AD358" s="160"/>
    </row>
    <row r="359" spans="1:30">
      <c r="A359" s="155"/>
      <c r="B359" s="112" t="str">
        <f t="shared" si="10"/>
        <v/>
      </c>
      <c r="C359" s="183"/>
      <c r="D359" s="152"/>
      <c r="E359" s="152"/>
      <c r="F359" s="151"/>
      <c r="G359" s="153"/>
      <c r="H359" s="151"/>
      <c r="I359" s="151"/>
      <c r="J359" s="151"/>
      <c r="K359" s="151"/>
      <c r="L359" s="151"/>
      <c r="M359" s="151"/>
      <c r="N359" s="151"/>
      <c r="O359" s="151"/>
      <c r="P359" s="151"/>
      <c r="Q359" s="151"/>
      <c r="R359" s="151"/>
      <c r="S359" s="152"/>
      <c r="T359" s="151"/>
      <c r="U359" s="151"/>
      <c r="V359" s="153"/>
      <c r="W359" s="151"/>
      <c r="X359" s="151"/>
      <c r="Y359" s="153"/>
      <c r="Z359" s="151"/>
      <c r="AA359" s="187" t="str">
        <f t="shared" si="11"/>
        <v>No</v>
      </c>
      <c r="AB359" s="158"/>
      <c r="AC359" s="159"/>
      <c r="AD359" s="160"/>
    </row>
    <row r="360" spans="1:30">
      <c r="A360" s="155"/>
      <c r="B360" s="112" t="str">
        <f t="shared" si="10"/>
        <v/>
      </c>
      <c r="C360" s="183"/>
      <c r="D360" s="152"/>
      <c r="E360" s="152"/>
      <c r="F360" s="151"/>
      <c r="G360" s="153"/>
      <c r="H360" s="151"/>
      <c r="I360" s="151"/>
      <c r="J360" s="151"/>
      <c r="K360" s="151"/>
      <c r="L360" s="151"/>
      <c r="M360" s="151"/>
      <c r="N360" s="151"/>
      <c r="O360" s="151"/>
      <c r="P360" s="151"/>
      <c r="Q360" s="151"/>
      <c r="R360" s="151"/>
      <c r="S360" s="152"/>
      <c r="T360" s="151"/>
      <c r="U360" s="151"/>
      <c r="V360" s="153"/>
      <c r="W360" s="151"/>
      <c r="X360" s="151"/>
      <c r="Y360" s="153"/>
      <c r="Z360" s="151"/>
      <c r="AA360" s="187" t="str">
        <f t="shared" si="11"/>
        <v>No</v>
      </c>
      <c r="AB360" s="158"/>
      <c r="AC360" s="159"/>
      <c r="AD360" s="160"/>
    </row>
    <row r="361" spans="1:30">
      <c r="A361" s="155"/>
      <c r="B361" s="112" t="str">
        <f t="shared" si="10"/>
        <v/>
      </c>
      <c r="C361" s="183"/>
      <c r="D361" s="152"/>
      <c r="E361" s="152"/>
      <c r="F361" s="151"/>
      <c r="G361" s="153"/>
      <c r="H361" s="151"/>
      <c r="I361" s="151"/>
      <c r="J361" s="151"/>
      <c r="K361" s="151"/>
      <c r="L361" s="151"/>
      <c r="M361" s="151"/>
      <c r="N361" s="151"/>
      <c r="O361" s="151"/>
      <c r="P361" s="151"/>
      <c r="Q361" s="151"/>
      <c r="R361" s="151"/>
      <c r="S361" s="152"/>
      <c r="T361" s="151"/>
      <c r="U361" s="151"/>
      <c r="V361" s="153"/>
      <c r="W361" s="151"/>
      <c r="X361" s="151"/>
      <c r="Y361" s="153"/>
      <c r="Z361" s="151"/>
      <c r="AA361" s="187" t="str">
        <f t="shared" si="11"/>
        <v>No</v>
      </c>
      <c r="AB361" s="158"/>
      <c r="AC361" s="159"/>
      <c r="AD361" s="160"/>
    </row>
    <row r="362" spans="1:30">
      <c r="A362" s="155"/>
      <c r="B362" s="112" t="str">
        <f t="shared" si="10"/>
        <v/>
      </c>
      <c r="C362" s="183"/>
      <c r="D362" s="152"/>
      <c r="E362" s="152"/>
      <c r="F362" s="151"/>
      <c r="G362" s="153"/>
      <c r="H362" s="151"/>
      <c r="I362" s="151"/>
      <c r="J362" s="151"/>
      <c r="K362" s="151"/>
      <c r="L362" s="151"/>
      <c r="M362" s="151"/>
      <c r="N362" s="151"/>
      <c r="O362" s="151"/>
      <c r="P362" s="151"/>
      <c r="Q362" s="151"/>
      <c r="R362" s="151"/>
      <c r="S362" s="152"/>
      <c r="T362" s="151"/>
      <c r="U362" s="151"/>
      <c r="V362" s="153"/>
      <c r="W362" s="151"/>
      <c r="X362" s="151"/>
      <c r="Y362" s="153"/>
      <c r="Z362" s="151"/>
      <c r="AA362" s="187" t="str">
        <f t="shared" si="11"/>
        <v>No</v>
      </c>
      <c r="AB362" s="158"/>
      <c r="AC362" s="159"/>
      <c r="AD362" s="160"/>
    </row>
    <row r="363" spans="1:30">
      <c r="A363" s="155"/>
      <c r="B363" s="112" t="str">
        <f t="shared" si="10"/>
        <v/>
      </c>
      <c r="C363" s="183"/>
      <c r="D363" s="152"/>
      <c r="E363" s="152"/>
      <c r="F363" s="151"/>
      <c r="G363" s="153"/>
      <c r="H363" s="151"/>
      <c r="I363" s="151"/>
      <c r="J363" s="151"/>
      <c r="K363" s="151"/>
      <c r="L363" s="151"/>
      <c r="M363" s="151"/>
      <c r="N363" s="151"/>
      <c r="O363" s="151"/>
      <c r="P363" s="151"/>
      <c r="Q363" s="151"/>
      <c r="R363" s="151"/>
      <c r="S363" s="152"/>
      <c r="T363" s="151"/>
      <c r="U363" s="151"/>
      <c r="V363" s="153"/>
      <c r="W363" s="151"/>
      <c r="X363" s="151"/>
      <c r="Y363" s="153"/>
      <c r="Z363" s="151"/>
      <c r="AA363" s="187" t="str">
        <f t="shared" si="11"/>
        <v>No</v>
      </c>
      <c r="AB363" s="158"/>
      <c r="AC363" s="159"/>
      <c r="AD363" s="160"/>
    </row>
    <row r="364" spans="1:30">
      <c r="A364" s="155"/>
      <c r="B364" s="112" t="str">
        <f t="shared" si="10"/>
        <v/>
      </c>
      <c r="C364" s="183"/>
      <c r="D364" s="152"/>
      <c r="E364" s="152"/>
      <c r="F364" s="151"/>
      <c r="G364" s="153"/>
      <c r="H364" s="151"/>
      <c r="I364" s="151"/>
      <c r="J364" s="151"/>
      <c r="K364" s="151"/>
      <c r="L364" s="151"/>
      <c r="M364" s="151"/>
      <c r="N364" s="151"/>
      <c r="O364" s="151"/>
      <c r="P364" s="151"/>
      <c r="Q364" s="151"/>
      <c r="R364" s="151"/>
      <c r="S364" s="152"/>
      <c r="T364" s="151"/>
      <c r="U364" s="151"/>
      <c r="V364" s="153"/>
      <c r="W364" s="151"/>
      <c r="X364" s="151"/>
      <c r="Y364" s="153"/>
      <c r="Z364" s="151"/>
      <c r="AA364" s="187" t="str">
        <f t="shared" si="11"/>
        <v>No</v>
      </c>
      <c r="AB364" s="158"/>
      <c r="AC364" s="159"/>
      <c r="AD364" s="160"/>
    </row>
    <row r="365" spans="1:30">
      <c r="A365" s="155"/>
      <c r="B365" s="112" t="str">
        <f t="shared" si="10"/>
        <v/>
      </c>
      <c r="C365" s="183"/>
      <c r="D365" s="152"/>
      <c r="E365" s="152"/>
      <c r="F365" s="151"/>
      <c r="G365" s="153"/>
      <c r="H365" s="151"/>
      <c r="I365" s="151"/>
      <c r="J365" s="151"/>
      <c r="K365" s="151"/>
      <c r="L365" s="151"/>
      <c r="M365" s="151"/>
      <c r="N365" s="151"/>
      <c r="O365" s="151"/>
      <c r="P365" s="151"/>
      <c r="Q365" s="151"/>
      <c r="R365" s="151"/>
      <c r="S365" s="152"/>
      <c r="T365" s="151"/>
      <c r="U365" s="151"/>
      <c r="V365" s="153"/>
      <c r="W365" s="151"/>
      <c r="X365" s="151"/>
      <c r="Y365" s="153"/>
      <c r="Z365" s="151"/>
      <c r="AA365" s="187" t="str">
        <f t="shared" si="11"/>
        <v>No</v>
      </c>
      <c r="AB365" s="158"/>
      <c r="AC365" s="159"/>
      <c r="AD365" s="160"/>
    </row>
    <row r="366" spans="1:30">
      <c r="A366" s="155"/>
      <c r="B366" s="112" t="str">
        <f t="shared" si="10"/>
        <v/>
      </c>
      <c r="C366" s="183"/>
      <c r="D366" s="152"/>
      <c r="E366" s="152"/>
      <c r="F366" s="151"/>
      <c r="G366" s="153"/>
      <c r="H366" s="151"/>
      <c r="I366" s="151"/>
      <c r="J366" s="151"/>
      <c r="K366" s="151"/>
      <c r="L366" s="151"/>
      <c r="M366" s="151"/>
      <c r="N366" s="151"/>
      <c r="O366" s="151"/>
      <c r="P366" s="151"/>
      <c r="Q366" s="151"/>
      <c r="R366" s="151"/>
      <c r="S366" s="152"/>
      <c r="T366" s="151"/>
      <c r="U366" s="151"/>
      <c r="V366" s="153"/>
      <c r="W366" s="151"/>
      <c r="X366" s="151"/>
      <c r="Y366" s="153"/>
      <c r="Z366" s="151"/>
      <c r="AA366" s="187" t="str">
        <f t="shared" si="11"/>
        <v>No</v>
      </c>
      <c r="AB366" s="158"/>
      <c r="AC366" s="159"/>
      <c r="AD366" s="160"/>
    </row>
    <row r="367" spans="1:30">
      <c r="A367" s="155"/>
      <c r="B367" s="112" t="str">
        <f t="shared" si="10"/>
        <v/>
      </c>
      <c r="C367" s="183"/>
      <c r="D367" s="152"/>
      <c r="E367" s="152"/>
      <c r="F367" s="151"/>
      <c r="G367" s="153"/>
      <c r="H367" s="151"/>
      <c r="I367" s="151"/>
      <c r="J367" s="151"/>
      <c r="K367" s="151"/>
      <c r="L367" s="151"/>
      <c r="M367" s="151"/>
      <c r="N367" s="151"/>
      <c r="O367" s="151"/>
      <c r="P367" s="151"/>
      <c r="Q367" s="151"/>
      <c r="R367" s="151"/>
      <c r="S367" s="152"/>
      <c r="T367" s="151"/>
      <c r="U367" s="151"/>
      <c r="V367" s="153"/>
      <c r="W367" s="151"/>
      <c r="X367" s="151"/>
      <c r="Y367" s="153"/>
      <c r="Z367" s="151"/>
      <c r="AA367" s="187" t="str">
        <f t="shared" si="11"/>
        <v>No</v>
      </c>
      <c r="AB367" s="158"/>
      <c r="AC367" s="159"/>
      <c r="AD367" s="160"/>
    </row>
    <row r="368" spans="1:30">
      <c r="A368" s="155"/>
      <c r="B368" s="112" t="str">
        <f t="shared" si="10"/>
        <v/>
      </c>
      <c r="C368" s="183"/>
      <c r="D368" s="152"/>
      <c r="E368" s="152"/>
      <c r="F368" s="151"/>
      <c r="G368" s="153"/>
      <c r="H368" s="151"/>
      <c r="I368" s="151"/>
      <c r="J368" s="151"/>
      <c r="K368" s="151"/>
      <c r="L368" s="151"/>
      <c r="M368" s="151"/>
      <c r="N368" s="151"/>
      <c r="O368" s="151"/>
      <c r="P368" s="151"/>
      <c r="Q368" s="151"/>
      <c r="R368" s="151"/>
      <c r="S368" s="152"/>
      <c r="T368" s="151"/>
      <c r="U368" s="151"/>
      <c r="V368" s="153"/>
      <c r="W368" s="151"/>
      <c r="X368" s="151"/>
      <c r="Y368" s="153"/>
      <c r="Z368" s="151"/>
      <c r="AA368" s="187" t="str">
        <f t="shared" si="11"/>
        <v>No</v>
      </c>
      <c r="AB368" s="158"/>
      <c r="AC368" s="159"/>
      <c r="AD368" s="160"/>
    </row>
    <row r="369" spans="1:30">
      <c r="A369" s="155"/>
      <c r="B369" s="112" t="str">
        <f t="shared" si="10"/>
        <v/>
      </c>
      <c r="C369" s="183"/>
      <c r="D369" s="152"/>
      <c r="E369" s="152"/>
      <c r="F369" s="151"/>
      <c r="G369" s="153"/>
      <c r="H369" s="151"/>
      <c r="I369" s="151"/>
      <c r="J369" s="151"/>
      <c r="K369" s="151"/>
      <c r="L369" s="151"/>
      <c r="M369" s="151"/>
      <c r="N369" s="151"/>
      <c r="O369" s="151"/>
      <c r="P369" s="151"/>
      <c r="Q369" s="151"/>
      <c r="R369" s="151"/>
      <c r="S369" s="152"/>
      <c r="T369" s="151"/>
      <c r="U369" s="151"/>
      <c r="V369" s="153"/>
      <c r="W369" s="151"/>
      <c r="X369" s="151"/>
      <c r="Y369" s="153"/>
      <c r="Z369" s="151"/>
      <c r="AA369" s="187" t="str">
        <f t="shared" si="11"/>
        <v>No</v>
      </c>
      <c r="AB369" s="158"/>
      <c r="AC369" s="159"/>
      <c r="AD369" s="160"/>
    </row>
    <row r="370" spans="1:30">
      <c r="A370" s="155"/>
      <c r="B370" s="112" t="str">
        <f t="shared" si="10"/>
        <v/>
      </c>
      <c r="C370" s="183"/>
      <c r="D370" s="152"/>
      <c r="E370" s="152"/>
      <c r="F370" s="151"/>
      <c r="G370" s="153"/>
      <c r="H370" s="151"/>
      <c r="I370" s="151"/>
      <c r="J370" s="151"/>
      <c r="K370" s="151"/>
      <c r="L370" s="151"/>
      <c r="M370" s="151"/>
      <c r="N370" s="151"/>
      <c r="O370" s="151"/>
      <c r="P370" s="151"/>
      <c r="Q370" s="151"/>
      <c r="R370" s="151"/>
      <c r="S370" s="152"/>
      <c r="T370" s="151"/>
      <c r="U370" s="151"/>
      <c r="V370" s="153"/>
      <c r="W370" s="151"/>
      <c r="X370" s="151"/>
      <c r="Y370" s="153"/>
      <c r="Z370" s="151"/>
      <c r="AA370" s="187" t="str">
        <f t="shared" si="11"/>
        <v>No</v>
      </c>
      <c r="AB370" s="158"/>
      <c r="AC370" s="159"/>
      <c r="AD370" s="160"/>
    </row>
    <row r="371" spans="1:30">
      <c r="A371" s="155"/>
      <c r="B371" s="112" t="str">
        <f t="shared" si="10"/>
        <v/>
      </c>
      <c r="C371" s="183"/>
      <c r="D371" s="152"/>
      <c r="E371" s="152"/>
      <c r="F371" s="151"/>
      <c r="G371" s="153"/>
      <c r="H371" s="151"/>
      <c r="I371" s="151"/>
      <c r="J371" s="151"/>
      <c r="K371" s="151"/>
      <c r="L371" s="151"/>
      <c r="M371" s="151"/>
      <c r="N371" s="151"/>
      <c r="O371" s="151"/>
      <c r="P371" s="151"/>
      <c r="Q371" s="151"/>
      <c r="R371" s="151"/>
      <c r="S371" s="152"/>
      <c r="T371" s="151"/>
      <c r="U371" s="151"/>
      <c r="V371" s="153"/>
      <c r="W371" s="151"/>
      <c r="X371" s="151"/>
      <c r="Y371" s="153"/>
      <c r="Z371" s="151"/>
      <c r="AA371" s="187" t="str">
        <f t="shared" si="11"/>
        <v>No</v>
      </c>
      <c r="AB371" s="158"/>
      <c r="AC371" s="159"/>
      <c r="AD371" s="160"/>
    </row>
    <row r="372" spans="1:30">
      <c r="A372" s="155"/>
      <c r="B372" s="112" t="str">
        <f t="shared" si="10"/>
        <v/>
      </c>
      <c r="C372" s="183"/>
      <c r="D372" s="152"/>
      <c r="E372" s="152"/>
      <c r="F372" s="151"/>
      <c r="G372" s="153"/>
      <c r="H372" s="151"/>
      <c r="I372" s="151"/>
      <c r="J372" s="151"/>
      <c r="K372" s="151"/>
      <c r="L372" s="151"/>
      <c r="M372" s="151"/>
      <c r="N372" s="151"/>
      <c r="O372" s="151"/>
      <c r="P372" s="151"/>
      <c r="Q372" s="151"/>
      <c r="R372" s="151"/>
      <c r="S372" s="152"/>
      <c r="T372" s="151"/>
      <c r="U372" s="151"/>
      <c r="V372" s="153"/>
      <c r="W372" s="151"/>
      <c r="X372" s="151"/>
      <c r="Y372" s="153"/>
      <c r="Z372" s="151"/>
      <c r="AA372" s="187" t="str">
        <f t="shared" si="11"/>
        <v>No</v>
      </c>
      <c r="AB372" s="158"/>
      <c r="AC372" s="159"/>
      <c r="AD372" s="160"/>
    </row>
    <row r="373" spans="1:30">
      <c r="A373" s="155"/>
      <c r="B373" s="112" t="str">
        <f t="shared" si="10"/>
        <v/>
      </c>
      <c r="C373" s="183"/>
      <c r="D373" s="152"/>
      <c r="E373" s="152"/>
      <c r="F373" s="151"/>
      <c r="G373" s="153"/>
      <c r="H373" s="151"/>
      <c r="I373" s="151"/>
      <c r="J373" s="151"/>
      <c r="K373" s="151"/>
      <c r="L373" s="151"/>
      <c r="M373" s="151"/>
      <c r="N373" s="151"/>
      <c r="O373" s="151"/>
      <c r="P373" s="151"/>
      <c r="Q373" s="151"/>
      <c r="R373" s="151"/>
      <c r="S373" s="152"/>
      <c r="T373" s="151"/>
      <c r="U373" s="151"/>
      <c r="V373" s="153"/>
      <c r="W373" s="151"/>
      <c r="X373" s="151"/>
      <c r="Y373" s="153"/>
      <c r="Z373" s="151"/>
      <c r="AA373" s="187" t="str">
        <f t="shared" si="11"/>
        <v>No</v>
      </c>
      <c r="AB373" s="158"/>
      <c r="AC373" s="159"/>
      <c r="AD373" s="160"/>
    </row>
    <row r="374" spans="1:30">
      <c r="A374" s="155"/>
      <c r="B374" s="112" t="str">
        <f t="shared" si="10"/>
        <v/>
      </c>
      <c r="C374" s="183"/>
      <c r="D374" s="152"/>
      <c r="E374" s="152"/>
      <c r="F374" s="151"/>
      <c r="G374" s="153"/>
      <c r="H374" s="151"/>
      <c r="I374" s="151"/>
      <c r="J374" s="151"/>
      <c r="K374" s="151"/>
      <c r="L374" s="151"/>
      <c r="M374" s="151"/>
      <c r="N374" s="151"/>
      <c r="O374" s="151"/>
      <c r="P374" s="151"/>
      <c r="Q374" s="151"/>
      <c r="R374" s="151"/>
      <c r="S374" s="152"/>
      <c r="T374" s="151"/>
      <c r="U374" s="151"/>
      <c r="V374" s="153"/>
      <c r="W374" s="151"/>
      <c r="X374" s="151"/>
      <c r="Y374" s="153"/>
      <c r="Z374" s="151"/>
      <c r="AA374" s="187" t="str">
        <f t="shared" si="11"/>
        <v>No</v>
      </c>
      <c r="AB374" s="158"/>
      <c r="AC374" s="159"/>
      <c r="AD374" s="160"/>
    </row>
    <row r="375" spans="1:30">
      <c r="A375" s="155"/>
      <c r="B375" s="112" t="str">
        <f t="shared" si="10"/>
        <v/>
      </c>
      <c r="C375" s="183"/>
      <c r="D375" s="152"/>
      <c r="E375" s="152"/>
      <c r="F375" s="151"/>
      <c r="G375" s="153"/>
      <c r="H375" s="151"/>
      <c r="I375" s="151"/>
      <c r="J375" s="151"/>
      <c r="K375" s="151"/>
      <c r="L375" s="151"/>
      <c r="M375" s="151"/>
      <c r="N375" s="151"/>
      <c r="O375" s="151"/>
      <c r="P375" s="151"/>
      <c r="Q375" s="151"/>
      <c r="R375" s="151"/>
      <c r="S375" s="152"/>
      <c r="T375" s="151"/>
      <c r="U375" s="151"/>
      <c r="V375" s="153"/>
      <c r="W375" s="151"/>
      <c r="X375" s="151"/>
      <c r="Y375" s="153"/>
      <c r="Z375" s="151"/>
      <c r="AA375" s="187" t="str">
        <f t="shared" si="11"/>
        <v>No</v>
      </c>
      <c r="AB375" s="158"/>
      <c r="AC375" s="159"/>
      <c r="AD375" s="160"/>
    </row>
    <row r="376" spans="1:30">
      <c r="A376" s="155"/>
      <c r="B376" s="112" t="str">
        <f t="shared" si="10"/>
        <v/>
      </c>
      <c r="C376" s="183"/>
      <c r="D376" s="152"/>
      <c r="E376" s="152"/>
      <c r="F376" s="151"/>
      <c r="G376" s="153"/>
      <c r="H376" s="151"/>
      <c r="I376" s="151"/>
      <c r="J376" s="151"/>
      <c r="K376" s="151"/>
      <c r="L376" s="151"/>
      <c r="M376" s="151"/>
      <c r="N376" s="151"/>
      <c r="O376" s="151"/>
      <c r="P376" s="151"/>
      <c r="Q376" s="151"/>
      <c r="R376" s="151"/>
      <c r="S376" s="152"/>
      <c r="T376" s="151"/>
      <c r="U376" s="151"/>
      <c r="V376" s="153"/>
      <c r="W376" s="151"/>
      <c r="X376" s="151"/>
      <c r="Y376" s="153"/>
      <c r="Z376" s="151"/>
      <c r="AA376" s="187" t="str">
        <f t="shared" si="11"/>
        <v>No</v>
      </c>
      <c r="AB376" s="158"/>
      <c r="AC376" s="159"/>
      <c r="AD376" s="160"/>
    </row>
    <row r="377" spans="1:30">
      <c r="A377" s="155"/>
      <c r="B377" s="112" t="str">
        <f t="shared" si="10"/>
        <v/>
      </c>
      <c r="C377" s="183"/>
      <c r="D377" s="152"/>
      <c r="E377" s="152"/>
      <c r="F377" s="151"/>
      <c r="G377" s="153"/>
      <c r="H377" s="151"/>
      <c r="I377" s="151"/>
      <c r="J377" s="151"/>
      <c r="K377" s="151"/>
      <c r="L377" s="151"/>
      <c r="M377" s="151"/>
      <c r="N377" s="151"/>
      <c r="O377" s="151"/>
      <c r="P377" s="151"/>
      <c r="Q377" s="151"/>
      <c r="R377" s="151"/>
      <c r="S377" s="152"/>
      <c r="T377" s="151"/>
      <c r="U377" s="151"/>
      <c r="V377" s="153"/>
      <c r="W377" s="151"/>
      <c r="X377" s="151"/>
      <c r="Y377" s="153"/>
      <c r="Z377" s="151"/>
      <c r="AA377" s="187" t="str">
        <f t="shared" si="11"/>
        <v>No</v>
      </c>
      <c r="AB377" s="158"/>
      <c r="AC377" s="159"/>
      <c r="AD377" s="160"/>
    </row>
    <row r="378" spans="1:30">
      <c r="A378" s="155"/>
      <c r="B378" s="112" t="str">
        <f t="shared" si="10"/>
        <v/>
      </c>
      <c r="C378" s="183"/>
      <c r="D378" s="152"/>
      <c r="E378" s="152"/>
      <c r="F378" s="151"/>
      <c r="G378" s="153"/>
      <c r="H378" s="151"/>
      <c r="I378" s="151"/>
      <c r="J378" s="151"/>
      <c r="K378" s="151"/>
      <c r="L378" s="151"/>
      <c r="M378" s="151"/>
      <c r="N378" s="151"/>
      <c r="O378" s="151"/>
      <c r="P378" s="151"/>
      <c r="Q378" s="151"/>
      <c r="R378" s="151"/>
      <c r="S378" s="152"/>
      <c r="T378" s="151"/>
      <c r="U378" s="151"/>
      <c r="V378" s="153"/>
      <c r="W378" s="151"/>
      <c r="X378" s="151"/>
      <c r="Y378" s="153"/>
      <c r="Z378" s="151"/>
      <c r="AA378" s="187" t="str">
        <f t="shared" si="11"/>
        <v>No</v>
      </c>
      <c r="AB378" s="158"/>
      <c r="AC378" s="159"/>
      <c r="AD378" s="160"/>
    </row>
    <row r="379" spans="1:30">
      <c r="A379" s="155"/>
      <c r="B379" s="112" t="str">
        <f t="shared" si="10"/>
        <v/>
      </c>
      <c r="C379" s="183"/>
      <c r="D379" s="152"/>
      <c r="E379" s="152"/>
      <c r="F379" s="151"/>
      <c r="G379" s="153"/>
      <c r="H379" s="151"/>
      <c r="I379" s="151"/>
      <c r="J379" s="151"/>
      <c r="K379" s="151"/>
      <c r="L379" s="151"/>
      <c r="M379" s="151"/>
      <c r="N379" s="151"/>
      <c r="O379" s="151"/>
      <c r="P379" s="151"/>
      <c r="Q379" s="151"/>
      <c r="R379" s="151"/>
      <c r="S379" s="152"/>
      <c r="T379" s="151"/>
      <c r="U379" s="151"/>
      <c r="V379" s="153"/>
      <c r="W379" s="151"/>
      <c r="X379" s="151"/>
      <c r="Y379" s="153"/>
      <c r="Z379" s="151"/>
      <c r="AA379" s="187" t="str">
        <f t="shared" si="11"/>
        <v>No</v>
      </c>
      <c r="AB379" s="158"/>
      <c r="AC379" s="159"/>
      <c r="AD379" s="160"/>
    </row>
    <row r="380" spans="1:30">
      <c r="A380" s="155"/>
      <c r="B380" s="112" t="str">
        <f t="shared" si="10"/>
        <v/>
      </c>
      <c r="C380" s="183"/>
      <c r="D380" s="152"/>
      <c r="E380" s="152"/>
      <c r="F380" s="151"/>
      <c r="G380" s="153"/>
      <c r="H380" s="151"/>
      <c r="I380" s="151"/>
      <c r="J380" s="151"/>
      <c r="K380" s="151"/>
      <c r="L380" s="151"/>
      <c r="M380" s="151"/>
      <c r="N380" s="151"/>
      <c r="O380" s="151"/>
      <c r="P380" s="151"/>
      <c r="Q380" s="151"/>
      <c r="R380" s="151"/>
      <c r="S380" s="152"/>
      <c r="T380" s="151"/>
      <c r="U380" s="151"/>
      <c r="V380" s="153"/>
      <c r="W380" s="151"/>
      <c r="X380" s="151"/>
      <c r="Y380" s="153"/>
      <c r="Z380" s="151"/>
      <c r="AA380" s="187" t="str">
        <f t="shared" si="11"/>
        <v>No</v>
      </c>
      <c r="AB380" s="158"/>
      <c r="AC380" s="159"/>
      <c r="AD380" s="160"/>
    </row>
    <row r="381" spans="1:30">
      <c r="A381" s="155"/>
      <c r="B381" s="112" t="str">
        <f t="shared" si="10"/>
        <v/>
      </c>
      <c r="C381" s="183"/>
      <c r="D381" s="152"/>
      <c r="E381" s="152"/>
      <c r="F381" s="151"/>
      <c r="G381" s="153"/>
      <c r="H381" s="151"/>
      <c r="I381" s="151"/>
      <c r="J381" s="151"/>
      <c r="K381" s="151"/>
      <c r="L381" s="151"/>
      <c r="M381" s="151"/>
      <c r="N381" s="151"/>
      <c r="O381" s="151"/>
      <c r="P381" s="151"/>
      <c r="Q381" s="151"/>
      <c r="R381" s="151"/>
      <c r="S381" s="152"/>
      <c r="T381" s="151"/>
      <c r="U381" s="151"/>
      <c r="V381" s="153"/>
      <c r="W381" s="151"/>
      <c r="X381" s="151"/>
      <c r="Y381" s="153"/>
      <c r="Z381" s="151"/>
      <c r="AA381" s="187" t="str">
        <f t="shared" si="11"/>
        <v>No</v>
      </c>
      <c r="AB381" s="158"/>
      <c r="AC381" s="159"/>
      <c r="AD381" s="160"/>
    </row>
    <row r="382" spans="1:30">
      <c r="A382" s="155"/>
      <c r="B382" s="112" t="str">
        <f t="shared" si="10"/>
        <v/>
      </c>
      <c r="C382" s="183"/>
      <c r="D382" s="152"/>
      <c r="E382" s="152"/>
      <c r="F382" s="151"/>
      <c r="G382" s="153"/>
      <c r="H382" s="151"/>
      <c r="I382" s="151"/>
      <c r="J382" s="151"/>
      <c r="K382" s="151"/>
      <c r="L382" s="151"/>
      <c r="M382" s="151"/>
      <c r="N382" s="151"/>
      <c r="O382" s="151"/>
      <c r="P382" s="151"/>
      <c r="Q382" s="151"/>
      <c r="R382" s="151"/>
      <c r="S382" s="152"/>
      <c r="T382" s="151"/>
      <c r="U382" s="151"/>
      <c r="V382" s="153"/>
      <c r="W382" s="151"/>
      <c r="X382" s="151"/>
      <c r="Y382" s="153"/>
      <c r="Z382" s="151"/>
      <c r="AA382" s="187" t="str">
        <f t="shared" si="11"/>
        <v>No</v>
      </c>
      <c r="AB382" s="158"/>
      <c r="AC382" s="159"/>
      <c r="AD382" s="160"/>
    </row>
    <row r="383" spans="1:30">
      <c r="A383" s="155"/>
      <c r="B383" s="112" t="str">
        <f t="shared" si="10"/>
        <v/>
      </c>
      <c r="C383" s="183"/>
      <c r="D383" s="152"/>
      <c r="E383" s="152"/>
      <c r="F383" s="151"/>
      <c r="G383" s="153"/>
      <c r="H383" s="151"/>
      <c r="I383" s="151"/>
      <c r="J383" s="151"/>
      <c r="K383" s="151"/>
      <c r="L383" s="151"/>
      <c r="M383" s="151"/>
      <c r="N383" s="151"/>
      <c r="O383" s="151"/>
      <c r="P383" s="151"/>
      <c r="Q383" s="151"/>
      <c r="R383" s="151"/>
      <c r="S383" s="152"/>
      <c r="T383" s="151"/>
      <c r="U383" s="151"/>
      <c r="V383" s="153"/>
      <c r="W383" s="151"/>
      <c r="X383" s="151"/>
      <c r="Y383" s="153"/>
      <c r="Z383" s="151"/>
      <c r="AA383" s="187" t="str">
        <f t="shared" si="11"/>
        <v>No</v>
      </c>
      <c r="AB383" s="158"/>
      <c r="AC383" s="159"/>
      <c r="AD383" s="160"/>
    </row>
    <row r="384" spans="1:30">
      <c r="A384" s="155"/>
      <c r="B384" s="112" t="str">
        <f t="shared" si="10"/>
        <v/>
      </c>
      <c r="C384" s="183"/>
      <c r="D384" s="152"/>
      <c r="E384" s="152"/>
      <c r="F384" s="151"/>
      <c r="G384" s="153"/>
      <c r="H384" s="151"/>
      <c r="I384" s="151"/>
      <c r="J384" s="151"/>
      <c r="K384" s="151"/>
      <c r="L384" s="151"/>
      <c r="M384" s="151"/>
      <c r="N384" s="151"/>
      <c r="O384" s="151"/>
      <c r="P384" s="151"/>
      <c r="Q384" s="151"/>
      <c r="R384" s="151"/>
      <c r="S384" s="152"/>
      <c r="T384" s="151"/>
      <c r="U384" s="151"/>
      <c r="V384" s="153"/>
      <c r="W384" s="151"/>
      <c r="X384" s="151"/>
      <c r="Y384" s="153"/>
      <c r="Z384" s="151"/>
      <c r="AA384" s="187" t="str">
        <f t="shared" si="11"/>
        <v>No</v>
      </c>
      <c r="AB384" s="158"/>
      <c r="AC384" s="159"/>
      <c r="AD384" s="160"/>
    </row>
    <row r="385" spans="1:30">
      <c r="A385" s="155"/>
      <c r="B385" s="112" t="str">
        <f t="shared" si="10"/>
        <v/>
      </c>
      <c r="C385" s="183"/>
      <c r="D385" s="152"/>
      <c r="E385" s="152"/>
      <c r="F385" s="151"/>
      <c r="G385" s="153"/>
      <c r="H385" s="151"/>
      <c r="I385" s="151"/>
      <c r="J385" s="151"/>
      <c r="K385" s="151"/>
      <c r="L385" s="151"/>
      <c r="M385" s="151"/>
      <c r="N385" s="151"/>
      <c r="O385" s="151"/>
      <c r="P385" s="151"/>
      <c r="Q385" s="151"/>
      <c r="R385" s="151"/>
      <c r="S385" s="152"/>
      <c r="T385" s="151"/>
      <c r="U385" s="151"/>
      <c r="V385" s="153"/>
      <c r="W385" s="151"/>
      <c r="X385" s="151"/>
      <c r="Y385" s="153"/>
      <c r="Z385" s="151"/>
      <c r="AA385" s="187" t="str">
        <f t="shared" si="11"/>
        <v>No</v>
      </c>
      <c r="AB385" s="158"/>
      <c r="AC385" s="159"/>
      <c r="AD385" s="160"/>
    </row>
    <row r="386" spans="1:30">
      <c r="A386" s="155"/>
      <c r="B386" s="112" t="str">
        <f t="shared" si="10"/>
        <v/>
      </c>
      <c r="C386" s="183"/>
      <c r="D386" s="152"/>
      <c r="E386" s="152"/>
      <c r="F386" s="151"/>
      <c r="G386" s="153"/>
      <c r="H386" s="151"/>
      <c r="I386" s="151"/>
      <c r="J386" s="151"/>
      <c r="K386" s="151"/>
      <c r="L386" s="151"/>
      <c r="M386" s="151"/>
      <c r="N386" s="151"/>
      <c r="O386" s="151"/>
      <c r="P386" s="151"/>
      <c r="Q386" s="151"/>
      <c r="R386" s="151"/>
      <c r="S386" s="152"/>
      <c r="T386" s="151"/>
      <c r="U386" s="151"/>
      <c r="V386" s="153"/>
      <c r="W386" s="151"/>
      <c r="X386" s="151"/>
      <c r="Y386" s="153"/>
      <c r="Z386" s="151"/>
      <c r="AA386" s="187" t="str">
        <f t="shared" si="11"/>
        <v>No</v>
      </c>
      <c r="AB386" s="158"/>
      <c r="AC386" s="159"/>
      <c r="AD386" s="160"/>
    </row>
    <row r="387" spans="1:30">
      <c r="A387" s="155"/>
      <c r="B387" s="112" t="str">
        <f t="shared" si="10"/>
        <v/>
      </c>
      <c r="C387" s="183"/>
      <c r="D387" s="152"/>
      <c r="E387" s="152"/>
      <c r="F387" s="151"/>
      <c r="G387" s="153"/>
      <c r="H387" s="151"/>
      <c r="I387" s="151"/>
      <c r="J387" s="151"/>
      <c r="K387" s="151"/>
      <c r="L387" s="151"/>
      <c r="M387" s="151"/>
      <c r="N387" s="151"/>
      <c r="O387" s="151"/>
      <c r="P387" s="151"/>
      <c r="Q387" s="151"/>
      <c r="R387" s="151"/>
      <c r="S387" s="152"/>
      <c r="T387" s="151"/>
      <c r="U387" s="151"/>
      <c r="V387" s="153"/>
      <c r="W387" s="151"/>
      <c r="X387" s="151"/>
      <c r="Y387" s="153"/>
      <c r="Z387" s="151"/>
      <c r="AA387" s="187" t="str">
        <f t="shared" si="11"/>
        <v>No</v>
      </c>
      <c r="AB387" s="158"/>
      <c r="AC387" s="159"/>
      <c r="AD387" s="160"/>
    </row>
    <row r="388" spans="1:30">
      <c r="A388" s="155"/>
      <c r="B388" s="112" t="str">
        <f t="shared" si="10"/>
        <v/>
      </c>
      <c r="C388" s="183"/>
      <c r="D388" s="152"/>
      <c r="E388" s="152"/>
      <c r="F388" s="151"/>
      <c r="G388" s="153"/>
      <c r="H388" s="151"/>
      <c r="I388" s="151"/>
      <c r="J388" s="151"/>
      <c r="K388" s="151"/>
      <c r="L388" s="151"/>
      <c r="M388" s="151"/>
      <c r="N388" s="151"/>
      <c r="O388" s="151"/>
      <c r="P388" s="151"/>
      <c r="Q388" s="151"/>
      <c r="R388" s="151"/>
      <c r="S388" s="152"/>
      <c r="T388" s="151"/>
      <c r="U388" s="151"/>
      <c r="V388" s="153"/>
      <c r="W388" s="151"/>
      <c r="X388" s="151"/>
      <c r="Y388" s="153"/>
      <c r="Z388" s="151"/>
      <c r="AA388" s="187" t="str">
        <f t="shared" si="11"/>
        <v>No</v>
      </c>
      <c r="AB388" s="158"/>
      <c r="AC388" s="159"/>
      <c r="AD388" s="160"/>
    </row>
    <row r="389" spans="1:30">
      <c r="A389" s="155"/>
      <c r="B389" s="112" t="str">
        <f t="shared" ref="B389:B452" si="12">IF(AND(A389&lt;&gt;"",D389&lt;&gt;"",J389&lt;&gt;"",N389&lt;&gt;""),TEXT(D389,"YY")&amp;"-"&amp;TEXT(D389,"MMM")&amp;"-"&amp;UPPER(LEFT(TRIM(N389),2))&amp;"-"&amp;UPPER(LEFT(TRIM(J389),3))&amp;"-"&amp;A389,"")</f>
        <v/>
      </c>
      <c r="C389" s="183"/>
      <c r="D389" s="152"/>
      <c r="E389" s="152"/>
      <c r="F389" s="151"/>
      <c r="G389" s="153"/>
      <c r="H389" s="151"/>
      <c r="I389" s="151"/>
      <c r="J389" s="151"/>
      <c r="K389" s="151"/>
      <c r="L389" s="151"/>
      <c r="M389" s="151"/>
      <c r="N389" s="151"/>
      <c r="O389" s="151"/>
      <c r="P389" s="151"/>
      <c r="Q389" s="151"/>
      <c r="R389" s="151"/>
      <c r="S389" s="152"/>
      <c r="T389" s="151"/>
      <c r="U389" s="151"/>
      <c r="V389" s="153"/>
      <c r="W389" s="151"/>
      <c r="X389" s="151"/>
      <c r="Y389" s="153"/>
      <c r="Z389" s="151"/>
      <c r="AA389" s="187" t="str">
        <f t="shared" ref="AA389:AA452" si="13">IF(E389="","No","Yes")</f>
        <v>No</v>
      </c>
      <c r="AB389" s="158"/>
      <c r="AC389" s="159"/>
      <c r="AD389" s="160"/>
    </row>
    <row r="390" spans="1:30">
      <c r="A390" s="155"/>
      <c r="B390" s="112" t="str">
        <f t="shared" si="12"/>
        <v/>
      </c>
      <c r="C390" s="183"/>
      <c r="D390" s="152"/>
      <c r="E390" s="152"/>
      <c r="F390" s="151"/>
      <c r="G390" s="153"/>
      <c r="H390" s="151"/>
      <c r="I390" s="151"/>
      <c r="J390" s="151"/>
      <c r="K390" s="151"/>
      <c r="L390" s="151"/>
      <c r="M390" s="151"/>
      <c r="N390" s="151"/>
      <c r="O390" s="151"/>
      <c r="P390" s="151"/>
      <c r="Q390" s="151"/>
      <c r="R390" s="151"/>
      <c r="S390" s="152"/>
      <c r="T390" s="151"/>
      <c r="U390" s="151"/>
      <c r="V390" s="153"/>
      <c r="W390" s="151"/>
      <c r="X390" s="151"/>
      <c r="Y390" s="153"/>
      <c r="Z390" s="151"/>
      <c r="AA390" s="187" t="str">
        <f t="shared" si="13"/>
        <v>No</v>
      </c>
      <c r="AB390" s="158"/>
      <c r="AC390" s="159"/>
      <c r="AD390" s="160"/>
    </row>
    <row r="391" spans="1:30">
      <c r="A391" s="155"/>
      <c r="B391" s="112" t="str">
        <f t="shared" si="12"/>
        <v/>
      </c>
      <c r="C391" s="183"/>
      <c r="D391" s="152"/>
      <c r="E391" s="152"/>
      <c r="F391" s="151"/>
      <c r="G391" s="153"/>
      <c r="H391" s="151"/>
      <c r="I391" s="151"/>
      <c r="J391" s="151"/>
      <c r="K391" s="151"/>
      <c r="L391" s="151"/>
      <c r="M391" s="151"/>
      <c r="N391" s="151"/>
      <c r="O391" s="151"/>
      <c r="P391" s="151"/>
      <c r="Q391" s="151"/>
      <c r="R391" s="151"/>
      <c r="S391" s="152"/>
      <c r="T391" s="151"/>
      <c r="U391" s="151"/>
      <c r="V391" s="153"/>
      <c r="W391" s="151"/>
      <c r="X391" s="151"/>
      <c r="Y391" s="153"/>
      <c r="Z391" s="151"/>
      <c r="AA391" s="187" t="str">
        <f t="shared" si="13"/>
        <v>No</v>
      </c>
      <c r="AB391" s="158"/>
      <c r="AC391" s="159"/>
      <c r="AD391" s="160"/>
    </row>
    <row r="392" spans="1:30">
      <c r="A392" s="155"/>
      <c r="B392" s="112" t="str">
        <f t="shared" si="12"/>
        <v/>
      </c>
      <c r="C392" s="183"/>
      <c r="D392" s="152"/>
      <c r="E392" s="152"/>
      <c r="F392" s="151"/>
      <c r="G392" s="153"/>
      <c r="H392" s="151"/>
      <c r="I392" s="151"/>
      <c r="J392" s="151"/>
      <c r="K392" s="151"/>
      <c r="L392" s="151"/>
      <c r="M392" s="151"/>
      <c r="N392" s="151"/>
      <c r="O392" s="151"/>
      <c r="P392" s="151"/>
      <c r="Q392" s="151"/>
      <c r="R392" s="151"/>
      <c r="S392" s="152"/>
      <c r="T392" s="151"/>
      <c r="U392" s="151"/>
      <c r="V392" s="153"/>
      <c r="W392" s="151"/>
      <c r="X392" s="151"/>
      <c r="Y392" s="153"/>
      <c r="Z392" s="151"/>
      <c r="AA392" s="187" t="str">
        <f t="shared" si="13"/>
        <v>No</v>
      </c>
      <c r="AB392" s="158"/>
      <c r="AC392" s="159"/>
      <c r="AD392" s="160"/>
    </row>
    <row r="393" spans="1:30">
      <c r="A393" s="155"/>
      <c r="B393" s="112" t="str">
        <f t="shared" si="12"/>
        <v/>
      </c>
      <c r="C393" s="183"/>
      <c r="D393" s="152"/>
      <c r="E393" s="152"/>
      <c r="F393" s="151"/>
      <c r="G393" s="153"/>
      <c r="H393" s="151"/>
      <c r="I393" s="151"/>
      <c r="J393" s="151"/>
      <c r="K393" s="151"/>
      <c r="L393" s="151"/>
      <c r="M393" s="151"/>
      <c r="N393" s="151"/>
      <c r="O393" s="151"/>
      <c r="P393" s="151"/>
      <c r="Q393" s="151"/>
      <c r="R393" s="151"/>
      <c r="S393" s="152"/>
      <c r="T393" s="151"/>
      <c r="U393" s="151"/>
      <c r="V393" s="153"/>
      <c r="W393" s="151"/>
      <c r="X393" s="151"/>
      <c r="Y393" s="153"/>
      <c r="Z393" s="151"/>
      <c r="AA393" s="187" t="str">
        <f t="shared" si="13"/>
        <v>No</v>
      </c>
      <c r="AB393" s="158"/>
      <c r="AC393" s="159"/>
      <c r="AD393" s="160"/>
    </row>
    <row r="394" spans="1:30">
      <c r="A394" s="155"/>
      <c r="B394" s="112" t="str">
        <f t="shared" si="12"/>
        <v/>
      </c>
      <c r="C394" s="183"/>
      <c r="D394" s="152"/>
      <c r="E394" s="152"/>
      <c r="F394" s="151"/>
      <c r="G394" s="153"/>
      <c r="H394" s="151"/>
      <c r="I394" s="151"/>
      <c r="J394" s="151"/>
      <c r="K394" s="151"/>
      <c r="L394" s="151"/>
      <c r="M394" s="151"/>
      <c r="N394" s="151"/>
      <c r="O394" s="151"/>
      <c r="P394" s="151"/>
      <c r="Q394" s="151"/>
      <c r="R394" s="151"/>
      <c r="S394" s="152"/>
      <c r="T394" s="151"/>
      <c r="U394" s="151"/>
      <c r="V394" s="153"/>
      <c r="W394" s="151"/>
      <c r="X394" s="151"/>
      <c r="Y394" s="153"/>
      <c r="Z394" s="151"/>
      <c r="AA394" s="187" t="str">
        <f t="shared" si="13"/>
        <v>No</v>
      </c>
      <c r="AB394" s="158"/>
      <c r="AC394" s="159"/>
      <c r="AD394" s="160"/>
    </row>
    <row r="395" spans="1:30">
      <c r="A395" s="155"/>
      <c r="B395" s="112" t="str">
        <f t="shared" si="12"/>
        <v/>
      </c>
      <c r="C395" s="183"/>
      <c r="D395" s="152"/>
      <c r="E395" s="152"/>
      <c r="F395" s="151"/>
      <c r="G395" s="153"/>
      <c r="H395" s="151"/>
      <c r="I395" s="151"/>
      <c r="J395" s="151"/>
      <c r="K395" s="151"/>
      <c r="L395" s="151"/>
      <c r="M395" s="151"/>
      <c r="N395" s="151"/>
      <c r="O395" s="151"/>
      <c r="P395" s="151"/>
      <c r="Q395" s="151"/>
      <c r="R395" s="151"/>
      <c r="S395" s="152"/>
      <c r="T395" s="151"/>
      <c r="U395" s="151"/>
      <c r="V395" s="153"/>
      <c r="W395" s="151"/>
      <c r="X395" s="151"/>
      <c r="Y395" s="153"/>
      <c r="Z395" s="151"/>
      <c r="AA395" s="187" t="str">
        <f t="shared" si="13"/>
        <v>No</v>
      </c>
      <c r="AB395" s="158"/>
      <c r="AC395" s="159"/>
      <c r="AD395" s="160"/>
    </row>
    <row r="396" spans="1:30">
      <c r="A396" s="155"/>
      <c r="B396" s="112" t="str">
        <f t="shared" si="12"/>
        <v/>
      </c>
      <c r="C396" s="183"/>
      <c r="D396" s="152"/>
      <c r="E396" s="152"/>
      <c r="F396" s="151"/>
      <c r="G396" s="153"/>
      <c r="H396" s="151"/>
      <c r="I396" s="151"/>
      <c r="J396" s="151"/>
      <c r="K396" s="151"/>
      <c r="L396" s="151"/>
      <c r="M396" s="151"/>
      <c r="N396" s="151"/>
      <c r="O396" s="151"/>
      <c r="P396" s="151"/>
      <c r="Q396" s="151"/>
      <c r="R396" s="151"/>
      <c r="S396" s="152"/>
      <c r="T396" s="151"/>
      <c r="U396" s="151"/>
      <c r="V396" s="153"/>
      <c r="W396" s="151"/>
      <c r="X396" s="151"/>
      <c r="Y396" s="153"/>
      <c r="Z396" s="151"/>
      <c r="AA396" s="187" t="str">
        <f t="shared" si="13"/>
        <v>No</v>
      </c>
      <c r="AB396" s="158"/>
      <c r="AC396" s="159"/>
      <c r="AD396" s="160"/>
    </row>
    <row r="397" spans="1:30">
      <c r="A397" s="155"/>
      <c r="B397" s="112" t="str">
        <f t="shared" si="12"/>
        <v/>
      </c>
      <c r="C397" s="183"/>
      <c r="D397" s="152"/>
      <c r="E397" s="152"/>
      <c r="F397" s="151"/>
      <c r="G397" s="153"/>
      <c r="H397" s="151"/>
      <c r="I397" s="151"/>
      <c r="J397" s="151"/>
      <c r="K397" s="151"/>
      <c r="L397" s="151"/>
      <c r="M397" s="151"/>
      <c r="N397" s="151"/>
      <c r="O397" s="151"/>
      <c r="P397" s="151"/>
      <c r="Q397" s="151"/>
      <c r="R397" s="151"/>
      <c r="S397" s="152"/>
      <c r="T397" s="151"/>
      <c r="U397" s="151"/>
      <c r="V397" s="153"/>
      <c r="W397" s="151"/>
      <c r="X397" s="151"/>
      <c r="Y397" s="153"/>
      <c r="Z397" s="151"/>
      <c r="AA397" s="187" t="str">
        <f t="shared" si="13"/>
        <v>No</v>
      </c>
      <c r="AB397" s="158"/>
      <c r="AC397" s="159"/>
      <c r="AD397" s="160"/>
    </row>
    <row r="398" spans="1:30">
      <c r="A398" s="155"/>
      <c r="B398" s="112" t="str">
        <f t="shared" si="12"/>
        <v/>
      </c>
      <c r="C398" s="183"/>
      <c r="D398" s="152"/>
      <c r="E398" s="152"/>
      <c r="F398" s="151"/>
      <c r="G398" s="153"/>
      <c r="H398" s="151"/>
      <c r="I398" s="151"/>
      <c r="J398" s="151"/>
      <c r="K398" s="151"/>
      <c r="L398" s="151"/>
      <c r="M398" s="151"/>
      <c r="N398" s="151"/>
      <c r="O398" s="151"/>
      <c r="P398" s="151"/>
      <c r="Q398" s="151"/>
      <c r="R398" s="151"/>
      <c r="S398" s="152"/>
      <c r="T398" s="151"/>
      <c r="U398" s="151"/>
      <c r="V398" s="153"/>
      <c r="W398" s="151"/>
      <c r="X398" s="151"/>
      <c r="Y398" s="153"/>
      <c r="Z398" s="151"/>
      <c r="AA398" s="187" t="str">
        <f t="shared" si="13"/>
        <v>No</v>
      </c>
      <c r="AB398" s="158"/>
      <c r="AC398" s="159"/>
      <c r="AD398" s="160"/>
    </row>
    <row r="399" spans="1:30">
      <c r="A399" s="155"/>
      <c r="B399" s="112" t="str">
        <f t="shared" si="12"/>
        <v/>
      </c>
      <c r="C399" s="183"/>
      <c r="D399" s="152"/>
      <c r="E399" s="152"/>
      <c r="F399" s="151"/>
      <c r="G399" s="153"/>
      <c r="H399" s="151"/>
      <c r="I399" s="151"/>
      <c r="J399" s="151"/>
      <c r="K399" s="151"/>
      <c r="L399" s="151"/>
      <c r="M399" s="151"/>
      <c r="N399" s="151"/>
      <c r="O399" s="151"/>
      <c r="P399" s="151"/>
      <c r="Q399" s="151"/>
      <c r="R399" s="151"/>
      <c r="S399" s="152"/>
      <c r="T399" s="151"/>
      <c r="U399" s="151"/>
      <c r="V399" s="153"/>
      <c r="W399" s="151"/>
      <c r="X399" s="151"/>
      <c r="Y399" s="153"/>
      <c r="Z399" s="151"/>
      <c r="AA399" s="187" t="str">
        <f t="shared" si="13"/>
        <v>No</v>
      </c>
      <c r="AB399" s="158"/>
      <c r="AC399" s="159"/>
      <c r="AD399" s="160"/>
    </row>
    <row r="400" spans="1:30">
      <c r="A400" s="155"/>
      <c r="B400" s="112" t="str">
        <f t="shared" si="12"/>
        <v/>
      </c>
      <c r="C400" s="183"/>
      <c r="D400" s="152"/>
      <c r="E400" s="152"/>
      <c r="F400" s="151"/>
      <c r="G400" s="153"/>
      <c r="H400" s="151"/>
      <c r="I400" s="151"/>
      <c r="J400" s="151"/>
      <c r="K400" s="151"/>
      <c r="L400" s="151"/>
      <c r="M400" s="151"/>
      <c r="N400" s="151"/>
      <c r="O400" s="151"/>
      <c r="P400" s="151"/>
      <c r="Q400" s="151"/>
      <c r="R400" s="151"/>
      <c r="S400" s="152"/>
      <c r="T400" s="151"/>
      <c r="U400" s="151"/>
      <c r="V400" s="153"/>
      <c r="W400" s="151"/>
      <c r="X400" s="151"/>
      <c r="Y400" s="153"/>
      <c r="Z400" s="151"/>
      <c r="AA400" s="187" t="str">
        <f t="shared" si="13"/>
        <v>No</v>
      </c>
      <c r="AB400" s="158"/>
      <c r="AC400" s="159"/>
      <c r="AD400" s="160"/>
    </row>
    <row r="401" spans="1:30">
      <c r="A401" s="155"/>
      <c r="B401" s="112" t="str">
        <f t="shared" si="12"/>
        <v/>
      </c>
      <c r="C401" s="183"/>
      <c r="D401" s="152"/>
      <c r="E401" s="152"/>
      <c r="F401" s="151"/>
      <c r="G401" s="153"/>
      <c r="H401" s="151"/>
      <c r="I401" s="151"/>
      <c r="J401" s="151"/>
      <c r="K401" s="151"/>
      <c r="L401" s="151"/>
      <c r="M401" s="151"/>
      <c r="N401" s="151"/>
      <c r="O401" s="151"/>
      <c r="P401" s="151"/>
      <c r="Q401" s="151"/>
      <c r="R401" s="151"/>
      <c r="S401" s="152"/>
      <c r="T401" s="151"/>
      <c r="U401" s="151"/>
      <c r="V401" s="153"/>
      <c r="W401" s="151"/>
      <c r="X401" s="151"/>
      <c r="Y401" s="153"/>
      <c r="Z401" s="151"/>
      <c r="AA401" s="187" t="str">
        <f t="shared" si="13"/>
        <v>No</v>
      </c>
      <c r="AB401" s="158"/>
      <c r="AC401" s="159"/>
      <c r="AD401" s="160"/>
    </row>
    <row r="402" spans="1:30">
      <c r="A402" s="155"/>
      <c r="B402" s="112" t="str">
        <f t="shared" si="12"/>
        <v/>
      </c>
      <c r="C402" s="183"/>
      <c r="D402" s="152"/>
      <c r="E402" s="152"/>
      <c r="F402" s="151"/>
      <c r="G402" s="153"/>
      <c r="H402" s="151"/>
      <c r="I402" s="151"/>
      <c r="J402" s="151"/>
      <c r="K402" s="151"/>
      <c r="L402" s="151"/>
      <c r="M402" s="151"/>
      <c r="N402" s="151"/>
      <c r="O402" s="151"/>
      <c r="P402" s="151"/>
      <c r="Q402" s="151"/>
      <c r="R402" s="151"/>
      <c r="S402" s="152"/>
      <c r="T402" s="151"/>
      <c r="U402" s="151"/>
      <c r="V402" s="153"/>
      <c r="W402" s="151"/>
      <c r="X402" s="151"/>
      <c r="Y402" s="153"/>
      <c r="Z402" s="151"/>
      <c r="AA402" s="187" t="str">
        <f t="shared" si="13"/>
        <v>No</v>
      </c>
      <c r="AB402" s="158"/>
      <c r="AC402" s="159"/>
      <c r="AD402" s="160"/>
    </row>
    <row r="403" spans="1:30">
      <c r="A403" s="155"/>
      <c r="B403" s="112" t="str">
        <f t="shared" si="12"/>
        <v/>
      </c>
      <c r="C403" s="183"/>
      <c r="D403" s="152"/>
      <c r="E403" s="152"/>
      <c r="F403" s="151"/>
      <c r="G403" s="153"/>
      <c r="H403" s="151"/>
      <c r="I403" s="151"/>
      <c r="J403" s="151"/>
      <c r="K403" s="151"/>
      <c r="L403" s="151"/>
      <c r="M403" s="151"/>
      <c r="N403" s="151"/>
      <c r="O403" s="151"/>
      <c r="P403" s="151"/>
      <c r="Q403" s="151"/>
      <c r="R403" s="151"/>
      <c r="S403" s="152"/>
      <c r="T403" s="151"/>
      <c r="U403" s="151"/>
      <c r="V403" s="153"/>
      <c r="W403" s="151"/>
      <c r="X403" s="151"/>
      <c r="Y403" s="153"/>
      <c r="Z403" s="151"/>
      <c r="AA403" s="187" t="str">
        <f t="shared" si="13"/>
        <v>No</v>
      </c>
      <c r="AB403" s="158"/>
      <c r="AC403" s="159"/>
      <c r="AD403" s="160"/>
    </row>
    <row r="404" spans="1:30">
      <c r="A404" s="155"/>
      <c r="B404" s="112" t="str">
        <f t="shared" si="12"/>
        <v/>
      </c>
      <c r="C404" s="183"/>
      <c r="D404" s="152"/>
      <c r="E404" s="152"/>
      <c r="F404" s="151"/>
      <c r="G404" s="153"/>
      <c r="H404" s="151"/>
      <c r="I404" s="151"/>
      <c r="J404" s="151"/>
      <c r="K404" s="151"/>
      <c r="L404" s="151"/>
      <c r="M404" s="151"/>
      <c r="N404" s="151"/>
      <c r="O404" s="151"/>
      <c r="P404" s="151"/>
      <c r="Q404" s="151"/>
      <c r="R404" s="151"/>
      <c r="S404" s="152"/>
      <c r="T404" s="151"/>
      <c r="U404" s="151"/>
      <c r="V404" s="153"/>
      <c r="W404" s="151"/>
      <c r="X404" s="151"/>
      <c r="Y404" s="153"/>
      <c r="Z404" s="151"/>
      <c r="AA404" s="187" t="str">
        <f t="shared" si="13"/>
        <v>No</v>
      </c>
      <c r="AB404" s="158"/>
      <c r="AC404" s="159"/>
      <c r="AD404" s="160"/>
    </row>
    <row r="405" spans="1:30">
      <c r="A405" s="155"/>
      <c r="B405" s="112" t="str">
        <f t="shared" si="12"/>
        <v/>
      </c>
      <c r="C405" s="183"/>
      <c r="D405" s="152"/>
      <c r="E405" s="152"/>
      <c r="F405" s="151"/>
      <c r="G405" s="153"/>
      <c r="H405" s="151"/>
      <c r="I405" s="151"/>
      <c r="J405" s="151"/>
      <c r="K405" s="151"/>
      <c r="L405" s="151"/>
      <c r="M405" s="151"/>
      <c r="N405" s="151"/>
      <c r="O405" s="151"/>
      <c r="P405" s="151"/>
      <c r="Q405" s="151"/>
      <c r="R405" s="151"/>
      <c r="S405" s="152"/>
      <c r="T405" s="151"/>
      <c r="U405" s="151"/>
      <c r="V405" s="153"/>
      <c r="W405" s="151"/>
      <c r="X405" s="151"/>
      <c r="Y405" s="153"/>
      <c r="Z405" s="151"/>
      <c r="AA405" s="187" t="str">
        <f t="shared" si="13"/>
        <v>No</v>
      </c>
      <c r="AB405" s="158"/>
      <c r="AC405" s="159"/>
      <c r="AD405" s="160"/>
    </row>
    <row r="406" spans="1:30">
      <c r="A406" s="155"/>
      <c r="B406" s="112" t="str">
        <f t="shared" si="12"/>
        <v/>
      </c>
      <c r="C406" s="183"/>
      <c r="D406" s="152"/>
      <c r="E406" s="152"/>
      <c r="F406" s="151"/>
      <c r="G406" s="153"/>
      <c r="H406" s="151"/>
      <c r="I406" s="151"/>
      <c r="J406" s="151"/>
      <c r="K406" s="151"/>
      <c r="L406" s="151"/>
      <c r="M406" s="151"/>
      <c r="N406" s="151"/>
      <c r="O406" s="151"/>
      <c r="P406" s="151"/>
      <c r="Q406" s="151"/>
      <c r="R406" s="151"/>
      <c r="S406" s="152"/>
      <c r="T406" s="151"/>
      <c r="U406" s="151"/>
      <c r="V406" s="153"/>
      <c r="W406" s="151"/>
      <c r="X406" s="151"/>
      <c r="Y406" s="153"/>
      <c r="Z406" s="151"/>
      <c r="AA406" s="187" t="str">
        <f t="shared" si="13"/>
        <v>No</v>
      </c>
      <c r="AB406" s="158"/>
      <c r="AC406" s="159"/>
      <c r="AD406" s="160"/>
    </row>
    <row r="407" spans="1:30">
      <c r="A407" s="155"/>
      <c r="B407" s="112" t="str">
        <f t="shared" si="12"/>
        <v/>
      </c>
      <c r="C407" s="183"/>
      <c r="D407" s="152"/>
      <c r="E407" s="152"/>
      <c r="F407" s="151"/>
      <c r="G407" s="153"/>
      <c r="H407" s="151"/>
      <c r="I407" s="151"/>
      <c r="J407" s="151"/>
      <c r="K407" s="151"/>
      <c r="L407" s="151"/>
      <c r="M407" s="151"/>
      <c r="N407" s="151"/>
      <c r="O407" s="151"/>
      <c r="P407" s="151"/>
      <c r="Q407" s="151"/>
      <c r="R407" s="151"/>
      <c r="S407" s="152"/>
      <c r="T407" s="151"/>
      <c r="U407" s="151"/>
      <c r="V407" s="153"/>
      <c r="W407" s="151"/>
      <c r="X407" s="151"/>
      <c r="Y407" s="153"/>
      <c r="Z407" s="151"/>
      <c r="AA407" s="187" t="str">
        <f t="shared" si="13"/>
        <v>No</v>
      </c>
      <c r="AB407" s="158"/>
      <c r="AC407" s="159"/>
      <c r="AD407" s="160"/>
    </row>
    <row r="408" spans="1:30">
      <c r="A408" s="155"/>
      <c r="B408" s="112" t="str">
        <f t="shared" si="12"/>
        <v/>
      </c>
      <c r="C408" s="183"/>
      <c r="D408" s="152"/>
      <c r="E408" s="152"/>
      <c r="F408" s="151"/>
      <c r="G408" s="153"/>
      <c r="H408" s="151"/>
      <c r="I408" s="151"/>
      <c r="J408" s="151"/>
      <c r="K408" s="151"/>
      <c r="L408" s="151"/>
      <c r="M408" s="151"/>
      <c r="N408" s="151"/>
      <c r="O408" s="151"/>
      <c r="P408" s="151"/>
      <c r="Q408" s="151"/>
      <c r="R408" s="151"/>
      <c r="S408" s="152"/>
      <c r="T408" s="151"/>
      <c r="U408" s="151"/>
      <c r="V408" s="153"/>
      <c r="W408" s="151"/>
      <c r="X408" s="151"/>
      <c r="Y408" s="153"/>
      <c r="Z408" s="151"/>
      <c r="AA408" s="187" t="str">
        <f t="shared" si="13"/>
        <v>No</v>
      </c>
      <c r="AB408" s="158"/>
      <c r="AC408" s="159"/>
      <c r="AD408" s="160"/>
    </row>
    <row r="409" spans="1:30">
      <c r="A409" s="155"/>
      <c r="B409" s="112" t="str">
        <f t="shared" si="12"/>
        <v/>
      </c>
      <c r="C409" s="183"/>
      <c r="D409" s="152"/>
      <c r="E409" s="152"/>
      <c r="F409" s="151"/>
      <c r="G409" s="153"/>
      <c r="H409" s="151"/>
      <c r="I409" s="151"/>
      <c r="J409" s="151"/>
      <c r="K409" s="151"/>
      <c r="L409" s="151"/>
      <c r="M409" s="151"/>
      <c r="N409" s="151"/>
      <c r="O409" s="151"/>
      <c r="P409" s="151"/>
      <c r="Q409" s="151"/>
      <c r="R409" s="151"/>
      <c r="S409" s="152"/>
      <c r="T409" s="151"/>
      <c r="U409" s="151"/>
      <c r="V409" s="153"/>
      <c r="W409" s="151"/>
      <c r="X409" s="151"/>
      <c r="Y409" s="153"/>
      <c r="Z409" s="151"/>
      <c r="AA409" s="187" t="str">
        <f t="shared" si="13"/>
        <v>No</v>
      </c>
      <c r="AB409" s="158"/>
      <c r="AC409" s="159"/>
      <c r="AD409" s="160"/>
    </row>
    <row r="410" spans="1:30">
      <c r="A410" s="155"/>
      <c r="B410" s="112" t="str">
        <f t="shared" si="12"/>
        <v/>
      </c>
      <c r="C410" s="183"/>
      <c r="D410" s="152"/>
      <c r="E410" s="152"/>
      <c r="F410" s="151"/>
      <c r="G410" s="153"/>
      <c r="H410" s="151"/>
      <c r="I410" s="151"/>
      <c r="J410" s="151"/>
      <c r="K410" s="151"/>
      <c r="L410" s="151"/>
      <c r="M410" s="151"/>
      <c r="N410" s="151"/>
      <c r="O410" s="151"/>
      <c r="P410" s="151"/>
      <c r="Q410" s="151"/>
      <c r="R410" s="151"/>
      <c r="S410" s="152"/>
      <c r="T410" s="151"/>
      <c r="U410" s="151"/>
      <c r="V410" s="153"/>
      <c r="W410" s="151"/>
      <c r="X410" s="151"/>
      <c r="Y410" s="153"/>
      <c r="Z410" s="151"/>
      <c r="AA410" s="187" t="str">
        <f t="shared" si="13"/>
        <v>No</v>
      </c>
      <c r="AB410" s="158"/>
      <c r="AC410" s="159"/>
      <c r="AD410" s="160"/>
    </row>
    <row r="411" spans="1:30">
      <c r="A411" s="155"/>
      <c r="B411" s="112" t="str">
        <f t="shared" si="12"/>
        <v/>
      </c>
      <c r="C411" s="183"/>
      <c r="D411" s="152"/>
      <c r="E411" s="152"/>
      <c r="F411" s="151"/>
      <c r="G411" s="153"/>
      <c r="H411" s="151"/>
      <c r="I411" s="151"/>
      <c r="J411" s="151"/>
      <c r="K411" s="151"/>
      <c r="L411" s="151"/>
      <c r="M411" s="151"/>
      <c r="N411" s="151"/>
      <c r="O411" s="151"/>
      <c r="P411" s="151"/>
      <c r="Q411" s="151"/>
      <c r="R411" s="151"/>
      <c r="S411" s="152"/>
      <c r="T411" s="151"/>
      <c r="U411" s="151"/>
      <c r="V411" s="153"/>
      <c r="W411" s="151"/>
      <c r="X411" s="151"/>
      <c r="Y411" s="153"/>
      <c r="Z411" s="151"/>
      <c r="AA411" s="187" t="str">
        <f t="shared" si="13"/>
        <v>No</v>
      </c>
      <c r="AB411" s="158"/>
      <c r="AC411" s="159"/>
      <c r="AD411" s="160"/>
    </row>
    <row r="412" spans="1:30">
      <c r="A412" s="155"/>
      <c r="B412" s="112" t="str">
        <f t="shared" si="12"/>
        <v/>
      </c>
      <c r="C412" s="183"/>
      <c r="D412" s="152"/>
      <c r="E412" s="152"/>
      <c r="F412" s="151"/>
      <c r="G412" s="153"/>
      <c r="H412" s="151"/>
      <c r="I412" s="151"/>
      <c r="J412" s="151"/>
      <c r="K412" s="151"/>
      <c r="L412" s="151"/>
      <c r="M412" s="151"/>
      <c r="N412" s="151"/>
      <c r="O412" s="151"/>
      <c r="P412" s="151"/>
      <c r="Q412" s="151"/>
      <c r="R412" s="151"/>
      <c r="S412" s="152"/>
      <c r="T412" s="151"/>
      <c r="U412" s="151"/>
      <c r="V412" s="153"/>
      <c r="W412" s="151"/>
      <c r="X412" s="151"/>
      <c r="Y412" s="153"/>
      <c r="Z412" s="151"/>
      <c r="AA412" s="187" t="str">
        <f t="shared" si="13"/>
        <v>No</v>
      </c>
      <c r="AB412" s="158"/>
      <c r="AC412" s="159"/>
      <c r="AD412" s="160"/>
    </row>
    <row r="413" spans="1:30">
      <c r="A413" s="155"/>
      <c r="B413" s="112" t="str">
        <f t="shared" si="12"/>
        <v/>
      </c>
      <c r="C413" s="183"/>
      <c r="D413" s="152"/>
      <c r="E413" s="152"/>
      <c r="F413" s="151"/>
      <c r="G413" s="153"/>
      <c r="H413" s="151"/>
      <c r="I413" s="151"/>
      <c r="J413" s="151"/>
      <c r="K413" s="151"/>
      <c r="L413" s="151"/>
      <c r="M413" s="151"/>
      <c r="N413" s="151"/>
      <c r="O413" s="151"/>
      <c r="P413" s="151"/>
      <c r="Q413" s="151"/>
      <c r="R413" s="151"/>
      <c r="S413" s="152"/>
      <c r="T413" s="151"/>
      <c r="U413" s="151"/>
      <c r="V413" s="153"/>
      <c r="W413" s="151"/>
      <c r="X413" s="151"/>
      <c r="Y413" s="153"/>
      <c r="Z413" s="151"/>
      <c r="AA413" s="187" t="str">
        <f t="shared" si="13"/>
        <v>No</v>
      </c>
      <c r="AB413" s="158"/>
      <c r="AC413" s="159"/>
      <c r="AD413" s="160"/>
    </row>
    <row r="414" spans="1:30">
      <c r="A414" s="155"/>
      <c r="B414" s="112" t="str">
        <f t="shared" si="12"/>
        <v/>
      </c>
      <c r="C414" s="183"/>
      <c r="D414" s="152"/>
      <c r="E414" s="152"/>
      <c r="F414" s="151"/>
      <c r="G414" s="153"/>
      <c r="H414" s="151"/>
      <c r="I414" s="151"/>
      <c r="J414" s="151"/>
      <c r="K414" s="151"/>
      <c r="L414" s="151"/>
      <c r="M414" s="151"/>
      <c r="N414" s="151"/>
      <c r="O414" s="151"/>
      <c r="P414" s="151"/>
      <c r="Q414" s="151"/>
      <c r="R414" s="151"/>
      <c r="S414" s="152"/>
      <c r="T414" s="151"/>
      <c r="U414" s="151"/>
      <c r="V414" s="153"/>
      <c r="W414" s="151"/>
      <c r="X414" s="151"/>
      <c r="Y414" s="153"/>
      <c r="Z414" s="151"/>
      <c r="AA414" s="187" t="str">
        <f t="shared" si="13"/>
        <v>No</v>
      </c>
      <c r="AB414" s="158"/>
      <c r="AC414" s="159"/>
      <c r="AD414" s="160"/>
    </row>
    <row r="415" spans="1:30">
      <c r="A415" s="155"/>
      <c r="B415" s="112" t="str">
        <f t="shared" si="12"/>
        <v/>
      </c>
      <c r="C415" s="183"/>
      <c r="D415" s="152"/>
      <c r="E415" s="152"/>
      <c r="F415" s="151"/>
      <c r="G415" s="153"/>
      <c r="H415" s="151"/>
      <c r="I415" s="151"/>
      <c r="J415" s="151"/>
      <c r="K415" s="151"/>
      <c r="L415" s="151"/>
      <c r="M415" s="151"/>
      <c r="N415" s="151"/>
      <c r="O415" s="151"/>
      <c r="P415" s="151"/>
      <c r="Q415" s="151"/>
      <c r="R415" s="151"/>
      <c r="S415" s="152"/>
      <c r="T415" s="151"/>
      <c r="U415" s="151"/>
      <c r="V415" s="153"/>
      <c r="W415" s="151"/>
      <c r="X415" s="151"/>
      <c r="Y415" s="153"/>
      <c r="Z415" s="151"/>
      <c r="AA415" s="187" t="str">
        <f t="shared" si="13"/>
        <v>No</v>
      </c>
      <c r="AB415" s="158"/>
      <c r="AC415" s="159"/>
      <c r="AD415" s="160"/>
    </row>
    <row r="416" spans="1:30">
      <c r="A416" s="155"/>
      <c r="B416" s="112" t="str">
        <f t="shared" si="12"/>
        <v/>
      </c>
      <c r="C416" s="183"/>
      <c r="D416" s="152"/>
      <c r="E416" s="152"/>
      <c r="F416" s="151"/>
      <c r="G416" s="153"/>
      <c r="H416" s="151"/>
      <c r="I416" s="151"/>
      <c r="J416" s="151"/>
      <c r="K416" s="151"/>
      <c r="L416" s="151"/>
      <c r="M416" s="151"/>
      <c r="N416" s="151"/>
      <c r="O416" s="151"/>
      <c r="P416" s="151"/>
      <c r="Q416" s="151"/>
      <c r="R416" s="151"/>
      <c r="S416" s="152"/>
      <c r="T416" s="151"/>
      <c r="U416" s="151"/>
      <c r="V416" s="153"/>
      <c r="W416" s="151"/>
      <c r="X416" s="151"/>
      <c r="Y416" s="153"/>
      <c r="Z416" s="151"/>
      <c r="AA416" s="187" t="str">
        <f t="shared" si="13"/>
        <v>No</v>
      </c>
      <c r="AB416" s="158"/>
      <c r="AC416" s="159"/>
      <c r="AD416" s="160"/>
    </row>
    <row r="417" spans="1:30">
      <c r="A417" s="155"/>
      <c r="B417" s="112" t="str">
        <f t="shared" si="12"/>
        <v/>
      </c>
      <c r="C417" s="183"/>
      <c r="D417" s="152"/>
      <c r="E417" s="152"/>
      <c r="F417" s="151"/>
      <c r="G417" s="153"/>
      <c r="H417" s="151"/>
      <c r="I417" s="151"/>
      <c r="J417" s="151"/>
      <c r="K417" s="151"/>
      <c r="L417" s="151"/>
      <c r="M417" s="151"/>
      <c r="N417" s="151"/>
      <c r="O417" s="151"/>
      <c r="P417" s="151"/>
      <c r="Q417" s="151"/>
      <c r="R417" s="151"/>
      <c r="S417" s="152"/>
      <c r="T417" s="151"/>
      <c r="U417" s="151"/>
      <c r="V417" s="153"/>
      <c r="W417" s="151"/>
      <c r="X417" s="151"/>
      <c r="Y417" s="153"/>
      <c r="Z417" s="151"/>
      <c r="AA417" s="187" t="str">
        <f t="shared" si="13"/>
        <v>No</v>
      </c>
      <c r="AB417" s="158"/>
      <c r="AC417" s="159"/>
      <c r="AD417" s="160"/>
    </row>
    <row r="418" spans="1:30">
      <c r="A418" s="155"/>
      <c r="B418" s="112" t="str">
        <f t="shared" si="12"/>
        <v/>
      </c>
      <c r="C418" s="183"/>
      <c r="D418" s="152"/>
      <c r="E418" s="152"/>
      <c r="F418" s="151"/>
      <c r="G418" s="153"/>
      <c r="H418" s="151"/>
      <c r="I418" s="151"/>
      <c r="J418" s="151"/>
      <c r="K418" s="151"/>
      <c r="L418" s="151"/>
      <c r="M418" s="151"/>
      <c r="N418" s="151"/>
      <c r="O418" s="151"/>
      <c r="P418" s="151"/>
      <c r="Q418" s="151"/>
      <c r="R418" s="151"/>
      <c r="S418" s="152"/>
      <c r="T418" s="151"/>
      <c r="U418" s="151"/>
      <c r="V418" s="153"/>
      <c r="W418" s="151"/>
      <c r="X418" s="151"/>
      <c r="Y418" s="153"/>
      <c r="Z418" s="151"/>
      <c r="AA418" s="187" t="str">
        <f t="shared" si="13"/>
        <v>No</v>
      </c>
      <c r="AB418" s="158"/>
      <c r="AC418" s="159"/>
      <c r="AD418" s="160"/>
    </row>
    <row r="419" spans="1:30">
      <c r="A419" s="155"/>
      <c r="B419" s="112" t="str">
        <f t="shared" si="12"/>
        <v/>
      </c>
      <c r="C419" s="183"/>
      <c r="D419" s="152"/>
      <c r="E419" s="152"/>
      <c r="F419" s="151"/>
      <c r="G419" s="153"/>
      <c r="H419" s="151"/>
      <c r="I419" s="151"/>
      <c r="J419" s="151"/>
      <c r="K419" s="151"/>
      <c r="L419" s="151"/>
      <c r="M419" s="151"/>
      <c r="N419" s="151"/>
      <c r="O419" s="151"/>
      <c r="P419" s="151"/>
      <c r="Q419" s="151"/>
      <c r="R419" s="151"/>
      <c r="S419" s="152"/>
      <c r="T419" s="151"/>
      <c r="U419" s="151"/>
      <c r="V419" s="153"/>
      <c r="W419" s="151"/>
      <c r="X419" s="151"/>
      <c r="Y419" s="153"/>
      <c r="Z419" s="151"/>
      <c r="AA419" s="187" t="str">
        <f t="shared" si="13"/>
        <v>No</v>
      </c>
      <c r="AB419" s="158"/>
      <c r="AC419" s="159"/>
      <c r="AD419" s="160"/>
    </row>
    <row r="420" spans="1:30">
      <c r="A420" s="155"/>
      <c r="B420" s="112" t="str">
        <f t="shared" si="12"/>
        <v/>
      </c>
      <c r="C420" s="183"/>
      <c r="D420" s="152"/>
      <c r="E420" s="152"/>
      <c r="F420" s="151"/>
      <c r="G420" s="153"/>
      <c r="H420" s="151"/>
      <c r="I420" s="151"/>
      <c r="J420" s="151"/>
      <c r="K420" s="151"/>
      <c r="L420" s="151"/>
      <c r="M420" s="151"/>
      <c r="N420" s="151"/>
      <c r="O420" s="151"/>
      <c r="P420" s="151"/>
      <c r="Q420" s="151"/>
      <c r="R420" s="151"/>
      <c r="S420" s="152"/>
      <c r="T420" s="151"/>
      <c r="U420" s="151"/>
      <c r="V420" s="153"/>
      <c r="W420" s="151"/>
      <c r="X420" s="151"/>
      <c r="Y420" s="153"/>
      <c r="Z420" s="151"/>
      <c r="AA420" s="187" t="str">
        <f t="shared" si="13"/>
        <v>No</v>
      </c>
      <c r="AB420" s="158"/>
      <c r="AC420" s="159"/>
      <c r="AD420" s="160"/>
    </row>
    <row r="421" spans="1:30">
      <c r="A421" s="155"/>
      <c r="B421" s="112" t="str">
        <f t="shared" si="12"/>
        <v/>
      </c>
      <c r="C421" s="183"/>
      <c r="D421" s="152"/>
      <c r="E421" s="152"/>
      <c r="F421" s="151"/>
      <c r="G421" s="153"/>
      <c r="H421" s="151"/>
      <c r="I421" s="151"/>
      <c r="J421" s="151"/>
      <c r="K421" s="151"/>
      <c r="L421" s="151"/>
      <c r="M421" s="151"/>
      <c r="N421" s="151"/>
      <c r="O421" s="151"/>
      <c r="P421" s="151"/>
      <c r="Q421" s="151"/>
      <c r="R421" s="151"/>
      <c r="S421" s="152"/>
      <c r="T421" s="151"/>
      <c r="U421" s="151"/>
      <c r="V421" s="153"/>
      <c r="W421" s="151"/>
      <c r="X421" s="151"/>
      <c r="Y421" s="153"/>
      <c r="Z421" s="151"/>
      <c r="AA421" s="187" t="str">
        <f t="shared" si="13"/>
        <v>No</v>
      </c>
      <c r="AB421" s="158"/>
      <c r="AC421" s="159"/>
      <c r="AD421" s="160"/>
    </row>
    <row r="422" spans="1:30">
      <c r="A422" s="155"/>
      <c r="B422" s="112" t="str">
        <f t="shared" si="12"/>
        <v/>
      </c>
      <c r="C422" s="183"/>
      <c r="D422" s="152"/>
      <c r="E422" s="152"/>
      <c r="F422" s="151"/>
      <c r="G422" s="153"/>
      <c r="H422" s="151"/>
      <c r="I422" s="151"/>
      <c r="J422" s="151"/>
      <c r="K422" s="151"/>
      <c r="L422" s="151"/>
      <c r="M422" s="151"/>
      <c r="N422" s="151"/>
      <c r="O422" s="151"/>
      <c r="P422" s="151"/>
      <c r="Q422" s="151"/>
      <c r="R422" s="151"/>
      <c r="S422" s="152"/>
      <c r="T422" s="151"/>
      <c r="U422" s="151"/>
      <c r="V422" s="153"/>
      <c r="W422" s="151"/>
      <c r="X422" s="151"/>
      <c r="Y422" s="153"/>
      <c r="Z422" s="151"/>
      <c r="AA422" s="187" t="str">
        <f t="shared" si="13"/>
        <v>No</v>
      </c>
      <c r="AB422" s="158"/>
      <c r="AC422" s="159"/>
      <c r="AD422" s="160"/>
    </row>
    <row r="423" spans="1:30">
      <c r="A423" s="155"/>
      <c r="B423" s="112" t="str">
        <f t="shared" si="12"/>
        <v/>
      </c>
      <c r="C423" s="183"/>
      <c r="D423" s="152"/>
      <c r="E423" s="152"/>
      <c r="F423" s="151"/>
      <c r="G423" s="153"/>
      <c r="H423" s="151"/>
      <c r="I423" s="151"/>
      <c r="J423" s="151"/>
      <c r="K423" s="151"/>
      <c r="L423" s="151"/>
      <c r="M423" s="151"/>
      <c r="N423" s="151"/>
      <c r="O423" s="151"/>
      <c r="P423" s="151"/>
      <c r="Q423" s="151"/>
      <c r="R423" s="151"/>
      <c r="S423" s="152"/>
      <c r="T423" s="151"/>
      <c r="U423" s="151"/>
      <c r="V423" s="153"/>
      <c r="W423" s="151"/>
      <c r="X423" s="151"/>
      <c r="Y423" s="153"/>
      <c r="Z423" s="151"/>
      <c r="AA423" s="187" t="str">
        <f t="shared" si="13"/>
        <v>No</v>
      </c>
      <c r="AB423" s="158"/>
      <c r="AC423" s="159"/>
      <c r="AD423" s="160"/>
    </row>
    <row r="424" spans="1:30">
      <c r="A424" s="155"/>
      <c r="B424" s="112" t="str">
        <f t="shared" si="12"/>
        <v/>
      </c>
      <c r="C424" s="183"/>
      <c r="D424" s="152"/>
      <c r="E424" s="152"/>
      <c r="F424" s="151"/>
      <c r="G424" s="153"/>
      <c r="H424" s="151"/>
      <c r="I424" s="151"/>
      <c r="J424" s="151"/>
      <c r="K424" s="151"/>
      <c r="L424" s="151"/>
      <c r="M424" s="151"/>
      <c r="N424" s="151"/>
      <c r="O424" s="151"/>
      <c r="P424" s="151"/>
      <c r="Q424" s="151"/>
      <c r="R424" s="151"/>
      <c r="S424" s="152"/>
      <c r="T424" s="151"/>
      <c r="U424" s="151"/>
      <c r="V424" s="153"/>
      <c r="W424" s="151"/>
      <c r="X424" s="151"/>
      <c r="Y424" s="153"/>
      <c r="Z424" s="151"/>
      <c r="AA424" s="187" t="str">
        <f t="shared" si="13"/>
        <v>No</v>
      </c>
      <c r="AB424" s="158"/>
      <c r="AC424" s="159"/>
      <c r="AD424" s="160"/>
    </row>
    <row r="425" spans="1:30">
      <c r="A425" s="155"/>
      <c r="B425" s="112" t="str">
        <f t="shared" si="12"/>
        <v/>
      </c>
      <c r="C425" s="183"/>
      <c r="D425" s="152"/>
      <c r="E425" s="152"/>
      <c r="F425" s="151"/>
      <c r="G425" s="153"/>
      <c r="H425" s="151"/>
      <c r="I425" s="151"/>
      <c r="J425" s="151"/>
      <c r="K425" s="151"/>
      <c r="L425" s="151"/>
      <c r="M425" s="151"/>
      <c r="N425" s="151"/>
      <c r="O425" s="151"/>
      <c r="P425" s="151"/>
      <c r="Q425" s="151"/>
      <c r="R425" s="151"/>
      <c r="S425" s="152"/>
      <c r="T425" s="151"/>
      <c r="U425" s="151"/>
      <c r="V425" s="153"/>
      <c r="W425" s="151"/>
      <c r="X425" s="151"/>
      <c r="Y425" s="153"/>
      <c r="Z425" s="151"/>
      <c r="AA425" s="187" t="str">
        <f t="shared" si="13"/>
        <v>No</v>
      </c>
      <c r="AB425" s="158"/>
      <c r="AC425" s="159"/>
      <c r="AD425" s="160"/>
    </row>
    <row r="426" spans="1:30">
      <c r="A426" s="155"/>
      <c r="B426" s="112" t="str">
        <f t="shared" si="12"/>
        <v/>
      </c>
      <c r="C426" s="183"/>
      <c r="D426" s="152"/>
      <c r="E426" s="152"/>
      <c r="F426" s="151"/>
      <c r="G426" s="153"/>
      <c r="H426" s="151"/>
      <c r="I426" s="151"/>
      <c r="J426" s="151"/>
      <c r="K426" s="151"/>
      <c r="L426" s="151"/>
      <c r="M426" s="151"/>
      <c r="N426" s="151"/>
      <c r="O426" s="151"/>
      <c r="P426" s="151"/>
      <c r="Q426" s="151"/>
      <c r="R426" s="151"/>
      <c r="S426" s="152"/>
      <c r="T426" s="151"/>
      <c r="U426" s="151"/>
      <c r="V426" s="153"/>
      <c r="W426" s="151"/>
      <c r="X426" s="151"/>
      <c r="Y426" s="153"/>
      <c r="Z426" s="151"/>
      <c r="AA426" s="187" t="str">
        <f t="shared" si="13"/>
        <v>No</v>
      </c>
      <c r="AB426" s="158"/>
      <c r="AC426" s="159"/>
      <c r="AD426" s="160"/>
    </row>
    <row r="427" spans="1:30">
      <c r="A427" s="155"/>
      <c r="B427" s="112" t="str">
        <f t="shared" si="12"/>
        <v/>
      </c>
      <c r="C427" s="183"/>
      <c r="D427" s="152"/>
      <c r="E427" s="152"/>
      <c r="F427" s="151"/>
      <c r="G427" s="153"/>
      <c r="H427" s="151"/>
      <c r="I427" s="151"/>
      <c r="J427" s="151"/>
      <c r="K427" s="151"/>
      <c r="L427" s="151"/>
      <c r="M427" s="151"/>
      <c r="N427" s="151"/>
      <c r="O427" s="151"/>
      <c r="P427" s="151"/>
      <c r="Q427" s="151"/>
      <c r="R427" s="151"/>
      <c r="S427" s="152"/>
      <c r="T427" s="151"/>
      <c r="U427" s="151"/>
      <c r="V427" s="153"/>
      <c r="W427" s="151"/>
      <c r="X427" s="151"/>
      <c r="Y427" s="153"/>
      <c r="Z427" s="151"/>
      <c r="AA427" s="187" t="str">
        <f t="shared" si="13"/>
        <v>No</v>
      </c>
      <c r="AB427" s="158"/>
      <c r="AC427" s="159"/>
      <c r="AD427" s="160"/>
    </row>
    <row r="428" spans="1:30">
      <c r="A428" s="155"/>
      <c r="B428" s="112" t="str">
        <f t="shared" si="12"/>
        <v/>
      </c>
      <c r="C428" s="183"/>
      <c r="D428" s="152"/>
      <c r="E428" s="152"/>
      <c r="F428" s="151"/>
      <c r="G428" s="153"/>
      <c r="H428" s="151"/>
      <c r="I428" s="151"/>
      <c r="J428" s="151"/>
      <c r="K428" s="151"/>
      <c r="L428" s="151"/>
      <c r="M428" s="151"/>
      <c r="N428" s="151"/>
      <c r="O428" s="151"/>
      <c r="P428" s="151"/>
      <c r="Q428" s="151"/>
      <c r="R428" s="151"/>
      <c r="S428" s="152"/>
      <c r="T428" s="151"/>
      <c r="U428" s="151"/>
      <c r="V428" s="153"/>
      <c r="W428" s="151"/>
      <c r="X428" s="151"/>
      <c r="Y428" s="153"/>
      <c r="Z428" s="151"/>
      <c r="AA428" s="187" t="str">
        <f t="shared" si="13"/>
        <v>No</v>
      </c>
      <c r="AB428" s="158"/>
      <c r="AC428" s="159"/>
      <c r="AD428" s="160"/>
    </row>
    <row r="429" spans="1:30">
      <c r="A429" s="155"/>
      <c r="B429" s="112" t="str">
        <f t="shared" si="12"/>
        <v/>
      </c>
      <c r="C429" s="183"/>
      <c r="D429" s="152"/>
      <c r="E429" s="152"/>
      <c r="F429" s="151"/>
      <c r="G429" s="153"/>
      <c r="H429" s="151"/>
      <c r="I429" s="151"/>
      <c r="J429" s="151"/>
      <c r="K429" s="151"/>
      <c r="L429" s="151"/>
      <c r="M429" s="151"/>
      <c r="N429" s="151"/>
      <c r="O429" s="151"/>
      <c r="P429" s="151"/>
      <c r="Q429" s="151"/>
      <c r="R429" s="151"/>
      <c r="S429" s="152"/>
      <c r="T429" s="151"/>
      <c r="U429" s="151"/>
      <c r="V429" s="153"/>
      <c r="W429" s="151"/>
      <c r="X429" s="151"/>
      <c r="Y429" s="153"/>
      <c r="Z429" s="151"/>
      <c r="AA429" s="187" t="str">
        <f t="shared" si="13"/>
        <v>No</v>
      </c>
      <c r="AB429" s="158"/>
      <c r="AC429" s="159"/>
      <c r="AD429" s="160"/>
    </row>
    <row r="430" spans="1:30">
      <c r="A430" s="155"/>
      <c r="B430" s="112" t="str">
        <f t="shared" si="12"/>
        <v/>
      </c>
      <c r="C430" s="183"/>
      <c r="D430" s="152"/>
      <c r="E430" s="152"/>
      <c r="F430" s="151"/>
      <c r="G430" s="153"/>
      <c r="H430" s="151"/>
      <c r="I430" s="151"/>
      <c r="J430" s="151"/>
      <c r="K430" s="151"/>
      <c r="L430" s="151"/>
      <c r="M430" s="151"/>
      <c r="N430" s="151"/>
      <c r="O430" s="151"/>
      <c r="P430" s="151"/>
      <c r="Q430" s="151"/>
      <c r="R430" s="151"/>
      <c r="S430" s="152"/>
      <c r="T430" s="151"/>
      <c r="U430" s="151"/>
      <c r="V430" s="153"/>
      <c r="W430" s="151"/>
      <c r="X430" s="151"/>
      <c r="Y430" s="153"/>
      <c r="Z430" s="151"/>
      <c r="AA430" s="187" t="str">
        <f t="shared" si="13"/>
        <v>No</v>
      </c>
      <c r="AB430" s="158"/>
      <c r="AC430" s="159"/>
      <c r="AD430" s="160"/>
    </row>
    <row r="431" spans="1:30">
      <c r="A431" s="155"/>
      <c r="B431" s="112" t="str">
        <f t="shared" si="12"/>
        <v/>
      </c>
      <c r="C431" s="183"/>
      <c r="D431" s="152"/>
      <c r="E431" s="152"/>
      <c r="F431" s="151"/>
      <c r="G431" s="153"/>
      <c r="H431" s="151"/>
      <c r="I431" s="151"/>
      <c r="J431" s="151"/>
      <c r="K431" s="151"/>
      <c r="L431" s="151"/>
      <c r="M431" s="151"/>
      <c r="N431" s="151"/>
      <c r="O431" s="151"/>
      <c r="P431" s="151"/>
      <c r="Q431" s="151"/>
      <c r="R431" s="151"/>
      <c r="S431" s="152"/>
      <c r="T431" s="151"/>
      <c r="U431" s="151"/>
      <c r="V431" s="153"/>
      <c r="W431" s="151"/>
      <c r="X431" s="151"/>
      <c r="Y431" s="153"/>
      <c r="Z431" s="151"/>
      <c r="AA431" s="187" t="str">
        <f t="shared" si="13"/>
        <v>No</v>
      </c>
      <c r="AB431" s="158"/>
      <c r="AC431" s="159"/>
      <c r="AD431" s="160"/>
    </row>
    <row r="432" spans="1:30">
      <c r="A432" s="155"/>
      <c r="B432" s="112" t="str">
        <f t="shared" si="12"/>
        <v/>
      </c>
      <c r="C432" s="183"/>
      <c r="D432" s="152"/>
      <c r="E432" s="152"/>
      <c r="F432" s="151"/>
      <c r="G432" s="153"/>
      <c r="H432" s="151"/>
      <c r="I432" s="151"/>
      <c r="J432" s="151"/>
      <c r="K432" s="151"/>
      <c r="L432" s="151"/>
      <c r="M432" s="151"/>
      <c r="N432" s="151"/>
      <c r="O432" s="151"/>
      <c r="P432" s="151"/>
      <c r="Q432" s="151"/>
      <c r="R432" s="151"/>
      <c r="S432" s="152"/>
      <c r="T432" s="151"/>
      <c r="U432" s="151"/>
      <c r="V432" s="153"/>
      <c r="W432" s="151"/>
      <c r="X432" s="151"/>
      <c r="Y432" s="153"/>
      <c r="Z432" s="151"/>
      <c r="AA432" s="187" t="str">
        <f t="shared" si="13"/>
        <v>No</v>
      </c>
      <c r="AB432" s="158"/>
      <c r="AC432" s="159"/>
      <c r="AD432" s="160"/>
    </row>
    <row r="433" spans="1:30">
      <c r="A433" s="155"/>
      <c r="B433" s="112" t="str">
        <f t="shared" si="12"/>
        <v/>
      </c>
      <c r="C433" s="183"/>
      <c r="D433" s="152"/>
      <c r="E433" s="152"/>
      <c r="F433" s="151"/>
      <c r="G433" s="153"/>
      <c r="H433" s="151"/>
      <c r="I433" s="151"/>
      <c r="J433" s="151"/>
      <c r="K433" s="151"/>
      <c r="L433" s="151"/>
      <c r="M433" s="151"/>
      <c r="N433" s="151"/>
      <c r="O433" s="151"/>
      <c r="P433" s="151"/>
      <c r="Q433" s="151"/>
      <c r="R433" s="151"/>
      <c r="S433" s="152"/>
      <c r="T433" s="151"/>
      <c r="U433" s="151"/>
      <c r="V433" s="153"/>
      <c r="W433" s="151"/>
      <c r="X433" s="151"/>
      <c r="Y433" s="153"/>
      <c r="Z433" s="151"/>
      <c r="AA433" s="187" t="str">
        <f t="shared" si="13"/>
        <v>No</v>
      </c>
      <c r="AB433" s="158"/>
      <c r="AC433" s="159"/>
      <c r="AD433" s="160"/>
    </row>
    <row r="434" spans="1:30">
      <c r="A434" s="155"/>
      <c r="B434" s="112" t="str">
        <f t="shared" si="12"/>
        <v/>
      </c>
      <c r="C434" s="183"/>
      <c r="D434" s="152"/>
      <c r="E434" s="152"/>
      <c r="F434" s="151"/>
      <c r="G434" s="153"/>
      <c r="H434" s="151"/>
      <c r="I434" s="151"/>
      <c r="J434" s="151"/>
      <c r="K434" s="151"/>
      <c r="L434" s="151"/>
      <c r="M434" s="151"/>
      <c r="N434" s="151"/>
      <c r="O434" s="151"/>
      <c r="P434" s="151"/>
      <c r="Q434" s="151"/>
      <c r="R434" s="151"/>
      <c r="S434" s="152"/>
      <c r="T434" s="151"/>
      <c r="U434" s="151"/>
      <c r="V434" s="153"/>
      <c r="W434" s="151"/>
      <c r="X434" s="151"/>
      <c r="Y434" s="153"/>
      <c r="Z434" s="151"/>
      <c r="AA434" s="187" t="str">
        <f t="shared" si="13"/>
        <v>No</v>
      </c>
      <c r="AB434" s="158"/>
      <c r="AC434" s="159"/>
      <c r="AD434" s="160"/>
    </row>
    <row r="435" spans="1:30">
      <c r="A435" s="155"/>
      <c r="B435" s="112" t="str">
        <f t="shared" si="12"/>
        <v/>
      </c>
      <c r="C435" s="183"/>
      <c r="D435" s="152"/>
      <c r="E435" s="152"/>
      <c r="F435" s="151"/>
      <c r="G435" s="153"/>
      <c r="H435" s="151"/>
      <c r="I435" s="151"/>
      <c r="J435" s="151"/>
      <c r="K435" s="151"/>
      <c r="L435" s="151"/>
      <c r="M435" s="151"/>
      <c r="N435" s="151"/>
      <c r="O435" s="151"/>
      <c r="P435" s="151"/>
      <c r="Q435" s="151"/>
      <c r="R435" s="151"/>
      <c r="S435" s="152"/>
      <c r="T435" s="151"/>
      <c r="U435" s="151"/>
      <c r="V435" s="153"/>
      <c r="W435" s="151"/>
      <c r="X435" s="151"/>
      <c r="Y435" s="153"/>
      <c r="Z435" s="151"/>
      <c r="AA435" s="187" t="str">
        <f t="shared" si="13"/>
        <v>No</v>
      </c>
      <c r="AB435" s="158"/>
      <c r="AC435" s="159"/>
      <c r="AD435" s="160"/>
    </row>
    <row r="436" spans="1:30">
      <c r="A436" s="155"/>
      <c r="B436" s="112" t="str">
        <f t="shared" si="12"/>
        <v/>
      </c>
      <c r="C436" s="183"/>
      <c r="D436" s="152"/>
      <c r="E436" s="152"/>
      <c r="F436" s="151"/>
      <c r="G436" s="153"/>
      <c r="H436" s="151"/>
      <c r="I436" s="151"/>
      <c r="J436" s="151"/>
      <c r="K436" s="151"/>
      <c r="L436" s="151"/>
      <c r="M436" s="151"/>
      <c r="N436" s="151"/>
      <c r="O436" s="151"/>
      <c r="P436" s="151"/>
      <c r="Q436" s="151"/>
      <c r="R436" s="151"/>
      <c r="S436" s="152"/>
      <c r="T436" s="151"/>
      <c r="U436" s="151"/>
      <c r="V436" s="153"/>
      <c r="W436" s="151"/>
      <c r="X436" s="151"/>
      <c r="Y436" s="153"/>
      <c r="Z436" s="151"/>
      <c r="AA436" s="187" t="str">
        <f t="shared" si="13"/>
        <v>No</v>
      </c>
      <c r="AB436" s="158"/>
      <c r="AC436" s="159"/>
      <c r="AD436" s="160"/>
    </row>
    <row r="437" spans="1:30">
      <c r="A437" s="155"/>
      <c r="B437" s="112" t="str">
        <f t="shared" si="12"/>
        <v/>
      </c>
      <c r="C437" s="183"/>
      <c r="D437" s="152"/>
      <c r="E437" s="152"/>
      <c r="F437" s="151"/>
      <c r="G437" s="153"/>
      <c r="H437" s="151"/>
      <c r="I437" s="151"/>
      <c r="J437" s="151"/>
      <c r="K437" s="151"/>
      <c r="L437" s="151"/>
      <c r="M437" s="151"/>
      <c r="N437" s="151"/>
      <c r="O437" s="151"/>
      <c r="P437" s="151"/>
      <c r="Q437" s="151"/>
      <c r="R437" s="151"/>
      <c r="S437" s="152"/>
      <c r="T437" s="151"/>
      <c r="U437" s="151"/>
      <c r="V437" s="153"/>
      <c r="W437" s="151"/>
      <c r="X437" s="151"/>
      <c r="Y437" s="153"/>
      <c r="Z437" s="151"/>
      <c r="AA437" s="187" t="str">
        <f t="shared" si="13"/>
        <v>No</v>
      </c>
      <c r="AB437" s="158"/>
      <c r="AC437" s="159"/>
      <c r="AD437" s="160"/>
    </row>
    <row r="438" spans="1:30">
      <c r="A438" s="155"/>
      <c r="B438" s="112" t="str">
        <f t="shared" si="12"/>
        <v/>
      </c>
      <c r="C438" s="183"/>
      <c r="D438" s="152"/>
      <c r="E438" s="152"/>
      <c r="F438" s="151"/>
      <c r="G438" s="153"/>
      <c r="H438" s="151"/>
      <c r="I438" s="151"/>
      <c r="J438" s="151"/>
      <c r="K438" s="151"/>
      <c r="L438" s="151"/>
      <c r="M438" s="151"/>
      <c r="N438" s="151"/>
      <c r="O438" s="151"/>
      <c r="P438" s="151"/>
      <c r="Q438" s="151"/>
      <c r="R438" s="151"/>
      <c r="S438" s="152"/>
      <c r="T438" s="151"/>
      <c r="U438" s="151"/>
      <c r="V438" s="153"/>
      <c r="W438" s="151"/>
      <c r="X438" s="151"/>
      <c r="Y438" s="153"/>
      <c r="Z438" s="151"/>
      <c r="AA438" s="187" t="str">
        <f t="shared" si="13"/>
        <v>No</v>
      </c>
      <c r="AB438" s="158"/>
      <c r="AC438" s="159"/>
      <c r="AD438" s="160"/>
    </row>
    <row r="439" spans="1:30">
      <c r="A439" s="155"/>
      <c r="B439" s="112" t="str">
        <f t="shared" si="12"/>
        <v/>
      </c>
      <c r="C439" s="183"/>
      <c r="D439" s="152"/>
      <c r="E439" s="152"/>
      <c r="F439" s="151"/>
      <c r="G439" s="153"/>
      <c r="H439" s="151"/>
      <c r="I439" s="151"/>
      <c r="J439" s="151"/>
      <c r="K439" s="151"/>
      <c r="L439" s="151"/>
      <c r="M439" s="151"/>
      <c r="N439" s="151"/>
      <c r="O439" s="151"/>
      <c r="P439" s="151"/>
      <c r="Q439" s="151"/>
      <c r="R439" s="151"/>
      <c r="S439" s="152"/>
      <c r="T439" s="151"/>
      <c r="U439" s="151"/>
      <c r="V439" s="153"/>
      <c r="W439" s="151"/>
      <c r="X439" s="151"/>
      <c r="Y439" s="153"/>
      <c r="Z439" s="151"/>
      <c r="AA439" s="187" t="str">
        <f t="shared" si="13"/>
        <v>No</v>
      </c>
      <c r="AB439" s="158"/>
      <c r="AC439" s="159"/>
      <c r="AD439" s="160"/>
    </row>
    <row r="440" spans="1:30">
      <c r="A440" s="155"/>
      <c r="B440" s="112" t="str">
        <f t="shared" si="12"/>
        <v/>
      </c>
      <c r="C440" s="183"/>
      <c r="D440" s="152"/>
      <c r="E440" s="152"/>
      <c r="F440" s="151"/>
      <c r="G440" s="153"/>
      <c r="H440" s="151"/>
      <c r="I440" s="151"/>
      <c r="J440" s="151"/>
      <c r="K440" s="151"/>
      <c r="L440" s="151"/>
      <c r="M440" s="151"/>
      <c r="N440" s="151"/>
      <c r="O440" s="151"/>
      <c r="P440" s="151"/>
      <c r="Q440" s="151"/>
      <c r="R440" s="151"/>
      <c r="S440" s="152"/>
      <c r="T440" s="151"/>
      <c r="U440" s="151"/>
      <c r="V440" s="153"/>
      <c r="W440" s="151"/>
      <c r="X440" s="151"/>
      <c r="Y440" s="153"/>
      <c r="Z440" s="151"/>
      <c r="AA440" s="187" t="str">
        <f t="shared" si="13"/>
        <v>No</v>
      </c>
      <c r="AB440" s="158"/>
      <c r="AC440" s="159"/>
      <c r="AD440" s="160"/>
    </row>
    <row r="441" spans="1:30">
      <c r="A441" s="155"/>
      <c r="B441" s="112" t="str">
        <f t="shared" si="12"/>
        <v/>
      </c>
      <c r="C441" s="183"/>
      <c r="D441" s="152"/>
      <c r="E441" s="152"/>
      <c r="F441" s="151"/>
      <c r="G441" s="153"/>
      <c r="H441" s="151"/>
      <c r="I441" s="151"/>
      <c r="J441" s="151"/>
      <c r="K441" s="151"/>
      <c r="L441" s="151"/>
      <c r="M441" s="151"/>
      <c r="N441" s="151"/>
      <c r="O441" s="151"/>
      <c r="P441" s="151"/>
      <c r="Q441" s="151"/>
      <c r="R441" s="151"/>
      <c r="S441" s="152"/>
      <c r="T441" s="151"/>
      <c r="U441" s="151"/>
      <c r="V441" s="153"/>
      <c r="W441" s="151"/>
      <c r="X441" s="151"/>
      <c r="Y441" s="153"/>
      <c r="Z441" s="151"/>
      <c r="AA441" s="187" t="str">
        <f t="shared" si="13"/>
        <v>No</v>
      </c>
      <c r="AB441" s="158"/>
      <c r="AC441" s="159"/>
      <c r="AD441" s="160"/>
    </row>
    <row r="442" spans="1:30">
      <c r="A442" s="155"/>
      <c r="B442" s="112" t="str">
        <f t="shared" si="12"/>
        <v/>
      </c>
      <c r="C442" s="183"/>
      <c r="D442" s="152"/>
      <c r="E442" s="152"/>
      <c r="F442" s="151"/>
      <c r="G442" s="153"/>
      <c r="H442" s="151"/>
      <c r="I442" s="151"/>
      <c r="J442" s="151"/>
      <c r="K442" s="151"/>
      <c r="L442" s="151"/>
      <c r="M442" s="151"/>
      <c r="N442" s="151"/>
      <c r="O442" s="151"/>
      <c r="P442" s="151"/>
      <c r="Q442" s="151"/>
      <c r="R442" s="151"/>
      <c r="S442" s="152"/>
      <c r="T442" s="151"/>
      <c r="U442" s="151"/>
      <c r="V442" s="153"/>
      <c r="W442" s="151"/>
      <c r="X442" s="151"/>
      <c r="Y442" s="153"/>
      <c r="Z442" s="151"/>
      <c r="AA442" s="187" t="str">
        <f t="shared" si="13"/>
        <v>No</v>
      </c>
      <c r="AB442" s="158"/>
      <c r="AC442" s="159"/>
      <c r="AD442" s="160"/>
    </row>
    <row r="443" spans="1:30">
      <c r="A443" s="155"/>
      <c r="B443" s="112" t="str">
        <f t="shared" si="12"/>
        <v/>
      </c>
      <c r="C443" s="183"/>
      <c r="D443" s="152"/>
      <c r="E443" s="152"/>
      <c r="F443" s="151"/>
      <c r="G443" s="153"/>
      <c r="H443" s="151"/>
      <c r="I443" s="151"/>
      <c r="J443" s="151"/>
      <c r="K443" s="151"/>
      <c r="L443" s="151"/>
      <c r="M443" s="151"/>
      <c r="N443" s="151"/>
      <c r="O443" s="151"/>
      <c r="P443" s="151"/>
      <c r="Q443" s="151"/>
      <c r="R443" s="151"/>
      <c r="S443" s="152"/>
      <c r="T443" s="151"/>
      <c r="U443" s="151"/>
      <c r="V443" s="153"/>
      <c r="W443" s="151"/>
      <c r="X443" s="151"/>
      <c r="Y443" s="153"/>
      <c r="Z443" s="151"/>
      <c r="AA443" s="187" t="str">
        <f t="shared" si="13"/>
        <v>No</v>
      </c>
      <c r="AB443" s="158"/>
      <c r="AC443" s="159"/>
      <c r="AD443" s="160"/>
    </row>
    <row r="444" spans="1:30">
      <c r="A444" s="155"/>
      <c r="B444" s="112" t="str">
        <f t="shared" si="12"/>
        <v/>
      </c>
      <c r="C444" s="183"/>
      <c r="D444" s="152"/>
      <c r="E444" s="152"/>
      <c r="F444" s="151"/>
      <c r="G444" s="153"/>
      <c r="H444" s="151"/>
      <c r="I444" s="151"/>
      <c r="J444" s="151"/>
      <c r="K444" s="151"/>
      <c r="L444" s="151"/>
      <c r="M444" s="151"/>
      <c r="N444" s="151"/>
      <c r="O444" s="151"/>
      <c r="P444" s="151"/>
      <c r="Q444" s="151"/>
      <c r="R444" s="151"/>
      <c r="S444" s="152"/>
      <c r="T444" s="151"/>
      <c r="U444" s="151"/>
      <c r="V444" s="153"/>
      <c r="W444" s="151"/>
      <c r="X444" s="151"/>
      <c r="Y444" s="153"/>
      <c r="Z444" s="151"/>
      <c r="AA444" s="187" t="str">
        <f t="shared" si="13"/>
        <v>No</v>
      </c>
      <c r="AB444" s="158"/>
      <c r="AC444" s="159"/>
      <c r="AD444" s="160"/>
    </row>
    <row r="445" spans="1:30">
      <c r="A445" s="155"/>
      <c r="B445" s="112" t="str">
        <f t="shared" si="12"/>
        <v/>
      </c>
      <c r="C445" s="183"/>
      <c r="D445" s="152"/>
      <c r="E445" s="152"/>
      <c r="F445" s="151"/>
      <c r="G445" s="153"/>
      <c r="H445" s="151"/>
      <c r="I445" s="151"/>
      <c r="J445" s="151"/>
      <c r="K445" s="151"/>
      <c r="L445" s="151"/>
      <c r="M445" s="151"/>
      <c r="N445" s="151"/>
      <c r="O445" s="151"/>
      <c r="P445" s="151"/>
      <c r="Q445" s="151"/>
      <c r="R445" s="151"/>
      <c r="S445" s="152"/>
      <c r="T445" s="151"/>
      <c r="U445" s="151"/>
      <c r="V445" s="153"/>
      <c r="W445" s="151"/>
      <c r="X445" s="151"/>
      <c r="Y445" s="153"/>
      <c r="Z445" s="151"/>
      <c r="AA445" s="187" t="str">
        <f t="shared" si="13"/>
        <v>No</v>
      </c>
      <c r="AB445" s="158"/>
      <c r="AC445" s="159"/>
      <c r="AD445" s="160"/>
    </row>
    <row r="446" spans="1:30">
      <c r="A446" s="155"/>
      <c r="B446" s="112" t="str">
        <f t="shared" si="12"/>
        <v/>
      </c>
      <c r="C446" s="183"/>
      <c r="D446" s="152"/>
      <c r="E446" s="152"/>
      <c r="F446" s="151"/>
      <c r="G446" s="153"/>
      <c r="H446" s="151"/>
      <c r="I446" s="151"/>
      <c r="J446" s="151"/>
      <c r="K446" s="151"/>
      <c r="L446" s="151"/>
      <c r="M446" s="151"/>
      <c r="N446" s="151"/>
      <c r="O446" s="151"/>
      <c r="P446" s="151"/>
      <c r="Q446" s="151"/>
      <c r="R446" s="151"/>
      <c r="S446" s="152"/>
      <c r="T446" s="151"/>
      <c r="U446" s="151"/>
      <c r="V446" s="153"/>
      <c r="W446" s="151"/>
      <c r="X446" s="151"/>
      <c r="Y446" s="153"/>
      <c r="Z446" s="151"/>
      <c r="AA446" s="187" t="str">
        <f t="shared" si="13"/>
        <v>No</v>
      </c>
      <c r="AB446" s="158"/>
      <c r="AC446" s="159"/>
      <c r="AD446" s="160"/>
    </row>
    <row r="447" spans="1:30">
      <c r="A447" s="155"/>
      <c r="B447" s="112" t="str">
        <f t="shared" si="12"/>
        <v/>
      </c>
      <c r="C447" s="183"/>
      <c r="D447" s="152"/>
      <c r="E447" s="152"/>
      <c r="F447" s="151"/>
      <c r="G447" s="153"/>
      <c r="H447" s="151"/>
      <c r="I447" s="151"/>
      <c r="J447" s="151"/>
      <c r="K447" s="151"/>
      <c r="L447" s="151"/>
      <c r="M447" s="151"/>
      <c r="N447" s="151"/>
      <c r="O447" s="151"/>
      <c r="P447" s="151"/>
      <c r="Q447" s="151"/>
      <c r="R447" s="151"/>
      <c r="S447" s="152"/>
      <c r="T447" s="151"/>
      <c r="U447" s="151"/>
      <c r="V447" s="153"/>
      <c r="W447" s="151"/>
      <c r="X447" s="151"/>
      <c r="Y447" s="153"/>
      <c r="Z447" s="151"/>
      <c r="AA447" s="187" t="str">
        <f t="shared" si="13"/>
        <v>No</v>
      </c>
      <c r="AB447" s="158"/>
      <c r="AC447" s="159"/>
      <c r="AD447" s="160"/>
    </row>
    <row r="448" spans="1:30">
      <c r="A448" s="155"/>
      <c r="B448" s="112" t="str">
        <f t="shared" si="12"/>
        <v/>
      </c>
      <c r="C448" s="183"/>
      <c r="D448" s="152"/>
      <c r="E448" s="152"/>
      <c r="F448" s="151"/>
      <c r="G448" s="153"/>
      <c r="H448" s="151"/>
      <c r="I448" s="151"/>
      <c r="J448" s="151"/>
      <c r="K448" s="151"/>
      <c r="L448" s="151"/>
      <c r="M448" s="151"/>
      <c r="N448" s="151"/>
      <c r="O448" s="151"/>
      <c r="P448" s="151"/>
      <c r="Q448" s="151"/>
      <c r="R448" s="151"/>
      <c r="S448" s="152"/>
      <c r="T448" s="151"/>
      <c r="U448" s="151"/>
      <c r="V448" s="153"/>
      <c r="W448" s="151"/>
      <c r="X448" s="151"/>
      <c r="Y448" s="153"/>
      <c r="Z448" s="151"/>
      <c r="AA448" s="187" t="str">
        <f t="shared" si="13"/>
        <v>No</v>
      </c>
      <c r="AB448" s="158"/>
      <c r="AC448" s="159"/>
      <c r="AD448" s="160"/>
    </row>
    <row r="449" spans="1:30">
      <c r="A449" s="155"/>
      <c r="B449" s="112" t="str">
        <f t="shared" si="12"/>
        <v/>
      </c>
      <c r="C449" s="183"/>
      <c r="D449" s="152"/>
      <c r="E449" s="152"/>
      <c r="F449" s="151"/>
      <c r="G449" s="153"/>
      <c r="H449" s="151"/>
      <c r="I449" s="151"/>
      <c r="J449" s="151"/>
      <c r="K449" s="151"/>
      <c r="L449" s="151"/>
      <c r="M449" s="151"/>
      <c r="N449" s="151"/>
      <c r="O449" s="151"/>
      <c r="P449" s="151"/>
      <c r="Q449" s="151"/>
      <c r="R449" s="151"/>
      <c r="S449" s="152"/>
      <c r="T449" s="151"/>
      <c r="U449" s="151"/>
      <c r="V449" s="153"/>
      <c r="W449" s="151"/>
      <c r="X449" s="151"/>
      <c r="Y449" s="153"/>
      <c r="Z449" s="151"/>
      <c r="AA449" s="187" t="str">
        <f t="shared" si="13"/>
        <v>No</v>
      </c>
      <c r="AB449" s="158"/>
      <c r="AC449" s="159"/>
      <c r="AD449" s="160"/>
    </row>
    <row r="450" spans="1:30">
      <c r="A450" s="155"/>
      <c r="B450" s="112" t="str">
        <f t="shared" si="12"/>
        <v/>
      </c>
      <c r="C450" s="183"/>
      <c r="D450" s="152"/>
      <c r="E450" s="152"/>
      <c r="F450" s="151"/>
      <c r="G450" s="153"/>
      <c r="H450" s="151"/>
      <c r="I450" s="151"/>
      <c r="J450" s="151"/>
      <c r="K450" s="151"/>
      <c r="L450" s="151"/>
      <c r="M450" s="151"/>
      <c r="N450" s="151"/>
      <c r="O450" s="151"/>
      <c r="P450" s="151"/>
      <c r="Q450" s="151"/>
      <c r="R450" s="151"/>
      <c r="S450" s="152"/>
      <c r="T450" s="151"/>
      <c r="U450" s="151"/>
      <c r="V450" s="153"/>
      <c r="W450" s="151"/>
      <c r="X450" s="151"/>
      <c r="Y450" s="153"/>
      <c r="Z450" s="151"/>
      <c r="AA450" s="187" t="str">
        <f t="shared" si="13"/>
        <v>No</v>
      </c>
      <c r="AB450" s="158"/>
      <c r="AC450" s="159"/>
      <c r="AD450" s="160"/>
    </row>
    <row r="451" spans="1:30">
      <c r="A451" s="155"/>
      <c r="B451" s="112" t="str">
        <f t="shared" si="12"/>
        <v/>
      </c>
      <c r="C451" s="183"/>
      <c r="D451" s="152"/>
      <c r="E451" s="152"/>
      <c r="F451" s="151"/>
      <c r="G451" s="153"/>
      <c r="H451" s="151"/>
      <c r="I451" s="151"/>
      <c r="J451" s="151"/>
      <c r="K451" s="151"/>
      <c r="L451" s="151"/>
      <c r="M451" s="151"/>
      <c r="N451" s="151"/>
      <c r="O451" s="151"/>
      <c r="P451" s="151"/>
      <c r="Q451" s="151"/>
      <c r="R451" s="151"/>
      <c r="S451" s="152"/>
      <c r="T451" s="151"/>
      <c r="U451" s="151"/>
      <c r="V451" s="153"/>
      <c r="W451" s="151"/>
      <c r="X451" s="151"/>
      <c r="Y451" s="153"/>
      <c r="Z451" s="151"/>
      <c r="AA451" s="187" t="str">
        <f t="shared" si="13"/>
        <v>No</v>
      </c>
      <c r="AB451" s="158"/>
      <c r="AC451" s="159"/>
      <c r="AD451" s="160"/>
    </row>
    <row r="452" spans="1:30">
      <c r="A452" s="155"/>
      <c r="B452" s="112" t="str">
        <f t="shared" si="12"/>
        <v/>
      </c>
      <c r="C452" s="183"/>
      <c r="D452" s="152"/>
      <c r="E452" s="152"/>
      <c r="F452" s="151"/>
      <c r="G452" s="153"/>
      <c r="H452" s="151"/>
      <c r="I452" s="151"/>
      <c r="J452" s="151"/>
      <c r="K452" s="151"/>
      <c r="L452" s="151"/>
      <c r="M452" s="151"/>
      <c r="N452" s="151"/>
      <c r="O452" s="151"/>
      <c r="P452" s="151"/>
      <c r="Q452" s="151"/>
      <c r="R452" s="151"/>
      <c r="S452" s="152"/>
      <c r="T452" s="151"/>
      <c r="U452" s="151"/>
      <c r="V452" s="153"/>
      <c r="W452" s="151"/>
      <c r="X452" s="151"/>
      <c r="Y452" s="153"/>
      <c r="Z452" s="151"/>
      <c r="AA452" s="187" t="str">
        <f t="shared" si="13"/>
        <v>No</v>
      </c>
      <c r="AB452" s="158"/>
      <c r="AC452" s="159"/>
      <c r="AD452" s="160"/>
    </row>
    <row r="453" spans="1:30">
      <c r="A453" s="155"/>
      <c r="B453" s="112" t="str">
        <f t="shared" ref="B453:B516" si="14">IF(AND(A453&lt;&gt;"",D453&lt;&gt;"",J453&lt;&gt;"",N453&lt;&gt;""),TEXT(D453,"YY")&amp;"-"&amp;TEXT(D453,"MMM")&amp;"-"&amp;UPPER(LEFT(TRIM(N453),2))&amp;"-"&amp;UPPER(LEFT(TRIM(J453),3))&amp;"-"&amp;A453,"")</f>
        <v/>
      </c>
      <c r="C453" s="183"/>
      <c r="D453" s="152"/>
      <c r="E453" s="152"/>
      <c r="F453" s="151"/>
      <c r="G453" s="153"/>
      <c r="H453" s="151"/>
      <c r="I453" s="151"/>
      <c r="J453" s="151"/>
      <c r="K453" s="151"/>
      <c r="L453" s="151"/>
      <c r="M453" s="151"/>
      <c r="N453" s="151"/>
      <c r="O453" s="151"/>
      <c r="P453" s="151"/>
      <c r="Q453" s="151"/>
      <c r="R453" s="151"/>
      <c r="S453" s="152"/>
      <c r="T453" s="151"/>
      <c r="U453" s="151"/>
      <c r="V453" s="153"/>
      <c r="W453" s="151"/>
      <c r="X453" s="151"/>
      <c r="Y453" s="153"/>
      <c r="Z453" s="151"/>
      <c r="AA453" s="187" t="str">
        <f t="shared" ref="AA453:AA516" si="15">IF(E453="","No","Yes")</f>
        <v>No</v>
      </c>
      <c r="AB453" s="158"/>
      <c r="AC453" s="159"/>
      <c r="AD453" s="160"/>
    </row>
    <row r="454" spans="1:30">
      <c r="A454" s="155"/>
      <c r="B454" s="112" t="str">
        <f t="shared" si="14"/>
        <v/>
      </c>
      <c r="C454" s="183"/>
      <c r="D454" s="152"/>
      <c r="E454" s="152"/>
      <c r="F454" s="151"/>
      <c r="G454" s="153"/>
      <c r="H454" s="151"/>
      <c r="I454" s="151"/>
      <c r="J454" s="151"/>
      <c r="K454" s="151"/>
      <c r="L454" s="151"/>
      <c r="M454" s="151"/>
      <c r="N454" s="151"/>
      <c r="O454" s="151"/>
      <c r="P454" s="151"/>
      <c r="Q454" s="151"/>
      <c r="R454" s="151"/>
      <c r="S454" s="152"/>
      <c r="T454" s="151"/>
      <c r="U454" s="151"/>
      <c r="V454" s="153"/>
      <c r="W454" s="151"/>
      <c r="X454" s="151"/>
      <c r="Y454" s="153"/>
      <c r="Z454" s="151"/>
      <c r="AA454" s="187" t="str">
        <f t="shared" si="15"/>
        <v>No</v>
      </c>
      <c r="AB454" s="158"/>
      <c r="AC454" s="159"/>
      <c r="AD454" s="160"/>
    </row>
    <row r="455" spans="1:30">
      <c r="A455" s="155"/>
      <c r="B455" s="112" t="str">
        <f t="shared" si="14"/>
        <v/>
      </c>
      <c r="C455" s="183"/>
      <c r="D455" s="152"/>
      <c r="E455" s="152"/>
      <c r="F455" s="151"/>
      <c r="G455" s="153"/>
      <c r="H455" s="151"/>
      <c r="I455" s="151"/>
      <c r="J455" s="151"/>
      <c r="K455" s="151"/>
      <c r="L455" s="151"/>
      <c r="M455" s="151"/>
      <c r="N455" s="151"/>
      <c r="O455" s="151"/>
      <c r="P455" s="151"/>
      <c r="Q455" s="151"/>
      <c r="R455" s="151"/>
      <c r="S455" s="152"/>
      <c r="T455" s="151"/>
      <c r="U455" s="151"/>
      <c r="V455" s="153"/>
      <c r="W455" s="151"/>
      <c r="X455" s="151"/>
      <c r="Y455" s="153"/>
      <c r="Z455" s="151"/>
      <c r="AA455" s="187" t="str">
        <f t="shared" si="15"/>
        <v>No</v>
      </c>
      <c r="AB455" s="158"/>
      <c r="AC455" s="159"/>
      <c r="AD455" s="160"/>
    </row>
    <row r="456" spans="1:30">
      <c r="A456" s="155"/>
      <c r="B456" s="112" t="str">
        <f t="shared" si="14"/>
        <v/>
      </c>
      <c r="C456" s="183"/>
      <c r="D456" s="152"/>
      <c r="E456" s="152"/>
      <c r="F456" s="151"/>
      <c r="G456" s="153"/>
      <c r="H456" s="151"/>
      <c r="I456" s="151"/>
      <c r="J456" s="151"/>
      <c r="K456" s="151"/>
      <c r="L456" s="151"/>
      <c r="M456" s="151"/>
      <c r="N456" s="151"/>
      <c r="O456" s="151"/>
      <c r="P456" s="151"/>
      <c r="Q456" s="151"/>
      <c r="R456" s="151"/>
      <c r="S456" s="152"/>
      <c r="T456" s="151"/>
      <c r="U456" s="151"/>
      <c r="V456" s="153"/>
      <c r="W456" s="151"/>
      <c r="X456" s="151"/>
      <c r="Y456" s="153"/>
      <c r="Z456" s="151"/>
      <c r="AA456" s="187" t="str">
        <f t="shared" si="15"/>
        <v>No</v>
      </c>
      <c r="AB456" s="158"/>
      <c r="AC456" s="159"/>
      <c r="AD456" s="160"/>
    </row>
    <row r="457" spans="1:30">
      <c r="A457" s="155"/>
      <c r="B457" s="112" t="str">
        <f t="shared" si="14"/>
        <v/>
      </c>
      <c r="C457" s="183"/>
      <c r="D457" s="152"/>
      <c r="E457" s="152"/>
      <c r="F457" s="151"/>
      <c r="G457" s="153"/>
      <c r="H457" s="151"/>
      <c r="I457" s="151"/>
      <c r="J457" s="151"/>
      <c r="K457" s="151"/>
      <c r="L457" s="151"/>
      <c r="M457" s="151"/>
      <c r="N457" s="151"/>
      <c r="O457" s="151"/>
      <c r="P457" s="151"/>
      <c r="Q457" s="151"/>
      <c r="R457" s="151"/>
      <c r="S457" s="152"/>
      <c r="T457" s="151"/>
      <c r="U457" s="151"/>
      <c r="V457" s="153"/>
      <c r="W457" s="151"/>
      <c r="X457" s="151"/>
      <c r="Y457" s="153"/>
      <c r="Z457" s="151"/>
      <c r="AA457" s="187" t="str">
        <f t="shared" si="15"/>
        <v>No</v>
      </c>
      <c r="AB457" s="158"/>
      <c r="AC457" s="159"/>
      <c r="AD457" s="160"/>
    </row>
    <row r="458" spans="1:30">
      <c r="A458" s="155"/>
      <c r="B458" s="112" t="str">
        <f t="shared" si="14"/>
        <v/>
      </c>
      <c r="C458" s="183"/>
      <c r="D458" s="152"/>
      <c r="E458" s="152"/>
      <c r="F458" s="151"/>
      <c r="G458" s="153"/>
      <c r="H458" s="151"/>
      <c r="I458" s="151"/>
      <c r="J458" s="151"/>
      <c r="K458" s="151"/>
      <c r="L458" s="151"/>
      <c r="M458" s="151"/>
      <c r="N458" s="151"/>
      <c r="O458" s="151"/>
      <c r="P458" s="151"/>
      <c r="Q458" s="151"/>
      <c r="R458" s="151"/>
      <c r="S458" s="152"/>
      <c r="T458" s="151"/>
      <c r="U458" s="151"/>
      <c r="V458" s="153"/>
      <c r="W458" s="151"/>
      <c r="X458" s="151"/>
      <c r="Y458" s="153"/>
      <c r="Z458" s="151"/>
      <c r="AA458" s="187" t="str">
        <f t="shared" si="15"/>
        <v>No</v>
      </c>
      <c r="AB458" s="158"/>
      <c r="AC458" s="159"/>
      <c r="AD458" s="160"/>
    </row>
    <row r="459" spans="1:30">
      <c r="A459" s="155"/>
      <c r="B459" s="112" t="str">
        <f t="shared" si="14"/>
        <v/>
      </c>
      <c r="C459" s="183"/>
      <c r="D459" s="152"/>
      <c r="E459" s="152"/>
      <c r="F459" s="151"/>
      <c r="G459" s="153"/>
      <c r="H459" s="151"/>
      <c r="I459" s="151"/>
      <c r="J459" s="151"/>
      <c r="K459" s="151"/>
      <c r="L459" s="151"/>
      <c r="M459" s="151"/>
      <c r="N459" s="151"/>
      <c r="O459" s="151"/>
      <c r="P459" s="151"/>
      <c r="Q459" s="151"/>
      <c r="R459" s="151"/>
      <c r="S459" s="152"/>
      <c r="T459" s="151"/>
      <c r="U459" s="151"/>
      <c r="V459" s="153"/>
      <c r="W459" s="151"/>
      <c r="X459" s="151"/>
      <c r="Y459" s="153"/>
      <c r="Z459" s="151"/>
      <c r="AA459" s="187" t="str">
        <f t="shared" si="15"/>
        <v>No</v>
      </c>
      <c r="AB459" s="158"/>
      <c r="AC459" s="159"/>
      <c r="AD459" s="160"/>
    </row>
    <row r="460" spans="1:30">
      <c r="A460" s="155"/>
      <c r="B460" s="112" t="str">
        <f t="shared" si="14"/>
        <v/>
      </c>
      <c r="C460" s="183"/>
      <c r="D460" s="152"/>
      <c r="E460" s="152"/>
      <c r="F460" s="151"/>
      <c r="G460" s="153"/>
      <c r="H460" s="151"/>
      <c r="I460" s="151"/>
      <c r="J460" s="151"/>
      <c r="K460" s="151"/>
      <c r="L460" s="151"/>
      <c r="M460" s="151"/>
      <c r="N460" s="151"/>
      <c r="O460" s="151"/>
      <c r="P460" s="151"/>
      <c r="Q460" s="151"/>
      <c r="R460" s="151"/>
      <c r="S460" s="152"/>
      <c r="T460" s="151"/>
      <c r="U460" s="151"/>
      <c r="V460" s="153"/>
      <c r="W460" s="151"/>
      <c r="X460" s="151"/>
      <c r="Y460" s="153"/>
      <c r="Z460" s="151"/>
      <c r="AA460" s="187" t="str">
        <f t="shared" si="15"/>
        <v>No</v>
      </c>
      <c r="AB460" s="158"/>
      <c r="AC460" s="159"/>
      <c r="AD460" s="160"/>
    </row>
    <row r="461" spans="1:30">
      <c r="A461" s="155"/>
      <c r="B461" s="112" t="str">
        <f t="shared" si="14"/>
        <v/>
      </c>
      <c r="C461" s="183"/>
      <c r="D461" s="152"/>
      <c r="E461" s="152"/>
      <c r="F461" s="151"/>
      <c r="G461" s="153"/>
      <c r="H461" s="151"/>
      <c r="I461" s="151"/>
      <c r="J461" s="151"/>
      <c r="K461" s="151"/>
      <c r="L461" s="151"/>
      <c r="M461" s="151"/>
      <c r="N461" s="151"/>
      <c r="O461" s="151"/>
      <c r="P461" s="151"/>
      <c r="Q461" s="151"/>
      <c r="R461" s="151"/>
      <c r="S461" s="152"/>
      <c r="T461" s="151"/>
      <c r="U461" s="151"/>
      <c r="V461" s="153"/>
      <c r="W461" s="151"/>
      <c r="X461" s="151"/>
      <c r="Y461" s="153"/>
      <c r="Z461" s="151"/>
      <c r="AA461" s="187" t="str">
        <f t="shared" si="15"/>
        <v>No</v>
      </c>
      <c r="AB461" s="158"/>
      <c r="AC461" s="159"/>
      <c r="AD461" s="160"/>
    </row>
    <row r="462" spans="1:30">
      <c r="A462" s="155"/>
      <c r="B462" s="112" t="str">
        <f t="shared" si="14"/>
        <v/>
      </c>
      <c r="C462" s="183"/>
      <c r="D462" s="152"/>
      <c r="E462" s="152"/>
      <c r="F462" s="151"/>
      <c r="G462" s="153"/>
      <c r="H462" s="151"/>
      <c r="I462" s="151"/>
      <c r="J462" s="151"/>
      <c r="K462" s="151"/>
      <c r="L462" s="151"/>
      <c r="M462" s="151"/>
      <c r="N462" s="151"/>
      <c r="O462" s="151"/>
      <c r="P462" s="151"/>
      <c r="Q462" s="151"/>
      <c r="R462" s="151"/>
      <c r="S462" s="152"/>
      <c r="T462" s="151"/>
      <c r="U462" s="151"/>
      <c r="V462" s="153"/>
      <c r="W462" s="151"/>
      <c r="X462" s="151"/>
      <c r="Y462" s="153"/>
      <c r="Z462" s="151"/>
      <c r="AA462" s="187" t="str">
        <f t="shared" si="15"/>
        <v>No</v>
      </c>
      <c r="AB462" s="158"/>
      <c r="AC462" s="159"/>
      <c r="AD462" s="160"/>
    </row>
    <row r="463" spans="1:30">
      <c r="A463" s="155"/>
      <c r="B463" s="112" t="str">
        <f t="shared" si="14"/>
        <v/>
      </c>
      <c r="C463" s="183"/>
      <c r="D463" s="152"/>
      <c r="E463" s="152"/>
      <c r="F463" s="151"/>
      <c r="G463" s="153"/>
      <c r="H463" s="151"/>
      <c r="I463" s="151"/>
      <c r="J463" s="151"/>
      <c r="K463" s="151"/>
      <c r="L463" s="151"/>
      <c r="M463" s="151"/>
      <c r="N463" s="151"/>
      <c r="O463" s="151"/>
      <c r="P463" s="151"/>
      <c r="Q463" s="151"/>
      <c r="R463" s="151"/>
      <c r="S463" s="152"/>
      <c r="T463" s="151"/>
      <c r="U463" s="151"/>
      <c r="V463" s="153"/>
      <c r="W463" s="151"/>
      <c r="X463" s="151"/>
      <c r="Y463" s="153"/>
      <c r="Z463" s="151"/>
      <c r="AA463" s="187" t="str">
        <f t="shared" si="15"/>
        <v>No</v>
      </c>
      <c r="AB463" s="158"/>
      <c r="AC463" s="159"/>
      <c r="AD463" s="160"/>
    </row>
    <row r="464" spans="1:30">
      <c r="A464" s="155"/>
      <c r="B464" s="112" t="str">
        <f t="shared" si="14"/>
        <v/>
      </c>
      <c r="C464" s="183"/>
      <c r="D464" s="152"/>
      <c r="E464" s="152"/>
      <c r="F464" s="151"/>
      <c r="G464" s="153"/>
      <c r="H464" s="151"/>
      <c r="I464" s="151"/>
      <c r="J464" s="151"/>
      <c r="K464" s="151"/>
      <c r="L464" s="151"/>
      <c r="M464" s="151"/>
      <c r="N464" s="151"/>
      <c r="O464" s="151"/>
      <c r="P464" s="151"/>
      <c r="Q464" s="151"/>
      <c r="R464" s="151"/>
      <c r="S464" s="152"/>
      <c r="T464" s="151"/>
      <c r="U464" s="151"/>
      <c r="V464" s="153"/>
      <c r="W464" s="151"/>
      <c r="X464" s="151"/>
      <c r="Y464" s="153"/>
      <c r="Z464" s="151"/>
      <c r="AA464" s="187" t="str">
        <f t="shared" si="15"/>
        <v>No</v>
      </c>
      <c r="AB464" s="158"/>
      <c r="AC464" s="159"/>
      <c r="AD464" s="160"/>
    </row>
    <row r="465" spans="1:30">
      <c r="A465" s="155"/>
      <c r="B465" s="112" t="str">
        <f t="shared" si="14"/>
        <v/>
      </c>
      <c r="C465" s="183"/>
      <c r="D465" s="152"/>
      <c r="E465" s="152"/>
      <c r="F465" s="151"/>
      <c r="G465" s="153"/>
      <c r="H465" s="151"/>
      <c r="I465" s="151"/>
      <c r="J465" s="151"/>
      <c r="K465" s="151"/>
      <c r="L465" s="151"/>
      <c r="M465" s="151"/>
      <c r="N465" s="151"/>
      <c r="O465" s="151"/>
      <c r="P465" s="151"/>
      <c r="Q465" s="151"/>
      <c r="R465" s="151"/>
      <c r="S465" s="152"/>
      <c r="T465" s="151"/>
      <c r="U465" s="151"/>
      <c r="V465" s="153"/>
      <c r="W465" s="151"/>
      <c r="X465" s="151"/>
      <c r="Y465" s="153"/>
      <c r="Z465" s="151"/>
      <c r="AA465" s="187" t="str">
        <f t="shared" si="15"/>
        <v>No</v>
      </c>
      <c r="AB465" s="158"/>
      <c r="AC465" s="159"/>
      <c r="AD465" s="160"/>
    </row>
    <row r="466" spans="1:30">
      <c r="A466" s="155"/>
      <c r="B466" s="112" t="str">
        <f t="shared" si="14"/>
        <v/>
      </c>
      <c r="C466" s="183"/>
      <c r="D466" s="152"/>
      <c r="E466" s="152"/>
      <c r="F466" s="151"/>
      <c r="G466" s="153"/>
      <c r="H466" s="151"/>
      <c r="I466" s="151"/>
      <c r="J466" s="151"/>
      <c r="K466" s="151"/>
      <c r="L466" s="151"/>
      <c r="M466" s="151"/>
      <c r="N466" s="151"/>
      <c r="O466" s="151"/>
      <c r="P466" s="151"/>
      <c r="Q466" s="151"/>
      <c r="R466" s="151"/>
      <c r="S466" s="152"/>
      <c r="T466" s="151"/>
      <c r="U466" s="151"/>
      <c r="V466" s="153"/>
      <c r="W466" s="151"/>
      <c r="X466" s="151"/>
      <c r="Y466" s="153"/>
      <c r="Z466" s="151"/>
      <c r="AA466" s="187" t="str">
        <f t="shared" si="15"/>
        <v>No</v>
      </c>
      <c r="AB466" s="158"/>
      <c r="AC466" s="159"/>
      <c r="AD466" s="160"/>
    </row>
    <row r="467" spans="1:30">
      <c r="A467" s="155"/>
      <c r="B467" s="112" t="str">
        <f t="shared" si="14"/>
        <v/>
      </c>
      <c r="C467" s="183"/>
      <c r="D467" s="152"/>
      <c r="E467" s="152"/>
      <c r="F467" s="151"/>
      <c r="G467" s="153"/>
      <c r="H467" s="151"/>
      <c r="I467" s="151"/>
      <c r="J467" s="151"/>
      <c r="K467" s="151"/>
      <c r="L467" s="151"/>
      <c r="M467" s="151"/>
      <c r="N467" s="151"/>
      <c r="O467" s="151"/>
      <c r="P467" s="151"/>
      <c r="Q467" s="151"/>
      <c r="R467" s="151"/>
      <c r="S467" s="152"/>
      <c r="T467" s="151"/>
      <c r="U467" s="151"/>
      <c r="V467" s="153"/>
      <c r="W467" s="151"/>
      <c r="X467" s="151"/>
      <c r="Y467" s="153"/>
      <c r="Z467" s="151"/>
      <c r="AA467" s="187" t="str">
        <f t="shared" si="15"/>
        <v>No</v>
      </c>
      <c r="AB467" s="158"/>
      <c r="AC467" s="159"/>
      <c r="AD467" s="160"/>
    </row>
    <row r="468" spans="1:30">
      <c r="A468" s="155"/>
      <c r="B468" s="112" t="str">
        <f t="shared" si="14"/>
        <v/>
      </c>
      <c r="C468" s="183"/>
      <c r="D468" s="152"/>
      <c r="E468" s="152"/>
      <c r="F468" s="151"/>
      <c r="G468" s="153"/>
      <c r="H468" s="151"/>
      <c r="I468" s="151"/>
      <c r="J468" s="151"/>
      <c r="K468" s="151"/>
      <c r="L468" s="151"/>
      <c r="M468" s="151"/>
      <c r="N468" s="151"/>
      <c r="O468" s="151"/>
      <c r="P468" s="151"/>
      <c r="Q468" s="151"/>
      <c r="R468" s="151"/>
      <c r="S468" s="152"/>
      <c r="T468" s="151"/>
      <c r="U468" s="151"/>
      <c r="V468" s="153"/>
      <c r="W468" s="151"/>
      <c r="X468" s="151"/>
      <c r="Y468" s="153"/>
      <c r="Z468" s="151"/>
      <c r="AA468" s="187" t="str">
        <f t="shared" si="15"/>
        <v>No</v>
      </c>
      <c r="AB468" s="158"/>
      <c r="AC468" s="159"/>
      <c r="AD468" s="160"/>
    </row>
    <row r="469" spans="1:30">
      <c r="A469" s="155"/>
      <c r="B469" s="112" t="str">
        <f t="shared" si="14"/>
        <v/>
      </c>
      <c r="C469" s="183"/>
      <c r="D469" s="152"/>
      <c r="E469" s="152"/>
      <c r="F469" s="151"/>
      <c r="G469" s="153"/>
      <c r="H469" s="151"/>
      <c r="I469" s="151"/>
      <c r="J469" s="151"/>
      <c r="K469" s="151"/>
      <c r="L469" s="151"/>
      <c r="M469" s="151"/>
      <c r="N469" s="151"/>
      <c r="O469" s="151"/>
      <c r="P469" s="151"/>
      <c r="Q469" s="151"/>
      <c r="R469" s="151"/>
      <c r="S469" s="152"/>
      <c r="T469" s="151"/>
      <c r="U469" s="151"/>
      <c r="V469" s="153"/>
      <c r="W469" s="151"/>
      <c r="X469" s="151"/>
      <c r="Y469" s="153"/>
      <c r="Z469" s="151"/>
      <c r="AA469" s="187" t="str">
        <f t="shared" si="15"/>
        <v>No</v>
      </c>
      <c r="AB469" s="158"/>
      <c r="AC469" s="159"/>
      <c r="AD469" s="160"/>
    </row>
    <row r="470" spans="1:30">
      <c r="A470" s="155"/>
      <c r="B470" s="112" t="str">
        <f t="shared" si="14"/>
        <v/>
      </c>
      <c r="C470" s="183"/>
      <c r="D470" s="152"/>
      <c r="E470" s="152"/>
      <c r="F470" s="151"/>
      <c r="G470" s="153"/>
      <c r="H470" s="151"/>
      <c r="I470" s="151"/>
      <c r="J470" s="151"/>
      <c r="K470" s="151"/>
      <c r="L470" s="151"/>
      <c r="M470" s="151"/>
      <c r="N470" s="151"/>
      <c r="O470" s="151"/>
      <c r="P470" s="151"/>
      <c r="Q470" s="151"/>
      <c r="R470" s="151"/>
      <c r="S470" s="152"/>
      <c r="T470" s="151"/>
      <c r="U470" s="151"/>
      <c r="V470" s="153"/>
      <c r="W470" s="151"/>
      <c r="X470" s="151"/>
      <c r="Y470" s="153"/>
      <c r="Z470" s="151"/>
      <c r="AA470" s="187" t="str">
        <f t="shared" si="15"/>
        <v>No</v>
      </c>
      <c r="AB470" s="158"/>
      <c r="AC470" s="159"/>
      <c r="AD470" s="160"/>
    </row>
    <row r="471" spans="1:30">
      <c r="A471" s="155"/>
      <c r="B471" s="112" t="str">
        <f t="shared" si="14"/>
        <v/>
      </c>
      <c r="C471" s="183"/>
      <c r="D471" s="152"/>
      <c r="E471" s="152"/>
      <c r="F471" s="151"/>
      <c r="G471" s="153"/>
      <c r="H471" s="151"/>
      <c r="I471" s="151"/>
      <c r="J471" s="151"/>
      <c r="K471" s="151"/>
      <c r="L471" s="151"/>
      <c r="M471" s="151"/>
      <c r="N471" s="151"/>
      <c r="O471" s="151"/>
      <c r="P471" s="151"/>
      <c r="Q471" s="151"/>
      <c r="R471" s="151"/>
      <c r="S471" s="152"/>
      <c r="T471" s="151"/>
      <c r="U471" s="151"/>
      <c r="V471" s="153"/>
      <c r="W471" s="151"/>
      <c r="X471" s="151"/>
      <c r="Y471" s="153"/>
      <c r="Z471" s="151"/>
      <c r="AA471" s="187" t="str">
        <f t="shared" si="15"/>
        <v>No</v>
      </c>
      <c r="AB471" s="158"/>
      <c r="AC471" s="159"/>
      <c r="AD471" s="160"/>
    </row>
    <row r="472" spans="1:30">
      <c r="A472" s="155"/>
      <c r="B472" s="112" t="str">
        <f t="shared" si="14"/>
        <v/>
      </c>
      <c r="C472" s="183"/>
      <c r="D472" s="152"/>
      <c r="E472" s="152"/>
      <c r="F472" s="151"/>
      <c r="G472" s="153"/>
      <c r="H472" s="151"/>
      <c r="I472" s="151"/>
      <c r="J472" s="151"/>
      <c r="K472" s="151"/>
      <c r="L472" s="151"/>
      <c r="M472" s="151"/>
      <c r="N472" s="151"/>
      <c r="O472" s="151"/>
      <c r="P472" s="151"/>
      <c r="Q472" s="151"/>
      <c r="R472" s="151"/>
      <c r="S472" s="152"/>
      <c r="T472" s="151"/>
      <c r="U472" s="151"/>
      <c r="V472" s="153"/>
      <c r="W472" s="151"/>
      <c r="X472" s="151"/>
      <c r="Y472" s="153"/>
      <c r="Z472" s="151"/>
      <c r="AA472" s="187" t="str">
        <f t="shared" si="15"/>
        <v>No</v>
      </c>
      <c r="AB472" s="158"/>
      <c r="AC472" s="159"/>
      <c r="AD472" s="160"/>
    </row>
    <row r="473" spans="1:30">
      <c r="A473" s="155"/>
      <c r="B473" s="112" t="str">
        <f t="shared" si="14"/>
        <v/>
      </c>
      <c r="C473" s="183"/>
      <c r="D473" s="152"/>
      <c r="E473" s="152"/>
      <c r="F473" s="151"/>
      <c r="G473" s="153"/>
      <c r="H473" s="151"/>
      <c r="I473" s="151"/>
      <c r="J473" s="151"/>
      <c r="K473" s="151"/>
      <c r="L473" s="151"/>
      <c r="M473" s="151"/>
      <c r="N473" s="151"/>
      <c r="O473" s="151"/>
      <c r="P473" s="151"/>
      <c r="Q473" s="151"/>
      <c r="R473" s="151"/>
      <c r="S473" s="152"/>
      <c r="T473" s="151"/>
      <c r="U473" s="151"/>
      <c r="V473" s="153"/>
      <c r="W473" s="151"/>
      <c r="X473" s="151"/>
      <c r="Y473" s="153"/>
      <c r="Z473" s="151"/>
      <c r="AA473" s="187" t="str">
        <f t="shared" si="15"/>
        <v>No</v>
      </c>
      <c r="AB473" s="158"/>
      <c r="AC473" s="159"/>
      <c r="AD473" s="160"/>
    </row>
    <row r="474" spans="1:30">
      <c r="A474" s="155"/>
      <c r="B474" s="112" t="str">
        <f t="shared" si="14"/>
        <v/>
      </c>
      <c r="C474" s="183"/>
      <c r="D474" s="152"/>
      <c r="E474" s="152"/>
      <c r="F474" s="151"/>
      <c r="G474" s="153"/>
      <c r="H474" s="151"/>
      <c r="I474" s="151"/>
      <c r="J474" s="151"/>
      <c r="K474" s="151"/>
      <c r="L474" s="151"/>
      <c r="M474" s="151"/>
      <c r="N474" s="151"/>
      <c r="O474" s="151"/>
      <c r="P474" s="151"/>
      <c r="Q474" s="151"/>
      <c r="R474" s="151"/>
      <c r="S474" s="152"/>
      <c r="T474" s="151"/>
      <c r="U474" s="151"/>
      <c r="V474" s="153"/>
      <c r="W474" s="151"/>
      <c r="X474" s="151"/>
      <c r="Y474" s="153"/>
      <c r="Z474" s="151"/>
      <c r="AA474" s="187" t="str">
        <f t="shared" si="15"/>
        <v>No</v>
      </c>
      <c r="AB474" s="158"/>
      <c r="AC474" s="159"/>
      <c r="AD474" s="160"/>
    </row>
    <row r="475" spans="1:30">
      <c r="A475" s="155"/>
      <c r="B475" s="112" t="str">
        <f t="shared" si="14"/>
        <v/>
      </c>
      <c r="C475" s="183"/>
      <c r="D475" s="152"/>
      <c r="E475" s="152"/>
      <c r="F475" s="151"/>
      <c r="G475" s="153"/>
      <c r="H475" s="151"/>
      <c r="I475" s="151"/>
      <c r="J475" s="151"/>
      <c r="K475" s="151"/>
      <c r="L475" s="151"/>
      <c r="M475" s="151"/>
      <c r="N475" s="151"/>
      <c r="O475" s="151"/>
      <c r="P475" s="151"/>
      <c r="Q475" s="151"/>
      <c r="R475" s="151"/>
      <c r="S475" s="152"/>
      <c r="T475" s="151"/>
      <c r="U475" s="151"/>
      <c r="V475" s="153"/>
      <c r="W475" s="151"/>
      <c r="X475" s="151"/>
      <c r="Y475" s="153"/>
      <c r="Z475" s="151"/>
      <c r="AA475" s="187" t="str">
        <f t="shared" si="15"/>
        <v>No</v>
      </c>
      <c r="AB475" s="158"/>
      <c r="AC475" s="159"/>
      <c r="AD475" s="160"/>
    </row>
    <row r="476" spans="1:30">
      <c r="A476" s="155"/>
      <c r="B476" s="112" t="str">
        <f t="shared" si="14"/>
        <v/>
      </c>
      <c r="C476" s="183"/>
      <c r="D476" s="152"/>
      <c r="E476" s="152"/>
      <c r="F476" s="151"/>
      <c r="G476" s="153"/>
      <c r="H476" s="151"/>
      <c r="I476" s="151"/>
      <c r="J476" s="151"/>
      <c r="K476" s="151"/>
      <c r="L476" s="151"/>
      <c r="M476" s="151"/>
      <c r="N476" s="151"/>
      <c r="O476" s="151"/>
      <c r="P476" s="151"/>
      <c r="Q476" s="151"/>
      <c r="R476" s="151"/>
      <c r="S476" s="152"/>
      <c r="T476" s="151"/>
      <c r="U476" s="151"/>
      <c r="V476" s="153"/>
      <c r="W476" s="151"/>
      <c r="X476" s="151"/>
      <c r="Y476" s="153"/>
      <c r="Z476" s="151"/>
      <c r="AA476" s="187" t="str">
        <f t="shared" si="15"/>
        <v>No</v>
      </c>
      <c r="AB476" s="158"/>
      <c r="AC476" s="159"/>
      <c r="AD476" s="160"/>
    </row>
    <row r="477" spans="1:30">
      <c r="A477" s="155"/>
      <c r="B477" s="112" t="str">
        <f t="shared" si="14"/>
        <v/>
      </c>
      <c r="C477" s="183"/>
      <c r="D477" s="152"/>
      <c r="E477" s="152"/>
      <c r="F477" s="151"/>
      <c r="G477" s="153"/>
      <c r="H477" s="151"/>
      <c r="I477" s="151"/>
      <c r="J477" s="151"/>
      <c r="K477" s="151"/>
      <c r="L477" s="151"/>
      <c r="M477" s="151"/>
      <c r="N477" s="151"/>
      <c r="O477" s="151"/>
      <c r="P477" s="151"/>
      <c r="Q477" s="151"/>
      <c r="R477" s="151"/>
      <c r="S477" s="152"/>
      <c r="T477" s="151"/>
      <c r="U477" s="151"/>
      <c r="V477" s="153"/>
      <c r="W477" s="151"/>
      <c r="X477" s="151"/>
      <c r="Y477" s="153"/>
      <c r="Z477" s="151"/>
      <c r="AA477" s="187" t="str">
        <f t="shared" si="15"/>
        <v>No</v>
      </c>
      <c r="AB477" s="158"/>
      <c r="AC477" s="159"/>
      <c r="AD477" s="160"/>
    </row>
    <row r="478" spans="1:30">
      <c r="A478" s="155"/>
      <c r="B478" s="112" t="str">
        <f t="shared" si="14"/>
        <v/>
      </c>
      <c r="C478" s="183"/>
      <c r="D478" s="152"/>
      <c r="E478" s="152"/>
      <c r="F478" s="151"/>
      <c r="G478" s="153"/>
      <c r="H478" s="151"/>
      <c r="I478" s="151"/>
      <c r="J478" s="151"/>
      <c r="K478" s="151"/>
      <c r="L478" s="151"/>
      <c r="M478" s="151"/>
      <c r="N478" s="151"/>
      <c r="O478" s="151"/>
      <c r="P478" s="151"/>
      <c r="Q478" s="151"/>
      <c r="R478" s="151"/>
      <c r="S478" s="152"/>
      <c r="T478" s="151"/>
      <c r="U478" s="151"/>
      <c r="V478" s="153"/>
      <c r="W478" s="151"/>
      <c r="X478" s="151"/>
      <c r="Y478" s="153"/>
      <c r="Z478" s="151"/>
      <c r="AA478" s="187" t="str">
        <f t="shared" si="15"/>
        <v>No</v>
      </c>
      <c r="AB478" s="158"/>
      <c r="AC478" s="159"/>
      <c r="AD478" s="160"/>
    </row>
    <row r="479" spans="1:30">
      <c r="A479" s="155"/>
      <c r="B479" s="112" t="str">
        <f t="shared" si="14"/>
        <v/>
      </c>
      <c r="C479" s="183"/>
      <c r="D479" s="152"/>
      <c r="E479" s="152"/>
      <c r="F479" s="151"/>
      <c r="G479" s="153"/>
      <c r="H479" s="151"/>
      <c r="I479" s="151"/>
      <c r="J479" s="151"/>
      <c r="K479" s="151"/>
      <c r="L479" s="151"/>
      <c r="M479" s="151"/>
      <c r="N479" s="151"/>
      <c r="O479" s="151"/>
      <c r="P479" s="151"/>
      <c r="Q479" s="151"/>
      <c r="R479" s="151"/>
      <c r="S479" s="152"/>
      <c r="T479" s="151"/>
      <c r="U479" s="151"/>
      <c r="V479" s="153"/>
      <c r="W479" s="151"/>
      <c r="X479" s="151"/>
      <c r="Y479" s="153"/>
      <c r="Z479" s="151"/>
      <c r="AA479" s="187" t="str">
        <f t="shared" si="15"/>
        <v>No</v>
      </c>
      <c r="AB479" s="158"/>
      <c r="AC479" s="159"/>
      <c r="AD479" s="160"/>
    </row>
    <row r="480" spans="1:30">
      <c r="A480" s="155"/>
      <c r="B480" s="112" t="str">
        <f t="shared" si="14"/>
        <v/>
      </c>
      <c r="C480" s="183"/>
      <c r="D480" s="152"/>
      <c r="E480" s="152"/>
      <c r="F480" s="151"/>
      <c r="G480" s="153"/>
      <c r="H480" s="151"/>
      <c r="I480" s="151"/>
      <c r="J480" s="151"/>
      <c r="K480" s="151"/>
      <c r="L480" s="151"/>
      <c r="M480" s="151"/>
      <c r="N480" s="151"/>
      <c r="O480" s="151"/>
      <c r="P480" s="151"/>
      <c r="Q480" s="151"/>
      <c r="R480" s="151"/>
      <c r="S480" s="152"/>
      <c r="T480" s="151"/>
      <c r="U480" s="151"/>
      <c r="V480" s="153"/>
      <c r="W480" s="151"/>
      <c r="X480" s="151"/>
      <c r="Y480" s="153"/>
      <c r="Z480" s="151"/>
      <c r="AA480" s="187" t="str">
        <f t="shared" si="15"/>
        <v>No</v>
      </c>
      <c r="AB480" s="158"/>
      <c r="AC480" s="159"/>
      <c r="AD480" s="160"/>
    </row>
    <row r="481" spans="1:30">
      <c r="A481" s="155"/>
      <c r="B481" s="112" t="str">
        <f t="shared" si="14"/>
        <v/>
      </c>
      <c r="C481" s="183"/>
      <c r="D481" s="152"/>
      <c r="E481" s="152"/>
      <c r="F481" s="151"/>
      <c r="G481" s="153"/>
      <c r="H481" s="151"/>
      <c r="I481" s="151"/>
      <c r="J481" s="151"/>
      <c r="K481" s="151"/>
      <c r="L481" s="151"/>
      <c r="M481" s="151"/>
      <c r="N481" s="151"/>
      <c r="O481" s="151"/>
      <c r="P481" s="151"/>
      <c r="Q481" s="151"/>
      <c r="R481" s="151"/>
      <c r="S481" s="152"/>
      <c r="T481" s="151"/>
      <c r="U481" s="151"/>
      <c r="V481" s="153"/>
      <c r="W481" s="151"/>
      <c r="X481" s="151"/>
      <c r="Y481" s="153"/>
      <c r="Z481" s="151"/>
      <c r="AA481" s="187" t="str">
        <f t="shared" si="15"/>
        <v>No</v>
      </c>
      <c r="AB481" s="158"/>
      <c r="AC481" s="159"/>
      <c r="AD481" s="160"/>
    </row>
    <row r="482" spans="1:30">
      <c r="A482" s="155"/>
      <c r="B482" s="112" t="str">
        <f t="shared" si="14"/>
        <v/>
      </c>
      <c r="C482" s="183"/>
      <c r="D482" s="152"/>
      <c r="E482" s="152"/>
      <c r="F482" s="151"/>
      <c r="G482" s="153"/>
      <c r="H482" s="151"/>
      <c r="I482" s="151"/>
      <c r="J482" s="151"/>
      <c r="K482" s="151"/>
      <c r="L482" s="151"/>
      <c r="M482" s="151"/>
      <c r="N482" s="151"/>
      <c r="O482" s="151"/>
      <c r="P482" s="151"/>
      <c r="Q482" s="151"/>
      <c r="R482" s="151"/>
      <c r="S482" s="152"/>
      <c r="T482" s="151"/>
      <c r="U482" s="151"/>
      <c r="V482" s="153"/>
      <c r="W482" s="151"/>
      <c r="X482" s="151"/>
      <c r="Y482" s="153"/>
      <c r="Z482" s="151"/>
      <c r="AA482" s="187" t="str">
        <f t="shared" si="15"/>
        <v>No</v>
      </c>
      <c r="AB482" s="158"/>
      <c r="AC482" s="159"/>
      <c r="AD482" s="160"/>
    </row>
    <row r="483" spans="1:30">
      <c r="A483" s="155"/>
      <c r="B483" s="112" t="str">
        <f t="shared" si="14"/>
        <v/>
      </c>
      <c r="C483" s="183"/>
      <c r="D483" s="152"/>
      <c r="E483" s="152"/>
      <c r="F483" s="151"/>
      <c r="G483" s="153"/>
      <c r="H483" s="151"/>
      <c r="I483" s="151"/>
      <c r="J483" s="151"/>
      <c r="K483" s="151"/>
      <c r="L483" s="151"/>
      <c r="M483" s="151"/>
      <c r="N483" s="151"/>
      <c r="O483" s="151"/>
      <c r="P483" s="151"/>
      <c r="Q483" s="151"/>
      <c r="R483" s="151"/>
      <c r="S483" s="152"/>
      <c r="T483" s="151"/>
      <c r="U483" s="151"/>
      <c r="V483" s="153"/>
      <c r="W483" s="151"/>
      <c r="X483" s="151"/>
      <c r="Y483" s="153"/>
      <c r="Z483" s="151"/>
      <c r="AA483" s="187" t="str">
        <f t="shared" si="15"/>
        <v>No</v>
      </c>
      <c r="AB483" s="158"/>
      <c r="AC483" s="159"/>
      <c r="AD483" s="160"/>
    </row>
    <row r="484" spans="1:30">
      <c r="A484" s="155"/>
      <c r="B484" s="112" t="str">
        <f t="shared" si="14"/>
        <v/>
      </c>
      <c r="C484" s="183"/>
      <c r="D484" s="152"/>
      <c r="E484" s="152"/>
      <c r="F484" s="151"/>
      <c r="G484" s="153"/>
      <c r="H484" s="151"/>
      <c r="I484" s="151"/>
      <c r="J484" s="151"/>
      <c r="K484" s="151"/>
      <c r="L484" s="151"/>
      <c r="M484" s="151"/>
      <c r="N484" s="151"/>
      <c r="O484" s="151"/>
      <c r="P484" s="151"/>
      <c r="Q484" s="151"/>
      <c r="R484" s="151"/>
      <c r="S484" s="152"/>
      <c r="T484" s="151"/>
      <c r="U484" s="151"/>
      <c r="V484" s="153"/>
      <c r="W484" s="151"/>
      <c r="X484" s="151"/>
      <c r="Y484" s="153"/>
      <c r="Z484" s="151"/>
      <c r="AA484" s="187" t="str">
        <f t="shared" si="15"/>
        <v>No</v>
      </c>
      <c r="AB484" s="158"/>
      <c r="AC484" s="159"/>
      <c r="AD484" s="160"/>
    </row>
    <row r="485" spans="1:30">
      <c r="A485" s="155"/>
      <c r="B485" s="112" t="str">
        <f t="shared" si="14"/>
        <v/>
      </c>
      <c r="C485" s="183"/>
      <c r="D485" s="152"/>
      <c r="E485" s="152"/>
      <c r="F485" s="151"/>
      <c r="G485" s="153"/>
      <c r="H485" s="151"/>
      <c r="I485" s="151"/>
      <c r="J485" s="151"/>
      <c r="K485" s="151"/>
      <c r="L485" s="151"/>
      <c r="M485" s="151"/>
      <c r="N485" s="151"/>
      <c r="O485" s="151"/>
      <c r="P485" s="151"/>
      <c r="Q485" s="151"/>
      <c r="R485" s="151"/>
      <c r="S485" s="152"/>
      <c r="T485" s="151"/>
      <c r="U485" s="151"/>
      <c r="V485" s="153"/>
      <c r="W485" s="151"/>
      <c r="X485" s="151"/>
      <c r="Y485" s="153"/>
      <c r="Z485" s="151"/>
      <c r="AA485" s="187" t="str">
        <f t="shared" si="15"/>
        <v>No</v>
      </c>
      <c r="AB485" s="158"/>
      <c r="AC485" s="159"/>
      <c r="AD485" s="160"/>
    </row>
    <row r="486" spans="1:30">
      <c r="A486" s="155"/>
      <c r="B486" s="112" t="str">
        <f t="shared" si="14"/>
        <v/>
      </c>
      <c r="C486" s="183"/>
      <c r="D486" s="152"/>
      <c r="E486" s="152"/>
      <c r="F486" s="151"/>
      <c r="G486" s="153"/>
      <c r="H486" s="151"/>
      <c r="I486" s="151"/>
      <c r="J486" s="151"/>
      <c r="K486" s="151"/>
      <c r="L486" s="151"/>
      <c r="M486" s="151"/>
      <c r="N486" s="151"/>
      <c r="O486" s="151"/>
      <c r="P486" s="151"/>
      <c r="Q486" s="151"/>
      <c r="R486" s="151"/>
      <c r="S486" s="152"/>
      <c r="T486" s="151"/>
      <c r="U486" s="151"/>
      <c r="V486" s="153"/>
      <c r="W486" s="151"/>
      <c r="X486" s="151"/>
      <c r="Y486" s="153"/>
      <c r="Z486" s="151"/>
      <c r="AA486" s="187" t="str">
        <f t="shared" si="15"/>
        <v>No</v>
      </c>
      <c r="AB486" s="158"/>
      <c r="AC486" s="159"/>
      <c r="AD486" s="160"/>
    </row>
    <row r="487" spans="1:30">
      <c r="A487" s="155"/>
      <c r="B487" s="112" t="str">
        <f t="shared" si="14"/>
        <v/>
      </c>
      <c r="C487" s="183"/>
      <c r="D487" s="152"/>
      <c r="E487" s="152"/>
      <c r="F487" s="151"/>
      <c r="G487" s="153"/>
      <c r="H487" s="151"/>
      <c r="I487" s="151"/>
      <c r="J487" s="151"/>
      <c r="K487" s="151"/>
      <c r="L487" s="151"/>
      <c r="M487" s="151"/>
      <c r="N487" s="151"/>
      <c r="O487" s="151"/>
      <c r="P487" s="151"/>
      <c r="Q487" s="151"/>
      <c r="R487" s="151"/>
      <c r="S487" s="152"/>
      <c r="T487" s="151"/>
      <c r="U487" s="151"/>
      <c r="V487" s="153"/>
      <c r="W487" s="151"/>
      <c r="X487" s="151"/>
      <c r="Y487" s="153"/>
      <c r="Z487" s="151"/>
      <c r="AA487" s="187" t="str">
        <f t="shared" si="15"/>
        <v>No</v>
      </c>
      <c r="AB487" s="158"/>
      <c r="AC487" s="159"/>
      <c r="AD487" s="160"/>
    </row>
    <row r="488" spans="1:30">
      <c r="A488" s="155"/>
      <c r="B488" s="112" t="str">
        <f t="shared" si="14"/>
        <v/>
      </c>
      <c r="C488" s="183"/>
      <c r="D488" s="152"/>
      <c r="E488" s="152"/>
      <c r="F488" s="151"/>
      <c r="G488" s="153"/>
      <c r="H488" s="151"/>
      <c r="I488" s="151"/>
      <c r="J488" s="151"/>
      <c r="K488" s="151"/>
      <c r="L488" s="151"/>
      <c r="M488" s="151"/>
      <c r="N488" s="151"/>
      <c r="O488" s="151"/>
      <c r="P488" s="151"/>
      <c r="Q488" s="151"/>
      <c r="R488" s="151"/>
      <c r="S488" s="152"/>
      <c r="T488" s="151"/>
      <c r="U488" s="151"/>
      <c r="V488" s="153"/>
      <c r="W488" s="151"/>
      <c r="X488" s="151"/>
      <c r="Y488" s="153"/>
      <c r="Z488" s="151"/>
      <c r="AA488" s="187" t="str">
        <f t="shared" si="15"/>
        <v>No</v>
      </c>
      <c r="AB488" s="158"/>
      <c r="AC488" s="159"/>
      <c r="AD488" s="160"/>
    </row>
    <row r="489" spans="1:30">
      <c r="A489" s="155"/>
      <c r="B489" s="112" t="str">
        <f t="shared" si="14"/>
        <v/>
      </c>
      <c r="C489" s="183"/>
      <c r="D489" s="152"/>
      <c r="E489" s="152"/>
      <c r="F489" s="151"/>
      <c r="G489" s="153"/>
      <c r="H489" s="151"/>
      <c r="I489" s="151"/>
      <c r="J489" s="151"/>
      <c r="K489" s="151"/>
      <c r="L489" s="151"/>
      <c r="M489" s="151"/>
      <c r="N489" s="151"/>
      <c r="O489" s="151"/>
      <c r="P489" s="151"/>
      <c r="Q489" s="151"/>
      <c r="R489" s="151"/>
      <c r="S489" s="152"/>
      <c r="T489" s="151"/>
      <c r="U489" s="151"/>
      <c r="V489" s="153"/>
      <c r="W489" s="151"/>
      <c r="X489" s="151"/>
      <c r="Y489" s="153"/>
      <c r="Z489" s="151"/>
      <c r="AA489" s="187" t="str">
        <f t="shared" si="15"/>
        <v>No</v>
      </c>
      <c r="AB489" s="158"/>
      <c r="AC489" s="159"/>
      <c r="AD489" s="160"/>
    </row>
    <row r="490" spans="1:30">
      <c r="A490" s="155"/>
      <c r="B490" s="112" t="str">
        <f t="shared" si="14"/>
        <v/>
      </c>
      <c r="C490" s="183"/>
      <c r="D490" s="152"/>
      <c r="E490" s="152"/>
      <c r="F490" s="151"/>
      <c r="G490" s="153"/>
      <c r="H490" s="151"/>
      <c r="I490" s="151"/>
      <c r="J490" s="151"/>
      <c r="K490" s="151"/>
      <c r="L490" s="151"/>
      <c r="M490" s="151"/>
      <c r="N490" s="151"/>
      <c r="O490" s="151"/>
      <c r="P490" s="151"/>
      <c r="Q490" s="151"/>
      <c r="R490" s="151"/>
      <c r="S490" s="152"/>
      <c r="T490" s="151"/>
      <c r="U490" s="151"/>
      <c r="V490" s="153"/>
      <c r="W490" s="151"/>
      <c r="X490" s="151"/>
      <c r="Y490" s="153"/>
      <c r="Z490" s="151"/>
      <c r="AA490" s="187" t="str">
        <f t="shared" si="15"/>
        <v>No</v>
      </c>
      <c r="AB490" s="158"/>
      <c r="AC490" s="159"/>
      <c r="AD490" s="160"/>
    </row>
    <row r="491" spans="1:30">
      <c r="A491" s="155"/>
      <c r="B491" s="112" t="str">
        <f t="shared" si="14"/>
        <v/>
      </c>
      <c r="C491" s="183"/>
      <c r="D491" s="152"/>
      <c r="E491" s="152"/>
      <c r="F491" s="151"/>
      <c r="G491" s="153"/>
      <c r="H491" s="151"/>
      <c r="I491" s="151"/>
      <c r="J491" s="151"/>
      <c r="K491" s="151"/>
      <c r="L491" s="151"/>
      <c r="M491" s="151"/>
      <c r="N491" s="151"/>
      <c r="O491" s="151"/>
      <c r="P491" s="151"/>
      <c r="Q491" s="151"/>
      <c r="R491" s="151"/>
      <c r="S491" s="152"/>
      <c r="T491" s="151"/>
      <c r="U491" s="151"/>
      <c r="V491" s="153"/>
      <c r="W491" s="151"/>
      <c r="X491" s="151"/>
      <c r="Y491" s="153"/>
      <c r="Z491" s="151"/>
      <c r="AA491" s="187" t="str">
        <f t="shared" si="15"/>
        <v>No</v>
      </c>
      <c r="AB491" s="158"/>
      <c r="AC491" s="159"/>
      <c r="AD491" s="160"/>
    </row>
    <row r="492" spans="1:30">
      <c r="A492" s="155"/>
      <c r="B492" s="112" t="str">
        <f t="shared" si="14"/>
        <v/>
      </c>
      <c r="C492" s="183"/>
      <c r="D492" s="152"/>
      <c r="E492" s="152"/>
      <c r="F492" s="151"/>
      <c r="G492" s="153"/>
      <c r="H492" s="151"/>
      <c r="I492" s="151"/>
      <c r="J492" s="151"/>
      <c r="K492" s="151"/>
      <c r="L492" s="151"/>
      <c r="M492" s="151"/>
      <c r="N492" s="151"/>
      <c r="O492" s="151"/>
      <c r="P492" s="151"/>
      <c r="Q492" s="151"/>
      <c r="R492" s="151"/>
      <c r="S492" s="152"/>
      <c r="T492" s="151"/>
      <c r="U492" s="151"/>
      <c r="V492" s="153"/>
      <c r="W492" s="151"/>
      <c r="X492" s="151"/>
      <c r="Y492" s="153"/>
      <c r="Z492" s="151"/>
      <c r="AA492" s="187" t="str">
        <f t="shared" si="15"/>
        <v>No</v>
      </c>
      <c r="AB492" s="158"/>
      <c r="AC492" s="159"/>
      <c r="AD492" s="160"/>
    </row>
    <row r="493" spans="1:30">
      <c r="A493" s="155"/>
      <c r="B493" s="112" t="str">
        <f t="shared" si="14"/>
        <v/>
      </c>
      <c r="C493" s="183"/>
      <c r="D493" s="152"/>
      <c r="E493" s="152"/>
      <c r="F493" s="151"/>
      <c r="G493" s="153"/>
      <c r="H493" s="151"/>
      <c r="I493" s="151"/>
      <c r="J493" s="151"/>
      <c r="K493" s="151"/>
      <c r="L493" s="151"/>
      <c r="M493" s="151"/>
      <c r="N493" s="151"/>
      <c r="O493" s="151"/>
      <c r="P493" s="151"/>
      <c r="Q493" s="151"/>
      <c r="R493" s="151"/>
      <c r="S493" s="152"/>
      <c r="T493" s="151"/>
      <c r="U493" s="151"/>
      <c r="V493" s="153"/>
      <c r="W493" s="151"/>
      <c r="X493" s="151"/>
      <c r="Y493" s="153"/>
      <c r="Z493" s="151"/>
      <c r="AA493" s="187" t="str">
        <f t="shared" si="15"/>
        <v>No</v>
      </c>
      <c r="AB493" s="158"/>
      <c r="AC493" s="159"/>
      <c r="AD493" s="160"/>
    </row>
    <row r="494" spans="1:30">
      <c r="A494" s="155"/>
      <c r="B494" s="112" t="str">
        <f t="shared" si="14"/>
        <v/>
      </c>
      <c r="C494" s="183"/>
      <c r="D494" s="152"/>
      <c r="E494" s="152"/>
      <c r="F494" s="151"/>
      <c r="G494" s="153"/>
      <c r="H494" s="151"/>
      <c r="I494" s="151"/>
      <c r="J494" s="151"/>
      <c r="K494" s="151"/>
      <c r="L494" s="151"/>
      <c r="M494" s="151"/>
      <c r="N494" s="151"/>
      <c r="O494" s="151"/>
      <c r="P494" s="151"/>
      <c r="Q494" s="151"/>
      <c r="R494" s="151"/>
      <c r="S494" s="152"/>
      <c r="T494" s="151"/>
      <c r="U494" s="151"/>
      <c r="V494" s="153"/>
      <c r="W494" s="151"/>
      <c r="X494" s="151"/>
      <c r="Y494" s="153"/>
      <c r="Z494" s="151"/>
      <c r="AA494" s="187" t="str">
        <f t="shared" si="15"/>
        <v>No</v>
      </c>
      <c r="AB494" s="158"/>
      <c r="AC494" s="159"/>
      <c r="AD494" s="160"/>
    </row>
    <row r="495" spans="1:30">
      <c r="A495" s="155"/>
      <c r="B495" s="112" t="str">
        <f t="shared" si="14"/>
        <v/>
      </c>
      <c r="C495" s="183"/>
      <c r="D495" s="152"/>
      <c r="E495" s="152"/>
      <c r="F495" s="151"/>
      <c r="G495" s="153"/>
      <c r="H495" s="151"/>
      <c r="I495" s="151"/>
      <c r="J495" s="151"/>
      <c r="K495" s="151"/>
      <c r="L495" s="151"/>
      <c r="M495" s="151"/>
      <c r="N495" s="151"/>
      <c r="O495" s="151"/>
      <c r="P495" s="151"/>
      <c r="Q495" s="151"/>
      <c r="R495" s="151"/>
      <c r="S495" s="152"/>
      <c r="T495" s="151"/>
      <c r="U495" s="151"/>
      <c r="V495" s="153"/>
      <c r="W495" s="151"/>
      <c r="X495" s="151"/>
      <c r="Y495" s="153"/>
      <c r="Z495" s="151"/>
      <c r="AA495" s="187" t="str">
        <f t="shared" si="15"/>
        <v>No</v>
      </c>
      <c r="AB495" s="158"/>
      <c r="AC495" s="159"/>
      <c r="AD495" s="160"/>
    </row>
    <row r="496" spans="1:30">
      <c r="A496" s="155"/>
      <c r="B496" s="112" t="str">
        <f t="shared" si="14"/>
        <v/>
      </c>
      <c r="C496" s="183"/>
      <c r="D496" s="152"/>
      <c r="E496" s="152"/>
      <c r="F496" s="151"/>
      <c r="G496" s="153"/>
      <c r="H496" s="151"/>
      <c r="I496" s="151"/>
      <c r="J496" s="151"/>
      <c r="K496" s="151"/>
      <c r="L496" s="151"/>
      <c r="M496" s="151"/>
      <c r="N496" s="151"/>
      <c r="O496" s="151"/>
      <c r="P496" s="151"/>
      <c r="Q496" s="151"/>
      <c r="R496" s="151"/>
      <c r="S496" s="152"/>
      <c r="T496" s="151"/>
      <c r="U496" s="151"/>
      <c r="V496" s="153"/>
      <c r="W496" s="151"/>
      <c r="X496" s="151"/>
      <c r="Y496" s="153"/>
      <c r="Z496" s="151"/>
      <c r="AA496" s="187" t="str">
        <f t="shared" si="15"/>
        <v>No</v>
      </c>
      <c r="AB496" s="158"/>
      <c r="AC496" s="159"/>
      <c r="AD496" s="160"/>
    </row>
    <row r="497" spans="1:30">
      <c r="A497" s="155"/>
      <c r="B497" s="112" t="str">
        <f t="shared" si="14"/>
        <v/>
      </c>
      <c r="C497" s="183"/>
      <c r="D497" s="152"/>
      <c r="E497" s="152"/>
      <c r="F497" s="151"/>
      <c r="G497" s="153"/>
      <c r="H497" s="151"/>
      <c r="I497" s="151"/>
      <c r="J497" s="151"/>
      <c r="K497" s="151"/>
      <c r="L497" s="151"/>
      <c r="M497" s="151"/>
      <c r="N497" s="151"/>
      <c r="O497" s="151"/>
      <c r="P497" s="151"/>
      <c r="Q497" s="151"/>
      <c r="R497" s="151"/>
      <c r="S497" s="152"/>
      <c r="T497" s="151"/>
      <c r="U497" s="151"/>
      <c r="V497" s="153"/>
      <c r="W497" s="151"/>
      <c r="X497" s="151"/>
      <c r="Y497" s="153"/>
      <c r="Z497" s="151"/>
      <c r="AA497" s="187" t="str">
        <f t="shared" si="15"/>
        <v>No</v>
      </c>
      <c r="AB497" s="158"/>
      <c r="AC497" s="159"/>
      <c r="AD497" s="160"/>
    </row>
    <row r="498" spans="1:30">
      <c r="A498" s="155"/>
      <c r="B498" s="112" t="str">
        <f t="shared" si="14"/>
        <v/>
      </c>
      <c r="C498" s="183"/>
      <c r="D498" s="152"/>
      <c r="E498" s="152"/>
      <c r="F498" s="151"/>
      <c r="G498" s="153"/>
      <c r="H498" s="151"/>
      <c r="I498" s="151"/>
      <c r="J498" s="151"/>
      <c r="K498" s="151"/>
      <c r="L498" s="151"/>
      <c r="M498" s="151"/>
      <c r="N498" s="151"/>
      <c r="O498" s="151"/>
      <c r="P498" s="151"/>
      <c r="Q498" s="151"/>
      <c r="R498" s="151"/>
      <c r="S498" s="152"/>
      <c r="T498" s="151"/>
      <c r="U498" s="151"/>
      <c r="V498" s="153"/>
      <c r="W498" s="151"/>
      <c r="X498" s="151"/>
      <c r="Y498" s="153"/>
      <c r="Z498" s="151"/>
      <c r="AA498" s="187" t="str">
        <f t="shared" si="15"/>
        <v>No</v>
      </c>
      <c r="AB498" s="158"/>
      <c r="AC498" s="159"/>
      <c r="AD498" s="160"/>
    </row>
    <row r="499" spans="1:30">
      <c r="A499" s="155"/>
      <c r="B499" s="112" t="str">
        <f t="shared" si="14"/>
        <v/>
      </c>
      <c r="C499" s="183"/>
      <c r="D499" s="152"/>
      <c r="E499" s="152"/>
      <c r="F499" s="151"/>
      <c r="G499" s="153"/>
      <c r="H499" s="151"/>
      <c r="I499" s="151"/>
      <c r="J499" s="151"/>
      <c r="K499" s="151"/>
      <c r="L499" s="151"/>
      <c r="M499" s="151"/>
      <c r="N499" s="151"/>
      <c r="O499" s="151"/>
      <c r="P499" s="151"/>
      <c r="Q499" s="151"/>
      <c r="R499" s="151"/>
      <c r="S499" s="152"/>
      <c r="T499" s="151"/>
      <c r="U499" s="151"/>
      <c r="V499" s="153"/>
      <c r="W499" s="151"/>
      <c r="X499" s="151"/>
      <c r="Y499" s="153"/>
      <c r="Z499" s="151"/>
      <c r="AA499" s="187" t="str">
        <f t="shared" si="15"/>
        <v>No</v>
      </c>
      <c r="AB499" s="158"/>
      <c r="AC499" s="159"/>
      <c r="AD499" s="160"/>
    </row>
    <row r="500" spans="1:30">
      <c r="A500" s="155"/>
      <c r="B500" s="112" t="str">
        <f t="shared" si="14"/>
        <v/>
      </c>
      <c r="C500" s="183"/>
      <c r="D500" s="152"/>
      <c r="E500" s="152"/>
      <c r="F500" s="151"/>
      <c r="G500" s="153"/>
      <c r="H500" s="151"/>
      <c r="I500" s="151"/>
      <c r="J500" s="151"/>
      <c r="K500" s="151"/>
      <c r="L500" s="151"/>
      <c r="M500" s="151"/>
      <c r="N500" s="151"/>
      <c r="O500" s="151"/>
      <c r="P500" s="151"/>
      <c r="Q500" s="151"/>
      <c r="R500" s="151"/>
      <c r="S500" s="152"/>
      <c r="T500" s="151"/>
      <c r="U500" s="151"/>
      <c r="V500" s="153"/>
      <c r="W500" s="151"/>
      <c r="X500" s="151"/>
      <c r="Y500" s="153"/>
      <c r="Z500" s="151"/>
      <c r="AA500" s="187" t="str">
        <f t="shared" si="15"/>
        <v>No</v>
      </c>
      <c r="AB500" s="158"/>
      <c r="AC500" s="159"/>
      <c r="AD500" s="160"/>
    </row>
    <row r="501" spans="1:30">
      <c r="A501" s="155"/>
      <c r="B501" s="112" t="str">
        <f t="shared" si="14"/>
        <v/>
      </c>
      <c r="C501" s="183"/>
      <c r="D501" s="152"/>
      <c r="E501" s="152"/>
      <c r="F501" s="151"/>
      <c r="G501" s="153"/>
      <c r="H501" s="151"/>
      <c r="I501" s="151"/>
      <c r="J501" s="151"/>
      <c r="K501" s="151"/>
      <c r="L501" s="151"/>
      <c r="M501" s="151"/>
      <c r="N501" s="151"/>
      <c r="O501" s="151"/>
      <c r="P501" s="151"/>
      <c r="Q501" s="151"/>
      <c r="R501" s="151"/>
      <c r="S501" s="152"/>
      <c r="T501" s="151"/>
      <c r="U501" s="151"/>
      <c r="V501" s="153"/>
      <c r="W501" s="151"/>
      <c r="X501" s="151"/>
      <c r="Y501" s="153"/>
      <c r="Z501" s="151"/>
      <c r="AA501" s="187" t="str">
        <f t="shared" si="15"/>
        <v>No</v>
      </c>
      <c r="AB501" s="158"/>
      <c r="AC501" s="159"/>
      <c r="AD501" s="160"/>
    </row>
    <row r="502" spans="1:30">
      <c r="A502" s="155"/>
      <c r="B502" s="112" t="str">
        <f t="shared" si="14"/>
        <v/>
      </c>
      <c r="C502" s="183"/>
      <c r="D502" s="152"/>
      <c r="E502" s="152"/>
      <c r="F502" s="151"/>
      <c r="G502" s="153"/>
      <c r="H502" s="151"/>
      <c r="I502" s="151"/>
      <c r="J502" s="151"/>
      <c r="K502" s="151"/>
      <c r="L502" s="151"/>
      <c r="M502" s="151"/>
      <c r="N502" s="151"/>
      <c r="O502" s="151"/>
      <c r="P502" s="151"/>
      <c r="Q502" s="151"/>
      <c r="R502" s="151"/>
      <c r="S502" s="152"/>
      <c r="T502" s="151"/>
      <c r="U502" s="151"/>
      <c r="V502" s="153"/>
      <c r="W502" s="151"/>
      <c r="X502" s="151"/>
      <c r="Y502" s="153"/>
      <c r="Z502" s="151"/>
      <c r="AA502" s="187" t="str">
        <f t="shared" si="15"/>
        <v>No</v>
      </c>
      <c r="AB502" s="158"/>
      <c r="AC502" s="159"/>
      <c r="AD502" s="160"/>
    </row>
    <row r="503" spans="1:30">
      <c r="A503" s="155"/>
      <c r="B503" s="112" t="str">
        <f t="shared" si="14"/>
        <v/>
      </c>
      <c r="C503" s="183"/>
      <c r="D503" s="152"/>
      <c r="E503" s="152"/>
      <c r="F503" s="151"/>
      <c r="G503" s="153"/>
      <c r="H503" s="151"/>
      <c r="I503" s="151"/>
      <c r="J503" s="151"/>
      <c r="K503" s="151"/>
      <c r="L503" s="151"/>
      <c r="M503" s="151"/>
      <c r="N503" s="151"/>
      <c r="O503" s="151"/>
      <c r="P503" s="151"/>
      <c r="Q503" s="151"/>
      <c r="R503" s="151"/>
      <c r="S503" s="152"/>
      <c r="T503" s="151"/>
      <c r="U503" s="151"/>
      <c r="V503" s="153"/>
      <c r="W503" s="151"/>
      <c r="X503" s="151"/>
      <c r="Y503" s="153"/>
      <c r="Z503" s="151"/>
      <c r="AA503" s="187" t="str">
        <f t="shared" si="15"/>
        <v>No</v>
      </c>
      <c r="AB503" s="158"/>
      <c r="AC503" s="159"/>
      <c r="AD503" s="160"/>
    </row>
    <row r="504" spans="1:30">
      <c r="A504" s="155"/>
      <c r="B504" s="112" t="str">
        <f t="shared" si="14"/>
        <v/>
      </c>
      <c r="C504" s="183"/>
      <c r="D504" s="152"/>
      <c r="E504" s="152"/>
      <c r="F504" s="151"/>
      <c r="G504" s="153"/>
      <c r="H504" s="151"/>
      <c r="I504" s="151"/>
      <c r="J504" s="151"/>
      <c r="K504" s="151"/>
      <c r="L504" s="151"/>
      <c r="M504" s="151"/>
      <c r="N504" s="151"/>
      <c r="O504" s="151"/>
      <c r="P504" s="151"/>
      <c r="Q504" s="151"/>
      <c r="R504" s="151"/>
      <c r="S504" s="152"/>
      <c r="T504" s="151"/>
      <c r="U504" s="151"/>
      <c r="V504" s="153"/>
      <c r="W504" s="151"/>
      <c r="X504" s="151"/>
      <c r="Y504" s="153"/>
      <c r="Z504" s="151"/>
      <c r="AA504" s="187" t="str">
        <f t="shared" si="15"/>
        <v>No</v>
      </c>
      <c r="AB504" s="158"/>
      <c r="AC504" s="159"/>
      <c r="AD504" s="160"/>
    </row>
    <row r="505" spans="1:30">
      <c r="A505" s="155"/>
      <c r="B505" s="112" t="str">
        <f t="shared" si="14"/>
        <v/>
      </c>
      <c r="C505" s="183"/>
      <c r="D505" s="152"/>
      <c r="E505" s="152"/>
      <c r="F505" s="151"/>
      <c r="G505" s="153"/>
      <c r="H505" s="151"/>
      <c r="I505" s="151"/>
      <c r="J505" s="151"/>
      <c r="K505" s="151"/>
      <c r="L505" s="151"/>
      <c r="M505" s="151"/>
      <c r="N505" s="151"/>
      <c r="O505" s="151"/>
      <c r="P505" s="151"/>
      <c r="Q505" s="151"/>
      <c r="R505" s="151"/>
      <c r="S505" s="152"/>
      <c r="T505" s="151"/>
      <c r="U505" s="151"/>
      <c r="V505" s="153"/>
      <c r="W505" s="151"/>
      <c r="X505" s="151"/>
      <c r="Y505" s="153"/>
      <c r="Z505" s="151"/>
      <c r="AA505" s="187" t="str">
        <f t="shared" si="15"/>
        <v>No</v>
      </c>
      <c r="AB505" s="158"/>
      <c r="AC505" s="159"/>
      <c r="AD505" s="160"/>
    </row>
    <row r="506" spans="1:30">
      <c r="A506" s="155"/>
      <c r="B506" s="112" t="str">
        <f t="shared" si="14"/>
        <v/>
      </c>
      <c r="C506" s="183"/>
      <c r="D506" s="152"/>
      <c r="E506" s="152"/>
      <c r="F506" s="151"/>
      <c r="G506" s="153"/>
      <c r="H506" s="151"/>
      <c r="I506" s="151"/>
      <c r="J506" s="151"/>
      <c r="K506" s="151"/>
      <c r="L506" s="151"/>
      <c r="M506" s="151"/>
      <c r="N506" s="151"/>
      <c r="O506" s="151"/>
      <c r="P506" s="151"/>
      <c r="Q506" s="151"/>
      <c r="R506" s="151"/>
      <c r="S506" s="152"/>
      <c r="T506" s="151"/>
      <c r="U506" s="151"/>
      <c r="V506" s="153"/>
      <c r="W506" s="151"/>
      <c r="X506" s="151"/>
      <c r="Y506" s="153"/>
      <c r="Z506" s="151"/>
      <c r="AA506" s="187" t="str">
        <f t="shared" si="15"/>
        <v>No</v>
      </c>
      <c r="AB506" s="158"/>
      <c r="AC506" s="159"/>
      <c r="AD506" s="160"/>
    </row>
    <row r="507" spans="1:30">
      <c r="A507" s="155"/>
      <c r="B507" s="112" t="str">
        <f t="shared" si="14"/>
        <v/>
      </c>
      <c r="C507" s="183"/>
      <c r="D507" s="152"/>
      <c r="E507" s="152"/>
      <c r="F507" s="151"/>
      <c r="G507" s="153"/>
      <c r="H507" s="151"/>
      <c r="I507" s="151"/>
      <c r="J507" s="151"/>
      <c r="K507" s="151"/>
      <c r="L507" s="151"/>
      <c r="M507" s="151"/>
      <c r="N507" s="151"/>
      <c r="O507" s="151"/>
      <c r="P507" s="151"/>
      <c r="Q507" s="151"/>
      <c r="R507" s="151"/>
      <c r="S507" s="152"/>
      <c r="T507" s="151"/>
      <c r="U507" s="151"/>
      <c r="V507" s="153"/>
      <c r="W507" s="151"/>
      <c r="X507" s="151"/>
      <c r="Y507" s="153"/>
      <c r="Z507" s="151"/>
      <c r="AA507" s="187" t="str">
        <f t="shared" si="15"/>
        <v>No</v>
      </c>
      <c r="AB507" s="158"/>
      <c r="AC507" s="159"/>
      <c r="AD507" s="160"/>
    </row>
    <row r="508" spans="1:30">
      <c r="A508" s="155"/>
      <c r="B508" s="112" t="str">
        <f t="shared" si="14"/>
        <v/>
      </c>
      <c r="C508" s="183"/>
      <c r="D508" s="152"/>
      <c r="E508" s="152"/>
      <c r="F508" s="151"/>
      <c r="G508" s="153"/>
      <c r="H508" s="151"/>
      <c r="I508" s="151"/>
      <c r="J508" s="151"/>
      <c r="K508" s="151"/>
      <c r="L508" s="151"/>
      <c r="M508" s="151"/>
      <c r="N508" s="151"/>
      <c r="O508" s="151"/>
      <c r="P508" s="151"/>
      <c r="Q508" s="151"/>
      <c r="R508" s="151"/>
      <c r="S508" s="152"/>
      <c r="T508" s="151"/>
      <c r="U508" s="151"/>
      <c r="V508" s="153"/>
      <c r="W508" s="151"/>
      <c r="X508" s="151"/>
      <c r="Y508" s="153"/>
      <c r="Z508" s="151"/>
      <c r="AA508" s="187" t="str">
        <f t="shared" si="15"/>
        <v>No</v>
      </c>
      <c r="AB508" s="158"/>
      <c r="AC508" s="159"/>
      <c r="AD508" s="160"/>
    </row>
    <row r="509" spans="1:30">
      <c r="A509" s="155"/>
      <c r="B509" s="112" t="str">
        <f t="shared" si="14"/>
        <v/>
      </c>
      <c r="C509" s="183"/>
      <c r="D509" s="152"/>
      <c r="E509" s="152"/>
      <c r="F509" s="151"/>
      <c r="G509" s="153"/>
      <c r="H509" s="151"/>
      <c r="I509" s="151"/>
      <c r="J509" s="151"/>
      <c r="K509" s="151"/>
      <c r="L509" s="151"/>
      <c r="M509" s="151"/>
      <c r="N509" s="151"/>
      <c r="O509" s="151"/>
      <c r="P509" s="151"/>
      <c r="Q509" s="151"/>
      <c r="R509" s="151"/>
      <c r="S509" s="152"/>
      <c r="T509" s="151"/>
      <c r="U509" s="151"/>
      <c r="V509" s="153"/>
      <c r="W509" s="151"/>
      <c r="X509" s="151"/>
      <c r="Y509" s="153"/>
      <c r="Z509" s="151"/>
      <c r="AA509" s="187" t="str">
        <f t="shared" si="15"/>
        <v>No</v>
      </c>
      <c r="AB509" s="158"/>
      <c r="AC509" s="159"/>
      <c r="AD509" s="160"/>
    </row>
    <row r="510" spans="1:30">
      <c r="A510" s="155"/>
      <c r="B510" s="112" t="str">
        <f t="shared" si="14"/>
        <v/>
      </c>
      <c r="C510" s="183"/>
      <c r="D510" s="152"/>
      <c r="E510" s="152"/>
      <c r="F510" s="151"/>
      <c r="G510" s="153"/>
      <c r="H510" s="151"/>
      <c r="I510" s="151"/>
      <c r="J510" s="151"/>
      <c r="K510" s="151"/>
      <c r="L510" s="151"/>
      <c r="M510" s="151"/>
      <c r="N510" s="151"/>
      <c r="O510" s="151"/>
      <c r="P510" s="151"/>
      <c r="Q510" s="151"/>
      <c r="R510" s="151"/>
      <c r="S510" s="152"/>
      <c r="T510" s="151"/>
      <c r="U510" s="151"/>
      <c r="V510" s="153"/>
      <c r="W510" s="151"/>
      <c r="X510" s="151"/>
      <c r="Y510" s="153"/>
      <c r="Z510" s="151"/>
      <c r="AA510" s="187" t="str">
        <f t="shared" si="15"/>
        <v>No</v>
      </c>
      <c r="AB510" s="158"/>
      <c r="AC510" s="159"/>
      <c r="AD510" s="160"/>
    </row>
    <row r="511" spans="1:30">
      <c r="A511" s="155"/>
      <c r="B511" s="112" t="str">
        <f t="shared" si="14"/>
        <v/>
      </c>
      <c r="C511" s="183"/>
      <c r="D511" s="152"/>
      <c r="E511" s="152"/>
      <c r="F511" s="151"/>
      <c r="G511" s="153"/>
      <c r="H511" s="151"/>
      <c r="I511" s="151"/>
      <c r="J511" s="151"/>
      <c r="K511" s="151"/>
      <c r="L511" s="151"/>
      <c r="M511" s="151"/>
      <c r="N511" s="151"/>
      <c r="O511" s="151"/>
      <c r="P511" s="151"/>
      <c r="Q511" s="151"/>
      <c r="R511" s="151"/>
      <c r="S511" s="152"/>
      <c r="T511" s="151"/>
      <c r="U511" s="151"/>
      <c r="V511" s="153"/>
      <c r="W511" s="151"/>
      <c r="X511" s="151"/>
      <c r="Y511" s="153"/>
      <c r="Z511" s="151"/>
      <c r="AA511" s="187" t="str">
        <f t="shared" si="15"/>
        <v>No</v>
      </c>
      <c r="AB511" s="158"/>
      <c r="AC511" s="159"/>
      <c r="AD511" s="160"/>
    </row>
    <row r="512" spans="1:30">
      <c r="A512" s="155"/>
      <c r="B512" s="112" t="str">
        <f t="shared" si="14"/>
        <v/>
      </c>
      <c r="C512" s="183"/>
      <c r="D512" s="152"/>
      <c r="E512" s="152"/>
      <c r="F512" s="151"/>
      <c r="G512" s="153"/>
      <c r="H512" s="151"/>
      <c r="I512" s="151"/>
      <c r="J512" s="151"/>
      <c r="K512" s="151"/>
      <c r="L512" s="151"/>
      <c r="M512" s="151"/>
      <c r="N512" s="151"/>
      <c r="O512" s="151"/>
      <c r="P512" s="151"/>
      <c r="Q512" s="151"/>
      <c r="R512" s="151"/>
      <c r="S512" s="152"/>
      <c r="T512" s="151"/>
      <c r="U512" s="151"/>
      <c r="V512" s="153"/>
      <c r="W512" s="151"/>
      <c r="X512" s="151"/>
      <c r="Y512" s="153"/>
      <c r="Z512" s="151"/>
      <c r="AA512" s="187" t="str">
        <f t="shared" si="15"/>
        <v>No</v>
      </c>
      <c r="AB512" s="158"/>
      <c r="AC512" s="159"/>
      <c r="AD512" s="160"/>
    </row>
    <row r="513" spans="1:30">
      <c r="A513" s="155"/>
      <c r="B513" s="112" t="str">
        <f t="shared" si="14"/>
        <v/>
      </c>
      <c r="C513" s="183"/>
      <c r="D513" s="152"/>
      <c r="E513" s="152"/>
      <c r="F513" s="151"/>
      <c r="G513" s="153"/>
      <c r="H513" s="151"/>
      <c r="I513" s="151"/>
      <c r="J513" s="151"/>
      <c r="K513" s="151"/>
      <c r="L513" s="151"/>
      <c r="M513" s="151"/>
      <c r="N513" s="151"/>
      <c r="O513" s="151"/>
      <c r="P513" s="151"/>
      <c r="Q513" s="151"/>
      <c r="R513" s="151"/>
      <c r="S513" s="152"/>
      <c r="T513" s="151"/>
      <c r="U513" s="151"/>
      <c r="V513" s="153"/>
      <c r="W513" s="151"/>
      <c r="X513" s="151"/>
      <c r="Y513" s="153"/>
      <c r="Z513" s="151"/>
      <c r="AA513" s="187" t="str">
        <f t="shared" si="15"/>
        <v>No</v>
      </c>
      <c r="AB513" s="158"/>
      <c r="AC513" s="159"/>
      <c r="AD513" s="160"/>
    </row>
    <row r="514" spans="1:30">
      <c r="A514" s="155"/>
      <c r="B514" s="112" t="str">
        <f t="shared" si="14"/>
        <v/>
      </c>
      <c r="C514" s="183"/>
      <c r="D514" s="152"/>
      <c r="E514" s="152"/>
      <c r="F514" s="151"/>
      <c r="G514" s="153"/>
      <c r="H514" s="151"/>
      <c r="I514" s="151"/>
      <c r="J514" s="151"/>
      <c r="K514" s="151"/>
      <c r="L514" s="151"/>
      <c r="M514" s="151"/>
      <c r="N514" s="151"/>
      <c r="O514" s="151"/>
      <c r="P514" s="151"/>
      <c r="Q514" s="151"/>
      <c r="R514" s="151"/>
      <c r="S514" s="152"/>
      <c r="T514" s="151"/>
      <c r="U514" s="151"/>
      <c r="V514" s="153"/>
      <c r="W514" s="151"/>
      <c r="X514" s="151"/>
      <c r="Y514" s="153"/>
      <c r="Z514" s="151"/>
      <c r="AA514" s="187" t="str">
        <f t="shared" si="15"/>
        <v>No</v>
      </c>
      <c r="AB514" s="158"/>
      <c r="AC514" s="159"/>
      <c r="AD514" s="160"/>
    </row>
    <row r="515" spans="1:30">
      <c r="A515" s="155"/>
      <c r="B515" s="112" t="str">
        <f t="shared" si="14"/>
        <v/>
      </c>
      <c r="C515" s="183"/>
      <c r="D515" s="152"/>
      <c r="E515" s="152"/>
      <c r="F515" s="151"/>
      <c r="G515" s="153"/>
      <c r="H515" s="151"/>
      <c r="I515" s="151"/>
      <c r="J515" s="151"/>
      <c r="K515" s="151"/>
      <c r="L515" s="151"/>
      <c r="M515" s="151"/>
      <c r="N515" s="151"/>
      <c r="O515" s="151"/>
      <c r="P515" s="151"/>
      <c r="Q515" s="151"/>
      <c r="R515" s="151"/>
      <c r="S515" s="152"/>
      <c r="T515" s="151"/>
      <c r="U515" s="151"/>
      <c r="V515" s="153"/>
      <c r="W515" s="151"/>
      <c r="X515" s="151"/>
      <c r="Y515" s="153"/>
      <c r="Z515" s="151"/>
      <c r="AA515" s="187" t="str">
        <f t="shared" si="15"/>
        <v>No</v>
      </c>
      <c r="AB515" s="158"/>
      <c r="AC515" s="159"/>
      <c r="AD515" s="160"/>
    </row>
    <row r="516" spans="1:30">
      <c r="A516" s="155"/>
      <c r="B516" s="112" t="str">
        <f t="shared" si="14"/>
        <v/>
      </c>
      <c r="C516" s="183"/>
      <c r="D516" s="152"/>
      <c r="E516" s="152"/>
      <c r="F516" s="151"/>
      <c r="G516" s="153"/>
      <c r="H516" s="151"/>
      <c r="I516" s="151"/>
      <c r="J516" s="151"/>
      <c r="K516" s="151"/>
      <c r="L516" s="151"/>
      <c r="M516" s="151"/>
      <c r="N516" s="151"/>
      <c r="O516" s="151"/>
      <c r="P516" s="151"/>
      <c r="Q516" s="151"/>
      <c r="R516" s="151"/>
      <c r="S516" s="152"/>
      <c r="T516" s="151"/>
      <c r="U516" s="151"/>
      <c r="V516" s="153"/>
      <c r="W516" s="151"/>
      <c r="X516" s="151"/>
      <c r="Y516" s="153"/>
      <c r="Z516" s="151"/>
      <c r="AA516" s="187" t="str">
        <f t="shared" si="15"/>
        <v>No</v>
      </c>
      <c r="AB516" s="158"/>
      <c r="AC516" s="159"/>
      <c r="AD516" s="160"/>
    </row>
    <row r="517" spans="1:30">
      <c r="A517" s="155"/>
      <c r="B517" s="112" t="str">
        <f t="shared" ref="B517:B580" si="16">IF(AND(A517&lt;&gt;"",D517&lt;&gt;"",J517&lt;&gt;"",N517&lt;&gt;""),TEXT(D517,"YY")&amp;"-"&amp;TEXT(D517,"MMM")&amp;"-"&amp;UPPER(LEFT(TRIM(N517),2))&amp;"-"&amp;UPPER(LEFT(TRIM(J517),3))&amp;"-"&amp;A517,"")</f>
        <v/>
      </c>
      <c r="C517" s="183"/>
      <c r="D517" s="152"/>
      <c r="E517" s="152"/>
      <c r="F517" s="151"/>
      <c r="G517" s="153"/>
      <c r="H517" s="151"/>
      <c r="I517" s="151"/>
      <c r="J517" s="151"/>
      <c r="K517" s="151"/>
      <c r="L517" s="151"/>
      <c r="M517" s="151"/>
      <c r="N517" s="151"/>
      <c r="O517" s="151"/>
      <c r="P517" s="151"/>
      <c r="Q517" s="151"/>
      <c r="R517" s="151"/>
      <c r="S517" s="152"/>
      <c r="T517" s="151"/>
      <c r="U517" s="151"/>
      <c r="V517" s="153"/>
      <c r="W517" s="151"/>
      <c r="X517" s="151"/>
      <c r="Y517" s="153"/>
      <c r="Z517" s="151"/>
      <c r="AA517" s="187" t="str">
        <f t="shared" ref="AA517:AA580" si="17">IF(E517="","No","Yes")</f>
        <v>No</v>
      </c>
      <c r="AB517" s="158"/>
      <c r="AC517" s="159"/>
      <c r="AD517" s="160"/>
    </row>
    <row r="518" spans="1:30">
      <c r="A518" s="155"/>
      <c r="B518" s="112" t="str">
        <f t="shared" si="16"/>
        <v/>
      </c>
      <c r="C518" s="183"/>
      <c r="D518" s="152"/>
      <c r="E518" s="152"/>
      <c r="F518" s="151"/>
      <c r="G518" s="153"/>
      <c r="H518" s="151"/>
      <c r="I518" s="151"/>
      <c r="J518" s="151"/>
      <c r="K518" s="151"/>
      <c r="L518" s="151"/>
      <c r="M518" s="151"/>
      <c r="N518" s="151"/>
      <c r="O518" s="151"/>
      <c r="P518" s="151"/>
      <c r="Q518" s="151"/>
      <c r="R518" s="151"/>
      <c r="S518" s="152"/>
      <c r="T518" s="151"/>
      <c r="U518" s="151"/>
      <c r="V518" s="153"/>
      <c r="W518" s="151"/>
      <c r="X518" s="151"/>
      <c r="Y518" s="153"/>
      <c r="Z518" s="151"/>
      <c r="AA518" s="187" t="str">
        <f t="shared" si="17"/>
        <v>No</v>
      </c>
      <c r="AB518" s="158"/>
      <c r="AC518" s="159"/>
      <c r="AD518" s="160"/>
    </row>
    <row r="519" spans="1:30">
      <c r="A519" s="155"/>
      <c r="B519" s="112" t="str">
        <f t="shared" si="16"/>
        <v/>
      </c>
      <c r="C519" s="183"/>
      <c r="D519" s="152"/>
      <c r="E519" s="152"/>
      <c r="F519" s="151"/>
      <c r="G519" s="153"/>
      <c r="H519" s="151"/>
      <c r="I519" s="151"/>
      <c r="J519" s="151"/>
      <c r="K519" s="151"/>
      <c r="L519" s="151"/>
      <c r="M519" s="151"/>
      <c r="N519" s="151"/>
      <c r="O519" s="151"/>
      <c r="P519" s="151"/>
      <c r="Q519" s="151"/>
      <c r="R519" s="151"/>
      <c r="S519" s="152"/>
      <c r="T519" s="151"/>
      <c r="U519" s="151"/>
      <c r="V519" s="153"/>
      <c r="W519" s="151"/>
      <c r="X519" s="151"/>
      <c r="Y519" s="153"/>
      <c r="Z519" s="151"/>
      <c r="AA519" s="187" t="str">
        <f t="shared" si="17"/>
        <v>No</v>
      </c>
      <c r="AB519" s="158"/>
      <c r="AC519" s="159"/>
      <c r="AD519" s="160"/>
    </row>
    <row r="520" spans="1:30">
      <c r="A520" s="155"/>
      <c r="B520" s="112" t="str">
        <f t="shared" si="16"/>
        <v/>
      </c>
      <c r="C520" s="183"/>
      <c r="D520" s="152"/>
      <c r="E520" s="152"/>
      <c r="F520" s="151"/>
      <c r="G520" s="153"/>
      <c r="H520" s="151"/>
      <c r="I520" s="151"/>
      <c r="J520" s="151"/>
      <c r="K520" s="151"/>
      <c r="L520" s="151"/>
      <c r="M520" s="151"/>
      <c r="N520" s="151"/>
      <c r="O520" s="151"/>
      <c r="P520" s="151"/>
      <c r="Q520" s="151"/>
      <c r="R520" s="151"/>
      <c r="S520" s="152"/>
      <c r="T520" s="151"/>
      <c r="U520" s="151"/>
      <c r="V520" s="153"/>
      <c r="W520" s="151"/>
      <c r="X520" s="151"/>
      <c r="Y520" s="153"/>
      <c r="Z520" s="151"/>
      <c r="AA520" s="187" t="str">
        <f t="shared" si="17"/>
        <v>No</v>
      </c>
      <c r="AB520" s="158"/>
      <c r="AC520" s="159"/>
      <c r="AD520" s="160"/>
    </row>
    <row r="521" spans="1:30">
      <c r="A521" s="155"/>
      <c r="B521" s="112" t="str">
        <f t="shared" si="16"/>
        <v/>
      </c>
      <c r="C521" s="183"/>
      <c r="D521" s="152"/>
      <c r="E521" s="152"/>
      <c r="F521" s="151"/>
      <c r="G521" s="153"/>
      <c r="H521" s="151"/>
      <c r="I521" s="151"/>
      <c r="J521" s="151"/>
      <c r="K521" s="151"/>
      <c r="L521" s="151"/>
      <c r="M521" s="151"/>
      <c r="N521" s="151"/>
      <c r="O521" s="151"/>
      <c r="P521" s="151"/>
      <c r="Q521" s="151"/>
      <c r="R521" s="151"/>
      <c r="S521" s="152"/>
      <c r="T521" s="151"/>
      <c r="U521" s="151"/>
      <c r="V521" s="153"/>
      <c r="W521" s="151"/>
      <c r="X521" s="151"/>
      <c r="Y521" s="153"/>
      <c r="Z521" s="151"/>
      <c r="AA521" s="187" t="str">
        <f t="shared" si="17"/>
        <v>No</v>
      </c>
      <c r="AB521" s="158"/>
      <c r="AC521" s="159"/>
      <c r="AD521" s="160"/>
    </row>
    <row r="522" spans="1:30">
      <c r="A522" s="155"/>
      <c r="B522" s="112" t="str">
        <f t="shared" si="16"/>
        <v/>
      </c>
      <c r="C522" s="183"/>
      <c r="D522" s="152"/>
      <c r="E522" s="152"/>
      <c r="F522" s="151"/>
      <c r="G522" s="153"/>
      <c r="H522" s="151"/>
      <c r="I522" s="151"/>
      <c r="J522" s="151"/>
      <c r="K522" s="151"/>
      <c r="L522" s="151"/>
      <c r="M522" s="151"/>
      <c r="N522" s="151"/>
      <c r="O522" s="151"/>
      <c r="P522" s="151"/>
      <c r="Q522" s="151"/>
      <c r="R522" s="151"/>
      <c r="S522" s="152"/>
      <c r="T522" s="151"/>
      <c r="U522" s="151"/>
      <c r="V522" s="153"/>
      <c r="W522" s="151"/>
      <c r="X522" s="151"/>
      <c r="Y522" s="153"/>
      <c r="Z522" s="151"/>
      <c r="AA522" s="187" t="str">
        <f t="shared" si="17"/>
        <v>No</v>
      </c>
      <c r="AB522" s="158"/>
      <c r="AC522" s="159"/>
      <c r="AD522" s="160"/>
    </row>
    <row r="523" spans="1:30">
      <c r="A523" s="155"/>
      <c r="B523" s="112" t="str">
        <f t="shared" si="16"/>
        <v/>
      </c>
      <c r="C523" s="183"/>
      <c r="D523" s="152"/>
      <c r="E523" s="152"/>
      <c r="F523" s="151"/>
      <c r="G523" s="153"/>
      <c r="H523" s="151"/>
      <c r="I523" s="151"/>
      <c r="J523" s="151"/>
      <c r="K523" s="151"/>
      <c r="L523" s="151"/>
      <c r="M523" s="151"/>
      <c r="N523" s="151"/>
      <c r="O523" s="151"/>
      <c r="P523" s="151"/>
      <c r="Q523" s="151"/>
      <c r="R523" s="151"/>
      <c r="S523" s="152"/>
      <c r="T523" s="151"/>
      <c r="U523" s="151"/>
      <c r="V523" s="153"/>
      <c r="W523" s="151"/>
      <c r="X523" s="151"/>
      <c r="Y523" s="153"/>
      <c r="Z523" s="151"/>
      <c r="AA523" s="187" t="str">
        <f t="shared" si="17"/>
        <v>No</v>
      </c>
      <c r="AB523" s="158"/>
      <c r="AC523" s="159"/>
      <c r="AD523" s="160"/>
    </row>
    <row r="524" spans="1:30">
      <c r="A524" s="155"/>
      <c r="B524" s="112" t="str">
        <f t="shared" si="16"/>
        <v/>
      </c>
      <c r="C524" s="183"/>
      <c r="D524" s="152"/>
      <c r="E524" s="152"/>
      <c r="F524" s="151"/>
      <c r="G524" s="153"/>
      <c r="H524" s="151"/>
      <c r="I524" s="151"/>
      <c r="J524" s="151"/>
      <c r="K524" s="151"/>
      <c r="L524" s="151"/>
      <c r="M524" s="151"/>
      <c r="N524" s="151"/>
      <c r="O524" s="151"/>
      <c r="P524" s="151"/>
      <c r="Q524" s="151"/>
      <c r="R524" s="151"/>
      <c r="S524" s="152"/>
      <c r="T524" s="151"/>
      <c r="U524" s="151"/>
      <c r="V524" s="153"/>
      <c r="W524" s="151"/>
      <c r="X524" s="151"/>
      <c r="Y524" s="153"/>
      <c r="Z524" s="151"/>
      <c r="AA524" s="187" t="str">
        <f t="shared" si="17"/>
        <v>No</v>
      </c>
      <c r="AB524" s="158"/>
      <c r="AC524" s="159"/>
      <c r="AD524" s="160"/>
    </row>
    <row r="525" spans="1:30">
      <c r="A525" s="155"/>
      <c r="B525" s="112" t="str">
        <f t="shared" si="16"/>
        <v/>
      </c>
      <c r="C525" s="183"/>
      <c r="D525" s="152"/>
      <c r="E525" s="152"/>
      <c r="F525" s="151"/>
      <c r="G525" s="153"/>
      <c r="H525" s="151"/>
      <c r="I525" s="151"/>
      <c r="J525" s="151"/>
      <c r="K525" s="151"/>
      <c r="L525" s="151"/>
      <c r="M525" s="151"/>
      <c r="N525" s="151"/>
      <c r="O525" s="151"/>
      <c r="P525" s="151"/>
      <c r="Q525" s="151"/>
      <c r="R525" s="151"/>
      <c r="S525" s="152"/>
      <c r="T525" s="151"/>
      <c r="U525" s="151"/>
      <c r="V525" s="153"/>
      <c r="W525" s="151"/>
      <c r="X525" s="151"/>
      <c r="Y525" s="153"/>
      <c r="Z525" s="151"/>
      <c r="AA525" s="187" t="str">
        <f t="shared" si="17"/>
        <v>No</v>
      </c>
      <c r="AB525" s="158"/>
      <c r="AC525" s="159"/>
      <c r="AD525" s="160"/>
    </row>
    <row r="526" spans="1:30">
      <c r="A526" s="155"/>
      <c r="B526" s="112" t="str">
        <f t="shared" si="16"/>
        <v/>
      </c>
      <c r="C526" s="183"/>
      <c r="D526" s="152"/>
      <c r="E526" s="152"/>
      <c r="F526" s="151"/>
      <c r="G526" s="153"/>
      <c r="H526" s="151"/>
      <c r="I526" s="151"/>
      <c r="J526" s="151"/>
      <c r="K526" s="151"/>
      <c r="L526" s="151"/>
      <c r="M526" s="151"/>
      <c r="N526" s="151"/>
      <c r="O526" s="151"/>
      <c r="P526" s="151"/>
      <c r="Q526" s="151"/>
      <c r="R526" s="151"/>
      <c r="S526" s="152"/>
      <c r="T526" s="151"/>
      <c r="U526" s="151"/>
      <c r="V526" s="153"/>
      <c r="W526" s="151"/>
      <c r="X526" s="151"/>
      <c r="Y526" s="153"/>
      <c r="Z526" s="151"/>
      <c r="AA526" s="187" t="str">
        <f t="shared" si="17"/>
        <v>No</v>
      </c>
      <c r="AB526" s="158"/>
      <c r="AC526" s="159"/>
      <c r="AD526" s="160"/>
    </row>
    <row r="527" spans="1:30">
      <c r="A527" s="155"/>
      <c r="B527" s="112" t="str">
        <f t="shared" si="16"/>
        <v/>
      </c>
      <c r="C527" s="183"/>
      <c r="D527" s="152"/>
      <c r="E527" s="152"/>
      <c r="F527" s="151"/>
      <c r="G527" s="153"/>
      <c r="H527" s="151"/>
      <c r="I527" s="151"/>
      <c r="J527" s="151"/>
      <c r="K527" s="151"/>
      <c r="L527" s="151"/>
      <c r="M527" s="151"/>
      <c r="N527" s="151"/>
      <c r="O527" s="151"/>
      <c r="P527" s="151"/>
      <c r="Q527" s="151"/>
      <c r="R527" s="151"/>
      <c r="S527" s="152"/>
      <c r="T527" s="151"/>
      <c r="U527" s="151"/>
      <c r="V527" s="153"/>
      <c r="W527" s="151"/>
      <c r="X527" s="151"/>
      <c r="Y527" s="153"/>
      <c r="Z527" s="151"/>
      <c r="AA527" s="187" t="str">
        <f t="shared" si="17"/>
        <v>No</v>
      </c>
      <c r="AB527" s="158"/>
      <c r="AC527" s="159"/>
      <c r="AD527" s="160"/>
    </row>
    <row r="528" spans="1:30">
      <c r="A528" s="155"/>
      <c r="B528" s="112" t="str">
        <f t="shared" si="16"/>
        <v/>
      </c>
      <c r="C528" s="183"/>
      <c r="D528" s="152"/>
      <c r="E528" s="152"/>
      <c r="F528" s="151"/>
      <c r="G528" s="153"/>
      <c r="H528" s="151"/>
      <c r="I528" s="151"/>
      <c r="J528" s="151"/>
      <c r="K528" s="151"/>
      <c r="L528" s="151"/>
      <c r="M528" s="151"/>
      <c r="N528" s="151"/>
      <c r="O528" s="151"/>
      <c r="P528" s="151"/>
      <c r="Q528" s="151"/>
      <c r="R528" s="151"/>
      <c r="S528" s="152"/>
      <c r="T528" s="151"/>
      <c r="U528" s="151"/>
      <c r="V528" s="153"/>
      <c r="W528" s="151"/>
      <c r="X528" s="151"/>
      <c r="Y528" s="153"/>
      <c r="Z528" s="151"/>
      <c r="AA528" s="187" t="str">
        <f t="shared" si="17"/>
        <v>No</v>
      </c>
      <c r="AB528" s="158"/>
      <c r="AC528" s="159"/>
      <c r="AD528" s="160"/>
    </row>
    <row r="529" spans="1:30">
      <c r="A529" s="155"/>
      <c r="B529" s="112" t="str">
        <f t="shared" si="16"/>
        <v/>
      </c>
      <c r="C529" s="183"/>
      <c r="D529" s="152"/>
      <c r="E529" s="152"/>
      <c r="F529" s="151"/>
      <c r="G529" s="153"/>
      <c r="H529" s="151"/>
      <c r="I529" s="151"/>
      <c r="J529" s="151"/>
      <c r="K529" s="151"/>
      <c r="L529" s="151"/>
      <c r="M529" s="151"/>
      <c r="N529" s="151"/>
      <c r="O529" s="151"/>
      <c r="P529" s="151"/>
      <c r="Q529" s="151"/>
      <c r="R529" s="151"/>
      <c r="S529" s="152"/>
      <c r="T529" s="151"/>
      <c r="U529" s="151"/>
      <c r="V529" s="153"/>
      <c r="W529" s="151"/>
      <c r="X529" s="151"/>
      <c r="Y529" s="153"/>
      <c r="Z529" s="151"/>
      <c r="AA529" s="187" t="str">
        <f t="shared" si="17"/>
        <v>No</v>
      </c>
      <c r="AB529" s="158"/>
      <c r="AC529" s="159"/>
      <c r="AD529" s="160"/>
    </row>
    <row r="530" spans="1:30">
      <c r="A530" s="155"/>
      <c r="B530" s="112" t="str">
        <f t="shared" si="16"/>
        <v/>
      </c>
      <c r="C530" s="183"/>
      <c r="D530" s="152"/>
      <c r="E530" s="152"/>
      <c r="F530" s="151"/>
      <c r="G530" s="153"/>
      <c r="H530" s="151"/>
      <c r="I530" s="151"/>
      <c r="J530" s="151"/>
      <c r="K530" s="151"/>
      <c r="L530" s="151"/>
      <c r="M530" s="151"/>
      <c r="N530" s="151"/>
      <c r="O530" s="151"/>
      <c r="P530" s="151"/>
      <c r="Q530" s="151"/>
      <c r="R530" s="151"/>
      <c r="S530" s="152"/>
      <c r="T530" s="151"/>
      <c r="U530" s="151"/>
      <c r="V530" s="153"/>
      <c r="W530" s="151"/>
      <c r="X530" s="151"/>
      <c r="Y530" s="153"/>
      <c r="Z530" s="151"/>
      <c r="AA530" s="187" t="str">
        <f t="shared" si="17"/>
        <v>No</v>
      </c>
      <c r="AB530" s="158"/>
      <c r="AC530" s="159"/>
      <c r="AD530" s="160"/>
    </row>
    <row r="531" spans="1:30">
      <c r="A531" s="155"/>
      <c r="B531" s="112" t="str">
        <f t="shared" si="16"/>
        <v/>
      </c>
      <c r="C531" s="183"/>
      <c r="D531" s="152"/>
      <c r="E531" s="152"/>
      <c r="F531" s="151"/>
      <c r="G531" s="153"/>
      <c r="H531" s="151"/>
      <c r="I531" s="151"/>
      <c r="J531" s="151"/>
      <c r="K531" s="151"/>
      <c r="L531" s="151"/>
      <c r="M531" s="151"/>
      <c r="N531" s="151"/>
      <c r="O531" s="151"/>
      <c r="P531" s="151"/>
      <c r="Q531" s="151"/>
      <c r="R531" s="151"/>
      <c r="S531" s="152"/>
      <c r="T531" s="151"/>
      <c r="U531" s="151"/>
      <c r="V531" s="153"/>
      <c r="W531" s="151"/>
      <c r="X531" s="151"/>
      <c r="Y531" s="153"/>
      <c r="Z531" s="151"/>
      <c r="AA531" s="187" t="str">
        <f t="shared" si="17"/>
        <v>No</v>
      </c>
      <c r="AB531" s="158"/>
      <c r="AC531" s="159"/>
      <c r="AD531" s="160"/>
    </row>
    <row r="532" spans="1:30">
      <c r="A532" s="155"/>
      <c r="B532" s="112" t="str">
        <f t="shared" si="16"/>
        <v/>
      </c>
      <c r="C532" s="183"/>
      <c r="D532" s="152"/>
      <c r="E532" s="152"/>
      <c r="F532" s="151"/>
      <c r="G532" s="153"/>
      <c r="H532" s="151"/>
      <c r="I532" s="151"/>
      <c r="J532" s="151"/>
      <c r="K532" s="151"/>
      <c r="L532" s="151"/>
      <c r="M532" s="151"/>
      <c r="N532" s="151"/>
      <c r="O532" s="151"/>
      <c r="P532" s="151"/>
      <c r="Q532" s="151"/>
      <c r="R532" s="151"/>
      <c r="S532" s="152"/>
      <c r="T532" s="151"/>
      <c r="U532" s="151"/>
      <c r="V532" s="153"/>
      <c r="W532" s="151"/>
      <c r="X532" s="151"/>
      <c r="Y532" s="153"/>
      <c r="Z532" s="151"/>
      <c r="AA532" s="187" t="str">
        <f t="shared" si="17"/>
        <v>No</v>
      </c>
      <c r="AB532" s="158"/>
      <c r="AC532" s="159"/>
      <c r="AD532" s="160"/>
    </row>
    <row r="533" spans="1:30">
      <c r="A533" s="155"/>
      <c r="B533" s="112" t="str">
        <f t="shared" si="16"/>
        <v/>
      </c>
      <c r="C533" s="183"/>
      <c r="D533" s="152"/>
      <c r="E533" s="152"/>
      <c r="F533" s="151"/>
      <c r="G533" s="153"/>
      <c r="H533" s="151"/>
      <c r="I533" s="151"/>
      <c r="J533" s="151"/>
      <c r="K533" s="151"/>
      <c r="L533" s="151"/>
      <c r="M533" s="151"/>
      <c r="N533" s="151"/>
      <c r="O533" s="151"/>
      <c r="P533" s="151"/>
      <c r="Q533" s="151"/>
      <c r="R533" s="151"/>
      <c r="S533" s="152"/>
      <c r="T533" s="151"/>
      <c r="U533" s="151"/>
      <c r="V533" s="153"/>
      <c r="W533" s="151"/>
      <c r="X533" s="151"/>
      <c r="Y533" s="153"/>
      <c r="Z533" s="151"/>
      <c r="AA533" s="187" t="str">
        <f t="shared" si="17"/>
        <v>No</v>
      </c>
      <c r="AB533" s="158"/>
      <c r="AC533" s="159"/>
      <c r="AD533" s="160"/>
    </row>
    <row r="534" spans="1:30">
      <c r="A534" s="155"/>
      <c r="B534" s="112" t="str">
        <f t="shared" si="16"/>
        <v/>
      </c>
      <c r="C534" s="183"/>
      <c r="D534" s="152"/>
      <c r="E534" s="152"/>
      <c r="F534" s="151"/>
      <c r="G534" s="153"/>
      <c r="H534" s="151"/>
      <c r="I534" s="151"/>
      <c r="J534" s="151"/>
      <c r="K534" s="151"/>
      <c r="L534" s="151"/>
      <c r="M534" s="151"/>
      <c r="N534" s="151"/>
      <c r="O534" s="151"/>
      <c r="P534" s="151"/>
      <c r="Q534" s="151"/>
      <c r="R534" s="151"/>
      <c r="S534" s="152"/>
      <c r="T534" s="151"/>
      <c r="U534" s="151"/>
      <c r="V534" s="153"/>
      <c r="W534" s="151"/>
      <c r="X534" s="151"/>
      <c r="Y534" s="153"/>
      <c r="Z534" s="151"/>
      <c r="AA534" s="187" t="str">
        <f t="shared" si="17"/>
        <v>No</v>
      </c>
      <c r="AB534" s="158"/>
      <c r="AC534" s="159"/>
      <c r="AD534" s="160"/>
    </row>
    <row r="535" spans="1:30">
      <c r="A535" s="155"/>
      <c r="B535" s="112" t="str">
        <f t="shared" si="16"/>
        <v/>
      </c>
      <c r="C535" s="183"/>
      <c r="D535" s="152"/>
      <c r="E535" s="152"/>
      <c r="F535" s="151"/>
      <c r="G535" s="153"/>
      <c r="H535" s="151"/>
      <c r="I535" s="151"/>
      <c r="J535" s="151"/>
      <c r="K535" s="151"/>
      <c r="L535" s="151"/>
      <c r="M535" s="151"/>
      <c r="N535" s="151"/>
      <c r="O535" s="151"/>
      <c r="P535" s="151"/>
      <c r="Q535" s="151"/>
      <c r="R535" s="151"/>
      <c r="S535" s="152"/>
      <c r="T535" s="151"/>
      <c r="U535" s="151"/>
      <c r="V535" s="153"/>
      <c r="W535" s="151"/>
      <c r="X535" s="151"/>
      <c r="Y535" s="153"/>
      <c r="Z535" s="151"/>
      <c r="AA535" s="187" t="str">
        <f t="shared" si="17"/>
        <v>No</v>
      </c>
      <c r="AB535" s="158"/>
      <c r="AC535" s="159"/>
      <c r="AD535" s="160"/>
    </row>
    <row r="536" spans="1:30">
      <c r="A536" s="155"/>
      <c r="B536" s="112" t="str">
        <f t="shared" si="16"/>
        <v/>
      </c>
      <c r="C536" s="183"/>
      <c r="D536" s="152"/>
      <c r="E536" s="152"/>
      <c r="F536" s="151"/>
      <c r="G536" s="153"/>
      <c r="H536" s="151"/>
      <c r="I536" s="151"/>
      <c r="J536" s="151"/>
      <c r="K536" s="151"/>
      <c r="L536" s="151"/>
      <c r="M536" s="151"/>
      <c r="N536" s="151"/>
      <c r="O536" s="151"/>
      <c r="P536" s="151"/>
      <c r="Q536" s="151"/>
      <c r="R536" s="151"/>
      <c r="S536" s="152"/>
      <c r="T536" s="151"/>
      <c r="U536" s="151"/>
      <c r="V536" s="153"/>
      <c r="W536" s="151"/>
      <c r="X536" s="151"/>
      <c r="Y536" s="153"/>
      <c r="Z536" s="151"/>
      <c r="AA536" s="187" t="str">
        <f t="shared" si="17"/>
        <v>No</v>
      </c>
      <c r="AB536" s="158"/>
      <c r="AC536" s="159"/>
      <c r="AD536" s="160"/>
    </row>
    <row r="537" spans="1:30">
      <c r="A537" s="155"/>
      <c r="B537" s="112" t="str">
        <f t="shared" si="16"/>
        <v/>
      </c>
      <c r="C537" s="183"/>
      <c r="D537" s="152"/>
      <c r="E537" s="152"/>
      <c r="F537" s="151"/>
      <c r="G537" s="153"/>
      <c r="H537" s="151"/>
      <c r="I537" s="151"/>
      <c r="J537" s="151"/>
      <c r="K537" s="151"/>
      <c r="L537" s="151"/>
      <c r="M537" s="151"/>
      <c r="N537" s="151"/>
      <c r="O537" s="151"/>
      <c r="P537" s="151"/>
      <c r="Q537" s="151"/>
      <c r="R537" s="151"/>
      <c r="S537" s="152"/>
      <c r="T537" s="151"/>
      <c r="U537" s="151"/>
      <c r="V537" s="153"/>
      <c r="W537" s="151"/>
      <c r="X537" s="151"/>
      <c r="Y537" s="153"/>
      <c r="Z537" s="151"/>
      <c r="AA537" s="187" t="str">
        <f t="shared" si="17"/>
        <v>No</v>
      </c>
      <c r="AB537" s="158"/>
      <c r="AC537" s="159"/>
      <c r="AD537" s="160"/>
    </row>
    <row r="538" spans="1:30">
      <c r="A538" s="155"/>
      <c r="B538" s="112" t="str">
        <f t="shared" si="16"/>
        <v/>
      </c>
      <c r="C538" s="183"/>
      <c r="D538" s="152"/>
      <c r="E538" s="152"/>
      <c r="F538" s="151"/>
      <c r="G538" s="153"/>
      <c r="H538" s="151"/>
      <c r="I538" s="151"/>
      <c r="J538" s="151"/>
      <c r="K538" s="151"/>
      <c r="L538" s="151"/>
      <c r="M538" s="151"/>
      <c r="N538" s="151"/>
      <c r="O538" s="151"/>
      <c r="P538" s="151"/>
      <c r="Q538" s="151"/>
      <c r="R538" s="151"/>
      <c r="S538" s="152"/>
      <c r="T538" s="151"/>
      <c r="U538" s="151"/>
      <c r="V538" s="153"/>
      <c r="W538" s="151"/>
      <c r="X538" s="151"/>
      <c r="Y538" s="153"/>
      <c r="Z538" s="151"/>
      <c r="AA538" s="187" t="str">
        <f t="shared" si="17"/>
        <v>No</v>
      </c>
      <c r="AB538" s="158"/>
      <c r="AC538" s="159"/>
      <c r="AD538" s="160"/>
    </row>
    <row r="539" spans="1:30">
      <c r="A539" s="155"/>
      <c r="B539" s="112" t="str">
        <f t="shared" si="16"/>
        <v/>
      </c>
      <c r="C539" s="183"/>
      <c r="D539" s="152"/>
      <c r="E539" s="152"/>
      <c r="F539" s="151"/>
      <c r="G539" s="153"/>
      <c r="H539" s="151"/>
      <c r="I539" s="151"/>
      <c r="J539" s="151"/>
      <c r="K539" s="151"/>
      <c r="L539" s="151"/>
      <c r="M539" s="151"/>
      <c r="N539" s="151"/>
      <c r="O539" s="151"/>
      <c r="P539" s="151"/>
      <c r="Q539" s="151"/>
      <c r="R539" s="151"/>
      <c r="S539" s="152"/>
      <c r="T539" s="151"/>
      <c r="U539" s="151"/>
      <c r="V539" s="153"/>
      <c r="W539" s="151"/>
      <c r="X539" s="151"/>
      <c r="Y539" s="153"/>
      <c r="Z539" s="151"/>
      <c r="AA539" s="187" t="str">
        <f t="shared" si="17"/>
        <v>No</v>
      </c>
      <c r="AB539" s="158"/>
      <c r="AC539" s="159"/>
      <c r="AD539" s="160"/>
    </row>
    <row r="540" spans="1:30">
      <c r="A540" s="155"/>
      <c r="B540" s="112" t="str">
        <f t="shared" si="16"/>
        <v/>
      </c>
      <c r="C540" s="183"/>
      <c r="D540" s="152"/>
      <c r="E540" s="152"/>
      <c r="F540" s="151"/>
      <c r="G540" s="153"/>
      <c r="H540" s="151"/>
      <c r="I540" s="151"/>
      <c r="J540" s="151"/>
      <c r="K540" s="151"/>
      <c r="L540" s="151"/>
      <c r="M540" s="151"/>
      <c r="N540" s="151"/>
      <c r="O540" s="151"/>
      <c r="P540" s="151"/>
      <c r="Q540" s="151"/>
      <c r="R540" s="151"/>
      <c r="S540" s="152"/>
      <c r="T540" s="151"/>
      <c r="U540" s="151"/>
      <c r="V540" s="153"/>
      <c r="W540" s="151"/>
      <c r="X540" s="151"/>
      <c r="Y540" s="153"/>
      <c r="Z540" s="151"/>
      <c r="AA540" s="187" t="str">
        <f t="shared" si="17"/>
        <v>No</v>
      </c>
      <c r="AB540" s="158"/>
      <c r="AC540" s="159"/>
      <c r="AD540" s="160"/>
    </row>
    <row r="541" spans="1:30">
      <c r="A541" s="155"/>
      <c r="B541" s="112" t="str">
        <f t="shared" si="16"/>
        <v/>
      </c>
      <c r="C541" s="183"/>
      <c r="D541" s="152"/>
      <c r="E541" s="152"/>
      <c r="F541" s="151"/>
      <c r="G541" s="153"/>
      <c r="H541" s="151"/>
      <c r="I541" s="151"/>
      <c r="J541" s="151"/>
      <c r="K541" s="151"/>
      <c r="L541" s="151"/>
      <c r="M541" s="151"/>
      <c r="N541" s="151"/>
      <c r="O541" s="151"/>
      <c r="P541" s="151"/>
      <c r="Q541" s="151"/>
      <c r="R541" s="151"/>
      <c r="S541" s="152"/>
      <c r="T541" s="151"/>
      <c r="U541" s="151"/>
      <c r="V541" s="153"/>
      <c r="W541" s="151"/>
      <c r="X541" s="151"/>
      <c r="Y541" s="153"/>
      <c r="Z541" s="151"/>
      <c r="AA541" s="187" t="str">
        <f t="shared" si="17"/>
        <v>No</v>
      </c>
      <c r="AB541" s="158"/>
      <c r="AC541" s="159"/>
      <c r="AD541" s="160"/>
    </row>
    <row r="542" spans="1:30">
      <c r="A542" s="155"/>
      <c r="B542" s="112" t="str">
        <f t="shared" si="16"/>
        <v/>
      </c>
      <c r="C542" s="183"/>
      <c r="D542" s="152"/>
      <c r="E542" s="152"/>
      <c r="F542" s="151"/>
      <c r="G542" s="153"/>
      <c r="H542" s="151"/>
      <c r="I542" s="151"/>
      <c r="J542" s="151"/>
      <c r="K542" s="151"/>
      <c r="L542" s="151"/>
      <c r="M542" s="151"/>
      <c r="N542" s="151"/>
      <c r="O542" s="151"/>
      <c r="P542" s="151"/>
      <c r="Q542" s="151"/>
      <c r="R542" s="151"/>
      <c r="S542" s="152"/>
      <c r="T542" s="151"/>
      <c r="U542" s="151"/>
      <c r="V542" s="153"/>
      <c r="W542" s="151"/>
      <c r="X542" s="151"/>
      <c r="Y542" s="153"/>
      <c r="Z542" s="151"/>
      <c r="AA542" s="187" t="str">
        <f t="shared" si="17"/>
        <v>No</v>
      </c>
      <c r="AB542" s="158"/>
      <c r="AC542" s="159"/>
      <c r="AD542" s="160"/>
    </row>
    <row r="543" spans="1:30">
      <c r="A543" s="155"/>
      <c r="B543" s="112" t="str">
        <f t="shared" si="16"/>
        <v/>
      </c>
      <c r="C543" s="183"/>
      <c r="D543" s="152"/>
      <c r="E543" s="152"/>
      <c r="F543" s="151"/>
      <c r="G543" s="153"/>
      <c r="H543" s="151"/>
      <c r="I543" s="151"/>
      <c r="J543" s="151"/>
      <c r="K543" s="151"/>
      <c r="L543" s="151"/>
      <c r="M543" s="151"/>
      <c r="N543" s="151"/>
      <c r="O543" s="151"/>
      <c r="P543" s="151"/>
      <c r="Q543" s="151"/>
      <c r="R543" s="151"/>
      <c r="S543" s="152"/>
      <c r="T543" s="151"/>
      <c r="U543" s="151"/>
      <c r="V543" s="153"/>
      <c r="W543" s="151"/>
      <c r="X543" s="151"/>
      <c r="Y543" s="153"/>
      <c r="Z543" s="151"/>
      <c r="AA543" s="187" t="str">
        <f t="shared" si="17"/>
        <v>No</v>
      </c>
      <c r="AB543" s="158"/>
      <c r="AC543" s="159"/>
      <c r="AD543" s="160"/>
    </row>
    <row r="544" spans="1:30">
      <c r="A544" s="155"/>
      <c r="B544" s="112" t="str">
        <f t="shared" si="16"/>
        <v/>
      </c>
      <c r="C544" s="183"/>
      <c r="D544" s="152"/>
      <c r="E544" s="152"/>
      <c r="F544" s="151"/>
      <c r="G544" s="153"/>
      <c r="H544" s="151"/>
      <c r="I544" s="151"/>
      <c r="J544" s="151"/>
      <c r="K544" s="151"/>
      <c r="L544" s="151"/>
      <c r="M544" s="151"/>
      <c r="N544" s="151"/>
      <c r="O544" s="151"/>
      <c r="P544" s="151"/>
      <c r="Q544" s="151"/>
      <c r="R544" s="151"/>
      <c r="S544" s="152"/>
      <c r="T544" s="151"/>
      <c r="U544" s="151"/>
      <c r="V544" s="153"/>
      <c r="W544" s="151"/>
      <c r="X544" s="151"/>
      <c r="Y544" s="153"/>
      <c r="Z544" s="151"/>
      <c r="AA544" s="187" t="str">
        <f t="shared" si="17"/>
        <v>No</v>
      </c>
      <c r="AB544" s="158"/>
      <c r="AC544" s="159"/>
      <c r="AD544" s="160"/>
    </row>
    <row r="545" spans="1:30">
      <c r="A545" s="155"/>
      <c r="B545" s="112" t="str">
        <f t="shared" si="16"/>
        <v/>
      </c>
      <c r="C545" s="183"/>
      <c r="D545" s="152"/>
      <c r="E545" s="152"/>
      <c r="F545" s="151"/>
      <c r="G545" s="153"/>
      <c r="H545" s="151"/>
      <c r="I545" s="151"/>
      <c r="J545" s="151"/>
      <c r="K545" s="151"/>
      <c r="L545" s="151"/>
      <c r="M545" s="151"/>
      <c r="N545" s="151"/>
      <c r="O545" s="151"/>
      <c r="P545" s="151"/>
      <c r="Q545" s="151"/>
      <c r="R545" s="151"/>
      <c r="S545" s="152"/>
      <c r="T545" s="151"/>
      <c r="U545" s="151"/>
      <c r="V545" s="153"/>
      <c r="W545" s="151"/>
      <c r="X545" s="151"/>
      <c r="Y545" s="153"/>
      <c r="Z545" s="151"/>
      <c r="AA545" s="187" t="str">
        <f t="shared" si="17"/>
        <v>No</v>
      </c>
      <c r="AB545" s="158"/>
      <c r="AC545" s="159"/>
      <c r="AD545" s="160"/>
    </row>
    <row r="546" spans="1:30">
      <c r="A546" s="155"/>
      <c r="B546" s="112" t="str">
        <f t="shared" si="16"/>
        <v/>
      </c>
      <c r="C546" s="183"/>
      <c r="D546" s="152"/>
      <c r="E546" s="152"/>
      <c r="F546" s="151"/>
      <c r="G546" s="153"/>
      <c r="H546" s="151"/>
      <c r="I546" s="151"/>
      <c r="J546" s="151"/>
      <c r="K546" s="151"/>
      <c r="L546" s="151"/>
      <c r="M546" s="151"/>
      <c r="N546" s="151"/>
      <c r="O546" s="151"/>
      <c r="P546" s="151"/>
      <c r="Q546" s="151"/>
      <c r="R546" s="151"/>
      <c r="S546" s="152"/>
      <c r="T546" s="151"/>
      <c r="U546" s="151"/>
      <c r="V546" s="153"/>
      <c r="W546" s="151"/>
      <c r="X546" s="151"/>
      <c r="Y546" s="153"/>
      <c r="Z546" s="151"/>
      <c r="AA546" s="187" t="str">
        <f t="shared" si="17"/>
        <v>No</v>
      </c>
      <c r="AB546" s="158"/>
      <c r="AC546" s="159"/>
      <c r="AD546" s="160"/>
    </row>
    <row r="547" spans="1:30">
      <c r="A547" s="155"/>
      <c r="B547" s="112" t="str">
        <f t="shared" si="16"/>
        <v/>
      </c>
      <c r="C547" s="183"/>
      <c r="D547" s="152"/>
      <c r="E547" s="152"/>
      <c r="F547" s="151"/>
      <c r="G547" s="153"/>
      <c r="H547" s="151"/>
      <c r="I547" s="151"/>
      <c r="J547" s="151"/>
      <c r="K547" s="151"/>
      <c r="L547" s="151"/>
      <c r="M547" s="151"/>
      <c r="N547" s="151"/>
      <c r="O547" s="151"/>
      <c r="P547" s="151"/>
      <c r="Q547" s="151"/>
      <c r="R547" s="151"/>
      <c r="S547" s="152"/>
      <c r="T547" s="151"/>
      <c r="U547" s="151"/>
      <c r="V547" s="153"/>
      <c r="W547" s="151"/>
      <c r="X547" s="151"/>
      <c r="Y547" s="153"/>
      <c r="Z547" s="151"/>
      <c r="AA547" s="187" t="str">
        <f t="shared" si="17"/>
        <v>No</v>
      </c>
      <c r="AB547" s="158"/>
      <c r="AC547" s="159"/>
      <c r="AD547" s="160"/>
    </row>
    <row r="548" spans="1:30">
      <c r="A548" s="155"/>
      <c r="B548" s="112" t="str">
        <f t="shared" si="16"/>
        <v/>
      </c>
      <c r="C548" s="183"/>
      <c r="D548" s="152"/>
      <c r="E548" s="152"/>
      <c r="F548" s="151"/>
      <c r="G548" s="153"/>
      <c r="H548" s="151"/>
      <c r="I548" s="151"/>
      <c r="J548" s="151"/>
      <c r="K548" s="151"/>
      <c r="L548" s="151"/>
      <c r="M548" s="151"/>
      <c r="N548" s="151"/>
      <c r="O548" s="151"/>
      <c r="P548" s="151"/>
      <c r="Q548" s="151"/>
      <c r="R548" s="151"/>
      <c r="S548" s="152"/>
      <c r="T548" s="151"/>
      <c r="U548" s="151"/>
      <c r="V548" s="153"/>
      <c r="W548" s="151"/>
      <c r="X548" s="151"/>
      <c r="Y548" s="153"/>
      <c r="Z548" s="151"/>
      <c r="AA548" s="187" t="str">
        <f t="shared" si="17"/>
        <v>No</v>
      </c>
      <c r="AB548" s="158"/>
      <c r="AC548" s="159"/>
      <c r="AD548" s="160"/>
    </row>
    <row r="549" spans="1:30">
      <c r="A549" s="155"/>
      <c r="B549" s="112" t="str">
        <f t="shared" si="16"/>
        <v/>
      </c>
      <c r="C549" s="183"/>
      <c r="D549" s="152"/>
      <c r="E549" s="152"/>
      <c r="F549" s="151"/>
      <c r="G549" s="153"/>
      <c r="H549" s="151"/>
      <c r="I549" s="151"/>
      <c r="J549" s="151"/>
      <c r="K549" s="151"/>
      <c r="L549" s="151"/>
      <c r="M549" s="151"/>
      <c r="N549" s="151"/>
      <c r="O549" s="151"/>
      <c r="P549" s="151"/>
      <c r="Q549" s="151"/>
      <c r="R549" s="151"/>
      <c r="S549" s="152"/>
      <c r="T549" s="151"/>
      <c r="U549" s="151"/>
      <c r="V549" s="153"/>
      <c r="W549" s="151"/>
      <c r="X549" s="151"/>
      <c r="Y549" s="153"/>
      <c r="Z549" s="151"/>
      <c r="AA549" s="187" t="str">
        <f t="shared" si="17"/>
        <v>No</v>
      </c>
      <c r="AB549" s="158"/>
      <c r="AC549" s="159"/>
      <c r="AD549" s="160"/>
    </row>
    <row r="550" spans="1:30">
      <c r="A550" s="155"/>
      <c r="B550" s="112" t="str">
        <f t="shared" si="16"/>
        <v/>
      </c>
      <c r="C550" s="183"/>
      <c r="D550" s="152"/>
      <c r="E550" s="152"/>
      <c r="F550" s="151"/>
      <c r="G550" s="153"/>
      <c r="H550" s="151"/>
      <c r="I550" s="151"/>
      <c r="J550" s="151"/>
      <c r="K550" s="151"/>
      <c r="L550" s="151"/>
      <c r="M550" s="151"/>
      <c r="N550" s="151"/>
      <c r="O550" s="151"/>
      <c r="P550" s="151"/>
      <c r="Q550" s="151"/>
      <c r="R550" s="151"/>
      <c r="S550" s="152"/>
      <c r="T550" s="151"/>
      <c r="U550" s="151"/>
      <c r="V550" s="153"/>
      <c r="W550" s="151"/>
      <c r="X550" s="151"/>
      <c r="Y550" s="153"/>
      <c r="Z550" s="151"/>
      <c r="AA550" s="187" t="str">
        <f t="shared" si="17"/>
        <v>No</v>
      </c>
      <c r="AB550" s="158"/>
      <c r="AC550" s="159"/>
      <c r="AD550" s="160"/>
    </row>
    <row r="551" spans="1:30">
      <c r="A551" s="155"/>
      <c r="B551" s="112" t="str">
        <f t="shared" si="16"/>
        <v/>
      </c>
      <c r="C551" s="183"/>
      <c r="D551" s="152"/>
      <c r="E551" s="152"/>
      <c r="F551" s="151"/>
      <c r="G551" s="153"/>
      <c r="H551" s="151"/>
      <c r="I551" s="151"/>
      <c r="J551" s="151"/>
      <c r="K551" s="151"/>
      <c r="L551" s="151"/>
      <c r="M551" s="151"/>
      <c r="N551" s="151"/>
      <c r="O551" s="151"/>
      <c r="P551" s="151"/>
      <c r="Q551" s="151"/>
      <c r="R551" s="151"/>
      <c r="S551" s="152"/>
      <c r="T551" s="151"/>
      <c r="U551" s="151"/>
      <c r="V551" s="153"/>
      <c r="W551" s="151"/>
      <c r="X551" s="151"/>
      <c r="Y551" s="153"/>
      <c r="Z551" s="151"/>
      <c r="AA551" s="187" t="str">
        <f t="shared" si="17"/>
        <v>No</v>
      </c>
      <c r="AB551" s="158"/>
      <c r="AC551" s="159"/>
      <c r="AD551" s="160"/>
    </row>
    <row r="552" spans="1:30">
      <c r="A552" s="155"/>
      <c r="B552" s="112" t="str">
        <f t="shared" si="16"/>
        <v/>
      </c>
      <c r="C552" s="183"/>
      <c r="D552" s="152"/>
      <c r="E552" s="152"/>
      <c r="F552" s="151"/>
      <c r="G552" s="153"/>
      <c r="H552" s="151"/>
      <c r="I552" s="151"/>
      <c r="J552" s="151"/>
      <c r="K552" s="151"/>
      <c r="L552" s="151"/>
      <c r="M552" s="151"/>
      <c r="N552" s="151"/>
      <c r="O552" s="151"/>
      <c r="P552" s="151"/>
      <c r="Q552" s="151"/>
      <c r="R552" s="151"/>
      <c r="S552" s="152"/>
      <c r="T552" s="151"/>
      <c r="U552" s="151"/>
      <c r="V552" s="153"/>
      <c r="W552" s="151"/>
      <c r="X552" s="151"/>
      <c r="Y552" s="153"/>
      <c r="Z552" s="151"/>
      <c r="AA552" s="187" t="str">
        <f t="shared" si="17"/>
        <v>No</v>
      </c>
      <c r="AB552" s="158"/>
      <c r="AC552" s="159"/>
      <c r="AD552" s="160"/>
    </row>
    <row r="553" spans="1:30">
      <c r="A553" s="155"/>
      <c r="B553" s="112" t="str">
        <f t="shared" si="16"/>
        <v/>
      </c>
      <c r="C553" s="183"/>
      <c r="D553" s="152"/>
      <c r="E553" s="152"/>
      <c r="F553" s="151"/>
      <c r="G553" s="153"/>
      <c r="H553" s="151"/>
      <c r="I553" s="151"/>
      <c r="J553" s="151"/>
      <c r="K553" s="151"/>
      <c r="L553" s="151"/>
      <c r="M553" s="151"/>
      <c r="N553" s="151"/>
      <c r="O553" s="151"/>
      <c r="P553" s="151"/>
      <c r="Q553" s="151"/>
      <c r="R553" s="151"/>
      <c r="S553" s="152"/>
      <c r="T553" s="151"/>
      <c r="U553" s="151"/>
      <c r="V553" s="153"/>
      <c r="W553" s="151"/>
      <c r="X553" s="151"/>
      <c r="Y553" s="153"/>
      <c r="Z553" s="151"/>
      <c r="AA553" s="187" t="str">
        <f t="shared" si="17"/>
        <v>No</v>
      </c>
      <c r="AB553" s="158"/>
      <c r="AC553" s="159"/>
      <c r="AD553" s="160"/>
    </row>
    <row r="554" spans="1:30">
      <c r="A554" s="155"/>
      <c r="B554" s="112" t="str">
        <f t="shared" si="16"/>
        <v/>
      </c>
      <c r="C554" s="183"/>
      <c r="D554" s="152"/>
      <c r="E554" s="152"/>
      <c r="F554" s="151"/>
      <c r="G554" s="153"/>
      <c r="H554" s="151"/>
      <c r="I554" s="151"/>
      <c r="J554" s="151"/>
      <c r="K554" s="151"/>
      <c r="L554" s="151"/>
      <c r="M554" s="151"/>
      <c r="N554" s="151"/>
      <c r="O554" s="151"/>
      <c r="P554" s="151"/>
      <c r="Q554" s="151"/>
      <c r="R554" s="151"/>
      <c r="S554" s="152"/>
      <c r="T554" s="151"/>
      <c r="U554" s="151"/>
      <c r="V554" s="153"/>
      <c r="W554" s="151"/>
      <c r="X554" s="151"/>
      <c r="Y554" s="153"/>
      <c r="Z554" s="151"/>
      <c r="AA554" s="187" t="str">
        <f t="shared" si="17"/>
        <v>No</v>
      </c>
      <c r="AB554" s="158"/>
      <c r="AC554" s="159"/>
      <c r="AD554" s="160"/>
    </row>
    <row r="555" spans="1:30">
      <c r="A555" s="155"/>
      <c r="B555" s="112" t="str">
        <f t="shared" si="16"/>
        <v/>
      </c>
      <c r="C555" s="183"/>
      <c r="D555" s="152"/>
      <c r="E555" s="152"/>
      <c r="F555" s="151"/>
      <c r="G555" s="153"/>
      <c r="H555" s="151"/>
      <c r="I555" s="151"/>
      <c r="J555" s="151"/>
      <c r="K555" s="151"/>
      <c r="L555" s="151"/>
      <c r="M555" s="151"/>
      <c r="N555" s="151"/>
      <c r="O555" s="151"/>
      <c r="P555" s="151"/>
      <c r="Q555" s="151"/>
      <c r="R555" s="151"/>
      <c r="S555" s="152"/>
      <c r="T555" s="151"/>
      <c r="U555" s="151"/>
      <c r="V555" s="153"/>
      <c r="W555" s="151"/>
      <c r="X555" s="151"/>
      <c r="Y555" s="153"/>
      <c r="Z555" s="151"/>
      <c r="AA555" s="187" t="str">
        <f t="shared" si="17"/>
        <v>No</v>
      </c>
      <c r="AB555" s="158"/>
      <c r="AC555" s="159"/>
      <c r="AD555" s="160"/>
    </row>
    <row r="556" spans="1:30">
      <c r="A556" s="155"/>
      <c r="B556" s="112" t="str">
        <f t="shared" si="16"/>
        <v/>
      </c>
      <c r="C556" s="183"/>
      <c r="D556" s="152"/>
      <c r="E556" s="152"/>
      <c r="F556" s="151"/>
      <c r="G556" s="153"/>
      <c r="H556" s="151"/>
      <c r="I556" s="151"/>
      <c r="J556" s="151"/>
      <c r="K556" s="151"/>
      <c r="L556" s="151"/>
      <c r="M556" s="151"/>
      <c r="N556" s="151"/>
      <c r="O556" s="151"/>
      <c r="P556" s="151"/>
      <c r="Q556" s="151"/>
      <c r="R556" s="151"/>
      <c r="S556" s="152"/>
      <c r="T556" s="151"/>
      <c r="U556" s="151"/>
      <c r="V556" s="153"/>
      <c r="W556" s="151"/>
      <c r="X556" s="151"/>
      <c r="Y556" s="153"/>
      <c r="Z556" s="151"/>
      <c r="AA556" s="187" t="str">
        <f t="shared" si="17"/>
        <v>No</v>
      </c>
      <c r="AB556" s="158"/>
      <c r="AC556" s="159"/>
      <c r="AD556" s="160"/>
    </row>
    <row r="557" spans="1:30">
      <c r="A557" s="155"/>
      <c r="B557" s="112" t="str">
        <f t="shared" si="16"/>
        <v/>
      </c>
      <c r="C557" s="183"/>
      <c r="D557" s="152"/>
      <c r="E557" s="152"/>
      <c r="F557" s="151"/>
      <c r="G557" s="153"/>
      <c r="H557" s="151"/>
      <c r="I557" s="151"/>
      <c r="J557" s="151"/>
      <c r="K557" s="151"/>
      <c r="L557" s="151"/>
      <c r="M557" s="151"/>
      <c r="N557" s="151"/>
      <c r="O557" s="151"/>
      <c r="P557" s="151"/>
      <c r="Q557" s="151"/>
      <c r="R557" s="151"/>
      <c r="S557" s="152"/>
      <c r="T557" s="151"/>
      <c r="U557" s="151"/>
      <c r="V557" s="153"/>
      <c r="W557" s="151"/>
      <c r="X557" s="151"/>
      <c r="Y557" s="153"/>
      <c r="Z557" s="151"/>
      <c r="AA557" s="187" t="str">
        <f t="shared" si="17"/>
        <v>No</v>
      </c>
      <c r="AB557" s="158"/>
      <c r="AC557" s="159"/>
      <c r="AD557" s="160"/>
    </row>
    <row r="558" spans="1:30">
      <c r="A558" s="155"/>
      <c r="B558" s="112" t="str">
        <f t="shared" si="16"/>
        <v/>
      </c>
      <c r="C558" s="183"/>
      <c r="D558" s="152"/>
      <c r="E558" s="152"/>
      <c r="F558" s="151"/>
      <c r="G558" s="153"/>
      <c r="H558" s="151"/>
      <c r="I558" s="151"/>
      <c r="J558" s="151"/>
      <c r="K558" s="151"/>
      <c r="L558" s="151"/>
      <c r="M558" s="151"/>
      <c r="N558" s="151"/>
      <c r="O558" s="151"/>
      <c r="P558" s="151"/>
      <c r="Q558" s="151"/>
      <c r="R558" s="151"/>
      <c r="S558" s="152"/>
      <c r="T558" s="151"/>
      <c r="U558" s="151"/>
      <c r="V558" s="153"/>
      <c r="W558" s="151"/>
      <c r="X558" s="151"/>
      <c r="Y558" s="153"/>
      <c r="Z558" s="151"/>
      <c r="AA558" s="187" t="str">
        <f t="shared" si="17"/>
        <v>No</v>
      </c>
      <c r="AB558" s="158"/>
      <c r="AC558" s="159"/>
      <c r="AD558" s="160"/>
    </row>
    <row r="559" spans="1:30">
      <c r="A559" s="155"/>
      <c r="B559" s="112" t="str">
        <f t="shared" si="16"/>
        <v/>
      </c>
      <c r="C559" s="183"/>
      <c r="D559" s="152"/>
      <c r="E559" s="152"/>
      <c r="F559" s="151"/>
      <c r="G559" s="153"/>
      <c r="H559" s="151"/>
      <c r="I559" s="151"/>
      <c r="J559" s="151"/>
      <c r="K559" s="151"/>
      <c r="L559" s="151"/>
      <c r="M559" s="151"/>
      <c r="N559" s="151"/>
      <c r="O559" s="151"/>
      <c r="P559" s="151"/>
      <c r="Q559" s="151"/>
      <c r="R559" s="151"/>
      <c r="S559" s="152"/>
      <c r="T559" s="151"/>
      <c r="U559" s="151"/>
      <c r="V559" s="153"/>
      <c r="W559" s="151"/>
      <c r="X559" s="151"/>
      <c r="Y559" s="153"/>
      <c r="Z559" s="151"/>
      <c r="AA559" s="187" t="str">
        <f t="shared" si="17"/>
        <v>No</v>
      </c>
      <c r="AB559" s="158"/>
      <c r="AC559" s="159"/>
      <c r="AD559" s="160"/>
    </row>
    <row r="560" spans="1:30">
      <c r="A560" s="155"/>
      <c r="B560" s="112" t="str">
        <f t="shared" si="16"/>
        <v/>
      </c>
      <c r="C560" s="183"/>
      <c r="D560" s="152"/>
      <c r="E560" s="152"/>
      <c r="F560" s="151"/>
      <c r="G560" s="153"/>
      <c r="H560" s="151"/>
      <c r="I560" s="151"/>
      <c r="J560" s="151"/>
      <c r="K560" s="151"/>
      <c r="L560" s="151"/>
      <c r="M560" s="151"/>
      <c r="N560" s="151"/>
      <c r="O560" s="151"/>
      <c r="P560" s="151"/>
      <c r="Q560" s="151"/>
      <c r="R560" s="151"/>
      <c r="S560" s="152"/>
      <c r="T560" s="151"/>
      <c r="U560" s="151"/>
      <c r="V560" s="153"/>
      <c r="W560" s="151"/>
      <c r="X560" s="151"/>
      <c r="Y560" s="153"/>
      <c r="Z560" s="151"/>
      <c r="AA560" s="187" t="str">
        <f t="shared" si="17"/>
        <v>No</v>
      </c>
      <c r="AB560" s="158"/>
      <c r="AC560" s="159"/>
      <c r="AD560" s="160"/>
    </row>
    <row r="561" spans="1:30">
      <c r="A561" s="155"/>
      <c r="B561" s="112" t="str">
        <f t="shared" si="16"/>
        <v/>
      </c>
      <c r="C561" s="183"/>
      <c r="D561" s="152"/>
      <c r="E561" s="152"/>
      <c r="F561" s="151"/>
      <c r="G561" s="153"/>
      <c r="H561" s="151"/>
      <c r="I561" s="151"/>
      <c r="J561" s="151"/>
      <c r="K561" s="151"/>
      <c r="L561" s="151"/>
      <c r="M561" s="151"/>
      <c r="N561" s="151"/>
      <c r="O561" s="151"/>
      <c r="P561" s="151"/>
      <c r="Q561" s="151"/>
      <c r="R561" s="151"/>
      <c r="S561" s="152"/>
      <c r="T561" s="151"/>
      <c r="U561" s="151"/>
      <c r="V561" s="153"/>
      <c r="W561" s="151"/>
      <c r="X561" s="151"/>
      <c r="Y561" s="153"/>
      <c r="Z561" s="151"/>
      <c r="AA561" s="187" t="str">
        <f t="shared" si="17"/>
        <v>No</v>
      </c>
      <c r="AB561" s="158"/>
      <c r="AC561" s="159"/>
      <c r="AD561" s="160"/>
    </row>
    <row r="562" spans="1:30">
      <c r="A562" s="155"/>
      <c r="B562" s="112" t="str">
        <f t="shared" si="16"/>
        <v/>
      </c>
      <c r="C562" s="183"/>
      <c r="D562" s="152"/>
      <c r="E562" s="152"/>
      <c r="F562" s="151"/>
      <c r="G562" s="153"/>
      <c r="H562" s="151"/>
      <c r="I562" s="151"/>
      <c r="J562" s="151"/>
      <c r="K562" s="151"/>
      <c r="L562" s="151"/>
      <c r="M562" s="151"/>
      <c r="N562" s="151"/>
      <c r="O562" s="151"/>
      <c r="P562" s="151"/>
      <c r="Q562" s="151"/>
      <c r="R562" s="151"/>
      <c r="S562" s="152"/>
      <c r="T562" s="151"/>
      <c r="U562" s="151"/>
      <c r="V562" s="153"/>
      <c r="W562" s="151"/>
      <c r="X562" s="151"/>
      <c r="Y562" s="153"/>
      <c r="Z562" s="151"/>
      <c r="AA562" s="187" t="str">
        <f t="shared" si="17"/>
        <v>No</v>
      </c>
      <c r="AB562" s="158"/>
      <c r="AC562" s="159"/>
      <c r="AD562" s="160"/>
    </row>
    <row r="563" spans="1:30">
      <c r="A563" s="155"/>
      <c r="B563" s="112" t="str">
        <f t="shared" si="16"/>
        <v/>
      </c>
      <c r="C563" s="183"/>
      <c r="D563" s="152"/>
      <c r="E563" s="152"/>
      <c r="F563" s="151"/>
      <c r="G563" s="153"/>
      <c r="H563" s="151"/>
      <c r="I563" s="151"/>
      <c r="J563" s="151"/>
      <c r="K563" s="151"/>
      <c r="L563" s="151"/>
      <c r="M563" s="151"/>
      <c r="N563" s="151"/>
      <c r="O563" s="151"/>
      <c r="P563" s="151"/>
      <c r="Q563" s="151"/>
      <c r="R563" s="151"/>
      <c r="S563" s="152"/>
      <c r="T563" s="151"/>
      <c r="U563" s="151"/>
      <c r="V563" s="153"/>
      <c r="W563" s="151"/>
      <c r="X563" s="151"/>
      <c r="Y563" s="153"/>
      <c r="Z563" s="151"/>
      <c r="AA563" s="187" t="str">
        <f t="shared" si="17"/>
        <v>No</v>
      </c>
      <c r="AB563" s="158"/>
      <c r="AC563" s="159"/>
      <c r="AD563" s="160"/>
    </row>
    <row r="564" spans="1:30">
      <c r="A564" s="155"/>
      <c r="B564" s="112" t="str">
        <f t="shared" si="16"/>
        <v/>
      </c>
      <c r="C564" s="183"/>
      <c r="D564" s="152"/>
      <c r="E564" s="152"/>
      <c r="F564" s="151"/>
      <c r="G564" s="153"/>
      <c r="H564" s="151"/>
      <c r="I564" s="151"/>
      <c r="J564" s="151"/>
      <c r="K564" s="151"/>
      <c r="L564" s="151"/>
      <c r="M564" s="151"/>
      <c r="N564" s="151"/>
      <c r="O564" s="151"/>
      <c r="P564" s="151"/>
      <c r="Q564" s="151"/>
      <c r="R564" s="151"/>
      <c r="S564" s="152"/>
      <c r="T564" s="151"/>
      <c r="U564" s="151"/>
      <c r="V564" s="153"/>
      <c r="W564" s="151"/>
      <c r="X564" s="151"/>
      <c r="Y564" s="153"/>
      <c r="Z564" s="151"/>
      <c r="AA564" s="187" t="str">
        <f t="shared" si="17"/>
        <v>No</v>
      </c>
      <c r="AB564" s="158"/>
      <c r="AC564" s="159"/>
      <c r="AD564" s="160"/>
    </row>
    <row r="565" spans="1:30">
      <c r="A565" s="155"/>
      <c r="B565" s="112" t="str">
        <f t="shared" si="16"/>
        <v/>
      </c>
      <c r="C565" s="183"/>
      <c r="D565" s="152"/>
      <c r="E565" s="152"/>
      <c r="F565" s="151"/>
      <c r="G565" s="153"/>
      <c r="H565" s="151"/>
      <c r="I565" s="151"/>
      <c r="J565" s="151"/>
      <c r="K565" s="151"/>
      <c r="L565" s="151"/>
      <c r="M565" s="151"/>
      <c r="N565" s="151"/>
      <c r="O565" s="151"/>
      <c r="P565" s="151"/>
      <c r="Q565" s="151"/>
      <c r="R565" s="151"/>
      <c r="S565" s="152"/>
      <c r="T565" s="151"/>
      <c r="U565" s="151"/>
      <c r="V565" s="153"/>
      <c r="W565" s="151"/>
      <c r="X565" s="151"/>
      <c r="Y565" s="153"/>
      <c r="Z565" s="151"/>
      <c r="AA565" s="187" t="str">
        <f t="shared" si="17"/>
        <v>No</v>
      </c>
      <c r="AB565" s="158"/>
      <c r="AC565" s="159"/>
      <c r="AD565" s="160"/>
    </row>
    <row r="566" spans="1:30">
      <c r="A566" s="155"/>
      <c r="B566" s="112" t="str">
        <f t="shared" si="16"/>
        <v/>
      </c>
      <c r="C566" s="183"/>
      <c r="D566" s="152"/>
      <c r="E566" s="152"/>
      <c r="F566" s="151"/>
      <c r="G566" s="153"/>
      <c r="H566" s="151"/>
      <c r="I566" s="151"/>
      <c r="J566" s="151"/>
      <c r="K566" s="151"/>
      <c r="L566" s="151"/>
      <c r="M566" s="151"/>
      <c r="N566" s="151"/>
      <c r="O566" s="151"/>
      <c r="P566" s="151"/>
      <c r="Q566" s="151"/>
      <c r="R566" s="151"/>
      <c r="S566" s="152"/>
      <c r="T566" s="151"/>
      <c r="U566" s="151"/>
      <c r="V566" s="153"/>
      <c r="W566" s="151"/>
      <c r="X566" s="151"/>
      <c r="Y566" s="153"/>
      <c r="Z566" s="151"/>
      <c r="AA566" s="187" t="str">
        <f t="shared" si="17"/>
        <v>No</v>
      </c>
      <c r="AB566" s="158"/>
      <c r="AC566" s="159"/>
      <c r="AD566" s="160"/>
    </row>
    <row r="567" spans="1:30">
      <c r="A567" s="155"/>
      <c r="B567" s="112" t="str">
        <f t="shared" si="16"/>
        <v/>
      </c>
      <c r="C567" s="183"/>
      <c r="D567" s="152"/>
      <c r="E567" s="152"/>
      <c r="F567" s="151"/>
      <c r="G567" s="153"/>
      <c r="H567" s="151"/>
      <c r="I567" s="151"/>
      <c r="J567" s="151"/>
      <c r="K567" s="151"/>
      <c r="L567" s="151"/>
      <c r="M567" s="151"/>
      <c r="N567" s="151"/>
      <c r="O567" s="151"/>
      <c r="P567" s="151"/>
      <c r="Q567" s="151"/>
      <c r="R567" s="151"/>
      <c r="S567" s="152"/>
      <c r="T567" s="151"/>
      <c r="U567" s="151"/>
      <c r="V567" s="153"/>
      <c r="W567" s="151"/>
      <c r="X567" s="151"/>
      <c r="Y567" s="153"/>
      <c r="Z567" s="151"/>
      <c r="AA567" s="187" t="str">
        <f t="shared" si="17"/>
        <v>No</v>
      </c>
      <c r="AB567" s="158"/>
      <c r="AC567" s="159"/>
      <c r="AD567" s="160"/>
    </row>
    <row r="568" spans="1:30">
      <c r="A568" s="155"/>
      <c r="B568" s="112" t="str">
        <f t="shared" si="16"/>
        <v/>
      </c>
      <c r="C568" s="183"/>
      <c r="D568" s="152"/>
      <c r="E568" s="152"/>
      <c r="F568" s="151"/>
      <c r="G568" s="153"/>
      <c r="H568" s="151"/>
      <c r="I568" s="151"/>
      <c r="J568" s="151"/>
      <c r="K568" s="151"/>
      <c r="L568" s="151"/>
      <c r="M568" s="151"/>
      <c r="N568" s="151"/>
      <c r="O568" s="151"/>
      <c r="P568" s="151"/>
      <c r="Q568" s="151"/>
      <c r="R568" s="151"/>
      <c r="S568" s="152"/>
      <c r="T568" s="151"/>
      <c r="U568" s="151"/>
      <c r="V568" s="153"/>
      <c r="W568" s="151"/>
      <c r="X568" s="151"/>
      <c r="Y568" s="153"/>
      <c r="Z568" s="151"/>
      <c r="AA568" s="187" t="str">
        <f t="shared" si="17"/>
        <v>No</v>
      </c>
      <c r="AB568" s="158"/>
      <c r="AC568" s="159"/>
      <c r="AD568" s="160"/>
    </row>
    <row r="569" spans="1:30">
      <c r="A569" s="155"/>
      <c r="B569" s="112" t="str">
        <f t="shared" si="16"/>
        <v/>
      </c>
      <c r="C569" s="183"/>
      <c r="D569" s="152"/>
      <c r="E569" s="152"/>
      <c r="F569" s="151"/>
      <c r="G569" s="153"/>
      <c r="H569" s="151"/>
      <c r="I569" s="151"/>
      <c r="J569" s="151"/>
      <c r="K569" s="151"/>
      <c r="L569" s="151"/>
      <c r="M569" s="151"/>
      <c r="N569" s="151"/>
      <c r="O569" s="151"/>
      <c r="P569" s="151"/>
      <c r="Q569" s="151"/>
      <c r="R569" s="151"/>
      <c r="S569" s="152"/>
      <c r="T569" s="151"/>
      <c r="U569" s="151"/>
      <c r="V569" s="153"/>
      <c r="W569" s="151"/>
      <c r="X569" s="151"/>
      <c r="Y569" s="153"/>
      <c r="Z569" s="151"/>
      <c r="AA569" s="187" t="str">
        <f t="shared" si="17"/>
        <v>No</v>
      </c>
      <c r="AB569" s="158"/>
      <c r="AC569" s="159"/>
      <c r="AD569" s="160"/>
    </row>
    <row r="570" spans="1:30">
      <c r="A570" s="155"/>
      <c r="B570" s="112" t="str">
        <f t="shared" si="16"/>
        <v/>
      </c>
      <c r="C570" s="183"/>
      <c r="D570" s="152"/>
      <c r="E570" s="152"/>
      <c r="F570" s="151"/>
      <c r="G570" s="153"/>
      <c r="H570" s="151"/>
      <c r="I570" s="151"/>
      <c r="J570" s="151"/>
      <c r="K570" s="151"/>
      <c r="L570" s="151"/>
      <c r="M570" s="151"/>
      <c r="N570" s="151"/>
      <c r="O570" s="151"/>
      <c r="P570" s="151"/>
      <c r="Q570" s="151"/>
      <c r="R570" s="151"/>
      <c r="S570" s="152"/>
      <c r="T570" s="151"/>
      <c r="U570" s="151"/>
      <c r="V570" s="153"/>
      <c r="W570" s="151"/>
      <c r="X570" s="151"/>
      <c r="Y570" s="153"/>
      <c r="Z570" s="151"/>
      <c r="AA570" s="187" t="str">
        <f t="shared" si="17"/>
        <v>No</v>
      </c>
      <c r="AB570" s="158"/>
      <c r="AC570" s="159"/>
      <c r="AD570" s="160"/>
    </row>
    <row r="571" spans="1:30">
      <c r="A571" s="155"/>
      <c r="B571" s="112" t="str">
        <f t="shared" si="16"/>
        <v/>
      </c>
      <c r="C571" s="183"/>
      <c r="D571" s="152"/>
      <c r="E571" s="152"/>
      <c r="F571" s="151"/>
      <c r="G571" s="153"/>
      <c r="H571" s="151"/>
      <c r="I571" s="151"/>
      <c r="J571" s="151"/>
      <c r="K571" s="151"/>
      <c r="L571" s="151"/>
      <c r="M571" s="151"/>
      <c r="N571" s="151"/>
      <c r="O571" s="151"/>
      <c r="P571" s="151"/>
      <c r="Q571" s="151"/>
      <c r="R571" s="151"/>
      <c r="S571" s="152"/>
      <c r="T571" s="151"/>
      <c r="U571" s="151"/>
      <c r="V571" s="153"/>
      <c r="W571" s="151"/>
      <c r="X571" s="151"/>
      <c r="Y571" s="153"/>
      <c r="Z571" s="151"/>
      <c r="AA571" s="187" t="str">
        <f t="shared" si="17"/>
        <v>No</v>
      </c>
      <c r="AB571" s="158"/>
      <c r="AC571" s="159"/>
      <c r="AD571" s="160"/>
    </row>
    <row r="572" spans="1:30">
      <c r="A572" s="155"/>
      <c r="B572" s="112" t="str">
        <f t="shared" si="16"/>
        <v/>
      </c>
      <c r="C572" s="183"/>
      <c r="D572" s="152"/>
      <c r="E572" s="152"/>
      <c r="F572" s="151"/>
      <c r="G572" s="153"/>
      <c r="H572" s="151"/>
      <c r="I572" s="151"/>
      <c r="J572" s="151"/>
      <c r="K572" s="151"/>
      <c r="L572" s="151"/>
      <c r="M572" s="151"/>
      <c r="N572" s="151"/>
      <c r="O572" s="151"/>
      <c r="P572" s="151"/>
      <c r="Q572" s="151"/>
      <c r="R572" s="151"/>
      <c r="S572" s="152"/>
      <c r="T572" s="151"/>
      <c r="U572" s="151"/>
      <c r="V572" s="153"/>
      <c r="W572" s="151"/>
      <c r="X572" s="151"/>
      <c r="Y572" s="153"/>
      <c r="Z572" s="151"/>
      <c r="AA572" s="187" t="str">
        <f t="shared" si="17"/>
        <v>No</v>
      </c>
      <c r="AB572" s="158"/>
      <c r="AC572" s="159"/>
      <c r="AD572" s="160"/>
    </row>
    <row r="573" spans="1:30">
      <c r="A573" s="155"/>
      <c r="B573" s="112" t="str">
        <f t="shared" si="16"/>
        <v/>
      </c>
      <c r="C573" s="183"/>
      <c r="D573" s="152"/>
      <c r="E573" s="152"/>
      <c r="F573" s="151"/>
      <c r="G573" s="153"/>
      <c r="H573" s="151"/>
      <c r="I573" s="151"/>
      <c r="J573" s="151"/>
      <c r="K573" s="151"/>
      <c r="L573" s="151"/>
      <c r="M573" s="151"/>
      <c r="N573" s="151"/>
      <c r="O573" s="151"/>
      <c r="P573" s="151"/>
      <c r="Q573" s="151"/>
      <c r="R573" s="151"/>
      <c r="S573" s="152"/>
      <c r="T573" s="151"/>
      <c r="U573" s="151"/>
      <c r="V573" s="153"/>
      <c r="W573" s="151"/>
      <c r="X573" s="151"/>
      <c r="Y573" s="153"/>
      <c r="Z573" s="151"/>
      <c r="AA573" s="187" t="str">
        <f t="shared" si="17"/>
        <v>No</v>
      </c>
      <c r="AB573" s="158"/>
      <c r="AC573" s="159"/>
      <c r="AD573" s="160"/>
    </row>
    <row r="574" spans="1:30">
      <c r="A574" s="155"/>
      <c r="B574" s="112" t="str">
        <f t="shared" si="16"/>
        <v/>
      </c>
      <c r="C574" s="183"/>
      <c r="D574" s="152"/>
      <c r="E574" s="152"/>
      <c r="F574" s="151"/>
      <c r="G574" s="153"/>
      <c r="H574" s="151"/>
      <c r="I574" s="151"/>
      <c r="J574" s="151"/>
      <c r="K574" s="151"/>
      <c r="L574" s="151"/>
      <c r="M574" s="151"/>
      <c r="N574" s="151"/>
      <c r="O574" s="151"/>
      <c r="P574" s="151"/>
      <c r="Q574" s="151"/>
      <c r="R574" s="151"/>
      <c r="S574" s="152"/>
      <c r="T574" s="151"/>
      <c r="U574" s="151"/>
      <c r="V574" s="153"/>
      <c r="W574" s="151"/>
      <c r="X574" s="151"/>
      <c r="Y574" s="153"/>
      <c r="Z574" s="151"/>
      <c r="AA574" s="187" t="str">
        <f t="shared" si="17"/>
        <v>No</v>
      </c>
      <c r="AB574" s="158"/>
      <c r="AC574" s="159"/>
      <c r="AD574" s="160"/>
    </row>
    <row r="575" spans="1:30">
      <c r="A575" s="155"/>
      <c r="B575" s="112" t="str">
        <f t="shared" si="16"/>
        <v/>
      </c>
      <c r="C575" s="183"/>
      <c r="D575" s="152"/>
      <c r="E575" s="152"/>
      <c r="F575" s="151"/>
      <c r="G575" s="153"/>
      <c r="H575" s="151"/>
      <c r="I575" s="151"/>
      <c r="J575" s="151"/>
      <c r="K575" s="151"/>
      <c r="L575" s="151"/>
      <c r="M575" s="151"/>
      <c r="N575" s="151"/>
      <c r="O575" s="151"/>
      <c r="P575" s="151"/>
      <c r="Q575" s="151"/>
      <c r="R575" s="151"/>
      <c r="S575" s="152"/>
      <c r="T575" s="151"/>
      <c r="U575" s="151"/>
      <c r="V575" s="153"/>
      <c r="W575" s="151"/>
      <c r="X575" s="151"/>
      <c r="Y575" s="153"/>
      <c r="Z575" s="151"/>
      <c r="AA575" s="187" t="str">
        <f t="shared" si="17"/>
        <v>No</v>
      </c>
      <c r="AB575" s="158"/>
      <c r="AC575" s="159"/>
      <c r="AD575" s="160"/>
    </row>
    <row r="576" spans="1:30">
      <c r="A576" s="155"/>
      <c r="B576" s="112" t="str">
        <f t="shared" si="16"/>
        <v/>
      </c>
      <c r="C576" s="183"/>
      <c r="D576" s="152"/>
      <c r="E576" s="152"/>
      <c r="F576" s="151"/>
      <c r="G576" s="153"/>
      <c r="H576" s="151"/>
      <c r="I576" s="151"/>
      <c r="J576" s="151"/>
      <c r="K576" s="151"/>
      <c r="L576" s="151"/>
      <c r="M576" s="151"/>
      <c r="N576" s="151"/>
      <c r="O576" s="151"/>
      <c r="P576" s="151"/>
      <c r="Q576" s="151"/>
      <c r="R576" s="151"/>
      <c r="S576" s="152"/>
      <c r="T576" s="151"/>
      <c r="U576" s="151"/>
      <c r="V576" s="153"/>
      <c r="W576" s="151"/>
      <c r="X576" s="151"/>
      <c r="Y576" s="153"/>
      <c r="Z576" s="151"/>
      <c r="AA576" s="187" t="str">
        <f t="shared" si="17"/>
        <v>No</v>
      </c>
      <c r="AB576" s="158"/>
      <c r="AC576" s="159"/>
      <c r="AD576" s="160"/>
    </row>
    <row r="577" spans="1:30">
      <c r="A577" s="155"/>
      <c r="B577" s="112" t="str">
        <f t="shared" si="16"/>
        <v/>
      </c>
      <c r="C577" s="183"/>
      <c r="D577" s="152"/>
      <c r="E577" s="152"/>
      <c r="F577" s="151"/>
      <c r="G577" s="153"/>
      <c r="H577" s="151"/>
      <c r="I577" s="151"/>
      <c r="J577" s="151"/>
      <c r="K577" s="151"/>
      <c r="L577" s="151"/>
      <c r="M577" s="151"/>
      <c r="N577" s="151"/>
      <c r="O577" s="151"/>
      <c r="P577" s="151"/>
      <c r="Q577" s="151"/>
      <c r="R577" s="151"/>
      <c r="S577" s="152"/>
      <c r="T577" s="151"/>
      <c r="U577" s="151"/>
      <c r="V577" s="153"/>
      <c r="W577" s="151"/>
      <c r="X577" s="151"/>
      <c r="Y577" s="153"/>
      <c r="Z577" s="151"/>
      <c r="AA577" s="187" t="str">
        <f t="shared" si="17"/>
        <v>No</v>
      </c>
      <c r="AB577" s="158"/>
      <c r="AC577" s="159"/>
      <c r="AD577" s="160"/>
    </row>
    <row r="578" spans="1:30">
      <c r="A578" s="155"/>
      <c r="B578" s="112" t="str">
        <f t="shared" si="16"/>
        <v/>
      </c>
      <c r="C578" s="183"/>
      <c r="D578" s="152"/>
      <c r="E578" s="152"/>
      <c r="F578" s="151"/>
      <c r="G578" s="153"/>
      <c r="H578" s="151"/>
      <c r="I578" s="151"/>
      <c r="J578" s="151"/>
      <c r="K578" s="151"/>
      <c r="L578" s="151"/>
      <c r="M578" s="151"/>
      <c r="N578" s="151"/>
      <c r="O578" s="151"/>
      <c r="P578" s="151"/>
      <c r="Q578" s="151"/>
      <c r="R578" s="151"/>
      <c r="S578" s="152"/>
      <c r="T578" s="151"/>
      <c r="U578" s="151"/>
      <c r="V578" s="153"/>
      <c r="W578" s="151"/>
      <c r="X578" s="151"/>
      <c r="Y578" s="153"/>
      <c r="Z578" s="151"/>
      <c r="AA578" s="187" t="str">
        <f t="shared" si="17"/>
        <v>No</v>
      </c>
      <c r="AB578" s="158"/>
      <c r="AC578" s="159"/>
      <c r="AD578" s="160"/>
    </row>
    <row r="579" spans="1:30">
      <c r="A579" s="155"/>
      <c r="B579" s="112" t="str">
        <f t="shared" si="16"/>
        <v/>
      </c>
      <c r="C579" s="183"/>
      <c r="D579" s="152"/>
      <c r="E579" s="152"/>
      <c r="F579" s="151"/>
      <c r="G579" s="153"/>
      <c r="H579" s="151"/>
      <c r="I579" s="151"/>
      <c r="J579" s="151"/>
      <c r="K579" s="151"/>
      <c r="L579" s="151"/>
      <c r="M579" s="151"/>
      <c r="N579" s="151"/>
      <c r="O579" s="151"/>
      <c r="P579" s="151"/>
      <c r="Q579" s="151"/>
      <c r="R579" s="151"/>
      <c r="S579" s="152"/>
      <c r="T579" s="151"/>
      <c r="U579" s="151"/>
      <c r="V579" s="153"/>
      <c r="W579" s="151"/>
      <c r="X579" s="151"/>
      <c r="Y579" s="153"/>
      <c r="Z579" s="151"/>
      <c r="AA579" s="187" t="str">
        <f t="shared" si="17"/>
        <v>No</v>
      </c>
      <c r="AB579" s="158"/>
      <c r="AC579" s="159"/>
      <c r="AD579" s="160"/>
    </row>
    <row r="580" spans="1:30">
      <c r="A580" s="155"/>
      <c r="B580" s="112" t="str">
        <f t="shared" si="16"/>
        <v/>
      </c>
      <c r="C580" s="183"/>
      <c r="D580" s="152"/>
      <c r="E580" s="152"/>
      <c r="F580" s="151"/>
      <c r="G580" s="153"/>
      <c r="H580" s="151"/>
      <c r="I580" s="151"/>
      <c r="J580" s="151"/>
      <c r="K580" s="151"/>
      <c r="L580" s="151"/>
      <c r="M580" s="151"/>
      <c r="N580" s="151"/>
      <c r="O580" s="151"/>
      <c r="P580" s="151"/>
      <c r="Q580" s="151"/>
      <c r="R580" s="151"/>
      <c r="S580" s="152"/>
      <c r="T580" s="151"/>
      <c r="U580" s="151"/>
      <c r="V580" s="153"/>
      <c r="W580" s="151"/>
      <c r="X580" s="151"/>
      <c r="Y580" s="153"/>
      <c r="Z580" s="151"/>
      <c r="AA580" s="187" t="str">
        <f t="shared" si="17"/>
        <v>No</v>
      </c>
      <c r="AB580" s="158"/>
      <c r="AC580" s="159"/>
      <c r="AD580" s="160"/>
    </row>
    <row r="581" spans="1:30">
      <c r="A581" s="155"/>
      <c r="B581" s="112" t="str">
        <f t="shared" ref="B581:B644" si="18">IF(AND(A581&lt;&gt;"",D581&lt;&gt;"",J581&lt;&gt;"",N581&lt;&gt;""),TEXT(D581,"YY")&amp;"-"&amp;TEXT(D581,"MMM")&amp;"-"&amp;UPPER(LEFT(TRIM(N581),2))&amp;"-"&amp;UPPER(LEFT(TRIM(J581),3))&amp;"-"&amp;A581,"")</f>
        <v/>
      </c>
      <c r="C581" s="183"/>
      <c r="D581" s="152"/>
      <c r="E581" s="152"/>
      <c r="F581" s="151"/>
      <c r="G581" s="153"/>
      <c r="H581" s="151"/>
      <c r="I581" s="151"/>
      <c r="J581" s="151"/>
      <c r="K581" s="151"/>
      <c r="L581" s="151"/>
      <c r="M581" s="151"/>
      <c r="N581" s="151"/>
      <c r="O581" s="151"/>
      <c r="P581" s="151"/>
      <c r="Q581" s="151"/>
      <c r="R581" s="151"/>
      <c r="S581" s="152"/>
      <c r="T581" s="151"/>
      <c r="U581" s="151"/>
      <c r="V581" s="153"/>
      <c r="W581" s="151"/>
      <c r="X581" s="151"/>
      <c r="Y581" s="153"/>
      <c r="Z581" s="151"/>
      <c r="AA581" s="187" t="str">
        <f t="shared" ref="AA581:AA644" si="19">IF(E581="","No","Yes")</f>
        <v>No</v>
      </c>
      <c r="AB581" s="158"/>
      <c r="AC581" s="159"/>
      <c r="AD581" s="160"/>
    </row>
    <row r="582" spans="1:30">
      <c r="A582" s="155"/>
      <c r="B582" s="112" t="str">
        <f t="shared" si="18"/>
        <v/>
      </c>
      <c r="C582" s="183"/>
      <c r="D582" s="152"/>
      <c r="E582" s="152"/>
      <c r="F582" s="151"/>
      <c r="G582" s="153"/>
      <c r="H582" s="151"/>
      <c r="I582" s="151"/>
      <c r="J582" s="151"/>
      <c r="K582" s="151"/>
      <c r="L582" s="151"/>
      <c r="M582" s="151"/>
      <c r="N582" s="151"/>
      <c r="O582" s="151"/>
      <c r="P582" s="151"/>
      <c r="Q582" s="151"/>
      <c r="R582" s="151"/>
      <c r="S582" s="152"/>
      <c r="T582" s="151"/>
      <c r="U582" s="151"/>
      <c r="V582" s="153"/>
      <c r="W582" s="151"/>
      <c r="X582" s="151"/>
      <c r="Y582" s="153"/>
      <c r="Z582" s="151"/>
      <c r="AA582" s="187" t="str">
        <f t="shared" si="19"/>
        <v>No</v>
      </c>
      <c r="AB582" s="158"/>
      <c r="AC582" s="159"/>
      <c r="AD582" s="160"/>
    </row>
    <row r="583" spans="1:30">
      <c r="A583" s="155"/>
      <c r="B583" s="112" t="str">
        <f t="shared" si="18"/>
        <v/>
      </c>
      <c r="C583" s="183"/>
      <c r="D583" s="152"/>
      <c r="E583" s="152"/>
      <c r="F583" s="151"/>
      <c r="G583" s="153"/>
      <c r="H583" s="151"/>
      <c r="I583" s="151"/>
      <c r="J583" s="151"/>
      <c r="K583" s="151"/>
      <c r="L583" s="151"/>
      <c r="M583" s="151"/>
      <c r="N583" s="151"/>
      <c r="O583" s="151"/>
      <c r="P583" s="151"/>
      <c r="Q583" s="151"/>
      <c r="R583" s="151"/>
      <c r="S583" s="152"/>
      <c r="T583" s="151"/>
      <c r="U583" s="151"/>
      <c r="V583" s="153"/>
      <c r="W583" s="151"/>
      <c r="X583" s="151"/>
      <c r="Y583" s="153"/>
      <c r="Z583" s="151"/>
      <c r="AA583" s="187" t="str">
        <f t="shared" si="19"/>
        <v>No</v>
      </c>
      <c r="AB583" s="158"/>
      <c r="AC583" s="159"/>
      <c r="AD583" s="160"/>
    </row>
    <row r="584" spans="1:30">
      <c r="A584" s="155"/>
      <c r="B584" s="112" t="str">
        <f t="shared" si="18"/>
        <v/>
      </c>
      <c r="C584" s="183"/>
      <c r="D584" s="152"/>
      <c r="E584" s="152"/>
      <c r="F584" s="151"/>
      <c r="G584" s="153"/>
      <c r="H584" s="151"/>
      <c r="I584" s="151"/>
      <c r="J584" s="151"/>
      <c r="K584" s="151"/>
      <c r="L584" s="151"/>
      <c r="M584" s="151"/>
      <c r="N584" s="151"/>
      <c r="O584" s="151"/>
      <c r="P584" s="151"/>
      <c r="Q584" s="151"/>
      <c r="R584" s="151"/>
      <c r="S584" s="152"/>
      <c r="T584" s="151"/>
      <c r="U584" s="151"/>
      <c r="V584" s="153"/>
      <c r="W584" s="151"/>
      <c r="X584" s="151"/>
      <c r="Y584" s="153"/>
      <c r="Z584" s="151"/>
      <c r="AA584" s="187" t="str">
        <f t="shared" si="19"/>
        <v>No</v>
      </c>
      <c r="AB584" s="158"/>
      <c r="AC584" s="159"/>
      <c r="AD584" s="160"/>
    </row>
    <row r="585" spans="1:30">
      <c r="A585" s="155"/>
      <c r="B585" s="112" t="str">
        <f t="shared" si="18"/>
        <v/>
      </c>
      <c r="C585" s="183"/>
      <c r="D585" s="152"/>
      <c r="E585" s="152"/>
      <c r="F585" s="151"/>
      <c r="G585" s="153"/>
      <c r="H585" s="151"/>
      <c r="I585" s="151"/>
      <c r="J585" s="151"/>
      <c r="K585" s="151"/>
      <c r="L585" s="151"/>
      <c r="M585" s="151"/>
      <c r="N585" s="151"/>
      <c r="O585" s="151"/>
      <c r="P585" s="151"/>
      <c r="Q585" s="151"/>
      <c r="R585" s="151"/>
      <c r="S585" s="152"/>
      <c r="T585" s="151"/>
      <c r="U585" s="151"/>
      <c r="V585" s="153"/>
      <c r="W585" s="151"/>
      <c r="X585" s="151"/>
      <c r="Y585" s="153"/>
      <c r="Z585" s="151"/>
      <c r="AA585" s="187" t="str">
        <f t="shared" si="19"/>
        <v>No</v>
      </c>
      <c r="AB585" s="158"/>
      <c r="AC585" s="159"/>
      <c r="AD585" s="160"/>
    </row>
    <row r="586" spans="1:30">
      <c r="A586" s="155"/>
      <c r="B586" s="112" t="str">
        <f t="shared" si="18"/>
        <v/>
      </c>
      <c r="C586" s="183"/>
      <c r="D586" s="152"/>
      <c r="E586" s="152"/>
      <c r="F586" s="151"/>
      <c r="G586" s="153"/>
      <c r="H586" s="151"/>
      <c r="I586" s="151"/>
      <c r="J586" s="151"/>
      <c r="K586" s="151"/>
      <c r="L586" s="151"/>
      <c r="M586" s="151"/>
      <c r="N586" s="151"/>
      <c r="O586" s="151"/>
      <c r="P586" s="151"/>
      <c r="Q586" s="151"/>
      <c r="R586" s="151"/>
      <c r="S586" s="152"/>
      <c r="T586" s="151"/>
      <c r="U586" s="151"/>
      <c r="V586" s="153"/>
      <c r="W586" s="151"/>
      <c r="X586" s="151"/>
      <c r="Y586" s="153"/>
      <c r="Z586" s="151"/>
      <c r="AA586" s="187" t="str">
        <f t="shared" si="19"/>
        <v>No</v>
      </c>
      <c r="AB586" s="158"/>
      <c r="AC586" s="159"/>
      <c r="AD586" s="160"/>
    </row>
    <row r="587" spans="1:30">
      <c r="A587" s="155"/>
      <c r="B587" s="112" t="str">
        <f t="shared" si="18"/>
        <v/>
      </c>
      <c r="C587" s="183"/>
      <c r="D587" s="152"/>
      <c r="E587" s="152"/>
      <c r="F587" s="151"/>
      <c r="G587" s="153"/>
      <c r="H587" s="151"/>
      <c r="I587" s="151"/>
      <c r="J587" s="151"/>
      <c r="K587" s="151"/>
      <c r="L587" s="151"/>
      <c r="M587" s="151"/>
      <c r="N587" s="151"/>
      <c r="O587" s="151"/>
      <c r="P587" s="151"/>
      <c r="Q587" s="151"/>
      <c r="R587" s="151"/>
      <c r="S587" s="152"/>
      <c r="T587" s="151"/>
      <c r="U587" s="151"/>
      <c r="V587" s="153"/>
      <c r="W587" s="151"/>
      <c r="X587" s="151"/>
      <c r="Y587" s="153"/>
      <c r="Z587" s="151"/>
      <c r="AA587" s="187" t="str">
        <f t="shared" si="19"/>
        <v>No</v>
      </c>
      <c r="AB587" s="158"/>
      <c r="AC587" s="159"/>
      <c r="AD587" s="160"/>
    </row>
    <row r="588" spans="1:30">
      <c r="A588" s="155"/>
      <c r="B588" s="112" t="str">
        <f t="shared" si="18"/>
        <v/>
      </c>
      <c r="C588" s="183"/>
      <c r="D588" s="152"/>
      <c r="E588" s="152"/>
      <c r="F588" s="151"/>
      <c r="G588" s="153"/>
      <c r="H588" s="151"/>
      <c r="I588" s="151"/>
      <c r="J588" s="151"/>
      <c r="K588" s="151"/>
      <c r="L588" s="151"/>
      <c r="M588" s="151"/>
      <c r="N588" s="151"/>
      <c r="O588" s="151"/>
      <c r="P588" s="151"/>
      <c r="Q588" s="151"/>
      <c r="R588" s="151"/>
      <c r="S588" s="152"/>
      <c r="T588" s="151"/>
      <c r="U588" s="151"/>
      <c r="V588" s="153"/>
      <c r="W588" s="151"/>
      <c r="X588" s="151"/>
      <c r="Y588" s="153"/>
      <c r="Z588" s="151"/>
      <c r="AA588" s="187" t="str">
        <f t="shared" si="19"/>
        <v>No</v>
      </c>
      <c r="AB588" s="158"/>
      <c r="AC588" s="159"/>
      <c r="AD588" s="160"/>
    </row>
    <row r="589" spans="1:30">
      <c r="A589" s="155"/>
      <c r="B589" s="112" t="str">
        <f t="shared" si="18"/>
        <v/>
      </c>
      <c r="C589" s="183"/>
      <c r="D589" s="152"/>
      <c r="E589" s="152"/>
      <c r="F589" s="151"/>
      <c r="G589" s="153"/>
      <c r="H589" s="151"/>
      <c r="I589" s="151"/>
      <c r="J589" s="151"/>
      <c r="K589" s="151"/>
      <c r="L589" s="151"/>
      <c r="M589" s="151"/>
      <c r="N589" s="151"/>
      <c r="O589" s="151"/>
      <c r="P589" s="151"/>
      <c r="Q589" s="151"/>
      <c r="R589" s="151"/>
      <c r="S589" s="152"/>
      <c r="T589" s="151"/>
      <c r="U589" s="151"/>
      <c r="V589" s="153"/>
      <c r="W589" s="151"/>
      <c r="X589" s="151"/>
      <c r="Y589" s="153"/>
      <c r="Z589" s="151"/>
      <c r="AA589" s="187" t="str">
        <f t="shared" si="19"/>
        <v>No</v>
      </c>
      <c r="AB589" s="158"/>
      <c r="AC589" s="159"/>
      <c r="AD589" s="160"/>
    </row>
    <row r="590" spans="1:30">
      <c r="A590" s="155"/>
      <c r="B590" s="112" t="str">
        <f t="shared" si="18"/>
        <v/>
      </c>
      <c r="C590" s="183"/>
      <c r="D590" s="152"/>
      <c r="E590" s="152"/>
      <c r="F590" s="151"/>
      <c r="G590" s="153"/>
      <c r="H590" s="151"/>
      <c r="I590" s="151"/>
      <c r="J590" s="151"/>
      <c r="K590" s="151"/>
      <c r="L590" s="151"/>
      <c r="M590" s="151"/>
      <c r="N590" s="151"/>
      <c r="O590" s="151"/>
      <c r="P590" s="151"/>
      <c r="Q590" s="151"/>
      <c r="R590" s="151"/>
      <c r="S590" s="152"/>
      <c r="T590" s="151"/>
      <c r="U590" s="151"/>
      <c r="V590" s="153"/>
      <c r="W590" s="151"/>
      <c r="X590" s="151"/>
      <c r="Y590" s="153"/>
      <c r="Z590" s="151"/>
      <c r="AA590" s="187" t="str">
        <f t="shared" si="19"/>
        <v>No</v>
      </c>
      <c r="AB590" s="158"/>
      <c r="AC590" s="159"/>
      <c r="AD590" s="160"/>
    </row>
    <row r="591" spans="1:30">
      <c r="A591" s="155"/>
      <c r="B591" s="112" t="str">
        <f t="shared" si="18"/>
        <v/>
      </c>
      <c r="C591" s="183"/>
      <c r="D591" s="152"/>
      <c r="E591" s="152"/>
      <c r="F591" s="151"/>
      <c r="G591" s="153"/>
      <c r="H591" s="151"/>
      <c r="I591" s="151"/>
      <c r="J591" s="151"/>
      <c r="K591" s="151"/>
      <c r="L591" s="151"/>
      <c r="M591" s="151"/>
      <c r="N591" s="151"/>
      <c r="O591" s="151"/>
      <c r="P591" s="151"/>
      <c r="Q591" s="151"/>
      <c r="R591" s="151"/>
      <c r="S591" s="152"/>
      <c r="T591" s="151"/>
      <c r="U591" s="151"/>
      <c r="V591" s="153"/>
      <c r="W591" s="151"/>
      <c r="X591" s="151"/>
      <c r="Y591" s="153"/>
      <c r="Z591" s="151"/>
      <c r="AA591" s="187" t="str">
        <f t="shared" si="19"/>
        <v>No</v>
      </c>
      <c r="AB591" s="158"/>
      <c r="AC591" s="159"/>
      <c r="AD591" s="160"/>
    </row>
    <row r="592" spans="1:30">
      <c r="A592" s="155"/>
      <c r="B592" s="112" t="str">
        <f t="shared" si="18"/>
        <v/>
      </c>
      <c r="C592" s="183"/>
      <c r="D592" s="152"/>
      <c r="E592" s="152"/>
      <c r="F592" s="151"/>
      <c r="G592" s="153"/>
      <c r="H592" s="151"/>
      <c r="I592" s="151"/>
      <c r="J592" s="151"/>
      <c r="K592" s="151"/>
      <c r="L592" s="151"/>
      <c r="M592" s="151"/>
      <c r="N592" s="151"/>
      <c r="O592" s="151"/>
      <c r="P592" s="151"/>
      <c r="Q592" s="151"/>
      <c r="R592" s="151"/>
      <c r="S592" s="152"/>
      <c r="T592" s="151"/>
      <c r="U592" s="151"/>
      <c r="V592" s="153"/>
      <c r="W592" s="151"/>
      <c r="X592" s="151"/>
      <c r="Y592" s="153"/>
      <c r="Z592" s="151"/>
      <c r="AA592" s="187" t="str">
        <f t="shared" si="19"/>
        <v>No</v>
      </c>
      <c r="AB592" s="158"/>
      <c r="AC592" s="159"/>
      <c r="AD592" s="160"/>
    </row>
    <row r="593" spans="1:30">
      <c r="A593" s="155"/>
      <c r="B593" s="112" t="str">
        <f t="shared" si="18"/>
        <v/>
      </c>
      <c r="C593" s="183"/>
      <c r="D593" s="152"/>
      <c r="E593" s="152"/>
      <c r="F593" s="151"/>
      <c r="G593" s="153"/>
      <c r="H593" s="151"/>
      <c r="I593" s="151"/>
      <c r="J593" s="151"/>
      <c r="K593" s="151"/>
      <c r="L593" s="151"/>
      <c r="M593" s="151"/>
      <c r="N593" s="151"/>
      <c r="O593" s="151"/>
      <c r="P593" s="151"/>
      <c r="Q593" s="151"/>
      <c r="R593" s="151"/>
      <c r="S593" s="152"/>
      <c r="T593" s="151"/>
      <c r="U593" s="151"/>
      <c r="V593" s="153"/>
      <c r="W593" s="151"/>
      <c r="X593" s="151"/>
      <c r="Y593" s="153"/>
      <c r="Z593" s="151"/>
      <c r="AA593" s="187" t="str">
        <f t="shared" si="19"/>
        <v>No</v>
      </c>
      <c r="AB593" s="158"/>
      <c r="AC593" s="159"/>
      <c r="AD593" s="160"/>
    </row>
    <row r="594" spans="1:30">
      <c r="A594" s="155"/>
      <c r="B594" s="112" t="str">
        <f t="shared" si="18"/>
        <v/>
      </c>
      <c r="C594" s="183"/>
      <c r="D594" s="152"/>
      <c r="E594" s="152"/>
      <c r="F594" s="151"/>
      <c r="G594" s="153"/>
      <c r="H594" s="151"/>
      <c r="I594" s="151"/>
      <c r="J594" s="151"/>
      <c r="K594" s="151"/>
      <c r="L594" s="151"/>
      <c r="M594" s="151"/>
      <c r="N594" s="151"/>
      <c r="O594" s="151"/>
      <c r="P594" s="151"/>
      <c r="Q594" s="151"/>
      <c r="R594" s="151"/>
      <c r="S594" s="152"/>
      <c r="T594" s="151"/>
      <c r="U594" s="151"/>
      <c r="V594" s="153"/>
      <c r="W594" s="151"/>
      <c r="X594" s="151"/>
      <c r="Y594" s="153"/>
      <c r="Z594" s="151"/>
      <c r="AA594" s="187" t="str">
        <f t="shared" si="19"/>
        <v>No</v>
      </c>
      <c r="AB594" s="158"/>
      <c r="AC594" s="159"/>
      <c r="AD594" s="160"/>
    </row>
    <row r="595" spans="1:30">
      <c r="A595" s="155"/>
      <c r="B595" s="112" t="str">
        <f t="shared" si="18"/>
        <v/>
      </c>
      <c r="C595" s="183"/>
      <c r="D595" s="152"/>
      <c r="E595" s="152"/>
      <c r="F595" s="151"/>
      <c r="G595" s="153"/>
      <c r="H595" s="151"/>
      <c r="I595" s="151"/>
      <c r="J595" s="151"/>
      <c r="K595" s="151"/>
      <c r="L595" s="151"/>
      <c r="M595" s="151"/>
      <c r="N595" s="151"/>
      <c r="O595" s="151"/>
      <c r="P595" s="151"/>
      <c r="Q595" s="151"/>
      <c r="R595" s="151"/>
      <c r="S595" s="152"/>
      <c r="T595" s="151"/>
      <c r="U595" s="151"/>
      <c r="V595" s="153"/>
      <c r="W595" s="151"/>
      <c r="X595" s="151"/>
      <c r="Y595" s="153"/>
      <c r="Z595" s="151"/>
      <c r="AA595" s="187" t="str">
        <f t="shared" si="19"/>
        <v>No</v>
      </c>
      <c r="AB595" s="158"/>
      <c r="AC595" s="159"/>
      <c r="AD595" s="160"/>
    </row>
    <row r="596" spans="1:30">
      <c r="A596" s="155"/>
      <c r="B596" s="112" t="str">
        <f t="shared" si="18"/>
        <v/>
      </c>
      <c r="C596" s="183"/>
      <c r="D596" s="152"/>
      <c r="E596" s="152"/>
      <c r="F596" s="151"/>
      <c r="G596" s="153"/>
      <c r="H596" s="151"/>
      <c r="I596" s="151"/>
      <c r="J596" s="151"/>
      <c r="K596" s="151"/>
      <c r="L596" s="151"/>
      <c r="M596" s="151"/>
      <c r="N596" s="151"/>
      <c r="O596" s="151"/>
      <c r="P596" s="151"/>
      <c r="Q596" s="151"/>
      <c r="R596" s="151"/>
      <c r="S596" s="152"/>
      <c r="T596" s="151"/>
      <c r="U596" s="151"/>
      <c r="V596" s="153"/>
      <c r="W596" s="151"/>
      <c r="X596" s="151"/>
      <c r="Y596" s="153"/>
      <c r="Z596" s="151"/>
      <c r="AA596" s="187" t="str">
        <f t="shared" si="19"/>
        <v>No</v>
      </c>
      <c r="AB596" s="158"/>
      <c r="AC596" s="159"/>
      <c r="AD596" s="160"/>
    </row>
    <row r="597" spans="1:30">
      <c r="A597" s="155"/>
      <c r="B597" s="112" t="str">
        <f t="shared" si="18"/>
        <v/>
      </c>
      <c r="C597" s="183"/>
      <c r="D597" s="152"/>
      <c r="E597" s="152"/>
      <c r="F597" s="151"/>
      <c r="G597" s="153"/>
      <c r="H597" s="151"/>
      <c r="I597" s="151"/>
      <c r="J597" s="151"/>
      <c r="K597" s="151"/>
      <c r="L597" s="151"/>
      <c r="M597" s="151"/>
      <c r="N597" s="151"/>
      <c r="O597" s="151"/>
      <c r="P597" s="151"/>
      <c r="Q597" s="151"/>
      <c r="R597" s="151"/>
      <c r="S597" s="152"/>
      <c r="T597" s="151"/>
      <c r="U597" s="151"/>
      <c r="V597" s="153"/>
      <c r="W597" s="151"/>
      <c r="X597" s="151"/>
      <c r="Y597" s="153"/>
      <c r="Z597" s="151"/>
      <c r="AA597" s="187" t="str">
        <f t="shared" si="19"/>
        <v>No</v>
      </c>
      <c r="AB597" s="158"/>
      <c r="AC597" s="159"/>
      <c r="AD597" s="160"/>
    </row>
    <row r="598" spans="1:30">
      <c r="A598" s="155"/>
      <c r="B598" s="112" t="str">
        <f t="shared" si="18"/>
        <v/>
      </c>
      <c r="C598" s="183"/>
      <c r="D598" s="152"/>
      <c r="E598" s="152"/>
      <c r="F598" s="151"/>
      <c r="G598" s="153"/>
      <c r="H598" s="151"/>
      <c r="I598" s="151"/>
      <c r="J598" s="151"/>
      <c r="K598" s="151"/>
      <c r="L598" s="151"/>
      <c r="M598" s="151"/>
      <c r="N598" s="151"/>
      <c r="O598" s="151"/>
      <c r="P598" s="151"/>
      <c r="Q598" s="151"/>
      <c r="R598" s="151"/>
      <c r="S598" s="152"/>
      <c r="T598" s="151"/>
      <c r="U598" s="151"/>
      <c r="V598" s="153"/>
      <c r="W598" s="151"/>
      <c r="X598" s="151"/>
      <c r="Y598" s="153"/>
      <c r="Z598" s="151"/>
      <c r="AA598" s="187" t="str">
        <f t="shared" si="19"/>
        <v>No</v>
      </c>
      <c r="AB598" s="158"/>
      <c r="AC598" s="159"/>
      <c r="AD598" s="160"/>
    </row>
    <row r="599" spans="1:30">
      <c r="A599" s="155"/>
      <c r="B599" s="112" t="str">
        <f t="shared" si="18"/>
        <v/>
      </c>
      <c r="C599" s="183"/>
      <c r="D599" s="152"/>
      <c r="E599" s="152"/>
      <c r="F599" s="151"/>
      <c r="G599" s="153"/>
      <c r="H599" s="151"/>
      <c r="I599" s="151"/>
      <c r="J599" s="151"/>
      <c r="K599" s="151"/>
      <c r="L599" s="151"/>
      <c r="M599" s="151"/>
      <c r="N599" s="151"/>
      <c r="O599" s="151"/>
      <c r="P599" s="151"/>
      <c r="Q599" s="151"/>
      <c r="R599" s="151"/>
      <c r="S599" s="152"/>
      <c r="T599" s="151"/>
      <c r="U599" s="151"/>
      <c r="V599" s="153"/>
      <c r="W599" s="151"/>
      <c r="X599" s="151"/>
      <c r="Y599" s="153"/>
      <c r="Z599" s="151"/>
      <c r="AA599" s="187" t="str">
        <f t="shared" si="19"/>
        <v>No</v>
      </c>
      <c r="AB599" s="158"/>
      <c r="AC599" s="159"/>
      <c r="AD599" s="160"/>
    </row>
    <row r="600" spans="1:30">
      <c r="A600" s="155"/>
      <c r="B600" s="112" t="str">
        <f t="shared" si="18"/>
        <v/>
      </c>
      <c r="C600" s="183"/>
      <c r="D600" s="152"/>
      <c r="E600" s="152"/>
      <c r="F600" s="151"/>
      <c r="G600" s="153"/>
      <c r="H600" s="151"/>
      <c r="I600" s="151"/>
      <c r="J600" s="151"/>
      <c r="K600" s="151"/>
      <c r="L600" s="151"/>
      <c r="M600" s="151"/>
      <c r="N600" s="151"/>
      <c r="O600" s="151"/>
      <c r="P600" s="151"/>
      <c r="Q600" s="151"/>
      <c r="R600" s="151"/>
      <c r="S600" s="152"/>
      <c r="T600" s="151"/>
      <c r="U600" s="151"/>
      <c r="V600" s="153"/>
      <c r="W600" s="151"/>
      <c r="X600" s="151"/>
      <c r="Y600" s="153"/>
      <c r="Z600" s="151"/>
      <c r="AA600" s="187" t="str">
        <f t="shared" si="19"/>
        <v>No</v>
      </c>
      <c r="AB600" s="158"/>
      <c r="AC600" s="159"/>
      <c r="AD600" s="160"/>
    </row>
    <row r="601" spans="1:30">
      <c r="A601" s="155"/>
      <c r="B601" s="112" t="str">
        <f t="shared" si="18"/>
        <v/>
      </c>
      <c r="C601" s="183"/>
      <c r="D601" s="152"/>
      <c r="E601" s="152"/>
      <c r="F601" s="151"/>
      <c r="G601" s="153"/>
      <c r="H601" s="151"/>
      <c r="I601" s="151"/>
      <c r="J601" s="151"/>
      <c r="K601" s="151"/>
      <c r="L601" s="151"/>
      <c r="M601" s="151"/>
      <c r="N601" s="151"/>
      <c r="O601" s="151"/>
      <c r="P601" s="151"/>
      <c r="Q601" s="151"/>
      <c r="R601" s="151"/>
      <c r="S601" s="152"/>
      <c r="T601" s="151"/>
      <c r="U601" s="151"/>
      <c r="V601" s="153"/>
      <c r="W601" s="151"/>
      <c r="X601" s="151"/>
      <c r="Y601" s="153"/>
      <c r="Z601" s="151"/>
      <c r="AA601" s="187" t="str">
        <f t="shared" si="19"/>
        <v>No</v>
      </c>
      <c r="AB601" s="158"/>
      <c r="AC601" s="159"/>
      <c r="AD601" s="160"/>
    </row>
    <row r="602" spans="1:30">
      <c r="A602" s="155"/>
      <c r="B602" s="112" t="str">
        <f t="shared" si="18"/>
        <v/>
      </c>
      <c r="C602" s="183"/>
      <c r="D602" s="152"/>
      <c r="E602" s="152"/>
      <c r="F602" s="151"/>
      <c r="G602" s="153"/>
      <c r="H602" s="151"/>
      <c r="I602" s="151"/>
      <c r="J602" s="151"/>
      <c r="K602" s="151"/>
      <c r="L602" s="151"/>
      <c r="M602" s="151"/>
      <c r="N602" s="151"/>
      <c r="O602" s="151"/>
      <c r="P602" s="151"/>
      <c r="Q602" s="151"/>
      <c r="R602" s="151"/>
      <c r="S602" s="152"/>
      <c r="T602" s="151"/>
      <c r="U602" s="151"/>
      <c r="V602" s="153"/>
      <c r="W602" s="151"/>
      <c r="X602" s="151"/>
      <c r="Y602" s="153"/>
      <c r="Z602" s="151"/>
      <c r="AA602" s="187" t="str">
        <f t="shared" si="19"/>
        <v>No</v>
      </c>
      <c r="AB602" s="158"/>
      <c r="AC602" s="159"/>
      <c r="AD602" s="160"/>
    </row>
    <row r="603" spans="1:30">
      <c r="A603" s="155"/>
      <c r="B603" s="112" t="str">
        <f t="shared" si="18"/>
        <v/>
      </c>
      <c r="C603" s="183"/>
      <c r="D603" s="152"/>
      <c r="E603" s="152"/>
      <c r="F603" s="151"/>
      <c r="G603" s="153"/>
      <c r="H603" s="151"/>
      <c r="I603" s="151"/>
      <c r="J603" s="151"/>
      <c r="K603" s="151"/>
      <c r="L603" s="151"/>
      <c r="M603" s="151"/>
      <c r="N603" s="151"/>
      <c r="O603" s="151"/>
      <c r="P603" s="151"/>
      <c r="Q603" s="151"/>
      <c r="R603" s="151"/>
      <c r="S603" s="152"/>
      <c r="T603" s="151"/>
      <c r="U603" s="151"/>
      <c r="V603" s="153"/>
      <c r="W603" s="151"/>
      <c r="X603" s="151"/>
      <c r="Y603" s="153"/>
      <c r="Z603" s="151"/>
      <c r="AA603" s="187" t="str">
        <f t="shared" si="19"/>
        <v>No</v>
      </c>
      <c r="AB603" s="158"/>
      <c r="AC603" s="159"/>
      <c r="AD603" s="160"/>
    </row>
    <row r="604" spans="1:30">
      <c r="A604" s="155"/>
      <c r="B604" s="112" t="str">
        <f t="shared" si="18"/>
        <v/>
      </c>
      <c r="C604" s="183"/>
      <c r="D604" s="152"/>
      <c r="E604" s="152"/>
      <c r="F604" s="151"/>
      <c r="G604" s="153"/>
      <c r="H604" s="151"/>
      <c r="I604" s="151"/>
      <c r="J604" s="151"/>
      <c r="K604" s="151"/>
      <c r="L604" s="151"/>
      <c r="M604" s="151"/>
      <c r="N604" s="151"/>
      <c r="O604" s="151"/>
      <c r="P604" s="151"/>
      <c r="Q604" s="151"/>
      <c r="R604" s="151"/>
      <c r="S604" s="152"/>
      <c r="T604" s="151"/>
      <c r="U604" s="151"/>
      <c r="V604" s="153"/>
      <c r="W604" s="151"/>
      <c r="X604" s="151"/>
      <c r="Y604" s="153"/>
      <c r="Z604" s="151"/>
      <c r="AA604" s="187" t="str">
        <f t="shared" si="19"/>
        <v>No</v>
      </c>
      <c r="AB604" s="158"/>
      <c r="AC604" s="159"/>
      <c r="AD604" s="160"/>
    </row>
    <row r="605" spans="1:30">
      <c r="A605" s="155"/>
      <c r="B605" s="112" t="str">
        <f t="shared" si="18"/>
        <v/>
      </c>
      <c r="C605" s="183"/>
      <c r="D605" s="152"/>
      <c r="E605" s="152"/>
      <c r="F605" s="151"/>
      <c r="G605" s="153"/>
      <c r="H605" s="151"/>
      <c r="I605" s="151"/>
      <c r="J605" s="151"/>
      <c r="K605" s="151"/>
      <c r="L605" s="151"/>
      <c r="M605" s="151"/>
      <c r="N605" s="151"/>
      <c r="O605" s="151"/>
      <c r="P605" s="151"/>
      <c r="Q605" s="151"/>
      <c r="R605" s="151"/>
      <c r="S605" s="152"/>
      <c r="T605" s="151"/>
      <c r="U605" s="151"/>
      <c r="V605" s="153"/>
      <c r="W605" s="151"/>
      <c r="X605" s="151"/>
      <c r="Y605" s="153"/>
      <c r="Z605" s="151"/>
      <c r="AA605" s="187" t="str">
        <f t="shared" si="19"/>
        <v>No</v>
      </c>
      <c r="AB605" s="158"/>
      <c r="AC605" s="159"/>
      <c r="AD605" s="160"/>
    </row>
    <row r="606" spans="1:30">
      <c r="A606" s="155"/>
      <c r="B606" s="112" t="str">
        <f t="shared" si="18"/>
        <v/>
      </c>
      <c r="C606" s="183"/>
      <c r="D606" s="152"/>
      <c r="E606" s="152"/>
      <c r="F606" s="151"/>
      <c r="G606" s="153"/>
      <c r="H606" s="151"/>
      <c r="I606" s="151"/>
      <c r="J606" s="151"/>
      <c r="K606" s="151"/>
      <c r="L606" s="151"/>
      <c r="M606" s="151"/>
      <c r="N606" s="151"/>
      <c r="O606" s="151"/>
      <c r="P606" s="151"/>
      <c r="Q606" s="151"/>
      <c r="R606" s="151"/>
      <c r="S606" s="152"/>
      <c r="T606" s="151"/>
      <c r="U606" s="151"/>
      <c r="V606" s="153"/>
      <c r="W606" s="151"/>
      <c r="X606" s="151"/>
      <c r="Y606" s="153"/>
      <c r="Z606" s="151"/>
      <c r="AA606" s="187" t="str">
        <f t="shared" si="19"/>
        <v>No</v>
      </c>
      <c r="AB606" s="158"/>
      <c r="AC606" s="159"/>
      <c r="AD606" s="160"/>
    </row>
    <row r="607" spans="1:30">
      <c r="A607" s="155"/>
      <c r="B607" s="112" t="str">
        <f t="shared" si="18"/>
        <v/>
      </c>
      <c r="C607" s="183"/>
      <c r="D607" s="152"/>
      <c r="E607" s="152"/>
      <c r="F607" s="151"/>
      <c r="G607" s="153"/>
      <c r="H607" s="151"/>
      <c r="I607" s="151"/>
      <c r="J607" s="151"/>
      <c r="K607" s="151"/>
      <c r="L607" s="151"/>
      <c r="M607" s="151"/>
      <c r="N607" s="151"/>
      <c r="O607" s="151"/>
      <c r="P607" s="151"/>
      <c r="Q607" s="151"/>
      <c r="R607" s="151"/>
      <c r="S607" s="152"/>
      <c r="T607" s="151"/>
      <c r="U607" s="151"/>
      <c r="V607" s="153"/>
      <c r="W607" s="151"/>
      <c r="X607" s="151"/>
      <c r="Y607" s="153"/>
      <c r="Z607" s="151"/>
      <c r="AA607" s="187" t="str">
        <f t="shared" si="19"/>
        <v>No</v>
      </c>
      <c r="AB607" s="158"/>
      <c r="AC607" s="159"/>
      <c r="AD607" s="160"/>
    </row>
    <row r="608" spans="1:30">
      <c r="A608" s="155"/>
      <c r="B608" s="112" t="str">
        <f t="shared" si="18"/>
        <v/>
      </c>
      <c r="C608" s="183"/>
      <c r="D608" s="152"/>
      <c r="E608" s="152"/>
      <c r="F608" s="151"/>
      <c r="G608" s="153"/>
      <c r="H608" s="151"/>
      <c r="I608" s="151"/>
      <c r="J608" s="151"/>
      <c r="K608" s="151"/>
      <c r="L608" s="151"/>
      <c r="M608" s="151"/>
      <c r="N608" s="151"/>
      <c r="O608" s="151"/>
      <c r="P608" s="151"/>
      <c r="Q608" s="151"/>
      <c r="R608" s="151"/>
      <c r="S608" s="152"/>
      <c r="T608" s="151"/>
      <c r="U608" s="151"/>
      <c r="V608" s="153"/>
      <c r="W608" s="151"/>
      <c r="X608" s="151"/>
      <c r="Y608" s="153"/>
      <c r="Z608" s="151"/>
      <c r="AA608" s="187" t="str">
        <f t="shared" si="19"/>
        <v>No</v>
      </c>
      <c r="AB608" s="158"/>
      <c r="AC608" s="159"/>
      <c r="AD608" s="160"/>
    </row>
    <row r="609" spans="1:30">
      <c r="A609" s="155"/>
      <c r="B609" s="112" t="str">
        <f t="shared" si="18"/>
        <v/>
      </c>
      <c r="C609" s="183"/>
      <c r="D609" s="152"/>
      <c r="E609" s="152"/>
      <c r="F609" s="151"/>
      <c r="G609" s="153"/>
      <c r="H609" s="151"/>
      <c r="I609" s="151"/>
      <c r="J609" s="151"/>
      <c r="K609" s="151"/>
      <c r="L609" s="151"/>
      <c r="M609" s="151"/>
      <c r="N609" s="151"/>
      <c r="O609" s="151"/>
      <c r="P609" s="151"/>
      <c r="Q609" s="151"/>
      <c r="R609" s="151"/>
      <c r="S609" s="152"/>
      <c r="T609" s="151"/>
      <c r="U609" s="151"/>
      <c r="V609" s="153"/>
      <c r="W609" s="151"/>
      <c r="X609" s="151"/>
      <c r="Y609" s="153"/>
      <c r="Z609" s="151"/>
      <c r="AA609" s="187" t="str">
        <f t="shared" si="19"/>
        <v>No</v>
      </c>
      <c r="AB609" s="158"/>
      <c r="AC609" s="159"/>
      <c r="AD609" s="160"/>
    </row>
    <row r="610" spans="1:30">
      <c r="A610" s="155"/>
      <c r="B610" s="112" t="str">
        <f t="shared" si="18"/>
        <v/>
      </c>
      <c r="C610" s="183"/>
      <c r="D610" s="152"/>
      <c r="E610" s="152"/>
      <c r="F610" s="151"/>
      <c r="G610" s="153"/>
      <c r="H610" s="151"/>
      <c r="I610" s="151"/>
      <c r="J610" s="151"/>
      <c r="K610" s="151"/>
      <c r="L610" s="151"/>
      <c r="M610" s="151"/>
      <c r="N610" s="151"/>
      <c r="O610" s="151"/>
      <c r="P610" s="151"/>
      <c r="Q610" s="151"/>
      <c r="R610" s="151"/>
      <c r="S610" s="152"/>
      <c r="T610" s="151"/>
      <c r="U610" s="151"/>
      <c r="V610" s="153"/>
      <c r="W610" s="151"/>
      <c r="X610" s="151"/>
      <c r="Y610" s="153"/>
      <c r="Z610" s="151"/>
      <c r="AA610" s="187" t="str">
        <f t="shared" si="19"/>
        <v>No</v>
      </c>
      <c r="AB610" s="158"/>
      <c r="AC610" s="159"/>
      <c r="AD610" s="160"/>
    </row>
    <row r="611" spans="1:30">
      <c r="A611" s="155"/>
      <c r="B611" s="112" t="str">
        <f t="shared" si="18"/>
        <v/>
      </c>
      <c r="C611" s="183"/>
      <c r="D611" s="152"/>
      <c r="E611" s="152"/>
      <c r="F611" s="151"/>
      <c r="G611" s="153"/>
      <c r="H611" s="151"/>
      <c r="I611" s="151"/>
      <c r="J611" s="151"/>
      <c r="K611" s="151"/>
      <c r="L611" s="151"/>
      <c r="M611" s="151"/>
      <c r="N611" s="151"/>
      <c r="O611" s="151"/>
      <c r="P611" s="151"/>
      <c r="Q611" s="151"/>
      <c r="R611" s="151"/>
      <c r="S611" s="152"/>
      <c r="T611" s="151"/>
      <c r="U611" s="151"/>
      <c r="V611" s="153"/>
      <c r="W611" s="151"/>
      <c r="X611" s="151"/>
      <c r="Y611" s="153"/>
      <c r="Z611" s="151"/>
      <c r="AA611" s="187" t="str">
        <f t="shared" si="19"/>
        <v>No</v>
      </c>
      <c r="AB611" s="158"/>
      <c r="AC611" s="159"/>
      <c r="AD611" s="160"/>
    </row>
    <row r="612" spans="1:30">
      <c r="A612" s="155"/>
      <c r="B612" s="112" t="str">
        <f t="shared" si="18"/>
        <v/>
      </c>
      <c r="C612" s="183"/>
      <c r="D612" s="152"/>
      <c r="E612" s="152"/>
      <c r="F612" s="151"/>
      <c r="G612" s="153"/>
      <c r="H612" s="151"/>
      <c r="I612" s="151"/>
      <c r="J612" s="151"/>
      <c r="K612" s="151"/>
      <c r="L612" s="151"/>
      <c r="M612" s="151"/>
      <c r="N612" s="151"/>
      <c r="O612" s="151"/>
      <c r="P612" s="151"/>
      <c r="Q612" s="151"/>
      <c r="R612" s="151"/>
      <c r="S612" s="152"/>
      <c r="T612" s="151"/>
      <c r="U612" s="151"/>
      <c r="V612" s="153"/>
      <c r="W612" s="151"/>
      <c r="X612" s="151"/>
      <c r="Y612" s="153"/>
      <c r="Z612" s="151"/>
      <c r="AA612" s="187" t="str">
        <f t="shared" si="19"/>
        <v>No</v>
      </c>
      <c r="AB612" s="158"/>
      <c r="AC612" s="159"/>
      <c r="AD612" s="160"/>
    </row>
    <row r="613" spans="1:30">
      <c r="A613" s="155"/>
      <c r="B613" s="112" t="str">
        <f t="shared" si="18"/>
        <v/>
      </c>
      <c r="C613" s="183"/>
      <c r="D613" s="152"/>
      <c r="E613" s="152"/>
      <c r="F613" s="151"/>
      <c r="G613" s="153"/>
      <c r="H613" s="151"/>
      <c r="I613" s="151"/>
      <c r="J613" s="151"/>
      <c r="K613" s="151"/>
      <c r="L613" s="151"/>
      <c r="M613" s="151"/>
      <c r="N613" s="151"/>
      <c r="O613" s="151"/>
      <c r="P613" s="151"/>
      <c r="Q613" s="151"/>
      <c r="R613" s="151"/>
      <c r="S613" s="152"/>
      <c r="T613" s="151"/>
      <c r="U613" s="151"/>
      <c r="V613" s="153"/>
      <c r="W613" s="151"/>
      <c r="X613" s="151"/>
      <c r="Y613" s="153"/>
      <c r="Z613" s="151"/>
      <c r="AA613" s="187" t="str">
        <f t="shared" si="19"/>
        <v>No</v>
      </c>
      <c r="AB613" s="158"/>
      <c r="AC613" s="159"/>
      <c r="AD613" s="160"/>
    </row>
    <row r="614" spans="1:30">
      <c r="A614" s="155"/>
      <c r="B614" s="112" t="str">
        <f t="shared" si="18"/>
        <v/>
      </c>
      <c r="C614" s="183"/>
      <c r="D614" s="152"/>
      <c r="E614" s="152"/>
      <c r="F614" s="151"/>
      <c r="G614" s="153"/>
      <c r="H614" s="151"/>
      <c r="I614" s="151"/>
      <c r="J614" s="151"/>
      <c r="K614" s="151"/>
      <c r="L614" s="151"/>
      <c r="M614" s="151"/>
      <c r="N614" s="151"/>
      <c r="O614" s="151"/>
      <c r="P614" s="151"/>
      <c r="Q614" s="151"/>
      <c r="R614" s="151"/>
      <c r="S614" s="152"/>
      <c r="T614" s="151"/>
      <c r="U614" s="151"/>
      <c r="V614" s="153"/>
      <c r="W614" s="151"/>
      <c r="X614" s="151"/>
      <c r="Y614" s="153"/>
      <c r="Z614" s="151"/>
      <c r="AA614" s="187" t="str">
        <f t="shared" si="19"/>
        <v>No</v>
      </c>
      <c r="AB614" s="158"/>
      <c r="AC614" s="159"/>
      <c r="AD614" s="160"/>
    </row>
    <row r="615" spans="1:30">
      <c r="A615" s="155"/>
      <c r="B615" s="112" t="str">
        <f t="shared" si="18"/>
        <v/>
      </c>
      <c r="C615" s="183"/>
      <c r="D615" s="152"/>
      <c r="E615" s="152"/>
      <c r="F615" s="151"/>
      <c r="G615" s="153"/>
      <c r="H615" s="151"/>
      <c r="I615" s="151"/>
      <c r="J615" s="151"/>
      <c r="K615" s="151"/>
      <c r="L615" s="151"/>
      <c r="M615" s="151"/>
      <c r="N615" s="151"/>
      <c r="O615" s="151"/>
      <c r="P615" s="151"/>
      <c r="Q615" s="151"/>
      <c r="R615" s="151"/>
      <c r="S615" s="152"/>
      <c r="T615" s="151"/>
      <c r="U615" s="151"/>
      <c r="V615" s="153"/>
      <c r="W615" s="151"/>
      <c r="X615" s="151"/>
      <c r="Y615" s="153"/>
      <c r="Z615" s="151"/>
      <c r="AA615" s="187" t="str">
        <f t="shared" si="19"/>
        <v>No</v>
      </c>
      <c r="AB615" s="158"/>
      <c r="AC615" s="159"/>
      <c r="AD615" s="160"/>
    </row>
    <row r="616" spans="1:30">
      <c r="A616" s="155"/>
      <c r="B616" s="112" t="str">
        <f t="shared" si="18"/>
        <v/>
      </c>
      <c r="C616" s="183"/>
      <c r="D616" s="152"/>
      <c r="E616" s="152"/>
      <c r="F616" s="151"/>
      <c r="G616" s="153"/>
      <c r="H616" s="151"/>
      <c r="I616" s="151"/>
      <c r="J616" s="151"/>
      <c r="K616" s="151"/>
      <c r="L616" s="151"/>
      <c r="M616" s="151"/>
      <c r="N616" s="151"/>
      <c r="O616" s="151"/>
      <c r="P616" s="151"/>
      <c r="Q616" s="151"/>
      <c r="R616" s="151"/>
      <c r="S616" s="152"/>
      <c r="T616" s="151"/>
      <c r="U616" s="151"/>
      <c r="V616" s="153"/>
      <c r="W616" s="151"/>
      <c r="X616" s="151"/>
      <c r="Y616" s="153"/>
      <c r="Z616" s="151"/>
      <c r="AA616" s="187" t="str">
        <f t="shared" si="19"/>
        <v>No</v>
      </c>
      <c r="AB616" s="158"/>
      <c r="AC616" s="159"/>
      <c r="AD616" s="160"/>
    </row>
    <row r="617" spans="1:30">
      <c r="A617" s="155"/>
      <c r="B617" s="112" t="str">
        <f t="shared" si="18"/>
        <v/>
      </c>
      <c r="C617" s="183"/>
      <c r="D617" s="152"/>
      <c r="E617" s="152"/>
      <c r="F617" s="151"/>
      <c r="G617" s="153"/>
      <c r="H617" s="151"/>
      <c r="I617" s="151"/>
      <c r="J617" s="151"/>
      <c r="K617" s="151"/>
      <c r="L617" s="151"/>
      <c r="M617" s="151"/>
      <c r="N617" s="151"/>
      <c r="O617" s="151"/>
      <c r="P617" s="151"/>
      <c r="Q617" s="151"/>
      <c r="R617" s="151"/>
      <c r="S617" s="152"/>
      <c r="T617" s="151"/>
      <c r="U617" s="151"/>
      <c r="V617" s="153"/>
      <c r="W617" s="151"/>
      <c r="X617" s="151"/>
      <c r="Y617" s="153"/>
      <c r="Z617" s="151"/>
      <c r="AA617" s="187" t="str">
        <f t="shared" si="19"/>
        <v>No</v>
      </c>
      <c r="AB617" s="158"/>
      <c r="AC617" s="159"/>
      <c r="AD617" s="160"/>
    </row>
    <row r="618" spans="1:30">
      <c r="A618" s="155"/>
      <c r="B618" s="112" t="str">
        <f t="shared" si="18"/>
        <v/>
      </c>
      <c r="C618" s="183"/>
      <c r="D618" s="152"/>
      <c r="E618" s="152"/>
      <c r="F618" s="151"/>
      <c r="G618" s="153"/>
      <c r="H618" s="151"/>
      <c r="I618" s="151"/>
      <c r="J618" s="151"/>
      <c r="K618" s="151"/>
      <c r="L618" s="151"/>
      <c r="M618" s="151"/>
      <c r="N618" s="151"/>
      <c r="O618" s="151"/>
      <c r="P618" s="151"/>
      <c r="Q618" s="151"/>
      <c r="R618" s="151"/>
      <c r="S618" s="152"/>
      <c r="T618" s="151"/>
      <c r="U618" s="151"/>
      <c r="V618" s="153"/>
      <c r="W618" s="151"/>
      <c r="X618" s="151"/>
      <c r="Y618" s="153"/>
      <c r="Z618" s="151"/>
      <c r="AA618" s="187" t="str">
        <f t="shared" si="19"/>
        <v>No</v>
      </c>
      <c r="AB618" s="158"/>
      <c r="AC618" s="159"/>
      <c r="AD618" s="160"/>
    </row>
    <row r="619" spans="1:30">
      <c r="A619" s="155"/>
      <c r="B619" s="112" t="str">
        <f t="shared" si="18"/>
        <v/>
      </c>
      <c r="C619" s="183"/>
      <c r="D619" s="152"/>
      <c r="E619" s="152"/>
      <c r="F619" s="151"/>
      <c r="G619" s="153"/>
      <c r="H619" s="151"/>
      <c r="I619" s="151"/>
      <c r="J619" s="151"/>
      <c r="K619" s="151"/>
      <c r="L619" s="151"/>
      <c r="M619" s="151"/>
      <c r="N619" s="151"/>
      <c r="O619" s="151"/>
      <c r="P619" s="151"/>
      <c r="Q619" s="151"/>
      <c r="R619" s="151"/>
      <c r="S619" s="152"/>
      <c r="T619" s="151"/>
      <c r="U619" s="151"/>
      <c r="V619" s="153"/>
      <c r="W619" s="151"/>
      <c r="X619" s="151"/>
      <c r="Y619" s="153"/>
      <c r="Z619" s="151"/>
      <c r="AA619" s="187" t="str">
        <f t="shared" si="19"/>
        <v>No</v>
      </c>
      <c r="AB619" s="158"/>
      <c r="AC619" s="159"/>
      <c r="AD619" s="160"/>
    </row>
    <row r="620" spans="1:30">
      <c r="A620" s="155"/>
      <c r="B620" s="112" t="str">
        <f t="shared" si="18"/>
        <v/>
      </c>
      <c r="C620" s="183"/>
      <c r="D620" s="152"/>
      <c r="E620" s="152"/>
      <c r="F620" s="151"/>
      <c r="G620" s="153"/>
      <c r="H620" s="151"/>
      <c r="I620" s="151"/>
      <c r="J620" s="151"/>
      <c r="K620" s="151"/>
      <c r="L620" s="151"/>
      <c r="M620" s="151"/>
      <c r="N620" s="151"/>
      <c r="O620" s="151"/>
      <c r="P620" s="151"/>
      <c r="Q620" s="151"/>
      <c r="R620" s="151"/>
      <c r="S620" s="152"/>
      <c r="T620" s="151"/>
      <c r="U620" s="151"/>
      <c r="V620" s="153"/>
      <c r="W620" s="151"/>
      <c r="X620" s="151"/>
      <c r="Y620" s="153"/>
      <c r="Z620" s="151"/>
      <c r="AA620" s="187" t="str">
        <f t="shared" si="19"/>
        <v>No</v>
      </c>
      <c r="AB620" s="158"/>
      <c r="AC620" s="159"/>
      <c r="AD620" s="160"/>
    </row>
    <row r="621" spans="1:30">
      <c r="A621" s="155"/>
      <c r="B621" s="112" t="str">
        <f t="shared" si="18"/>
        <v/>
      </c>
      <c r="C621" s="183"/>
      <c r="D621" s="152"/>
      <c r="E621" s="152"/>
      <c r="F621" s="151"/>
      <c r="G621" s="153"/>
      <c r="H621" s="151"/>
      <c r="I621" s="151"/>
      <c r="J621" s="151"/>
      <c r="K621" s="151"/>
      <c r="L621" s="151"/>
      <c r="M621" s="151"/>
      <c r="N621" s="151"/>
      <c r="O621" s="151"/>
      <c r="P621" s="151"/>
      <c r="Q621" s="151"/>
      <c r="R621" s="151"/>
      <c r="S621" s="152"/>
      <c r="T621" s="151"/>
      <c r="U621" s="151"/>
      <c r="V621" s="153"/>
      <c r="W621" s="151"/>
      <c r="X621" s="151"/>
      <c r="Y621" s="153"/>
      <c r="Z621" s="151"/>
      <c r="AA621" s="187" t="str">
        <f t="shared" si="19"/>
        <v>No</v>
      </c>
      <c r="AB621" s="158"/>
      <c r="AC621" s="159"/>
      <c r="AD621" s="160"/>
    </row>
    <row r="622" spans="1:30">
      <c r="A622" s="155"/>
      <c r="B622" s="112" t="str">
        <f t="shared" si="18"/>
        <v/>
      </c>
      <c r="C622" s="183"/>
      <c r="D622" s="152"/>
      <c r="E622" s="152"/>
      <c r="F622" s="151"/>
      <c r="G622" s="153"/>
      <c r="H622" s="151"/>
      <c r="I622" s="151"/>
      <c r="J622" s="151"/>
      <c r="K622" s="151"/>
      <c r="L622" s="151"/>
      <c r="M622" s="151"/>
      <c r="N622" s="151"/>
      <c r="O622" s="151"/>
      <c r="P622" s="151"/>
      <c r="Q622" s="151"/>
      <c r="R622" s="151"/>
      <c r="S622" s="152"/>
      <c r="T622" s="151"/>
      <c r="U622" s="151"/>
      <c r="V622" s="153"/>
      <c r="W622" s="151"/>
      <c r="X622" s="151"/>
      <c r="Y622" s="153"/>
      <c r="Z622" s="151"/>
      <c r="AA622" s="187" t="str">
        <f t="shared" si="19"/>
        <v>No</v>
      </c>
      <c r="AB622" s="158"/>
      <c r="AC622" s="159"/>
      <c r="AD622" s="160"/>
    </row>
    <row r="623" spans="1:30">
      <c r="A623" s="155"/>
      <c r="B623" s="112" t="str">
        <f t="shared" si="18"/>
        <v/>
      </c>
      <c r="C623" s="183"/>
      <c r="D623" s="152"/>
      <c r="E623" s="152"/>
      <c r="F623" s="151"/>
      <c r="G623" s="153"/>
      <c r="H623" s="151"/>
      <c r="I623" s="151"/>
      <c r="J623" s="151"/>
      <c r="K623" s="151"/>
      <c r="L623" s="151"/>
      <c r="M623" s="151"/>
      <c r="N623" s="151"/>
      <c r="O623" s="151"/>
      <c r="P623" s="151"/>
      <c r="Q623" s="151"/>
      <c r="R623" s="151"/>
      <c r="S623" s="152"/>
      <c r="T623" s="151"/>
      <c r="U623" s="151"/>
      <c r="V623" s="153"/>
      <c r="W623" s="151"/>
      <c r="X623" s="151"/>
      <c r="Y623" s="153"/>
      <c r="Z623" s="151"/>
      <c r="AA623" s="187" t="str">
        <f t="shared" si="19"/>
        <v>No</v>
      </c>
      <c r="AB623" s="158"/>
      <c r="AC623" s="159"/>
      <c r="AD623" s="160"/>
    </row>
    <row r="624" spans="1:30">
      <c r="A624" s="155"/>
      <c r="B624" s="112" t="str">
        <f t="shared" si="18"/>
        <v/>
      </c>
      <c r="C624" s="183"/>
      <c r="D624" s="152"/>
      <c r="E624" s="152"/>
      <c r="F624" s="151"/>
      <c r="G624" s="153"/>
      <c r="H624" s="151"/>
      <c r="I624" s="151"/>
      <c r="J624" s="151"/>
      <c r="K624" s="151"/>
      <c r="L624" s="151"/>
      <c r="M624" s="151"/>
      <c r="N624" s="151"/>
      <c r="O624" s="151"/>
      <c r="P624" s="151"/>
      <c r="Q624" s="151"/>
      <c r="R624" s="151"/>
      <c r="S624" s="152"/>
      <c r="T624" s="151"/>
      <c r="U624" s="151"/>
      <c r="V624" s="153"/>
      <c r="W624" s="151"/>
      <c r="X624" s="151"/>
      <c r="Y624" s="153"/>
      <c r="Z624" s="151"/>
      <c r="AA624" s="187" t="str">
        <f t="shared" si="19"/>
        <v>No</v>
      </c>
      <c r="AB624" s="158"/>
      <c r="AC624" s="159"/>
      <c r="AD624" s="160"/>
    </row>
    <row r="625" spans="1:30">
      <c r="A625" s="155"/>
      <c r="B625" s="112" t="str">
        <f t="shared" si="18"/>
        <v/>
      </c>
      <c r="C625" s="183"/>
      <c r="D625" s="152"/>
      <c r="E625" s="152"/>
      <c r="F625" s="151"/>
      <c r="G625" s="153"/>
      <c r="H625" s="151"/>
      <c r="I625" s="151"/>
      <c r="J625" s="151"/>
      <c r="K625" s="151"/>
      <c r="L625" s="151"/>
      <c r="M625" s="151"/>
      <c r="N625" s="151"/>
      <c r="O625" s="151"/>
      <c r="P625" s="151"/>
      <c r="Q625" s="151"/>
      <c r="R625" s="151"/>
      <c r="S625" s="152"/>
      <c r="T625" s="151"/>
      <c r="U625" s="151"/>
      <c r="V625" s="153"/>
      <c r="W625" s="151"/>
      <c r="X625" s="151"/>
      <c r="Y625" s="153"/>
      <c r="Z625" s="151"/>
      <c r="AA625" s="187" t="str">
        <f t="shared" si="19"/>
        <v>No</v>
      </c>
      <c r="AB625" s="158"/>
      <c r="AC625" s="159"/>
      <c r="AD625" s="160"/>
    </row>
    <row r="626" spans="1:30">
      <c r="A626" s="155"/>
      <c r="B626" s="112" t="str">
        <f t="shared" si="18"/>
        <v/>
      </c>
      <c r="C626" s="183"/>
      <c r="D626" s="152"/>
      <c r="E626" s="152"/>
      <c r="F626" s="151"/>
      <c r="G626" s="153"/>
      <c r="H626" s="151"/>
      <c r="I626" s="151"/>
      <c r="J626" s="151"/>
      <c r="K626" s="151"/>
      <c r="L626" s="151"/>
      <c r="M626" s="151"/>
      <c r="N626" s="151"/>
      <c r="O626" s="151"/>
      <c r="P626" s="151"/>
      <c r="Q626" s="151"/>
      <c r="R626" s="151"/>
      <c r="S626" s="152"/>
      <c r="T626" s="151"/>
      <c r="U626" s="151"/>
      <c r="V626" s="153"/>
      <c r="W626" s="151"/>
      <c r="X626" s="151"/>
      <c r="Y626" s="153"/>
      <c r="Z626" s="151"/>
      <c r="AA626" s="187" t="str">
        <f t="shared" si="19"/>
        <v>No</v>
      </c>
      <c r="AB626" s="158"/>
      <c r="AC626" s="159"/>
      <c r="AD626" s="160"/>
    </row>
    <row r="627" spans="1:30">
      <c r="A627" s="155"/>
      <c r="B627" s="112" t="str">
        <f t="shared" si="18"/>
        <v/>
      </c>
      <c r="C627" s="183"/>
      <c r="D627" s="152"/>
      <c r="E627" s="152"/>
      <c r="F627" s="151"/>
      <c r="G627" s="153"/>
      <c r="H627" s="151"/>
      <c r="I627" s="151"/>
      <c r="J627" s="151"/>
      <c r="K627" s="151"/>
      <c r="L627" s="151"/>
      <c r="M627" s="151"/>
      <c r="N627" s="151"/>
      <c r="O627" s="151"/>
      <c r="P627" s="151"/>
      <c r="Q627" s="151"/>
      <c r="R627" s="151"/>
      <c r="S627" s="152"/>
      <c r="T627" s="151"/>
      <c r="U627" s="151"/>
      <c r="V627" s="153"/>
      <c r="W627" s="151"/>
      <c r="X627" s="151"/>
      <c r="Y627" s="153"/>
      <c r="Z627" s="151"/>
      <c r="AA627" s="187" t="str">
        <f t="shared" si="19"/>
        <v>No</v>
      </c>
      <c r="AB627" s="158"/>
      <c r="AC627" s="159"/>
      <c r="AD627" s="160"/>
    </row>
    <row r="628" spans="1:30">
      <c r="A628" s="155"/>
      <c r="B628" s="112" t="str">
        <f t="shared" si="18"/>
        <v/>
      </c>
      <c r="C628" s="183"/>
      <c r="D628" s="152"/>
      <c r="E628" s="152"/>
      <c r="F628" s="151"/>
      <c r="G628" s="153"/>
      <c r="H628" s="151"/>
      <c r="I628" s="151"/>
      <c r="J628" s="151"/>
      <c r="K628" s="151"/>
      <c r="L628" s="151"/>
      <c r="M628" s="151"/>
      <c r="N628" s="151"/>
      <c r="O628" s="151"/>
      <c r="P628" s="151"/>
      <c r="Q628" s="151"/>
      <c r="R628" s="151"/>
      <c r="S628" s="152"/>
      <c r="T628" s="151"/>
      <c r="U628" s="151"/>
      <c r="V628" s="153"/>
      <c r="W628" s="151"/>
      <c r="X628" s="151"/>
      <c r="Y628" s="153"/>
      <c r="Z628" s="151"/>
      <c r="AA628" s="187" t="str">
        <f t="shared" si="19"/>
        <v>No</v>
      </c>
      <c r="AB628" s="158"/>
      <c r="AC628" s="159"/>
      <c r="AD628" s="160"/>
    </row>
    <row r="629" spans="1:30">
      <c r="A629" s="155"/>
      <c r="B629" s="112" t="str">
        <f t="shared" si="18"/>
        <v/>
      </c>
      <c r="C629" s="183"/>
      <c r="D629" s="152"/>
      <c r="E629" s="152"/>
      <c r="F629" s="151"/>
      <c r="G629" s="153"/>
      <c r="H629" s="151"/>
      <c r="I629" s="151"/>
      <c r="J629" s="151"/>
      <c r="K629" s="151"/>
      <c r="L629" s="151"/>
      <c r="M629" s="151"/>
      <c r="N629" s="151"/>
      <c r="O629" s="151"/>
      <c r="P629" s="151"/>
      <c r="Q629" s="151"/>
      <c r="R629" s="151"/>
      <c r="S629" s="152"/>
      <c r="T629" s="151"/>
      <c r="U629" s="151"/>
      <c r="V629" s="153"/>
      <c r="W629" s="151"/>
      <c r="X629" s="151"/>
      <c r="Y629" s="153"/>
      <c r="Z629" s="151"/>
      <c r="AA629" s="187" t="str">
        <f t="shared" si="19"/>
        <v>No</v>
      </c>
      <c r="AB629" s="158"/>
      <c r="AC629" s="159"/>
      <c r="AD629" s="160"/>
    </row>
    <row r="630" spans="1:30">
      <c r="A630" s="155"/>
      <c r="B630" s="112" t="str">
        <f t="shared" si="18"/>
        <v/>
      </c>
      <c r="C630" s="183"/>
      <c r="D630" s="152"/>
      <c r="E630" s="152"/>
      <c r="F630" s="151"/>
      <c r="G630" s="153"/>
      <c r="H630" s="151"/>
      <c r="I630" s="151"/>
      <c r="J630" s="151"/>
      <c r="K630" s="151"/>
      <c r="L630" s="151"/>
      <c r="M630" s="151"/>
      <c r="N630" s="151"/>
      <c r="O630" s="151"/>
      <c r="P630" s="151"/>
      <c r="Q630" s="151"/>
      <c r="R630" s="151"/>
      <c r="S630" s="152"/>
      <c r="T630" s="151"/>
      <c r="U630" s="151"/>
      <c r="V630" s="153"/>
      <c r="W630" s="151"/>
      <c r="X630" s="151"/>
      <c r="Y630" s="153"/>
      <c r="Z630" s="151"/>
      <c r="AA630" s="187" t="str">
        <f t="shared" si="19"/>
        <v>No</v>
      </c>
      <c r="AB630" s="158"/>
      <c r="AC630" s="159"/>
      <c r="AD630" s="160"/>
    </row>
    <row r="631" spans="1:30">
      <c r="A631" s="155"/>
      <c r="B631" s="112" t="str">
        <f t="shared" si="18"/>
        <v/>
      </c>
      <c r="C631" s="183"/>
      <c r="D631" s="152"/>
      <c r="E631" s="152"/>
      <c r="F631" s="151"/>
      <c r="G631" s="153"/>
      <c r="H631" s="151"/>
      <c r="I631" s="151"/>
      <c r="J631" s="151"/>
      <c r="K631" s="151"/>
      <c r="L631" s="151"/>
      <c r="M631" s="151"/>
      <c r="N631" s="151"/>
      <c r="O631" s="151"/>
      <c r="P631" s="151"/>
      <c r="Q631" s="151"/>
      <c r="R631" s="151"/>
      <c r="S631" s="152"/>
      <c r="T631" s="151"/>
      <c r="U631" s="151"/>
      <c r="V631" s="153"/>
      <c r="W631" s="151"/>
      <c r="X631" s="151"/>
      <c r="Y631" s="153"/>
      <c r="Z631" s="151"/>
      <c r="AA631" s="187" t="str">
        <f t="shared" si="19"/>
        <v>No</v>
      </c>
      <c r="AB631" s="158"/>
      <c r="AC631" s="159"/>
      <c r="AD631" s="160"/>
    </row>
    <row r="632" spans="1:30">
      <c r="A632" s="155"/>
      <c r="B632" s="112" t="str">
        <f t="shared" si="18"/>
        <v/>
      </c>
      <c r="C632" s="183"/>
      <c r="D632" s="152"/>
      <c r="E632" s="152"/>
      <c r="F632" s="151"/>
      <c r="G632" s="153"/>
      <c r="H632" s="151"/>
      <c r="I632" s="151"/>
      <c r="J632" s="151"/>
      <c r="K632" s="151"/>
      <c r="L632" s="151"/>
      <c r="M632" s="151"/>
      <c r="N632" s="151"/>
      <c r="O632" s="151"/>
      <c r="P632" s="151"/>
      <c r="Q632" s="151"/>
      <c r="R632" s="151"/>
      <c r="S632" s="152"/>
      <c r="T632" s="151"/>
      <c r="U632" s="151"/>
      <c r="V632" s="153"/>
      <c r="W632" s="151"/>
      <c r="X632" s="151"/>
      <c r="Y632" s="153"/>
      <c r="Z632" s="151"/>
      <c r="AA632" s="187" t="str">
        <f t="shared" si="19"/>
        <v>No</v>
      </c>
      <c r="AB632" s="158"/>
      <c r="AC632" s="159"/>
      <c r="AD632" s="160"/>
    </row>
    <row r="633" spans="1:30">
      <c r="A633" s="155"/>
      <c r="B633" s="112" t="str">
        <f t="shared" si="18"/>
        <v/>
      </c>
      <c r="C633" s="183"/>
      <c r="D633" s="152"/>
      <c r="E633" s="152"/>
      <c r="F633" s="151"/>
      <c r="G633" s="153"/>
      <c r="H633" s="151"/>
      <c r="I633" s="151"/>
      <c r="J633" s="151"/>
      <c r="K633" s="151"/>
      <c r="L633" s="151"/>
      <c r="M633" s="151"/>
      <c r="N633" s="151"/>
      <c r="O633" s="151"/>
      <c r="P633" s="151"/>
      <c r="Q633" s="151"/>
      <c r="R633" s="151"/>
      <c r="S633" s="152"/>
      <c r="T633" s="151"/>
      <c r="U633" s="151"/>
      <c r="V633" s="153"/>
      <c r="W633" s="151"/>
      <c r="X633" s="151"/>
      <c r="Y633" s="153"/>
      <c r="Z633" s="151"/>
      <c r="AA633" s="187" t="str">
        <f t="shared" si="19"/>
        <v>No</v>
      </c>
      <c r="AB633" s="158"/>
      <c r="AC633" s="159"/>
      <c r="AD633" s="160"/>
    </row>
    <row r="634" spans="1:30">
      <c r="A634" s="155"/>
      <c r="B634" s="112" t="str">
        <f t="shared" si="18"/>
        <v/>
      </c>
      <c r="C634" s="183"/>
      <c r="D634" s="152"/>
      <c r="E634" s="152"/>
      <c r="F634" s="151"/>
      <c r="G634" s="153"/>
      <c r="H634" s="151"/>
      <c r="I634" s="151"/>
      <c r="J634" s="151"/>
      <c r="K634" s="151"/>
      <c r="L634" s="151"/>
      <c r="M634" s="151"/>
      <c r="N634" s="151"/>
      <c r="O634" s="151"/>
      <c r="P634" s="151"/>
      <c r="Q634" s="151"/>
      <c r="R634" s="151"/>
      <c r="S634" s="152"/>
      <c r="T634" s="151"/>
      <c r="U634" s="151"/>
      <c r="V634" s="153"/>
      <c r="W634" s="151"/>
      <c r="X634" s="151"/>
      <c r="Y634" s="153"/>
      <c r="Z634" s="151"/>
      <c r="AA634" s="187" t="str">
        <f t="shared" si="19"/>
        <v>No</v>
      </c>
      <c r="AB634" s="158"/>
      <c r="AC634" s="159"/>
      <c r="AD634" s="160"/>
    </row>
    <row r="635" spans="1:30">
      <c r="A635" s="155"/>
      <c r="B635" s="112" t="str">
        <f t="shared" si="18"/>
        <v/>
      </c>
      <c r="C635" s="183"/>
      <c r="D635" s="152"/>
      <c r="E635" s="152"/>
      <c r="F635" s="151"/>
      <c r="G635" s="153"/>
      <c r="H635" s="151"/>
      <c r="I635" s="151"/>
      <c r="J635" s="151"/>
      <c r="K635" s="151"/>
      <c r="L635" s="151"/>
      <c r="M635" s="151"/>
      <c r="N635" s="151"/>
      <c r="O635" s="151"/>
      <c r="P635" s="151"/>
      <c r="Q635" s="151"/>
      <c r="R635" s="151"/>
      <c r="S635" s="152"/>
      <c r="T635" s="151"/>
      <c r="U635" s="151"/>
      <c r="V635" s="153"/>
      <c r="W635" s="151"/>
      <c r="X635" s="151"/>
      <c r="Y635" s="153"/>
      <c r="Z635" s="151"/>
      <c r="AA635" s="187" t="str">
        <f t="shared" si="19"/>
        <v>No</v>
      </c>
      <c r="AB635" s="158"/>
      <c r="AC635" s="159"/>
      <c r="AD635" s="160"/>
    </row>
    <row r="636" spans="1:30">
      <c r="A636" s="155"/>
      <c r="B636" s="112" t="str">
        <f t="shared" si="18"/>
        <v/>
      </c>
      <c r="C636" s="183"/>
      <c r="D636" s="152"/>
      <c r="E636" s="152"/>
      <c r="F636" s="151"/>
      <c r="G636" s="153"/>
      <c r="H636" s="151"/>
      <c r="I636" s="151"/>
      <c r="J636" s="151"/>
      <c r="K636" s="151"/>
      <c r="L636" s="151"/>
      <c r="M636" s="151"/>
      <c r="N636" s="151"/>
      <c r="O636" s="151"/>
      <c r="P636" s="151"/>
      <c r="Q636" s="151"/>
      <c r="R636" s="151"/>
      <c r="S636" s="152"/>
      <c r="T636" s="151"/>
      <c r="U636" s="151"/>
      <c r="V636" s="153"/>
      <c r="W636" s="151"/>
      <c r="X636" s="151"/>
      <c r="Y636" s="153"/>
      <c r="Z636" s="151"/>
      <c r="AA636" s="187" t="str">
        <f t="shared" si="19"/>
        <v>No</v>
      </c>
      <c r="AB636" s="158"/>
      <c r="AC636" s="159"/>
      <c r="AD636" s="160"/>
    </row>
    <row r="637" spans="1:30">
      <c r="A637" s="155"/>
      <c r="B637" s="112" t="str">
        <f t="shared" si="18"/>
        <v/>
      </c>
      <c r="C637" s="183"/>
      <c r="D637" s="152"/>
      <c r="E637" s="152"/>
      <c r="F637" s="151"/>
      <c r="G637" s="153"/>
      <c r="H637" s="151"/>
      <c r="I637" s="151"/>
      <c r="J637" s="151"/>
      <c r="K637" s="151"/>
      <c r="L637" s="151"/>
      <c r="M637" s="151"/>
      <c r="N637" s="151"/>
      <c r="O637" s="151"/>
      <c r="P637" s="151"/>
      <c r="Q637" s="151"/>
      <c r="R637" s="151"/>
      <c r="S637" s="152"/>
      <c r="T637" s="151"/>
      <c r="U637" s="151"/>
      <c r="V637" s="153"/>
      <c r="W637" s="151"/>
      <c r="X637" s="151"/>
      <c r="Y637" s="153"/>
      <c r="Z637" s="151"/>
      <c r="AA637" s="187" t="str">
        <f t="shared" si="19"/>
        <v>No</v>
      </c>
      <c r="AB637" s="158"/>
      <c r="AC637" s="159"/>
      <c r="AD637" s="160"/>
    </row>
    <row r="638" spans="1:30">
      <c r="A638" s="155"/>
      <c r="B638" s="112" t="str">
        <f t="shared" si="18"/>
        <v/>
      </c>
      <c r="C638" s="183"/>
      <c r="D638" s="152"/>
      <c r="E638" s="152"/>
      <c r="F638" s="151"/>
      <c r="G638" s="153"/>
      <c r="H638" s="151"/>
      <c r="I638" s="151"/>
      <c r="J638" s="151"/>
      <c r="K638" s="151"/>
      <c r="L638" s="151"/>
      <c r="M638" s="151"/>
      <c r="N638" s="151"/>
      <c r="O638" s="151"/>
      <c r="P638" s="151"/>
      <c r="Q638" s="151"/>
      <c r="R638" s="151"/>
      <c r="S638" s="152"/>
      <c r="T638" s="151"/>
      <c r="U638" s="151"/>
      <c r="V638" s="153"/>
      <c r="W638" s="151"/>
      <c r="X638" s="151"/>
      <c r="Y638" s="153"/>
      <c r="Z638" s="151"/>
      <c r="AA638" s="187" t="str">
        <f t="shared" si="19"/>
        <v>No</v>
      </c>
      <c r="AB638" s="158"/>
      <c r="AC638" s="159"/>
      <c r="AD638" s="160"/>
    </row>
    <row r="639" spans="1:30">
      <c r="A639" s="155"/>
      <c r="B639" s="112" t="str">
        <f t="shared" si="18"/>
        <v/>
      </c>
      <c r="C639" s="183"/>
      <c r="D639" s="152"/>
      <c r="E639" s="152"/>
      <c r="F639" s="151"/>
      <c r="G639" s="153"/>
      <c r="H639" s="151"/>
      <c r="I639" s="151"/>
      <c r="J639" s="151"/>
      <c r="K639" s="151"/>
      <c r="L639" s="151"/>
      <c r="M639" s="151"/>
      <c r="N639" s="151"/>
      <c r="O639" s="151"/>
      <c r="P639" s="151"/>
      <c r="Q639" s="151"/>
      <c r="R639" s="151"/>
      <c r="S639" s="152"/>
      <c r="T639" s="151"/>
      <c r="U639" s="151"/>
      <c r="V639" s="153"/>
      <c r="W639" s="151"/>
      <c r="X639" s="151"/>
      <c r="Y639" s="153"/>
      <c r="Z639" s="151"/>
      <c r="AA639" s="187" t="str">
        <f t="shared" si="19"/>
        <v>No</v>
      </c>
      <c r="AB639" s="158"/>
      <c r="AC639" s="159"/>
      <c r="AD639" s="160"/>
    </row>
    <row r="640" spans="1:30">
      <c r="A640" s="155"/>
      <c r="B640" s="112" t="str">
        <f t="shared" si="18"/>
        <v/>
      </c>
      <c r="C640" s="183"/>
      <c r="D640" s="152"/>
      <c r="E640" s="152"/>
      <c r="F640" s="151"/>
      <c r="G640" s="153"/>
      <c r="H640" s="151"/>
      <c r="I640" s="151"/>
      <c r="J640" s="151"/>
      <c r="K640" s="151"/>
      <c r="L640" s="151"/>
      <c r="M640" s="151"/>
      <c r="N640" s="151"/>
      <c r="O640" s="151"/>
      <c r="P640" s="151"/>
      <c r="Q640" s="151"/>
      <c r="R640" s="151"/>
      <c r="S640" s="152"/>
      <c r="T640" s="151"/>
      <c r="U640" s="151"/>
      <c r="V640" s="153"/>
      <c r="W640" s="151"/>
      <c r="X640" s="151"/>
      <c r="Y640" s="153"/>
      <c r="Z640" s="151"/>
      <c r="AA640" s="187" t="str">
        <f t="shared" si="19"/>
        <v>No</v>
      </c>
      <c r="AB640" s="158"/>
      <c r="AC640" s="159"/>
      <c r="AD640" s="160"/>
    </row>
    <row r="641" spans="1:30">
      <c r="A641" s="155"/>
      <c r="B641" s="112" t="str">
        <f t="shared" si="18"/>
        <v/>
      </c>
      <c r="C641" s="183"/>
      <c r="D641" s="152"/>
      <c r="E641" s="152"/>
      <c r="F641" s="151"/>
      <c r="G641" s="153"/>
      <c r="H641" s="151"/>
      <c r="I641" s="151"/>
      <c r="J641" s="151"/>
      <c r="K641" s="151"/>
      <c r="L641" s="151"/>
      <c r="M641" s="151"/>
      <c r="N641" s="151"/>
      <c r="O641" s="151"/>
      <c r="P641" s="151"/>
      <c r="Q641" s="151"/>
      <c r="R641" s="151"/>
      <c r="S641" s="152"/>
      <c r="T641" s="151"/>
      <c r="U641" s="151"/>
      <c r="V641" s="153"/>
      <c r="W641" s="151"/>
      <c r="X641" s="151"/>
      <c r="Y641" s="153"/>
      <c r="Z641" s="151"/>
      <c r="AA641" s="187" t="str">
        <f t="shared" si="19"/>
        <v>No</v>
      </c>
      <c r="AB641" s="158"/>
      <c r="AC641" s="159"/>
      <c r="AD641" s="160"/>
    </row>
    <row r="642" spans="1:30">
      <c r="A642" s="155"/>
      <c r="B642" s="112" t="str">
        <f t="shared" si="18"/>
        <v/>
      </c>
      <c r="C642" s="183"/>
      <c r="D642" s="152"/>
      <c r="E642" s="152"/>
      <c r="F642" s="151"/>
      <c r="G642" s="153"/>
      <c r="H642" s="151"/>
      <c r="I642" s="151"/>
      <c r="J642" s="151"/>
      <c r="K642" s="151"/>
      <c r="L642" s="151"/>
      <c r="M642" s="151"/>
      <c r="N642" s="151"/>
      <c r="O642" s="151"/>
      <c r="P642" s="151"/>
      <c r="Q642" s="151"/>
      <c r="R642" s="151"/>
      <c r="S642" s="152"/>
      <c r="T642" s="151"/>
      <c r="U642" s="151"/>
      <c r="V642" s="153"/>
      <c r="W642" s="151"/>
      <c r="X642" s="151"/>
      <c r="Y642" s="153"/>
      <c r="Z642" s="151"/>
      <c r="AA642" s="187" t="str">
        <f t="shared" si="19"/>
        <v>No</v>
      </c>
      <c r="AB642" s="158"/>
      <c r="AC642" s="159"/>
      <c r="AD642" s="160"/>
    </row>
    <row r="643" spans="1:30">
      <c r="A643" s="155"/>
      <c r="B643" s="112" t="str">
        <f t="shared" si="18"/>
        <v/>
      </c>
      <c r="C643" s="183"/>
      <c r="D643" s="152"/>
      <c r="E643" s="152"/>
      <c r="F643" s="151"/>
      <c r="G643" s="153"/>
      <c r="H643" s="151"/>
      <c r="I643" s="151"/>
      <c r="J643" s="151"/>
      <c r="K643" s="151"/>
      <c r="L643" s="151"/>
      <c r="M643" s="151"/>
      <c r="N643" s="151"/>
      <c r="O643" s="151"/>
      <c r="P643" s="151"/>
      <c r="Q643" s="151"/>
      <c r="R643" s="151"/>
      <c r="S643" s="152"/>
      <c r="T643" s="151"/>
      <c r="U643" s="151"/>
      <c r="V643" s="153"/>
      <c r="W643" s="151"/>
      <c r="X643" s="151"/>
      <c r="Y643" s="153"/>
      <c r="Z643" s="151"/>
      <c r="AA643" s="187" t="str">
        <f t="shared" si="19"/>
        <v>No</v>
      </c>
      <c r="AB643" s="158"/>
      <c r="AC643" s="159"/>
      <c r="AD643" s="160"/>
    </row>
    <row r="644" spans="1:30">
      <c r="A644" s="155"/>
      <c r="B644" s="112" t="str">
        <f t="shared" si="18"/>
        <v/>
      </c>
      <c r="C644" s="183"/>
      <c r="D644" s="152"/>
      <c r="E644" s="152"/>
      <c r="F644" s="151"/>
      <c r="G644" s="153"/>
      <c r="H644" s="151"/>
      <c r="I644" s="151"/>
      <c r="J644" s="151"/>
      <c r="K644" s="151"/>
      <c r="L644" s="151"/>
      <c r="M644" s="151"/>
      <c r="N644" s="151"/>
      <c r="O644" s="151"/>
      <c r="P644" s="151"/>
      <c r="Q644" s="151"/>
      <c r="R644" s="151"/>
      <c r="S644" s="152"/>
      <c r="T644" s="151"/>
      <c r="U644" s="151"/>
      <c r="V644" s="153"/>
      <c r="W644" s="151"/>
      <c r="X644" s="151"/>
      <c r="Y644" s="153"/>
      <c r="Z644" s="151"/>
      <c r="AA644" s="187" t="str">
        <f t="shared" si="19"/>
        <v>No</v>
      </c>
      <c r="AB644" s="158"/>
      <c r="AC644" s="159"/>
      <c r="AD644" s="160"/>
    </row>
    <row r="645" spans="1:30">
      <c r="A645" s="155"/>
      <c r="B645" s="112" t="str">
        <f t="shared" ref="B645:B708" si="20">IF(AND(A645&lt;&gt;"",D645&lt;&gt;"",J645&lt;&gt;"",N645&lt;&gt;""),TEXT(D645,"YY")&amp;"-"&amp;TEXT(D645,"MMM")&amp;"-"&amp;UPPER(LEFT(TRIM(N645),2))&amp;"-"&amp;UPPER(LEFT(TRIM(J645),3))&amp;"-"&amp;A645,"")</f>
        <v/>
      </c>
      <c r="C645" s="183"/>
      <c r="D645" s="152"/>
      <c r="E645" s="152"/>
      <c r="F645" s="151"/>
      <c r="G645" s="153"/>
      <c r="H645" s="151"/>
      <c r="I645" s="151"/>
      <c r="J645" s="151"/>
      <c r="K645" s="151"/>
      <c r="L645" s="151"/>
      <c r="M645" s="151"/>
      <c r="N645" s="151"/>
      <c r="O645" s="151"/>
      <c r="P645" s="151"/>
      <c r="Q645" s="151"/>
      <c r="R645" s="151"/>
      <c r="S645" s="152"/>
      <c r="T645" s="151"/>
      <c r="U645" s="151"/>
      <c r="V645" s="153"/>
      <c r="W645" s="151"/>
      <c r="X645" s="151"/>
      <c r="Y645" s="153"/>
      <c r="Z645" s="151"/>
      <c r="AA645" s="187" t="str">
        <f t="shared" ref="AA645:AA708" si="21">IF(E645="","No","Yes")</f>
        <v>No</v>
      </c>
      <c r="AB645" s="158"/>
      <c r="AC645" s="159"/>
      <c r="AD645" s="160"/>
    </row>
    <row r="646" spans="1:30">
      <c r="A646" s="155"/>
      <c r="B646" s="112" t="str">
        <f t="shared" si="20"/>
        <v/>
      </c>
      <c r="C646" s="183"/>
      <c r="D646" s="152"/>
      <c r="E646" s="152"/>
      <c r="F646" s="151"/>
      <c r="G646" s="153"/>
      <c r="H646" s="151"/>
      <c r="I646" s="151"/>
      <c r="J646" s="151"/>
      <c r="K646" s="151"/>
      <c r="L646" s="151"/>
      <c r="M646" s="151"/>
      <c r="N646" s="151"/>
      <c r="O646" s="151"/>
      <c r="P646" s="151"/>
      <c r="Q646" s="151"/>
      <c r="R646" s="151"/>
      <c r="S646" s="152"/>
      <c r="T646" s="151"/>
      <c r="U646" s="151"/>
      <c r="V646" s="153"/>
      <c r="W646" s="151"/>
      <c r="X646" s="151"/>
      <c r="Y646" s="153"/>
      <c r="Z646" s="151"/>
      <c r="AA646" s="187" t="str">
        <f t="shared" si="21"/>
        <v>No</v>
      </c>
      <c r="AB646" s="158"/>
      <c r="AC646" s="159"/>
      <c r="AD646" s="160"/>
    </row>
    <row r="647" spans="1:30">
      <c r="A647" s="155"/>
      <c r="B647" s="112" t="str">
        <f t="shared" si="20"/>
        <v/>
      </c>
      <c r="C647" s="183"/>
      <c r="D647" s="152"/>
      <c r="E647" s="152"/>
      <c r="F647" s="151"/>
      <c r="G647" s="153"/>
      <c r="H647" s="151"/>
      <c r="I647" s="151"/>
      <c r="J647" s="151"/>
      <c r="K647" s="151"/>
      <c r="L647" s="151"/>
      <c r="M647" s="151"/>
      <c r="N647" s="151"/>
      <c r="O647" s="151"/>
      <c r="P647" s="151"/>
      <c r="Q647" s="151"/>
      <c r="R647" s="151"/>
      <c r="S647" s="152"/>
      <c r="T647" s="151"/>
      <c r="U647" s="151"/>
      <c r="V647" s="153"/>
      <c r="W647" s="151"/>
      <c r="X647" s="151"/>
      <c r="Y647" s="153"/>
      <c r="Z647" s="151"/>
      <c r="AA647" s="187" t="str">
        <f t="shared" si="21"/>
        <v>No</v>
      </c>
      <c r="AB647" s="158"/>
      <c r="AC647" s="159"/>
      <c r="AD647" s="160"/>
    </row>
    <row r="648" spans="1:30">
      <c r="A648" s="155"/>
      <c r="B648" s="112" t="str">
        <f t="shared" si="20"/>
        <v/>
      </c>
      <c r="C648" s="183"/>
      <c r="D648" s="152"/>
      <c r="E648" s="152"/>
      <c r="F648" s="151"/>
      <c r="G648" s="153"/>
      <c r="H648" s="151"/>
      <c r="I648" s="151"/>
      <c r="J648" s="151"/>
      <c r="K648" s="151"/>
      <c r="L648" s="151"/>
      <c r="M648" s="151"/>
      <c r="N648" s="151"/>
      <c r="O648" s="151"/>
      <c r="P648" s="151"/>
      <c r="Q648" s="151"/>
      <c r="R648" s="151"/>
      <c r="S648" s="152"/>
      <c r="T648" s="151"/>
      <c r="U648" s="151"/>
      <c r="V648" s="153"/>
      <c r="W648" s="151"/>
      <c r="X648" s="151"/>
      <c r="Y648" s="153"/>
      <c r="Z648" s="151"/>
      <c r="AA648" s="187" t="str">
        <f t="shared" si="21"/>
        <v>No</v>
      </c>
      <c r="AB648" s="158"/>
      <c r="AC648" s="159"/>
      <c r="AD648" s="160"/>
    </row>
    <row r="649" spans="1:30">
      <c r="A649" s="155"/>
      <c r="B649" s="112" t="str">
        <f t="shared" si="20"/>
        <v/>
      </c>
      <c r="C649" s="183"/>
      <c r="D649" s="152"/>
      <c r="E649" s="152"/>
      <c r="F649" s="151"/>
      <c r="G649" s="153"/>
      <c r="H649" s="151"/>
      <c r="I649" s="151"/>
      <c r="J649" s="151"/>
      <c r="K649" s="151"/>
      <c r="L649" s="151"/>
      <c r="M649" s="151"/>
      <c r="N649" s="151"/>
      <c r="O649" s="151"/>
      <c r="P649" s="151"/>
      <c r="Q649" s="151"/>
      <c r="R649" s="151"/>
      <c r="S649" s="152"/>
      <c r="T649" s="151"/>
      <c r="U649" s="151"/>
      <c r="V649" s="153"/>
      <c r="W649" s="151"/>
      <c r="X649" s="151"/>
      <c r="Y649" s="153"/>
      <c r="Z649" s="151"/>
      <c r="AA649" s="187" t="str">
        <f t="shared" si="21"/>
        <v>No</v>
      </c>
      <c r="AB649" s="158"/>
      <c r="AC649" s="159"/>
      <c r="AD649" s="160"/>
    </row>
    <row r="650" spans="1:30">
      <c r="A650" s="155"/>
      <c r="B650" s="112" t="str">
        <f t="shared" si="20"/>
        <v/>
      </c>
      <c r="C650" s="183"/>
      <c r="D650" s="152"/>
      <c r="E650" s="152"/>
      <c r="F650" s="151"/>
      <c r="G650" s="153"/>
      <c r="H650" s="151"/>
      <c r="I650" s="151"/>
      <c r="J650" s="151"/>
      <c r="K650" s="151"/>
      <c r="L650" s="151"/>
      <c r="M650" s="151"/>
      <c r="N650" s="151"/>
      <c r="O650" s="151"/>
      <c r="P650" s="151"/>
      <c r="Q650" s="151"/>
      <c r="R650" s="151"/>
      <c r="S650" s="152"/>
      <c r="T650" s="151"/>
      <c r="U650" s="151"/>
      <c r="V650" s="153"/>
      <c r="W650" s="151"/>
      <c r="X650" s="151"/>
      <c r="Y650" s="153"/>
      <c r="Z650" s="151"/>
      <c r="AA650" s="187" t="str">
        <f t="shared" si="21"/>
        <v>No</v>
      </c>
      <c r="AB650" s="158"/>
      <c r="AC650" s="159"/>
      <c r="AD650" s="160"/>
    </row>
    <row r="651" spans="1:30">
      <c r="A651" s="155"/>
      <c r="B651" s="112" t="str">
        <f t="shared" si="20"/>
        <v/>
      </c>
      <c r="C651" s="183"/>
      <c r="D651" s="152"/>
      <c r="E651" s="152"/>
      <c r="F651" s="151"/>
      <c r="G651" s="153"/>
      <c r="H651" s="151"/>
      <c r="I651" s="151"/>
      <c r="J651" s="151"/>
      <c r="K651" s="151"/>
      <c r="L651" s="151"/>
      <c r="M651" s="151"/>
      <c r="N651" s="151"/>
      <c r="O651" s="151"/>
      <c r="P651" s="151"/>
      <c r="Q651" s="151"/>
      <c r="R651" s="151"/>
      <c r="S651" s="152"/>
      <c r="T651" s="151"/>
      <c r="U651" s="151"/>
      <c r="V651" s="153"/>
      <c r="W651" s="151"/>
      <c r="X651" s="151"/>
      <c r="Y651" s="153"/>
      <c r="Z651" s="151"/>
      <c r="AA651" s="187" t="str">
        <f t="shared" si="21"/>
        <v>No</v>
      </c>
      <c r="AB651" s="158"/>
      <c r="AC651" s="159"/>
      <c r="AD651" s="160"/>
    </row>
    <row r="652" spans="1:30">
      <c r="A652" s="155"/>
      <c r="B652" s="112" t="str">
        <f t="shared" si="20"/>
        <v/>
      </c>
      <c r="C652" s="183"/>
      <c r="D652" s="152"/>
      <c r="E652" s="152"/>
      <c r="F652" s="151"/>
      <c r="G652" s="153"/>
      <c r="H652" s="151"/>
      <c r="I652" s="151"/>
      <c r="J652" s="151"/>
      <c r="K652" s="151"/>
      <c r="L652" s="151"/>
      <c r="M652" s="151"/>
      <c r="N652" s="151"/>
      <c r="O652" s="151"/>
      <c r="P652" s="151"/>
      <c r="Q652" s="151"/>
      <c r="R652" s="151"/>
      <c r="S652" s="152"/>
      <c r="T652" s="151"/>
      <c r="U652" s="151"/>
      <c r="V652" s="153"/>
      <c r="W652" s="151"/>
      <c r="X652" s="151"/>
      <c r="Y652" s="153"/>
      <c r="Z652" s="151"/>
      <c r="AA652" s="187" t="str">
        <f t="shared" si="21"/>
        <v>No</v>
      </c>
      <c r="AB652" s="158"/>
      <c r="AC652" s="159"/>
      <c r="AD652" s="160"/>
    </row>
    <row r="653" spans="1:30">
      <c r="A653" s="155"/>
      <c r="B653" s="112" t="str">
        <f t="shared" si="20"/>
        <v/>
      </c>
      <c r="C653" s="183"/>
      <c r="D653" s="152"/>
      <c r="E653" s="152"/>
      <c r="F653" s="151"/>
      <c r="G653" s="153"/>
      <c r="H653" s="151"/>
      <c r="I653" s="151"/>
      <c r="J653" s="151"/>
      <c r="K653" s="151"/>
      <c r="L653" s="151"/>
      <c r="M653" s="151"/>
      <c r="N653" s="151"/>
      <c r="O653" s="151"/>
      <c r="P653" s="151"/>
      <c r="Q653" s="151"/>
      <c r="R653" s="151"/>
      <c r="S653" s="152"/>
      <c r="T653" s="151"/>
      <c r="U653" s="151"/>
      <c r="V653" s="153"/>
      <c r="W653" s="151"/>
      <c r="X653" s="151"/>
      <c r="Y653" s="153"/>
      <c r="Z653" s="151"/>
      <c r="AA653" s="187" t="str">
        <f t="shared" si="21"/>
        <v>No</v>
      </c>
      <c r="AB653" s="158"/>
      <c r="AC653" s="159"/>
      <c r="AD653" s="160"/>
    </row>
    <row r="654" spans="1:30">
      <c r="A654" s="155"/>
      <c r="B654" s="112" t="str">
        <f t="shared" si="20"/>
        <v/>
      </c>
      <c r="C654" s="183"/>
      <c r="D654" s="152"/>
      <c r="E654" s="152"/>
      <c r="F654" s="151"/>
      <c r="G654" s="153"/>
      <c r="H654" s="151"/>
      <c r="I654" s="151"/>
      <c r="J654" s="151"/>
      <c r="K654" s="151"/>
      <c r="L654" s="151"/>
      <c r="M654" s="151"/>
      <c r="N654" s="151"/>
      <c r="O654" s="151"/>
      <c r="P654" s="151"/>
      <c r="Q654" s="151"/>
      <c r="R654" s="151"/>
      <c r="S654" s="152"/>
      <c r="T654" s="151"/>
      <c r="U654" s="151"/>
      <c r="V654" s="153"/>
      <c r="W654" s="151"/>
      <c r="X654" s="151"/>
      <c r="Y654" s="153"/>
      <c r="Z654" s="151"/>
      <c r="AA654" s="187" t="str">
        <f t="shared" si="21"/>
        <v>No</v>
      </c>
      <c r="AB654" s="158"/>
      <c r="AC654" s="159"/>
      <c r="AD654" s="160"/>
    </row>
    <row r="655" spans="1:30">
      <c r="A655" s="155"/>
      <c r="B655" s="112" t="str">
        <f t="shared" si="20"/>
        <v/>
      </c>
      <c r="C655" s="183"/>
      <c r="D655" s="152"/>
      <c r="E655" s="152"/>
      <c r="F655" s="151"/>
      <c r="G655" s="153"/>
      <c r="H655" s="151"/>
      <c r="I655" s="151"/>
      <c r="J655" s="151"/>
      <c r="K655" s="151"/>
      <c r="L655" s="151"/>
      <c r="M655" s="151"/>
      <c r="N655" s="151"/>
      <c r="O655" s="151"/>
      <c r="P655" s="151"/>
      <c r="Q655" s="151"/>
      <c r="R655" s="151"/>
      <c r="S655" s="152"/>
      <c r="T655" s="151"/>
      <c r="U655" s="151"/>
      <c r="V655" s="153"/>
      <c r="W655" s="151"/>
      <c r="X655" s="151"/>
      <c r="Y655" s="153"/>
      <c r="Z655" s="151"/>
      <c r="AA655" s="187" t="str">
        <f t="shared" si="21"/>
        <v>No</v>
      </c>
      <c r="AB655" s="158"/>
      <c r="AC655" s="159"/>
      <c r="AD655" s="160"/>
    </row>
    <row r="656" spans="1:30">
      <c r="A656" s="155"/>
      <c r="B656" s="112" t="str">
        <f t="shared" si="20"/>
        <v/>
      </c>
      <c r="C656" s="183"/>
      <c r="D656" s="152"/>
      <c r="E656" s="152"/>
      <c r="F656" s="151"/>
      <c r="G656" s="153"/>
      <c r="H656" s="151"/>
      <c r="I656" s="151"/>
      <c r="J656" s="151"/>
      <c r="K656" s="151"/>
      <c r="L656" s="151"/>
      <c r="M656" s="151"/>
      <c r="N656" s="151"/>
      <c r="O656" s="151"/>
      <c r="P656" s="151"/>
      <c r="Q656" s="151"/>
      <c r="R656" s="151"/>
      <c r="S656" s="152"/>
      <c r="T656" s="151"/>
      <c r="U656" s="151"/>
      <c r="V656" s="153"/>
      <c r="W656" s="151"/>
      <c r="X656" s="151"/>
      <c r="Y656" s="153"/>
      <c r="Z656" s="151"/>
      <c r="AA656" s="187" t="str">
        <f t="shared" si="21"/>
        <v>No</v>
      </c>
      <c r="AB656" s="158"/>
      <c r="AC656" s="159"/>
      <c r="AD656" s="160"/>
    </row>
    <row r="657" spans="1:30">
      <c r="A657" s="155"/>
      <c r="B657" s="112" t="str">
        <f t="shared" si="20"/>
        <v/>
      </c>
      <c r="C657" s="183"/>
      <c r="D657" s="152"/>
      <c r="E657" s="152"/>
      <c r="F657" s="151"/>
      <c r="G657" s="153"/>
      <c r="H657" s="151"/>
      <c r="I657" s="151"/>
      <c r="J657" s="151"/>
      <c r="K657" s="151"/>
      <c r="L657" s="151"/>
      <c r="M657" s="151"/>
      <c r="N657" s="151"/>
      <c r="O657" s="151"/>
      <c r="P657" s="151"/>
      <c r="Q657" s="151"/>
      <c r="R657" s="151"/>
      <c r="S657" s="152"/>
      <c r="T657" s="151"/>
      <c r="U657" s="151"/>
      <c r="V657" s="153"/>
      <c r="W657" s="151"/>
      <c r="X657" s="151"/>
      <c r="Y657" s="153"/>
      <c r="Z657" s="151"/>
      <c r="AA657" s="187" t="str">
        <f t="shared" si="21"/>
        <v>No</v>
      </c>
      <c r="AB657" s="158"/>
      <c r="AC657" s="159"/>
      <c r="AD657" s="160"/>
    </row>
    <row r="658" spans="1:30">
      <c r="A658" s="155"/>
      <c r="B658" s="112" t="str">
        <f t="shared" si="20"/>
        <v/>
      </c>
      <c r="C658" s="183"/>
      <c r="D658" s="152"/>
      <c r="E658" s="152"/>
      <c r="F658" s="151"/>
      <c r="G658" s="153"/>
      <c r="H658" s="151"/>
      <c r="I658" s="151"/>
      <c r="J658" s="151"/>
      <c r="K658" s="151"/>
      <c r="L658" s="151"/>
      <c r="M658" s="151"/>
      <c r="N658" s="151"/>
      <c r="O658" s="151"/>
      <c r="P658" s="151"/>
      <c r="Q658" s="151"/>
      <c r="R658" s="151"/>
      <c r="S658" s="152"/>
      <c r="T658" s="151"/>
      <c r="U658" s="151"/>
      <c r="V658" s="153"/>
      <c r="W658" s="151"/>
      <c r="X658" s="151"/>
      <c r="Y658" s="153"/>
      <c r="Z658" s="151"/>
      <c r="AA658" s="187" t="str">
        <f t="shared" si="21"/>
        <v>No</v>
      </c>
      <c r="AB658" s="158"/>
      <c r="AC658" s="159"/>
      <c r="AD658" s="160"/>
    </row>
    <row r="659" spans="1:30">
      <c r="A659" s="155"/>
      <c r="B659" s="112" t="str">
        <f t="shared" si="20"/>
        <v/>
      </c>
      <c r="C659" s="183"/>
      <c r="D659" s="152"/>
      <c r="E659" s="152"/>
      <c r="F659" s="151"/>
      <c r="G659" s="153"/>
      <c r="H659" s="151"/>
      <c r="I659" s="151"/>
      <c r="J659" s="151"/>
      <c r="K659" s="151"/>
      <c r="L659" s="151"/>
      <c r="M659" s="151"/>
      <c r="N659" s="151"/>
      <c r="O659" s="151"/>
      <c r="P659" s="151"/>
      <c r="Q659" s="151"/>
      <c r="R659" s="151"/>
      <c r="S659" s="152"/>
      <c r="T659" s="151"/>
      <c r="U659" s="151"/>
      <c r="V659" s="153"/>
      <c r="W659" s="151"/>
      <c r="X659" s="151"/>
      <c r="Y659" s="153"/>
      <c r="Z659" s="151"/>
      <c r="AA659" s="187" t="str">
        <f t="shared" si="21"/>
        <v>No</v>
      </c>
      <c r="AB659" s="158"/>
      <c r="AC659" s="159"/>
      <c r="AD659" s="160"/>
    </row>
    <row r="660" spans="1:30">
      <c r="A660" s="155"/>
      <c r="B660" s="112" t="str">
        <f t="shared" si="20"/>
        <v/>
      </c>
      <c r="C660" s="183"/>
      <c r="D660" s="152"/>
      <c r="E660" s="152"/>
      <c r="F660" s="151"/>
      <c r="G660" s="153"/>
      <c r="H660" s="151"/>
      <c r="I660" s="151"/>
      <c r="J660" s="151"/>
      <c r="K660" s="151"/>
      <c r="L660" s="151"/>
      <c r="M660" s="151"/>
      <c r="N660" s="151"/>
      <c r="O660" s="151"/>
      <c r="P660" s="151"/>
      <c r="Q660" s="151"/>
      <c r="R660" s="151"/>
      <c r="S660" s="152"/>
      <c r="T660" s="151"/>
      <c r="U660" s="151"/>
      <c r="V660" s="153"/>
      <c r="W660" s="151"/>
      <c r="X660" s="151"/>
      <c r="Y660" s="153"/>
      <c r="Z660" s="151"/>
      <c r="AA660" s="187" t="str">
        <f t="shared" si="21"/>
        <v>No</v>
      </c>
      <c r="AB660" s="158"/>
      <c r="AC660" s="159"/>
      <c r="AD660" s="160"/>
    </row>
    <row r="661" spans="1:30">
      <c r="A661" s="155"/>
      <c r="B661" s="112" t="str">
        <f t="shared" si="20"/>
        <v/>
      </c>
      <c r="C661" s="183"/>
      <c r="D661" s="152"/>
      <c r="E661" s="152"/>
      <c r="F661" s="151"/>
      <c r="G661" s="153"/>
      <c r="H661" s="151"/>
      <c r="I661" s="151"/>
      <c r="J661" s="151"/>
      <c r="K661" s="151"/>
      <c r="L661" s="151"/>
      <c r="M661" s="151"/>
      <c r="N661" s="151"/>
      <c r="O661" s="151"/>
      <c r="P661" s="151"/>
      <c r="Q661" s="151"/>
      <c r="R661" s="151"/>
      <c r="S661" s="152"/>
      <c r="T661" s="151"/>
      <c r="U661" s="151"/>
      <c r="V661" s="153"/>
      <c r="W661" s="151"/>
      <c r="X661" s="151"/>
      <c r="Y661" s="153"/>
      <c r="Z661" s="151"/>
      <c r="AA661" s="187" t="str">
        <f t="shared" si="21"/>
        <v>No</v>
      </c>
      <c r="AB661" s="158"/>
      <c r="AC661" s="159"/>
      <c r="AD661" s="160"/>
    </row>
    <row r="662" spans="1:30">
      <c r="A662" s="155"/>
      <c r="B662" s="112" t="str">
        <f t="shared" si="20"/>
        <v/>
      </c>
      <c r="C662" s="183"/>
      <c r="D662" s="152"/>
      <c r="E662" s="152"/>
      <c r="F662" s="151"/>
      <c r="G662" s="153"/>
      <c r="H662" s="151"/>
      <c r="I662" s="151"/>
      <c r="J662" s="151"/>
      <c r="K662" s="151"/>
      <c r="L662" s="151"/>
      <c r="M662" s="151"/>
      <c r="N662" s="151"/>
      <c r="O662" s="151"/>
      <c r="P662" s="151"/>
      <c r="Q662" s="151"/>
      <c r="R662" s="151"/>
      <c r="S662" s="152"/>
      <c r="T662" s="151"/>
      <c r="U662" s="151"/>
      <c r="V662" s="153"/>
      <c r="W662" s="151"/>
      <c r="X662" s="151"/>
      <c r="Y662" s="153"/>
      <c r="Z662" s="151"/>
      <c r="AA662" s="187" t="str">
        <f t="shared" si="21"/>
        <v>No</v>
      </c>
      <c r="AB662" s="158"/>
      <c r="AC662" s="159"/>
      <c r="AD662" s="160"/>
    </row>
    <row r="663" spans="1:30">
      <c r="A663" s="155"/>
      <c r="B663" s="112" t="str">
        <f t="shared" si="20"/>
        <v/>
      </c>
      <c r="C663" s="183"/>
      <c r="D663" s="152"/>
      <c r="E663" s="152"/>
      <c r="F663" s="151"/>
      <c r="G663" s="153"/>
      <c r="H663" s="151"/>
      <c r="I663" s="151"/>
      <c r="J663" s="151"/>
      <c r="K663" s="151"/>
      <c r="L663" s="151"/>
      <c r="M663" s="151"/>
      <c r="N663" s="151"/>
      <c r="O663" s="151"/>
      <c r="P663" s="151"/>
      <c r="Q663" s="151"/>
      <c r="R663" s="151"/>
      <c r="S663" s="152"/>
      <c r="T663" s="151"/>
      <c r="U663" s="151"/>
      <c r="V663" s="153"/>
      <c r="W663" s="151"/>
      <c r="X663" s="151"/>
      <c r="Y663" s="153"/>
      <c r="Z663" s="151"/>
      <c r="AA663" s="187" t="str">
        <f t="shared" si="21"/>
        <v>No</v>
      </c>
      <c r="AB663" s="158"/>
      <c r="AC663" s="159"/>
      <c r="AD663" s="160"/>
    </row>
    <row r="664" spans="1:30">
      <c r="A664" s="155"/>
      <c r="B664" s="112" t="str">
        <f t="shared" si="20"/>
        <v/>
      </c>
      <c r="C664" s="183"/>
      <c r="D664" s="152"/>
      <c r="E664" s="152"/>
      <c r="F664" s="151"/>
      <c r="G664" s="153"/>
      <c r="H664" s="151"/>
      <c r="I664" s="151"/>
      <c r="J664" s="151"/>
      <c r="K664" s="151"/>
      <c r="L664" s="151"/>
      <c r="M664" s="151"/>
      <c r="N664" s="151"/>
      <c r="O664" s="151"/>
      <c r="P664" s="151"/>
      <c r="Q664" s="151"/>
      <c r="R664" s="151"/>
      <c r="S664" s="152"/>
      <c r="T664" s="151"/>
      <c r="U664" s="151"/>
      <c r="V664" s="153"/>
      <c r="W664" s="151"/>
      <c r="X664" s="151"/>
      <c r="Y664" s="153"/>
      <c r="Z664" s="151"/>
      <c r="AA664" s="187" t="str">
        <f t="shared" si="21"/>
        <v>No</v>
      </c>
      <c r="AB664" s="158"/>
      <c r="AC664" s="159"/>
      <c r="AD664" s="160"/>
    </row>
    <row r="665" spans="1:30">
      <c r="A665" s="155"/>
      <c r="B665" s="112" t="str">
        <f t="shared" si="20"/>
        <v/>
      </c>
      <c r="C665" s="183"/>
      <c r="D665" s="152"/>
      <c r="E665" s="152"/>
      <c r="F665" s="151"/>
      <c r="G665" s="153"/>
      <c r="H665" s="151"/>
      <c r="I665" s="151"/>
      <c r="J665" s="151"/>
      <c r="K665" s="151"/>
      <c r="L665" s="151"/>
      <c r="M665" s="151"/>
      <c r="N665" s="151"/>
      <c r="O665" s="151"/>
      <c r="P665" s="151"/>
      <c r="Q665" s="151"/>
      <c r="R665" s="151"/>
      <c r="S665" s="152"/>
      <c r="T665" s="151"/>
      <c r="U665" s="151"/>
      <c r="V665" s="153"/>
      <c r="W665" s="151"/>
      <c r="X665" s="151"/>
      <c r="Y665" s="153"/>
      <c r="Z665" s="151"/>
      <c r="AA665" s="187" t="str">
        <f t="shared" si="21"/>
        <v>No</v>
      </c>
      <c r="AB665" s="158"/>
      <c r="AC665" s="159"/>
      <c r="AD665" s="160"/>
    </row>
    <row r="666" spans="1:30">
      <c r="A666" s="155"/>
      <c r="B666" s="112" t="str">
        <f t="shared" si="20"/>
        <v/>
      </c>
      <c r="C666" s="183"/>
      <c r="D666" s="152"/>
      <c r="E666" s="152"/>
      <c r="F666" s="151"/>
      <c r="G666" s="153"/>
      <c r="H666" s="151"/>
      <c r="I666" s="151"/>
      <c r="J666" s="151"/>
      <c r="K666" s="151"/>
      <c r="L666" s="151"/>
      <c r="M666" s="151"/>
      <c r="N666" s="151"/>
      <c r="O666" s="151"/>
      <c r="P666" s="151"/>
      <c r="Q666" s="151"/>
      <c r="R666" s="151"/>
      <c r="S666" s="152"/>
      <c r="T666" s="151"/>
      <c r="U666" s="151"/>
      <c r="V666" s="153"/>
      <c r="W666" s="151"/>
      <c r="X666" s="151"/>
      <c r="Y666" s="153"/>
      <c r="Z666" s="151"/>
      <c r="AA666" s="187" t="str">
        <f t="shared" si="21"/>
        <v>No</v>
      </c>
      <c r="AB666" s="158"/>
      <c r="AC666" s="159"/>
      <c r="AD666" s="160"/>
    </row>
    <row r="667" spans="1:30">
      <c r="A667" s="155"/>
      <c r="B667" s="112" t="str">
        <f t="shared" si="20"/>
        <v/>
      </c>
      <c r="C667" s="183"/>
      <c r="D667" s="152"/>
      <c r="E667" s="152"/>
      <c r="F667" s="151"/>
      <c r="G667" s="153"/>
      <c r="H667" s="151"/>
      <c r="I667" s="151"/>
      <c r="J667" s="151"/>
      <c r="K667" s="151"/>
      <c r="L667" s="151"/>
      <c r="M667" s="151"/>
      <c r="N667" s="151"/>
      <c r="O667" s="151"/>
      <c r="P667" s="151"/>
      <c r="Q667" s="151"/>
      <c r="R667" s="151"/>
      <c r="S667" s="152"/>
      <c r="T667" s="151"/>
      <c r="U667" s="151"/>
      <c r="V667" s="153"/>
      <c r="W667" s="151"/>
      <c r="X667" s="151"/>
      <c r="Y667" s="153"/>
      <c r="Z667" s="151"/>
      <c r="AA667" s="187" t="str">
        <f t="shared" si="21"/>
        <v>No</v>
      </c>
      <c r="AB667" s="158"/>
      <c r="AC667" s="159"/>
      <c r="AD667" s="160"/>
    </row>
    <row r="668" spans="1:30">
      <c r="A668" s="155"/>
      <c r="B668" s="112" t="str">
        <f t="shared" si="20"/>
        <v/>
      </c>
      <c r="C668" s="183"/>
      <c r="D668" s="152"/>
      <c r="E668" s="152"/>
      <c r="F668" s="151"/>
      <c r="G668" s="153"/>
      <c r="H668" s="151"/>
      <c r="I668" s="151"/>
      <c r="J668" s="151"/>
      <c r="K668" s="151"/>
      <c r="L668" s="151"/>
      <c r="M668" s="151"/>
      <c r="N668" s="151"/>
      <c r="O668" s="151"/>
      <c r="P668" s="151"/>
      <c r="Q668" s="151"/>
      <c r="R668" s="151"/>
      <c r="S668" s="152"/>
      <c r="T668" s="151"/>
      <c r="U668" s="151"/>
      <c r="V668" s="153"/>
      <c r="W668" s="151"/>
      <c r="X668" s="151"/>
      <c r="Y668" s="153"/>
      <c r="Z668" s="151"/>
      <c r="AA668" s="187" t="str">
        <f t="shared" si="21"/>
        <v>No</v>
      </c>
      <c r="AB668" s="158"/>
      <c r="AC668" s="159"/>
      <c r="AD668" s="160"/>
    </row>
    <row r="669" spans="1:30">
      <c r="A669" s="155"/>
      <c r="B669" s="112" t="str">
        <f t="shared" si="20"/>
        <v/>
      </c>
      <c r="C669" s="183"/>
      <c r="D669" s="152"/>
      <c r="E669" s="152"/>
      <c r="F669" s="151"/>
      <c r="G669" s="153"/>
      <c r="H669" s="151"/>
      <c r="I669" s="151"/>
      <c r="J669" s="151"/>
      <c r="K669" s="151"/>
      <c r="L669" s="151"/>
      <c r="M669" s="151"/>
      <c r="N669" s="151"/>
      <c r="O669" s="151"/>
      <c r="P669" s="151"/>
      <c r="Q669" s="151"/>
      <c r="R669" s="151"/>
      <c r="S669" s="152"/>
      <c r="T669" s="151"/>
      <c r="U669" s="151"/>
      <c r="V669" s="153"/>
      <c r="W669" s="151"/>
      <c r="X669" s="151"/>
      <c r="Y669" s="153"/>
      <c r="Z669" s="151"/>
      <c r="AA669" s="187" t="str">
        <f t="shared" si="21"/>
        <v>No</v>
      </c>
      <c r="AB669" s="158"/>
      <c r="AC669" s="159"/>
      <c r="AD669" s="160"/>
    </row>
    <row r="670" spans="1:30">
      <c r="A670" s="155"/>
      <c r="B670" s="112" t="str">
        <f t="shared" si="20"/>
        <v/>
      </c>
      <c r="C670" s="183"/>
      <c r="D670" s="152"/>
      <c r="E670" s="152"/>
      <c r="F670" s="151"/>
      <c r="G670" s="153"/>
      <c r="H670" s="151"/>
      <c r="I670" s="151"/>
      <c r="J670" s="151"/>
      <c r="K670" s="151"/>
      <c r="L670" s="151"/>
      <c r="M670" s="151"/>
      <c r="N670" s="151"/>
      <c r="O670" s="151"/>
      <c r="P670" s="151"/>
      <c r="Q670" s="151"/>
      <c r="R670" s="151"/>
      <c r="S670" s="152"/>
      <c r="T670" s="151"/>
      <c r="U670" s="151"/>
      <c r="V670" s="153"/>
      <c r="W670" s="151"/>
      <c r="X670" s="151"/>
      <c r="Y670" s="153"/>
      <c r="Z670" s="151"/>
      <c r="AA670" s="187" t="str">
        <f t="shared" si="21"/>
        <v>No</v>
      </c>
      <c r="AB670" s="158"/>
      <c r="AC670" s="159"/>
      <c r="AD670" s="160"/>
    </row>
    <row r="671" spans="1:30">
      <c r="A671" s="155"/>
      <c r="B671" s="112" t="str">
        <f t="shared" si="20"/>
        <v/>
      </c>
      <c r="C671" s="183"/>
      <c r="D671" s="152"/>
      <c r="E671" s="152"/>
      <c r="F671" s="151"/>
      <c r="G671" s="153"/>
      <c r="H671" s="151"/>
      <c r="I671" s="151"/>
      <c r="J671" s="151"/>
      <c r="K671" s="151"/>
      <c r="L671" s="151"/>
      <c r="M671" s="151"/>
      <c r="N671" s="151"/>
      <c r="O671" s="151"/>
      <c r="P671" s="151"/>
      <c r="Q671" s="151"/>
      <c r="R671" s="151"/>
      <c r="S671" s="152"/>
      <c r="T671" s="151"/>
      <c r="U671" s="151"/>
      <c r="V671" s="153"/>
      <c r="W671" s="151"/>
      <c r="X671" s="151"/>
      <c r="Y671" s="153"/>
      <c r="Z671" s="151"/>
      <c r="AA671" s="187" t="str">
        <f t="shared" si="21"/>
        <v>No</v>
      </c>
      <c r="AB671" s="158"/>
      <c r="AC671" s="159"/>
      <c r="AD671" s="160"/>
    </row>
    <row r="672" spans="1:30">
      <c r="A672" s="155"/>
      <c r="B672" s="112" t="str">
        <f t="shared" si="20"/>
        <v/>
      </c>
      <c r="C672" s="183"/>
      <c r="D672" s="152"/>
      <c r="E672" s="152"/>
      <c r="F672" s="151"/>
      <c r="G672" s="153"/>
      <c r="H672" s="151"/>
      <c r="I672" s="151"/>
      <c r="J672" s="151"/>
      <c r="K672" s="151"/>
      <c r="L672" s="151"/>
      <c r="M672" s="151"/>
      <c r="N672" s="151"/>
      <c r="O672" s="151"/>
      <c r="P672" s="151"/>
      <c r="Q672" s="151"/>
      <c r="R672" s="151"/>
      <c r="S672" s="152"/>
      <c r="T672" s="151"/>
      <c r="U672" s="151"/>
      <c r="V672" s="153"/>
      <c r="W672" s="151"/>
      <c r="X672" s="151"/>
      <c r="Y672" s="153"/>
      <c r="Z672" s="151"/>
      <c r="AA672" s="187" t="str">
        <f t="shared" si="21"/>
        <v>No</v>
      </c>
      <c r="AB672" s="158"/>
      <c r="AC672" s="159"/>
      <c r="AD672" s="160"/>
    </row>
    <row r="673" spans="1:30">
      <c r="A673" s="155"/>
      <c r="B673" s="112" t="str">
        <f t="shared" si="20"/>
        <v/>
      </c>
      <c r="C673" s="183"/>
      <c r="D673" s="152"/>
      <c r="E673" s="152"/>
      <c r="F673" s="151"/>
      <c r="G673" s="153"/>
      <c r="H673" s="151"/>
      <c r="I673" s="151"/>
      <c r="J673" s="151"/>
      <c r="K673" s="151"/>
      <c r="L673" s="151"/>
      <c r="M673" s="151"/>
      <c r="N673" s="151"/>
      <c r="O673" s="151"/>
      <c r="P673" s="151"/>
      <c r="Q673" s="151"/>
      <c r="R673" s="151"/>
      <c r="S673" s="152"/>
      <c r="T673" s="151"/>
      <c r="U673" s="151"/>
      <c r="V673" s="153"/>
      <c r="W673" s="151"/>
      <c r="X673" s="151"/>
      <c r="Y673" s="153"/>
      <c r="Z673" s="151"/>
      <c r="AA673" s="187" t="str">
        <f t="shared" si="21"/>
        <v>No</v>
      </c>
      <c r="AB673" s="158"/>
      <c r="AC673" s="159"/>
      <c r="AD673" s="160"/>
    </row>
    <row r="674" spans="1:30">
      <c r="A674" s="155"/>
      <c r="B674" s="112" t="str">
        <f t="shared" si="20"/>
        <v/>
      </c>
      <c r="C674" s="183"/>
      <c r="D674" s="152"/>
      <c r="E674" s="152"/>
      <c r="F674" s="151"/>
      <c r="G674" s="153"/>
      <c r="H674" s="151"/>
      <c r="I674" s="151"/>
      <c r="J674" s="151"/>
      <c r="K674" s="151"/>
      <c r="L674" s="151"/>
      <c r="M674" s="151"/>
      <c r="N674" s="151"/>
      <c r="O674" s="151"/>
      <c r="P674" s="151"/>
      <c r="Q674" s="151"/>
      <c r="R674" s="151"/>
      <c r="S674" s="152"/>
      <c r="T674" s="151"/>
      <c r="U674" s="151"/>
      <c r="V674" s="153"/>
      <c r="W674" s="151"/>
      <c r="X674" s="151"/>
      <c r="Y674" s="153"/>
      <c r="Z674" s="151"/>
      <c r="AA674" s="187" t="str">
        <f t="shared" si="21"/>
        <v>No</v>
      </c>
      <c r="AB674" s="158"/>
      <c r="AC674" s="159"/>
      <c r="AD674" s="160"/>
    </row>
    <row r="675" spans="1:30">
      <c r="A675" s="155"/>
      <c r="B675" s="112" t="str">
        <f t="shared" si="20"/>
        <v/>
      </c>
      <c r="C675" s="183"/>
      <c r="D675" s="152"/>
      <c r="E675" s="152"/>
      <c r="F675" s="151"/>
      <c r="G675" s="153"/>
      <c r="H675" s="151"/>
      <c r="I675" s="151"/>
      <c r="J675" s="151"/>
      <c r="K675" s="151"/>
      <c r="L675" s="151"/>
      <c r="M675" s="151"/>
      <c r="N675" s="151"/>
      <c r="O675" s="151"/>
      <c r="P675" s="151"/>
      <c r="Q675" s="151"/>
      <c r="R675" s="151"/>
      <c r="S675" s="152"/>
      <c r="T675" s="151"/>
      <c r="U675" s="151"/>
      <c r="V675" s="153"/>
      <c r="W675" s="151"/>
      <c r="X675" s="151"/>
      <c r="Y675" s="153"/>
      <c r="Z675" s="151"/>
      <c r="AA675" s="187" t="str">
        <f t="shared" si="21"/>
        <v>No</v>
      </c>
      <c r="AB675" s="158"/>
      <c r="AC675" s="159"/>
      <c r="AD675" s="160"/>
    </row>
    <row r="676" spans="1:30">
      <c r="A676" s="155"/>
      <c r="B676" s="112" t="str">
        <f t="shared" si="20"/>
        <v/>
      </c>
      <c r="C676" s="183"/>
      <c r="D676" s="152"/>
      <c r="E676" s="152"/>
      <c r="F676" s="151"/>
      <c r="G676" s="153"/>
      <c r="H676" s="151"/>
      <c r="I676" s="151"/>
      <c r="J676" s="151"/>
      <c r="K676" s="151"/>
      <c r="L676" s="151"/>
      <c r="M676" s="151"/>
      <c r="N676" s="151"/>
      <c r="O676" s="151"/>
      <c r="P676" s="151"/>
      <c r="Q676" s="151"/>
      <c r="R676" s="151"/>
      <c r="S676" s="152"/>
      <c r="T676" s="151"/>
      <c r="U676" s="151"/>
      <c r="V676" s="153"/>
      <c r="W676" s="151"/>
      <c r="X676" s="151"/>
      <c r="Y676" s="153"/>
      <c r="Z676" s="151"/>
      <c r="AA676" s="187" t="str">
        <f t="shared" si="21"/>
        <v>No</v>
      </c>
      <c r="AB676" s="158"/>
      <c r="AC676" s="159"/>
      <c r="AD676" s="160"/>
    </row>
    <row r="677" spans="1:30">
      <c r="A677" s="155"/>
      <c r="B677" s="112" t="str">
        <f t="shared" si="20"/>
        <v/>
      </c>
      <c r="C677" s="183"/>
      <c r="D677" s="152"/>
      <c r="E677" s="152"/>
      <c r="F677" s="151"/>
      <c r="G677" s="153"/>
      <c r="H677" s="151"/>
      <c r="I677" s="151"/>
      <c r="J677" s="151"/>
      <c r="K677" s="151"/>
      <c r="L677" s="151"/>
      <c r="M677" s="151"/>
      <c r="N677" s="151"/>
      <c r="O677" s="151"/>
      <c r="P677" s="151"/>
      <c r="Q677" s="151"/>
      <c r="R677" s="151"/>
      <c r="S677" s="152"/>
      <c r="T677" s="151"/>
      <c r="U677" s="151"/>
      <c r="V677" s="153"/>
      <c r="W677" s="151"/>
      <c r="X677" s="151"/>
      <c r="Y677" s="153"/>
      <c r="Z677" s="151"/>
      <c r="AA677" s="187" t="str">
        <f t="shared" si="21"/>
        <v>No</v>
      </c>
      <c r="AB677" s="158"/>
      <c r="AC677" s="159"/>
      <c r="AD677" s="160"/>
    </row>
    <row r="678" spans="1:30">
      <c r="A678" s="155"/>
      <c r="B678" s="112" t="str">
        <f t="shared" si="20"/>
        <v/>
      </c>
      <c r="C678" s="183"/>
      <c r="D678" s="152"/>
      <c r="E678" s="152"/>
      <c r="F678" s="151"/>
      <c r="G678" s="153"/>
      <c r="H678" s="151"/>
      <c r="I678" s="151"/>
      <c r="J678" s="151"/>
      <c r="K678" s="151"/>
      <c r="L678" s="151"/>
      <c r="M678" s="151"/>
      <c r="N678" s="151"/>
      <c r="O678" s="151"/>
      <c r="P678" s="151"/>
      <c r="Q678" s="151"/>
      <c r="R678" s="151"/>
      <c r="S678" s="152"/>
      <c r="T678" s="151"/>
      <c r="U678" s="151"/>
      <c r="V678" s="153"/>
      <c r="W678" s="151"/>
      <c r="X678" s="151"/>
      <c r="Y678" s="153"/>
      <c r="Z678" s="151"/>
      <c r="AA678" s="187" t="str">
        <f t="shared" si="21"/>
        <v>No</v>
      </c>
      <c r="AB678" s="158"/>
      <c r="AC678" s="159"/>
      <c r="AD678" s="160"/>
    </row>
    <row r="679" spans="1:30">
      <c r="A679" s="155"/>
      <c r="B679" s="112" t="str">
        <f t="shared" si="20"/>
        <v/>
      </c>
      <c r="C679" s="183"/>
      <c r="D679" s="152"/>
      <c r="E679" s="152"/>
      <c r="F679" s="151"/>
      <c r="G679" s="153"/>
      <c r="H679" s="151"/>
      <c r="I679" s="151"/>
      <c r="J679" s="151"/>
      <c r="K679" s="151"/>
      <c r="L679" s="151"/>
      <c r="M679" s="151"/>
      <c r="N679" s="151"/>
      <c r="O679" s="151"/>
      <c r="P679" s="151"/>
      <c r="Q679" s="151"/>
      <c r="R679" s="151"/>
      <c r="S679" s="152"/>
      <c r="T679" s="151"/>
      <c r="U679" s="151"/>
      <c r="V679" s="153"/>
      <c r="W679" s="151"/>
      <c r="X679" s="151"/>
      <c r="Y679" s="153"/>
      <c r="Z679" s="151"/>
      <c r="AA679" s="187" t="str">
        <f t="shared" si="21"/>
        <v>No</v>
      </c>
      <c r="AB679" s="158"/>
      <c r="AC679" s="159"/>
      <c r="AD679" s="160"/>
    </row>
    <row r="680" spans="1:30">
      <c r="A680" s="155"/>
      <c r="B680" s="112" t="str">
        <f t="shared" si="20"/>
        <v/>
      </c>
      <c r="C680" s="183"/>
      <c r="D680" s="152"/>
      <c r="E680" s="152"/>
      <c r="F680" s="151"/>
      <c r="G680" s="153"/>
      <c r="H680" s="151"/>
      <c r="I680" s="151"/>
      <c r="J680" s="151"/>
      <c r="K680" s="151"/>
      <c r="L680" s="151"/>
      <c r="M680" s="151"/>
      <c r="N680" s="151"/>
      <c r="O680" s="151"/>
      <c r="P680" s="151"/>
      <c r="Q680" s="151"/>
      <c r="R680" s="151"/>
      <c r="S680" s="152"/>
      <c r="T680" s="151"/>
      <c r="U680" s="151"/>
      <c r="V680" s="153"/>
      <c r="W680" s="151"/>
      <c r="X680" s="151"/>
      <c r="Y680" s="153"/>
      <c r="Z680" s="151"/>
      <c r="AA680" s="187" t="str">
        <f t="shared" si="21"/>
        <v>No</v>
      </c>
      <c r="AB680" s="158"/>
      <c r="AC680" s="159"/>
      <c r="AD680" s="160"/>
    </row>
    <row r="681" spans="1:30">
      <c r="A681" s="155"/>
      <c r="B681" s="112" t="str">
        <f t="shared" si="20"/>
        <v/>
      </c>
      <c r="C681" s="183"/>
      <c r="D681" s="152"/>
      <c r="E681" s="152"/>
      <c r="F681" s="151"/>
      <c r="G681" s="153"/>
      <c r="H681" s="151"/>
      <c r="I681" s="151"/>
      <c r="J681" s="151"/>
      <c r="K681" s="151"/>
      <c r="L681" s="151"/>
      <c r="M681" s="151"/>
      <c r="N681" s="151"/>
      <c r="O681" s="151"/>
      <c r="P681" s="151"/>
      <c r="Q681" s="151"/>
      <c r="R681" s="151"/>
      <c r="S681" s="152"/>
      <c r="T681" s="151"/>
      <c r="U681" s="151"/>
      <c r="V681" s="153"/>
      <c r="W681" s="151"/>
      <c r="X681" s="151"/>
      <c r="Y681" s="153"/>
      <c r="Z681" s="151"/>
      <c r="AA681" s="187" t="str">
        <f t="shared" si="21"/>
        <v>No</v>
      </c>
      <c r="AB681" s="158"/>
      <c r="AC681" s="159"/>
      <c r="AD681" s="160"/>
    </row>
    <row r="682" spans="1:30">
      <c r="A682" s="155"/>
      <c r="B682" s="112" t="str">
        <f t="shared" si="20"/>
        <v/>
      </c>
      <c r="C682" s="183"/>
      <c r="D682" s="152"/>
      <c r="E682" s="152"/>
      <c r="F682" s="151"/>
      <c r="G682" s="153"/>
      <c r="H682" s="151"/>
      <c r="I682" s="151"/>
      <c r="J682" s="151"/>
      <c r="K682" s="151"/>
      <c r="L682" s="151"/>
      <c r="M682" s="151"/>
      <c r="N682" s="151"/>
      <c r="O682" s="151"/>
      <c r="P682" s="151"/>
      <c r="Q682" s="151"/>
      <c r="R682" s="151"/>
      <c r="S682" s="152"/>
      <c r="T682" s="151"/>
      <c r="U682" s="151"/>
      <c r="V682" s="153"/>
      <c r="W682" s="151"/>
      <c r="X682" s="151"/>
      <c r="Y682" s="153"/>
      <c r="Z682" s="151"/>
      <c r="AA682" s="187" t="str">
        <f t="shared" si="21"/>
        <v>No</v>
      </c>
      <c r="AB682" s="158"/>
      <c r="AC682" s="159"/>
      <c r="AD682" s="160"/>
    </row>
    <row r="683" spans="1:30">
      <c r="A683" s="155"/>
      <c r="B683" s="112" t="str">
        <f t="shared" si="20"/>
        <v/>
      </c>
      <c r="C683" s="183"/>
      <c r="D683" s="152"/>
      <c r="E683" s="152"/>
      <c r="F683" s="151"/>
      <c r="G683" s="153"/>
      <c r="H683" s="151"/>
      <c r="I683" s="151"/>
      <c r="J683" s="151"/>
      <c r="K683" s="151"/>
      <c r="L683" s="151"/>
      <c r="M683" s="151"/>
      <c r="N683" s="151"/>
      <c r="O683" s="151"/>
      <c r="P683" s="151"/>
      <c r="Q683" s="151"/>
      <c r="R683" s="151"/>
      <c r="S683" s="152"/>
      <c r="T683" s="151"/>
      <c r="U683" s="151"/>
      <c r="V683" s="153"/>
      <c r="W683" s="151"/>
      <c r="X683" s="151"/>
      <c r="Y683" s="153"/>
      <c r="Z683" s="151"/>
      <c r="AA683" s="187" t="str">
        <f t="shared" si="21"/>
        <v>No</v>
      </c>
      <c r="AB683" s="158"/>
      <c r="AC683" s="159"/>
      <c r="AD683" s="160"/>
    </row>
    <row r="684" spans="1:30">
      <c r="A684" s="155"/>
      <c r="B684" s="112" t="str">
        <f t="shared" si="20"/>
        <v/>
      </c>
      <c r="C684" s="183"/>
      <c r="D684" s="152"/>
      <c r="E684" s="152"/>
      <c r="F684" s="151"/>
      <c r="G684" s="153"/>
      <c r="H684" s="151"/>
      <c r="I684" s="151"/>
      <c r="J684" s="151"/>
      <c r="K684" s="151"/>
      <c r="L684" s="151"/>
      <c r="M684" s="151"/>
      <c r="N684" s="151"/>
      <c r="O684" s="151"/>
      <c r="P684" s="151"/>
      <c r="Q684" s="151"/>
      <c r="R684" s="151"/>
      <c r="S684" s="152"/>
      <c r="T684" s="151"/>
      <c r="U684" s="151"/>
      <c r="V684" s="153"/>
      <c r="W684" s="151"/>
      <c r="X684" s="151"/>
      <c r="Y684" s="153"/>
      <c r="Z684" s="151"/>
      <c r="AA684" s="187" t="str">
        <f t="shared" si="21"/>
        <v>No</v>
      </c>
      <c r="AB684" s="158"/>
      <c r="AC684" s="159"/>
      <c r="AD684" s="160"/>
    </row>
    <row r="685" spans="1:30">
      <c r="A685" s="155"/>
      <c r="B685" s="112" t="str">
        <f t="shared" si="20"/>
        <v/>
      </c>
      <c r="C685" s="183"/>
      <c r="D685" s="152"/>
      <c r="E685" s="152"/>
      <c r="F685" s="151"/>
      <c r="G685" s="153"/>
      <c r="H685" s="151"/>
      <c r="I685" s="151"/>
      <c r="J685" s="151"/>
      <c r="K685" s="151"/>
      <c r="L685" s="151"/>
      <c r="M685" s="151"/>
      <c r="N685" s="151"/>
      <c r="O685" s="151"/>
      <c r="P685" s="151"/>
      <c r="Q685" s="151"/>
      <c r="R685" s="151"/>
      <c r="S685" s="152"/>
      <c r="T685" s="151"/>
      <c r="U685" s="151"/>
      <c r="V685" s="153"/>
      <c r="W685" s="151"/>
      <c r="X685" s="151"/>
      <c r="Y685" s="153"/>
      <c r="Z685" s="151"/>
      <c r="AA685" s="187" t="str">
        <f t="shared" si="21"/>
        <v>No</v>
      </c>
      <c r="AB685" s="158"/>
      <c r="AC685" s="159"/>
      <c r="AD685" s="160"/>
    </row>
    <row r="686" spans="1:30">
      <c r="A686" s="155"/>
      <c r="B686" s="112" t="str">
        <f t="shared" si="20"/>
        <v/>
      </c>
      <c r="C686" s="183"/>
      <c r="D686" s="152"/>
      <c r="E686" s="152"/>
      <c r="F686" s="151"/>
      <c r="G686" s="153"/>
      <c r="H686" s="151"/>
      <c r="I686" s="151"/>
      <c r="J686" s="151"/>
      <c r="K686" s="151"/>
      <c r="L686" s="151"/>
      <c r="M686" s="151"/>
      <c r="N686" s="151"/>
      <c r="O686" s="151"/>
      <c r="P686" s="151"/>
      <c r="Q686" s="151"/>
      <c r="R686" s="151"/>
      <c r="S686" s="152"/>
      <c r="T686" s="151"/>
      <c r="U686" s="151"/>
      <c r="V686" s="153"/>
      <c r="W686" s="151"/>
      <c r="X686" s="151"/>
      <c r="Y686" s="153"/>
      <c r="Z686" s="151"/>
      <c r="AA686" s="187" t="str">
        <f t="shared" si="21"/>
        <v>No</v>
      </c>
      <c r="AB686" s="158"/>
      <c r="AC686" s="159"/>
      <c r="AD686" s="160"/>
    </row>
    <row r="687" spans="1:30">
      <c r="A687" s="155"/>
      <c r="B687" s="112" t="str">
        <f t="shared" si="20"/>
        <v/>
      </c>
      <c r="C687" s="183"/>
      <c r="D687" s="152"/>
      <c r="E687" s="152"/>
      <c r="F687" s="151"/>
      <c r="G687" s="153"/>
      <c r="H687" s="151"/>
      <c r="I687" s="151"/>
      <c r="J687" s="151"/>
      <c r="K687" s="151"/>
      <c r="L687" s="151"/>
      <c r="M687" s="151"/>
      <c r="N687" s="151"/>
      <c r="O687" s="151"/>
      <c r="P687" s="151"/>
      <c r="Q687" s="151"/>
      <c r="R687" s="151"/>
      <c r="S687" s="152"/>
      <c r="T687" s="151"/>
      <c r="U687" s="151"/>
      <c r="V687" s="153"/>
      <c r="W687" s="151"/>
      <c r="X687" s="151"/>
      <c r="Y687" s="153"/>
      <c r="Z687" s="151"/>
      <c r="AA687" s="187" t="str">
        <f t="shared" si="21"/>
        <v>No</v>
      </c>
      <c r="AB687" s="158"/>
      <c r="AC687" s="159"/>
      <c r="AD687" s="160"/>
    </row>
    <row r="688" spans="1:30">
      <c r="A688" s="155"/>
      <c r="B688" s="112" t="str">
        <f t="shared" si="20"/>
        <v/>
      </c>
      <c r="C688" s="183"/>
      <c r="D688" s="152"/>
      <c r="E688" s="152"/>
      <c r="F688" s="151"/>
      <c r="G688" s="153"/>
      <c r="H688" s="151"/>
      <c r="I688" s="151"/>
      <c r="J688" s="151"/>
      <c r="K688" s="151"/>
      <c r="L688" s="151"/>
      <c r="M688" s="151"/>
      <c r="N688" s="151"/>
      <c r="O688" s="151"/>
      <c r="P688" s="151"/>
      <c r="Q688" s="151"/>
      <c r="R688" s="151"/>
      <c r="S688" s="152"/>
      <c r="T688" s="151"/>
      <c r="U688" s="151"/>
      <c r="V688" s="153"/>
      <c r="W688" s="151"/>
      <c r="X688" s="151"/>
      <c r="Y688" s="153"/>
      <c r="Z688" s="151"/>
      <c r="AA688" s="187" t="str">
        <f t="shared" si="21"/>
        <v>No</v>
      </c>
      <c r="AB688" s="158"/>
      <c r="AC688" s="159"/>
      <c r="AD688" s="160"/>
    </row>
    <row r="689" spans="1:30">
      <c r="A689" s="155"/>
      <c r="B689" s="112" t="str">
        <f t="shared" si="20"/>
        <v/>
      </c>
      <c r="C689" s="183"/>
      <c r="D689" s="152"/>
      <c r="E689" s="152"/>
      <c r="F689" s="151"/>
      <c r="G689" s="153"/>
      <c r="H689" s="151"/>
      <c r="I689" s="151"/>
      <c r="J689" s="151"/>
      <c r="K689" s="151"/>
      <c r="L689" s="151"/>
      <c r="M689" s="151"/>
      <c r="N689" s="151"/>
      <c r="O689" s="151"/>
      <c r="P689" s="151"/>
      <c r="Q689" s="151"/>
      <c r="R689" s="151"/>
      <c r="S689" s="152"/>
      <c r="T689" s="151"/>
      <c r="U689" s="151"/>
      <c r="V689" s="153"/>
      <c r="W689" s="151"/>
      <c r="X689" s="151"/>
      <c r="Y689" s="153"/>
      <c r="Z689" s="151"/>
      <c r="AA689" s="187" t="str">
        <f t="shared" si="21"/>
        <v>No</v>
      </c>
      <c r="AB689" s="158"/>
      <c r="AC689" s="159"/>
      <c r="AD689" s="160"/>
    </row>
    <row r="690" spans="1:30">
      <c r="A690" s="155"/>
      <c r="B690" s="112" t="str">
        <f t="shared" si="20"/>
        <v/>
      </c>
      <c r="C690" s="183"/>
      <c r="D690" s="152"/>
      <c r="E690" s="152"/>
      <c r="F690" s="151"/>
      <c r="G690" s="153"/>
      <c r="H690" s="151"/>
      <c r="I690" s="151"/>
      <c r="J690" s="151"/>
      <c r="K690" s="151"/>
      <c r="L690" s="151"/>
      <c r="M690" s="151"/>
      <c r="N690" s="151"/>
      <c r="O690" s="151"/>
      <c r="P690" s="151"/>
      <c r="Q690" s="151"/>
      <c r="R690" s="151"/>
      <c r="S690" s="152"/>
      <c r="T690" s="151"/>
      <c r="U690" s="151"/>
      <c r="V690" s="153"/>
      <c r="W690" s="151"/>
      <c r="X690" s="151"/>
      <c r="Y690" s="153"/>
      <c r="Z690" s="151"/>
      <c r="AA690" s="187" t="str">
        <f t="shared" si="21"/>
        <v>No</v>
      </c>
      <c r="AB690" s="158"/>
      <c r="AC690" s="159"/>
      <c r="AD690" s="160"/>
    </row>
    <row r="691" spans="1:30">
      <c r="A691" s="155"/>
      <c r="B691" s="112" t="str">
        <f t="shared" si="20"/>
        <v/>
      </c>
      <c r="C691" s="183"/>
      <c r="D691" s="152"/>
      <c r="E691" s="152"/>
      <c r="F691" s="151"/>
      <c r="G691" s="153"/>
      <c r="H691" s="151"/>
      <c r="I691" s="151"/>
      <c r="J691" s="151"/>
      <c r="K691" s="151"/>
      <c r="L691" s="151"/>
      <c r="M691" s="151"/>
      <c r="N691" s="151"/>
      <c r="O691" s="151"/>
      <c r="P691" s="151"/>
      <c r="Q691" s="151"/>
      <c r="R691" s="151"/>
      <c r="S691" s="152"/>
      <c r="T691" s="151"/>
      <c r="U691" s="151"/>
      <c r="V691" s="153"/>
      <c r="W691" s="151"/>
      <c r="X691" s="151"/>
      <c r="Y691" s="153"/>
      <c r="Z691" s="151"/>
      <c r="AA691" s="187" t="str">
        <f t="shared" si="21"/>
        <v>No</v>
      </c>
      <c r="AB691" s="158"/>
      <c r="AC691" s="159"/>
      <c r="AD691" s="160"/>
    </row>
    <row r="692" spans="1:30">
      <c r="A692" s="155"/>
      <c r="B692" s="112" t="str">
        <f t="shared" si="20"/>
        <v/>
      </c>
      <c r="C692" s="183"/>
      <c r="D692" s="152"/>
      <c r="E692" s="152"/>
      <c r="F692" s="151"/>
      <c r="G692" s="153"/>
      <c r="H692" s="151"/>
      <c r="I692" s="151"/>
      <c r="J692" s="151"/>
      <c r="K692" s="151"/>
      <c r="L692" s="151"/>
      <c r="M692" s="151"/>
      <c r="N692" s="151"/>
      <c r="O692" s="151"/>
      <c r="P692" s="151"/>
      <c r="Q692" s="151"/>
      <c r="R692" s="151"/>
      <c r="S692" s="152"/>
      <c r="T692" s="151"/>
      <c r="U692" s="151"/>
      <c r="V692" s="153"/>
      <c r="W692" s="151"/>
      <c r="X692" s="151"/>
      <c r="Y692" s="153"/>
      <c r="Z692" s="151"/>
      <c r="AA692" s="187" t="str">
        <f t="shared" si="21"/>
        <v>No</v>
      </c>
      <c r="AB692" s="158"/>
      <c r="AC692" s="159"/>
      <c r="AD692" s="160"/>
    </row>
    <row r="693" spans="1:30">
      <c r="A693" s="155"/>
      <c r="B693" s="112" t="str">
        <f t="shared" si="20"/>
        <v/>
      </c>
      <c r="C693" s="183"/>
      <c r="D693" s="152"/>
      <c r="E693" s="152"/>
      <c r="F693" s="151"/>
      <c r="G693" s="153"/>
      <c r="H693" s="151"/>
      <c r="I693" s="151"/>
      <c r="J693" s="151"/>
      <c r="K693" s="151"/>
      <c r="L693" s="151"/>
      <c r="M693" s="151"/>
      <c r="N693" s="151"/>
      <c r="O693" s="151"/>
      <c r="P693" s="151"/>
      <c r="Q693" s="151"/>
      <c r="R693" s="151"/>
      <c r="S693" s="152"/>
      <c r="T693" s="151"/>
      <c r="U693" s="151"/>
      <c r="V693" s="153"/>
      <c r="W693" s="151"/>
      <c r="X693" s="151"/>
      <c r="Y693" s="153"/>
      <c r="Z693" s="151"/>
      <c r="AA693" s="187" t="str">
        <f t="shared" si="21"/>
        <v>No</v>
      </c>
      <c r="AB693" s="158"/>
      <c r="AC693" s="159"/>
      <c r="AD693" s="160"/>
    </row>
    <row r="694" spans="1:30">
      <c r="A694" s="155"/>
      <c r="B694" s="112" t="str">
        <f t="shared" si="20"/>
        <v/>
      </c>
      <c r="C694" s="183"/>
      <c r="D694" s="152"/>
      <c r="E694" s="152"/>
      <c r="F694" s="151"/>
      <c r="G694" s="153"/>
      <c r="H694" s="151"/>
      <c r="I694" s="151"/>
      <c r="J694" s="151"/>
      <c r="K694" s="151"/>
      <c r="L694" s="151"/>
      <c r="M694" s="151"/>
      <c r="N694" s="151"/>
      <c r="O694" s="151"/>
      <c r="P694" s="151"/>
      <c r="Q694" s="151"/>
      <c r="R694" s="151"/>
      <c r="S694" s="152"/>
      <c r="T694" s="151"/>
      <c r="U694" s="151"/>
      <c r="V694" s="153"/>
      <c r="W694" s="151"/>
      <c r="X694" s="151"/>
      <c r="Y694" s="153"/>
      <c r="Z694" s="151"/>
      <c r="AA694" s="187" t="str">
        <f t="shared" si="21"/>
        <v>No</v>
      </c>
      <c r="AB694" s="158"/>
      <c r="AC694" s="159"/>
      <c r="AD694" s="160"/>
    </row>
    <row r="695" spans="1:30">
      <c r="A695" s="155"/>
      <c r="B695" s="112" t="str">
        <f t="shared" si="20"/>
        <v/>
      </c>
      <c r="C695" s="183"/>
      <c r="D695" s="152"/>
      <c r="E695" s="152"/>
      <c r="F695" s="151"/>
      <c r="G695" s="153"/>
      <c r="H695" s="151"/>
      <c r="I695" s="151"/>
      <c r="J695" s="151"/>
      <c r="K695" s="151"/>
      <c r="L695" s="151"/>
      <c r="M695" s="151"/>
      <c r="N695" s="151"/>
      <c r="O695" s="151"/>
      <c r="P695" s="151"/>
      <c r="Q695" s="151"/>
      <c r="R695" s="151"/>
      <c r="S695" s="152"/>
      <c r="T695" s="151"/>
      <c r="U695" s="151"/>
      <c r="V695" s="153"/>
      <c r="W695" s="151"/>
      <c r="X695" s="151"/>
      <c r="Y695" s="153"/>
      <c r="Z695" s="151"/>
      <c r="AA695" s="187" t="str">
        <f t="shared" si="21"/>
        <v>No</v>
      </c>
      <c r="AB695" s="158"/>
      <c r="AC695" s="159"/>
      <c r="AD695" s="160"/>
    </row>
    <row r="696" spans="1:30">
      <c r="A696" s="155"/>
      <c r="B696" s="112" t="str">
        <f t="shared" si="20"/>
        <v/>
      </c>
      <c r="C696" s="183"/>
      <c r="D696" s="152"/>
      <c r="E696" s="152"/>
      <c r="F696" s="151"/>
      <c r="G696" s="153"/>
      <c r="H696" s="151"/>
      <c r="I696" s="151"/>
      <c r="J696" s="151"/>
      <c r="K696" s="151"/>
      <c r="L696" s="151"/>
      <c r="M696" s="151"/>
      <c r="N696" s="151"/>
      <c r="O696" s="151"/>
      <c r="P696" s="151"/>
      <c r="Q696" s="151"/>
      <c r="R696" s="151"/>
      <c r="S696" s="152"/>
      <c r="T696" s="151"/>
      <c r="U696" s="151"/>
      <c r="V696" s="153"/>
      <c r="W696" s="151"/>
      <c r="X696" s="151"/>
      <c r="Y696" s="153"/>
      <c r="Z696" s="151"/>
      <c r="AA696" s="187" t="str">
        <f t="shared" si="21"/>
        <v>No</v>
      </c>
      <c r="AB696" s="158"/>
      <c r="AC696" s="159"/>
      <c r="AD696" s="160"/>
    </row>
    <row r="697" spans="1:30">
      <c r="A697" s="155"/>
      <c r="B697" s="112" t="str">
        <f t="shared" si="20"/>
        <v/>
      </c>
      <c r="C697" s="183"/>
      <c r="D697" s="152"/>
      <c r="E697" s="152"/>
      <c r="F697" s="151"/>
      <c r="G697" s="153"/>
      <c r="H697" s="151"/>
      <c r="I697" s="151"/>
      <c r="J697" s="151"/>
      <c r="K697" s="151"/>
      <c r="L697" s="151"/>
      <c r="M697" s="151"/>
      <c r="N697" s="151"/>
      <c r="O697" s="151"/>
      <c r="P697" s="151"/>
      <c r="Q697" s="151"/>
      <c r="R697" s="151"/>
      <c r="S697" s="152"/>
      <c r="T697" s="151"/>
      <c r="U697" s="151"/>
      <c r="V697" s="153"/>
      <c r="W697" s="151"/>
      <c r="X697" s="151"/>
      <c r="Y697" s="153"/>
      <c r="Z697" s="151"/>
      <c r="AA697" s="187" t="str">
        <f t="shared" si="21"/>
        <v>No</v>
      </c>
      <c r="AB697" s="158"/>
      <c r="AC697" s="159"/>
      <c r="AD697" s="160"/>
    </row>
    <row r="698" spans="1:30">
      <c r="A698" s="155"/>
      <c r="B698" s="112" t="str">
        <f t="shared" si="20"/>
        <v/>
      </c>
      <c r="C698" s="183"/>
      <c r="D698" s="152"/>
      <c r="E698" s="152"/>
      <c r="F698" s="151"/>
      <c r="G698" s="153"/>
      <c r="H698" s="151"/>
      <c r="I698" s="151"/>
      <c r="J698" s="151"/>
      <c r="K698" s="151"/>
      <c r="L698" s="151"/>
      <c r="M698" s="151"/>
      <c r="N698" s="151"/>
      <c r="O698" s="151"/>
      <c r="P698" s="151"/>
      <c r="Q698" s="151"/>
      <c r="R698" s="151"/>
      <c r="S698" s="152"/>
      <c r="T698" s="151"/>
      <c r="U698" s="151"/>
      <c r="V698" s="153"/>
      <c r="W698" s="151"/>
      <c r="X698" s="151"/>
      <c r="Y698" s="153"/>
      <c r="Z698" s="151"/>
      <c r="AA698" s="187" t="str">
        <f t="shared" si="21"/>
        <v>No</v>
      </c>
      <c r="AB698" s="158"/>
      <c r="AC698" s="159"/>
      <c r="AD698" s="160"/>
    </row>
    <row r="699" spans="1:30">
      <c r="A699" s="155"/>
      <c r="B699" s="112" t="str">
        <f t="shared" si="20"/>
        <v/>
      </c>
      <c r="C699" s="183"/>
      <c r="D699" s="152"/>
      <c r="E699" s="152"/>
      <c r="F699" s="151"/>
      <c r="G699" s="153"/>
      <c r="H699" s="151"/>
      <c r="I699" s="151"/>
      <c r="J699" s="151"/>
      <c r="K699" s="151"/>
      <c r="L699" s="151"/>
      <c r="M699" s="151"/>
      <c r="N699" s="151"/>
      <c r="O699" s="151"/>
      <c r="P699" s="151"/>
      <c r="Q699" s="151"/>
      <c r="R699" s="151"/>
      <c r="S699" s="152"/>
      <c r="T699" s="151"/>
      <c r="U699" s="151"/>
      <c r="V699" s="153"/>
      <c r="W699" s="151"/>
      <c r="X699" s="151"/>
      <c r="Y699" s="153"/>
      <c r="Z699" s="151"/>
      <c r="AA699" s="187" t="str">
        <f t="shared" si="21"/>
        <v>No</v>
      </c>
      <c r="AB699" s="158"/>
      <c r="AC699" s="159"/>
      <c r="AD699" s="160"/>
    </row>
    <row r="700" spans="1:30">
      <c r="A700" s="155"/>
      <c r="B700" s="112" t="str">
        <f t="shared" si="20"/>
        <v/>
      </c>
      <c r="C700" s="183"/>
      <c r="D700" s="152"/>
      <c r="E700" s="152"/>
      <c r="F700" s="151"/>
      <c r="G700" s="153"/>
      <c r="H700" s="151"/>
      <c r="I700" s="151"/>
      <c r="J700" s="151"/>
      <c r="K700" s="151"/>
      <c r="L700" s="151"/>
      <c r="M700" s="151"/>
      <c r="N700" s="151"/>
      <c r="O700" s="151"/>
      <c r="P700" s="151"/>
      <c r="Q700" s="151"/>
      <c r="R700" s="151"/>
      <c r="S700" s="152"/>
      <c r="T700" s="151"/>
      <c r="U700" s="151"/>
      <c r="V700" s="153"/>
      <c r="W700" s="151"/>
      <c r="X700" s="151"/>
      <c r="Y700" s="153"/>
      <c r="Z700" s="151"/>
      <c r="AA700" s="187" t="str">
        <f t="shared" si="21"/>
        <v>No</v>
      </c>
      <c r="AB700" s="158"/>
      <c r="AC700" s="159"/>
      <c r="AD700" s="160"/>
    </row>
    <row r="701" spans="1:30">
      <c r="A701" s="155"/>
      <c r="B701" s="112" t="str">
        <f t="shared" si="20"/>
        <v/>
      </c>
      <c r="C701" s="183"/>
      <c r="D701" s="152"/>
      <c r="E701" s="152"/>
      <c r="F701" s="151"/>
      <c r="G701" s="153"/>
      <c r="H701" s="151"/>
      <c r="I701" s="151"/>
      <c r="J701" s="151"/>
      <c r="K701" s="151"/>
      <c r="L701" s="151"/>
      <c r="M701" s="151"/>
      <c r="N701" s="151"/>
      <c r="O701" s="151"/>
      <c r="P701" s="151"/>
      <c r="Q701" s="151"/>
      <c r="R701" s="151"/>
      <c r="S701" s="152"/>
      <c r="T701" s="151"/>
      <c r="U701" s="151"/>
      <c r="V701" s="153"/>
      <c r="W701" s="151"/>
      <c r="X701" s="151"/>
      <c r="Y701" s="153"/>
      <c r="Z701" s="151"/>
      <c r="AA701" s="187" t="str">
        <f t="shared" si="21"/>
        <v>No</v>
      </c>
      <c r="AB701" s="158"/>
      <c r="AC701" s="159"/>
      <c r="AD701" s="160"/>
    </row>
    <row r="702" spans="1:30">
      <c r="A702" s="155"/>
      <c r="B702" s="112" t="str">
        <f t="shared" si="20"/>
        <v/>
      </c>
      <c r="C702" s="183"/>
      <c r="D702" s="152"/>
      <c r="E702" s="152"/>
      <c r="F702" s="151"/>
      <c r="G702" s="153"/>
      <c r="H702" s="151"/>
      <c r="I702" s="151"/>
      <c r="J702" s="151"/>
      <c r="K702" s="151"/>
      <c r="L702" s="151"/>
      <c r="M702" s="151"/>
      <c r="N702" s="151"/>
      <c r="O702" s="151"/>
      <c r="P702" s="151"/>
      <c r="Q702" s="151"/>
      <c r="R702" s="151"/>
      <c r="S702" s="152"/>
      <c r="T702" s="151"/>
      <c r="U702" s="151"/>
      <c r="V702" s="153"/>
      <c r="W702" s="151"/>
      <c r="X702" s="151"/>
      <c r="Y702" s="153"/>
      <c r="Z702" s="151"/>
      <c r="AA702" s="187" t="str">
        <f t="shared" si="21"/>
        <v>No</v>
      </c>
      <c r="AB702" s="158"/>
      <c r="AC702" s="159"/>
      <c r="AD702" s="160"/>
    </row>
    <row r="703" spans="1:30">
      <c r="A703" s="155"/>
      <c r="B703" s="112" t="str">
        <f t="shared" si="20"/>
        <v/>
      </c>
      <c r="C703" s="183"/>
      <c r="D703" s="152"/>
      <c r="E703" s="152"/>
      <c r="F703" s="151"/>
      <c r="G703" s="153"/>
      <c r="H703" s="151"/>
      <c r="I703" s="151"/>
      <c r="J703" s="151"/>
      <c r="K703" s="151"/>
      <c r="L703" s="151"/>
      <c r="M703" s="151"/>
      <c r="N703" s="151"/>
      <c r="O703" s="151"/>
      <c r="P703" s="151"/>
      <c r="Q703" s="151"/>
      <c r="R703" s="151"/>
      <c r="S703" s="152"/>
      <c r="T703" s="151"/>
      <c r="U703" s="151"/>
      <c r="V703" s="153"/>
      <c r="W703" s="151"/>
      <c r="X703" s="151"/>
      <c r="Y703" s="153"/>
      <c r="Z703" s="151"/>
      <c r="AA703" s="187" t="str">
        <f t="shared" si="21"/>
        <v>No</v>
      </c>
      <c r="AB703" s="158"/>
      <c r="AC703" s="159"/>
      <c r="AD703" s="160"/>
    </row>
    <row r="704" spans="1:30">
      <c r="A704" s="155"/>
      <c r="B704" s="112" t="str">
        <f t="shared" si="20"/>
        <v/>
      </c>
      <c r="C704" s="183"/>
      <c r="D704" s="152"/>
      <c r="E704" s="152"/>
      <c r="F704" s="151"/>
      <c r="G704" s="153"/>
      <c r="H704" s="151"/>
      <c r="I704" s="151"/>
      <c r="J704" s="151"/>
      <c r="K704" s="151"/>
      <c r="L704" s="151"/>
      <c r="M704" s="151"/>
      <c r="N704" s="151"/>
      <c r="O704" s="151"/>
      <c r="P704" s="151"/>
      <c r="Q704" s="151"/>
      <c r="R704" s="151"/>
      <c r="S704" s="152"/>
      <c r="T704" s="151"/>
      <c r="U704" s="151"/>
      <c r="V704" s="153"/>
      <c r="W704" s="151"/>
      <c r="X704" s="151"/>
      <c r="Y704" s="153"/>
      <c r="Z704" s="151"/>
      <c r="AA704" s="187" t="str">
        <f t="shared" si="21"/>
        <v>No</v>
      </c>
      <c r="AB704" s="158"/>
      <c r="AC704" s="159"/>
      <c r="AD704" s="160"/>
    </row>
    <row r="705" spans="1:30">
      <c r="A705" s="155"/>
      <c r="B705" s="112" t="str">
        <f t="shared" si="20"/>
        <v/>
      </c>
      <c r="C705" s="183"/>
      <c r="D705" s="152"/>
      <c r="E705" s="152"/>
      <c r="F705" s="151"/>
      <c r="G705" s="153"/>
      <c r="H705" s="151"/>
      <c r="I705" s="151"/>
      <c r="J705" s="151"/>
      <c r="K705" s="151"/>
      <c r="L705" s="151"/>
      <c r="M705" s="151"/>
      <c r="N705" s="151"/>
      <c r="O705" s="151"/>
      <c r="P705" s="151"/>
      <c r="Q705" s="151"/>
      <c r="R705" s="151"/>
      <c r="S705" s="152"/>
      <c r="T705" s="151"/>
      <c r="U705" s="151"/>
      <c r="V705" s="153"/>
      <c r="W705" s="151"/>
      <c r="X705" s="151"/>
      <c r="Y705" s="153"/>
      <c r="Z705" s="151"/>
      <c r="AA705" s="187" t="str">
        <f t="shared" si="21"/>
        <v>No</v>
      </c>
      <c r="AB705" s="158"/>
      <c r="AC705" s="159"/>
      <c r="AD705" s="160"/>
    </row>
    <row r="706" spans="1:30">
      <c r="A706" s="155"/>
      <c r="B706" s="112" t="str">
        <f t="shared" si="20"/>
        <v/>
      </c>
      <c r="C706" s="183"/>
      <c r="D706" s="152"/>
      <c r="E706" s="152"/>
      <c r="F706" s="151"/>
      <c r="G706" s="153"/>
      <c r="H706" s="151"/>
      <c r="I706" s="151"/>
      <c r="J706" s="151"/>
      <c r="K706" s="151"/>
      <c r="L706" s="151"/>
      <c r="M706" s="151"/>
      <c r="N706" s="151"/>
      <c r="O706" s="151"/>
      <c r="P706" s="151"/>
      <c r="Q706" s="151"/>
      <c r="R706" s="151"/>
      <c r="S706" s="152"/>
      <c r="T706" s="151"/>
      <c r="U706" s="151"/>
      <c r="V706" s="153"/>
      <c r="W706" s="151"/>
      <c r="X706" s="151"/>
      <c r="Y706" s="153"/>
      <c r="Z706" s="151"/>
      <c r="AA706" s="187" t="str">
        <f t="shared" si="21"/>
        <v>No</v>
      </c>
      <c r="AB706" s="158"/>
      <c r="AC706" s="159"/>
      <c r="AD706" s="160"/>
    </row>
    <row r="707" spans="1:30">
      <c r="A707" s="155"/>
      <c r="B707" s="112" t="str">
        <f t="shared" si="20"/>
        <v/>
      </c>
      <c r="C707" s="183"/>
      <c r="D707" s="152"/>
      <c r="E707" s="152"/>
      <c r="F707" s="151"/>
      <c r="G707" s="153"/>
      <c r="H707" s="151"/>
      <c r="I707" s="151"/>
      <c r="J707" s="151"/>
      <c r="K707" s="151"/>
      <c r="L707" s="151"/>
      <c r="M707" s="151"/>
      <c r="N707" s="151"/>
      <c r="O707" s="151"/>
      <c r="P707" s="151"/>
      <c r="Q707" s="151"/>
      <c r="R707" s="151"/>
      <c r="S707" s="152"/>
      <c r="T707" s="151"/>
      <c r="U707" s="151"/>
      <c r="V707" s="153"/>
      <c r="W707" s="151"/>
      <c r="X707" s="151"/>
      <c r="Y707" s="153"/>
      <c r="Z707" s="151"/>
      <c r="AA707" s="187" t="str">
        <f t="shared" si="21"/>
        <v>No</v>
      </c>
      <c r="AB707" s="158"/>
      <c r="AC707" s="159"/>
      <c r="AD707" s="160"/>
    </row>
    <row r="708" spans="1:30">
      <c r="A708" s="155"/>
      <c r="B708" s="112" t="str">
        <f t="shared" si="20"/>
        <v/>
      </c>
      <c r="C708" s="183"/>
      <c r="D708" s="152"/>
      <c r="E708" s="152"/>
      <c r="F708" s="151"/>
      <c r="G708" s="153"/>
      <c r="H708" s="151"/>
      <c r="I708" s="151"/>
      <c r="J708" s="151"/>
      <c r="K708" s="151"/>
      <c r="L708" s="151"/>
      <c r="M708" s="151"/>
      <c r="N708" s="151"/>
      <c r="O708" s="151"/>
      <c r="P708" s="151"/>
      <c r="Q708" s="151"/>
      <c r="R708" s="151"/>
      <c r="S708" s="152"/>
      <c r="T708" s="151"/>
      <c r="U708" s="151"/>
      <c r="V708" s="153"/>
      <c r="W708" s="151"/>
      <c r="X708" s="151"/>
      <c r="Y708" s="153"/>
      <c r="Z708" s="151"/>
      <c r="AA708" s="187" t="str">
        <f t="shared" si="21"/>
        <v>No</v>
      </c>
      <c r="AB708" s="158"/>
      <c r="AC708" s="159"/>
      <c r="AD708" s="160"/>
    </row>
    <row r="709" spans="1:30">
      <c r="A709" s="155"/>
      <c r="B709" s="112" t="str">
        <f t="shared" ref="B709:B772" si="22">IF(AND(A709&lt;&gt;"",D709&lt;&gt;"",J709&lt;&gt;"",N709&lt;&gt;""),TEXT(D709,"YY")&amp;"-"&amp;TEXT(D709,"MMM")&amp;"-"&amp;UPPER(LEFT(TRIM(N709),2))&amp;"-"&amp;UPPER(LEFT(TRIM(J709),3))&amp;"-"&amp;A709,"")</f>
        <v/>
      </c>
      <c r="C709" s="183"/>
      <c r="D709" s="152"/>
      <c r="E709" s="152"/>
      <c r="F709" s="151"/>
      <c r="G709" s="153"/>
      <c r="H709" s="151"/>
      <c r="I709" s="151"/>
      <c r="J709" s="151"/>
      <c r="K709" s="151"/>
      <c r="L709" s="151"/>
      <c r="M709" s="151"/>
      <c r="N709" s="151"/>
      <c r="O709" s="151"/>
      <c r="P709" s="151"/>
      <c r="Q709" s="151"/>
      <c r="R709" s="151"/>
      <c r="S709" s="152"/>
      <c r="T709" s="151"/>
      <c r="U709" s="151"/>
      <c r="V709" s="153"/>
      <c r="W709" s="151"/>
      <c r="X709" s="151"/>
      <c r="Y709" s="153"/>
      <c r="Z709" s="151"/>
      <c r="AA709" s="187" t="str">
        <f t="shared" ref="AA709:AA772" si="23">IF(E709="","No","Yes")</f>
        <v>No</v>
      </c>
      <c r="AB709" s="158"/>
      <c r="AC709" s="159"/>
      <c r="AD709" s="160"/>
    </row>
    <row r="710" spans="1:30">
      <c r="A710" s="155"/>
      <c r="B710" s="112" t="str">
        <f t="shared" si="22"/>
        <v/>
      </c>
      <c r="C710" s="183"/>
      <c r="D710" s="152"/>
      <c r="E710" s="152"/>
      <c r="F710" s="151"/>
      <c r="G710" s="153"/>
      <c r="H710" s="151"/>
      <c r="I710" s="151"/>
      <c r="J710" s="151"/>
      <c r="K710" s="151"/>
      <c r="L710" s="151"/>
      <c r="M710" s="151"/>
      <c r="N710" s="151"/>
      <c r="O710" s="151"/>
      <c r="P710" s="151"/>
      <c r="Q710" s="151"/>
      <c r="R710" s="151"/>
      <c r="S710" s="152"/>
      <c r="T710" s="151"/>
      <c r="U710" s="151"/>
      <c r="V710" s="153"/>
      <c r="W710" s="151"/>
      <c r="X710" s="151"/>
      <c r="Y710" s="153"/>
      <c r="Z710" s="151"/>
      <c r="AA710" s="187" t="str">
        <f t="shared" si="23"/>
        <v>No</v>
      </c>
      <c r="AB710" s="158"/>
      <c r="AC710" s="159"/>
      <c r="AD710" s="160"/>
    </row>
    <row r="711" spans="1:30">
      <c r="A711" s="155"/>
      <c r="B711" s="112" t="str">
        <f t="shared" si="22"/>
        <v/>
      </c>
      <c r="C711" s="183"/>
      <c r="D711" s="152"/>
      <c r="E711" s="152"/>
      <c r="F711" s="151"/>
      <c r="G711" s="153"/>
      <c r="H711" s="151"/>
      <c r="I711" s="151"/>
      <c r="J711" s="151"/>
      <c r="K711" s="151"/>
      <c r="L711" s="151"/>
      <c r="M711" s="151"/>
      <c r="N711" s="151"/>
      <c r="O711" s="151"/>
      <c r="P711" s="151"/>
      <c r="Q711" s="151"/>
      <c r="R711" s="151"/>
      <c r="S711" s="152"/>
      <c r="T711" s="151"/>
      <c r="U711" s="151"/>
      <c r="V711" s="153"/>
      <c r="W711" s="151"/>
      <c r="X711" s="151"/>
      <c r="Y711" s="153"/>
      <c r="Z711" s="151"/>
      <c r="AA711" s="187" t="str">
        <f t="shared" si="23"/>
        <v>No</v>
      </c>
      <c r="AB711" s="158"/>
      <c r="AC711" s="159"/>
      <c r="AD711" s="160"/>
    </row>
    <row r="712" spans="1:30">
      <c r="A712" s="155"/>
      <c r="B712" s="112" t="str">
        <f t="shared" si="22"/>
        <v/>
      </c>
      <c r="C712" s="183"/>
      <c r="D712" s="152"/>
      <c r="E712" s="152"/>
      <c r="F712" s="151"/>
      <c r="G712" s="153"/>
      <c r="H712" s="151"/>
      <c r="I712" s="151"/>
      <c r="J712" s="151"/>
      <c r="K712" s="151"/>
      <c r="L712" s="151"/>
      <c r="M712" s="151"/>
      <c r="N712" s="151"/>
      <c r="O712" s="151"/>
      <c r="P712" s="151"/>
      <c r="Q712" s="151"/>
      <c r="R712" s="151"/>
      <c r="S712" s="152"/>
      <c r="T712" s="151"/>
      <c r="U712" s="151"/>
      <c r="V712" s="153"/>
      <c r="W712" s="151"/>
      <c r="X712" s="151"/>
      <c r="Y712" s="153"/>
      <c r="Z712" s="151"/>
      <c r="AA712" s="187" t="str">
        <f t="shared" si="23"/>
        <v>No</v>
      </c>
      <c r="AB712" s="158"/>
      <c r="AC712" s="159"/>
      <c r="AD712" s="160"/>
    </row>
    <row r="713" spans="1:30">
      <c r="A713" s="155"/>
      <c r="B713" s="112" t="str">
        <f t="shared" si="22"/>
        <v/>
      </c>
      <c r="C713" s="183"/>
      <c r="D713" s="152"/>
      <c r="E713" s="152"/>
      <c r="F713" s="151"/>
      <c r="G713" s="153"/>
      <c r="H713" s="151"/>
      <c r="I713" s="151"/>
      <c r="J713" s="151"/>
      <c r="K713" s="151"/>
      <c r="L713" s="151"/>
      <c r="M713" s="151"/>
      <c r="N713" s="151"/>
      <c r="O713" s="151"/>
      <c r="P713" s="151"/>
      <c r="Q713" s="151"/>
      <c r="R713" s="151"/>
      <c r="S713" s="152"/>
      <c r="T713" s="151"/>
      <c r="U713" s="151"/>
      <c r="V713" s="153"/>
      <c r="W713" s="151"/>
      <c r="X713" s="151"/>
      <c r="Y713" s="153"/>
      <c r="Z713" s="151"/>
      <c r="AA713" s="187" t="str">
        <f t="shared" si="23"/>
        <v>No</v>
      </c>
      <c r="AB713" s="158"/>
      <c r="AC713" s="159"/>
      <c r="AD713" s="160"/>
    </row>
    <row r="714" spans="1:30">
      <c r="A714" s="155"/>
      <c r="B714" s="112" t="str">
        <f t="shared" si="22"/>
        <v/>
      </c>
      <c r="C714" s="183"/>
      <c r="D714" s="152"/>
      <c r="E714" s="152"/>
      <c r="F714" s="151"/>
      <c r="G714" s="153"/>
      <c r="H714" s="151"/>
      <c r="I714" s="151"/>
      <c r="J714" s="151"/>
      <c r="K714" s="151"/>
      <c r="L714" s="151"/>
      <c r="M714" s="151"/>
      <c r="N714" s="151"/>
      <c r="O714" s="151"/>
      <c r="P714" s="151"/>
      <c r="Q714" s="151"/>
      <c r="R714" s="151"/>
      <c r="S714" s="152"/>
      <c r="T714" s="151"/>
      <c r="U714" s="151"/>
      <c r="V714" s="153"/>
      <c r="W714" s="151"/>
      <c r="X714" s="151"/>
      <c r="Y714" s="153"/>
      <c r="Z714" s="151"/>
      <c r="AA714" s="187" t="str">
        <f t="shared" si="23"/>
        <v>No</v>
      </c>
      <c r="AB714" s="158"/>
      <c r="AC714" s="159"/>
      <c r="AD714" s="160"/>
    </row>
    <row r="715" spans="1:30">
      <c r="A715" s="155"/>
      <c r="B715" s="112" t="str">
        <f t="shared" si="22"/>
        <v/>
      </c>
      <c r="C715" s="183"/>
      <c r="D715" s="152"/>
      <c r="E715" s="152"/>
      <c r="F715" s="151"/>
      <c r="G715" s="153"/>
      <c r="H715" s="151"/>
      <c r="I715" s="151"/>
      <c r="J715" s="151"/>
      <c r="K715" s="151"/>
      <c r="L715" s="151"/>
      <c r="M715" s="151"/>
      <c r="N715" s="151"/>
      <c r="O715" s="151"/>
      <c r="P715" s="151"/>
      <c r="Q715" s="151"/>
      <c r="R715" s="151"/>
      <c r="S715" s="152"/>
      <c r="T715" s="151"/>
      <c r="U715" s="151"/>
      <c r="V715" s="153"/>
      <c r="W715" s="151"/>
      <c r="X715" s="151"/>
      <c r="Y715" s="153"/>
      <c r="Z715" s="151"/>
      <c r="AA715" s="187" t="str">
        <f t="shared" si="23"/>
        <v>No</v>
      </c>
      <c r="AB715" s="158"/>
      <c r="AC715" s="159"/>
      <c r="AD715" s="160"/>
    </row>
    <row r="716" spans="1:30">
      <c r="A716" s="155"/>
      <c r="B716" s="112" t="str">
        <f t="shared" si="22"/>
        <v/>
      </c>
      <c r="C716" s="183"/>
      <c r="D716" s="152"/>
      <c r="E716" s="152"/>
      <c r="F716" s="151"/>
      <c r="G716" s="153"/>
      <c r="H716" s="151"/>
      <c r="I716" s="151"/>
      <c r="J716" s="151"/>
      <c r="K716" s="151"/>
      <c r="L716" s="151"/>
      <c r="M716" s="151"/>
      <c r="N716" s="151"/>
      <c r="O716" s="151"/>
      <c r="P716" s="151"/>
      <c r="Q716" s="151"/>
      <c r="R716" s="151"/>
      <c r="S716" s="152"/>
      <c r="T716" s="151"/>
      <c r="U716" s="151"/>
      <c r="V716" s="153"/>
      <c r="W716" s="151"/>
      <c r="X716" s="151"/>
      <c r="Y716" s="153"/>
      <c r="Z716" s="151"/>
      <c r="AA716" s="187" t="str">
        <f t="shared" si="23"/>
        <v>No</v>
      </c>
      <c r="AB716" s="158"/>
      <c r="AC716" s="159"/>
      <c r="AD716" s="160"/>
    </row>
    <row r="717" spans="1:30">
      <c r="A717" s="155"/>
      <c r="B717" s="112" t="str">
        <f t="shared" si="22"/>
        <v/>
      </c>
      <c r="C717" s="183"/>
      <c r="D717" s="152"/>
      <c r="E717" s="152"/>
      <c r="F717" s="151"/>
      <c r="G717" s="153"/>
      <c r="H717" s="151"/>
      <c r="I717" s="151"/>
      <c r="J717" s="151"/>
      <c r="K717" s="151"/>
      <c r="L717" s="151"/>
      <c r="M717" s="151"/>
      <c r="N717" s="151"/>
      <c r="O717" s="151"/>
      <c r="P717" s="151"/>
      <c r="Q717" s="151"/>
      <c r="R717" s="151"/>
      <c r="S717" s="152"/>
      <c r="T717" s="151"/>
      <c r="U717" s="151"/>
      <c r="V717" s="153"/>
      <c r="W717" s="151"/>
      <c r="X717" s="151"/>
      <c r="Y717" s="153"/>
      <c r="Z717" s="151"/>
      <c r="AA717" s="187" t="str">
        <f t="shared" si="23"/>
        <v>No</v>
      </c>
      <c r="AB717" s="158"/>
      <c r="AC717" s="159"/>
      <c r="AD717" s="160"/>
    </row>
    <row r="718" spans="1:30">
      <c r="A718" s="155"/>
      <c r="B718" s="112" t="str">
        <f t="shared" si="22"/>
        <v/>
      </c>
      <c r="C718" s="183"/>
      <c r="D718" s="152"/>
      <c r="E718" s="152"/>
      <c r="F718" s="151"/>
      <c r="G718" s="153"/>
      <c r="H718" s="151"/>
      <c r="I718" s="151"/>
      <c r="J718" s="151"/>
      <c r="K718" s="151"/>
      <c r="L718" s="151"/>
      <c r="M718" s="151"/>
      <c r="N718" s="151"/>
      <c r="O718" s="151"/>
      <c r="P718" s="151"/>
      <c r="Q718" s="151"/>
      <c r="R718" s="151"/>
      <c r="S718" s="152"/>
      <c r="T718" s="151"/>
      <c r="U718" s="151"/>
      <c r="V718" s="153"/>
      <c r="W718" s="151"/>
      <c r="X718" s="151"/>
      <c r="Y718" s="153"/>
      <c r="Z718" s="151"/>
      <c r="AA718" s="187" t="str">
        <f t="shared" si="23"/>
        <v>No</v>
      </c>
      <c r="AB718" s="158"/>
      <c r="AC718" s="159"/>
      <c r="AD718" s="160"/>
    </row>
    <row r="719" spans="1:30">
      <c r="A719" s="155"/>
      <c r="B719" s="112" t="str">
        <f t="shared" si="22"/>
        <v/>
      </c>
      <c r="C719" s="183"/>
      <c r="D719" s="152"/>
      <c r="E719" s="152"/>
      <c r="F719" s="151"/>
      <c r="G719" s="153"/>
      <c r="H719" s="151"/>
      <c r="I719" s="151"/>
      <c r="J719" s="151"/>
      <c r="K719" s="151"/>
      <c r="L719" s="151"/>
      <c r="M719" s="151"/>
      <c r="N719" s="151"/>
      <c r="O719" s="151"/>
      <c r="P719" s="151"/>
      <c r="Q719" s="151"/>
      <c r="R719" s="151"/>
      <c r="S719" s="152"/>
      <c r="T719" s="151"/>
      <c r="U719" s="151"/>
      <c r="V719" s="153"/>
      <c r="W719" s="151"/>
      <c r="X719" s="151"/>
      <c r="Y719" s="153"/>
      <c r="Z719" s="151"/>
      <c r="AA719" s="187" t="str">
        <f t="shared" si="23"/>
        <v>No</v>
      </c>
      <c r="AB719" s="158"/>
      <c r="AC719" s="159"/>
      <c r="AD719" s="160"/>
    </row>
    <row r="720" spans="1:30">
      <c r="A720" s="155"/>
      <c r="B720" s="112" t="str">
        <f t="shared" si="22"/>
        <v/>
      </c>
      <c r="C720" s="183"/>
      <c r="D720" s="152"/>
      <c r="E720" s="152"/>
      <c r="F720" s="151"/>
      <c r="G720" s="153"/>
      <c r="H720" s="151"/>
      <c r="I720" s="151"/>
      <c r="J720" s="151"/>
      <c r="K720" s="151"/>
      <c r="L720" s="151"/>
      <c r="M720" s="151"/>
      <c r="N720" s="151"/>
      <c r="O720" s="151"/>
      <c r="P720" s="151"/>
      <c r="Q720" s="151"/>
      <c r="R720" s="151"/>
      <c r="S720" s="152"/>
      <c r="T720" s="151"/>
      <c r="U720" s="151"/>
      <c r="V720" s="153"/>
      <c r="W720" s="151"/>
      <c r="X720" s="151"/>
      <c r="Y720" s="153"/>
      <c r="Z720" s="151"/>
      <c r="AA720" s="187" t="str">
        <f t="shared" si="23"/>
        <v>No</v>
      </c>
      <c r="AB720" s="158"/>
      <c r="AC720" s="159"/>
      <c r="AD720" s="160"/>
    </row>
    <row r="721" spans="1:30">
      <c r="A721" s="155"/>
      <c r="B721" s="112" t="str">
        <f t="shared" si="22"/>
        <v/>
      </c>
      <c r="C721" s="183"/>
      <c r="D721" s="152"/>
      <c r="E721" s="152"/>
      <c r="F721" s="151"/>
      <c r="G721" s="153"/>
      <c r="H721" s="151"/>
      <c r="I721" s="151"/>
      <c r="J721" s="151"/>
      <c r="K721" s="151"/>
      <c r="L721" s="151"/>
      <c r="M721" s="151"/>
      <c r="N721" s="151"/>
      <c r="O721" s="151"/>
      <c r="P721" s="151"/>
      <c r="Q721" s="151"/>
      <c r="R721" s="151"/>
      <c r="S721" s="152"/>
      <c r="T721" s="151"/>
      <c r="U721" s="151"/>
      <c r="V721" s="153"/>
      <c r="W721" s="151"/>
      <c r="X721" s="151"/>
      <c r="Y721" s="153"/>
      <c r="Z721" s="151"/>
      <c r="AA721" s="187" t="str">
        <f t="shared" si="23"/>
        <v>No</v>
      </c>
      <c r="AB721" s="158"/>
      <c r="AC721" s="159"/>
      <c r="AD721" s="160"/>
    </row>
    <row r="722" spans="1:30">
      <c r="A722" s="155"/>
      <c r="B722" s="112" t="str">
        <f t="shared" si="22"/>
        <v/>
      </c>
      <c r="C722" s="183"/>
      <c r="D722" s="152"/>
      <c r="E722" s="152"/>
      <c r="F722" s="151"/>
      <c r="G722" s="153"/>
      <c r="H722" s="151"/>
      <c r="I722" s="151"/>
      <c r="J722" s="151"/>
      <c r="K722" s="151"/>
      <c r="L722" s="151"/>
      <c r="M722" s="151"/>
      <c r="N722" s="151"/>
      <c r="O722" s="151"/>
      <c r="P722" s="151"/>
      <c r="Q722" s="151"/>
      <c r="R722" s="151"/>
      <c r="S722" s="152"/>
      <c r="T722" s="151"/>
      <c r="U722" s="151"/>
      <c r="V722" s="153"/>
      <c r="W722" s="151"/>
      <c r="X722" s="151"/>
      <c r="Y722" s="153"/>
      <c r="Z722" s="151"/>
      <c r="AA722" s="187" t="str">
        <f t="shared" si="23"/>
        <v>No</v>
      </c>
      <c r="AB722" s="158"/>
      <c r="AC722" s="159"/>
      <c r="AD722" s="160"/>
    </row>
    <row r="723" spans="1:30">
      <c r="A723" s="155"/>
      <c r="B723" s="112" t="str">
        <f t="shared" si="22"/>
        <v/>
      </c>
      <c r="C723" s="183"/>
      <c r="D723" s="152"/>
      <c r="E723" s="152"/>
      <c r="F723" s="151"/>
      <c r="G723" s="153"/>
      <c r="H723" s="151"/>
      <c r="I723" s="151"/>
      <c r="J723" s="151"/>
      <c r="K723" s="151"/>
      <c r="L723" s="151"/>
      <c r="M723" s="151"/>
      <c r="N723" s="151"/>
      <c r="O723" s="151"/>
      <c r="P723" s="151"/>
      <c r="Q723" s="151"/>
      <c r="R723" s="151"/>
      <c r="S723" s="152"/>
      <c r="T723" s="151"/>
      <c r="U723" s="151"/>
      <c r="V723" s="153"/>
      <c r="W723" s="151"/>
      <c r="X723" s="151"/>
      <c r="Y723" s="153"/>
      <c r="Z723" s="151"/>
      <c r="AA723" s="187" t="str">
        <f t="shared" si="23"/>
        <v>No</v>
      </c>
      <c r="AB723" s="158"/>
      <c r="AC723" s="159"/>
      <c r="AD723" s="160"/>
    </row>
    <row r="724" spans="1:30">
      <c r="A724" s="155"/>
      <c r="B724" s="112" t="str">
        <f t="shared" si="22"/>
        <v/>
      </c>
      <c r="C724" s="183"/>
      <c r="D724" s="152"/>
      <c r="E724" s="152"/>
      <c r="F724" s="151"/>
      <c r="G724" s="153"/>
      <c r="H724" s="151"/>
      <c r="I724" s="151"/>
      <c r="J724" s="151"/>
      <c r="K724" s="151"/>
      <c r="L724" s="151"/>
      <c r="M724" s="151"/>
      <c r="N724" s="151"/>
      <c r="O724" s="151"/>
      <c r="P724" s="151"/>
      <c r="Q724" s="151"/>
      <c r="R724" s="151"/>
      <c r="S724" s="152"/>
      <c r="T724" s="151"/>
      <c r="U724" s="151"/>
      <c r="V724" s="153"/>
      <c r="W724" s="151"/>
      <c r="X724" s="151"/>
      <c r="Y724" s="153"/>
      <c r="Z724" s="151"/>
      <c r="AA724" s="187" t="str">
        <f t="shared" si="23"/>
        <v>No</v>
      </c>
      <c r="AB724" s="158"/>
      <c r="AC724" s="159"/>
      <c r="AD724" s="160"/>
    </row>
    <row r="725" spans="1:30">
      <c r="A725" s="155"/>
      <c r="B725" s="112" t="str">
        <f t="shared" si="22"/>
        <v/>
      </c>
      <c r="C725" s="183"/>
      <c r="D725" s="152"/>
      <c r="E725" s="152"/>
      <c r="F725" s="151"/>
      <c r="G725" s="153"/>
      <c r="H725" s="151"/>
      <c r="I725" s="151"/>
      <c r="J725" s="151"/>
      <c r="K725" s="151"/>
      <c r="L725" s="151"/>
      <c r="M725" s="151"/>
      <c r="N725" s="151"/>
      <c r="O725" s="151"/>
      <c r="P725" s="151"/>
      <c r="Q725" s="151"/>
      <c r="R725" s="151"/>
      <c r="S725" s="152"/>
      <c r="T725" s="151"/>
      <c r="U725" s="151"/>
      <c r="V725" s="153"/>
      <c r="W725" s="151"/>
      <c r="X725" s="151"/>
      <c r="Y725" s="153"/>
      <c r="Z725" s="151"/>
      <c r="AA725" s="187" t="str">
        <f t="shared" si="23"/>
        <v>No</v>
      </c>
      <c r="AB725" s="158"/>
      <c r="AC725" s="159"/>
      <c r="AD725" s="160"/>
    </row>
    <row r="726" spans="1:30">
      <c r="A726" s="155"/>
      <c r="B726" s="112" t="str">
        <f t="shared" si="22"/>
        <v/>
      </c>
      <c r="C726" s="183"/>
      <c r="D726" s="152"/>
      <c r="E726" s="152"/>
      <c r="F726" s="151"/>
      <c r="G726" s="153"/>
      <c r="H726" s="151"/>
      <c r="I726" s="151"/>
      <c r="J726" s="151"/>
      <c r="K726" s="151"/>
      <c r="L726" s="151"/>
      <c r="M726" s="151"/>
      <c r="N726" s="151"/>
      <c r="O726" s="151"/>
      <c r="P726" s="151"/>
      <c r="Q726" s="151"/>
      <c r="R726" s="151"/>
      <c r="S726" s="152"/>
      <c r="T726" s="151"/>
      <c r="U726" s="151"/>
      <c r="V726" s="153"/>
      <c r="W726" s="151"/>
      <c r="X726" s="151"/>
      <c r="Y726" s="153"/>
      <c r="Z726" s="151"/>
      <c r="AA726" s="187" t="str">
        <f t="shared" si="23"/>
        <v>No</v>
      </c>
      <c r="AB726" s="158"/>
      <c r="AC726" s="159"/>
      <c r="AD726" s="160"/>
    </row>
    <row r="727" spans="1:30">
      <c r="A727" s="155"/>
      <c r="B727" s="112" t="str">
        <f t="shared" si="22"/>
        <v/>
      </c>
      <c r="C727" s="183"/>
      <c r="D727" s="152"/>
      <c r="E727" s="152"/>
      <c r="F727" s="151"/>
      <c r="G727" s="153"/>
      <c r="H727" s="151"/>
      <c r="I727" s="151"/>
      <c r="J727" s="151"/>
      <c r="K727" s="151"/>
      <c r="L727" s="151"/>
      <c r="M727" s="151"/>
      <c r="N727" s="151"/>
      <c r="O727" s="151"/>
      <c r="P727" s="151"/>
      <c r="Q727" s="151"/>
      <c r="R727" s="151"/>
      <c r="S727" s="152"/>
      <c r="T727" s="151"/>
      <c r="U727" s="151"/>
      <c r="V727" s="153"/>
      <c r="W727" s="151"/>
      <c r="X727" s="151"/>
      <c r="Y727" s="153"/>
      <c r="Z727" s="151"/>
      <c r="AA727" s="187" t="str">
        <f t="shared" si="23"/>
        <v>No</v>
      </c>
      <c r="AB727" s="158"/>
      <c r="AC727" s="159"/>
      <c r="AD727" s="160"/>
    </row>
    <row r="728" spans="1:30">
      <c r="A728" s="155"/>
      <c r="B728" s="112" t="str">
        <f t="shared" si="22"/>
        <v/>
      </c>
      <c r="C728" s="183"/>
      <c r="D728" s="152"/>
      <c r="E728" s="152"/>
      <c r="F728" s="151"/>
      <c r="G728" s="153"/>
      <c r="H728" s="151"/>
      <c r="I728" s="151"/>
      <c r="J728" s="151"/>
      <c r="K728" s="151"/>
      <c r="L728" s="151"/>
      <c r="M728" s="151"/>
      <c r="N728" s="151"/>
      <c r="O728" s="151"/>
      <c r="P728" s="151"/>
      <c r="Q728" s="151"/>
      <c r="R728" s="151"/>
      <c r="S728" s="152"/>
      <c r="T728" s="151"/>
      <c r="U728" s="151"/>
      <c r="V728" s="153"/>
      <c r="W728" s="151"/>
      <c r="X728" s="151"/>
      <c r="Y728" s="153"/>
      <c r="Z728" s="151"/>
      <c r="AA728" s="187" t="str">
        <f t="shared" si="23"/>
        <v>No</v>
      </c>
      <c r="AB728" s="158"/>
      <c r="AC728" s="159"/>
      <c r="AD728" s="160"/>
    </row>
    <row r="729" spans="1:30">
      <c r="A729" s="155"/>
      <c r="B729" s="112" t="str">
        <f t="shared" si="22"/>
        <v/>
      </c>
      <c r="C729" s="183"/>
      <c r="D729" s="152"/>
      <c r="E729" s="152"/>
      <c r="F729" s="151"/>
      <c r="G729" s="153"/>
      <c r="H729" s="151"/>
      <c r="I729" s="151"/>
      <c r="J729" s="151"/>
      <c r="K729" s="151"/>
      <c r="L729" s="151"/>
      <c r="M729" s="151"/>
      <c r="N729" s="151"/>
      <c r="O729" s="151"/>
      <c r="P729" s="151"/>
      <c r="Q729" s="151"/>
      <c r="R729" s="151"/>
      <c r="S729" s="152"/>
      <c r="T729" s="151"/>
      <c r="U729" s="151"/>
      <c r="V729" s="153"/>
      <c r="W729" s="151"/>
      <c r="X729" s="151"/>
      <c r="Y729" s="153"/>
      <c r="Z729" s="151"/>
      <c r="AA729" s="187" t="str">
        <f t="shared" si="23"/>
        <v>No</v>
      </c>
      <c r="AB729" s="158"/>
      <c r="AC729" s="159"/>
      <c r="AD729" s="160"/>
    </row>
    <row r="730" spans="1:30">
      <c r="A730" s="155"/>
      <c r="B730" s="112" t="str">
        <f t="shared" si="22"/>
        <v/>
      </c>
      <c r="C730" s="183"/>
      <c r="D730" s="152"/>
      <c r="E730" s="152"/>
      <c r="F730" s="151"/>
      <c r="G730" s="153"/>
      <c r="H730" s="151"/>
      <c r="I730" s="151"/>
      <c r="J730" s="151"/>
      <c r="K730" s="151"/>
      <c r="L730" s="151"/>
      <c r="M730" s="151"/>
      <c r="N730" s="151"/>
      <c r="O730" s="151"/>
      <c r="P730" s="151"/>
      <c r="Q730" s="151"/>
      <c r="R730" s="151"/>
      <c r="S730" s="152"/>
      <c r="T730" s="151"/>
      <c r="U730" s="151"/>
      <c r="V730" s="153"/>
      <c r="W730" s="151"/>
      <c r="X730" s="151"/>
      <c r="Y730" s="153"/>
      <c r="Z730" s="151"/>
      <c r="AA730" s="187" t="str">
        <f t="shared" si="23"/>
        <v>No</v>
      </c>
      <c r="AB730" s="158"/>
      <c r="AC730" s="159"/>
      <c r="AD730" s="160"/>
    </row>
    <row r="731" spans="1:30">
      <c r="A731" s="155"/>
      <c r="B731" s="112" t="str">
        <f t="shared" si="22"/>
        <v/>
      </c>
      <c r="C731" s="183"/>
      <c r="D731" s="152"/>
      <c r="E731" s="152"/>
      <c r="F731" s="151"/>
      <c r="G731" s="153"/>
      <c r="H731" s="151"/>
      <c r="I731" s="151"/>
      <c r="J731" s="151"/>
      <c r="K731" s="151"/>
      <c r="L731" s="151"/>
      <c r="M731" s="151"/>
      <c r="N731" s="151"/>
      <c r="O731" s="151"/>
      <c r="P731" s="151"/>
      <c r="Q731" s="151"/>
      <c r="R731" s="151"/>
      <c r="S731" s="152"/>
      <c r="T731" s="151"/>
      <c r="U731" s="151"/>
      <c r="V731" s="153"/>
      <c r="W731" s="151"/>
      <c r="X731" s="151"/>
      <c r="Y731" s="153"/>
      <c r="Z731" s="151"/>
      <c r="AA731" s="187" t="str">
        <f t="shared" si="23"/>
        <v>No</v>
      </c>
      <c r="AB731" s="158"/>
      <c r="AC731" s="159"/>
      <c r="AD731" s="160"/>
    </row>
    <row r="732" spans="1:30">
      <c r="A732" s="155"/>
      <c r="B732" s="112" t="str">
        <f t="shared" si="22"/>
        <v/>
      </c>
      <c r="C732" s="183"/>
      <c r="D732" s="152"/>
      <c r="E732" s="152"/>
      <c r="F732" s="151"/>
      <c r="G732" s="153"/>
      <c r="H732" s="151"/>
      <c r="I732" s="151"/>
      <c r="J732" s="151"/>
      <c r="K732" s="151"/>
      <c r="L732" s="151"/>
      <c r="M732" s="151"/>
      <c r="N732" s="151"/>
      <c r="O732" s="151"/>
      <c r="P732" s="151"/>
      <c r="Q732" s="151"/>
      <c r="R732" s="151"/>
      <c r="S732" s="152"/>
      <c r="T732" s="151"/>
      <c r="U732" s="151"/>
      <c r="V732" s="153"/>
      <c r="W732" s="151"/>
      <c r="X732" s="151"/>
      <c r="Y732" s="153"/>
      <c r="Z732" s="151"/>
      <c r="AA732" s="187" t="str">
        <f t="shared" si="23"/>
        <v>No</v>
      </c>
      <c r="AB732" s="158"/>
      <c r="AC732" s="159"/>
      <c r="AD732" s="160"/>
    </row>
    <row r="733" spans="1:30">
      <c r="A733" s="155"/>
      <c r="B733" s="112" t="str">
        <f t="shared" si="22"/>
        <v/>
      </c>
      <c r="C733" s="183"/>
      <c r="D733" s="152"/>
      <c r="E733" s="152"/>
      <c r="F733" s="151"/>
      <c r="G733" s="153"/>
      <c r="H733" s="151"/>
      <c r="I733" s="151"/>
      <c r="J733" s="151"/>
      <c r="K733" s="151"/>
      <c r="L733" s="151"/>
      <c r="M733" s="151"/>
      <c r="N733" s="151"/>
      <c r="O733" s="151"/>
      <c r="P733" s="151"/>
      <c r="Q733" s="151"/>
      <c r="R733" s="151"/>
      <c r="S733" s="152"/>
      <c r="T733" s="151"/>
      <c r="U733" s="151"/>
      <c r="V733" s="153"/>
      <c r="W733" s="151"/>
      <c r="X733" s="151"/>
      <c r="Y733" s="153"/>
      <c r="Z733" s="151"/>
      <c r="AA733" s="187" t="str">
        <f t="shared" si="23"/>
        <v>No</v>
      </c>
      <c r="AB733" s="158"/>
      <c r="AC733" s="159"/>
      <c r="AD733" s="160"/>
    </row>
    <row r="734" spans="1:30">
      <c r="A734" s="155"/>
      <c r="B734" s="112" t="str">
        <f t="shared" si="22"/>
        <v/>
      </c>
      <c r="C734" s="183"/>
      <c r="D734" s="152"/>
      <c r="E734" s="152"/>
      <c r="F734" s="151"/>
      <c r="G734" s="153"/>
      <c r="H734" s="151"/>
      <c r="I734" s="151"/>
      <c r="J734" s="151"/>
      <c r="K734" s="151"/>
      <c r="L734" s="151"/>
      <c r="M734" s="151"/>
      <c r="N734" s="151"/>
      <c r="O734" s="151"/>
      <c r="P734" s="151"/>
      <c r="Q734" s="151"/>
      <c r="R734" s="151"/>
      <c r="S734" s="152"/>
      <c r="T734" s="151"/>
      <c r="U734" s="151"/>
      <c r="V734" s="153"/>
      <c r="W734" s="151"/>
      <c r="X734" s="151"/>
      <c r="Y734" s="153"/>
      <c r="Z734" s="151"/>
      <c r="AA734" s="187" t="str">
        <f t="shared" si="23"/>
        <v>No</v>
      </c>
      <c r="AB734" s="158"/>
      <c r="AC734" s="159"/>
      <c r="AD734" s="160"/>
    </row>
    <row r="735" spans="1:30">
      <c r="A735" s="155"/>
      <c r="B735" s="112" t="str">
        <f t="shared" si="22"/>
        <v/>
      </c>
      <c r="C735" s="183"/>
      <c r="D735" s="152"/>
      <c r="E735" s="152"/>
      <c r="F735" s="151"/>
      <c r="G735" s="153"/>
      <c r="H735" s="151"/>
      <c r="I735" s="151"/>
      <c r="J735" s="151"/>
      <c r="K735" s="151"/>
      <c r="L735" s="151"/>
      <c r="M735" s="151"/>
      <c r="N735" s="151"/>
      <c r="O735" s="151"/>
      <c r="P735" s="151"/>
      <c r="Q735" s="151"/>
      <c r="R735" s="151"/>
      <c r="S735" s="152"/>
      <c r="T735" s="151"/>
      <c r="U735" s="151"/>
      <c r="V735" s="153"/>
      <c r="W735" s="151"/>
      <c r="X735" s="151"/>
      <c r="Y735" s="153"/>
      <c r="Z735" s="151"/>
      <c r="AA735" s="187" t="str">
        <f t="shared" si="23"/>
        <v>No</v>
      </c>
      <c r="AB735" s="158"/>
      <c r="AC735" s="159"/>
      <c r="AD735" s="160"/>
    </row>
    <row r="736" spans="1:30">
      <c r="A736" s="155"/>
      <c r="B736" s="112" t="str">
        <f t="shared" si="22"/>
        <v/>
      </c>
      <c r="C736" s="183"/>
      <c r="D736" s="152"/>
      <c r="E736" s="152"/>
      <c r="F736" s="151"/>
      <c r="G736" s="153"/>
      <c r="H736" s="151"/>
      <c r="I736" s="151"/>
      <c r="J736" s="151"/>
      <c r="K736" s="151"/>
      <c r="L736" s="151"/>
      <c r="M736" s="151"/>
      <c r="N736" s="151"/>
      <c r="O736" s="151"/>
      <c r="P736" s="151"/>
      <c r="Q736" s="151"/>
      <c r="R736" s="151"/>
      <c r="S736" s="152"/>
      <c r="T736" s="151"/>
      <c r="U736" s="151"/>
      <c r="V736" s="153"/>
      <c r="W736" s="151"/>
      <c r="X736" s="151"/>
      <c r="Y736" s="153"/>
      <c r="Z736" s="151"/>
      <c r="AA736" s="187" t="str">
        <f t="shared" si="23"/>
        <v>No</v>
      </c>
      <c r="AB736" s="158"/>
      <c r="AC736" s="159"/>
      <c r="AD736" s="160"/>
    </row>
    <row r="737" spans="1:30">
      <c r="A737" s="155"/>
      <c r="B737" s="112" t="str">
        <f t="shared" si="22"/>
        <v/>
      </c>
      <c r="C737" s="183"/>
      <c r="D737" s="152"/>
      <c r="E737" s="152"/>
      <c r="F737" s="151"/>
      <c r="G737" s="153"/>
      <c r="H737" s="151"/>
      <c r="I737" s="151"/>
      <c r="J737" s="151"/>
      <c r="K737" s="151"/>
      <c r="L737" s="151"/>
      <c r="M737" s="151"/>
      <c r="N737" s="151"/>
      <c r="O737" s="151"/>
      <c r="P737" s="151"/>
      <c r="Q737" s="151"/>
      <c r="R737" s="151"/>
      <c r="S737" s="152"/>
      <c r="T737" s="151"/>
      <c r="U737" s="151"/>
      <c r="V737" s="153"/>
      <c r="W737" s="151"/>
      <c r="X737" s="151"/>
      <c r="Y737" s="153"/>
      <c r="Z737" s="151"/>
      <c r="AA737" s="187" t="str">
        <f t="shared" si="23"/>
        <v>No</v>
      </c>
      <c r="AB737" s="158"/>
      <c r="AC737" s="159"/>
      <c r="AD737" s="160"/>
    </row>
    <row r="738" spans="1:30">
      <c r="A738" s="155"/>
      <c r="B738" s="112" t="str">
        <f t="shared" si="22"/>
        <v/>
      </c>
      <c r="C738" s="183"/>
      <c r="D738" s="152"/>
      <c r="E738" s="152"/>
      <c r="F738" s="151"/>
      <c r="G738" s="153"/>
      <c r="H738" s="151"/>
      <c r="I738" s="151"/>
      <c r="J738" s="151"/>
      <c r="K738" s="151"/>
      <c r="L738" s="151"/>
      <c r="M738" s="151"/>
      <c r="N738" s="151"/>
      <c r="O738" s="151"/>
      <c r="P738" s="151"/>
      <c r="Q738" s="151"/>
      <c r="R738" s="151"/>
      <c r="S738" s="152"/>
      <c r="T738" s="151"/>
      <c r="U738" s="151"/>
      <c r="V738" s="153"/>
      <c r="W738" s="151"/>
      <c r="X738" s="151"/>
      <c r="Y738" s="153"/>
      <c r="Z738" s="151"/>
      <c r="AA738" s="187" t="str">
        <f t="shared" si="23"/>
        <v>No</v>
      </c>
      <c r="AB738" s="158"/>
      <c r="AC738" s="159"/>
      <c r="AD738" s="160"/>
    </row>
    <row r="739" spans="1:30">
      <c r="A739" s="155"/>
      <c r="B739" s="112" t="str">
        <f t="shared" si="22"/>
        <v/>
      </c>
      <c r="C739" s="183"/>
      <c r="D739" s="152"/>
      <c r="E739" s="152"/>
      <c r="F739" s="151"/>
      <c r="G739" s="153"/>
      <c r="H739" s="151"/>
      <c r="I739" s="151"/>
      <c r="J739" s="151"/>
      <c r="K739" s="151"/>
      <c r="L739" s="151"/>
      <c r="M739" s="151"/>
      <c r="N739" s="151"/>
      <c r="O739" s="151"/>
      <c r="P739" s="151"/>
      <c r="Q739" s="151"/>
      <c r="R739" s="151"/>
      <c r="S739" s="152"/>
      <c r="T739" s="151"/>
      <c r="U739" s="151"/>
      <c r="V739" s="153"/>
      <c r="W739" s="151"/>
      <c r="X739" s="151"/>
      <c r="Y739" s="153"/>
      <c r="Z739" s="151"/>
      <c r="AA739" s="187" t="str">
        <f t="shared" si="23"/>
        <v>No</v>
      </c>
      <c r="AB739" s="158"/>
      <c r="AC739" s="159"/>
      <c r="AD739" s="160"/>
    </row>
    <row r="740" spans="1:30">
      <c r="A740" s="155"/>
      <c r="B740" s="112" t="str">
        <f t="shared" si="22"/>
        <v/>
      </c>
      <c r="C740" s="183"/>
      <c r="D740" s="152"/>
      <c r="E740" s="152"/>
      <c r="F740" s="151"/>
      <c r="G740" s="153"/>
      <c r="H740" s="151"/>
      <c r="I740" s="151"/>
      <c r="J740" s="151"/>
      <c r="K740" s="151"/>
      <c r="L740" s="151"/>
      <c r="M740" s="151"/>
      <c r="N740" s="151"/>
      <c r="O740" s="151"/>
      <c r="P740" s="151"/>
      <c r="Q740" s="151"/>
      <c r="R740" s="151"/>
      <c r="S740" s="152"/>
      <c r="T740" s="151"/>
      <c r="U740" s="151"/>
      <c r="V740" s="153"/>
      <c r="W740" s="151"/>
      <c r="X740" s="151"/>
      <c r="Y740" s="153"/>
      <c r="Z740" s="151"/>
      <c r="AA740" s="187" t="str">
        <f t="shared" si="23"/>
        <v>No</v>
      </c>
      <c r="AB740" s="158"/>
      <c r="AC740" s="159"/>
      <c r="AD740" s="160"/>
    </row>
    <row r="741" spans="1:30">
      <c r="A741" s="155"/>
      <c r="B741" s="112" t="str">
        <f t="shared" si="22"/>
        <v/>
      </c>
      <c r="C741" s="183"/>
      <c r="D741" s="152"/>
      <c r="E741" s="152"/>
      <c r="F741" s="151"/>
      <c r="G741" s="153"/>
      <c r="H741" s="151"/>
      <c r="I741" s="151"/>
      <c r="J741" s="151"/>
      <c r="K741" s="151"/>
      <c r="L741" s="151"/>
      <c r="M741" s="151"/>
      <c r="N741" s="151"/>
      <c r="O741" s="151"/>
      <c r="P741" s="151"/>
      <c r="Q741" s="151"/>
      <c r="R741" s="151"/>
      <c r="S741" s="152"/>
      <c r="T741" s="151"/>
      <c r="U741" s="151"/>
      <c r="V741" s="153"/>
      <c r="W741" s="151"/>
      <c r="X741" s="151"/>
      <c r="Y741" s="153"/>
      <c r="Z741" s="151"/>
      <c r="AA741" s="187" t="str">
        <f t="shared" si="23"/>
        <v>No</v>
      </c>
      <c r="AB741" s="158"/>
      <c r="AC741" s="159"/>
      <c r="AD741" s="160"/>
    </row>
    <row r="742" spans="1:30">
      <c r="A742" s="155"/>
      <c r="B742" s="112" t="str">
        <f t="shared" si="22"/>
        <v/>
      </c>
      <c r="C742" s="183"/>
      <c r="D742" s="152"/>
      <c r="E742" s="152"/>
      <c r="F742" s="151"/>
      <c r="G742" s="153"/>
      <c r="H742" s="151"/>
      <c r="I742" s="151"/>
      <c r="J742" s="151"/>
      <c r="K742" s="151"/>
      <c r="L742" s="151"/>
      <c r="M742" s="151"/>
      <c r="N742" s="151"/>
      <c r="O742" s="151"/>
      <c r="P742" s="151"/>
      <c r="Q742" s="151"/>
      <c r="R742" s="151"/>
      <c r="S742" s="152"/>
      <c r="T742" s="151"/>
      <c r="U742" s="151"/>
      <c r="V742" s="153"/>
      <c r="W742" s="151"/>
      <c r="X742" s="151"/>
      <c r="Y742" s="153"/>
      <c r="Z742" s="151"/>
      <c r="AA742" s="187" t="str">
        <f t="shared" si="23"/>
        <v>No</v>
      </c>
      <c r="AB742" s="158"/>
      <c r="AC742" s="159"/>
      <c r="AD742" s="160"/>
    </row>
    <row r="743" spans="1:30">
      <c r="A743" s="155"/>
      <c r="B743" s="112" t="str">
        <f t="shared" si="22"/>
        <v/>
      </c>
      <c r="C743" s="183"/>
      <c r="D743" s="152"/>
      <c r="E743" s="152"/>
      <c r="F743" s="151"/>
      <c r="G743" s="153"/>
      <c r="H743" s="151"/>
      <c r="I743" s="151"/>
      <c r="J743" s="151"/>
      <c r="K743" s="151"/>
      <c r="L743" s="151"/>
      <c r="M743" s="151"/>
      <c r="N743" s="151"/>
      <c r="O743" s="151"/>
      <c r="P743" s="151"/>
      <c r="Q743" s="151"/>
      <c r="R743" s="151"/>
      <c r="S743" s="152"/>
      <c r="T743" s="151"/>
      <c r="U743" s="151"/>
      <c r="V743" s="153"/>
      <c r="W743" s="151"/>
      <c r="X743" s="151"/>
      <c r="Y743" s="153"/>
      <c r="Z743" s="151"/>
      <c r="AA743" s="187" t="str">
        <f t="shared" si="23"/>
        <v>No</v>
      </c>
      <c r="AB743" s="158"/>
      <c r="AC743" s="159"/>
      <c r="AD743" s="160"/>
    </row>
    <row r="744" spans="1:30">
      <c r="A744" s="155"/>
      <c r="B744" s="112" t="str">
        <f t="shared" si="22"/>
        <v/>
      </c>
      <c r="C744" s="183"/>
      <c r="D744" s="152"/>
      <c r="E744" s="152"/>
      <c r="F744" s="151"/>
      <c r="G744" s="153"/>
      <c r="H744" s="151"/>
      <c r="I744" s="151"/>
      <c r="J744" s="151"/>
      <c r="K744" s="151"/>
      <c r="L744" s="151"/>
      <c r="M744" s="151"/>
      <c r="N744" s="151"/>
      <c r="O744" s="151"/>
      <c r="P744" s="151"/>
      <c r="Q744" s="151"/>
      <c r="R744" s="151"/>
      <c r="S744" s="152"/>
      <c r="T744" s="151"/>
      <c r="U744" s="151"/>
      <c r="V744" s="153"/>
      <c r="W744" s="151"/>
      <c r="X744" s="151"/>
      <c r="Y744" s="153"/>
      <c r="Z744" s="151"/>
      <c r="AA744" s="187" t="str">
        <f t="shared" si="23"/>
        <v>No</v>
      </c>
      <c r="AB744" s="158"/>
      <c r="AC744" s="159"/>
      <c r="AD744" s="160"/>
    </row>
    <row r="745" spans="1:30">
      <c r="A745" s="155"/>
      <c r="B745" s="112" t="str">
        <f t="shared" si="22"/>
        <v/>
      </c>
      <c r="C745" s="183"/>
      <c r="D745" s="152"/>
      <c r="E745" s="152"/>
      <c r="F745" s="151"/>
      <c r="G745" s="153"/>
      <c r="H745" s="151"/>
      <c r="I745" s="151"/>
      <c r="J745" s="151"/>
      <c r="K745" s="151"/>
      <c r="L745" s="151"/>
      <c r="M745" s="151"/>
      <c r="N745" s="151"/>
      <c r="O745" s="151"/>
      <c r="P745" s="151"/>
      <c r="Q745" s="151"/>
      <c r="R745" s="151"/>
      <c r="S745" s="152"/>
      <c r="T745" s="151"/>
      <c r="U745" s="151"/>
      <c r="V745" s="153"/>
      <c r="W745" s="151"/>
      <c r="X745" s="151"/>
      <c r="Y745" s="153"/>
      <c r="Z745" s="151"/>
      <c r="AA745" s="187" t="str">
        <f t="shared" si="23"/>
        <v>No</v>
      </c>
      <c r="AB745" s="158"/>
      <c r="AC745" s="159"/>
      <c r="AD745" s="160"/>
    </row>
    <row r="746" spans="1:30">
      <c r="A746" s="155"/>
      <c r="B746" s="112" t="str">
        <f t="shared" si="22"/>
        <v/>
      </c>
      <c r="C746" s="183"/>
      <c r="D746" s="152"/>
      <c r="E746" s="152"/>
      <c r="F746" s="151"/>
      <c r="G746" s="153"/>
      <c r="H746" s="151"/>
      <c r="I746" s="151"/>
      <c r="J746" s="151"/>
      <c r="K746" s="151"/>
      <c r="L746" s="151"/>
      <c r="M746" s="151"/>
      <c r="N746" s="151"/>
      <c r="O746" s="151"/>
      <c r="P746" s="151"/>
      <c r="Q746" s="151"/>
      <c r="R746" s="151"/>
      <c r="S746" s="152"/>
      <c r="T746" s="151"/>
      <c r="U746" s="151"/>
      <c r="V746" s="153"/>
      <c r="W746" s="151"/>
      <c r="X746" s="151"/>
      <c r="Y746" s="153"/>
      <c r="Z746" s="151"/>
      <c r="AA746" s="187" t="str">
        <f t="shared" si="23"/>
        <v>No</v>
      </c>
      <c r="AB746" s="158"/>
      <c r="AC746" s="159"/>
      <c r="AD746" s="160"/>
    </row>
    <row r="747" spans="1:30">
      <c r="A747" s="155"/>
      <c r="B747" s="112" t="str">
        <f t="shared" si="22"/>
        <v/>
      </c>
      <c r="C747" s="183"/>
      <c r="D747" s="152"/>
      <c r="E747" s="152"/>
      <c r="F747" s="151"/>
      <c r="G747" s="153"/>
      <c r="H747" s="151"/>
      <c r="I747" s="151"/>
      <c r="J747" s="151"/>
      <c r="K747" s="151"/>
      <c r="L747" s="151"/>
      <c r="M747" s="151"/>
      <c r="N747" s="151"/>
      <c r="O747" s="151"/>
      <c r="P747" s="151"/>
      <c r="Q747" s="151"/>
      <c r="R747" s="151"/>
      <c r="S747" s="152"/>
      <c r="T747" s="151"/>
      <c r="U747" s="151"/>
      <c r="V747" s="153"/>
      <c r="W747" s="151"/>
      <c r="X747" s="151"/>
      <c r="Y747" s="153"/>
      <c r="Z747" s="151"/>
      <c r="AA747" s="187" t="str">
        <f t="shared" si="23"/>
        <v>No</v>
      </c>
      <c r="AB747" s="158"/>
      <c r="AC747" s="159"/>
      <c r="AD747" s="160"/>
    </row>
    <row r="748" spans="1:30">
      <c r="A748" s="155"/>
      <c r="B748" s="112" t="str">
        <f t="shared" si="22"/>
        <v/>
      </c>
      <c r="C748" s="183"/>
      <c r="D748" s="152"/>
      <c r="E748" s="152"/>
      <c r="F748" s="151"/>
      <c r="G748" s="153"/>
      <c r="H748" s="151"/>
      <c r="I748" s="151"/>
      <c r="J748" s="151"/>
      <c r="K748" s="151"/>
      <c r="L748" s="151"/>
      <c r="M748" s="151"/>
      <c r="N748" s="151"/>
      <c r="O748" s="151"/>
      <c r="P748" s="151"/>
      <c r="Q748" s="151"/>
      <c r="R748" s="151"/>
      <c r="S748" s="152"/>
      <c r="T748" s="151"/>
      <c r="U748" s="151"/>
      <c r="V748" s="153"/>
      <c r="W748" s="151"/>
      <c r="X748" s="151"/>
      <c r="Y748" s="153"/>
      <c r="Z748" s="151"/>
      <c r="AA748" s="187" t="str">
        <f t="shared" si="23"/>
        <v>No</v>
      </c>
      <c r="AB748" s="158"/>
      <c r="AC748" s="159"/>
      <c r="AD748" s="160"/>
    </row>
    <row r="749" spans="1:30">
      <c r="A749" s="155"/>
      <c r="B749" s="112" t="str">
        <f t="shared" si="22"/>
        <v/>
      </c>
      <c r="C749" s="183"/>
      <c r="D749" s="152"/>
      <c r="E749" s="152"/>
      <c r="F749" s="151"/>
      <c r="G749" s="153"/>
      <c r="H749" s="151"/>
      <c r="I749" s="151"/>
      <c r="J749" s="151"/>
      <c r="K749" s="151"/>
      <c r="L749" s="151"/>
      <c r="M749" s="151"/>
      <c r="N749" s="151"/>
      <c r="O749" s="151"/>
      <c r="P749" s="151"/>
      <c r="Q749" s="151"/>
      <c r="R749" s="151"/>
      <c r="S749" s="152"/>
      <c r="T749" s="151"/>
      <c r="U749" s="151"/>
      <c r="V749" s="153"/>
      <c r="W749" s="151"/>
      <c r="X749" s="151"/>
      <c r="Y749" s="153"/>
      <c r="Z749" s="151"/>
      <c r="AA749" s="187" t="str">
        <f t="shared" si="23"/>
        <v>No</v>
      </c>
      <c r="AB749" s="158"/>
      <c r="AC749" s="159"/>
      <c r="AD749" s="160"/>
    </row>
    <row r="750" spans="1:30">
      <c r="A750" s="155"/>
      <c r="B750" s="112" t="str">
        <f t="shared" si="22"/>
        <v/>
      </c>
      <c r="C750" s="183"/>
      <c r="D750" s="152"/>
      <c r="E750" s="152"/>
      <c r="F750" s="151"/>
      <c r="G750" s="153"/>
      <c r="H750" s="151"/>
      <c r="I750" s="151"/>
      <c r="J750" s="151"/>
      <c r="K750" s="151"/>
      <c r="L750" s="151"/>
      <c r="M750" s="151"/>
      <c r="N750" s="151"/>
      <c r="O750" s="151"/>
      <c r="P750" s="151"/>
      <c r="Q750" s="151"/>
      <c r="R750" s="151"/>
      <c r="S750" s="152"/>
      <c r="T750" s="151"/>
      <c r="U750" s="151"/>
      <c r="V750" s="153"/>
      <c r="W750" s="151"/>
      <c r="X750" s="151"/>
      <c r="Y750" s="153"/>
      <c r="Z750" s="151"/>
      <c r="AA750" s="187" t="str">
        <f t="shared" si="23"/>
        <v>No</v>
      </c>
      <c r="AB750" s="158"/>
      <c r="AC750" s="159"/>
      <c r="AD750" s="160"/>
    </row>
    <row r="751" spans="1:30">
      <c r="A751" s="155"/>
      <c r="B751" s="112" t="str">
        <f t="shared" si="22"/>
        <v/>
      </c>
      <c r="C751" s="183"/>
      <c r="D751" s="152"/>
      <c r="E751" s="152"/>
      <c r="F751" s="151"/>
      <c r="G751" s="153"/>
      <c r="H751" s="151"/>
      <c r="I751" s="151"/>
      <c r="J751" s="151"/>
      <c r="K751" s="151"/>
      <c r="L751" s="151"/>
      <c r="M751" s="151"/>
      <c r="N751" s="151"/>
      <c r="O751" s="151"/>
      <c r="P751" s="151"/>
      <c r="Q751" s="151"/>
      <c r="R751" s="151"/>
      <c r="S751" s="152"/>
      <c r="T751" s="151"/>
      <c r="U751" s="151"/>
      <c r="V751" s="153"/>
      <c r="W751" s="151"/>
      <c r="X751" s="151"/>
      <c r="Y751" s="153"/>
      <c r="Z751" s="151"/>
      <c r="AA751" s="187" t="str">
        <f t="shared" si="23"/>
        <v>No</v>
      </c>
      <c r="AB751" s="158"/>
      <c r="AC751" s="159"/>
      <c r="AD751" s="160"/>
    </row>
    <row r="752" spans="1:30">
      <c r="A752" s="155"/>
      <c r="B752" s="112" t="str">
        <f t="shared" si="22"/>
        <v/>
      </c>
      <c r="C752" s="183"/>
      <c r="D752" s="152"/>
      <c r="E752" s="152"/>
      <c r="F752" s="151"/>
      <c r="G752" s="153"/>
      <c r="H752" s="151"/>
      <c r="I752" s="151"/>
      <c r="J752" s="151"/>
      <c r="K752" s="151"/>
      <c r="L752" s="151"/>
      <c r="M752" s="151"/>
      <c r="N752" s="151"/>
      <c r="O752" s="151"/>
      <c r="P752" s="151"/>
      <c r="Q752" s="151"/>
      <c r="R752" s="151"/>
      <c r="S752" s="152"/>
      <c r="T752" s="151"/>
      <c r="U752" s="151"/>
      <c r="V752" s="153"/>
      <c r="W752" s="151"/>
      <c r="X752" s="151"/>
      <c r="Y752" s="153"/>
      <c r="Z752" s="151"/>
      <c r="AA752" s="187" t="str">
        <f t="shared" si="23"/>
        <v>No</v>
      </c>
      <c r="AB752" s="158"/>
      <c r="AC752" s="159"/>
      <c r="AD752" s="160"/>
    </row>
    <row r="753" spans="1:30">
      <c r="A753" s="155"/>
      <c r="B753" s="112" t="str">
        <f t="shared" si="22"/>
        <v/>
      </c>
      <c r="C753" s="183"/>
      <c r="D753" s="152"/>
      <c r="E753" s="152"/>
      <c r="F753" s="151"/>
      <c r="G753" s="153"/>
      <c r="H753" s="151"/>
      <c r="I753" s="151"/>
      <c r="J753" s="151"/>
      <c r="K753" s="151"/>
      <c r="L753" s="151"/>
      <c r="M753" s="151"/>
      <c r="N753" s="151"/>
      <c r="O753" s="151"/>
      <c r="P753" s="151"/>
      <c r="Q753" s="151"/>
      <c r="R753" s="151"/>
      <c r="S753" s="152"/>
      <c r="T753" s="151"/>
      <c r="U753" s="151"/>
      <c r="V753" s="153"/>
      <c r="W753" s="151"/>
      <c r="X753" s="151"/>
      <c r="Y753" s="153"/>
      <c r="Z753" s="151"/>
      <c r="AA753" s="187" t="str">
        <f t="shared" si="23"/>
        <v>No</v>
      </c>
      <c r="AB753" s="158"/>
      <c r="AC753" s="159"/>
      <c r="AD753" s="160"/>
    </row>
    <row r="754" spans="1:30">
      <c r="A754" s="155"/>
      <c r="B754" s="112" t="str">
        <f t="shared" si="22"/>
        <v/>
      </c>
      <c r="C754" s="183"/>
      <c r="D754" s="152"/>
      <c r="E754" s="152"/>
      <c r="F754" s="151"/>
      <c r="G754" s="153"/>
      <c r="H754" s="151"/>
      <c r="I754" s="151"/>
      <c r="J754" s="151"/>
      <c r="K754" s="151"/>
      <c r="L754" s="151"/>
      <c r="M754" s="151"/>
      <c r="N754" s="151"/>
      <c r="O754" s="151"/>
      <c r="P754" s="151"/>
      <c r="Q754" s="151"/>
      <c r="R754" s="151"/>
      <c r="S754" s="152"/>
      <c r="T754" s="151"/>
      <c r="U754" s="151"/>
      <c r="V754" s="153"/>
      <c r="W754" s="151"/>
      <c r="X754" s="151"/>
      <c r="Y754" s="153"/>
      <c r="Z754" s="151"/>
      <c r="AA754" s="187" t="str">
        <f t="shared" si="23"/>
        <v>No</v>
      </c>
      <c r="AB754" s="158"/>
      <c r="AC754" s="159"/>
      <c r="AD754" s="160"/>
    </row>
    <row r="755" spans="1:30">
      <c r="A755" s="155"/>
      <c r="B755" s="112" t="str">
        <f t="shared" si="22"/>
        <v/>
      </c>
      <c r="C755" s="183"/>
      <c r="D755" s="152"/>
      <c r="E755" s="152"/>
      <c r="F755" s="151"/>
      <c r="G755" s="153"/>
      <c r="H755" s="151"/>
      <c r="I755" s="151"/>
      <c r="J755" s="151"/>
      <c r="K755" s="151"/>
      <c r="L755" s="151"/>
      <c r="M755" s="151"/>
      <c r="N755" s="151"/>
      <c r="O755" s="151"/>
      <c r="P755" s="151"/>
      <c r="Q755" s="151"/>
      <c r="R755" s="151"/>
      <c r="S755" s="152"/>
      <c r="T755" s="151"/>
      <c r="U755" s="151"/>
      <c r="V755" s="153"/>
      <c r="W755" s="151"/>
      <c r="X755" s="151"/>
      <c r="Y755" s="153"/>
      <c r="Z755" s="151"/>
      <c r="AA755" s="187" t="str">
        <f t="shared" si="23"/>
        <v>No</v>
      </c>
      <c r="AB755" s="158"/>
      <c r="AC755" s="159"/>
      <c r="AD755" s="160"/>
    </row>
    <row r="756" spans="1:30">
      <c r="A756" s="155"/>
      <c r="B756" s="112" t="str">
        <f t="shared" si="22"/>
        <v/>
      </c>
      <c r="C756" s="183"/>
      <c r="D756" s="152"/>
      <c r="E756" s="152"/>
      <c r="F756" s="151"/>
      <c r="G756" s="153"/>
      <c r="H756" s="151"/>
      <c r="I756" s="151"/>
      <c r="J756" s="151"/>
      <c r="K756" s="151"/>
      <c r="L756" s="151"/>
      <c r="M756" s="151"/>
      <c r="N756" s="151"/>
      <c r="O756" s="151"/>
      <c r="P756" s="151"/>
      <c r="Q756" s="151"/>
      <c r="R756" s="151"/>
      <c r="S756" s="152"/>
      <c r="T756" s="151"/>
      <c r="U756" s="151"/>
      <c r="V756" s="153"/>
      <c r="W756" s="151"/>
      <c r="X756" s="151"/>
      <c r="Y756" s="153"/>
      <c r="Z756" s="151"/>
      <c r="AA756" s="187" t="str">
        <f t="shared" si="23"/>
        <v>No</v>
      </c>
      <c r="AB756" s="158"/>
      <c r="AC756" s="159"/>
      <c r="AD756" s="160"/>
    </row>
    <row r="757" spans="1:30">
      <c r="A757" s="155"/>
      <c r="B757" s="112" t="str">
        <f t="shared" si="22"/>
        <v/>
      </c>
      <c r="C757" s="183"/>
      <c r="D757" s="152"/>
      <c r="E757" s="152"/>
      <c r="F757" s="151"/>
      <c r="G757" s="153"/>
      <c r="H757" s="151"/>
      <c r="I757" s="151"/>
      <c r="J757" s="151"/>
      <c r="K757" s="151"/>
      <c r="L757" s="151"/>
      <c r="M757" s="151"/>
      <c r="N757" s="151"/>
      <c r="O757" s="151"/>
      <c r="P757" s="151"/>
      <c r="Q757" s="151"/>
      <c r="R757" s="151"/>
      <c r="S757" s="152"/>
      <c r="T757" s="151"/>
      <c r="U757" s="151"/>
      <c r="V757" s="153"/>
      <c r="W757" s="151"/>
      <c r="X757" s="151"/>
      <c r="Y757" s="153"/>
      <c r="Z757" s="151"/>
      <c r="AA757" s="187" t="str">
        <f t="shared" si="23"/>
        <v>No</v>
      </c>
      <c r="AB757" s="158"/>
      <c r="AC757" s="159"/>
      <c r="AD757" s="160"/>
    </row>
    <row r="758" spans="1:30">
      <c r="A758" s="155"/>
      <c r="B758" s="112" t="str">
        <f t="shared" si="22"/>
        <v/>
      </c>
      <c r="C758" s="183"/>
      <c r="D758" s="152"/>
      <c r="E758" s="152"/>
      <c r="F758" s="151"/>
      <c r="G758" s="153"/>
      <c r="H758" s="151"/>
      <c r="I758" s="151"/>
      <c r="J758" s="151"/>
      <c r="K758" s="151"/>
      <c r="L758" s="151"/>
      <c r="M758" s="151"/>
      <c r="N758" s="151"/>
      <c r="O758" s="151"/>
      <c r="P758" s="151"/>
      <c r="Q758" s="151"/>
      <c r="R758" s="151"/>
      <c r="S758" s="152"/>
      <c r="T758" s="151"/>
      <c r="U758" s="151"/>
      <c r="V758" s="153"/>
      <c r="W758" s="151"/>
      <c r="X758" s="151"/>
      <c r="Y758" s="153"/>
      <c r="Z758" s="151"/>
      <c r="AA758" s="187" t="str">
        <f t="shared" si="23"/>
        <v>No</v>
      </c>
      <c r="AB758" s="158"/>
      <c r="AC758" s="159"/>
      <c r="AD758" s="160"/>
    </row>
    <row r="759" spans="1:30">
      <c r="A759" s="155"/>
      <c r="B759" s="112" t="str">
        <f t="shared" si="22"/>
        <v/>
      </c>
      <c r="C759" s="183"/>
      <c r="D759" s="152"/>
      <c r="E759" s="152"/>
      <c r="F759" s="151"/>
      <c r="G759" s="153"/>
      <c r="H759" s="151"/>
      <c r="I759" s="151"/>
      <c r="J759" s="151"/>
      <c r="K759" s="151"/>
      <c r="L759" s="151"/>
      <c r="M759" s="151"/>
      <c r="N759" s="151"/>
      <c r="O759" s="151"/>
      <c r="P759" s="151"/>
      <c r="Q759" s="151"/>
      <c r="R759" s="151"/>
      <c r="S759" s="152"/>
      <c r="T759" s="151"/>
      <c r="U759" s="151"/>
      <c r="V759" s="153"/>
      <c r="W759" s="151"/>
      <c r="X759" s="151"/>
      <c r="Y759" s="153"/>
      <c r="Z759" s="151"/>
      <c r="AA759" s="187" t="str">
        <f t="shared" si="23"/>
        <v>No</v>
      </c>
      <c r="AB759" s="158"/>
      <c r="AC759" s="159"/>
      <c r="AD759" s="160"/>
    </row>
    <row r="760" spans="1:30">
      <c r="A760" s="155"/>
      <c r="B760" s="112" t="str">
        <f t="shared" si="22"/>
        <v/>
      </c>
      <c r="C760" s="183"/>
      <c r="D760" s="152"/>
      <c r="E760" s="152"/>
      <c r="F760" s="151"/>
      <c r="G760" s="153"/>
      <c r="H760" s="151"/>
      <c r="I760" s="151"/>
      <c r="J760" s="151"/>
      <c r="K760" s="151"/>
      <c r="L760" s="151"/>
      <c r="M760" s="151"/>
      <c r="N760" s="151"/>
      <c r="O760" s="151"/>
      <c r="P760" s="151"/>
      <c r="Q760" s="151"/>
      <c r="R760" s="151"/>
      <c r="S760" s="152"/>
      <c r="T760" s="151"/>
      <c r="U760" s="151"/>
      <c r="V760" s="153"/>
      <c r="W760" s="151"/>
      <c r="X760" s="151"/>
      <c r="Y760" s="153"/>
      <c r="Z760" s="151"/>
      <c r="AA760" s="187" t="str">
        <f t="shared" si="23"/>
        <v>No</v>
      </c>
      <c r="AB760" s="158"/>
      <c r="AC760" s="159"/>
      <c r="AD760" s="160"/>
    </row>
    <row r="761" spans="1:30">
      <c r="A761" s="155"/>
      <c r="B761" s="112" t="str">
        <f t="shared" si="22"/>
        <v/>
      </c>
      <c r="C761" s="183"/>
      <c r="D761" s="152"/>
      <c r="E761" s="152"/>
      <c r="F761" s="151"/>
      <c r="G761" s="153"/>
      <c r="H761" s="151"/>
      <c r="I761" s="151"/>
      <c r="J761" s="151"/>
      <c r="K761" s="151"/>
      <c r="L761" s="151"/>
      <c r="M761" s="151"/>
      <c r="N761" s="151"/>
      <c r="O761" s="151"/>
      <c r="P761" s="151"/>
      <c r="Q761" s="151"/>
      <c r="R761" s="151"/>
      <c r="S761" s="152"/>
      <c r="T761" s="151"/>
      <c r="U761" s="151"/>
      <c r="V761" s="153"/>
      <c r="W761" s="151"/>
      <c r="X761" s="151"/>
      <c r="Y761" s="153"/>
      <c r="Z761" s="151"/>
      <c r="AA761" s="187" t="str">
        <f t="shared" si="23"/>
        <v>No</v>
      </c>
      <c r="AB761" s="158"/>
      <c r="AC761" s="159"/>
      <c r="AD761" s="160"/>
    </row>
    <row r="762" spans="1:30">
      <c r="A762" s="155"/>
      <c r="B762" s="112" t="str">
        <f t="shared" si="22"/>
        <v/>
      </c>
      <c r="C762" s="183"/>
      <c r="D762" s="152"/>
      <c r="E762" s="152"/>
      <c r="F762" s="151"/>
      <c r="G762" s="153"/>
      <c r="H762" s="151"/>
      <c r="I762" s="151"/>
      <c r="J762" s="151"/>
      <c r="K762" s="151"/>
      <c r="L762" s="151"/>
      <c r="M762" s="151"/>
      <c r="N762" s="151"/>
      <c r="O762" s="151"/>
      <c r="P762" s="151"/>
      <c r="Q762" s="151"/>
      <c r="R762" s="151"/>
      <c r="S762" s="152"/>
      <c r="T762" s="151"/>
      <c r="U762" s="151"/>
      <c r="V762" s="153"/>
      <c r="W762" s="151"/>
      <c r="X762" s="151"/>
      <c r="Y762" s="153"/>
      <c r="Z762" s="151"/>
      <c r="AA762" s="187" t="str">
        <f t="shared" si="23"/>
        <v>No</v>
      </c>
      <c r="AB762" s="158"/>
      <c r="AC762" s="159"/>
      <c r="AD762" s="160"/>
    </row>
    <row r="763" spans="1:30">
      <c r="A763" s="155"/>
      <c r="B763" s="112" t="str">
        <f t="shared" si="22"/>
        <v/>
      </c>
      <c r="C763" s="183"/>
      <c r="D763" s="152"/>
      <c r="E763" s="152"/>
      <c r="F763" s="151"/>
      <c r="G763" s="153"/>
      <c r="H763" s="151"/>
      <c r="I763" s="151"/>
      <c r="J763" s="151"/>
      <c r="K763" s="151"/>
      <c r="L763" s="151"/>
      <c r="M763" s="151"/>
      <c r="N763" s="151"/>
      <c r="O763" s="151"/>
      <c r="P763" s="151"/>
      <c r="Q763" s="151"/>
      <c r="R763" s="151"/>
      <c r="S763" s="152"/>
      <c r="T763" s="151"/>
      <c r="U763" s="151"/>
      <c r="V763" s="153"/>
      <c r="W763" s="151"/>
      <c r="X763" s="151"/>
      <c r="Y763" s="153"/>
      <c r="Z763" s="151"/>
      <c r="AA763" s="187" t="str">
        <f t="shared" si="23"/>
        <v>No</v>
      </c>
      <c r="AB763" s="158"/>
      <c r="AC763" s="159"/>
      <c r="AD763" s="160"/>
    </row>
    <row r="764" spans="1:30">
      <c r="A764" s="155"/>
      <c r="B764" s="112" t="str">
        <f t="shared" si="22"/>
        <v/>
      </c>
      <c r="C764" s="183"/>
      <c r="D764" s="152"/>
      <c r="E764" s="152"/>
      <c r="F764" s="151"/>
      <c r="G764" s="153"/>
      <c r="H764" s="151"/>
      <c r="I764" s="151"/>
      <c r="J764" s="151"/>
      <c r="K764" s="151"/>
      <c r="L764" s="151"/>
      <c r="M764" s="151"/>
      <c r="N764" s="151"/>
      <c r="O764" s="151"/>
      <c r="P764" s="151"/>
      <c r="Q764" s="151"/>
      <c r="R764" s="151"/>
      <c r="S764" s="152"/>
      <c r="T764" s="151"/>
      <c r="U764" s="151"/>
      <c r="V764" s="153"/>
      <c r="W764" s="151"/>
      <c r="X764" s="151"/>
      <c r="Y764" s="153"/>
      <c r="Z764" s="151"/>
      <c r="AA764" s="187" t="str">
        <f t="shared" si="23"/>
        <v>No</v>
      </c>
      <c r="AB764" s="158"/>
      <c r="AC764" s="159"/>
      <c r="AD764" s="160"/>
    </row>
    <row r="765" spans="1:30">
      <c r="A765" s="155"/>
      <c r="B765" s="112" t="str">
        <f t="shared" si="22"/>
        <v/>
      </c>
      <c r="C765" s="183"/>
      <c r="D765" s="152"/>
      <c r="E765" s="152"/>
      <c r="F765" s="151"/>
      <c r="G765" s="153"/>
      <c r="H765" s="151"/>
      <c r="I765" s="151"/>
      <c r="J765" s="151"/>
      <c r="K765" s="151"/>
      <c r="L765" s="151"/>
      <c r="M765" s="151"/>
      <c r="N765" s="151"/>
      <c r="O765" s="151"/>
      <c r="P765" s="151"/>
      <c r="Q765" s="151"/>
      <c r="R765" s="151"/>
      <c r="S765" s="152"/>
      <c r="T765" s="151"/>
      <c r="U765" s="151"/>
      <c r="V765" s="153"/>
      <c r="W765" s="151"/>
      <c r="X765" s="151"/>
      <c r="Y765" s="153"/>
      <c r="Z765" s="151"/>
      <c r="AA765" s="187" t="str">
        <f t="shared" si="23"/>
        <v>No</v>
      </c>
      <c r="AB765" s="158"/>
      <c r="AC765" s="159"/>
      <c r="AD765" s="160"/>
    </row>
    <row r="766" spans="1:30">
      <c r="A766" s="155"/>
      <c r="B766" s="112" t="str">
        <f t="shared" si="22"/>
        <v/>
      </c>
      <c r="C766" s="183"/>
      <c r="D766" s="152"/>
      <c r="E766" s="152"/>
      <c r="F766" s="151"/>
      <c r="G766" s="153"/>
      <c r="H766" s="151"/>
      <c r="I766" s="151"/>
      <c r="J766" s="151"/>
      <c r="K766" s="151"/>
      <c r="L766" s="151"/>
      <c r="M766" s="151"/>
      <c r="N766" s="151"/>
      <c r="O766" s="151"/>
      <c r="P766" s="151"/>
      <c r="Q766" s="151"/>
      <c r="R766" s="151"/>
      <c r="S766" s="152"/>
      <c r="T766" s="151"/>
      <c r="U766" s="151"/>
      <c r="V766" s="153"/>
      <c r="W766" s="151"/>
      <c r="X766" s="151"/>
      <c r="Y766" s="153"/>
      <c r="Z766" s="151"/>
      <c r="AA766" s="187" t="str">
        <f t="shared" si="23"/>
        <v>No</v>
      </c>
      <c r="AB766" s="158"/>
      <c r="AC766" s="159"/>
      <c r="AD766" s="160"/>
    </row>
    <row r="767" spans="1:30">
      <c r="A767" s="155"/>
      <c r="B767" s="112" t="str">
        <f t="shared" si="22"/>
        <v/>
      </c>
      <c r="C767" s="183"/>
      <c r="D767" s="152"/>
      <c r="E767" s="152"/>
      <c r="F767" s="151"/>
      <c r="G767" s="153"/>
      <c r="H767" s="151"/>
      <c r="I767" s="151"/>
      <c r="J767" s="151"/>
      <c r="K767" s="151"/>
      <c r="L767" s="151"/>
      <c r="M767" s="151"/>
      <c r="N767" s="151"/>
      <c r="O767" s="151"/>
      <c r="P767" s="151"/>
      <c r="Q767" s="151"/>
      <c r="R767" s="151"/>
      <c r="S767" s="152"/>
      <c r="T767" s="151"/>
      <c r="U767" s="151"/>
      <c r="V767" s="153"/>
      <c r="W767" s="151"/>
      <c r="X767" s="151"/>
      <c r="Y767" s="153"/>
      <c r="Z767" s="151"/>
      <c r="AA767" s="187" t="str">
        <f t="shared" si="23"/>
        <v>No</v>
      </c>
      <c r="AB767" s="158"/>
      <c r="AC767" s="159"/>
      <c r="AD767" s="160"/>
    </row>
    <row r="768" spans="1:30">
      <c r="A768" s="155"/>
      <c r="B768" s="112" t="str">
        <f t="shared" si="22"/>
        <v/>
      </c>
      <c r="C768" s="183"/>
      <c r="D768" s="152"/>
      <c r="E768" s="152"/>
      <c r="F768" s="151"/>
      <c r="G768" s="153"/>
      <c r="H768" s="151"/>
      <c r="I768" s="151"/>
      <c r="J768" s="151"/>
      <c r="K768" s="151"/>
      <c r="L768" s="151"/>
      <c r="M768" s="151"/>
      <c r="N768" s="151"/>
      <c r="O768" s="151"/>
      <c r="P768" s="151"/>
      <c r="Q768" s="151"/>
      <c r="R768" s="151"/>
      <c r="S768" s="152"/>
      <c r="T768" s="151"/>
      <c r="U768" s="151"/>
      <c r="V768" s="153"/>
      <c r="W768" s="151"/>
      <c r="X768" s="151"/>
      <c r="Y768" s="153"/>
      <c r="Z768" s="151"/>
      <c r="AA768" s="187" t="str">
        <f t="shared" si="23"/>
        <v>No</v>
      </c>
      <c r="AB768" s="158"/>
      <c r="AC768" s="159"/>
      <c r="AD768" s="160"/>
    </row>
    <row r="769" spans="1:30">
      <c r="A769" s="155"/>
      <c r="B769" s="112" t="str">
        <f t="shared" si="22"/>
        <v/>
      </c>
      <c r="C769" s="183"/>
      <c r="D769" s="152"/>
      <c r="E769" s="152"/>
      <c r="F769" s="151"/>
      <c r="G769" s="153"/>
      <c r="H769" s="151"/>
      <c r="I769" s="151"/>
      <c r="J769" s="151"/>
      <c r="K769" s="151"/>
      <c r="L769" s="151"/>
      <c r="M769" s="151"/>
      <c r="N769" s="151"/>
      <c r="O769" s="151"/>
      <c r="P769" s="151"/>
      <c r="Q769" s="151"/>
      <c r="R769" s="151"/>
      <c r="S769" s="152"/>
      <c r="T769" s="151"/>
      <c r="U769" s="151"/>
      <c r="V769" s="153"/>
      <c r="W769" s="151"/>
      <c r="X769" s="151"/>
      <c r="Y769" s="153"/>
      <c r="Z769" s="151"/>
      <c r="AA769" s="187" t="str">
        <f t="shared" si="23"/>
        <v>No</v>
      </c>
      <c r="AB769" s="158"/>
      <c r="AC769" s="159"/>
      <c r="AD769" s="160"/>
    </row>
    <row r="770" spans="1:30">
      <c r="A770" s="155"/>
      <c r="B770" s="112" t="str">
        <f t="shared" si="22"/>
        <v/>
      </c>
      <c r="C770" s="183"/>
      <c r="D770" s="152"/>
      <c r="E770" s="152"/>
      <c r="F770" s="151"/>
      <c r="G770" s="153"/>
      <c r="H770" s="151"/>
      <c r="I770" s="151"/>
      <c r="J770" s="151"/>
      <c r="K770" s="151"/>
      <c r="L770" s="151"/>
      <c r="M770" s="151"/>
      <c r="N770" s="151"/>
      <c r="O770" s="151"/>
      <c r="P770" s="151"/>
      <c r="Q770" s="151"/>
      <c r="R770" s="151"/>
      <c r="S770" s="152"/>
      <c r="T770" s="151"/>
      <c r="U770" s="151"/>
      <c r="V770" s="153"/>
      <c r="W770" s="151"/>
      <c r="X770" s="151"/>
      <c r="Y770" s="153"/>
      <c r="Z770" s="151"/>
      <c r="AA770" s="187" t="str">
        <f t="shared" si="23"/>
        <v>No</v>
      </c>
      <c r="AB770" s="158"/>
      <c r="AC770" s="159"/>
      <c r="AD770" s="160"/>
    </row>
    <row r="771" spans="1:30">
      <c r="A771" s="155"/>
      <c r="B771" s="112" t="str">
        <f t="shared" si="22"/>
        <v/>
      </c>
      <c r="C771" s="183"/>
      <c r="D771" s="152"/>
      <c r="E771" s="152"/>
      <c r="F771" s="151"/>
      <c r="G771" s="153"/>
      <c r="H771" s="151"/>
      <c r="I771" s="151"/>
      <c r="J771" s="151"/>
      <c r="K771" s="151"/>
      <c r="L771" s="151"/>
      <c r="M771" s="151"/>
      <c r="N771" s="151"/>
      <c r="O771" s="151"/>
      <c r="P771" s="151"/>
      <c r="Q771" s="151"/>
      <c r="R771" s="151"/>
      <c r="S771" s="152"/>
      <c r="T771" s="151"/>
      <c r="U771" s="151"/>
      <c r="V771" s="153"/>
      <c r="W771" s="151"/>
      <c r="X771" s="151"/>
      <c r="Y771" s="153"/>
      <c r="Z771" s="151"/>
      <c r="AA771" s="187" t="str">
        <f t="shared" si="23"/>
        <v>No</v>
      </c>
      <c r="AB771" s="158"/>
      <c r="AC771" s="159"/>
      <c r="AD771" s="160"/>
    </row>
    <row r="772" spans="1:30">
      <c r="A772" s="155"/>
      <c r="B772" s="112" t="str">
        <f t="shared" si="22"/>
        <v/>
      </c>
      <c r="C772" s="183"/>
      <c r="D772" s="152"/>
      <c r="E772" s="152"/>
      <c r="F772" s="151"/>
      <c r="G772" s="153"/>
      <c r="H772" s="151"/>
      <c r="I772" s="151"/>
      <c r="J772" s="151"/>
      <c r="K772" s="151"/>
      <c r="L772" s="151"/>
      <c r="M772" s="151"/>
      <c r="N772" s="151"/>
      <c r="O772" s="151"/>
      <c r="P772" s="151"/>
      <c r="Q772" s="151"/>
      <c r="R772" s="151"/>
      <c r="S772" s="152"/>
      <c r="T772" s="151"/>
      <c r="U772" s="151"/>
      <c r="V772" s="153"/>
      <c r="W772" s="151"/>
      <c r="X772" s="151"/>
      <c r="Y772" s="153"/>
      <c r="Z772" s="151"/>
      <c r="AA772" s="187" t="str">
        <f t="shared" si="23"/>
        <v>No</v>
      </c>
      <c r="AB772" s="158"/>
      <c r="AC772" s="159"/>
      <c r="AD772" s="160"/>
    </row>
    <row r="773" spans="1:30">
      <c r="A773" s="155"/>
      <c r="B773" s="112" t="str">
        <f t="shared" ref="B773:B836" si="24">IF(AND(A773&lt;&gt;"",D773&lt;&gt;"",J773&lt;&gt;"",N773&lt;&gt;""),TEXT(D773,"YY")&amp;"-"&amp;TEXT(D773,"MMM")&amp;"-"&amp;UPPER(LEFT(TRIM(N773),2))&amp;"-"&amp;UPPER(LEFT(TRIM(J773),3))&amp;"-"&amp;A773,"")</f>
        <v/>
      </c>
      <c r="C773" s="183"/>
      <c r="D773" s="152"/>
      <c r="E773" s="152"/>
      <c r="F773" s="151"/>
      <c r="G773" s="153"/>
      <c r="H773" s="151"/>
      <c r="I773" s="151"/>
      <c r="J773" s="151"/>
      <c r="K773" s="151"/>
      <c r="L773" s="151"/>
      <c r="M773" s="151"/>
      <c r="N773" s="151"/>
      <c r="O773" s="151"/>
      <c r="P773" s="151"/>
      <c r="Q773" s="151"/>
      <c r="R773" s="151"/>
      <c r="S773" s="152"/>
      <c r="T773" s="151"/>
      <c r="U773" s="151"/>
      <c r="V773" s="153"/>
      <c r="W773" s="151"/>
      <c r="X773" s="151"/>
      <c r="Y773" s="153"/>
      <c r="Z773" s="151"/>
      <c r="AA773" s="187" t="str">
        <f t="shared" ref="AA773:AA836" si="25">IF(E773="","No","Yes")</f>
        <v>No</v>
      </c>
      <c r="AB773" s="158"/>
      <c r="AC773" s="159"/>
      <c r="AD773" s="160"/>
    </row>
    <row r="774" spans="1:30">
      <c r="A774" s="155"/>
      <c r="B774" s="112" t="str">
        <f t="shared" si="24"/>
        <v/>
      </c>
      <c r="C774" s="183"/>
      <c r="D774" s="152"/>
      <c r="E774" s="152"/>
      <c r="F774" s="151"/>
      <c r="G774" s="153"/>
      <c r="H774" s="151"/>
      <c r="I774" s="151"/>
      <c r="J774" s="151"/>
      <c r="K774" s="151"/>
      <c r="L774" s="151"/>
      <c r="M774" s="151"/>
      <c r="N774" s="151"/>
      <c r="O774" s="151"/>
      <c r="P774" s="151"/>
      <c r="Q774" s="151"/>
      <c r="R774" s="151"/>
      <c r="S774" s="152"/>
      <c r="T774" s="151"/>
      <c r="U774" s="151"/>
      <c r="V774" s="153"/>
      <c r="W774" s="151"/>
      <c r="X774" s="151"/>
      <c r="Y774" s="153"/>
      <c r="Z774" s="151"/>
      <c r="AA774" s="187" t="str">
        <f t="shared" si="25"/>
        <v>No</v>
      </c>
      <c r="AB774" s="158"/>
      <c r="AC774" s="159"/>
      <c r="AD774" s="160"/>
    </row>
    <row r="775" spans="1:30">
      <c r="A775" s="155"/>
      <c r="B775" s="112" t="str">
        <f t="shared" si="24"/>
        <v/>
      </c>
      <c r="C775" s="183"/>
      <c r="D775" s="152"/>
      <c r="E775" s="152"/>
      <c r="F775" s="151"/>
      <c r="G775" s="153"/>
      <c r="H775" s="151"/>
      <c r="I775" s="151"/>
      <c r="J775" s="151"/>
      <c r="K775" s="151"/>
      <c r="L775" s="151"/>
      <c r="M775" s="151"/>
      <c r="N775" s="151"/>
      <c r="O775" s="151"/>
      <c r="P775" s="151"/>
      <c r="Q775" s="151"/>
      <c r="R775" s="151"/>
      <c r="S775" s="152"/>
      <c r="T775" s="151"/>
      <c r="U775" s="151"/>
      <c r="V775" s="153"/>
      <c r="W775" s="151"/>
      <c r="X775" s="151"/>
      <c r="Y775" s="153"/>
      <c r="Z775" s="151"/>
      <c r="AA775" s="187" t="str">
        <f t="shared" si="25"/>
        <v>No</v>
      </c>
      <c r="AB775" s="158"/>
      <c r="AC775" s="159"/>
      <c r="AD775" s="160"/>
    </row>
    <row r="776" spans="1:30">
      <c r="A776" s="155"/>
      <c r="B776" s="112" t="str">
        <f t="shared" si="24"/>
        <v/>
      </c>
      <c r="C776" s="183"/>
      <c r="D776" s="152"/>
      <c r="E776" s="152"/>
      <c r="F776" s="151"/>
      <c r="G776" s="153"/>
      <c r="H776" s="151"/>
      <c r="I776" s="151"/>
      <c r="J776" s="151"/>
      <c r="K776" s="151"/>
      <c r="L776" s="151"/>
      <c r="M776" s="151"/>
      <c r="N776" s="151"/>
      <c r="O776" s="151"/>
      <c r="P776" s="151"/>
      <c r="Q776" s="151"/>
      <c r="R776" s="151"/>
      <c r="S776" s="152"/>
      <c r="T776" s="151"/>
      <c r="U776" s="151"/>
      <c r="V776" s="153"/>
      <c r="W776" s="151"/>
      <c r="X776" s="151"/>
      <c r="Y776" s="153"/>
      <c r="Z776" s="151"/>
      <c r="AA776" s="187" t="str">
        <f t="shared" si="25"/>
        <v>No</v>
      </c>
      <c r="AB776" s="158"/>
      <c r="AC776" s="159"/>
      <c r="AD776" s="160"/>
    </row>
    <row r="777" spans="1:30">
      <c r="A777" s="155"/>
      <c r="B777" s="112" t="str">
        <f t="shared" si="24"/>
        <v/>
      </c>
      <c r="C777" s="183"/>
      <c r="D777" s="152"/>
      <c r="E777" s="152"/>
      <c r="F777" s="151"/>
      <c r="G777" s="153"/>
      <c r="H777" s="151"/>
      <c r="I777" s="151"/>
      <c r="J777" s="151"/>
      <c r="K777" s="151"/>
      <c r="L777" s="151"/>
      <c r="M777" s="151"/>
      <c r="N777" s="151"/>
      <c r="O777" s="151"/>
      <c r="P777" s="151"/>
      <c r="Q777" s="151"/>
      <c r="R777" s="151"/>
      <c r="S777" s="152"/>
      <c r="T777" s="151"/>
      <c r="U777" s="151"/>
      <c r="V777" s="153"/>
      <c r="W777" s="151"/>
      <c r="X777" s="151"/>
      <c r="Y777" s="153"/>
      <c r="Z777" s="151"/>
      <c r="AA777" s="187" t="str">
        <f t="shared" si="25"/>
        <v>No</v>
      </c>
      <c r="AB777" s="158"/>
      <c r="AC777" s="159"/>
      <c r="AD777" s="160"/>
    </row>
    <row r="778" spans="1:30">
      <c r="A778" s="155"/>
      <c r="B778" s="112" t="str">
        <f t="shared" si="24"/>
        <v/>
      </c>
      <c r="C778" s="183"/>
      <c r="D778" s="152"/>
      <c r="E778" s="152"/>
      <c r="F778" s="151"/>
      <c r="G778" s="153"/>
      <c r="H778" s="151"/>
      <c r="I778" s="151"/>
      <c r="J778" s="151"/>
      <c r="K778" s="151"/>
      <c r="L778" s="151"/>
      <c r="M778" s="151"/>
      <c r="N778" s="151"/>
      <c r="O778" s="151"/>
      <c r="P778" s="151"/>
      <c r="Q778" s="151"/>
      <c r="R778" s="151"/>
      <c r="S778" s="152"/>
      <c r="T778" s="151"/>
      <c r="U778" s="151"/>
      <c r="V778" s="153"/>
      <c r="W778" s="151"/>
      <c r="X778" s="151"/>
      <c r="Y778" s="153"/>
      <c r="Z778" s="151"/>
      <c r="AA778" s="187" t="str">
        <f t="shared" si="25"/>
        <v>No</v>
      </c>
      <c r="AB778" s="158"/>
      <c r="AC778" s="159"/>
      <c r="AD778" s="160"/>
    </row>
    <row r="779" spans="1:30">
      <c r="A779" s="155"/>
      <c r="B779" s="112" t="str">
        <f t="shared" si="24"/>
        <v/>
      </c>
      <c r="C779" s="183"/>
      <c r="D779" s="152"/>
      <c r="E779" s="152"/>
      <c r="F779" s="151"/>
      <c r="G779" s="153"/>
      <c r="H779" s="151"/>
      <c r="I779" s="151"/>
      <c r="J779" s="151"/>
      <c r="K779" s="151"/>
      <c r="L779" s="151"/>
      <c r="M779" s="151"/>
      <c r="N779" s="151"/>
      <c r="O779" s="151"/>
      <c r="P779" s="151"/>
      <c r="Q779" s="151"/>
      <c r="R779" s="151"/>
      <c r="S779" s="152"/>
      <c r="T779" s="151"/>
      <c r="U779" s="151"/>
      <c r="V779" s="153"/>
      <c r="W779" s="151"/>
      <c r="X779" s="151"/>
      <c r="Y779" s="153"/>
      <c r="Z779" s="151"/>
      <c r="AA779" s="187" t="str">
        <f t="shared" si="25"/>
        <v>No</v>
      </c>
      <c r="AB779" s="158"/>
      <c r="AC779" s="159"/>
      <c r="AD779" s="160"/>
    </row>
    <row r="780" spans="1:30">
      <c r="A780" s="155"/>
      <c r="B780" s="112" t="str">
        <f t="shared" si="24"/>
        <v/>
      </c>
      <c r="C780" s="183"/>
      <c r="D780" s="152"/>
      <c r="E780" s="152"/>
      <c r="F780" s="151"/>
      <c r="G780" s="153"/>
      <c r="H780" s="151"/>
      <c r="I780" s="151"/>
      <c r="J780" s="151"/>
      <c r="K780" s="151"/>
      <c r="L780" s="151"/>
      <c r="M780" s="151"/>
      <c r="N780" s="151"/>
      <c r="O780" s="151"/>
      <c r="P780" s="151"/>
      <c r="Q780" s="151"/>
      <c r="R780" s="151"/>
      <c r="S780" s="152"/>
      <c r="T780" s="151"/>
      <c r="U780" s="151"/>
      <c r="V780" s="153"/>
      <c r="W780" s="151"/>
      <c r="X780" s="151"/>
      <c r="Y780" s="153"/>
      <c r="Z780" s="151"/>
      <c r="AA780" s="187" t="str">
        <f t="shared" si="25"/>
        <v>No</v>
      </c>
      <c r="AB780" s="158"/>
      <c r="AC780" s="159"/>
      <c r="AD780" s="160"/>
    </row>
    <row r="781" spans="1:30">
      <c r="A781" s="155"/>
      <c r="B781" s="112" t="str">
        <f t="shared" si="24"/>
        <v/>
      </c>
      <c r="C781" s="183"/>
      <c r="D781" s="152"/>
      <c r="E781" s="152"/>
      <c r="F781" s="151"/>
      <c r="G781" s="153"/>
      <c r="H781" s="151"/>
      <c r="I781" s="151"/>
      <c r="J781" s="151"/>
      <c r="K781" s="151"/>
      <c r="L781" s="151"/>
      <c r="M781" s="151"/>
      <c r="N781" s="151"/>
      <c r="O781" s="151"/>
      <c r="P781" s="151"/>
      <c r="Q781" s="151"/>
      <c r="R781" s="151"/>
      <c r="S781" s="152"/>
      <c r="T781" s="151"/>
      <c r="U781" s="151"/>
      <c r="V781" s="153"/>
      <c r="W781" s="151"/>
      <c r="X781" s="151"/>
      <c r="Y781" s="153"/>
      <c r="Z781" s="151"/>
      <c r="AA781" s="187" t="str">
        <f t="shared" si="25"/>
        <v>No</v>
      </c>
      <c r="AB781" s="158"/>
      <c r="AC781" s="159"/>
      <c r="AD781" s="160"/>
    </row>
    <row r="782" spans="1:30">
      <c r="A782" s="155"/>
      <c r="B782" s="112" t="str">
        <f t="shared" si="24"/>
        <v/>
      </c>
      <c r="C782" s="183"/>
      <c r="D782" s="152"/>
      <c r="E782" s="152"/>
      <c r="F782" s="151"/>
      <c r="G782" s="153"/>
      <c r="H782" s="151"/>
      <c r="I782" s="151"/>
      <c r="J782" s="151"/>
      <c r="K782" s="151"/>
      <c r="L782" s="151"/>
      <c r="M782" s="151"/>
      <c r="N782" s="151"/>
      <c r="O782" s="151"/>
      <c r="P782" s="151"/>
      <c r="Q782" s="151"/>
      <c r="R782" s="151"/>
      <c r="S782" s="152"/>
      <c r="T782" s="151"/>
      <c r="U782" s="151"/>
      <c r="V782" s="153"/>
      <c r="W782" s="151"/>
      <c r="X782" s="151"/>
      <c r="Y782" s="153"/>
      <c r="Z782" s="151"/>
      <c r="AA782" s="187" t="str">
        <f t="shared" si="25"/>
        <v>No</v>
      </c>
      <c r="AB782" s="158"/>
      <c r="AC782" s="159"/>
      <c r="AD782" s="160"/>
    </row>
    <row r="783" spans="1:30">
      <c r="A783" s="155"/>
      <c r="B783" s="112" t="str">
        <f t="shared" si="24"/>
        <v/>
      </c>
      <c r="C783" s="183"/>
      <c r="D783" s="152"/>
      <c r="E783" s="152"/>
      <c r="F783" s="151"/>
      <c r="G783" s="153"/>
      <c r="H783" s="151"/>
      <c r="I783" s="151"/>
      <c r="J783" s="151"/>
      <c r="K783" s="151"/>
      <c r="L783" s="151"/>
      <c r="M783" s="151"/>
      <c r="N783" s="151"/>
      <c r="O783" s="151"/>
      <c r="P783" s="151"/>
      <c r="Q783" s="151"/>
      <c r="R783" s="151"/>
      <c r="S783" s="152"/>
      <c r="T783" s="151"/>
      <c r="U783" s="151"/>
      <c r="V783" s="153"/>
      <c r="W783" s="151"/>
      <c r="X783" s="151"/>
      <c r="Y783" s="153"/>
      <c r="Z783" s="151"/>
      <c r="AA783" s="187" t="str">
        <f t="shared" si="25"/>
        <v>No</v>
      </c>
      <c r="AB783" s="158"/>
      <c r="AC783" s="159"/>
      <c r="AD783" s="160"/>
    </row>
    <row r="784" spans="1:30">
      <c r="A784" s="155"/>
      <c r="B784" s="112" t="str">
        <f t="shared" si="24"/>
        <v/>
      </c>
      <c r="C784" s="183"/>
      <c r="D784" s="152"/>
      <c r="E784" s="152"/>
      <c r="F784" s="151"/>
      <c r="G784" s="153"/>
      <c r="H784" s="151"/>
      <c r="I784" s="151"/>
      <c r="J784" s="151"/>
      <c r="K784" s="151"/>
      <c r="L784" s="151"/>
      <c r="M784" s="151"/>
      <c r="N784" s="151"/>
      <c r="O784" s="151"/>
      <c r="P784" s="151"/>
      <c r="Q784" s="151"/>
      <c r="R784" s="151"/>
      <c r="S784" s="152"/>
      <c r="T784" s="151"/>
      <c r="U784" s="151"/>
      <c r="V784" s="153"/>
      <c r="W784" s="151"/>
      <c r="X784" s="151"/>
      <c r="Y784" s="153"/>
      <c r="Z784" s="151"/>
      <c r="AA784" s="187" t="str">
        <f t="shared" si="25"/>
        <v>No</v>
      </c>
      <c r="AB784" s="158"/>
      <c r="AC784" s="159"/>
      <c r="AD784" s="160"/>
    </row>
    <row r="785" spans="1:30">
      <c r="A785" s="155"/>
      <c r="B785" s="112" t="str">
        <f t="shared" si="24"/>
        <v/>
      </c>
      <c r="C785" s="183"/>
      <c r="D785" s="152"/>
      <c r="E785" s="152"/>
      <c r="F785" s="151"/>
      <c r="G785" s="153"/>
      <c r="H785" s="151"/>
      <c r="I785" s="151"/>
      <c r="J785" s="151"/>
      <c r="K785" s="151"/>
      <c r="L785" s="151"/>
      <c r="M785" s="151"/>
      <c r="N785" s="151"/>
      <c r="O785" s="151"/>
      <c r="P785" s="151"/>
      <c r="Q785" s="151"/>
      <c r="R785" s="151"/>
      <c r="S785" s="152"/>
      <c r="T785" s="151"/>
      <c r="U785" s="151"/>
      <c r="V785" s="153"/>
      <c r="W785" s="151"/>
      <c r="X785" s="151"/>
      <c r="Y785" s="153"/>
      <c r="Z785" s="151"/>
      <c r="AA785" s="187" t="str">
        <f t="shared" si="25"/>
        <v>No</v>
      </c>
      <c r="AB785" s="158"/>
      <c r="AC785" s="159"/>
      <c r="AD785" s="160"/>
    </row>
    <row r="786" spans="1:30">
      <c r="A786" s="155"/>
      <c r="B786" s="112" t="str">
        <f t="shared" si="24"/>
        <v/>
      </c>
      <c r="C786" s="183"/>
      <c r="D786" s="152"/>
      <c r="E786" s="152"/>
      <c r="F786" s="151"/>
      <c r="G786" s="153"/>
      <c r="H786" s="151"/>
      <c r="I786" s="151"/>
      <c r="J786" s="151"/>
      <c r="K786" s="151"/>
      <c r="L786" s="151"/>
      <c r="M786" s="151"/>
      <c r="N786" s="151"/>
      <c r="O786" s="151"/>
      <c r="P786" s="151"/>
      <c r="Q786" s="151"/>
      <c r="R786" s="151"/>
      <c r="S786" s="152"/>
      <c r="T786" s="151"/>
      <c r="U786" s="151"/>
      <c r="V786" s="153"/>
      <c r="W786" s="151"/>
      <c r="X786" s="151"/>
      <c r="Y786" s="153"/>
      <c r="Z786" s="151"/>
      <c r="AA786" s="187" t="str">
        <f t="shared" si="25"/>
        <v>No</v>
      </c>
      <c r="AB786" s="158"/>
      <c r="AC786" s="159"/>
      <c r="AD786" s="160"/>
    </row>
    <row r="787" spans="1:30">
      <c r="A787" s="155"/>
      <c r="B787" s="112" t="str">
        <f t="shared" si="24"/>
        <v/>
      </c>
      <c r="C787" s="183"/>
      <c r="D787" s="152"/>
      <c r="E787" s="152"/>
      <c r="F787" s="151"/>
      <c r="G787" s="153"/>
      <c r="H787" s="151"/>
      <c r="I787" s="151"/>
      <c r="J787" s="151"/>
      <c r="K787" s="151"/>
      <c r="L787" s="151"/>
      <c r="M787" s="151"/>
      <c r="N787" s="151"/>
      <c r="O787" s="151"/>
      <c r="P787" s="151"/>
      <c r="Q787" s="151"/>
      <c r="R787" s="151"/>
      <c r="S787" s="152"/>
      <c r="T787" s="151"/>
      <c r="U787" s="151"/>
      <c r="V787" s="153"/>
      <c r="W787" s="151"/>
      <c r="X787" s="151"/>
      <c r="Y787" s="153"/>
      <c r="Z787" s="151"/>
      <c r="AA787" s="187" t="str">
        <f t="shared" si="25"/>
        <v>No</v>
      </c>
      <c r="AB787" s="158"/>
      <c r="AC787" s="159"/>
      <c r="AD787" s="160"/>
    </row>
    <row r="788" spans="1:30">
      <c r="A788" s="155"/>
      <c r="B788" s="112" t="str">
        <f t="shared" si="24"/>
        <v/>
      </c>
      <c r="C788" s="183"/>
      <c r="D788" s="152"/>
      <c r="E788" s="152"/>
      <c r="F788" s="151"/>
      <c r="G788" s="153"/>
      <c r="H788" s="151"/>
      <c r="I788" s="151"/>
      <c r="J788" s="151"/>
      <c r="K788" s="151"/>
      <c r="L788" s="151"/>
      <c r="M788" s="151"/>
      <c r="N788" s="151"/>
      <c r="O788" s="151"/>
      <c r="P788" s="151"/>
      <c r="Q788" s="151"/>
      <c r="R788" s="151"/>
      <c r="S788" s="152"/>
      <c r="T788" s="151"/>
      <c r="U788" s="151"/>
      <c r="V788" s="153"/>
      <c r="W788" s="151"/>
      <c r="X788" s="151"/>
      <c r="Y788" s="153"/>
      <c r="Z788" s="151"/>
      <c r="AA788" s="187" t="str">
        <f t="shared" si="25"/>
        <v>No</v>
      </c>
      <c r="AB788" s="158"/>
      <c r="AC788" s="159"/>
      <c r="AD788" s="160"/>
    </row>
    <row r="789" spans="1:30">
      <c r="A789" s="155"/>
      <c r="B789" s="112" t="str">
        <f t="shared" si="24"/>
        <v/>
      </c>
      <c r="C789" s="183"/>
      <c r="D789" s="152"/>
      <c r="E789" s="152"/>
      <c r="F789" s="151"/>
      <c r="G789" s="153"/>
      <c r="H789" s="151"/>
      <c r="I789" s="151"/>
      <c r="J789" s="151"/>
      <c r="K789" s="151"/>
      <c r="L789" s="151"/>
      <c r="M789" s="151"/>
      <c r="N789" s="151"/>
      <c r="O789" s="151"/>
      <c r="P789" s="151"/>
      <c r="Q789" s="151"/>
      <c r="R789" s="151"/>
      <c r="S789" s="152"/>
      <c r="T789" s="151"/>
      <c r="U789" s="151"/>
      <c r="V789" s="153"/>
      <c r="W789" s="151"/>
      <c r="X789" s="151"/>
      <c r="Y789" s="153"/>
      <c r="Z789" s="151"/>
      <c r="AA789" s="187" t="str">
        <f t="shared" si="25"/>
        <v>No</v>
      </c>
      <c r="AB789" s="158"/>
      <c r="AC789" s="159"/>
      <c r="AD789" s="160"/>
    </row>
    <row r="790" spans="1:30">
      <c r="A790" s="155"/>
      <c r="B790" s="112" t="str">
        <f t="shared" si="24"/>
        <v/>
      </c>
      <c r="C790" s="183"/>
      <c r="D790" s="152"/>
      <c r="E790" s="152"/>
      <c r="F790" s="151"/>
      <c r="G790" s="153"/>
      <c r="H790" s="151"/>
      <c r="I790" s="151"/>
      <c r="J790" s="151"/>
      <c r="K790" s="151"/>
      <c r="L790" s="151"/>
      <c r="M790" s="151"/>
      <c r="N790" s="151"/>
      <c r="O790" s="151"/>
      <c r="P790" s="151"/>
      <c r="Q790" s="151"/>
      <c r="R790" s="151"/>
      <c r="S790" s="152"/>
      <c r="T790" s="151"/>
      <c r="U790" s="151"/>
      <c r="V790" s="153"/>
      <c r="W790" s="151"/>
      <c r="X790" s="151"/>
      <c r="Y790" s="153"/>
      <c r="Z790" s="151"/>
      <c r="AA790" s="187" t="str">
        <f t="shared" si="25"/>
        <v>No</v>
      </c>
      <c r="AB790" s="158"/>
      <c r="AC790" s="159"/>
      <c r="AD790" s="160"/>
    </row>
    <row r="791" spans="1:30">
      <c r="A791" s="155"/>
      <c r="B791" s="112" t="str">
        <f t="shared" si="24"/>
        <v/>
      </c>
      <c r="C791" s="183"/>
      <c r="D791" s="152"/>
      <c r="E791" s="152"/>
      <c r="F791" s="151"/>
      <c r="G791" s="153"/>
      <c r="H791" s="151"/>
      <c r="I791" s="151"/>
      <c r="J791" s="151"/>
      <c r="K791" s="151"/>
      <c r="L791" s="151"/>
      <c r="M791" s="151"/>
      <c r="N791" s="151"/>
      <c r="O791" s="151"/>
      <c r="P791" s="151"/>
      <c r="Q791" s="151"/>
      <c r="R791" s="151"/>
      <c r="S791" s="152"/>
      <c r="T791" s="151"/>
      <c r="U791" s="151"/>
      <c r="V791" s="153"/>
      <c r="W791" s="151"/>
      <c r="X791" s="151"/>
      <c r="Y791" s="153"/>
      <c r="Z791" s="151"/>
      <c r="AA791" s="187" t="str">
        <f t="shared" si="25"/>
        <v>No</v>
      </c>
      <c r="AB791" s="158"/>
      <c r="AC791" s="159"/>
      <c r="AD791" s="160"/>
    </row>
    <row r="792" spans="1:30">
      <c r="A792" s="155"/>
      <c r="B792" s="112" t="str">
        <f t="shared" si="24"/>
        <v/>
      </c>
      <c r="C792" s="183"/>
      <c r="D792" s="152"/>
      <c r="E792" s="152"/>
      <c r="F792" s="151"/>
      <c r="G792" s="153"/>
      <c r="H792" s="151"/>
      <c r="I792" s="151"/>
      <c r="J792" s="151"/>
      <c r="K792" s="151"/>
      <c r="L792" s="151"/>
      <c r="M792" s="151"/>
      <c r="N792" s="151"/>
      <c r="O792" s="151"/>
      <c r="P792" s="151"/>
      <c r="Q792" s="151"/>
      <c r="R792" s="151"/>
      <c r="S792" s="152"/>
      <c r="T792" s="151"/>
      <c r="U792" s="151"/>
      <c r="V792" s="153"/>
      <c r="W792" s="151"/>
      <c r="X792" s="151"/>
      <c r="Y792" s="153"/>
      <c r="Z792" s="151"/>
      <c r="AA792" s="187" t="str">
        <f t="shared" si="25"/>
        <v>No</v>
      </c>
      <c r="AB792" s="158"/>
      <c r="AC792" s="159"/>
      <c r="AD792" s="160"/>
    </row>
    <row r="793" spans="1:30">
      <c r="A793" s="155"/>
      <c r="B793" s="112" t="str">
        <f t="shared" si="24"/>
        <v/>
      </c>
      <c r="C793" s="183"/>
      <c r="D793" s="152"/>
      <c r="E793" s="152"/>
      <c r="F793" s="151"/>
      <c r="G793" s="153"/>
      <c r="H793" s="151"/>
      <c r="I793" s="151"/>
      <c r="J793" s="151"/>
      <c r="K793" s="151"/>
      <c r="L793" s="151"/>
      <c r="M793" s="151"/>
      <c r="N793" s="151"/>
      <c r="O793" s="151"/>
      <c r="P793" s="151"/>
      <c r="Q793" s="151"/>
      <c r="R793" s="151"/>
      <c r="S793" s="152"/>
      <c r="T793" s="151"/>
      <c r="U793" s="151"/>
      <c r="V793" s="153"/>
      <c r="W793" s="151"/>
      <c r="X793" s="151"/>
      <c r="Y793" s="153"/>
      <c r="Z793" s="151"/>
      <c r="AA793" s="187" t="str">
        <f t="shared" si="25"/>
        <v>No</v>
      </c>
      <c r="AB793" s="158"/>
      <c r="AC793" s="159"/>
      <c r="AD793" s="160"/>
    </row>
    <row r="794" spans="1:30">
      <c r="A794" s="155"/>
      <c r="B794" s="112" t="str">
        <f t="shared" si="24"/>
        <v/>
      </c>
      <c r="C794" s="183"/>
      <c r="D794" s="152"/>
      <c r="E794" s="152"/>
      <c r="F794" s="151"/>
      <c r="G794" s="153"/>
      <c r="H794" s="151"/>
      <c r="I794" s="151"/>
      <c r="J794" s="151"/>
      <c r="K794" s="151"/>
      <c r="L794" s="151"/>
      <c r="M794" s="151"/>
      <c r="N794" s="151"/>
      <c r="O794" s="151"/>
      <c r="P794" s="151"/>
      <c r="Q794" s="151"/>
      <c r="R794" s="151"/>
      <c r="S794" s="152"/>
      <c r="T794" s="151"/>
      <c r="U794" s="151"/>
      <c r="V794" s="153"/>
      <c r="W794" s="151"/>
      <c r="X794" s="151"/>
      <c r="Y794" s="153"/>
      <c r="Z794" s="151"/>
      <c r="AA794" s="187" t="str">
        <f t="shared" si="25"/>
        <v>No</v>
      </c>
      <c r="AB794" s="158"/>
      <c r="AC794" s="159"/>
      <c r="AD794" s="160"/>
    </row>
    <row r="795" spans="1:30">
      <c r="A795" s="155"/>
      <c r="B795" s="112" t="str">
        <f t="shared" si="24"/>
        <v/>
      </c>
      <c r="C795" s="183"/>
      <c r="D795" s="152"/>
      <c r="E795" s="152"/>
      <c r="F795" s="151"/>
      <c r="G795" s="153"/>
      <c r="H795" s="151"/>
      <c r="I795" s="151"/>
      <c r="J795" s="151"/>
      <c r="K795" s="151"/>
      <c r="L795" s="151"/>
      <c r="M795" s="151"/>
      <c r="N795" s="151"/>
      <c r="O795" s="151"/>
      <c r="P795" s="151"/>
      <c r="Q795" s="151"/>
      <c r="R795" s="151"/>
      <c r="S795" s="152"/>
      <c r="T795" s="151"/>
      <c r="U795" s="151"/>
      <c r="V795" s="153"/>
      <c r="W795" s="151"/>
      <c r="X795" s="151"/>
      <c r="Y795" s="153"/>
      <c r="Z795" s="151"/>
      <c r="AA795" s="187" t="str">
        <f t="shared" si="25"/>
        <v>No</v>
      </c>
      <c r="AB795" s="158"/>
      <c r="AC795" s="159"/>
      <c r="AD795" s="160"/>
    </row>
    <row r="796" spans="1:30">
      <c r="A796" s="155"/>
      <c r="B796" s="112" t="str">
        <f t="shared" si="24"/>
        <v/>
      </c>
      <c r="C796" s="183"/>
      <c r="D796" s="152"/>
      <c r="E796" s="152"/>
      <c r="F796" s="151"/>
      <c r="G796" s="153"/>
      <c r="H796" s="151"/>
      <c r="I796" s="151"/>
      <c r="J796" s="151"/>
      <c r="K796" s="151"/>
      <c r="L796" s="151"/>
      <c r="M796" s="151"/>
      <c r="N796" s="151"/>
      <c r="O796" s="151"/>
      <c r="P796" s="151"/>
      <c r="Q796" s="151"/>
      <c r="R796" s="151"/>
      <c r="S796" s="152"/>
      <c r="T796" s="151"/>
      <c r="U796" s="151"/>
      <c r="V796" s="153"/>
      <c r="W796" s="151"/>
      <c r="X796" s="151"/>
      <c r="Y796" s="153"/>
      <c r="Z796" s="151"/>
      <c r="AA796" s="187" t="str">
        <f t="shared" si="25"/>
        <v>No</v>
      </c>
      <c r="AB796" s="158"/>
      <c r="AC796" s="159"/>
      <c r="AD796" s="160"/>
    </row>
    <row r="797" spans="1:30">
      <c r="A797" s="155"/>
      <c r="B797" s="112" t="str">
        <f t="shared" si="24"/>
        <v/>
      </c>
      <c r="C797" s="183"/>
      <c r="D797" s="152"/>
      <c r="E797" s="152"/>
      <c r="F797" s="151"/>
      <c r="G797" s="153"/>
      <c r="H797" s="151"/>
      <c r="I797" s="151"/>
      <c r="J797" s="151"/>
      <c r="K797" s="151"/>
      <c r="L797" s="151"/>
      <c r="M797" s="151"/>
      <c r="N797" s="151"/>
      <c r="O797" s="151"/>
      <c r="P797" s="151"/>
      <c r="Q797" s="151"/>
      <c r="R797" s="151"/>
      <c r="S797" s="152"/>
      <c r="T797" s="151"/>
      <c r="U797" s="151"/>
      <c r="V797" s="153"/>
      <c r="W797" s="151"/>
      <c r="X797" s="151"/>
      <c r="Y797" s="153"/>
      <c r="Z797" s="151"/>
      <c r="AA797" s="187" t="str">
        <f t="shared" si="25"/>
        <v>No</v>
      </c>
      <c r="AB797" s="158"/>
      <c r="AC797" s="159"/>
      <c r="AD797" s="160"/>
    </row>
    <row r="798" spans="1:30">
      <c r="A798" s="155"/>
      <c r="B798" s="112" t="str">
        <f t="shared" si="24"/>
        <v/>
      </c>
      <c r="C798" s="183"/>
      <c r="D798" s="152"/>
      <c r="E798" s="152"/>
      <c r="F798" s="151"/>
      <c r="G798" s="153"/>
      <c r="H798" s="151"/>
      <c r="I798" s="151"/>
      <c r="J798" s="151"/>
      <c r="K798" s="151"/>
      <c r="L798" s="151"/>
      <c r="M798" s="151"/>
      <c r="N798" s="151"/>
      <c r="O798" s="151"/>
      <c r="P798" s="151"/>
      <c r="Q798" s="151"/>
      <c r="R798" s="151"/>
      <c r="S798" s="152"/>
      <c r="T798" s="151"/>
      <c r="U798" s="151"/>
      <c r="V798" s="153"/>
      <c r="W798" s="151"/>
      <c r="X798" s="151"/>
      <c r="Y798" s="153"/>
      <c r="Z798" s="151"/>
      <c r="AA798" s="187" t="str">
        <f t="shared" si="25"/>
        <v>No</v>
      </c>
      <c r="AB798" s="158"/>
      <c r="AC798" s="159"/>
      <c r="AD798" s="160"/>
    </row>
    <row r="799" spans="1:30">
      <c r="A799" s="155"/>
      <c r="B799" s="112" t="str">
        <f t="shared" si="24"/>
        <v/>
      </c>
      <c r="C799" s="183"/>
      <c r="D799" s="152"/>
      <c r="E799" s="152"/>
      <c r="F799" s="151"/>
      <c r="G799" s="153"/>
      <c r="H799" s="151"/>
      <c r="I799" s="151"/>
      <c r="J799" s="151"/>
      <c r="K799" s="151"/>
      <c r="L799" s="151"/>
      <c r="M799" s="151"/>
      <c r="N799" s="151"/>
      <c r="O799" s="151"/>
      <c r="P799" s="151"/>
      <c r="Q799" s="151"/>
      <c r="R799" s="151"/>
      <c r="S799" s="152"/>
      <c r="T799" s="151"/>
      <c r="U799" s="151"/>
      <c r="V799" s="153"/>
      <c r="W799" s="151"/>
      <c r="X799" s="151"/>
      <c r="Y799" s="153"/>
      <c r="Z799" s="151"/>
      <c r="AA799" s="187" t="str">
        <f t="shared" si="25"/>
        <v>No</v>
      </c>
      <c r="AB799" s="158"/>
      <c r="AC799" s="159"/>
      <c r="AD799" s="160"/>
    </row>
    <row r="800" spans="1:30">
      <c r="A800" s="155"/>
      <c r="B800" s="112" t="str">
        <f t="shared" si="24"/>
        <v/>
      </c>
      <c r="C800" s="183"/>
      <c r="D800" s="152"/>
      <c r="E800" s="152"/>
      <c r="F800" s="151"/>
      <c r="G800" s="153"/>
      <c r="H800" s="151"/>
      <c r="I800" s="151"/>
      <c r="J800" s="151"/>
      <c r="K800" s="151"/>
      <c r="L800" s="151"/>
      <c r="M800" s="151"/>
      <c r="N800" s="151"/>
      <c r="O800" s="151"/>
      <c r="P800" s="151"/>
      <c r="Q800" s="151"/>
      <c r="R800" s="151"/>
      <c r="S800" s="152"/>
      <c r="T800" s="151"/>
      <c r="U800" s="151"/>
      <c r="V800" s="153"/>
      <c r="W800" s="151"/>
      <c r="X800" s="151"/>
      <c r="Y800" s="153"/>
      <c r="Z800" s="151"/>
      <c r="AA800" s="187" t="str">
        <f t="shared" si="25"/>
        <v>No</v>
      </c>
      <c r="AB800" s="158"/>
      <c r="AC800" s="159"/>
      <c r="AD800" s="160"/>
    </row>
    <row r="801" spans="1:30">
      <c r="A801" s="155"/>
      <c r="B801" s="112" t="str">
        <f t="shared" si="24"/>
        <v/>
      </c>
      <c r="C801" s="183"/>
      <c r="D801" s="152"/>
      <c r="E801" s="152"/>
      <c r="F801" s="151"/>
      <c r="G801" s="153"/>
      <c r="H801" s="151"/>
      <c r="I801" s="151"/>
      <c r="J801" s="151"/>
      <c r="K801" s="151"/>
      <c r="L801" s="151"/>
      <c r="M801" s="151"/>
      <c r="N801" s="151"/>
      <c r="O801" s="151"/>
      <c r="P801" s="151"/>
      <c r="Q801" s="151"/>
      <c r="R801" s="151"/>
      <c r="S801" s="152"/>
      <c r="T801" s="151"/>
      <c r="U801" s="151"/>
      <c r="V801" s="153"/>
      <c r="W801" s="151"/>
      <c r="X801" s="151"/>
      <c r="Y801" s="153"/>
      <c r="Z801" s="151"/>
      <c r="AA801" s="187" t="str">
        <f t="shared" si="25"/>
        <v>No</v>
      </c>
      <c r="AB801" s="158"/>
      <c r="AC801" s="159"/>
      <c r="AD801" s="160"/>
    </row>
    <row r="802" spans="1:30">
      <c r="A802" s="155"/>
      <c r="B802" s="112" t="str">
        <f t="shared" si="24"/>
        <v/>
      </c>
      <c r="C802" s="183"/>
      <c r="D802" s="152"/>
      <c r="E802" s="152"/>
      <c r="F802" s="151"/>
      <c r="G802" s="153"/>
      <c r="H802" s="151"/>
      <c r="I802" s="151"/>
      <c r="J802" s="151"/>
      <c r="K802" s="151"/>
      <c r="L802" s="151"/>
      <c r="M802" s="151"/>
      <c r="N802" s="151"/>
      <c r="O802" s="151"/>
      <c r="P802" s="151"/>
      <c r="Q802" s="151"/>
      <c r="R802" s="151"/>
      <c r="S802" s="152"/>
      <c r="T802" s="151"/>
      <c r="U802" s="151"/>
      <c r="V802" s="153"/>
      <c r="W802" s="151"/>
      <c r="X802" s="151"/>
      <c r="Y802" s="153"/>
      <c r="Z802" s="151"/>
      <c r="AA802" s="187" t="str">
        <f t="shared" si="25"/>
        <v>No</v>
      </c>
      <c r="AB802" s="158"/>
      <c r="AC802" s="159"/>
      <c r="AD802" s="160"/>
    </row>
    <row r="803" spans="1:30">
      <c r="A803" s="155"/>
      <c r="B803" s="112" t="str">
        <f t="shared" si="24"/>
        <v/>
      </c>
      <c r="C803" s="183"/>
      <c r="D803" s="152"/>
      <c r="E803" s="152"/>
      <c r="F803" s="151"/>
      <c r="G803" s="153"/>
      <c r="H803" s="151"/>
      <c r="I803" s="151"/>
      <c r="J803" s="151"/>
      <c r="K803" s="151"/>
      <c r="L803" s="151"/>
      <c r="M803" s="151"/>
      <c r="N803" s="151"/>
      <c r="O803" s="151"/>
      <c r="P803" s="151"/>
      <c r="Q803" s="151"/>
      <c r="R803" s="151"/>
      <c r="S803" s="152"/>
      <c r="T803" s="151"/>
      <c r="U803" s="151"/>
      <c r="V803" s="153"/>
      <c r="W803" s="151"/>
      <c r="X803" s="151"/>
      <c r="Y803" s="153"/>
      <c r="Z803" s="151"/>
      <c r="AA803" s="187" t="str">
        <f t="shared" si="25"/>
        <v>No</v>
      </c>
      <c r="AB803" s="158"/>
      <c r="AC803" s="159"/>
      <c r="AD803" s="160"/>
    </row>
    <row r="804" spans="1:30">
      <c r="A804" s="155"/>
      <c r="B804" s="112" t="str">
        <f t="shared" si="24"/>
        <v/>
      </c>
      <c r="C804" s="183"/>
      <c r="D804" s="152"/>
      <c r="E804" s="152"/>
      <c r="F804" s="151"/>
      <c r="G804" s="153"/>
      <c r="H804" s="151"/>
      <c r="I804" s="151"/>
      <c r="J804" s="151"/>
      <c r="K804" s="151"/>
      <c r="L804" s="151"/>
      <c r="M804" s="151"/>
      <c r="N804" s="151"/>
      <c r="O804" s="151"/>
      <c r="P804" s="151"/>
      <c r="Q804" s="151"/>
      <c r="R804" s="151"/>
      <c r="S804" s="152"/>
      <c r="T804" s="151"/>
      <c r="U804" s="151"/>
      <c r="V804" s="153"/>
      <c r="W804" s="151"/>
      <c r="X804" s="151"/>
      <c r="Y804" s="153"/>
      <c r="Z804" s="151"/>
      <c r="AA804" s="187" t="str">
        <f t="shared" si="25"/>
        <v>No</v>
      </c>
      <c r="AB804" s="158"/>
      <c r="AC804" s="159"/>
      <c r="AD804" s="160"/>
    </row>
    <row r="805" spans="1:30">
      <c r="A805" s="155"/>
      <c r="B805" s="112" t="str">
        <f t="shared" si="24"/>
        <v/>
      </c>
      <c r="C805" s="183"/>
      <c r="D805" s="152"/>
      <c r="E805" s="152"/>
      <c r="F805" s="151"/>
      <c r="G805" s="153"/>
      <c r="H805" s="151"/>
      <c r="I805" s="151"/>
      <c r="J805" s="151"/>
      <c r="K805" s="151"/>
      <c r="L805" s="151"/>
      <c r="M805" s="151"/>
      <c r="N805" s="151"/>
      <c r="O805" s="151"/>
      <c r="P805" s="151"/>
      <c r="Q805" s="151"/>
      <c r="R805" s="151"/>
      <c r="S805" s="152"/>
      <c r="T805" s="151"/>
      <c r="U805" s="151"/>
      <c r="V805" s="153"/>
      <c r="W805" s="151"/>
      <c r="X805" s="151"/>
      <c r="Y805" s="153"/>
      <c r="Z805" s="151"/>
      <c r="AA805" s="187" t="str">
        <f t="shared" si="25"/>
        <v>No</v>
      </c>
      <c r="AB805" s="158"/>
      <c r="AC805" s="159"/>
      <c r="AD805" s="160"/>
    </row>
    <row r="806" spans="1:30">
      <c r="A806" s="155"/>
      <c r="B806" s="112" t="str">
        <f t="shared" si="24"/>
        <v/>
      </c>
      <c r="C806" s="183"/>
      <c r="D806" s="152"/>
      <c r="E806" s="152"/>
      <c r="F806" s="151"/>
      <c r="G806" s="153"/>
      <c r="H806" s="151"/>
      <c r="I806" s="151"/>
      <c r="J806" s="151"/>
      <c r="K806" s="151"/>
      <c r="L806" s="151"/>
      <c r="M806" s="151"/>
      <c r="N806" s="151"/>
      <c r="O806" s="151"/>
      <c r="P806" s="151"/>
      <c r="Q806" s="151"/>
      <c r="R806" s="151"/>
      <c r="S806" s="152"/>
      <c r="T806" s="151"/>
      <c r="U806" s="151"/>
      <c r="V806" s="153"/>
      <c r="W806" s="151"/>
      <c r="X806" s="151"/>
      <c r="Y806" s="153"/>
      <c r="Z806" s="151"/>
      <c r="AA806" s="187" t="str">
        <f t="shared" si="25"/>
        <v>No</v>
      </c>
      <c r="AB806" s="158"/>
      <c r="AC806" s="159"/>
      <c r="AD806" s="160"/>
    </row>
    <row r="807" spans="1:30">
      <c r="A807" s="155"/>
      <c r="B807" s="112" t="str">
        <f t="shared" si="24"/>
        <v/>
      </c>
      <c r="C807" s="183"/>
      <c r="D807" s="152"/>
      <c r="E807" s="152"/>
      <c r="F807" s="151"/>
      <c r="G807" s="153"/>
      <c r="H807" s="151"/>
      <c r="I807" s="151"/>
      <c r="J807" s="151"/>
      <c r="K807" s="151"/>
      <c r="L807" s="151"/>
      <c r="M807" s="151"/>
      <c r="N807" s="151"/>
      <c r="O807" s="151"/>
      <c r="P807" s="151"/>
      <c r="Q807" s="151"/>
      <c r="R807" s="151"/>
      <c r="S807" s="152"/>
      <c r="T807" s="151"/>
      <c r="U807" s="151"/>
      <c r="V807" s="153"/>
      <c r="W807" s="151"/>
      <c r="X807" s="151"/>
      <c r="Y807" s="153"/>
      <c r="Z807" s="151"/>
      <c r="AA807" s="187" t="str">
        <f t="shared" si="25"/>
        <v>No</v>
      </c>
      <c r="AB807" s="158"/>
      <c r="AC807" s="159"/>
      <c r="AD807" s="160"/>
    </row>
    <row r="808" spans="1:30">
      <c r="A808" s="155"/>
      <c r="B808" s="112" t="str">
        <f t="shared" si="24"/>
        <v/>
      </c>
      <c r="C808" s="183"/>
      <c r="D808" s="152"/>
      <c r="E808" s="152"/>
      <c r="F808" s="151"/>
      <c r="G808" s="153"/>
      <c r="H808" s="151"/>
      <c r="I808" s="151"/>
      <c r="J808" s="151"/>
      <c r="K808" s="151"/>
      <c r="L808" s="151"/>
      <c r="M808" s="151"/>
      <c r="N808" s="151"/>
      <c r="O808" s="151"/>
      <c r="P808" s="151"/>
      <c r="Q808" s="151"/>
      <c r="R808" s="151"/>
      <c r="S808" s="152"/>
      <c r="T808" s="151"/>
      <c r="U808" s="151"/>
      <c r="V808" s="153"/>
      <c r="W808" s="151"/>
      <c r="X808" s="151"/>
      <c r="Y808" s="153"/>
      <c r="Z808" s="151"/>
      <c r="AA808" s="187" t="str">
        <f t="shared" si="25"/>
        <v>No</v>
      </c>
      <c r="AB808" s="158"/>
      <c r="AC808" s="159"/>
      <c r="AD808" s="160"/>
    </row>
    <row r="809" spans="1:30">
      <c r="A809" s="155"/>
      <c r="B809" s="112" t="str">
        <f t="shared" si="24"/>
        <v/>
      </c>
      <c r="C809" s="183"/>
      <c r="D809" s="152"/>
      <c r="E809" s="152"/>
      <c r="F809" s="151"/>
      <c r="G809" s="153"/>
      <c r="H809" s="151"/>
      <c r="I809" s="151"/>
      <c r="J809" s="151"/>
      <c r="K809" s="151"/>
      <c r="L809" s="151"/>
      <c r="M809" s="151"/>
      <c r="N809" s="151"/>
      <c r="O809" s="151"/>
      <c r="P809" s="151"/>
      <c r="Q809" s="151"/>
      <c r="R809" s="151"/>
      <c r="S809" s="152"/>
      <c r="T809" s="151"/>
      <c r="U809" s="151"/>
      <c r="V809" s="153"/>
      <c r="W809" s="151"/>
      <c r="X809" s="151"/>
      <c r="Y809" s="153"/>
      <c r="Z809" s="151"/>
      <c r="AA809" s="187" t="str">
        <f t="shared" si="25"/>
        <v>No</v>
      </c>
      <c r="AB809" s="158"/>
      <c r="AC809" s="159"/>
      <c r="AD809" s="160"/>
    </row>
    <row r="810" spans="1:30">
      <c r="A810" s="155"/>
      <c r="B810" s="112" t="str">
        <f t="shared" si="24"/>
        <v/>
      </c>
      <c r="C810" s="183"/>
      <c r="D810" s="152"/>
      <c r="E810" s="152"/>
      <c r="F810" s="151"/>
      <c r="G810" s="153"/>
      <c r="H810" s="151"/>
      <c r="I810" s="151"/>
      <c r="J810" s="151"/>
      <c r="K810" s="151"/>
      <c r="L810" s="151"/>
      <c r="M810" s="151"/>
      <c r="N810" s="151"/>
      <c r="O810" s="151"/>
      <c r="P810" s="151"/>
      <c r="Q810" s="151"/>
      <c r="R810" s="151"/>
      <c r="S810" s="152"/>
      <c r="T810" s="151"/>
      <c r="U810" s="151"/>
      <c r="V810" s="153"/>
      <c r="W810" s="151"/>
      <c r="X810" s="151"/>
      <c r="Y810" s="153"/>
      <c r="Z810" s="151"/>
      <c r="AA810" s="187" t="str">
        <f t="shared" si="25"/>
        <v>No</v>
      </c>
      <c r="AB810" s="158"/>
      <c r="AC810" s="159"/>
      <c r="AD810" s="160"/>
    </row>
    <row r="811" spans="1:30">
      <c r="A811" s="155"/>
      <c r="B811" s="112" t="str">
        <f t="shared" si="24"/>
        <v/>
      </c>
      <c r="C811" s="183"/>
      <c r="D811" s="152"/>
      <c r="E811" s="152"/>
      <c r="F811" s="151"/>
      <c r="G811" s="153"/>
      <c r="H811" s="151"/>
      <c r="I811" s="151"/>
      <c r="J811" s="151"/>
      <c r="K811" s="151"/>
      <c r="L811" s="151"/>
      <c r="M811" s="151"/>
      <c r="N811" s="151"/>
      <c r="O811" s="151"/>
      <c r="P811" s="151"/>
      <c r="Q811" s="151"/>
      <c r="R811" s="151"/>
      <c r="S811" s="152"/>
      <c r="T811" s="151"/>
      <c r="U811" s="151"/>
      <c r="V811" s="153"/>
      <c r="W811" s="151"/>
      <c r="X811" s="151"/>
      <c r="Y811" s="153"/>
      <c r="Z811" s="151"/>
      <c r="AA811" s="187" t="str">
        <f t="shared" si="25"/>
        <v>No</v>
      </c>
      <c r="AB811" s="158"/>
      <c r="AC811" s="159"/>
      <c r="AD811" s="160"/>
    </row>
    <row r="812" spans="1:30">
      <c r="A812" s="155"/>
      <c r="B812" s="112" t="str">
        <f t="shared" si="24"/>
        <v/>
      </c>
      <c r="C812" s="183"/>
      <c r="D812" s="152"/>
      <c r="E812" s="152"/>
      <c r="F812" s="151"/>
      <c r="G812" s="153"/>
      <c r="H812" s="151"/>
      <c r="I812" s="151"/>
      <c r="J812" s="151"/>
      <c r="K812" s="151"/>
      <c r="L812" s="151"/>
      <c r="M812" s="151"/>
      <c r="N812" s="151"/>
      <c r="O812" s="151"/>
      <c r="P812" s="151"/>
      <c r="Q812" s="151"/>
      <c r="R812" s="151"/>
      <c r="S812" s="152"/>
      <c r="T812" s="151"/>
      <c r="U812" s="151"/>
      <c r="V812" s="153"/>
      <c r="W812" s="151"/>
      <c r="X812" s="151"/>
      <c r="Y812" s="153"/>
      <c r="Z812" s="151"/>
      <c r="AA812" s="187" t="str">
        <f t="shared" si="25"/>
        <v>No</v>
      </c>
      <c r="AB812" s="158"/>
      <c r="AC812" s="159"/>
      <c r="AD812" s="160"/>
    </row>
    <row r="813" spans="1:30">
      <c r="A813" s="155"/>
      <c r="B813" s="112" t="str">
        <f t="shared" si="24"/>
        <v/>
      </c>
      <c r="C813" s="183"/>
      <c r="D813" s="152"/>
      <c r="E813" s="152"/>
      <c r="F813" s="151"/>
      <c r="G813" s="153"/>
      <c r="H813" s="151"/>
      <c r="I813" s="151"/>
      <c r="J813" s="151"/>
      <c r="K813" s="151"/>
      <c r="L813" s="151"/>
      <c r="M813" s="151"/>
      <c r="N813" s="151"/>
      <c r="O813" s="151"/>
      <c r="P813" s="151"/>
      <c r="Q813" s="151"/>
      <c r="R813" s="151"/>
      <c r="S813" s="152"/>
      <c r="T813" s="151"/>
      <c r="U813" s="151"/>
      <c r="V813" s="153"/>
      <c r="W813" s="151"/>
      <c r="X813" s="151"/>
      <c r="Y813" s="153"/>
      <c r="Z813" s="151"/>
      <c r="AA813" s="187" t="str">
        <f t="shared" si="25"/>
        <v>No</v>
      </c>
      <c r="AB813" s="158"/>
      <c r="AC813" s="159"/>
      <c r="AD813" s="160"/>
    </row>
    <row r="814" spans="1:30">
      <c r="A814" s="155"/>
      <c r="B814" s="112" t="str">
        <f t="shared" si="24"/>
        <v/>
      </c>
      <c r="C814" s="183"/>
      <c r="D814" s="152"/>
      <c r="E814" s="152"/>
      <c r="F814" s="151"/>
      <c r="G814" s="153"/>
      <c r="H814" s="151"/>
      <c r="I814" s="151"/>
      <c r="J814" s="151"/>
      <c r="K814" s="151"/>
      <c r="L814" s="151"/>
      <c r="M814" s="151"/>
      <c r="N814" s="151"/>
      <c r="O814" s="151"/>
      <c r="P814" s="151"/>
      <c r="Q814" s="151"/>
      <c r="R814" s="151"/>
      <c r="S814" s="152"/>
      <c r="T814" s="151"/>
      <c r="U814" s="151"/>
      <c r="V814" s="153"/>
      <c r="W814" s="151"/>
      <c r="X814" s="151"/>
      <c r="Y814" s="153"/>
      <c r="Z814" s="151"/>
      <c r="AA814" s="187" t="str">
        <f t="shared" si="25"/>
        <v>No</v>
      </c>
      <c r="AB814" s="158"/>
      <c r="AC814" s="159"/>
      <c r="AD814" s="160"/>
    </row>
    <row r="815" spans="1:30">
      <c r="A815" s="155"/>
      <c r="B815" s="112" t="str">
        <f t="shared" si="24"/>
        <v/>
      </c>
      <c r="C815" s="183"/>
      <c r="D815" s="152"/>
      <c r="E815" s="152"/>
      <c r="F815" s="151"/>
      <c r="G815" s="153"/>
      <c r="H815" s="151"/>
      <c r="I815" s="151"/>
      <c r="J815" s="151"/>
      <c r="K815" s="151"/>
      <c r="L815" s="151"/>
      <c r="M815" s="151"/>
      <c r="N815" s="151"/>
      <c r="O815" s="151"/>
      <c r="P815" s="151"/>
      <c r="Q815" s="151"/>
      <c r="R815" s="151"/>
      <c r="S815" s="152"/>
      <c r="T815" s="151"/>
      <c r="U815" s="151"/>
      <c r="V815" s="153"/>
      <c r="W815" s="151"/>
      <c r="X815" s="151"/>
      <c r="Y815" s="153"/>
      <c r="Z815" s="151"/>
      <c r="AA815" s="187" t="str">
        <f t="shared" si="25"/>
        <v>No</v>
      </c>
      <c r="AB815" s="158"/>
      <c r="AC815" s="159"/>
      <c r="AD815" s="160"/>
    </row>
    <row r="816" spans="1:30">
      <c r="A816" s="155"/>
      <c r="B816" s="112" t="str">
        <f t="shared" si="24"/>
        <v/>
      </c>
      <c r="C816" s="183"/>
      <c r="D816" s="152"/>
      <c r="E816" s="152"/>
      <c r="F816" s="151"/>
      <c r="G816" s="153"/>
      <c r="H816" s="151"/>
      <c r="I816" s="151"/>
      <c r="J816" s="151"/>
      <c r="K816" s="151"/>
      <c r="L816" s="151"/>
      <c r="M816" s="151"/>
      <c r="N816" s="151"/>
      <c r="O816" s="151"/>
      <c r="P816" s="151"/>
      <c r="Q816" s="151"/>
      <c r="R816" s="151"/>
      <c r="S816" s="152"/>
      <c r="T816" s="151"/>
      <c r="U816" s="151"/>
      <c r="V816" s="153"/>
      <c r="W816" s="151"/>
      <c r="X816" s="151"/>
      <c r="Y816" s="153"/>
      <c r="Z816" s="151"/>
      <c r="AA816" s="187" t="str">
        <f t="shared" si="25"/>
        <v>No</v>
      </c>
      <c r="AB816" s="158"/>
      <c r="AC816" s="159"/>
      <c r="AD816" s="160"/>
    </row>
    <row r="817" spans="1:30">
      <c r="A817" s="155"/>
      <c r="B817" s="112" t="str">
        <f t="shared" si="24"/>
        <v/>
      </c>
      <c r="C817" s="183"/>
      <c r="D817" s="152"/>
      <c r="E817" s="152"/>
      <c r="F817" s="151"/>
      <c r="G817" s="153"/>
      <c r="H817" s="151"/>
      <c r="I817" s="151"/>
      <c r="J817" s="151"/>
      <c r="K817" s="151"/>
      <c r="L817" s="151"/>
      <c r="M817" s="151"/>
      <c r="N817" s="151"/>
      <c r="O817" s="151"/>
      <c r="P817" s="151"/>
      <c r="Q817" s="151"/>
      <c r="R817" s="151"/>
      <c r="S817" s="152"/>
      <c r="T817" s="151"/>
      <c r="U817" s="151"/>
      <c r="V817" s="153"/>
      <c r="W817" s="151"/>
      <c r="X817" s="151"/>
      <c r="Y817" s="153"/>
      <c r="Z817" s="151"/>
      <c r="AA817" s="187" t="str">
        <f t="shared" si="25"/>
        <v>No</v>
      </c>
      <c r="AB817" s="158"/>
      <c r="AC817" s="159"/>
      <c r="AD817" s="160"/>
    </row>
    <row r="818" spans="1:30">
      <c r="A818" s="155"/>
      <c r="B818" s="112" t="str">
        <f t="shared" si="24"/>
        <v/>
      </c>
      <c r="C818" s="183"/>
      <c r="D818" s="152"/>
      <c r="E818" s="152"/>
      <c r="F818" s="151"/>
      <c r="G818" s="153"/>
      <c r="H818" s="151"/>
      <c r="I818" s="151"/>
      <c r="J818" s="151"/>
      <c r="K818" s="151"/>
      <c r="L818" s="151"/>
      <c r="M818" s="151"/>
      <c r="N818" s="151"/>
      <c r="O818" s="151"/>
      <c r="P818" s="151"/>
      <c r="Q818" s="151"/>
      <c r="R818" s="151"/>
      <c r="S818" s="152"/>
      <c r="T818" s="151"/>
      <c r="U818" s="151"/>
      <c r="V818" s="153"/>
      <c r="W818" s="151"/>
      <c r="X818" s="151"/>
      <c r="Y818" s="153"/>
      <c r="Z818" s="151"/>
      <c r="AA818" s="187" t="str">
        <f t="shared" si="25"/>
        <v>No</v>
      </c>
      <c r="AB818" s="158"/>
      <c r="AC818" s="159"/>
      <c r="AD818" s="160"/>
    </row>
    <row r="819" spans="1:30">
      <c r="A819" s="155"/>
      <c r="B819" s="112" t="str">
        <f t="shared" si="24"/>
        <v/>
      </c>
      <c r="C819" s="183"/>
      <c r="D819" s="152"/>
      <c r="E819" s="152"/>
      <c r="F819" s="151"/>
      <c r="G819" s="153"/>
      <c r="H819" s="151"/>
      <c r="I819" s="151"/>
      <c r="J819" s="151"/>
      <c r="K819" s="151"/>
      <c r="L819" s="151"/>
      <c r="M819" s="151"/>
      <c r="N819" s="151"/>
      <c r="O819" s="151"/>
      <c r="P819" s="151"/>
      <c r="Q819" s="151"/>
      <c r="R819" s="151"/>
      <c r="S819" s="152"/>
      <c r="T819" s="151"/>
      <c r="U819" s="151"/>
      <c r="V819" s="153"/>
      <c r="W819" s="151"/>
      <c r="X819" s="151"/>
      <c r="Y819" s="153"/>
      <c r="Z819" s="151"/>
      <c r="AA819" s="187" t="str">
        <f t="shared" si="25"/>
        <v>No</v>
      </c>
      <c r="AB819" s="158"/>
      <c r="AC819" s="159"/>
      <c r="AD819" s="160"/>
    </row>
    <row r="820" spans="1:30">
      <c r="A820" s="155"/>
      <c r="B820" s="112" t="str">
        <f t="shared" si="24"/>
        <v/>
      </c>
      <c r="C820" s="183"/>
      <c r="D820" s="152"/>
      <c r="E820" s="152"/>
      <c r="F820" s="151"/>
      <c r="G820" s="153"/>
      <c r="H820" s="151"/>
      <c r="I820" s="151"/>
      <c r="J820" s="151"/>
      <c r="K820" s="151"/>
      <c r="L820" s="151"/>
      <c r="M820" s="151"/>
      <c r="N820" s="151"/>
      <c r="O820" s="151"/>
      <c r="P820" s="151"/>
      <c r="Q820" s="151"/>
      <c r="R820" s="151"/>
      <c r="S820" s="152"/>
      <c r="T820" s="151"/>
      <c r="U820" s="151"/>
      <c r="V820" s="153"/>
      <c r="W820" s="151"/>
      <c r="X820" s="151"/>
      <c r="Y820" s="153"/>
      <c r="Z820" s="151"/>
      <c r="AA820" s="187" t="str">
        <f t="shared" si="25"/>
        <v>No</v>
      </c>
      <c r="AB820" s="158"/>
      <c r="AC820" s="159"/>
      <c r="AD820" s="160"/>
    </row>
    <row r="821" spans="1:30">
      <c r="A821" s="155"/>
      <c r="B821" s="112" t="str">
        <f t="shared" si="24"/>
        <v/>
      </c>
      <c r="C821" s="183"/>
      <c r="D821" s="152"/>
      <c r="E821" s="152"/>
      <c r="F821" s="151"/>
      <c r="G821" s="153"/>
      <c r="H821" s="151"/>
      <c r="I821" s="151"/>
      <c r="J821" s="151"/>
      <c r="K821" s="151"/>
      <c r="L821" s="151"/>
      <c r="M821" s="151"/>
      <c r="N821" s="151"/>
      <c r="O821" s="151"/>
      <c r="P821" s="151"/>
      <c r="Q821" s="151"/>
      <c r="R821" s="151"/>
      <c r="S821" s="152"/>
      <c r="T821" s="151"/>
      <c r="U821" s="151"/>
      <c r="V821" s="153"/>
      <c r="W821" s="151"/>
      <c r="X821" s="151"/>
      <c r="Y821" s="153"/>
      <c r="Z821" s="151"/>
      <c r="AA821" s="187" t="str">
        <f t="shared" si="25"/>
        <v>No</v>
      </c>
      <c r="AB821" s="158"/>
      <c r="AC821" s="159"/>
      <c r="AD821" s="160"/>
    </row>
    <row r="822" spans="1:30">
      <c r="A822" s="155"/>
      <c r="B822" s="112" t="str">
        <f t="shared" si="24"/>
        <v/>
      </c>
      <c r="C822" s="183"/>
      <c r="D822" s="152"/>
      <c r="E822" s="152"/>
      <c r="F822" s="151"/>
      <c r="G822" s="153"/>
      <c r="H822" s="151"/>
      <c r="I822" s="151"/>
      <c r="J822" s="151"/>
      <c r="K822" s="151"/>
      <c r="L822" s="151"/>
      <c r="M822" s="151"/>
      <c r="N822" s="151"/>
      <c r="O822" s="151"/>
      <c r="P822" s="151"/>
      <c r="Q822" s="151"/>
      <c r="R822" s="151"/>
      <c r="S822" s="152"/>
      <c r="T822" s="151"/>
      <c r="U822" s="151"/>
      <c r="V822" s="153"/>
      <c r="W822" s="151"/>
      <c r="X822" s="151"/>
      <c r="Y822" s="153"/>
      <c r="Z822" s="151"/>
      <c r="AA822" s="187" t="str">
        <f t="shared" si="25"/>
        <v>No</v>
      </c>
      <c r="AB822" s="158"/>
      <c r="AC822" s="159"/>
      <c r="AD822" s="160"/>
    </row>
    <row r="823" spans="1:30">
      <c r="A823" s="155"/>
      <c r="B823" s="112" t="str">
        <f t="shared" si="24"/>
        <v/>
      </c>
      <c r="C823" s="183"/>
      <c r="D823" s="152"/>
      <c r="E823" s="152"/>
      <c r="F823" s="151"/>
      <c r="G823" s="153"/>
      <c r="H823" s="151"/>
      <c r="I823" s="151"/>
      <c r="J823" s="151"/>
      <c r="K823" s="151"/>
      <c r="L823" s="151"/>
      <c r="M823" s="151"/>
      <c r="N823" s="151"/>
      <c r="O823" s="151"/>
      <c r="P823" s="151"/>
      <c r="Q823" s="151"/>
      <c r="R823" s="151"/>
      <c r="S823" s="152"/>
      <c r="T823" s="151"/>
      <c r="U823" s="151"/>
      <c r="V823" s="153"/>
      <c r="W823" s="151"/>
      <c r="X823" s="151"/>
      <c r="Y823" s="153"/>
      <c r="Z823" s="151"/>
      <c r="AA823" s="187" t="str">
        <f t="shared" si="25"/>
        <v>No</v>
      </c>
      <c r="AB823" s="158"/>
      <c r="AC823" s="159"/>
      <c r="AD823" s="160"/>
    </row>
    <row r="824" spans="1:30">
      <c r="A824" s="155"/>
      <c r="B824" s="112" t="str">
        <f t="shared" si="24"/>
        <v/>
      </c>
      <c r="C824" s="183"/>
      <c r="D824" s="152"/>
      <c r="E824" s="152"/>
      <c r="F824" s="151"/>
      <c r="G824" s="153"/>
      <c r="H824" s="151"/>
      <c r="I824" s="151"/>
      <c r="J824" s="151"/>
      <c r="K824" s="151"/>
      <c r="L824" s="151"/>
      <c r="M824" s="151"/>
      <c r="N824" s="151"/>
      <c r="O824" s="151"/>
      <c r="P824" s="151"/>
      <c r="Q824" s="151"/>
      <c r="R824" s="151"/>
      <c r="S824" s="152"/>
      <c r="T824" s="151"/>
      <c r="U824" s="151"/>
      <c r="V824" s="153"/>
      <c r="W824" s="151"/>
      <c r="X824" s="151"/>
      <c r="Y824" s="153"/>
      <c r="Z824" s="151"/>
      <c r="AA824" s="187" t="str">
        <f t="shared" si="25"/>
        <v>No</v>
      </c>
      <c r="AB824" s="158"/>
      <c r="AC824" s="159"/>
      <c r="AD824" s="160"/>
    </row>
    <row r="825" spans="1:30">
      <c r="A825" s="155"/>
      <c r="B825" s="112" t="str">
        <f t="shared" si="24"/>
        <v/>
      </c>
      <c r="C825" s="183"/>
      <c r="D825" s="152"/>
      <c r="E825" s="152"/>
      <c r="F825" s="151"/>
      <c r="G825" s="153"/>
      <c r="H825" s="151"/>
      <c r="I825" s="151"/>
      <c r="J825" s="151"/>
      <c r="K825" s="151"/>
      <c r="L825" s="151"/>
      <c r="M825" s="151"/>
      <c r="N825" s="151"/>
      <c r="O825" s="151"/>
      <c r="P825" s="151"/>
      <c r="Q825" s="151"/>
      <c r="R825" s="151"/>
      <c r="S825" s="152"/>
      <c r="T825" s="151"/>
      <c r="U825" s="151"/>
      <c r="V825" s="153"/>
      <c r="W825" s="151"/>
      <c r="X825" s="151"/>
      <c r="Y825" s="153"/>
      <c r="Z825" s="151"/>
      <c r="AA825" s="187" t="str">
        <f t="shared" si="25"/>
        <v>No</v>
      </c>
      <c r="AB825" s="158"/>
      <c r="AC825" s="159"/>
      <c r="AD825" s="160"/>
    </row>
    <row r="826" spans="1:30">
      <c r="A826" s="155"/>
      <c r="B826" s="112" t="str">
        <f t="shared" si="24"/>
        <v/>
      </c>
      <c r="C826" s="183"/>
      <c r="D826" s="152"/>
      <c r="E826" s="152"/>
      <c r="F826" s="151"/>
      <c r="G826" s="153"/>
      <c r="H826" s="151"/>
      <c r="I826" s="151"/>
      <c r="J826" s="151"/>
      <c r="K826" s="151"/>
      <c r="L826" s="151"/>
      <c r="M826" s="151"/>
      <c r="N826" s="151"/>
      <c r="O826" s="151"/>
      <c r="P826" s="151"/>
      <c r="Q826" s="151"/>
      <c r="R826" s="151"/>
      <c r="S826" s="152"/>
      <c r="T826" s="151"/>
      <c r="U826" s="151"/>
      <c r="V826" s="153"/>
      <c r="W826" s="151"/>
      <c r="X826" s="151"/>
      <c r="Y826" s="153"/>
      <c r="Z826" s="151"/>
      <c r="AA826" s="187" t="str">
        <f t="shared" si="25"/>
        <v>No</v>
      </c>
      <c r="AB826" s="158"/>
      <c r="AC826" s="159"/>
      <c r="AD826" s="160"/>
    </row>
    <row r="827" spans="1:30">
      <c r="A827" s="155"/>
      <c r="B827" s="112" t="str">
        <f t="shared" si="24"/>
        <v/>
      </c>
      <c r="C827" s="183"/>
      <c r="D827" s="152"/>
      <c r="E827" s="152"/>
      <c r="F827" s="151"/>
      <c r="G827" s="153"/>
      <c r="H827" s="151"/>
      <c r="I827" s="151"/>
      <c r="J827" s="151"/>
      <c r="K827" s="151"/>
      <c r="L827" s="151"/>
      <c r="M827" s="151"/>
      <c r="N827" s="151"/>
      <c r="O827" s="151"/>
      <c r="P827" s="151"/>
      <c r="Q827" s="151"/>
      <c r="R827" s="151"/>
      <c r="S827" s="152"/>
      <c r="T827" s="151"/>
      <c r="U827" s="151"/>
      <c r="V827" s="153"/>
      <c r="W827" s="151"/>
      <c r="X827" s="151"/>
      <c r="Y827" s="153"/>
      <c r="Z827" s="151"/>
      <c r="AA827" s="187" t="str">
        <f t="shared" si="25"/>
        <v>No</v>
      </c>
      <c r="AB827" s="158"/>
      <c r="AC827" s="159"/>
      <c r="AD827" s="160"/>
    </row>
    <row r="828" spans="1:30">
      <c r="A828" s="155"/>
      <c r="B828" s="112" t="str">
        <f t="shared" si="24"/>
        <v/>
      </c>
      <c r="C828" s="183"/>
      <c r="D828" s="152"/>
      <c r="E828" s="152"/>
      <c r="F828" s="151"/>
      <c r="G828" s="153"/>
      <c r="H828" s="151"/>
      <c r="I828" s="151"/>
      <c r="J828" s="151"/>
      <c r="K828" s="151"/>
      <c r="L828" s="151"/>
      <c r="M828" s="151"/>
      <c r="N828" s="151"/>
      <c r="O828" s="151"/>
      <c r="P828" s="151"/>
      <c r="Q828" s="151"/>
      <c r="R828" s="151"/>
      <c r="S828" s="152"/>
      <c r="T828" s="151"/>
      <c r="U828" s="151"/>
      <c r="V828" s="153"/>
      <c r="W828" s="151"/>
      <c r="X828" s="151"/>
      <c r="Y828" s="153"/>
      <c r="Z828" s="151"/>
      <c r="AA828" s="187" t="str">
        <f t="shared" si="25"/>
        <v>No</v>
      </c>
      <c r="AB828" s="158"/>
      <c r="AC828" s="159"/>
      <c r="AD828" s="160"/>
    </row>
    <row r="829" spans="1:30">
      <c r="A829" s="155"/>
      <c r="B829" s="112" t="str">
        <f t="shared" si="24"/>
        <v/>
      </c>
      <c r="C829" s="183"/>
      <c r="D829" s="152"/>
      <c r="E829" s="152"/>
      <c r="F829" s="151"/>
      <c r="G829" s="153"/>
      <c r="H829" s="151"/>
      <c r="I829" s="151"/>
      <c r="J829" s="151"/>
      <c r="K829" s="151"/>
      <c r="L829" s="151"/>
      <c r="M829" s="151"/>
      <c r="N829" s="151"/>
      <c r="O829" s="151"/>
      <c r="P829" s="151"/>
      <c r="Q829" s="151"/>
      <c r="R829" s="151"/>
      <c r="S829" s="152"/>
      <c r="T829" s="151"/>
      <c r="U829" s="151"/>
      <c r="V829" s="153"/>
      <c r="W829" s="151"/>
      <c r="X829" s="151"/>
      <c r="Y829" s="153"/>
      <c r="Z829" s="151"/>
      <c r="AA829" s="187" t="str">
        <f t="shared" si="25"/>
        <v>No</v>
      </c>
      <c r="AB829" s="158"/>
      <c r="AC829" s="159"/>
      <c r="AD829" s="160"/>
    </row>
    <row r="830" spans="1:30">
      <c r="A830" s="155"/>
      <c r="B830" s="112" t="str">
        <f t="shared" si="24"/>
        <v/>
      </c>
      <c r="C830" s="183"/>
      <c r="D830" s="152"/>
      <c r="E830" s="152"/>
      <c r="F830" s="151"/>
      <c r="G830" s="153"/>
      <c r="H830" s="151"/>
      <c r="I830" s="151"/>
      <c r="J830" s="151"/>
      <c r="K830" s="151"/>
      <c r="L830" s="151"/>
      <c r="M830" s="151"/>
      <c r="N830" s="151"/>
      <c r="O830" s="151"/>
      <c r="P830" s="151"/>
      <c r="Q830" s="151"/>
      <c r="R830" s="151"/>
      <c r="S830" s="152"/>
      <c r="T830" s="151"/>
      <c r="U830" s="151"/>
      <c r="V830" s="153"/>
      <c r="W830" s="151"/>
      <c r="X830" s="151"/>
      <c r="Y830" s="153"/>
      <c r="Z830" s="151"/>
      <c r="AA830" s="187" t="str">
        <f t="shared" si="25"/>
        <v>No</v>
      </c>
      <c r="AB830" s="158"/>
      <c r="AC830" s="159"/>
      <c r="AD830" s="160"/>
    </row>
    <row r="831" spans="1:30">
      <c r="A831" s="155"/>
      <c r="B831" s="112" t="str">
        <f t="shared" si="24"/>
        <v/>
      </c>
      <c r="C831" s="183"/>
      <c r="D831" s="152"/>
      <c r="E831" s="152"/>
      <c r="F831" s="151"/>
      <c r="G831" s="153"/>
      <c r="H831" s="151"/>
      <c r="I831" s="151"/>
      <c r="J831" s="151"/>
      <c r="K831" s="151"/>
      <c r="L831" s="151"/>
      <c r="M831" s="151"/>
      <c r="N831" s="151"/>
      <c r="O831" s="151"/>
      <c r="P831" s="151"/>
      <c r="Q831" s="151"/>
      <c r="R831" s="151"/>
      <c r="S831" s="152"/>
      <c r="T831" s="151"/>
      <c r="U831" s="151"/>
      <c r="V831" s="153"/>
      <c r="W831" s="151"/>
      <c r="X831" s="151"/>
      <c r="Y831" s="153"/>
      <c r="Z831" s="151"/>
      <c r="AA831" s="187" t="str">
        <f t="shared" si="25"/>
        <v>No</v>
      </c>
      <c r="AB831" s="158"/>
      <c r="AC831" s="159"/>
      <c r="AD831" s="160"/>
    </row>
    <row r="832" spans="1:30">
      <c r="A832" s="155"/>
      <c r="B832" s="112" t="str">
        <f t="shared" si="24"/>
        <v/>
      </c>
      <c r="C832" s="183"/>
      <c r="D832" s="152"/>
      <c r="E832" s="152"/>
      <c r="F832" s="151"/>
      <c r="G832" s="153"/>
      <c r="H832" s="151"/>
      <c r="I832" s="151"/>
      <c r="J832" s="151"/>
      <c r="K832" s="151"/>
      <c r="L832" s="151"/>
      <c r="M832" s="151"/>
      <c r="N832" s="151"/>
      <c r="O832" s="151"/>
      <c r="P832" s="151"/>
      <c r="Q832" s="151"/>
      <c r="R832" s="151"/>
      <c r="S832" s="152"/>
      <c r="T832" s="151"/>
      <c r="U832" s="151"/>
      <c r="V832" s="153"/>
      <c r="W832" s="151"/>
      <c r="X832" s="151"/>
      <c r="Y832" s="153"/>
      <c r="Z832" s="151"/>
      <c r="AA832" s="187" t="str">
        <f t="shared" si="25"/>
        <v>No</v>
      </c>
      <c r="AB832" s="158"/>
      <c r="AC832" s="159"/>
      <c r="AD832" s="160"/>
    </row>
    <row r="833" spans="1:30">
      <c r="A833" s="155"/>
      <c r="B833" s="112" t="str">
        <f t="shared" si="24"/>
        <v/>
      </c>
      <c r="C833" s="183"/>
      <c r="D833" s="152"/>
      <c r="E833" s="152"/>
      <c r="F833" s="151"/>
      <c r="G833" s="153"/>
      <c r="H833" s="151"/>
      <c r="I833" s="151"/>
      <c r="J833" s="151"/>
      <c r="K833" s="151"/>
      <c r="L833" s="151"/>
      <c r="M833" s="151"/>
      <c r="N833" s="151"/>
      <c r="O833" s="151"/>
      <c r="P833" s="151"/>
      <c r="Q833" s="151"/>
      <c r="R833" s="151"/>
      <c r="S833" s="152"/>
      <c r="T833" s="151"/>
      <c r="U833" s="151"/>
      <c r="V833" s="153"/>
      <c r="W833" s="151"/>
      <c r="X833" s="151"/>
      <c r="Y833" s="153"/>
      <c r="Z833" s="151"/>
      <c r="AA833" s="187" t="str">
        <f t="shared" si="25"/>
        <v>No</v>
      </c>
      <c r="AB833" s="158"/>
      <c r="AC833" s="159"/>
      <c r="AD833" s="160"/>
    </row>
    <row r="834" spans="1:30">
      <c r="A834" s="155"/>
      <c r="B834" s="112" t="str">
        <f t="shared" si="24"/>
        <v/>
      </c>
      <c r="C834" s="183"/>
      <c r="D834" s="152"/>
      <c r="E834" s="152"/>
      <c r="F834" s="151"/>
      <c r="G834" s="153"/>
      <c r="H834" s="151"/>
      <c r="I834" s="151"/>
      <c r="J834" s="151"/>
      <c r="K834" s="151"/>
      <c r="L834" s="151"/>
      <c r="M834" s="151"/>
      <c r="N834" s="151"/>
      <c r="O834" s="151"/>
      <c r="P834" s="151"/>
      <c r="Q834" s="151"/>
      <c r="R834" s="151"/>
      <c r="S834" s="152"/>
      <c r="T834" s="151"/>
      <c r="U834" s="151"/>
      <c r="V834" s="153"/>
      <c r="W834" s="151"/>
      <c r="X834" s="151"/>
      <c r="Y834" s="153"/>
      <c r="Z834" s="151"/>
      <c r="AA834" s="187" t="str">
        <f t="shared" si="25"/>
        <v>No</v>
      </c>
      <c r="AB834" s="158"/>
      <c r="AC834" s="159"/>
      <c r="AD834" s="160"/>
    </row>
    <row r="835" spans="1:30">
      <c r="A835" s="155"/>
      <c r="B835" s="112" t="str">
        <f t="shared" si="24"/>
        <v/>
      </c>
      <c r="C835" s="183"/>
      <c r="D835" s="152"/>
      <c r="E835" s="152"/>
      <c r="F835" s="151"/>
      <c r="G835" s="153"/>
      <c r="H835" s="151"/>
      <c r="I835" s="151"/>
      <c r="J835" s="151"/>
      <c r="K835" s="151"/>
      <c r="L835" s="151"/>
      <c r="M835" s="151"/>
      <c r="N835" s="151"/>
      <c r="O835" s="151"/>
      <c r="P835" s="151"/>
      <c r="Q835" s="151"/>
      <c r="R835" s="151"/>
      <c r="S835" s="152"/>
      <c r="T835" s="151"/>
      <c r="U835" s="151"/>
      <c r="V835" s="153"/>
      <c r="W835" s="151"/>
      <c r="X835" s="151"/>
      <c r="Y835" s="153"/>
      <c r="Z835" s="151"/>
      <c r="AA835" s="187" t="str">
        <f t="shared" si="25"/>
        <v>No</v>
      </c>
      <c r="AB835" s="158"/>
      <c r="AC835" s="159"/>
      <c r="AD835" s="160"/>
    </row>
    <row r="836" spans="1:30">
      <c r="A836" s="155"/>
      <c r="B836" s="112" t="str">
        <f t="shared" si="24"/>
        <v/>
      </c>
      <c r="C836" s="183"/>
      <c r="D836" s="152"/>
      <c r="E836" s="152"/>
      <c r="F836" s="151"/>
      <c r="G836" s="153"/>
      <c r="H836" s="151"/>
      <c r="I836" s="151"/>
      <c r="J836" s="151"/>
      <c r="K836" s="151"/>
      <c r="L836" s="151"/>
      <c r="M836" s="151"/>
      <c r="N836" s="151"/>
      <c r="O836" s="151"/>
      <c r="P836" s="151"/>
      <c r="Q836" s="151"/>
      <c r="R836" s="151"/>
      <c r="S836" s="152"/>
      <c r="T836" s="151"/>
      <c r="U836" s="151"/>
      <c r="V836" s="153"/>
      <c r="W836" s="151"/>
      <c r="X836" s="151"/>
      <c r="Y836" s="153"/>
      <c r="Z836" s="151"/>
      <c r="AA836" s="187" t="str">
        <f t="shared" si="25"/>
        <v>No</v>
      </c>
      <c r="AB836" s="158"/>
      <c r="AC836" s="159"/>
      <c r="AD836" s="160"/>
    </row>
    <row r="837" spans="1:30">
      <c r="A837" s="155"/>
      <c r="B837" s="112" t="str">
        <f t="shared" ref="B837:B900" si="26">IF(AND(A837&lt;&gt;"",D837&lt;&gt;"",J837&lt;&gt;"",N837&lt;&gt;""),TEXT(D837,"YY")&amp;"-"&amp;TEXT(D837,"MMM")&amp;"-"&amp;UPPER(LEFT(TRIM(N837),2))&amp;"-"&amp;UPPER(LEFT(TRIM(J837),3))&amp;"-"&amp;A837,"")</f>
        <v/>
      </c>
      <c r="C837" s="183"/>
      <c r="D837" s="152"/>
      <c r="E837" s="152"/>
      <c r="F837" s="151"/>
      <c r="G837" s="153"/>
      <c r="H837" s="151"/>
      <c r="I837" s="151"/>
      <c r="J837" s="151"/>
      <c r="K837" s="151"/>
      <c r="L837" s="151"/>
      <c r="M837" s="151"/>
      <c r="N837" s="151"/>
      <c r="O837" s="151"/>
      <c r="P837" s="151"/>
      <c r="Q837" s="151"/>
      <c r="R837" s="151"/>
      <c r="S837" s="152"/>
      <c r="T837" s="151"/>
      <c r="U837" s="151"/>
      <c r="V837" s="153"/>
      <c r="W837" s="151"/>
      <c r="X837" s="151"/>
      <c r="Y837" s="153"/>
      <c r="Z837" s="151"/>
      <c r="AA837" s="187" t="str">
        <f t="shared" ref="AA837:AA900" si="27">IF(E837="","No","Yes")</f>
        <v>No</v>
      </c>
      <c r="AB837" s="158"/>
      <c r="AC837" s="159"/>
      <c r="AD837" s="160"/>
    </row>
    <row r="838" spans="1:30">
      <c r="A838" s="155"/>
      <c r="B838" s="112" t="str">
        <f t="shared" si="26"/>
        <v/>
      </c>
      <c r="C838" s="183"/>
      <c r="D838" s="152"/>
      <c r="E838" s="152"/>
      <c r="F838" s="151"/>
      <c r="G838" s="153"/>
      <c r="H838" s="151"/>
      <c r="I838" s="151"/>
      <c r="J838" s="151"/>
      <c r="K838" s="151"/>
      <c r="L838" s="151"/>
      <c r="M838" s="151"/>
      <c r="N838" s="151"/>
      <c r="O838" s="151"/>
      <c r="P838" s="151"/>
      <c r="Q838" s="151"/>
      <c r="R838" s="151"/>
      <c r="S838" s="152"/>
      <c r="T838" s="151"/>
      <c r="U838" s="151"/>
      <c r="V838" s="153"/>
      <c r="W838" s="151"/>
      <c r="X838" s="151"/>
      <c r="Y838" s="153"/>
      <c r="Z838" s="151"/>
      <c r="AA838" s="187" t="str">
        <f t="shared" si="27"/>
        <v>No</v>
      </c>
      <c r="AB838" s="158"/>
      <c r="AC838" s="159"/>
      <c r="AD838" s="160"/>
    </row>
    <row r="839" spans="1:30">
      <c r="A839" s="155"/>
      <c r="B839" s="112" t="str">
        <f t="shared" si="26"/>
        <v/>
      </c>
      <c r="C839" s="183"/>
      <c r="D839" s="152"/>
      <c r="E839" s="152"/>
      <c r="F839" s="151"/>
      <c r="G839" s="153"/>
      <c r="H839" s="151"/>
      <c r="I839" s="151"/>
      <c r="J839" s="151"/>
      <c r="K839" s="151"/>
      <c r="L839" s="151"/>
      <c r="M839" s="151"/>
      <c r="N839" s="151"/>
      <c r="O839" s="151"/>
      <c r="P839" s="151"/>
      <c r="Q839" s="151"/>
      <c r="R839" s="151"/>
      <c r="S839" s="152"/>
      <c r="T839" s="151"/>
      <c r="U839" s="151"/>
      <c r="V839" s="153"/>
      <c r="W839" s="151"/>
      <c r="X839" s="151"/>
      <c r="Y839" s="153"/>
      <c r="Z839" s="151"/>
      <c r="AA839" s="187" t="str">
        <f t="shared" si="27"/>
        <v>No</v>
      </c>
      <c r="AB839" s="158"/>
      <c r="AC839" s="159"/>
      <c r="AD839" s="160"/>
    </row>
    <row r="840" spans="1:30">
      <c r="A840" s="155"/>
      <c r="B840" s="112" t="str">
        <f t="shared" si="26"/>
        <v/>
      </c>
      <c r="C840" s="183"/>
      <c r="D840" s="152"/>
      <c r="E840" s="152"/>
      <c r="F840" s="151"/>
      <c r="G840" s="153"/>
      <c r="H840" s="151"/>
      <c r="I840" s="151"/>
      <c r="J840" s="151"/>
      <c r="K840" s="151"/>
      <c r="L840" s="151"/>
      <c r="M840" s="151"/>
      <c r="N840" s="151"/>
      <c r="O840" s="151"/>
      <c r="P840" s="151"/>
      <c r="Q840" s="151"/>
      <c r="R840" s="151"/>
      <c r="S840" s="152"/>
      <c r="T840" s="151"/>
      <c r="U840" s="151"/>
      <c r="V840" s="153"/>
      <c r="W840" s="151"/>
      <c r="X840" s="151"/>
      <c r="Y840" s="153"/>
      <c r="Z840" s="151"/>
      <c r="AA840" s="187" t="str">
        <f t="shared" si="27"/>
        <v>No</v>
      </c>
      <c r="AB840" s="158"/>
      <c r="AC840" s="159"/>
      <c r="AD840" s="160"/>
    </row>
    <row r="841" spans="1:30">
      <c r="A841" s="155"/>
      <c r="B841" s="112" t="str">
        <f t="shared" si="26"/>
        <v/>
      </c>
      <c r="C841" s="183"/>
      <c r="D841" s="152"/>
      <c r="E841" s="152"/>
      <c r="F841" s="151"/>
      <c r="G841" s="153"/>
      <c r="H841" s="151"/>
      <c r="I841" s="151"/>
      <c r="J841" s="151"/>
      <c r="K841" s="151"/>
      <c r="L841" s="151"/>
      <c r="M841" s="151"/>
      <c r="N841" s="151"/>
      <c r="O841" s="151"/>
      <c r="P841" s="151"/>
      <c r="Q841" s="151"/>
      <c r="R841" s="151"/>
      <c r="S841" s="152"/>
      <c r="T841" s="151"/>
      <c r="U841" s="151"/>
      <c r="V841" s="153"/>
      <c r="W841" s="151"/>
      <c r="X841" s="151"/>
      <c r="Y841" s="153"/>
      <c r="Z841" s="151"/>
      <c r="AA841" s="187" t="str">
        <f t="shared" si="27"/>
        <v>No</v>
      </c>
      <c r="AB841" s="158"/>
      <c r="AC841" s="159"/>
      <c r="AD841" s="160"/>
    </row>
    <row r="842" spans="1:30">
      <c r="A842" s="155"/>
      <c r="B842" s="112" t="str">
        <f t="shared" si="26"/>
        <v/>
      </c>
      <c r="C842" s="183"/>
      <c r="D842" s="152"/>
      <c r="E842" s="152"/>
      <c r="F842" s="151"/>
      <c r="G842" s="153"/>
      <c r="H842" s="151"/>
      <c r="I842" s="151"/>
      <c r="J842" s="151"/>
      <c r="K842" s="151"/>
      <c r="L842" s="151"/>
      <c r="M842" s="151"/>
      <c r="N842" s="151"/>
      <c r="O842" s="151"/>
      <c r="P842" s="151"/>
      <c r="Q842" s="151"/>
      <c r="R842" s="151"/>
      <c r="S842" s="152"/>
      <c r="T842" s="151"/>
      <c r="U842" s="151"/>
      <c r="V842" s="153"/>
      <c r="W842" s="151"/>
      <c r="X842" s="151"/>
      <c r="Y842" s="153"/>
      <c r="Z842" s="151"/>
      <c r="AA842" s="187" t="str">
        <f t="shared" si="27"/>
        <v>No</v>
      </c>
      <c r="AB842" s="158"/>
      <c r="AC842" s="159"/>
      <c r="AD842" s="160"/>
    </row>
    <row r="843" spans="1:30">
      <c r="A843" s="155"/>
      <c r="B843" s="112" t="str">
        <f t="shared" si="26"/>
        <v/>
      </c>
      <c r="C843" s="183"/>
      <c r="D843" s="152"/>
      <c r="E843" s="152"/>
      <c r="F843" s="151"/>
      <c r="G843" s="153"/>
      <c r="H843" s="151"/>
      <c r="I843" s="151"/>
      <c r="J843" s="151"/>
      <c r="K843" s="151"/>
      <c r="L843" s="151"/>
      <c r="M843" s="151"/>
      <c r="N843" s="151"/>
      <c r="O843" s="151"/>
      <c r="P843" s="151"/>
      <c r="Q843" s="151"/>
      <c r="R843" s="151"/>
      <c r="S843" s="152"/>
      <c r="T843" s="151"/>
      <c r="U843" s="151"/>
      <c r="V843" s="153"/>
      <c r="W843" s="151"/>
      <c r="X843" s="151"/>
      <c r="Y843" s="153"/>
      <c r="Z843" s="151"/>
      <c r="AA843" s="187" t="str">
        <f t="shared" si="27"/>
        <v>No</v>
      </c>
      <c r="AB843" s="158"/>
      <c r="AC843" s="159"/>
      <c r="AD843" s="160"/>
    </row>
    <row r="844" spans="1:30">
      <c r="A844" s="155"/>
      <c r="B844" s="112" t="str">
        <f t="shared" si="26"/>
        <v/>
      </c>
      <c r="C844" s="183"/>
      <c r="D844" s="152"/>
      <c r="E844" s="152"/>
      <c r="F844" s="151"/>
      <c r="G844" s="153"/>
      <c r="H844" s="151"/>
      <c r="I844" s="151"/>
      <c r="J844" s="151"/>
      <c r="K844" s="151"/>
      <c r="L844" s="151"/>
      <c r="M844" s="151"/>
      <c r="N844" s="151"/>
      <c r="O844" s="151"/>
      <c r="P844" s="151"/>
      <c r="Q844" s="151"/>
      <c r="R844" s="151"/>
      <c r="S844" s="152"/>
      <c r="T844" s="151"/>
      <c r="U844" s="151"/>
      <c r="V844" s="153"/>
      <c r="W844" s="151"/>
      <c r="X844" s="151"/>
      <c r="Y844" s="153"/>
      <c r="Z844" s="151"/>
      <c r="AA844" s="187" t="str">
        <f t="shared" si="27"/>
        <v>No</v>
      </c>
      <c r="AB844" s="158"/>
      <c r="AC844" s="159"/>
      <c r="AD844" s="160"/>
    </row>
    <row r="845" spans="1:30">
      <c r="A845" s="155"/>
      <c r="B845" s="112" t="str">
        <f t="shared" si="26"/>
        <v/>
      </c>
      <c r="C845" s="183"/>
      <c r="D845" s="152"/>
      <c r="E845" s="152"/>
      <c r="F845" s="151"/>
      <c r="G845" s="153"/>
      <c r="H845" s="151"/>
      <c r="I845" s="151"/>
      <c r="J845" s="151"/>
      <c r="K845" s="151"/>
      <c r="L845" s="151"/>
      <c r="M845" s="151"/>
      <c r="N845" s="151"/>
      <c r="O845" s="151"/>
      <c r="P845" s="151"/>
      <c r="Q845" s="151"/>
      <c r="R845" s="151"/>
      <c r="S845" s="152"/>
      <c r="T845" s="151"/>
      <c r="U845" s="151"/>
      <c r="V845" s="153"/>
      <c r="W845" s="151"/>
      <c r="X845" s="151"/>
      <c r="Y845" s="153"/>
      <c r="Z845" s="151"/>
      <c r="AA845" s="187" t="str">
        <f t="shared" si="27"/>
        <v>No</v>
      </c>
      <c r="AB845" s="158"/>
      <c r="AC845" s="159"/>
      <c r="AD845" s="160"/>
    </row>
    <row r="846" spans="1:30">
      <c r="A846" s="155"/>
      <c r="B846" s="112" t="str">
        <f t="shared" si="26"/>
        <v/>
      </c>
      <c r="C846" s="183"/>
      <c r="D846" s="152"/>
      <c r="E846" s="152"/>
      <c r="F846" s="151"/>
      <c r="G846" s="153"/>
      <c r="H846" s="151"/>
      <c r="I846" s="151"/>
      <c r="J846" s="151"/>
      <c r="K846" s="151"/>
      <c r="L846" s="151"/>
      <c r="M846" s="151"/>
      <c r="N846" s="151"/>
      <c r="O846" s="151"/>
      <c r="P846" s="151"/>
      <c r="Q846" s="151"/>
      <c r="R846" s="151"/>
      <c r="S846" s="152"/>
      <c r="T846" s="151"/>
      <c r="U846" s="151"/>
      <c r="V846" s="153"/>
      <c r="W846" s="151"/>
      <c r="X846" s="151"/>
      <c r="Y846" s="153"/>
      <c r="Z846" s="151"/>
      <c r="AA846" s="187" t="str">
        <f t="shared" si="27"/>
        <v>No</v>
      </c>
      <c r="AB846" s="158"/>
      <c r="AC846" s="159"/>
      <c r="AD846" s="160"/>
    </row>
    <row r="847" spans="1:30">
      <c r="A847" s="155"/>
      <c r="B847" s="112" t="str">
        <f t="shared" si="26"/>
        <v/>
      </c>
      <c r="C847" s="183"/>
      <c r="D847" s="152"/>
      <c r="E847" s="152"/>
      <c r="F847" s="151"/>
      <c r="G847" s="153"/>
      <c r="H847" s="151"/>
      <c r="I847" s="151"/>
      <c r="J847" s="151"/>
      <c r="K847" s="151"/>
      <c r="L847" s="151"/>
      <c r="M847" s="151"/>
      <c r="N847" s="151"/>
      <c r="O847" s="151"/>
      <c r="P847" s="151"/>
      <c r="Q847" s="151"/>
      <c r="R847" s="151"/>
      <c r="S847" s="152"/>
      <c r="T847" s="151"/>
      <c r="U847" s="151"/>
      <c r="V847" s="153"/>
      <c r="W847" s="151"/>
      <c r="X847" s="151"/>
      <c r="Y847" s="153"/>
      <c r="Z847" s="151"/>
      <c r="AA847" s="187" t="str">
        <f t="shared" si="27"/>
        <v>No</v>
      </c>
      <c r="AB847" s="158"/>
      <c r="AC847" s="159"/>
      <c r="AD847" s="160"/>
    </row>
    <row r="848" spans="1:30">
      <c r="A848" s="155"/>
      <c r="B848" s="112" t="str">
        <f t="shared" si="26"/>
        <v/>
      </c>
      <c r="C848" s="183"/>
      <c r="D848" s="152"/>
      <c r="E848" s="152"/>
      <c r="F848" s="151"/>
      <c r="G848" s="153"/>
      <c r="H848" s="151"/>
      <c r="I848" s="151"/>
      <c r="J848" s="151"/>
      <c r="K848" s="151"/>
      <c r="L848" s="151"/>
      <c r="M848" s="151"/>
      <c r="N848" s="151"/>
      <c r="O848" s="151"/>
      <c r="P848" s="151"/>
      <c r="Q848" s="151"/>
      <c r="R848" s="151"/>
      <c r="S848" s="152"/>
      <c r="T848" s="151"/>
      <c r="U848" s="151"/>
      <c r="V848" s="153"/>
      <c r="W848" s="151"/>
      <c r="X848" s="151"/>
      <c r="Y848" s="153"/>
      <c r="Z848" s="151"/>
      <c r="AA848" s="187" t="str">
        <f t="shared" si="27"/>
        <v>No</v>
      </c>
      <c r="AB848" s="158"/>
      <c r="AC848" s="159"/>
      <c r="AD848" s="160"/>
    </row>
    <row r="849" spans="1:30">
      <c r="A849" s="155"/>
      <c r="B849" s="112" t="str">
        <f t="shared" si="26"/>
        <v/>
      </c>
      <c r="C849" s="183"/>
      <c r="D849" s="152"/>
      <c r="E849" s="152"/>
      <c r="F849" s="151"/>
      <c r="G849" s="153"/>
      <c r="H849" s="151"/>
      <c r="I849" s="151"/>
      <c r="J849" s="151"/>
      <c r="K849" s="151"/>
      <c r="L849" s="151"/>
      <c r="M849" s="151"/>
      <c r="N849" s="151"/>
      <c r="O849" s="151"/>
      <c r="P849" s="151"/>
      <c r="Q849" s="151"/>
      <c r="R849" s="151"/>
      <c r="S849" s="152"/>
      <c r="T849" s="151"/>
      <c r="U849" s="151"/>
      <c r="V849" s="153"/>
      <c r="W849" s="151"/>
      <c r="X849" s="151"/>
      <c r="Y849" s="153"/>
      <c r="Z849" s="151"/>
      <c r="AA849" s="187" t="str">
        <f t="shared" si="27"/>
        <v>No</v>
      </c>
      <c r="AB849" s="158"/>
      <c r="AC849" s="159"/>
      <c r="AD849" s="160"/>
    </row>
    <row r="850" spans="1:30">
      <c r="A850" s="155"/>
      <c r="B850" s="112" t="str">
        <f t="shared" si="26"/>
        <v/>
      </c>
      <c r="C850" s="183"/>
      <c r="D850" s="152"/>
      <c r="E850" s="152"/>
      <c r="F850" s="151"/>
      <c r="G850" s="153"/>
      <c r="H850" s="151"/>
      <c r="I850" s="151"/>
      <c r="J850" s="151"/>
      <c r="K850" s="151"/>
      <c r="L850" s="151"/>
      <c r="M850" s="151"/>
      <c r="N850" s="151"/>
      <c r="O850" s="151"/>
      <c r="P850" s="151"/>
      <c r="Q850" s="151"/>
      <c r="R850" s="151"/>
      <c r="S850" s="152"/>
      <c r="T850" s="151"/>
      <c r="U850" s="151"/>
      <c r="V850" s="153"/>
      <c r="W850" s="151"/>
      <c r="X850" s="151"/>
      <c r="Y850" s="153"/>
      <c r="Z850" s="151"/>
      <c r="AA850" s="187" t="str">
        <f t="shared" si="27"/>
        <v>No</v>
      </c>
      <c r="AB850" s="158"/>
      <c r="AC850" s="159"/>
      <c r="AD850" s="160"/>
    </row>
    <row r="851" spans="1:30">
      <c r="A851" s="155"/>
      <c r="B851" s="112" t="str">
        <f t="shared" si="26"/>
        <v/>
      </c>
      <c r="C851" s="183"/>
      <c r="D851" s="152"/>
      <c r="E851" s="152"/>
      <c r="F851" s="151"/>
      <c r="G851" s="153"/>
      <c r="H851" s="151"/>
      <c r="I851" s="151"/>
      <c r="J851" s="151"/>
      <c r="K851" s="151"/>
      <c r="L851" s="151"/>
      <c r="M851" s="151"/>
      <c r="N851" s="151"/>
      <c r="O851" s="151"/>
      <c r="P851" s="151"/>
      <c r="Q851" s="151"/>
      <c r="R851" s="151"/>
      <c r="S851" s="152"/>
      <c r="T851" s="151"/>
      <c r="U851" s="151"/>
      <c r="V851" s="153"/>
      <c r="W851" s="151"/>
      <c r="X851" s="151"/>
      <c r="Y851" s="153"/>
      <c r="Z851" s="151"/>
      <c r="AA851" s="187" t="str">
        <f t="shared" si="27"/>
        <v>No</v>
      </c>
      <c r="AB851" s="158"/>
      <c r="AC851" s="159"/>
      <c r="AD851" s="160"/>
    </row>
    <row r="852" spans="1:30">
      <c r="A852" s="155"/>
      <c r="B852" s="112" t="str">
        <f t="shared" si="26"/>
        <v/>
      </c>
      <c r="C852" s="183"/>
      <c r="D852" s="152"/>
      <c r="E852" s="152"/>
      <c r="F852" s="151"/>
      <c r="G852" s="153"/>
      <c r="H852" s="151"/>
      <c r="I852" s="151"/>
      <c r="J852" s="151"/>
      <c r="K852" s="151"/>
      <c r="L852" s="151"/>
      <c r="M852" s="151"/>
      <c r="N852" s="151"/>
      <c r="O852" s="151"/>
      <c r="P852" s="151"/>
      <c r="Q852" s="151"/>
      <c r="R852" s="151"/>
      <c r="S852" s="152"/>
      <c r="T852" s="151"/>
      <c r="U852" s="151"/>
      <c r="V852" s="153"/>
      <c r="W852" s="151"/>
      <c r="X852" s="151"/>
      <c r="Y852" s="153"/>
      <c r="Z852" s="151"/>
      <c r="AA852" s="187" t="str">
        <f t="shared" si="27"/>
        <v>No</v>
      </c>
      <c r="AB852" s="158"/>
      <c r="AC852" s="159"/>
      <c r="AD852" s="160"/>
    </row>
    <row r="853" spans="1:30">
      <c r="A853" s="155"/>
      <c r="B853" s="112" t="str">
        <f t="shared" si="26"/>
        <v/>
      </c>
      <c r="C853" s="183"/>
      <c r="D853" s="152"/>
      <c r="E853" s="152"/>
      <c r="F853" s="151"/>
      <c r="G853" s="153"/>
      <c r="H853" s="151"/>
      <c r="I853" s="151"/>
      <c r="J853" s="151"/>
      <c r="K853" s="151"/>
      <c r="L853" s="151"/>
      <c r="M853" s="151"/>
      <c r="N853" s="151"/>
      <c r="O853" s="151"/>
      <c r="P853" s="151"/>
      <c r="Q853" s="151"/>
      <c r="R853" s="151"/>
      <c r="S853" s="152"/>
      <c r="T853" s="151"/>
      <c r="U853" s="151"/>
      <c r="V853" s="153"/>
      <c r="W853" s="151"/>
      <c r="X853" s="151"/>
      <c r="Y853" s="153"/>
      <c r="Z853" s="151"/>
      <c r="AA853" s="187" t="str">
        <f t="shared" si="27"/>
        <v>No</v>
      </c>
      <c r="AB853" s="158"/>
      <c r="AC853" s="159"/>
      <c r="AD853" s="160"/>
    </row>
    <row r="854" spans="1:30">
      <c r="A854" s="155"/>
      <c r="B854" s="112" t="str">
        <f t="shared" si="26"/>
        <v/>
      </c>
      <c r="C854" s="183"/>
      <c r="D854" s="152"/>
      <c r="E854" s="152"/>
      <c r="F854" s="151"/>
      <c r="G854" s="153"/>
      <c r="H854" s="151"/>
      <c r="I854" s="151"/>
      <c r="J854" s="151"/>
      <c r="K854" s="151"/>
      <c r="L854" s="151"/>
      <c r="M854" s="151"/>
      <c r="N854" s="151"/>
      <c r="O854" s="151"/>
      <c r="P854" s="151"/>
      <c r="Q854" s="151"/>
      <c r="R854" s="151"/>
      <c r="S854" s="152"/>
      <c r="T854" s="151"/>
      <c r="U854" s="151"/>
      <c r="V854" s="153"/>
      <c r="W854" s="151"/>
      <c r="X854" s="151"/>
      <c r="Y854" s="153"/>
      <c r="Z854" s="151"/>
      <c r="AA854" s="187" t="str">
        <f t="shared" si="27"/>
        <v>No</v>
      </c>
      <c r="AB854" s="158"/>
      <c r="AC854" s="159"/>
      <c r="AD854" s="160"/>
    </row>
    <row r="855" spans="1:30">
      <c r="A855" s="155"/>
      <c r="B855" s="112" t="str">
        <f t="shared" si="26"/>
        <v/>
      </c>
      <c r="C855" s="183"/>
      <c r="D855" s="152"/>
      <c r="E855" s="152"/>
      <c r="F855" s="151"/>
      <c r="G855" s="153"/>
      <c r="H855" s="151"/>
      <c r="I855" s="151"/>
      <c r="J855" s="151"/>
      <c r="K855" s="151"/>
      <c r="L855" s="151"/>
      <c r="M855" s="151"/>
      <c r="N855" s="151"/>
      <c r="O855" s="151"/>
      <c r="P855" s="151"/>
      <c r="Q855" s="151"/>
      <c r="R855" s="151"/>
      <c r="S855" s="152"/>
      <c r="T855" s="151"/>
      <c r="U855" s="151"/>
      <c r="V855" s="153"/>
      <c r="W855" s="151"/>
      <c r="X855" s="151"/>
      <c r="Y855" s="153"/>
      <c r="Z855" s="151"/>
      <c r="AA855" s="187" t="str">
        <f t="shared" si="27"/>
        <v>No</v>
      </c>
      <c r="AB855" s="158"/>
      <c r="AC855" s="159"/>
      <c r="AD855" s="160"/>
    </row>
    <row r="856" spans="1:30">
      <c r="A856" s="155"/>
      <c r="B856" s="112" t="str">
        <f t="shared" si="26"/>
        <v/>
      </c>
      <c r="C856" s="183"/>
      <c r="D856" s="152"/>
      <c r="E856" s="152"/>
      <c r="F856" s="151"/>
      <c r="G856" s="153"/>
      <c r="H856" s="151"/>
      <c r="I856" s="151"/>
      <c r="J856" s="151"/>
      <c r="K856" s="151"/>
      <c r="L856" s="151"/>
      <c r="M856" s="151"/>
      <c r="N856" s="151"/>
      <c r="O856" s="151"/>
      <c r="P856" s="151"/>
      <c r="Q856" s="151"/>
      <c r="R856" s="151"/>
      <c r="S856" s="152"/>
      <c r="T856" s="151"/>
      <c r="U856" s="151"/>
      <c r="V856" s="153"/>
      <c r="W856" s="151"/>
      <c r="X856" s="151"/>
      <c r="Y856" s="153"/>
      <c r="Z856" s="151"/>
      <c r="AA856" s="187" t="str">
        <f t="shared" si="27"/>
        <v>No</v>
      </c>
      <c r="AB856" s="158"/>
      <c r="AC856" s="159"/>
      <c r="AD856" s="160"/>
    </row>
    <row r="857" spans="1:30">
      <c r="A857" s="155"/>
      <c r="B857" s="112" t="str">
        <f t="shared" si="26"/>
        <v/>
      </c>
      <c r="C857" s="183"/>
      <c r="D857" s="152"/>
      <c r="E857" s="152"/>
      <c r="F857" s="151"/>
      <c r="G857" s="153"/>
      <c r="H857" s="151"/>
      <c r="I857" s="151"/>
      <c r="J857" s="151"/>
      <c r="K857" s="151"/>
      <c r="L857" s="151"/>
      <c r="M857" s="151"/>
      <c r="N857" s="151"/>
      <c r="O857" s="151"/>
      <c r="P857" s="151"/>
      <c r="Q857" s="151"/>
      <c r="R857" s="151"/>
      <c r="S857" s="152"/>
      <c r="T857" s="151"/>
      <c r="U857" s="151"/>
      <c r="V857" s="153"/>
      <c r="W857" s="151"/>
      <c r="X857" s="151"/>
      <c r="Y857" s="153"/>
      <c r="Z857" s="151"/>
      <c r="AA857" s="187" t="str">
        <f t="shared" si="27"/>
        <v>No</v>
      </c>
      <c r="AB857" s="158"/>
      <c r="AC857" s="159"/>
      <c r="AD857" s="160"/>
    </row>
    <row r="858" spans="1:30">
      <c r="A858" s="155"/>
      <c r="B858" s="112" t="str">
        <f t="shared" si="26"/>
        <v/>
      </c>
      <c r="C858" s="183"/>
      <c r="D858" s="152"/>
      <c r="E858" s="152"/>
      <c r="F858" s="151"/>
      <c r="G858" s="153"/>
      <c r="H858" s="151"/>
      <c r="I858" s="151"/>
      <c r="J858" s="151"/>
      <c r="K858" s="151"/>
      <c r="L858" s="151"/>
      <c r="M858" s="151"/>
      <c r="N858" s="151"/>
      <c r="O858" s="151"/>
      <c r="P858" s="151"/>
      <c r="Q858" s="151"/>
      <c r="R858" s="151"/>
      <c r="S858" s="152"/>
      <c r="T858" s="151"/>
      <c r="U858" s="151"/>
      <c r="V858" s="153"/>
      <c r="W858" s="151"/>
      <c r="X858" s="151"/>
      <c r="Y858" s="153"/>
      <c r="Z858" s="151"/>
      <c r="AA858" s="187" t="str">
        <f t="shared" si="27"/>
        <v>No</v>
      </c>
      <c r="AB858" s="158"/>
      <c r="AC858" s="159"/>
      <c r="AD858" s="160"/>
    </row>
    <row r="859" spans="1:30">
      <c r="A859" s="155"/>
      <c r="B859" s="112" t="str">
        <f t="shared" si="26"/>
        <v/>
      </c>
      <c r="C859" s="183"/>
      <c r="D859" s="152"/>
      <c r="E859" s="152"/>
      <c r="F859" s="151"/>
      <c r="G859" s="153"/>
      <c r="H859" s="151"/>
      <c r="I859" s="151"/>
      <c r="J859" s="151"/>
      <c r="K859" s="151"/>
      <c r="L859" s="151"/>
      <c r="M859" s="151"/>
      <c r="N859" s="151"/>
      <c r="O859" s="151"/>
      <c r="P859" s="151"/>
      <c r="Q859" s="151"/>
      <c r="R859" s="151"/>
      <c r="S859" s="152"/>
      <c r="T859" s="151"/>
      <c r="U859" s="151"/>
      <c r="V859" s="153"/>
      <c r="W859" s="151"/>
      <c r="X859" s="151"/>
      <c r="Y859" s="153"/>
      <c r="Z859" s="151"/>
      <c r="AA859" s="187" t="str">
        <f t="shared" si="27"/>
        <v>No</v>
      </c>
      <c r="AB859" s="158"/>
      <c r="AC859" s="159"/>
      <c r="AD859" s="160"/>
    </row>
    <row r="860" spans="1:30">
      <c r="A860" s="155"/>
      <c r="B860" s="112" t="str">
        <f t="shared" si="26"/>
        <v/>
      </c>
      <c r="C860" s="183"/>
      <c r="D860" s="152"/>
      <c r="E860" s="152"/>
      <c r="F860" s="151"/>
      <c r="G860" s="153"/>
      <c r="H860" s="151"/>
      <c r="I860" s="151"/>
      <c r="J860" s="151"/>
      <c r="K860" s="151"/>
      <c r="L860" s="151"/>
      <c r="M860" s="151"/>
      <c r="N860" s="151"/>
      <c r="O860" s="151"/>
      <c r="P860" s="151"/>
      <c r="Q860" s="151"/>
      <c r="R860" s="151"/>
      <c r="S860" s="152"/>
      <c r="T860" s="151"/>
      <c r="U860" s="151"/>
      <c r="V860" s="153"/>
      <c r="W860" s="151"/>
      <c r="X860" s="151"/>
      <c r="Y860" s="153"/>
      <c r="Z860" s="151"/>
      <c r="AA860" s="187" t="str">
        <f t="shared" si="27"/>
        <v>No</v>
      </c>
      <c r="AB860" s="158"/>
      <c r="AC860" s="159"/>
      <c r="AD860" s="160"/>
    </row>
    <row r="861" spans="1:30">
      <c r="A861" s="155"/>
      <c r="B861" s="112" t="str">
        <f t="shared" si="26"/>
        <v/>
      </c>
      <c r="C861" s="183"/>
      <c r="D861" s="152"/>
      <c r="E861" s="152"/>
      <c r="F861" s="151"/>
      <c r="G861" s="153"/>
      <c r="H861" s="151"/>
      <c r="I861" s="151"/>
      <c r="J861" s="151"/>
      <c r="K861" s="151"/>
      <c r="L861" s="151"/>
      <c r="M861" s="151"/>
      <c r="N861" s="151"/>
      <c r="O861" s="151"/>
      <c r="P861" s="151"/>
      <c r="Q861" s="151"/>
      <c r="R861" s="151"/>
      <c r="S861" s="152"/>
      <c r="T861" s="151"/>
      <c r="U861" s="151"/>
      <c r="V861" s="153"/>
      <c r="W861" s="151"/>
      <c r="X861" s="151"/>
      <c r="Y861" s="153"/>
      <c r="Z861" s="151"/>
      <c r="AA861" s="187" t="str">
        <f t="shared" si="27"/>
        <v>No</v>
      </c>
      <c r="AB861" s="158"/>
      <c r="AC861" s="159"/>
      <c r="AD861" s="160"/>
    </row>
    <row r="862" spans="1:30">
      <c r="A862" s="155"/>
      <c r="B862" s="112" t="str">
        <f t="shared" si="26"/>
        <v/>
      </c>
      <c r="C862" s="183"/>
      <c r="D862" s="152"/>
      <c r="E862" s="152"/>
      <c r="F862" s="151"/>
      <c r="G862" s="153"/>
      <c r="H862" s="151"/>
      <c r="I862" s="151"/>
      <c r="J862" s="151"/>
      <c r="K862" s="151"/>
      <c r="L862" s="151"/>
      <c r="M862" s="151"/>
      <c r="N862" s="151"/>
      <c r="O862" s="151"/>
      <c r="P862" s="151"/>
      <c r="Q862" s="151"/>
      <c r="R862" s="151"/>
      <c r="S862" s="152"/>
      <c r="T862" s="151"/>
      <c r="U862" s="151"/>
      <c r="V862" s="153"/>
      <c r="W862" s="151"/>
      <c r="X862" s="151"/>
      <c r="Y862" s="153"/>
      <c r="Z862" s="151"/>
      <c r="AA862" s="187" t="str">
        <f t="shared" si="27"/>
        <v>No</v>
      </c>
      <c r="AB862" s="158"/>
      <c r="AC862" s="159"/>
      <c r="AD862" s="160"/>
    </row>
    <row r="863" spans="1:30">
      <c r="A863" s="155"/>
      <c r="B863" s="112" t="str">
        <f t="shared" si="26"/>
        <v/>
      </c>
      <c r="C863" s="183"/>
      <c r="D863" s="152"/>
      <c r="E863" s="152"/>
      <c r="F863" s="151"/>
      <c r="G863" s="153"/>
      <c r="H863" s="151"/>
      <c r="I863" s="151"/>
      <c r="J863" s="151"/>
      <c r="K863" s="151"/>
      <c r="L863" s="151"/>
      <c r="M863" s="151"/>
      <c r="N863" s="151"/>
      <c r="O863" s="151"/>
      <c r="P863" s="151"/>
      <c r="Q863" s="151"/>
      <c r="R863" s="151"/>
      <c r="S863" s="152"/>
      <c r="T863" s="151"/>
      <c r="U863" s="151"/>
      <c r="V863" s="153"/>
      <c r="W863" s="151"/>
      <c r="X863" s="151"/>
      <c r="Y863" s="153"/>
      <c r="Z863" s="151"/>
      <c r="AA863" s="187" t="str">
        <f t="shared" si="27"/>
        <v>No</v>
      </c>
      <c r="AB863" s="158"/>
      <c r="AC863" s="159"/>
      <c r="AD863" s="160"/>
    </row>
    <row r="864" spans="1:30">
      <c r="A864" s="155"/>
      <c r="B864" s="112" t="str">
        <f t="shared" si="26"/>
        <v/>
      </c>
      <c r="C864" s="183"/>
      <c r="D864" s="152"/>
      <c r="E864" s="152"/>
      <c r="F864" s="151"/>
      <c r="G864" s="153"/>
      <c r="H864" s="151"/>
      <c r="I864" s="151"/>
      <c r="J864" s="151"/>
      <c r="K864" s="151"/>
      <c r="L864" s="151"/>
      <c r="M864" s="151"/>
      <c r="N864" s="151"/>
      <c r="O864" s="151"/>
      <c r="P864" s="151"/>
      <c r="Q864" s="151"/>
      <c r="R864" s="151"/>
      <c r="S864" s="152"/>
      <c r="T864" s="151"/>
      <c r="U864" s="151"/>
      <c r="V864" s="153"/>
      <c r="W864" s="151"/>
      <c r="X864" s="151"/>
      <c r="Y864" s="153"/>
      <c r="Z864" s="151"/>
      <c r="AA864" s="187" t="str">
        <f t="shared" si="27"/>
        <v>No</v>
      </c>
      <c r="AB864" s="158"/>
      <c r="AC864" s="159"/>
      <c r="AD864" s="160"/>
    </row>
    <row r="865" spans="1:30">
      <c r="A865" s="155"/>
      <c r="B865" s="112" t="str">
        <f t="shared" si="26"/>
        <v/>
      </c>
      <c r="C865" s="183"/>
      <c r="D865" s="152"/>
      <c r="E865" s="152"/>
      <c r="F865" s="151"/>
      <c r="G865" s="153"/>
      <c r="H865" s="151"/>
      <c r="I865" s="151"/>
      <c r="J865" s="151"/>
      <c r="K865" s="151"/>
      <c r="L865" s="151"/>
      <c r="M865" s="151"/>
      <c r="N865" s="151"/>
      <c r="O865" s="151"/>
      <c r="P865" s="151"/>
      <c r="Q865" s="151"/>
      <c r="R865" s="151"/>
      <c r="S865" s="152"/>
      <c r="T865" s="151"/>
      <c r="U865" s="151"/>
      <c r="V865" s="153"/>
      <c r="W865" s="151"/>
      <c r="X865" s="151"/>
      <c r="Y865" s="153"/>
      <c r="Z865" s="151"/>
      <c r="AA865" s="187" t="str">
        <f t="shared" si="27"/>
        <v>No</v>
      </c>
      <c r="AB865" s="158"/>
      <c r="AC865" s="159"/>
      <c r="AD865" s="160"/>
    </row>
    <row r="866" spans="1:30">
      <c r="A866" s="155"/>
      <c r="B866" s="112" t="str">
        <f t="shared" si="26"/>
        <v/>
      </c>
      <c r="C866" s="183"/>
      <c r="D866" s="152"/>
      <c r="E866" s="152"/>
      <c r="F866" s="151"/>
      <c r="G866" s="153"/>
      <c r="H866" s="151"/>
      <c r="I866" s="151"/>
      <c r="J866" s="151"/>
      <c r="K866" s="151"/>
      <c r="L866" s="151"/>
      <c r="M866" s="151"/>
      <c r="N866" s="151"/>
      <c r="O866" s="151"/>
      <c r="P866" s="151"/>
      <c r="Q866" s="151"/>
      <c r="R866" s="151"/>
      <c r="S866" s="152"/>
      <c r="T866" s="151"/>
      <c r="U866" s="151"/>
      <c r="V866" s="153"/>
      <c r="W866" s="151"/>
      <c r="X866" s="151"/>
      <c r="Y866" s="153"/>
      <c r="Z866" s="151"/>
      <c r="AA866" s="187" t="str">
        <f t="shared" si="27"/>
        <v>No</v>
      </c>
      <c r="AB866" s="158"/>
      <c r="AC866" s="159"/>
      <c r="AD866" s="160"/>
    </row>
    <row r="867" spans="1:30">
      <c r="A867" s="155"/>
      <c r="B867" s="112" t="str">
        <f t="shared" si="26"/>
        <v/>
      </c>
      <c r="C867" s="183"/>
      <c r="D867" s="152"/>
      <c r="E867" s="152"/>
      <c r="F867" s="151"/>
      <c r="G867" s="153"/>
      <c r="H867" s="151"/>
      <c r="I867" s="151"/>
      <c r="J867" s="151"/>
      <c r="K867" s="151"/>
      <c r="L867" s="151"/>
      <c r="M867" s="151"/>
      <c r="N867" s="151"/>
      <c r="O867" s="151"/>
      <c r="P867" s="151"/>
      <c r="Q867" s="151"/>
      <c r="R867" s="151"/>
      <c r="S867" s="152"/>
      <c r="T867" s="151"/>
      <c r="U867" s="151"/>
      <c r="V867" s="153"/>
      <c r="W867" s="151"/>
      <c r="X867" s="151"/>
      <c r="Y867" s="153"/>
      <c r="Z867" s="151"/>
      <c r="AA867" s="187" t="str">
        <f t="shared" si="27"/>
        <v>No</v>
      </c>
      <c r="AB867" s="158"/>
      <c r="AC867" s="159"/>
      <c r="AD867" s="160"/>
    </row>
    <row r="868" spans="1:30">
      <c r="A868" s="155"/>
      <c r="B868" s="112" t="str">
        <f t="shared" si="26"/>
        <v/>
      </c>
      <c r="C868" s="183"/>
      <c r="D868" s="152"/>
      <c r="E868" s="152"/>
      <c r="F868" s="151"/>
      <c r="G868" s="153"/>
      <c r="H868" s="151"/>
      <c r="I868" s="151"/>
      <c r="J868" s="151"/>
      <c r="K868" s="151"/>
      <c r="L868" s="151"/>
      <c r="M868" s="151"/>
      <c r="N868" s="151"/>
      <c r="O868" s="151"/>
      <c r="P868" s="151"/>
      <c r="Q868" s="151"/>
      <c r="R868" s="151"/>
      <c r="S868" s="152"/>
      <c r="T868" s="151"/>
      <c r="U868" s="151"/>
      <c r="V868" s="153"/>
      <c r="W868" s="151"/>
      <c r="X868" s="151"/>
      <c r="Y868" s="153"/>
      <c r="Z868" s="151"/>
      <c r="AA868" s="187" t="str">
        <f t="shared" si="27"/>
        <v>No</v>
      </c>
      <c r="AB868" s="158"/>
      <c r="AC868" s="159"/>
      <c r="AD868" s="160"/>
    </row>
    <row r="869" spans="1:30">
      <c r="A869" s="155"/>
      <c r="B869" s="112" t="str">
        <f t="shared" si="26"/>
        <v/>
      </c>
      <c r="C869" s="183"/>
      <c r="D869" s="152"/>
      <c r="E869" s="152"/>
      <c r="F869" s="151"/>
      <c r="G869" s="153"/>
      <c r="H869" s="151"/>
      <c r="I869" s="151"/>
      <c r="J869" s="151"/>
      <c r="K869" s="151"/>
      <c r="L869" s="151"/>
      <c r="M869" s="151"/>
      <c r="N869" s="151"/>
      <c r="O869" s="151"/>
      <c r="P869" s="151"/>
      <c r="Q869" s="151"/>
      <c r="R869" s="151"/>
      <c r="S869" s="152"/>
      <c r="T869" s="151"/>
      <c r="U869" s="151"/>
      <c r="V869" s="153"/>
      <c r="W869" s="151"/>
      <c r="X869" s="151"/>
      <c r="Y869" s="153"/>
      <c r="Z869" s="151"/>
      <c r="AA869" s="187" t="str">
        <f t="shared" si="27"/>
        <v>No</v>
      </c>
      <c r="AB869" s="158"/>
      <c r="AC869" s="159"/>
      <c r="AD869" s="160"/>
    </row>
    <row r="870" spans="1:30">
      <c r="A870" s="155"/>
      <c r="B870" s="112" t="str">
        <f t="shared" si="26"/>
        <v/>
      </c>
      <c r="C870" s="183"/>
      <c r="D870" s="152"/>
      <c r="E870" s="152"/>
      <c r="F870" s="151"/>
      <c r="G870" s="153"/>
      <c r="H870" s="151"/>
      <c r="I870" s="151"/>
      <c r="J870" s="151"/>
      <c r="K870" s="151"/>
      <c r="L870" s="151"/>
      <c r="M870" s="151"/>
      <c r="N870" s="151"/>
      <c r="O870" s="151"/>
      <c r="P870" s="151"/>
      <c r="Q870" s="151"/>
      <c r="R870" s="151"/>
      <c r="S870" s="152"/>
      <c r="T870" s="151"/>
      <c r="U870" s="151"/>
      <c r="V870" s="153"/>
      <c r="W870" s="151"/>
      <c r="X870" s="151"/>
      <c r="Y870" s="153"/>
      <c r="Z870" s="151"/>
      <c r="AA870" s="187" t="str">
        <f t="shared" si="27"/>
        <v>No</v>
      </c>
      <c r="AB870" s="158"/>
      <c r="AC870" s="159"/>
      <c r="AD870" s="160"/>
    </row>
    <row r="871" spans="1:30">
      <c r="A871" s="155"/>
      <c r="B871" s="112" t="str">
        <f t="shared" si="26"/>
        <v/>
      </c>
      <c r="C871" s="183"/>
      <c r="D871" s="152"/>
      <c r="E871" s="152"/>
      <c r="F871" s="151"/>
      <c r="G871" s="153"/>
      <c r="H871" s="151"/>
      <c r="I871" s="151"/>
      <c r="J871" s="151"/>
      <c r="K871" s="151"/>
      <c r="L871" s="151"/>
      <c r="M871" s="151"/>
      <c r="N871" s="151"/>
      <c r="O871" s="151"/>
      <c r="P871" s="151"/>
      <c r="Q871" s="151"/>
      <c r="R871" s="151"/>
      <c r="S871" s="152"/>
      <c r="T871" s="151"/>
      <c r="U871" s="151"/>
      <c r="V871" s="153"/>
      <c r="W871" s="151"/>
      <c r="X871" s="151"/>
      <c r="Y871" s="153"/>
      <c r="Z871" s="151"/>
      <c r="AA871" s="187" t="str">
        <f t="shared" si="27"/>
        <v>No</v>
      </c>
      <c r="AB871" s="158"/>
      <c r="AC871" s="159"/>
      <c r="AD871" s="160"/>
    </row>
    <row r="872" spans="1:30">
      <c r="A872" s="155"/>
      <c r="B872" s="112" t="str">
        <f t="shared" si="26"/>
        <v/>
      </c>
      <c r="C872" s="183"/>
      <c r="D872" s="152"/>
      <c r="E872" s="152"/>
      <c r="F872" s="151"/>
      <c r="G872" s="153"/>
      <c r="H872" s="151"/>
      <c r="I872" s="151"/>
      <c r="J872" s="151"/>
      <c r="K872" s="151"/>
      <c r="L872" s="151"/>
      <c r="M872" s="151"/>
      <c r="N872" s="151"/>
      <c r="O872" s="151"/>
      <c r="P872" s="151"/>
      <c r="Q872" s="151"/>
      <c r="R872" s="151"/>
      <c r="S872" s="152"/>
      <c r="T872" s="151"/>
      <c r="U872" s="151"/>
      <c r="V872" s="153"/>
      <c r="W872" s="151"/>
      <c r="X872" s="151"/>
      <c r="Y872" s="153"/>
      <c r="Z872" s="151"/>
      <c r="AA872" s="187" t="str">
        <f t="shared" si="27"/>
        <v>No</v>
      </c>
      <c r="AB872" s="158"/>
      <c r="AC872" s="159"/>
      <c r="AD872" s="160"/>
    </row>
    <row r="873" spans="1:30">
      <c r="A873" s="155"/>
      <c r="B873" s="112" t="str">
        <f t="shared" si="26"/>
        <v/>
      </c>
      <c r="C873" s="183"/>
      <c r="D873" s="152"/>
      <c r="E873" s="152"/>
      <c r="F873" s="151"/>
      <c r="G873" s="153"/>
      <c r="H873" s="151"/>
      <c r="I873" s="151"/>
      <c r="J873" s="151"/>
      <c r="K873" s="151"/>
      <c r="L873" s="151"/>
      <c r="M873" s="151"/>
      <c r="N873" s="151"/>
      <c r="O873" s="151"/>
      <c r="P873" s="151"/>
      <c r="Q873" s="151"/>
      <c r="R873" s="151"/>
      <c r="S873" s="152"/>
      <c r="T873" s="151"/>
      <c r="U873" s="151"/>
      <c r="V873" s="153"/>
      <c r="W873" s="151"/>
      <c r="X873" s="151"/>
      <c r="Y873" s="153"/>
      <c r="Z873" s="151"/>
      <c r="AA873" s="187" t="str">
        <f t="shared" si="27"/>
        <v>No</v>
      </c>
      <c r="AB873" s="158"/>
      <c r="AC873" s="159"/>
      <c r="AD873" s="160"/>
    </row>
    <row r="874" spans="1:30">
      <c r="A874" s="155"/>
      <c r="B874" s="112" t="str">
        <f t="shared" si="26"/>
        <v/>
      </c>
      <c r="C874" s="183"/>
      <c r="D874" s="152"/>
      <c r="E874" s="152"/>
      <c r="F874" s="151"/>
      <c r="G874" s="153"/>
      <c r="H874" s="151"/>
      <c r="I874" s="151"/>
      <c r="J874" s="151"/>
      <c r="K874" s="151"/>
      <c r="L874" s="151"/>
      <c r="M874" s="151"/>
      <c r="N874" s="151"/>
      <c r="O874" s="151"/>
      <c r="P874" s="151"/>
      <c r="Q874" s="151"/>
      <c r="R874" s="151"/>
      <c r="S874" s="152"/>
      <c r="T874" s="151"/>
      <c r="U874" s="151"/>
      <c r="V874" s="153"/>
      <c r="W874" s="151"/>
      <c r="X874" s="151"/>
      <c r="Y874" s="153"/>
      <c r="Z874" s="151"/>
      <c r="AA874" s="187" t="str">
        <f t="shared" si="27"/>
        <v>No</v>
      </c>
      <c r="AB874" s="158"/>
      <c r="AC874" s="159"/>
      <c r="AD874" s="160"/>
    </row>
    <row r="875" spans="1:30">
      <c r="A875" s="155"/>
      <c r="B875" s="112" t="str">
        <f t="shared" si="26"/>
        <v/>
      </c>
      <c r="C875" s="183"/>
      <c r="D875" s="152"/>
      <c r="E875" s="152"/>
      <c r="F875" s="151"/>
      <c r="G875" s="153"/>
      <c r="H875" s="151"/>
      <c r="I875" s="151"/>
      <c r="J875" s="151"/>
      <c r="K875" s="151"/>
      <c r="L875" s="151"/>
      <c r="M875" s="151"/>
      <c r="N875" s="151"/>
      <c r="O875" s="151"/>
      <c r="P875" s="151"/>
      <c r="Q875" s="151"/>
      <c r="R875" s="151"/>
      <c r="S875" s="152"/>
      <c r="T875" s="151"/>
      <c r="U875" s="151"/>
      <c r="V875" s="153"/>
      <c r="W875" s="151"/>
      <c r="X875" s="151"/>
      <c r="Y875" s="153"/>
      <c r="Z875" s="151"/>
      <c r="AA875" s="187" t="str">
        <f t="shared" si="27"/>
        <v>No</v>
      </c>
      <c r="AB875" s="158"/>
      <c r="AC875" s="159"/>
      <c r="AD875" s="160"/>
    </row>
    <row r="876" spans="1:30">
      <c r="A876" s="155"/>
      <c r="B876" s="112" t="str">
        <f t="shared" si="26"/>
        <v/>
      </c>
      <c r="C876" s="183"/>
      <c r="D876" s="152"/>
      <c r="E876" s="152"/>
      <c r="F876" s="151"/>
      <c r="G876" s="153"/>
      <c r="H876" s="151"/>
      <c r="I876" s="151"/>
      <c r="J876" s="151"/>
      <c r="K876" s="151"/>
      <c r="L876" s="151"/>
      <c r="M876" s="151"/>
      <c r="N876" s="151"/>
      <c r="O876" s="151"/>
      <c r="P876" s="151"/>
      <c r="Q876" s="151"/>
      <c r="R876" s="151"/>
      <c r="S876" s="152"/>
      <c r="T876" s="151"/>
      <c r="U876" s="151"/>
      <c r="V876" s="153"/>
      <c r="W876" s="151"/>
      <c r="X876" s="151"/>
      <c r="Y876" s="153"/>
      <c r="Z876" s="151"/>
      <c r="AA876" s="187" t="str">
        <f t="shared" si="27"/>
        <v>No</v>
      </c>
      <c r="AB876" s="158"/>
      <c r="AC876" s="159"/>
      <c r="AD876" s="160"/>
    </row>
    <row r="877" spans="1:30">
      <c r="A877" s="155"/>
      <c r="B877" s="112" t="str">
        <f t="shared" si="26"/>
        <v/>
      </c>
      <c r="C877" s="183"/>
      <c r="D877" s="152"/>
      <c r="E877" s="152"/>
      <c r="F877" s="151"/>
      <c r="G877" s="153"/>
      <c r="H877" s="151"/>
      <c r="I877" s="151"/>
      <c r="J877" s="151"/>
      <c r="K877" s="151"/>
      <c r="L877" s="151"/>
      <c r="M877" s="151"/>
      <c r="N877" s="151"/>
      <c r="O877" s="151"/>
      <c r="P877" s="151"/>
      <c r="Q877" s="151"/>
      <c r="R877" s="151"/>
      <c r="S877" s="152"/>
      <c r="T877" s="151"/>
      <c r="U877" s="151"/>
      <c r="V877" s="153"/>
      <c r="W877" s="151"/>
      <c r="X877" s="151"/>
      <c r="Y877" s="153"/>
      <c r="Z877" s="151"/>
      <c r="AA877" s="187" t="str">
        <f t="shared" si="27"/>
        <v>No</v>
      </c>
      <c r="AB877" s="158"/>
      <c r="AC877" s="159"/>
      <c r="AD877" s="160"/>
    </row>
    <row r="878" spans="1:30">
      <c r="A878" s="155"/>
      <c r="B878" s="112" t="str">
        <f t="shared" si="26"/>
        <v/>
      </c>
      <c r="C878" s="183"/>
      <c r="D878" s="152"/>
      <c r="E878" s="152"/>
      <c r="F878" s="151"/>
      <c r="G878" s="153"/>
      <c r="H878" s="151"/>
      <c r="I878" s="151"/>
      <c r="J878" s="151"/>
      <c r="K878" s="151"/>
      <c r="L878" s="151"/>
      <c r="M878" s="151"/>
      <c r="N878" s="151"/>
      <c r="O878" s="151"/>
      <c r="P878" s="151"/>
      <c r="Q878" s="151"/>
      <c r="R878" s="151"/>
      <c r="S878" s="152"/>
      <c r="T878" s="151"/>
      <c r="U878" s="151"/>
      <c r="V878" s="153"/>
      <c r="W878" s="151"/>
      <c r="X878" s="151"/>
      <c r="Y878" s="153"/>
      <c r="Z878" s="151"/>
      <c r="AA878" s="187" t="str">
        <f t="shared" si="27"/>
        <v>No</v>
      </c>
      <c r="AB878" s="158"/>
      <c r="AC878" s="159"/>
      <c r="AD878" s="160"/>
    </row>
    <row r="879" spans="1:30">
      <c r="A879" s="155"/>
      <c r="B879" s="112" t="str">
        <f t="shared" si="26"/>
        <v/>
      </c>
      <c r="C879" s="183"/>
      <c r="D879" s="152"/>
      <c r="E879" s="152"/>
      <c r="F879" s="151"/>
      <c r="G879" s="153"/>
      <c r="H879" s="151"/>
      <c r="I879" s="151"/>
      <c r="J879" s="151"/>
      <c r="K879" s="151"/>
      <c r="L879" s="151"/>
      <c r="M879" s="151"/>
      <c r="N879" s="151"/>
      <c r="O879" s="151"/>
      <c r="P879" s="151"/>
      <c r="Q879" s="151"/>
      <c r="R879" s="151"/>
      <c r="S879" s="152"/>
      <c r="T879" s="151"/>
      <c r="U879" s="151"/>
      <c r="V879" s="153"/>
      <c r="W879" s="151"/>
      <c r="X879" s="151"/>
      <c r="Y879" s="153"/>
      <c r="Z879" s="151"/>
      <c r="AA879" s="187" t="str">
        <f t="shared" si="27"/>
        <v>No</v>
      </c>
      <c r="AB879" s="158"/>
      <c r="AC879" s="159"/>
      <c r="AD879" s="160"/>
    </row>
    <row r="880" spans="1:30">
      <c r="A880" s="155"/>
      <c r="B880" s="112" t="str">
        <f t="shared" si="26"/>
        <v/>
      </c>
      <c r="C880" s="183"/>
      <c r="D880" s="152"/>
      <c r="E880" s="152"/>
      <c r="F880" s="151"/>
      <c r="G880" s="153"/>
      <c r="H880" s="151"/>
      <c r="I880" s="151"/>
      <c r="J880" s="151"/>
      <c r="K880" s="151"/>
      <c r="L880" s="151"/>
      <c r="M880" s="151"/>
      <c r="N880" s="151"/>
      <c r="O880" s="151"/>
      <c r="P880" s="151"/>
      <c r="Q880" s="151"/>
      <c r="R880" s="151"/>
      <c r="S880" s="152"/>
      <c r="T880" s="151"/>
      <c r="U880" s="151"/>
      <c r="V880" s="153"/>
      <c r="W880" s="151"/>
      <c r="X880" s="151"/>
      <c r="Y880" s="153"/>
      <c r="Z880" s="151"/>
      <c r="AA880" s="187" t="str">
        <f t="shared" si="27"/>
        <v>No</v>
      </c>
      <c r="AB880" s="158"/>
      <c r="AC880" s="159"/>
      <c r="AD880" s="160"/>
    </row>
    <row r="881" spans="1:30">
      <c r="A881" s="155"/>
      <c r="B881" s="112" t="str">
        <f t="shared" si="26"/>
        <v/>
      </c>
      <c r="C881" s="183"/>
      <c r="D881" s="152"/>
      <c r="E881" s="152"/>
      <c r="F881" s="151"/>
      <c r="G881" s="153"/>
      <c r="H881" s="151"/>
      <c r="I881" s="151"/>
      <c r="J881" s="151"/>
      <c r="K881" s="151"/>
      <c r="L881" s="151"/>
      <c r="M881" s="151"/>
      <c r="N881" s="151"/>
      <c r="O881" s="151"/>
      <c r="P881" s="151"/>
      <c r="Q881" s="151"/>
      <c r="R881" s="151"/>
      <c r="S881" s="152"/>
      <c r="T881" s="151"/>
      <c r="U881" s="151"/>
      <c r="V881" s="153"/>
      <c r="W881" s="151"/>
      <c r="X881" s="151"/>
      <c r="Y881" s="153"/>
      <c r="Z881" s="151"/>
      <c r="AA881" s="187" t="str">
        <f t="shared" si="27"/>
        <v>No</v>
      </c>
      <c r="AB881" s="158"/>
      <c r="AC881" s="159"/>
      <c r="AD881" s="160"/>
    </row>
    <row r="882" spans="1:30">
      <c r="A882" s="155"/>
      <c r="B882" s="112" t="str">
        <f t="shared" si="26"/>
        <v/>
      </c>
      <c r="C882" s="183"/>
      <c r="D882" s="152"/>
      <c r="E882" s="152"/>
      <c r="F882" s="151"/>
      <c r="G882" s="153"/>
      <c r="H882" s="151"/>
      <c r="I882" s="151"/>
      <c r="J882" s="151"/>
      <c r="K882" s="151"/>
      <c r="L882" s="151"/>
      <c r="M882" s="151"/>
      <c r="N882" s="151"/>
      <c r="O882" s="151"/>
      <c r="P882" s="151"/>
      <c r="Q882" s="151"/>
      <c r="R882" s="151"/>
      <c r="S882" s="152"/>
      <c r="T882" s="151"/>
      <c r="U882" s="151"/>
      <c r="V882" s="153"/>
      <c r="W882" s="151"/>
      <c r="X882" s="151"/>
      <c r="Y882" s="153"/>
      <c r="Z882" s="151"/>
      <c r="AA882" s="187" t="str">
        <f t="shared" si="27"/>
        <v>No</v>
      </c>
      <c r="AB882" s="158"/>
      <c r="AC882" s="159"/>
      <c r="AD882" s="160"/>
    </row>
    <row r="883" spans="1:30">
      <c r="A883" s="155"/>
      <c r="B883" s="112" t="str">
        <f t="shared" si="26"/>
        <v/>
      </c>
      <c r="C883" s="183"/>
      <c r="D883" s="152"/>
      <c r="E883" s="152"/>
      <c r="F883" s="151"/>
      <c r="G883" s="153"/>
      <c r="H883" s="151"/>
      <c r="I883" s="151"/>
      <c r="J883" s="151"/>
      <c r="K883" s="151"/>
      <c r="L883" s="151"/>
      <c r="M883" s="151"/>
      <c r="N883" s="151"/>
      <c r="O883" s="151"/>
      <c r="P883" s="151"/>
      <c r="Q883" s="151"/>
      <c r="R883" s="151"/>
      <c r="S883" s="152"/>
      <c r="T883" s="151"/>
      <c r="U883" s="151"/>
      <c r="V883" s="153"/>
      <c r="W883" s="151"/>
      <c r="X883" s="151"/>
      <c r="Y883" s="153"/>
      <c r="Z883" s="151"/>
      <c r="AA883" s="187" t="str">
        <f t="shared" si="27"/>
        <v>No</v>
      </c>
      <c r="AB883" s="158"/>
      <c r="AC883" s="159"/>
      <c r="AD883" s="160"/>
    </row>
    <row r="884" spans="1:30">
      <c r="A884" s="155"/>
      <c r="B884" s="112" t="str">
        <f t="shared" si="26"/>
        <v/>
      </c>
      <c r="C884" s="183"/>
      <c r="D884" s="152"/>
      <c r="E884" s="152"/>
      <c r="F884" s="151"/>
      <c r="G884" s="153"/>
      <c r="H884" s="151"/>
      <c r="I884" s="151"/>
      <c r="J884" s="151"/>
      <c r="K884" s="151"/>
      <c r="L884" s="151"/>
      <c r="M884" s="151"/>
      <c r="N884" s="151"/>
      <c r="O884" s="151"/>
      <c r="P884" s="151"/>
      <c r="Q884" s="151"/>
      <c r="R884" s="151"/>
      <c r="S884" s="152"/>
      <c r="T884" s="151"/>
      <c r="U884" s="151"/>
      <c r="V884" s="153"/>
      <c r="W884" s="151"/>
      <c r="X884" s="151"/>
      <c r="Y884" s="153"/>
      <c r="Z884" s="151"/>
      <c r="AA884" s="187" t="str">
        <f t="shared" si="27"/>
        <v>No</v>
      </c>
      <c r="AB884" s="158"/>
      <c r="AC884" s="159"/>
      <c r="AD884" s="160"/>
    </row>
    <row r="885" spans="1:30">
      <c r="A885" s="155"/>
      <c r="B885" s="112" t="str">
        <f t="shared" si="26"/>
        <v/>
      </c>
      <c r="C885" s="183"/>
      <c r="D885" s="152"/>
      <c r="E885" s="152"/>
      <c r="F885" s="151"/>
      <c r="G885" s="153"/>
      <c r="H885" s="151"/>
      <c r="I885" s="151"/>
      <c r="J885" s="151"/>
      <c r="K885" s="151"/>
      <c r="L885" s="151"/>
      <c r="M885" s="151"/>
      <c r="N885" s="151"/>
      <c r="O885" s="151"/>
      <c r="P885" s="151"/>
      <c r="Q885" s="151"/>
      <c r="R885" s="151"/>
      <c r="S885" s="152"/>
      <c r="T885" s="151"/>
      <c r="U885" s="151"/>
      <c r="V885" s="153"/>
      <c r="W885" s="151"/>
      <c r="X885" s="151"/>
      <c r="Y885" s="153"/>
      <c r="Z885" s="151"/>
      <c r="AA885" s="187" t="str">
        <f t="shared" si="27"/>
        <v>No</v>
      </c>
      <c r="AB885" s="158"/>
      <c r="AC885" s="159"/>
      <c r="AD885" s="160"/>
    </row>
    <row r="886" spans="1:30">
      <c r="A886" s="155"/>
      <c r="B886" s="112" t="str">
        <f t="shared" si="26"/>
        <v/>
      </c>
      <c r="C886" s="183"/>
      <c r="D886" s="152"/>
      <c r="E886" s="152"/>
      <c r="F886" s="151"/>
      <c r="G886" s="153"/>
      <c r="H886" s="151"/>
      <c r="I886" s="151"/>
      <c r="J886" s="151"/>
      <c r="K886" s="151"/>
      <c r="L886" s="151"/>
      <c r="M886" s="151"/>
      <c r="N886" s="151"/>
      <c r="O886" s="151"/>
      <c r="P886" s="151"/>
      <c r="Q886" s="151"/>
      <c r="R886" s="151"/>
      <c r="S886" s="152"/>
      <c r="T886" s="151"/>
      <c r="U886" s="151"/>
      <c r="V886" s="153"/>
      <c r="W886" s="151"/>
      <c r="X886" s="151"/>
      <c r="Y886" s="153"/>
      <c r="Z886" s="151"/>
      <c r="AA886" s="187" t="str">
        <f t="shared" si="27"/>
        <v>No</v>
      </c>
      <c r="AB886" s="158"/>
      <c r="AC886" s="159"/>
      <c r="AD886" s="160"/>
    </row>
    <row r="887" spans="1:30">
      <c r="A887" s="155"/>
      <c r="B887" s="112" t="str">
        <f t="shared" si="26"/>
        <v/>
      </c>
      <c r="C887" s="183"/>
      <c r="D887" s="152"/>
      <c r="E887" s="152"/>
      <c r="F887" s="151"/>
      <c r="G887" s="153"/>
      <c r="H887" s="151"/>
      <c r="I887" s="151"/>
      <c r="J887" s="151"/>
      <c r="K887" s="151"/>
      <c r="L887" s="151"/>
      <c r="M887" s="151"/>
      <c r="N887" s="151"/>
      <c r="O887" s="151"/>
      <c r="P887" s="151"/>
      <c r="Q887" s="151"/>
      <c r="R887" s="151"/>
      <c r="S887" s="152"/>
      <c r="T887" s="151"/>
      <c r="U887" s="151"/>
      <c r="V887" s="153"/>
      <c r="W887" s="151"/>
      <c r="X887" s="151"/>
      <c r="Y887" s="153"/>
      <c r="Z887" s="151"/>
      <c r="AA887" s="187" t="str">
        <f t="shared" si="27"/>
        <v>No</v>
      </c>
      <c r="AB887" s="158"/>
      <c r="AC887" s="159"/>
      <c r="AD887" s="160"/>
    </row>
    <row r="888" spans="1:30">
      <c r="A888" s="155"/>
      <c r="B888" s="112" t="str">
        <f t="shared" si="26"/>
        <v/>
      </c>
      <c r="C888" s="183"/>
      <c r="D888" s="152"/>
      <c r="E888" s="152"/>
      <c r="F888" s="151"/>
      <c r="G888" s="153"/>
      <c r="H888" s="151"/>
      <c r="I888" s="151"/>
      <c r="J888" s="151"/>
      <c r="K888" s="151"/>
      <c r="L888" s="151"/>
      <c r="M888" s="151"/>
      <c r="N888" s="151"/>
      <c r="O888" s="151"/>
      <c r="P888" s="151"/>
      <c r="Q888" s="151"/>
      <c r="R888" s="151"/>
      <c r="S888" s="152"/>
      <c r="T888" s="151"/>
      <c r="U888" s="151"/>
      <c r="V888" s="153"/>
      <c r="W888" s="151"/>
      <c r="X888" s="151"/>
      <c r="Y888" s="153"/>
      <c r="Z888" s="151"/>
      <c r="AA888" s="187" t="str">
        <f t="shared" si="27"/>
        <v>No</v>
      </c>
      <c r="AB888" s="158"/>
      <c r="AC888" s="159"/>
      <c r="AD888" s="160"/>
    </row>
    <row r="889" spans="1:30">
      <c r="A889" s="155"/>
      <c r="B889" s="112" t="str">
        <f t="shared" si="26"/>
        <v/>
      </c>
      <c r="C889" s="183"/>
      <c r="D889" s="152"/>
      <c r="E889" s="152"/>
      <c r="F889" s="151"/>
      <c r="G889" s="153"/>
      <c r="H889" s="151"/>
      <c r="I889" s="151"/>
      <c r="J889" s="151"/>
      <c r="K889" s="151"/>
      <c r="L889" s="151"/>
      <c r="M889" s="151"/>
      <c r="N889" s="151"/>
      <c r="O889" s="151"/>
      <c r="P889" s="151"/>
      <c r="Q889" s="151"/>
      <c r="R889" s="151"/>
      <c r="S889" s="152"/>
      <c r="T889" s="151"/>
      <c r="U889" s="151"/>
      <c r="V889" s="153"/>
      <c r="W889" s="151"/>
      <c r="X889" s="151"/>
      <c r="Y889" s="153"/>
      <c r="Z889" s="151"/>
      <c r="AA889" s="187" t="str">
        <f t="shared" si="27"/>
        <v>No</v>
      </c>
      <c r="AB889" s="158"/>
      <c r="AC889" s="159"/>
      <c r="AD889" s="160"/>
    </row>
    <row r="890" spans="1:30">
      <c r="A890" s="155"/>
      <c r="B890" s="112" t="str">
        <f t="shared" si="26"/>
        <v/>
      </c>
      <c r="C890" s="183"/>
      <c r="D890" s="152"/>
      <c r="E890" s="152"/>
      <c r="F890" s="151"/>
      <c r="G890" s="153"/>
      <c r="H890" s="151"/>
      <c r="I890" s="151"/>
      <c r="J890" s="151"/>
      <c r="K890" s="151"/>
      <c r="L890" s="151"/>
      <c r="M890" s="151"/>
      <c r="N890" s="151"/>
      <c r="O890" s="151"/>
      <c r="P890" s="151"/>
      <c r="Q890" s="151"/>
      <c r="R890" s="151"/>
      <c r="S890" s="152"/>
      <c r="T890" s="151"/>
      <c r="U890" s="151"/>
      <c r="V890" s="153"/>
      <c r="W890" s="151"/>
      <c r="X890" s="151"/>
      <c r="Y890" s="153"/>
      <c r="Z890" s="151"/>
      <c r="AA890" s="187" t="str">
        <f t="shared" si="27"/>
        <v>No</v>
      </c>
      <c r="AB890" s="158"/>
      <c r="AC890" s="159"/>
      <c r="AD890" s="160"/>
    </row>
    <row r="891" spans="1:30">
      <c r="A891" s="155"/>
      <c r="B891" s="112" t="str">
        <f t="shared" si="26"/>
        <v/>
      </c>
      <c r="C891" s="183"/>
      <c r="D891" s="152"/>
      <c r="E891" s="152"/>
      <c r="F891" s="151"/>
      <c r="G891" s="153"/>
      <c r="H891" s="151"/>
      <c r="I891" s="151"/>
      <c r="J891" s="151"/>
      <c r="K891" s="151"/>
      <c r="L891" s="151"/>
      <c r="M891" s="151"/>
      <c r="N891" s="151"/>
      <c r="O891" s="151"/>
      <c r="P891" s="151"/>
      <c r="Q891" s="151"/>
      <c r="R891" s="151"/>
      <c r="S891" s="152"/>
      <c r="T891" s="151"/>
      <c r="U891" s="151"/>
      <c r="V891" s="153"/>
      <c r="W891" s="151"/>
      <c r="X891" s="151"/>
      <c r="Y891" s="153"/>
      <c r="Z891" s="151"/>
      <c r="AA891" s="187" t="str">
        <f t="shared" si="27"/>
        <v>No</v>
      </c>
      <c r="AB891" s="158"/>
      <c r="AC891" s="159"/>
      <c r="AD891" s="160"/>
    </row>
    <row r="892" spans="1:30">
      <c r="A892" s="155"/>
      <c r="B892" s="112" t="str">
        <f t="shared" si="26"/>
        <v/>
      </c>
      <c r="C892" s="183"/>
      <c r="D892" s="152"/>
      <c r="E892" s="152"/>
      <c r="F892" s="151"/>
      <c r="G892" s="153"/>
      <c r="H892" s="151"/>
      <c r="I892" s="151"/>
      <c r="J892" s="151"/>
      <c r="K892" s="151"/>
      <c r="L892" s="151"/>
      <c r="M892" s="151"/>
      <c r="N892" s="151"/>
      <c r="O892" s="151"/>
      <c r="P892" s="151"/>
      <c r="Q892" s="151"/>
      <c r="R892" s="151"/>
      <c r="S892" s="152"/>
      <c r="T892" s="151"/>
      <c r="U892" s="151"/>
      <c r="V892" s="153"/>
      <c r="W892" s="151"/>
      <c r="X892" s="151"/>
      <c r="Y892" s="153"/>
      <c r="Z892" s="151"/>
      <c r="AA892" s="187" t="str">
        <f t="shared" si="27"/>
        <v>No</v>
      </c>
      <c r="AB892" s="158"/>
      <c r="AC892" s="159"/>
      <c r="AD892" s="160"/>
    </row>
    <row r="893" spans="1:30">
      <c r="A893" s="155"/>
      <c r="B893" s="112" t="str">
        <f t="shared" si="26"/>
        <v/>
      </c>
      <c r="C893" s="183"/>
      <c r="D893" s="152"/>
      <c r="E893" s="152"/>
      <c r="F893" s="151"/>
      <c r="G893" s="153"/>
      <c r="H893" s="151"/>
      <c r="I893" s="151"/>
      <c r="J893" s="151"/>
      <c r="K893" s="151"/>
      <c r="L893" s="151"/>
      <c r="M893" s="151"/>
      <c r="N893" s="151"/>
      <c r="O893" s="151"/>
      <c r="P893" s="151"/>
      <c r="Q893" s="151"/>
      <c r="R893" s="151"/>
      <c r="S893" s="152"/>
      <c r="T893" s="151"/>
      <c r="U893" s="151"/>
      <c r="V893" s="153"/>
      <c r="W893" s="151"/>
      <c r="X893" s="151"/>
      <c r="Y893" s="153"/>
      <c r="Z893" s="151"/>
      <c r="AA893" s="187" t="str">
        <f t="shared" si="27"/>
        <v>No</v>
      </c>
      <c r="AB893" s="158"/>
      <c r="AC893" s="159"/>
      <c r="AD893" s="160"/>
    </row>
    <row r="894" spans="1:30">
      <c r="A894" s="155"/>
      <c r="B894" s="112" t="str">
        <f t="shared" si="26"/>
        <v/>
      </c>
      <c r="C894" s="183"/>
      <c r="D894" s="152"/>
      <c r="E894" s="152"/>
      <c r="F894" s="151"/>
      <c r="G894" s="153"/>
      <c r="H894" s="151"/>
      <c r="I894" s="151"/>
      <c r="J894" s="151"/>
      <c r="K894" s="151"/>
      <c r="L894" s="151"/>
      <c r="M894" s="151"/>
      <c r="N894" s="151"/>
      <c r="O894" s="151"/>
      <c r="P894" s="151"/>
      <c r="Q894" s="151"/>
      <c r="R894" s="151"/>
      <c r="S894" s="152"/>
      <c r="T894" s="151"/>
      <c r="U894" s="151"/>
      <c r="V894" s="153"/>
      <c r="W894" s="151"/>
      <c r="X894" s="151"/>
      <c r="Y894" s="153"/>
      <c r="Z894" s="151"/>
      <c r="AA894" s="187" t="str">
        <f t="shared" si="27"/>
        <v>No</v>
      </c>
      <c r="AB894" s="158"/>
      <c r="AC894" s="159"/>
      <c r="AD894" s="160"/>
    </row>
    <row r="895" spans="1:30">
      <c r="A895" s="155"/>
      <c r="B895" s="112" t="str">
        <f t="shared" si="26"/>
        <v/>
      </c>
      <c r="C895" s="183"/>
      <c r="D895" s="152"/>
      <c r="E895" s="152"/>
      <c r="F895" s="151"/>
      <c r="G895" s="153"/>
      <c r="H895" s="151"/>
      <c r="I895" s="151"/>
      <c r="J895" s="151"/>
      <c r="K895" s="151"/>
      <c r="L895" s="151"/>
      <c r="M895" s="151"/>
      <c r="N895" s="151"/>
      <c r="O895" s="151"/>
      <c r="P895" s="151"/>
      <c r="Q895" s="151"/>
      <c r="R895" s="151"/>
      <c r="S895" s="152"/>
      <c r="T895" s="151"/>
      <c r="U895" s="151"/>
      <c r="V895" s="153"/>
      <c r="W895" s="151"/>
      <c r="X895" s="151"/>
      <c r="Y895" s="153"/>
      <c r="Z895" s="151"/>
      <c r="AA895" s="187" t="str">
        <f t="shared" si="27"/>
        <v>No</v>
      </c>
      <c r="AB895" s="158"/>
      <c r="AC895" s="159"/>
      <c r="AD895" s="160"/>
    </row>
    <row r="896" spans="1:30">
      <c r="A896" s="155"/>
      <c r="B896" s="112" t="str">
        <f t="shared" si="26"/>
        <v/>
      </c>
      <c r="C896" s="183"/>
      <c r="D896" s="152"/>
      <c r="E896" s="152"/>
      <c r="F896" s="151"/>
      <c r="G896" s="153"/>
      <c r="H896" s="151"/>
      <c r="I896" s="151"/>
      <c r="J896" s="151"/>
      <c r="K896" s="151"/>
      <c r="L896" s="151"/>
      <c r="M896" s="151"/>
      <c r="N896" s="151"/>
      <c r="O896" s="151"/>
      <c r="P896" s="151"/>
      <c r="Q896" s="151"/>
      <c r="R896" s="151"/>
      <c r="S896" s="152"/>
      <c r="T896" s="151"/>
      <c r="U896" s="151"/>
      <c r="V896" s="153"/>
      <c r="W896" s="151"/>
      <c r="X896" s="151"/>
      <c r="Y896" s="153"/>
      <c r="Z896" s="151"/>
      <c r="AA896" s="187" t="str">
        <f t="shared" si="27"/>
        <v>No</v>
      </c>
      <c r="AB896" s="158"/>
      <c r="AC896" s="159"/>
      <c r="AD896" s="160"/>
    </row>
    <row r="897" spans="1:30">
      <c r="A897" s="155"/>
      <c r="B897" s="112" t="str">
        <f t="shared" si="26"/>
        <v/>
      </c>
      <c r="C897" s="183"/>
      <c r="D897" s="152"/>
      <c r="E897" s="152"/>
      <c r="F897" s="151"/>
      <c r="G897" s="153"/>
      <c r="H897" s="151"/>
      <c r="I897" s="151"/>
      <c r="J897" s="151"/>
      <c r="K897" s="151"/>
      <c r="L897" s="151"/>
      <c r="M897" s="151"/>
      <c r="N897" s="151"/>
      <c r="O897" s="151"/>
      <c r="P897" s="151"/>
      <c r="Q897" s="151"/>
      <c r="R897" s="151"/>
      <c r="S897" s="152"/>
      <c r="T897" s="151"/>
      <c r="U897" s="151"/>
      <c r="V897" s="153"/>
      <c r="W897" s="151"/>
      <c r="X897" s="151"/>
      <c r="Y897" s="153"/>
      <c r="Z897" s="151"/>
      <c r="AA897" s="187" t="str">
        <f t="shared" si="27"/>
        <v>No</v>
      </c>
      <c r="AB897" s="158"/>
      <c r="AC897" s="159"/>
      <c r="AD897" s="160"/>
    </row>
    <row r="898" spans="1:30">
      <c r="A898" s="155"/>
      <c r="B898" s="112" t="str">
        <f t="shared" si="26"/>
        <v/>
      </c>
      <c r="C898" s="183"/>
      <c r="D898" s="152"/>
      <c r="E898" s="152"/>
      <c r="F898" s="151"/>
      <c r="G898" s="153"/>
      <c r="H898" s="151"/>
      <c r="I898" s="151"/>
      <c r="J898" s="151"/>
      <c r="K898" s="151"/>
      <c r="L898" s="151"/>
      <c r="M898" s="151"/>
      <c r="N898" s="151"/>
      <c r="O898" s="151"/>
      <c r="P898" s="151"/>
      <c r="Q898" s="151"/>
      <c r="R898" s="151"/>
      <c r="S898" s="152"/>
      <c r="T898" s="151"/>
      <c r="U898" s="151"/>
      <c r="V898" s="153"/>
      <c r="W898" s="151"/>
      <c r="X898" s="151"/>
      <c r="Y898" s="153"/>
      <c r="Z898" s="151"/>
      <c r="AA898" s="187" t="str">
        <f t="shared" si="27"/>
        <v>No</v>
      </c>
      <c r="AB898" s="158"/>
      <c r="AC898" s="159"/>
      <c r="AD898" s="160"/>
    </row>
    <row r="899" spans="1:30">
      <c r="A899" s="155"/>
      <c r="B899" s="112" t="str">
        <f t="shared" si="26"/>
        <v/>
      </c>
      <c r="C899" s="183"/>
      <c r="D899" s="152"/>
      <c r="E899" s="152"/>
      <c r="F899" s="151"/>
      <c r="G899" s="153"/>
      <c r="H899" s="151"/>
      <c r="I899" s="151"/>
      <c r="J899" s="151"/>
      <c r="K899" s="151"/>
      <c r="L899" s="151"/>
      <c r="M899" s="151"/>
      <c r="N899" s="151"/>
      <c r="O899" s="151"/>
      <c r="P899" s="151"/>
      <c r="Q899" s="151"/>
      <c r="R899" s="151"/>
      <c r="S899" s="152"/>
      <c r="T899" s="151"/>
      <c r="U899" s="151"/>
      <c r="V899" s="153"/>
      <c r="W899" s="151"/>
      <c r="X899" s="151"/>
      <c r="Y899" s="153"/>
      <c r="Z899" s="151"/>
      <c r="AA899" s="187" t="str">
        <f t="shared" si="27"/>
        <v>No</v>
      </c>
      <c r="AB899" s="158"/>
      <c r="AC899" s="159"/>
      <c r="AD899" s="160"/>
    </row>
    <row r="900" spans="1:30">
      <c r="A900" s="155"/>
      <c r="B900" s="112" t="str">
        <f t="shared" si="26"/>
        <v/>
      </c>
      <c r="C900" s="183"/>
      <c r="D900" s="152"/>
      <c r="E900" s="152"/>
      <c r="F900" s="151"/>
      <c r="G900" s="153"/>
      <c r="H900" s="151"/>
      <c r="I900" s="151"/>
      <c r="J900" s="151"/>
      <c r="K900" s="151"/>
      <c r="L900" s="151"/>
      <c r="M900" s="151"/>
      <c r="N900" s="151"/>
      <c r="O900" s="151"/>
      <c r="P900" s="151"/>
      <c r="Q900" s="151"/>
      <c r="R900" s="151"/>
      <c r="S900" s="152"/>
      <c r="T900" s="151"/>
      <c r="U900" s="151"/>
      <c r="V900" s="153"/>
      <c r="W900" s="151"/>
      <c r="X900" s="151"/>
      <c r="Y900" s="153"/>
      <c r="Z900" s="151"/>
      <c r="AA900" s="187" t="str">
        <f t="shared" si="27"/>
        <v>No</v>
      </c>
      <c r="AB900" s="158"/>
      <c r="AC900" s="159"/>
      <c r="AD900" s="160"/>
    </row>
    <row r="901" spans="1:30">
      <c r="A901" s="155"/>
      <c r="B901" s="112" t="str">
        <f t="shared" ref="B901:B964" si="28">IF(AND(A901&lt;&gt;"",D901&lt;&gt;"",J901&lt;&gt;"",N901&lt;&gt;""),TEXT(D901,"YY")&amp;"-"&amp;TEXT(D901,"MMM")&amp;"-"&amp;UPPER(LEFT(TRIM(N901),2))&amp;"-"&amp;UPPER(LEFT(TRIM(J901),3))&amp;"-"&amp;A901,"")</f>
        <v/>
      </c>
      <c r="C901" s="183"/>
      <c r="D901" s="152"/>
      <c r="E901" s="152"/>
      <c r="F901" s="151"/>
      <c r="G901" s="153"/>
      <c r="H901" s="151"/>
      <c r="I901" s="151"/>
      <c r="J901" s="151"/>
      <c r="K901" s="151"/>
      <c r="L901" s="151"/>
      <c r="M901" s="151"/>
      <c r="N901" s="151"/>
      <c r="O901" s="151"/>
      <c r="P901" s="151"/>
      <c r="Q901" s="151"/>
      <c r="R901" s="151"/>
      <c r="S901" s="152"/>
      <c r="T901" s="151"/>
      <c r="U901" s="151"/>
      <c r="V901" s="153"/>
      <c r="W901" s="151"/>
      <c r="X901" s="151"/>
      <c r="Y901" s="153"/>
      <c r="Z901" s="151"/>
      <c r="AA901" s="187" t="str">
        <f t="shared" ref="AA901:AA964" si="29">IF(E901="","No","Yes")</f>
        <v>No</v>
      </c>
      <c r="AB901" s="158"/>
      <c r="AC901" s="159"/>
      <c r="AD901" s="160"/>
    </row>
    <row r="902" spans="1:30">
      <c r="A902" s="155"/>
      <c r="B902" s="112" t="str">
        <f t="shared" si="28"/>
        <v/>
      </c>
      <c r="C902" s="183"/>
      <c r="D902" s="152"/>
      <c r="E902" s="152"/>
      <c r="F902" s="151"/>
      <c r="G902" s="153"/>
      <c r="H902" s="151"/>
      <c r="I902" s="151"/>
      <c r="J902" s="151"/>
      <c r="K902" s="151"/>
      <c r="L902" s="151"/>
      <c r="M902" s="151"/>
      <c r="N902" s="151"/>
      <c r="O902" s="151"/>
      <c r="P902" s="151"/>
      <c r="Q902" s="151"/>
      <c r="R902" s="151"/>
      <c r="S902" s="152"/>
      <c r="T902" s="151"/>
      <c r="U902" s="151"/>
      <c r="V902" s="153"/>
      <c r="W902" s="151"/>
      <c r="X902" s="151"/>
      <c r="Y902" s="153"/>
      <c r="Z902" s="151"/>
      <c r="AA902" s="187" t="str">
        <f t="shared" si="29"/>
        <v>No</v>
      </c>
      <c r="AB902" s="158"/>
      <c r="AC902" s="159"/>
      <c r="AD902" s="160"/>
    </row>
    <row r="903" spans="1:30">
      <c r="A903" s="155"/>
      <c r="B903" s="112" t="str">
        <f t="shared" si="28"/>
        <v/>
      </c>
      <c r="C903" s="183"/>
      <c r="D903" s="152"/>
      <c r="E903" s="152"/>
      <c r="F903" s="151"/>
      <c r="G903" s="153"/>
      <c r="H903" s="151"/>
      <c r="I903" s="151"/>
      <c r="J903" s="151"/>
      <c r="K903" s="151"/>
      <c r="L903" s="151"/>
      <c r="M903" s="151"/>
      <c r="N903" s="151"/>
      <c r="O903" s="151"/>
      <c r="P903" s="151"/>
      <c r="Q903" s="151"/>
      <c r="R903" s="151"/>
      <c r="S903" s="152"/>
      <c r="T903" s="151"/>
      <c r="U903" s="151"/>
      <c r="V903" s="153"/>
      <c r="W903" s="151"/>
      <c r="X903" s="151"/>
      <c r="Y903" s="153"/>
      <c r="Z903" s="151"/>
      <c r="AA903" s="187" t="str">
        <f t="shared" si="29"/>
        <v>No</v>
      </c>
      <c r="AB903" s="158"/>
      <c r="AC903" s="159"/>
      <c r="AD903" s="160"/>
    </row>
    <row r="904" spans="1:30">
      <c r="A904" s="155"/>
      <c r="B904" s="112" t="str">
        <f t="shared" si="28"/>
        <v/>
      </c>
      <c r="C904" s="183"/>
      <c r="D904" s="152"/>
      <c r="E904" s="152"/>
      <c r="F904" s="151"/>
      <c r="G904" s="153"/>
      <c r="H904" s="151"/>
      <c r="I904" s="151"/>
      <c r="J904" s="151"/>
      <c r="K904" s="151"/>
      <c r="L904" s="151"/>
      <c r="M904" s="151"/>
      <c r="N904" s="151"/>
      <c r="O904" s="151"/>
      <c r="P904" s="151"/>
      <c r="Q904" s="151"/>
      <c r="R904" s="151"/>
      <c r="S904" s="152"/>
      <c r="T904" s="151"/>
      <c r="U904" s="151"/>
      <c r="V904" s="153"/>
      <c r="W904" s="151"/>
      <c r="X904" s="151"/>
      <c r="Y904" s="153"/>
      <c r="Z904" s="151"/>
      <c r="AA904" s="187" t="str">
        <f t="shared" si="29"/>
        <v>No</v>
      </c>
      <c r="AB904" s="158"/>
      <c r="AC904" s="159"/>
      <c r="AD904" s="160"/>
    </row>
    <row r="905" spans="1:30">
      <c r="A905" s="155"/>
      <c r="B905" s="112" t="str">
        <f t="shared" si="28"/>
        <v/>
      </c>
      <c r="C905" s="183"/>
      <c r="D905" s="152"/>
      <c r="E905" s="152"/>
      <c r="F905" s="151"/>
      <c r="G905" s="153"/>
      <c r="H905" s="151"/>
      <c r="I905" s="151"/>
      <c r="J905" s="151"/>
      <c r="K905" s="151"/>
      <c r="L905" s="151"/>
      <c r="M905" s="151"/>
      <c r="N905" s="151"/>
      <c r="O905" s="151"/>
      <c r="P905" s="151"/>
      <c r="Q905" s="151"/>
      <c r="R905" s="151"/>
      <c r="S905" s="152"/>
      <c r="T905" s="151"/>
      <c r="U905" s="151"/>
      <c r="V905" s="153"/>
      <c r="W905" s="151"/>
      <c r="X905" s="151"/>
      <c r="Y905" s="153"/>
      <c r="Z905" s="151"/>
      <c r="AA905" s="187" t="str">
        <f t="shared" si="29"/>
        <v>No</v>
      </c>
      <c r="AB905" s="158"/>
      <c r="AC905" s="159"/>
      <c r="AD905" s="160"/>
    </row>
    <row r="906" spans="1:30">
      <c r="A906" s="155"/>
      <c r="B906" s="112" t="str">
        <f t="shared" si="28"/>
        <v/>
      </c>
      <c r="C906" s="183"/>
      <c r="D906" s="152"/>
      <c r="E906" s="152"/>
      <c r="F906" s="151"/>
      <c r="G906" s="153"/>
      <c r="H906" s="151"/>
      <c r="I906" s="151"/>
      <c r="J906" s="151"/>
      <c r="K906" s="151"/>
      <c r="L906" s="151"/>
      <c r="M906" s="151"/>
      <c r="N906" s="151"/>
      <c r="O906" s="151"/>
      <c r="P906" s="151"/>
      <c r="Q906" s="151"/>
      <c r="R906" s="151"/>
      <c r="S906" s="152"/>
      <c r="T906" s="151"/>
      <c r="U906" s="151"/>
      <c r="V906" s="153"/>
      <c r="W906" s="151"/>
      <c r="X906" s="151"/>
      <c r="Y906" s="153"/>
      <c r="Z906" s="151"/>
      <c r="AA906" s="187" t="str">
        <f t="shared" si="29"/>
        <v>No</v>
      </c>
      <c r="AB906" s="158"/>
      <c r="AC906" s="159"/>
      <c r="AD906" s="160"/>
    </row>
    <row r="907" spans="1:30">
      <c r="A907" s="155"/>
      <c r="B907" s="112" t="str">
        <f t="shared" si="28"/>
        <v/>
      </c>
      <c r="C907" s="183"/>
      <c r="D907" s="152"/>
      <c r="E907" s="152"/>
      <c r="F907" s="151"/>
      <c r="G907" s="153"/>
      <c r="H907" s="151"/>
      <c r="I907" s="151"/>
      <c r="J907" s="151"/>
      <c r="K907" s="151"/>
      <c r="L907" s="151"/>
      <c r="M907" s="151"/>
      <c r="N907" s="151"/>
      <c r="O907" s="151"/>
      <c r="P907" s="151"/>
      <c r="Q907" s="151"/>
      <c r="R907" s="151"/>
      <c r="S907" s="152"/>
      <c r="T907" s="151"/>
      <c r="U907" s="151"/>
      <c r="V907" s="153"/>
      <c r="W907" s="151"/>
      <c r="X907" s="151"/>
      <c r="Y907" s="153"/>
      <c r="Z907" s="151"/>
      <c r="AA907" s="187" t="str">
        <f t="shared" si="29"/>
        <v>No</v>
      </c>
      <c r="AB907" s="158"/>
      <c r="AC907" s="159"/>
      <c r="AD907" s="160"/>
    </row>
    <row r="908" spans="1:30">
      <c r="A908" s="155"/>
      <c r="B908" s="112" t="str">
        <f t="shared" si="28"/>
        <v/>
      </c>
      <c r="C908" s="183"/>
      <c r="D908" s="152"/>
      <c r="E908" s="152"/>
      <c r="F908" s="151"/>
      <c r="G908" s="153"/>
      <c r="H908" s="151"/>
      <c r="I908" s="151"/>
      <c r="J908" s="151"/>
      <c r="K908" s="151"/>
      <c r="L908" s="151"/>
      <c r="M908" s="151"/>
      <c r="N908" s="151"/>
      <c r="O908" s="151"/>
      <c r="P908" s="151"/>
      <c r="Q908" s="151"/>
      <c r="R908" s="151"/>
      <c r="S908" s="152"/>
      <c r="T908" s="151"/>
      <c r="U908" s="151"/>
      <c r="V908" s="153"/>
      <c r="W908" s="151"/>
      <c r="X908" s="151"/>
      <c r="Y908" s="153"/>
      <c r="Z908" s="151"/>
      <c r="AA908" s="187" t="str">
        <f t="shared" si="29"/>
        <v>No</v>
      </c>
      <c r="AB908" s="158"/>
      <c r="AC908" s="159"/>
      <c r="AD908" s="160"/>
    </row>
    <row r="909" spans="1:30">
      <c r="A909" s="155"/>
      <c r="B909" s="112" t="str">
        <f t="shared" si="28"/>
        <v/>
      </c>
      <c r="C909" s="183"/>
      <c r="D909" s="152"/>
      <c r="E909" s="152"/>
      <c r="F909" s="151"/>
      <c r="G909" s="153"/>
      <c r="H909" s="151"/>
      <c r="I909" s="151"/>
      <c r="J909" s="151"/>
      <c r="K909" s="151"/>
      <c r="L909" s="151"/>
      <c r="M909" s="151"/>
      <c r="N909" s="151"/>
      <c r="O909" s="151"/>
      <c r="P909" s="151"/>
      <c r="Q909" s="151"/>
      <c r="R909" s="151"/>
      <c r="S909" s="152"/>
      <c r="T909" s="151"/>
      <c r="U909" s="151"/>
      <c r="V909" s="153"/>
      <c r="W909" s="151"/>
      <c r="X909" s="151"/>
      <c r="Y909" s="153"/>
      <c r="Z909" s="151"/>
      <c r="AA909" s="187" t="str">
        <f t="shared" si="29"/>
        <v>No</v>
      </c>
      <c r="AB909" s="158"/>
      <c r="AC909" s="159"/>
      <c r="AD909" s="160"/>
    </row>
    <row r="910" spans="1:30">
      <c r="A910" s="155"/>
      <c r="B910" s="112" t="str">
        <f t="shared" si="28"/>
        <v/>
      </c>
      <c r="C910" s="183"/>
      <c r="D910" s="152"/>
      <c r="E910" s="152"/>
      <c r="F910" s="151"/>
      <c r="G910" s="153"/>
      <c r="H910" s="151"/>
      <c r="I910" s="151"/>
      <c r="J910" s="151"/>
      <c r="K910" s="151"/>
      <c r="L910" s="151"/>
      <c r="M910" s="151"/>
      <c r="N910" s="151"/>
      <c r="O910" s="151"/>
      <c r="P910" s="151"/>
      <c r="Q910" s="151"/>
      <c r="R910" s="151"/>
      <c r="S910" s="152"/>
      <c r="T910" s="151"/>
      <c r="U910" s="151"/>
      <c r="V910" s="153"/>
      <c r="W910" s="151"/>
      <c r="X910" s="151"/>
      <c r="Y910" s="153"/>
      <c r="Z910" s="151"/>
      <c r="AA910" s="187" t="str">
        <f t="shared" si="29"/>
        <v>No</v>
      </c>
      <c r="AB910" s="158"/>
      <c r="AC910" s="159"/>
      <c r="AD910" s="160"/>
    </row>
    <row r="911" spans="1:30">
      <c r="A911" s="155"/>
      <c r="B911" s="112" t="str">
        <f t="shared" si="28"/>
        <v/>
      </c>
      <c r="C911" s="183"/>
      <c r="D911" s="152"/>
      <c r="E911" s="152"/>
      <c r="F911" s="151"/>
      <c r="G911" s="153"/>
      <c r="H911" s="151"/>
      <c r="I911" s="151"/>
      <c r="J911" s="151"/>
      <c r="K911" s="151"/>
      <c r="L911" s="151"/>
      <c r="M911" s="151"/>
      <c r="N911" s="151"/>
      <c r="O911" s="151"/>
      <c r="P911" s="151"/>
      <c r="Q911" s="151"/>
      <c r="R911" s="151"/>
      <c r="S911" s="152"/>
      <c r="T911" s="151"/>
      <c r="U911" s="151"/>
      <c r="V911" s="153"/>
      <c r="W911" s="151"/>
      <c r="X911" s="151"/>
      <c r="Y911" s="153"/>
      <c r="Z911" s="151"/>
      <c r="AA911" s="187" t="str">
        <f t="shared" si="29"/>
        <v>No</v>
      </c>
      <c r="AB911" s="158"/>
      <c r="AC911" s="159"/>
      <c r="AD911" s="160"/>
    </row>
    <row r="912" spans="1:30">
      <c r="A912" s="155"/>
      <c r="B912" s="112" t="str">
        <f t="shared" si="28"/>
        <v/>
      </c>
      <c r="C912" s="183"/>
      <c r="D912" s="152"/>
      <c r="E912" s="152"/>
      <c r="F912" s="151"/>
      <c r="G912" s="153"/>
      <c r="H912" s="151"/>
      <c r="I912" s="151"/>
      <c r="J912" s="151"/>
      <c r="K912" s="151"/>
      <c r="L912" s="151"/>
      <c r="M912" s="151"/>
      <c r="N912" s="151"/>
      <c r="O912" s="151"/>
      <c r="P912" s="151"/>
      <c r="Q912" s="151"/>
      <c r="R912" s="151"/>
      <c r="S912" s="152"/>
      <c r="T912" s="151"/>
      <c r="U912" s="151"/>
      <c r="V912" s="153"/>
      <c r="W912" s="151"/>
      <c r="X912" s="151"/>
      <c r="Y912" s="153"/>
      <c r="Z912" s="151"/>
      <c r="AA912" s="187" t="str">
        <f t="shared" si="29"/>
        <v>No</v>
      </c>
      <c r="AB912" s="158"/>
      <c r="AC912" s="159"/>
      <c r="AD912" s="160"/>
    </row>
    <row r="913" spans="1:30">
      <c r="A913" s="155"/>
      <c r="B913" s="112" t="str">
        <f t="shared" si="28"/>
        <v/>
      </c>
      <c r="C913" s="183"/>
      <c r="D913" s="152"/>
      <c r="E913" s="152"/>
      <c r="F913" s="151"/>
      <c r="G913" s="153"/>
      <c r="H913" s="151"/>
      <c r="I913" s="151"/>
      <c r="J913" s="151"/>
      <c r="K913" s="151"/>
      <c r="L913" s="151"/>
      <c r="M913" s="151"/>
      <c r="N913" s="151"/>
      <c r="O913" s="151"/>
      <c r="P913" s="151"/>
      <c r="Q913" s="151"/>
      <c r="R913" s="151"/>
      <c r="S913" s="152"/>
      <c r="T913" s="151"/>
      <c r="U913" s="151"/>
      <c r="V913" s="153"/>
      <c r="W913" s="151"/>
      <c r="X913" s="151"/>
      <c r="Y913" s="153"/>
      <c r="Z913" s="151"/>
      <c r="AA913" s="187" t="str">
        <f t="shared" si="29"/>
        <v>No</v>
      </c>
      <c r="AB913" s="158"/>
      <c r="AC913" s="159"/>
      <c r="AD913" s="160"/>
    </row>
    <row r="914" spans="1:30">
      <c r="A914" s="155"/>
      <c r="B914" s="112" t="str">
        <f t="shared" si="28"/>
        <v/>
      </c>
      <c r="C914" s="183"/>
      <c r="D914" s="152"/>
      <c r="E914" s="152"/>
      <c r="F914" s="151"/>
      <c r="G914" s="153"/>
      <c r="H914" s="151"/>
      <c r="I914" s="151"/>
      <c r="J914" s="151"/>
      <c r="K914" s="151"/>
      <c r="L914" s="151"/>
      <c r="M914" s="151"/>
      <c r="N914" s="151"/>
      <c r="O914" s="151"/>
      <c r="P914" s="151"/>
      <c r="Q914" s="151"/>
      <c r="R914" s="151"/>
      <c r="S914" s="152"/>
      <c r="T914" s="151"/>
      <c r="U914" s="151"/>
      <c r="V914" s="153"/>
      <c r="W914" s="151"/>
      <c r="X914" s="151"/>
      <c r="Y914" s="153"/>
      <c r="Z914" s="151"/>
      <c r="AA914" s="187" t="str">
        <f t="shared" si="29"/>
        <v>No</v>
      </c>
      <c r="AB914" s="158"/>
      <c r="AC914" s="159"/>
      <c r="AD914" s="160"/>
    </row>
    <row r="915" spans="1:30">
      <c r="A915" s="155"/>
      <c r="B915" s="112" t="str">
        <f t="shared" si="28"/>
        <v/>
      </c>
      <c r="C915" s="183"/>
      <c r="D915" s="152"/>
      <c r="E915" s="152"/>
      <c r="F915" s="151"/>
      <c r="G915" s="153"/>
      <c r="H915" s="151"/>
      <c r="I915" s="151"/>
      <c r="J915" s="151"/>
      <c r="K915" s="151"/>
      <c r="L915" s="151"/>
      <c r="M915" s="151"/>
      <c r="N915" s="151"/>
      <c r="O915" s="151"/>
      <c r="P915" s="151"/>
      <c r="Q915" s="151"/>
      <c r="R915" s="151"/>
      <c r="S915" s="152"/>
      <c r="T915" s="151"/>
      <c r="U915" s="151"/>
      <c r="V915" s="153"/>
      <c r="W915" s="151"/>
      <c r="X915" s="151"/>
      <c r="Y915" s="153"/>
      <c r="Z915" s="151"/>
      <c r="AA915" s="187" t="str">
        <f t="shared" si="29"/>
        <v>No</v>
      </c>
      <c r="AB915" s="158"/>
      <c r="AC915" s="159"/>
      <c r="AD915" s="160"/>
    </row>
    <row r="916" spans="1:30">
      <c r="A916" s="155"/>
      <c r="B916" s="112" t="str">
        <f t="shared" si="28"/>
        <v/>
      </c>
      <c r="C916" s="183"/>
      <c r="D916" s="152"/>
      <c r="E916" s="152"/>
      <c r="F916" s="151"/>
      <c r="G916" s="153"/>
      <c r="H916" s="151"/>
      <c r="I916" s="151"/>
      <c r="J916" s="151"/>
      <c r="K916" s="151"/>
      <c r="L916" s="151"/>
      <c r="M916" s="151"/>
      <c r="N916" s="151"/>
      <c r="O916" s="151"/>
      <c r="P916" s="151"/>
      <c r="Q916" s="151"/>
      <c r="R916" s="151"/>
      <c r="S916" s="152"/>
      <c r="T916" s="151"/>
      <c r="U916" s="151"/>
      <c r="V916" s="153"/>
      <c r="W916" s="151"/>
      <c r="X916" s="151"/>
      <c r="Y916" s="153"/>
      <c r="Z916" s="151"/>
      <c r="AA916" s="187" t="str">
        <f t="shared" si="29"/>
        <v>No</v>
      </c>
      <c r="AB916" s="158"/>
      <c r="AC916" s="159"/>
      <c r="AD916" s="160"/>
    </row>
    <row r="917" spans="1:30">
      <c r="A917" s="155"/>
      <c r="B917" s="112" t="str">
        <f t="shared" si="28"/>
        <v/>
      </c>
      <c r="C917" s="183"/>
      <c r="D917" s="152"/>
      <c r="E917" s="152"/>
      <c r="F917" s="151"/>
      <c r="G917" s="153"/>
      <c r="H917" s="151"/>
      <c r="I917" s="151"/>
      <c r="J917" s="151"/>
      <c r="K917" s="151"/>
      <c r="L917" s="151"/>
      <c r="M917" s="151"/>
      <c r="N917" s="151"/>
      <c r="O917" s="151"/>
      <c r="P917" s="151"/>
      <c r="Q917" s="151"/>
      <c r="R917" s="151"/>
      <c r="S917" s="152"/>
      <c r="T917" s="151"/>
      <c r="U917" s="151"/>
      <c r="V917" s="153"/>
      <c r="W917" s="151"/>
      <c r="X917" s="151"/>
      <c r="Y917" s="153"/>
      <c r="Z917" s="151"/>
      <c r="AA917" s="187" t="str">
        <f t="shared" si="29"/>
        <v>No</v>
      </c>
      <c r="AB917" s="158"/>
      <c r="AC917" s="159"/>
      <c r="AD917" s="160"/>
    </row>
    <row r="918" spans="1:30">
      <c r="A918" s="155"/>
      <c r="B918" s="112" t="str">
        <f t="shared" si="28"/>
        <v/>
      </c>
      <c r="C918" s="183"/>
      <c r="D918" s="152"/>
      <c r="E918" s="152"/>
      <c r="F918" s="151"/>
      <c r="G918" s="153"/>
      <c r="H918" s="151"/>
      <c r="I918" s="151"/>
      <c r="J918" s="151"/>
      <c r="K918" s="151"/>
      <c r="L918" s="151"/>
      <c r="M918" s="151"/>
      <c r="N918" s="151"/>
      <c r="O918" s="151"/>
      <c r="P918" s="151"/>
      <c r="Q918" s="151"/>
      <c r="R918" s="151"/>
      <c r="S918" s="152"/>
      <c r="T918" s="151"/>
      <c r="U918" s="151"/>
      <c r="V918" s="153"/>
      <c r="W918" s="151"/>
      <c r="X918" s="151"/>
      <c r="Y918" s="153"/>
      <c r="Z918" s="151"/>
      <c r="AA918" s="187" t="str">
        <f t="shared" si="29"/>
        <v>No</v>
      </c>
      <c r="AB918" s="158"/>
      <c r="AC918" s="159"/>
      <c r="AD918" s="160"/>
    </row>
    <row r="919" spans="1:30">
      <c r="A919" s="155"/>
      <c r="B919" s="112" t="str">
        <f t="shared" si="28"/>
        <v/>
      </c>
      <c r="C919" s="183"/>
      <c r="D919" s="152"/>
      <c r="E919" s="152"/>
      <c r="F919" s="151"/>
      <c r="G919" s="153"/>
      <c r="H919" s="151"/>
      <c r="I919" s="151"/>
      <c r="J919" s="151"/>
      <c r="K919" s="151"/>
      <c r="L919" s="151"/>
      <c r="M919" s="151"/>
      <c r="N919" s="151"/>
      <c r="O919" s="151"/>
      <c r="P919" s="151"/>
      <c r="Q919" s="151"/>
      <c r="R919" s="151"/>
      <c r="S919" s="152"/>
      <c r="T919" s="151"/>
      <c r="U919" s="151"/>
      <c r="V919" s="153"/>
      <c r="W919" s="151"/>
      <c r="X919" s="151"/>
      <c r="Y919" s="153"/>
      <c r="Z919" s="151"/>
      <c r="AA919" s="187" t="str">
        <f t="shared" si="29"/>
        <v>No</v>
      </c>
      <c r="AB919" s="158"/>
      <c r="AC919" s="159"/>
      <c r="AD919" s="160"/>
    </row>
    <row r="920" spans="1:30">
      <c r="A920" s="155"/>
      <c r="B920" s="112" t="str">
        <f t="shared" si="28"/>
        <v/>
      </c>
      <c r="C920" s="183"/>
      <c r="D920" s="152"/>
      <c r="E920" s="152"/>
      <c r="F920" s="151"/>
      <c r="G920" s="153"/>
      <c r="H920" s="151"/>
      <c r="I920" s="151"/>
      <c r="J920" s="151"/>
      <c r="K920" s="151"/>
      <c r="L920" s="151"/>
      <c r="M920" s="151"/>
      <c r="N920" s="151"/>
      <c r="O920" s="151"/>
      <c r="P920" s="151"/>
      <c r="Q920" s="151"/>
      <c r="R920" s="151"/>
      <c r="S920" s="152"/>
      <c r="T920" s="151"/>
      <c r="U920" s="151"/>
      <c r="V920" s="153"/>
      <c r="W920" s="151"/>
      <c r="X920" s="151"/>
      <c r="Y920" s="153"/>
      <c r="Z920" s="151"/>
      <c r="AA920" s="187" t="str">
        <f t="shared" si="29"/>
        <v>No</v>
      </c>
      <c r="AB920" s="158"/>
      <c r="AC920" s="159"/>
      <c r="AD920" s="160"/>
    </row>
    <row r="921" spans="1:30">
      <c r="A921" s="155"/>
      <c r="B921" s="112" t="str">
        <f t="shared" si="28"/>
        <v/>
      </c>
      <c r="C921" s="183"/>
      <c r="D921" s="152"/>
      <c r="E921" s="152"/>
      <c r="F921" s="151"/>
      <c r="G921" s="153"/>
      <c r="H921" s="151"/>
      <c r="I921" s="151"/>
      <c r="J921" s="151"/>
      <c r="K921" s="151"/>
      <c r="L921" s="151"/>
      <c r="M921" s="151"/>
      <c r="N921" s="151"/>
      <c r="O921" s="151"/>
      <c r="P921" s="151"/>
      <c r="Q921" s="151"/>
      <c r="R921" s="151"/>
      <c r="S921" s="152"/>
      <c r="T921" s="151"/>
      <c r="U921" s="151"/>
      <c r="V921" s="153"/>
      <c r="W921" s="151"/>
      <c r="X921" s="151"/>
      <c r="Y921" s="153"/>
      <c r="Z921" s="151"/>
      <c r="AA921" s="187" t="str">
        <f t="shared" si="29"/>
        <v>No</v>
      </c>
      <c r="AB921" s="158"/>
      <c r="AC921" s="159"/>
      <c r="AD921" s="160"/>
    </row>
    <row r="922" spans="1:30">
      <c r="A922" s="155"/>
      <c r="B922" s="112" t="str">
        <f t="shared" si="28"/>
        <v/>
      </c>
      <c r="C922" s="183"/>
      <c r="D922" s="152"/>
      <c r="E922" s="152"/>
      <c r="F922" s="151"/>
      <c r="G922" s="153"/>
      <c r="H922" s="151"/>
      <c r="I922" s="151"/>
      <c r="J922" s="151"/>
      <c r="K922" s="151"/>
      <c r="L922" s="151"/>
      <c r="M922" s="151"/>
      <c r="N922" s="151"/>
      <c r="O922" s="151"/>
      <c r="P922" s="151"/>
      <c r="Q922" s="151"/>
      <c r="R922" s="151"/>
      <c r="S922" s="152"/>
      <c r="T922" s="151"/>
      <c r="U922" s="151"/>
      <c r="V922" s="153"/>
      <c r="W922" s="151"/>
      <c r="X922" s="151"/>
      <c r="Y922" s="153"/>
      <c r="Z922" s="151"/>
      <c r="AA922" s="187" t="str">
        <f t="shared" si="29"/>
        <v>No</v>
      </c>
      <c r="AB922" s="158"/>
      <c r="AC922" s="159"/>
      <c r="AD922" s="160"/>
    </row>
    <row r="923" spans="1:30">
      <c r="A923" s="155"/>
      <c r="B923" s="112" t="str">
        <f t="shared" si="28"/>
        <v/>
      </c>
      <c r="C923" s="183"/>
      <c r="D923" s="152"/>
      <c r="E923" s="152"/>
      <c r="F923" s="151"/>
      <c r="G923" s="153"/>
      <c r="H923" s="151"/>
      <c r="I923" s="151"/>
      <c r="J923" s="151"/>
      <c r="K923" s="151"/>
      <c r="L923" s="151"/>
      <c r="M923" s="151"/>
      <c r="N923" s="151"/>
      <c r="O923" s="151"/>
      <c r="P923" s="151"/>
      <c r="Q923" s="151"/>
      <c r="R923" s="151"/>
      <c r="S923" s="152"/>
      <c r="T923" s="151"/>
      <c r="U923" s="151"/>
      <c r="V923" s="153"/>
      <c r="W923" s="151"/>
      <c r="X923" s="151"/>
      <c r="Y923" s="153"/>
      <c r="Z923" s="151"/>
      <c r="AA923" s="187" t="str">
        <f t="shared" si="29"/>
        <v>No</v>
      </c>
      <c r="AB923" s="158"/>
      <c r="AC923" s="159"/>
      <c r="AD923" s="160"/>
    </row>
    <row r="924" spans="1:30">
      <c r="A924" s="155"/>
      <c r="B924" s="112" t="str">
        <f t="shared" si="28"/>
        <v/>
      </c>
      <c r="C924" s="183"/>
      <c r="D924" s="152"/>
      <c r="E924" s="152"/>
      <c r="F924" s="151"/>
      <c r="G924" s="153"/>
      <c r="H924" s="151"/>
      <c r="I924" s="151"/>
      <c r="J924" s="151"/>
      <c r="K924" s="151"/>
      <c r="L924" s="151"/>
      <c r="M924" s="151"/>
      <c r="N924" s="151"/>
      <c r="O924" s="151"/>
      <c r="P924" s="151"/>
      <c r="Q924" s="151"/>
      <c r="R924" s="151"/>
      <c r="S924" s="152"/>
      <c r="T924" s="151"/>
      <c r="U924" s="151"/>
      <c r="V924" s="153"/>
      <c r="W924" s="151"/>
      <c r="X924" s="151"/>
      <c r="Y924" s="153"/>
      <c r="Z924" s="151"/>
      <c r="AA924" s="187" t="str">
        <f t="shared" si="29"/>
        <v>No</v>
      </c>
      <c r="AB924" s="158"/>
      <c r="AC924" s="159"/>
      <c r="AD924" s="160"/>
    </row>
    <row r="925" spans="1:30">
      <c r="A925" s="155"/>
      <c r="B925" s="112" t="str">
        <f t="shared" si="28"/>
        <v/>
      </c>
      <c r="C925" s="183"/>
      <c r="D925" s="152"/>
      <c r="E925" s="152"/>
      <c r="F925" s="151"/>
      <c r="G925" s="153"/>
      <c r="H925" s="151"/>
      <c r="I925" s="151"/>
      <c r="J925" s="151"/>
      <c r="K925" s="151"/>
      <c r="L925" s="151"/>
      <c r="M925" s="151"/>
      <c r="N925" s="151"/>
      <c r="O925" s="151"/>
      <c r="P925" s="151"/>
      <c r="Q925" s="151"/>
      <c r="R925" s="151"/>
      <c r="S925" s="152"/>
      <c r="T925" s="151"/>
      <c r="U925" s="151"/>
      <c r="V925" s="153"/>
      <c r="W925" s="151"/>
      <c r="X925" s="151"/>
      <c r="Y925" s="153"/>
      <c r="Z925" s="151"/>
      <c r="AA925" s="187" t="str">
        <f t="shared" si="29"/>
        <v>No</v>
      </c>
      <c r="AB925" s="158"/>
      <c r="AC925" s="159"/>
      <c r="AD925" s="160"/>
    </row>
    <row r="926" spans="1:30">
      <c r="A926" s="155"/>
      <c r="B926" s="112" t="str">
        <f t="shared" si="28"/>
        <v/>
      </c>
      <c r="C926" s="183"/>
      <c r="D926" s="152"/>
      <c r="E926" s="152"/>
      <c r="F926" s="151"/>
      <c r="G926" s="153"/>
      <c r="H926" s="151"/>
      <c r="I926" s="151"/>
      <c r="J926" s="151"/>
      <c r="K926" s="151"/>
      <c r="L926" s="151"/>
      <c r="M926" s="151"/>
      <c r="N926" s="151"/>
      <c r="O926" s="151"/>
      <c r="P926" s="151"/>
      <c r="Q926" s="151"/>
      <c r="R926" s="151"/>
      <c r="S926" s="152"/>
      <c r="T926" s="151"/>
      <c r="U926" s="151"/>
      <c r="V926" s="153"/>
      <c r="W926" s="151"/>
      <c r="X926" s="151"/>
      <c r="Y926" s="153"/>
      <c r="Z926" s="151"/>
      <c r="AA926" s="187" t="str">
        <f t="shared" si="29"/>
        <v>No</v>
      </c>
      <c r="AB926" s="158"/>
      <c r="AC926" s="159"/>
      <c r="AD926" s="160"/>
    </row>
    <row r="927" spans="1:30">
      <c r="A927" s="155"/>
      <c r="B927" s="112" t="str">
        <f t="shared" si="28"/>
        <v/>
      </c>
      <c r="C927" s="183"/>
      <c r="D927" s="152"/>
      <c r="E927" s="152"/>
      <c r="F927" s="151"/>
      <c r="G927" s="153"/>
      <c r="H927" s="151"/>
      <c r="I927" s="151"/>
      <c r="J927" s="151"/>
      <c r="K927" s="151"/>
      <c r="L927" s="151"/>
      <c r="M927" s="151"/>
      <c r="N927" s="151"/>
      <c r="O927" s="151"/>
      <c r="P927" s="151"/>
      <c r="Q927" s="151"/>
      <c r="R927" s="151"/>
      <c r="S927" s="152"/>
      <c r="T927" s="151"/>
      <c r="U927" s="151"/>
      <c r="V927" s="153"/>
      <c r="W927" s="151"/>
      <c r="X927" s="151"/>
      <c r="Y927" s="153"/>
      <c r="Z927" s="151"/>
      <c r="AA927" s="187" t="str">
        <f t="shared" si="29"/>
        <v>No</v>
      </c>
      <c r="AB927" s="158"/>
      <c r="AC927" s="159"/>
      <c r="AD927" s="160"/>
    </row>
    <row r="928" spans="1:30">
      <c r="A928" s="155"/>
      <c r="B928" s="112" t="str">
        <f t="shared" si="28"/>
        <v/>
      </c>
      <c r="C928" s="183"/>
      <c r="D928" s="152"/>
      <c r="E928" s="152"/>
      <c r="F928" s="151"/>
      <c r="G928" s="153"/>
      <c r="H928" s="151"/>
      <c r="I928" s="151"/>
      <c r="J928" s="151"/>
      <c r="K928" s="151"/>
      <c r="L928" s="151"/>
      <c r="M928" s="151"/>
      <c r="N928" s="151"/>
      <c r="O928" s="151"/>
      <c r="P928" s="151"/>
      <c r="Q928" s="151"/>
      <c r="R928" s="151"/>
      <c r="S928" s="152"/>
      <c r="T928" s="151"/>
      <c r="U928" s="151"/>
      <c r="V928" s="153"/>
      <c r="W928" s="151"/>
      <c r="X928" s="151"/>
      <c r="Y928" s="153"/>
      <c r="Z928" s="151"/>
      <c r="AA928" s="187" t="str">
        <f t="shared" si="29"/>
        <v>No</v>
      </c>
      <c r="AB928" s="158"/>
      <c r="AC928" s="159"/>
      <c r="AD928" s="160"/>
    </row>
    <row r="929" spans="1:30">
      <c r="A929" s="155"/>
      <c r="B929" s="112" t="str">
        <f t="shared" si="28"/>
        <v/>
      </c>
      <c r="C929" s="183"/>
      <c r="D929" s="152"/>
      <c r="E929" s="152"/>
      <c r="F929" s="151"/>
      <c r="G929" s="153"/>
      <c r="H929" s="151"/>
      <c r="I929" s="151"/>
      <c r="J929" s="151"/>
      <c r="K929" s="151"/>
      <c r="L929" s="151"/>
      <c r="M929" s="151"/>
      <c r="N929" s="151"/>
      <c r="O929" s="151"/>
      <c r="P929" s="151"/>
      <c r="Q929" s="151"/>
      <c r="R929" s="151"/>
      <c r="S929" s="152"/>
      <c r="T929" s="151"/>
      <c r="U929" s="151"/>
      <c r="V929" s="153"/>
      <c r="W929" s="151"/>
      <c r="X929" s="151"/>
      <c r="Y929" s="153"/>
      <c r="Z929" s="151"/>
      <c r="AA929" s="187" t="str">
        <f t="shared" si="29"/>
        <v>No</v>
      </c>
      <c r="AB929" s="158"/>
      <c r="AC929" s="159"/>
      <c r="AD929" s="160"/>
    </row>
    <row r="930" spans="1:30">
      <c r="A930" s="155"/>
      <c r="B930" s="112" t="str">
        <f t="shared" si="28"/>
        <v/>
      </c>
      <c r="C930" s="183"/>
      <c r="D930" s="152"/>
      <c r="E930" s="152"/>
      <c r="F930" s="151"/>
      <c r="G930" s="153"/>
      <c r="H930" s="151"/>
      <c r="I930" s="151"/>
      <c r="J930" s="151"/>
      <c r="K930" s="151"/>
      <c r="L930" s="151"/>
      <c r="M930" s="151"/>
      <c r="N930" s="151"/>
      <c r="O930" s="151"/>
      <c r="P930" s="151"/>
      <c r="Q930" s="151"/>
      <c r="R930" s="151"/>
      <c r="S930" s="152"/>
      <c r="T930" s="151"/>
      <c r="U930" s="151"/>
      <c r="V930" s="153"/>
      <c r="W930" s="151"/>
      <c r="X930" s="151"/>
      <c r="Y930" s="153"/>
      <c r="Z930" s="151"/>
      <c r="AA930" s="187" t="str">
        <f t="shared" si="29"/>
        <v>No</v>
      </c>
      <c r="AB930" s="158"/>
      <c r="AC930" s="159"/>
      <c r="AD930" s="160"/>
    </row>
    <row r="931" spans="1:30">
      <c r="A931" s="155"/>
      <c r="B931" s="112" t="str">
        <f t="shared" si="28"/>
        <v/>
      </c>
      <c r="C931" s="183"/>
      <c r="D931" s="152"/>
      <c r="E931" s="152"/>
      <c r="F931" s="151"/>
      <c r="G931" s="153"/>
      <c r="H931" s="151"/>
      <c r="I931" s="151"/>
      <c r="J931" s="151"/>
      <c r="K931" s="151"/>
      <c r="L931" s="151"/>
      <c r="M931" s="151"/>
      <c r="N931" s="151"/>
      <c r="O931" s="151"/>
      <c r="P931" s="151"/>
      <c r="Q931" s="151"/>
      <c r="R931" s="151"/>
      <c r="S931" s="152"/>
      <c r="T931" s="151"/>
      <c r="U931" s="151"/>
      <c r="V931" s="153"/>
      <c r="W931" s="151"/>
      <c r="X931" s="151"/>
      <c r="Y931" s="153"/>
      <c r="Z931" s="151"/>
      <c r="AA931" s="187" t="str">
        <f t="shared" si="29"/>
        <v>No</v>
      </c>
      <c r="AB931" s="158"/>
      <c r="AC931" s="159"/>
      <c r="AD931" s="160"/>
    </row>
    <row r="932" spans="1:30">
      <c r="A932" s="155"/>
      <c r="B932" s="112" t="str">
        <f t="shared" si="28"/>
        <v/>
      </c>
      <c r="C932" s="183"/>
      <c r="D932" s="152"/>
      <c r="E932" s="152"/>
      <c r="F932" s="151"/>
      <c r="G932" s="153"/>
      <c r="H932" s="151"/>
      <c r="I932" s="151"/>
      <c r="J932" s="151"/>
      <c r="K932" s="151"/>
      <c r="L932" s="151"/>
      <c r="M932" s="151"/>
      <c r="N932" s="151"/>
      <c r="O932" s="151"/>
      <c r="P932" s="151"/>
      <c r="Q932" s="151"/>
      <c r="R932" s="151"/>
      <c r="S932" s="152"/>
      <c r="T932" s="151"/>
      <c r="U932" s="151"/>
      <c r="V932" s="153"/>
      <c r="W932" s="151"/>
      <c r="X932" s="151"/>
      <c r="Y932" s="153"/>
      <c r="Z932" s="151"/>
      <c r="AA932" s="187" t="str">
        <f t="shared" si="29"/>
        <v>No</v>
      </c>
      <c r="AB932" s="158"/>
      <c r="AC932" s="159"/>
      <c r="AD932" s="160"/>
    </row>
    <row r="933" spans="1:30">
      <c r="A933" s="155"/>
      <c r="B933" s="112" t="str">
        <f t="shared" si="28"/>
        <v/>
      </c>
      <c r="C933" s="183"/>
      <c r="D933" s="152"/>
      <c r="E933" s="152"/>
      <c r="F933" s="151"/>
      <c r="G933" s="153"/>
      <c r="H933" s="151"/>
      <c r="I933" s="151"/>
      <c r="J933" s="151"/>
      <c r="K933" s="151"/>
      <c r="L933" s="151"/>
      <c r="M933" s="151"/>
      <c r="N933" s="151"/>
      <c r="O933" s="151"/>
      <c r="P933" s="151"/>
      <c r="Q933" s="151"/>
      <c r="R933" s="151"/>
      <c r="S933" s="152"/>
      <c r="T933" s="151"/>
      <c r="U933" s="151"/>
      <c r="V933" s="153"/>
      <c r="W933" s="151"/>
      <c r="X933" s="151"/>
      <c r="Y933" s="153"/>
      <c r="Z933" s="151"/>
      <c r="AA933" s="187" t="str">
        <f t="shared" si="29"/>
        <v>No</v>
      </c>
      <c r="AB933" s="158"/>
      <c r="AC933" s="159"/>
      <c r="AD933" s="160"/>
    </row>
    <row r="934" spans="1:30">
      <c r="A934" s="155"/>
      <c r="B934" s="112" t="str">
        <f t="shared" si="28"/>
        <v/>
      </c>
      <c r="C934" s="183"/>
      <c r="D934" s="152"/>
      <c r="E934" s="152"/>
      <c r="F934" s="151"/>
      <c r="G934" s="153"/>
      <c r="H934" s="151"/>
      <c r="I934" s="151"/>
      <c r="J934" s="151"/>
      <c r="K934" s="151"/>
      <c r="L934" s="151"/>
      <c r="M934" s="151"/>
      <c r="N934" s="151"/>
      <c r="O934" s="151"/>
      <c r="P934" s="151"/>
      <c r="Q934" s="151"/>
      <c r="R934" s="151"/>
      <c r="S934" s="152"/>
      <c r="T934" s="151"/>
      <c r="U934" s="151"/>
      <c r="V934" s="153"/>
      <c r="W934" s="151"/>
      <c r="X934" s="151"/>
      <c r="Y934" s="153"/>
      <c r="Z934" s="151"/>
      <c r="AA934" s="187" t="str">
        <f t="shared" si="29"/>
        <v>No</v>
      </c>
      <c r="AB934" s="158"/>
      <c r="AC934" s="159"/>
      <c r="AD934" s="160"/>
    </row>
    <row r="935" spans="1:30">
      <c r="A935" s="155"/>
      <c r="B935" s="112" t="str">
        <f t="shared" si="28"/>
        <v/>
      </c>
      <c r="C935" s="183"/>
      <c r="D935" s="152"/>
      <c r="E935" s="152"/>
      <c r="F935" s="151"/>
      <c r="G935" s="153"/>
      <c r="H935" s="151"/>
      <c r="I935" s="151"/>
      <c r="J935" s="151"/>
      <c r="K935" s="151"/>
      <c r="L935" s="151"/>
      <c r="M935" s="151"/>
      <c r="N935" s="151"/>
      <c r="O935" s="151"/>
      <c r="P935" s="151"/>
      <c r="Q935" s="151"/>
      <c r="R935" s="151"/>
      <c r="S935" s="152"/>
      <c r="T935" s="151"/>
      <c r="U935" s="151"/>
      <c r="V935" s="153"/>
      <c r="W935" s="151"/>
      <c r="X935" s="151"/>
      <c r="Y935" s="153"/>
      <c r="Z935" s="151"/>
      <c r="AA935" s="187" t="str">
        <f t="shared" si="29"/>
        <v>No</v>
      </c>
      <c r="AB935" s="158"/>
      <c r="AC935" s="159"/>
      <c r="AD935" s="160"/>
    </row>
    <row r="936" spans="1:30">
      <c r="A936" s="155"/>
      <c r="B936" s="112" t="str">
        <f t="shared" si="28"/>
        <v/>
      </c>
      <c r="C936" s="183"/>
      <c r="D936" s="152"/>
      <c r="E936" s="152"/>
      <c r="F936" s="151"/>
      <c r="G936" s="153"/>
      <c r="H936" s="151"/>
      <c r="I936" s="151"/>
      <c r="J936" s="151"/>
      <c r="K936" s="151"/>
      <c r="L936" s="151"/>
      <c r="M936" s="151"/>
      <c r="N936" s="151"/>
      <c r="O936" s="151"/>
      <c r="P936" s="151"/>
      <c r="Q936" s="151"/>
      <c r="R936" s="151"/>
      <c r="S936" s="152"/>
      <c r="T936" s="151"/>
      <c r="U936" s="151"/>
      <c r="V936" s="153"/>
      <c r="W936" s="151"/>
      <c r="X936" s="151"/>
      <c r="Y936" s="153"/>
      <c r="Z936" s="151"/>
      <c r="AA936" s="187" t="str">
        <f t="shared" si="29"/>
        <v>No</v>
      </c>
      <c r="AB936" s="158"/>
      <c r="AC936" s="159"/>
      <c r="AD936" s="160"/>
    </row>
    <row r="937" spans="1:30">
      <c r="A937" s="155"/>
      <c r="B937" s="112" t="str">
        <f t="shared" si="28"/>
        <v/>
      </c>
      <c r="C937" s="183"/>
      <c r="D937" s="152"/>
      <c r="E937" s="152"/>
      <c r="F937" s="151"/>
      <c r="G937" s="153"/>
      <c r="H937" s="151"/>
      <c r="I937" s="151"/>
      <c r="J937" s="151"/>
      <c r="K937" s="151"/>
      <c r="L937" s="151"/>
      <c r="M937" s="151"/>
      <c r="N937" s="151"/>
      <c r="O937" s="151"/>
      <c r="P937" s="151"/>
      <c r="Q937" s="151"/>
      <c r="R937" s="151"/>
      <c r="S937" s="152"/>
      <c r="T937" s="151"/>
      <c r="U937" s="151"/>
      <c r="V937" s="153"/>
      <c r="W937" s="151"/>
      <c r="X937" s="151"/>
      <c r="Y937" s="153"/>
      <c r="Z937" s="151"/>
      <c r="AA937" s="187" t="str">
        <f t="shared" si="29"/>
        <v>No</v>
      </c>
      <c r="AB937" s="158"/>
      <c r="AC937" s="159"/>
      <c r="AD937" s="160"/>
    </row>
    <row r="938" spans="1:30">
      <c r="A938" s="155"/>
      <c r="B938" s="112" t="str">
        <f t="shared" si="28"/>
        <v/>
      </c>
      <c r="C938" s="183"/>
      <c r="D938" s="152"/>
      <c r="E938" s="152"/>
      <c r="F938" s="151"/>
      <c r="G938" s="153"/>
      <c r="H938" s="151"/>
      <c r="I938" s="151"/>
      <c r="J938" s="151"/>
      <c r="K938" s="151"/>
      <c r="L938" s="151"/>
      <c r="M938" s="151"/>
      <c r="N938" s="151"/>
      <c r="O938" s="151"/>
      <c r="P938" s="151"/>
      <c r="Q938" s="151"/>
      <c r="R938" s="151"/>
      <c r="S938" s="152"/>
      <c r="T938" s="151"/>
      <c r="U938" s="151"/>
      <c r="V938" s="153"/>
      <c r="W938" s="151"/>
      <c r="X938" s="151"/>
      <c r="Y938" s="153"/>
      <c r="Z938" s="151"/>
      <c r="AA938" s="187" t="str">
        <f t="shared" si="29"/>
        <v>No</v>
      </c>
      <c r="AB938" s="158"/>
      <c r="AC938" s="159"/>
      <c r="AD938" s="160"/>
    </row>
    <row r="939" spans="1:30">
      <c r="A939" s="155"/>
      <c r="B939" s="112" t="str">
        <f t="shared" si="28"/>
        <v/>
      </c>
      <c r="C939" s="183"/>
      <c r="D939" s="152"/>
      <c r="E939" s="152"/>
      <c r="F939" s="151"/>
      <c r="G939" s="153"/>
      <c r="H939" s="151"/>
      <c r="I939" s="151"/>
      <c r="J939" s="151"/>
      <c r="K939" s="151"/>
      <c r="L939" s="151"/>
      <c r="M939" s="151"/>
      <c r="N939" s="151"/>
      <c r="O939" s="151"/>
      <c r="P939" s="151"/>
      <c r="Q939" s="151"/>
      <c r="R939" s="151"/>
      <c r="S939" s="152"/>
      <c r="T939" s="151"/>
      <c r="U939" s="151"/>
      <c r="V939" s="153"/>
      <c r="W939" s="151"/>
      <c r="X939" s="151"/>
      <c r="Y939" s="153"/>
      <c r="Z939" s="151"/>
      <c r="AA939" s="187" t="str">
        <f t="shared" si="29"/>
        <v>No</v>
      </c>
      <c r="AB939" s="158"/>
      <c r="AC939" s="159"/>
      <c r="AD939" s="160"/>
    </row>
    <row r="940" spans="1:30">
      <c r="A940" s="155"/>
      <c r="B940" s="112" t="str">
        <f t="shared" si="28"/>
        <v/>
      </c>
      <c r="C940" s="183"/>
      <c r="D940" s="152"/>
      <c r="E940" s="152"/>
      <c r="F940" s="151"/>
      <c r="G940" s="153"/>
      <c r="H940" s="151"/>
      <c r="I940" s="151"/>
      <c r="J940" s="151"/>
      <c r="K940" s="151"/>
      <c r="L940" s="151"/>
      <c r="M940" s="151"/>
      <c r="N940" s="151"/>
      <c r="O940" s="151"/>
      <c r="P940" s="151"/>
      <c r="Q940" s="151"/>
      <c r="R940" s="151"/>
      <c r="S940" s="152"/>
      <c r="T940" s="151"/>
      <c r="U940" s="151"/>
      <c r="V940" s="153"/>
      <c r="W940" s="151"/>
      <c r="X940" s="151"/>
      <c r="Y940" s="153"/>
      <c r="Z940" s="151"/>
      <c r="AA940" s="187" t="str">
        <f t="shared" si="29"/>
        <v>No</v>
      </c>
      <c r="AB940" s="158"/>
      <c r="AC940" s="159"/>
      <c r="AD940" s="160"/>
    </row>
    <row r="941" spans="1:30">
      <c r="A941" s="155"/>
      <c r="B941" s="112" t="str">
        <f t="shared" si="28"/>
        <v/>
      </c>
      <c r="C941" s="183"/>
      <c r="D941" s="152"/>
      <c r="E941" s="152"/>
      <c r="F941" s="151"/>
      <c r="G941" s="153"/>
      <c r="H941" s="151"/>
      <c r="I941" s="151"/>
      <c r="J941" s="151"/>
      <c r="K941" s="151"/>
      <c r="L941" s="151"/>
      <c r="M941" s="151"/>
      <c r="N941" s="151"/>
      <c r="O941" s="151"/>
      <c r="P941" s="151"/>
      <c r="Q941" s="151"/>
      <c r="R941" s="151"/>
      <c r="S941" s="152"/>
      <c r="T941" s="151"/>
      <c r="U941" s="151"/>
      <c r="V941" s="153"/>
      <c r="W941" s="151"/>
      <c r="X941" s="151"/>
      <c r="Y941" s="153"/>
      <c r="Z941" s="151"/>
      <c r="AA941" s="187" t="str">
        <f t="shared" si="29"/>
        <v>No</v>
      </c>
      <c r="AB941" s="158"/>
      <c r="AC941" s="159"/>
      <c r="AD941" s="160"/>
    </row>
    <row r="942" spans="1:30">
      <c r="A942" s="155"/>
      <c r="B942" s="112" t="str">
        <f t="shared" si="28"/>
        <v/>
      </c>
      <c r="C942" s="183"/>
      <c r="D942" s="152"/>
      <c r="E942" s="152"/>
      <c r="F942" s="151"/>
      <c r="G942" s="153"/>
      <c r="H942" s="151"/>
      <c r="I942" s="151"/>
      <c r="J942" s="151"/>
      <c r="K942" s="151"/>
      <c r="L942" s="151"/>
      <c r="M942" s="151"/>
      <c r="N942" s="151"/>
      <c r="O942" s="151"/>
      <c r="P942" s="151"/>
      <c r="Q942" s="151"/>
      <c r="R942" s="151"/>
      <c r="S942" s="152"/>
      <c r="T942" s="151"/>
      <c r="U942" s="151"/>
      <c r="V942" s="153"/>
      <c r="W942" s="151"/>
      <c r="X942" s="151"/>
      <c r="Y942" s="153"/>
      <c r="Z942" s="151"/>
      <c r="AA942" s="187" t="str">
        <f t="shared" si="29"/>
        <v>No</v>
      </c>
      <c r="AB942" s="158"/>
      <c r="AC942" s="159"/>
      <c r="AD942" s="160"/>
    </row>
    <row r="943" spans="1:30">
      <c r="A943" s="155"/>
      <c r="B943" s="112" t="str">
        <f t="shared" si="28"/>
        <v/>
      </c>
      <c r="C943" s="183"/>
      <c r="D943" s="152"/>
      <c r="E943" s="152"/>
      <c r="F943" s="151"/>
      <c r="G943" s="153"/>
      <c r="H943" s="151"/>
      <c r="I943" s="151"/>
      <c r="J943" s="151"/>
      <c r="K943" s="151"/>
      <c r="L943" s="151"/>
      <c r="M943" s="151"/>
      <c r="N943" s="151"/>
      <c r="O943" s="151"/>
      <c r="P943" s="151"/>
      <c r="Q943" s="151"/>
      <c r="R943" s="151"/>
      <c r="S943" s="152"/>
      <c r="T943" s="151"/>
      <c r="U943" s="151"/>
      <c r="V943" s="153"/>
      <c r="W943" s="151"/>
      <c r="X943" s="151"/>
      <c r="Y943" s="153"/>
      <c r="Z943" s="151"/>
      <c r="AA943" s="187" t="str">
        <f t="shared" si="29"/>
        <v>No</v>
      </c>
      <c r="AB943" s="158"/>
      <c r="AC943" s="159"/>
      <c r="AD943" s="160"/>
    </row>
    <row r="944" spans="1:30">
      <c r="A944" s="155"/>
      <c r="B944" s="112" t="str">
        <f t="shared" si="28"/>
        <v/>
      </c>
      <c r="C944" s="183"/>
      <c r="D944" s="152"/>
      <c r="E944" s="152"/>
      <c r="F944" s="151"/>
      <c r="G944" s="153"/>
      <c r="H944" s="151"/>
      <c r="I944" s="151"/>
      <c r="J944" s="151"/>
      <c r="K944" s="151"/>
      <c r="L944" s="151"/>
      <c r="M944" s="151"/>
      <c r="N944" s="151"/>
      <c r="O944" s="151"/>
      <c r="P944" s="151"/>
      <c r="Q944" s="151"/>
      <c r="R944" s="151"/>
      <c r="S944" s="152"/>
      <c r="T944" s="151"/>
      <c r="U944" s="151"/>
      <c r="V944" s="153"/>
      <c r="W944" s="151"/>
      <c r="X944" s="151"/>
      <c r="Y944" s="153"/>
      <c r="Z944" s="151"/>
      <c r="AA944" s="187" t="str">
        <f t="shared" si="29"/>
        <v>No</v>
      </c>
      <c r="AB944" s="158"/>
      <c r="AC944" s="159"/>
      <c r="AD944" s="160"/>
    </row>
    <row r="945" spans="1:30">
      <c r="A945" s="155"/>
      <c r="B945" s="112" t="str">
        <f t="shared" si="28"/>
        <v/>
      </c>
      <c r="C945" s="183"/>
      <c r="D945" s="152"/>
      <c r="E945" s="152"/>
      <c r="F945" s="151"/>
      <c r="G945" s="153"/>
      <c r="H945" s="151"/>
      <c r="I945" s="151"/>
      <c r="J945" s="151"/>
      <c r="K945" s="151"/>
      <c r="L945" s="151"/>
      <c r="M945" s="151"/>
      <c r="N945" s="151"/>
      <c r="O945" s="151"/>
      <c r="P945" s="151"/>
      <c r="Q945" s="151"/>
      <c r="R945" s="151"/>
      <c r="S945" s="152"/>
      <c r="T945" s="151"/>
      <c r="U945" s="151"/>
      <c r="V945" s="153"/>
      <c r="W945" s="151"/>
      <c r="X945" s="151"/>
      <c r="Y945" s="153"/>
      <c r="Z945" s="151"/>
      <c r="AA945" s="187" t="str">
        <f t="shared" si="29"/>
        <v>No</v>
      </c>
      <c r="AB945" s="158"/>
      <c r="AC945" s="159"/>
      <c r="AD945" s="160"/>
    </row>
    <row r="946" spans="1:30">
      <c r="A946" s="155"/>
      <c r="B946" s="112" t="str">
        <f t="shared" si="28"/>
        <v/>
      </c>
      <c r="C946" s="183"/>
      <c r="D946" s="152"/>
      <c r="E946" s="152"/>
      <c r="F946" s="151"/>
      <c r="G946" s="153"/>
      <c r="H946" s="151"/>
      <c r="I946" s="151"/>
      <c r="J946" s="151"/>
      <c r="K946" s="151"/>
      <c r="L946" s="151"/>
      <c r="M946" s="151"/>
      <c r="N946" s="151"/>
      <c r="O946" s="151"/>
      <c r="P946" s="151"/>
      <c r="Q946" s="151"/>
      <c r="R946" s="151"/>
      <c r="S946" s="152"/>
      <c r="T946" s="151"/>
      <c r="U946" s="151"/>
      <c r="V946" s="153"/>
      <c r="W946" s="151"/>
      <c r="X946" s="151"/>
      <c r="Y946" s="153"/>
      <c r="Z946" s="151"/>
      <c r="AA946" s="187" t="str">
        <f t="shared" si="29"/>
        <v>No</v>
      </c>
      <c r="AB946" s="158"/>
      <c r="AC946" s="159"/>
      <c r="AD946" s="160"/>
    </row>
    <row r="947" spans="1:30">
      <c r="A947" s="155"/>
      <c r="B947" s="112" t="str">
        <f t="shared" si="28"/>
        <v/>
      </c>
      <c r="C947" s="183"/>
      <c r="D947" s="152"/>
      <c r="E947" s="152"/>
      <c r="F947" s="151"/>
      <c r="G947" s="153"/>
      <c r="H947" s="151"/>
      <c r="I947" s="151"/>
      <c r="J947" s="151"/>
      <c r="K947" s="151"/>
      <c r="L947" s="151"/>
      <c r="M947" s="151"/>
      <c r="N947" s="151"/>
      <c r="O947" s="151"/>
      <c r="P947" s="151"/>
      <c r="Q947" s="151"/>
      <c r="R947" s="151"/>
      <c r="S947" s="152"/>
      <c r="T947" s="151"/>
      <c r="U947" s="151"/>
      <c r="V947" s="153"/>
      <c r="W947" s="151"/>
      <c r="X947" s="151"/>
      <c r="Y947" s="153"/>
      <c r="Z947" s="151"/>
      <c r="AA947" s="187" t="str">
        <f t="shared" si="29"/>
        <v>No</v>
      </c>
      <c r="AB947" s="158"/>
      <c r="AC947" s="159"/>
      <c r="AD947" s="160"/>
    </row>
    <row r="948" spans="1:30">
      <c r="A948" s="155"/>
      <c r="B948" s="112" t="str">
        <f t="shared" si="28"/>
        <v/>
      </c>
      <c r="C948" s="183"/>
      <c r="D948" s="152"/>
      <c r="E948" s="152"/>
      <c r="F948" s="151"/>
      <c r="G948" s="153"/>
      <c r="H948" s="151"/>
      <c r="I948" s="151"/>
      <c r="J948" s="151"/>
      <c r="K948" s="151"/>
      <c r="L948" s="151"/>
      <c r="M948" s="151"/>
      <c r="N948" s="151"/>
      <c r="O948" s="151"/>
      <c r="P948" s="151"/>
      <c r="Q948" s="151"/>
      <c r="R948" s="151"/>
      <c r="S948" s="152"/>
      <c r="T948" s="151"/>
      <c r="U948" s="151"/>
      <c r="V948" s="153"/>
      <c r="W948" s="151"/>
      <c r="X948" s="151"/>
      <c r="Y948" s="153"/>
      <c r="Z948" s="151"/>
      <c r="AA948" s="187" t="str">
        <f t="shared" si="29"/>
        <v>No</v>
      </c>
      <c r="AB948" s="158"/>
      <c r="AC948" s="159"/>
      <c r="AD948" s="160"/>
    </row>
    <row r="949" spans="1:30">
      <c r="A949" s="155"/>
      <c r="B949" s="112" t="str">
        <f t="shared" si="28"/>
        <v/>
      </c>
      <c r="C949" s="183"/>
      <c r="D949" s="152"/>
      <c r="E949" s="152"/>
      <c r="F949" s="151"/>
      <c r="G949" s="153"/>
      <c r="H949" s="151"/>
      <c r="I949" s="151"/>
      <c r="J949" s="151"/>
      <c r="K949" s="151"/>
      <c r="L949" s="151"/>
      <c r="M949" s="151"/>
      <c r="N949" s="151"/>
      <c r="O949" s="151"/>
      <c r="P949" s="151"/>
      <c r="Q949" s="151"/>
      <c r="R949" s="151"/>
      <c r="S949" s="152"/>
      <c r="T949" s="151"/>
      <c r="U949" s="151"/>
      <c r="V949" s="153"/>
      <c r="W949" s="151"/>
      <c r="X949" s="151"/>
      <c r="Y949" s="153"/>
      <c r="Z949" s="151"/>
      <c r="AA949" s="187" t="str">
        <f t="shared" si="29"/>
        <v>No</v>
      </c>
      <c r="AB949" s="158"/>
      <c r="AC949" s="159"/>
      <c r="AD949" s="160"/>
    </row>
    <row r="950" spans="1:30">
      <c r="A950" s="155"/>
      <c r="B950" s="112" t="str">
        <f t="shared" si="28"/>
        <v/>
      </c>
      <c r="C950" s="183"/>
      <c r="D950" s="152"/>
      <c r="E950" s="152"/>
      <c r="F950" s="151"/>
      <c r="G950" s="153"/>
      <c r="H950" s="151"/>
      <c r="I950" s="151"/>
      <c r="J950" s="151"/>
      <c r="K950" s="151"/>
      <c r="L950" s="151"/>
      <c r="M950" s="151"/>
      <c r="N950" s="151"/>
      <c r="O950" s="151"/>
      <c r="P950" s="151"/>
      <c r="Q950" s="151"/>
      <c r="R950" s="151"/>
      <c r="S950" s="152"/>
      <c r="T950" s="151"/>
      <c r="U950" s="151"/>
      <c r="V950" s="153"/>
      <c r="W950" s="151"/>
      <c r="X950" s="151"/>
      <c r="Y950" s="153"/>
      <c r="Z950" s="151"/>
      <c r="AA950" s="187" t="str">
        <f t="shared" si="29"/>
        <v>No</v>
      </c>
      <c r="AB950" s="158"/>
      <c r="AC950" s="159"/>
      <c r="AD950" s="160"/>
    </row>
    <row r="951" spans="1:30">
      <c r="A951" s="155"/>
      <c r="B951" s="112" t="str">
        <f t="shared" si="28"/>
        <v/>
      </c>
      <c r="C951" s="183"/>
      <c r="D951" s="152"/>
      <c r="E951" s="152"/>
      <c r="F951" s="151"/>
      <c r="G951" s="153"/>
      <c r="H951" s="151"/>
      <c r="I951" s="151"/>
      <c r="J951" s="151"/>
      <c r="K951" s="151"/>
      <c r="L951" s="151"/>
      <c r="M951" s="151"/>
      <c r="N951" s="151"/>
      <c r="O951" s="151"/>
      <c r="P951" s="151"/>
      <c r="Q951" s="151"/>
      <c r="R951" s="151"/>
      <c r="S951" s="152"/>
      <c r="T951" s="151"/>
      <c r="U951" s="151"/>
      <c r="V951" s="153"/>
      <c r="W951" s="151"/>
      <c r="X951" s="151"/>
      <c r="Y951" s="153"/>
      <c r="Z951" s="151"/>
      <c r="AA951" s="187" t="str">
        <f t="shared" si="29"/>
        <v>No</v>
      </c>
      <c r="AB951" s="158"/>
      <c r="AC951" s="159"/>
      <c r="AD951" s="160"/>
    </row>
    <row r="952" spans="1:30">
      <c r="A952" s="155"/>
      <c r="B952" s="112" t="str">
        <f t="shared" si="28"/>
        <v/>
      </c>
      <c r="C952" s="183"/>
      <c r="D952" s="152"/>
      <c r="E952" s="152"/>
      <c r="F952" s="151"/>
      <c r="G952" s="153"/>
      <c r="H952" s="151"/>
      <c r="I952" s="151"/>
      <c r="J952" s="151"/>
      <c r="K952" s="151"/>
      <c r="L952" s="151"/>
      <c r="M952" s="151"/>
      <c r="N952" s="151"/>
      <c r="O952" s="151"/>
      <c r="P952" s="151"/>
      <c r="Q952" s="151"/>
      <c r="R952" s="151"/>
      <c r="S952" s="152"/>
      <c r="T952" s="151"/>
      <c r="U952" s="151"/>
      <c r="V952" s="153"/>
      <c r="W952" s="151"/>
      <c r="X952" s="151"/>
      <c r="Y952" s="153"/>
      <c r="Z952" s="151"/>
      <c r="AA952" s="187" t="str">
        <f t="shared" si="29"/>
        <v>No</v>
      </c>
      <c r="AB952" s="158"/>
      <c r="AC952" s="159"/>
      <c r="AD952" s="160"/>
    </row>
    <row r="953" spans="1:30">
      <c r="A953" s="155"/>
      <c r="B953" s="112" t="str">
        <f t="shared" si="28"/>
        <v/>
      </c>
      <c r="C953" s="183"/>
      <c r="D953" s="152"/>
      <c r="E953" s="152"/>
      <c r="F953" s="151"/>
      <c r="G953" s="153"/>
      <c r="H953" s="151"/>
      <c r="I953" s="151"/>
      <c r="J953" s="151"/>
      <c r="K953" s="151"/>
      <c r="L953" s="151"/>
      <c r="M953" s="151"/>
      <c r="N953" s="151"/>
      <c r="O953" s="151"/>
      <c r="P953" s="151"/>
      <c r="Q953" s="151"/>
      <c r="R953" s="151"/>
      <c r="S953" s="152"/>
      <c r="T953" s="151"/>
      <c r="U953" s="151"/>
      <c r="V953" s="153"/>
      <c r="W953" s="151"/>
      <c r="X953" s="151"/>
      <c r="Y953" s="153"/>
      <c r="Z953" s="151"/>
      <c r="AA953" s="187" t="str">
        <f t="shared" si="29"/>
        <v>No</v>
      </c>
      <c r="AB953" s="158"/>
      <c r="AC953" s="159"/>
      <c r="AD953" s="160"/>
    </row>
    <row r="954" spans="1:30">
      <c r="A954" s="155"/>
      <c r="B954" s="112" t="str">
        <f t="shared" si="28"/>
        <v/>
      </c>
      <c r="C954" s="183"/>
      <c r="D954" s="152"/>
      <c r="E954" s="152"/>
      <c r="F954" s="151"/>
      <c r="G954" s="153"/>
      <c r="H954" s="151"/>
      <c r="I954" s="151"/>
      <c r="J954" s="151"/>
      <c r="K954" s="151"/>
      <c r="L954" s="151"/>
      <c r="M954" s="151"/>
      <c r="N954" s="151"/>
      <c r="O954" s="151"/>
      <c r="P954" s="151"/>
      <c r="Q954" s="151"/>
      <c r="R954" s="151"/>
      <c r="S954" s="152"/>
      <c r="T954" s="151"/>
      <c r="U954" s="151"/>
      <c r="V954" s="153"/>
      <c r="W954" s="151"/>
      <c r="X954" s="151"/>
      <c r="Y954" s="153"/>
      <c r="Z954" s="151"/>
      <c r="AA954" s="187" t="str">
        <f t="shared" si="29"/>
        <v>No</v>
      </c>
      <c r="AB954" s="158"/>
      <c r="AC954" s="159"/>
      <c r="AD954" s="160"/>
    </row>
    <row r="955" spans="1:30">
      <c r="A955" s="155"/>
      <c r="B955" s="112" t="str">
        <f t="shared" si="28"/>
        <v/>
      </c>
      <c r="C955" s="183"/>
      <c r="D955" s="152"/>
      <c r="E955" s="152"/>
      <c r="F955" s="151"/>
      <c r="G955" s="153"/>
      <c r="H955" s="151"/>
      <c r="I955" s="151"/>
      <c r="J955" s="151"/>
      <c r="K955" s="151"/>
      <c r="L955" s="151"/>
      <c r="M955" s="151"/>
      <c r="N955" s="151"/>
      <c r="O955" s="151"/>
      <c r="P955" s="151"/>
      <c r="Q955" s="151"/>
      <c r="R955" s="151"/>
      <c r="S955" s="152"/>
      <c r="T955" s="151"/>
      <c r="U955" s="151"/>
      <c r="V955" s="153"/>
      <c r="W955" s="151"/>
      <c r="X955" s="151"/>
      <c r="Y955" s="153"/>
      <c r="Z955" s="151"/>
      <c r="AA955" s="187" t="str">
        <f t="shared" si="29"/>
        <v>No</v>
      </c>
      <c r="AB955" s="158"/>
      <c r="AC955" s="159"/>
      <c r="AD955" s="160"/>
    </row>
    <row r="956" spans="1:30">
      <c r="A956" s="155"/>
      <c r="B956" s="112" t="str">
        <f t="shared" si="28"/>
        <v/>
      </c>
      <c r="C956" s="183"/>
      <c r="D956" s="152"/>
      <c r="E956" s="152"/>
      <c r="F956" s="151"/>
      <c r="G956" s="153"/>
      <c r="H956" s="151"/>
      <c r="I956" s="151"/>
      <c r="J956" s="151"/>
      <c r="K956" s="151"/>
      <c r="L956" s="151"/>
      <c r="M956" s="151"/>
      <c r="N956" s="151"/>
      <c r="O956" s="151"/>
      <c r="P956" s="151"/>
      <c r="Q956" s="151"/>
      <c r="R956" s="151"/>
      <c r="S956" s="152"/>
      <c r="T956" s="151"/>
      <c r="U956" s="151"/>
      <c r="V956" s="153"/>
      <c r="W956" s="151"/>
      <c r="X956" s="151"/>
      <c r="Y956" s="153"/>
      <c r="Z956" s="151"/>
      <c r="AA956" s="187" t="str">
        <f t="shared" si="29"/>
        <v>No</v>
      </c>
      <c r="AB956" s="158"/>
      <c r="AC956" s="159"/>
      <c r="AD956" s="160"/>
    </row>
    <row r="957" spans="1:30">
      <c r="A957" s="155"/>
      <c r="B957" s="112" t="str">
        <f t="shared" si="28"/>
        <v/>
      </c>
      <c r="C957" s="183"/>
      <c r="D957" s="152"/>
      <c r="E957" s="152"/>
      <c r="F957" s="151"/>
      <c r="G957" s="153"/>
      <c r="H957" s="151"/>
      <c r="I957" s="151"/>
      <c r="J957" s="151"/>
      <c r="K957" s="151"/>
      <c r="L957" s="151"/>
      <c r="M957" s="151"/>
      <c r="N957" s="151"/>
      <c r="O957" s="151"/>
      <c r="P957" s="151"/>
      <c r="Q957" s="151"/>
      <c r="R957" s="151"/>
      <c r="S957" s="152"/>
      <c r="T957" s="151"/>
      <c r="U957" s="151"/>
      <c r="V957" s="153"/>
      <c r="W957" s="151"/>
      <c r="X957" s="151"/>
      <c r="Y957" s="153"/>
      <c r="Z957" s="151"/>
      <c r="AA957" s="187" t="str">
        <f t="shared" si="29"/>
        <v>No</v>
      </c>
      <c r="AB957" s="158"/>
      <c r="AC957" s="159"/>
      <c r="AD957" s="160"/>
    </row>
    <row r="958" spans="1:30">
      <c r="A958" s="155"/>
      <c r="B958" s="112" t="str">
        <f t="shared" si="28"/>
        <v/>
      </c>
      <c r="C958" s="183"/>
      <c r="D958" s="152"/>
      <c r="E958" s="152"/>
      <c r="F958" s="151"/>
      <c r="G958" s="153"/>
      <c r="H958" s="151"/>
      <c r="I958" s="151"/>
      <c r="J958" s="151"/>
      <c r="K958" s="151"/>
      <c r="L958" s="151"/>
      <c r="M958" s="151"/>
      <c r="N958" s="151"/>
      <c r="O958" s="151"/>
      <c r="P958" s="151"/>
      <c r="Q958" s="151"/>
      <c r="R958" s="151"/>
      <c r="S958" s="152"/>
      <c r="T958" s="151"/>
      <c r="U958" s="151"/>
      <c r="V958" s="153"/>
      <c r="W958" s="151"/>
      <c r="X958" s="151"/>
      <c r="Y958" s="153"/>
      <c r="Z958" s="151"/>
      <c r="AA958" s="187" t="str">
        <f t="shared" si="29"/>
        <v>No</v>
      </c>
      <c r="AB958" s="158"/>
      <c r="AC958" s="159"/>
      <c r="AD958" s="160"/>
    </row>
    <row r="959" spans="1:30">
      <c r="A959" s="155"/>
      <c r="B959" s="112" t="str">
        <f t="shared" si="28"/>
        <v/>
      </c>
      <c r="C959" s="183"/>
      <c r="D959" s="152"/>
      <c r="E959" s="152"/>
      <c r="F959" s="151"/>
      <c r="G959" s="153"/>
      <c r="H959" s="151"/>
      <c r="I959" s="151"/>
      <c r="J959" s="151"/>
      <c r="K959" s="151"/>
      <c r="L959" s="151"/>
      <c r="M959" s="151"/>
      <c r="N959" s="151"/>
      <c r="O959" s="151"/>
      <c r="P959" s="151"/>
      <c r="Q959" s="151"/>
      <c r="R959" s="151"/>
      <c r="S959" s="152"/>
      <c r="T959" s="151"/>
      <c r="U959" s="151"/>
      <c r="V959" s="153"/>
      <c r="W959" s="151"/>
      <c r="X959" s="151"/>
      <c r="Y959" s="153"/>
      <c r="Z959" s="151"/>
      <c r="AA959" s="187" t="str">
        <f t="shared" si="29"/>
        <v>No</v>
      </c>
      <c r="AB959" s="158"/>
      <c r="AC959" s="159"/>
      <c r="AD959" s="160"/>
    </row>
    <row r="960" spans="1:30">
      <c r="A960" s="155"/>
      <c r="B960" s="112" t="str">
        <f t="shared" si="28"/>
        <v/>
      </c>
      <c r="C960" s="183"/>
      <c r="D960" s="152"/>
      <c r="E960" s="152"/>
      <c r="F960" s="151"/>
      <c r="G960" s="153"/>
      <c r="H960" s="151"/>
      <c r="I960" s="151"/>
      <c r="J960" s="151"/>
      <c r="K960" s="151"/>
      <c r="L960" s="151"/>
      <c r="M960" s="151"/>
      <c r="N960" s="151"/>
      <c r="O960" s="151"/>
      <c r="P960" s="151"/>
      <c r="Q960" s="151"/>
      <c r="R960" s="151"/>
      <c r="S960" s="152"/>
      <c r="T960" s="151"/>
      <c r="U960" s="151"/>
      <c r="V960" s="153"/>
      <c r="W960" s="151"/>
      <c r="X960" s="151"/>
      <c r="Y960" s="153"/>
      <c r="Z960" s="151"/>
      <c r="AA960" s="187" t="str">
        <f t="shared" si="29"/>
        <v>No</v>
      </c>
      <c r="AB960" s="158"/>
      <c r="AC960" s="159"/>
      <c r="AD960" s="160"/>
    </row>
    <row r="961" spans="1:30">
      <c r="A961" s="155"/>
      <c r="B961" s="112" t="str">
        <f t="shared" si="28"/>
        <v/>
      </c>
      <c r="C961" s="183"/>
      <c r="D961" s="152"/>
      <c r="E961" s="152"/>
      <c r="F961" s="151"/>
      <c r="G961" s="153"/>
      <c r="H961" s="151"/>
      <c r="I961" s="151"/>
      <c r="J961" s="151"/>
      <c r="K961" s="151"/>
      <c r="L961" s="151"/>
      <c r="M961" s="151"/>
      <c r="N961" s="151"/>
      <c r="O961" s="151"/>
      <c r="P961" s="151"/>
      <c r="Q961" s="151"/>
      <c r="R961" s="151"/>
      <c r="S961" s="152"/>
      <c r="T961" s="151"/>
      <c r="U961" s="151"/>
      <c r="V961" s="153"/>
      <c r="W961" s="151"/>
      <c r="X961" s="151"/>
      <c r="Y961" s="153"/>
      <c r="Z961" s="151"/>
      <c r="AA961" s="187" t="str">
        <f t="shared" si="29"/>
        <v>No</v>
      </c>
      <c r="AB961" s="158"/>
      <c r="AC961" s="159"/>
      <c r="AD961" s="160"/>
    </row>
    <row r="962" spans="1:30">
      <c r="A962" s="155"/>
      <c r="B962" s="112" t="str">
        <f t="shared" si="28"/>
        <v/>
      </c>
      <c r="C962" s="183"/>
      <c r="D962" s="152"/>
      <c r="E962" s="152"/>
      <c r="F962" s="151"/>
      <c r="G962" s="153"/>
      <c r="H962" s="151"/>
      <c r="I962" s="151"/>
      <c r="J962" s="151"/>
      <c r="K962" s="151"/>
      <c r="L962" s="151"/>
      <c r="M962" s="151"/>
      <c r="N962" s="151"/>
      <c r="O962" s="151"/>
      <c r="P962" s="151"/>
      <c r="Q962" s="151"/>
      <c r="R962" s="151"/>
      <c r="S962" s="152"/>
      <c r="T962" s="151"/>
      <c r="U962" s="151"/>
      <c r="V962" s="153"/>
      <c r="W962" s="151"/>
      <c r="X962" s="151"/>
      <c r="Y962" s="153"/>
      <c r="Z962" s="151"/>
      <c r="AA962" s="187" t="str">
        <f t="shared" si="29"/>
        <v>No</v>
      </c>
      <c r="AB962" s="158"/>
      <c r="AC962" s="159"/>
      <c r="AD962" s="160"/>
    </row>
    <row r="963" spans="1:30">
      <c r="A963" s="155"/>
      <c r="B963" s="112" t="str">
        <f t="shared" si="28"/>
        <v/>
      </c>
      <c r="C963" s="183"/>
      <c r="D963" s="152"/>
      <c r="E963" s="152"/>
      <c r="F963" s="151"/>
      <c r="G963" s="153"/>
      <c r="H963" s="151"/>
      <c r="I963" s="151"/>
      <c r="J963" s="151"/>
      <c r="K963" s="151"/>
      <c r="L963" s="151"/>
      <c r="M963" s="151"/>
      <c r="N963" s="151"/>
      <c r="O963" s="151"/>
      <c r="P963" s="151"/>
      <c r="Q963" s="151"/>
      <c r="R963" s="151"/>
      <c r="S963" s="152"/>
      <c r="T963" s="151"/>
      <c r="U963" s="151"/>
      <c r="V963" s="153"/>
      <c r="W963" s="151"/>
      <c r="X963" s="151"/>
      <c r="Y963" s="153"/>
      <c r="Z963" s="151"/>
      <c r="AA963" s="187" t="str">
        <f t="shared" si="29"/>
        <v>No</v>
      </c>
      <c r="AB963" s="158"/>
      <c r="AC963" s="159"/>
      <c r="AD963" s="160"/>
    </row>
    <row r="964" spans="1:30">
      <c r="A964" s="155"/>
      <c r="B964" s="112" t="str">
        <f t="shared" si="28"/>
        <v/>
      </c>
      <c r="C964" s="183"/>
      <c r="D964" s="152"/>
      <c r="E964" s="152"/>
      <c r="F964" s="151"/>
      <c r="G964" s="153"/>
      <c r="H964" s="151"/>
      <c r="I964" s="151"/>
      <c r="J964" s="151"/>
      <c r="K964" s="151"/>
      <c r="L964" s="151"/>
      <c r="M964" s="151"/>
      <c r="N964" s="151"/>
      <c r="O964" s="151"/>
      <c r="P964" s="151"/>
      <c r="Q964" s="151"/>
      <c r="R964" s="151"/>
      <c r="S964" s="152"/>
      <c r="T964" s="151"/>
      <c r="U964" s="151"/>
      <c r="V964" s="153"/>
      <c r="W964" s="151"/>
      <c r="X964" s="151"/>
      <c r="Y964" s="153"/>
      <c r="Z964" s="151"/>
      <c r="AA964" s="187" t="str">
        <f t="shared" si="29"/>
        <v>No</v>
      </c>
      <c r="AB964" s="158"/>
      <c r="AC964" s="159"/>
      <c r="AD964" s="160"/>
    </row>
    <row r="965" spans="1:30">
      <c r="A965" s="155"/>
      <c r="B965" s="112" t="str">
        <f t="shared" ref="B965:B1028" si="30">IF(AND(A965&lt;&gt;"",D965&lt;&gt;"",J965&lt;&gt;"",N965&lt;&gt;""),TEXT(D965,"YY")&amp;"-"&amp;TEXT(D965,"MMM")&amp;"-"&amp;UPPER(LEFT(TRIM(N965),2))&amp;"-"&amp;UPPER(LEFT(TRIM(J965),3))&amp;"-"&amp;A965,"")</f>
        <v/>
      </c>
      <c r="C965" s="183"/>
      <c r="D965" s="152"/>
      <c r="E965" s="152"/>
      <c r="F965" s="151"/>
      <c r="G965" s="153"/>
      <c r="H965" s="151"/>
      <c r="I965" s="151"/>
      <c r="J965" s="151"/>
      <c r="K965" s="151"/>
      <c r="L965" s="151"/>
      <c r="M965" s="151"/>
      <c r="N965" s="151"/>
      <c r="O965" s="151"/>
      <c r="P965" s="151"/>
      <c r="Q965" s="151"/>
      <c r="R965" s="151"/>
      <c r="S965" s="152"/>
      <c r="T965" s="151"/>
      <c r="U965" s="151"/>
      <c r="V965" s="153"/>
      <c r="W965" s="151"/>
      <c r="X965" s="151"/>
      <c r="Y965" s="153"/>
      <c r="Z965" s="151"/>
      <c r="AA965" s="187" t="str">
        <f t="shared" ref="AA965:AA1028" si="31">IF(E965="","No","Yes")</f>
        <v>No</v>
      </c>
      <c r="AB965" s="158"/>
      <c r="AC965" s="159"/>
      <c r="AD965" s="160"/>
    </row>
    <row r="966" spans="1:30">
      <c r="A966" s="155"/>
      <c r="B966" s="112" t="str">
        <f t="shared" si="30"/>
        <v/>
      </c>
      <c r="C966" s="183"/>
      <c r="D966" s="152"/>
      <c r="E966" s="152"/>
      <c r="F966" s="151"/>
      <c r="G966" s="153"/>
      <c r="H966" s="151"/>
      <c r="I966" s="151"/>
      <c r="J966" s="151"/>
      <c r="K966" s="151"/>
      <c r="L966" s="151"/>
      <c r="M966" s="151"/>
      <c r="N966" s="151"/>
      <c r="O966" s="151"/>
      <c r="P966" s="151"/>
      <c r="Q966" s="151"/>
      <c r="R966" s="151"/>
      <c r="S966" s="152"/>
      <c r="T966" s="151"/>
      <c r="U966" s="151"/>
      <c r="V966" s="153"/>
      <c r="W966" s="151"/>
      <c r="X966" s="151"/>
      <c r="Y966" s="153"/>
      <c r="Z966" s="151"/>
      <c r="AA966" s="187" t="str">
        <f t="shared" si="31"/>
        <v>No</v>
      </c>
      <c r="AB966" s="158"/>
      <c r="AC966" s="159"/>
      <c r="AD966" s="160"/>
    </row>
    <row r="967" spans="1:30">
      <c r="A967" s="155"/>
      <c r="B967" s="112" t="str">
        <f t="shared" si="30"/>
        <v/>
      </c>
      <c r="C967" s="183"/>
      <c r="D967" s="152"/>
      <c r="E967" s="152"/>
      <c r="F967" s="151"/>
      <c r="G967" s="153"/>
      <c r="H967" s="151"/>
      <c r="I967" s="151"/>
      <c r="J967" s="151"/>
      <c r="K967" s="151"/>
      <c r="L967" s="151"/>
      <c r="M967" s="151"/>
      <c r="N967" s="151"/>
      <c r="O967" s="151"/>
      <c r="P967" s="151"/>
      <c r="Q967" s="151"/>
      <c r="R967" s="151"/>
      <c r="S967" s="152"/>
      <c r="T967" s="151"/>
      <c r="U967" s="151"/>
      <c r="V967" s="153"/>
      <c r="W967" s="151"/>
      <c r="X967" s="151"/>
      <c r="Y967" s="153"/>
      <c r="Z967" s="151"/>
      <c r="AA967" s="187" t="str">
        <f t="shared" si="31"/>
        <v>No</v>
      </c>
      <c r="AB967" s="158"/>
      <c r="AC967" s="159"/>
      <c r="AD967" s="160"/>
    </row>
    <row r="968" spans="1:30">
      <c r="A968" s="155"/>
      <c r="B968" s="112" t="str">
        <f t="shared" si="30"/>
        <v/>
      </c>
      <c r="C968" s="183"/>
      <c r="D968" s="152"/>
      <c r="E968" s="152"/>
      <c r="F968" s="151"/>
      <c r="G968" s="153"/>
      <c r="H968" s="151"/>
      <c r="I968" s="151"/>
      <c r="J968" s="151"/>
      <c r="K968" s="151"/>
      <c r="L968" s="151"/>
      <c r="M968" s="151"/>
      <c r="N968" s="151"/>
      <c r="O968" s="151"/>
      <c r="P968" s="151"/>
      <c r="Q968" s="151"/>
      <c r="R968" s="151"/>
      <c r="S968" s="152"/>
      <c r="T968" s="151"/>
      <c r="U968" s="151"/>
      <c r="V968" s="153"/>
      <c r="W968" s="151"/>
      <c r="X968" s="151"/>
      <c r="Y968" s="153"/>
      <c r="Z968" s="151"/>
      <c r="AA968" s="187" t="str">
        <f t="shared" si="31"/>
        <v>No</v>
      </c>
      <c r="AB968" s="158"/>
      <c r="AC968" s="159"/>
      <c r="AD968" s="160"/>
    </row>
    <row r="969" spans="1:30">
      <c r="A969" s="155"/>
      <c r="B969" s="112" t="str">
        <f t="shared" si="30"/>
        <v/>
      </c>
      <c r="C969" s="183"/>
      <c r="D969" s="152"/>
      <c r="E969" s="152"/>
      <c r="F969" s="151"/>
      <c r="G969" s="153"/>
      <c r="H969" s="151"/>
      <c r="I969" s="151"/>
      <c r="J969" s="151"/>
      <c r="K969" s="151"/>
      <c r="L969" s="151"/>
      <c r="M969" s="151"/>
      <c r="N969" s="151"/>
      <c r="O969" s="151"/>
      <c r="P969" s="151"/>
      <c r="Q969" s="151"/>
      <c r="R969" s="151"/>
      <c r="S969" s="152"/>
      <c r="T969" s="151"/>
      <c r="U969" s="151"/>
      <c r="V969" s="153"/>
      <c r="W969" s="151"/>
      <c r="X969" s="151"/>
      <c r="Y969" s="153"/>
      <c r="Z969" s="151"/>
      <c r="AA969" s="187" t="str">
        <f t="shared" si="31"/>
        <v>No</v>
      </c>
      <c r="AB969" s="158"/>
      <c r="AC969" s="159"/>
      <c r="AD969" s="160"/>
    </row>
    <row r="970" spans="1:30">
      <c r="A970" s="155"/>
      <c r="B970" s="112" t="str">
        <f t="shared" si="30"/>
        <v/>
      </c>
      <c r="C970" s="183"/>
      <c r="D970" s="152"/>
      <c r="E970" s="152"/>
      <c r="F970" s="151"/>
      <c r="G970" s="153"/>
      <c r="H970" s="151"/>
      <c r="I970" s="151"/>
      <c r="J970" s="151"/>
      <c r="K970" s="151"/>
      <c r="L970" s="151"/>
      <c r="M970" s="151"/>
      <c r="N970" s="151"/>
      <c r="O970" s="151"/>
      <c r="P970" s="151"/>
      <c r="Q970" s="151"/>
      <c r="R970" s="151"/>
      <c r="S970" s="152"/>
      <c r="T970" s="151"/>
      <c r="U970" s="151"/>
      <c r="V970" s="153"/>
      <c r="W970" s="151"/>
      <c r="X970" s="151"/>
      <c r="Y970" s="153"/>
      <c r="Z970" s="151"/>
      <c r="AA970" s="187" t="str">
        <f t="shared" si="31"/>
        <v>No</v>
      </c>
      <c r="AB970" s="158"/>
      <c r="AC970" s="159"/>
      <c r="AD970" s="160"/>
    </row>
    <row r="971" spans="1:30">
      <c r="A971" s="155"/>
      <c r="B971" s="112" t="str">
        <f t="shared" si="30"/>
        <v/>
      </c>
      <c r="C971" s="183"/>
      <c r="D971" s="152"/>
      <c r="E971" s="152"/>
      <c r="F971" s="151"/>
      <c r="G971" s="153"/>
      <c r="H971" s="151"/>
      <c r="I971" s="151"/>
      <c r="J971" s="151"/>
      <c r="K971" s="151"/>
      <c r="L971" s="151"/>
      <c r="M971" s="151"/>
      <c r="N971" s="151"/>
      <c r="O971" s="151"/>
      <c r="P971" s="151"/>
      <c r="Q971" s="151"/>
      <c r="R971" s="151"/>
      <c r="S971" s="152"/>
      <c r="T971" s="151"/>
      <c r="U971" s="151"/>
      <c r="V971" s="153"/>
      <c r="W971" s="151"/>
      <c r="X971" s="151"/>
      <c r="Y971" s="153"/>
      <c r="Z971" s="151"/>
      <c r="AA971" s="187" t="str">
        <f t="shared" si="31"/>
        <v>No</v>
      </c>
      <c r="AB971" s="158"/>
      <c r="AC971" s="159"/>
      <c r="AD971" s="160"/>
    </row>
    <row r="972" spans="1:30">
      <c r="A972" s="155"/>
      <c r="B972" s="112" t="str">
        <f t="shared" si="30"/>
        <v/>
      </c>
      <c r="C972" s="183"/>
      <c r="D972" s="152"/>
      <c r="E972" s="152"/>
      <c r="F972" s="151"/>
      <c r="G972" s="153"/>
      <c r="H972" s="151"/>
      <c r="I972" s="151"/>
      <c r="J972" s="151"/>
      <c r="K972" s="151"/>
      <c r="L972" s="151"/>
      <c r="M972" s="151"/>
      <c r="N972" s="151"/>
      <c r="O972" s="151"/>
      <c r="P972" s="151"/>
      <c r="Q972" s="151"/>
      <c r="R972" s="151"/>
      <c r="S972" s="152"/>
      <c r="T972" s="151"/>
      <c r="U972" s="151"/>
      <c r="V972" s="153"/>
      <c r="W972" s="151"/>
      <c r="X972" s="151"/>
      <c r="Y972" s="153"/>
      <c r="Z972" s="151"/>
      <c r="AA972" s="187" t="str">
        <f t="shared" si="31"/>
        <v>No</v>
      </c>
      <c r="AB972" s="158"/>
      <c r="AC972" s="159"/>
      <c r="AD972" s="160"/>
    </row>
    <row r="973" spans="1:30">
      <c r="A973" s="155"/>
      <c r="B973" s="112" t="str">
        <f t="shared" si="30"/>
        <v/>
      </c>
      <c r="C973" s="183"/>
      <c r="D973" s="152"/>
      <c r="E973" s="152"/>
      <c r="F973" s="151"/>
      <c r="G973" s="153"/>
      <c r="H973" s="151"/>
      <c r="I973" s="151"/>
      <c r="J973" s="151"/>
      <c r="K973" s="151"/>
      <c r="L973" s="151"/>
      <c r="M973" s="151"/>
      <c r="N973" s="151"/>
      <c r="O973" s="151"/>
      <c r="P973" s="151"/>
      <c r="Q973" s="151"/>
      <c r="R973" s="151"/>
      <c r="S973" s="152"/>
      <c r="T973" s="151"/>
      <c r="U973" s="151"/>
      <c r="V973" s="153"/>
      <c r="W973" s="151"/>
      <c r="X973" s="151"/>
      <c r="Y973" s="153"/>
      <c r="Z973" s="151"/>
      <c r="AA973" s="187" t="str">
        <f t="shared" si="31"/>
        <v>No</v>
      </c>
      <c r="AB973" s="158"/>
      <c r="AC973" s="159"/>
      <c r="AD973" s="160"/>
    </row>
    <row r="974" spans="1:30">
      <c r="A974" s="155"/>
      <c r="B974" s="112" t="str">
        <f t="shared" si="30"/>
        <v/>
      </c>
      <c r="C974" s="183"/>
      <c r="D974" s="152"/>
      <c r="E974" s="152"/>
      <c r="F974" s="151"/>
      <c r="G974" s="153"/>
      <c r="H974" s="151"/>
      <c r="I974" s="151"/>
      <c r="J974" s="151"/>
      <c r="K974" s="151"/>
      <c r="L974" s="151"/>
      <c r="M974" s="151"/>
      <c r="N974" s="151"/>
      <c r="O974" s="151"/>
      <c r="P974" s="151"/>
      <c r="Q974" s="151"/>
      <c r="R974" s="151"/>
      <c r="S974" s="152"/>
      <c r="T974" s="151"/>
      <c r="U974" s="151"/>
      <c r="V974" s="153"/>
      <c r="W974" s="151"/>
      <c r="X974" s="151"/>
      <c r="Y974" s="153"/>
      <c r="Z974" s="151"/>
      <c r="AA974" s="187" t="str">
        <f t="shared" si="31"/>
        <v>No</v>
      </c>
      <c r="AB974" s="158"/>
      <c r="AC974" s="159"/>
      <c r="AD974" s="160"/>
    </row>
    <row r="975" spans="1:30">
      <c r="A975" s="155"/>
      <c r="B975" s="112" t="str">
        <f t="shared" si="30"/>
        <v/>
      </c>
      <c r="C975" s="183"/>
      <c r="D975" s="152"/>
      <c r="E975" s="152"/>
      <c r="F975" s="151"/>
      <c r="G975" s="153"/>
      <c r="H975" s="151"/>
      <c r="I975" s="151"/>
      <c r="J975" s="151"/>
      <c r="K975" s="151"/>
      <c r="L975" s="151"/>
      <c r="M975" s="151"/>
      <c r="N975" s="151"/>
      <c r="O975" s="151"/>
      <c r="P975" s="151"/>
      <c r="Q975" s="151"/>
      <c r="R975" s="151"/>
      <c r="S975" s="152"/>
      <c r="T975" s="151"/>
      <c r="U975" s="151"/>
      <c r="V975" s="153"/>
      <c r="W975" s="151"/>
      <c r="X975" s="151"/>
      <c r="Y975" s="153"/>
      <c r="Z975" s="151"/>
      <c r="AA975" s="187" t="str">
        <f t="shared" si="31"/>
        <v>No</v>
      </c>
      <c r="AB975" s="158"/>
      <c r="AC975" s="159"/>
      <c r="AD975" s="160"/>
    </row>
    <row r="976" spans="1:30">
      <c r="A976" s="155"/>
      <c r="B976" s="112" t="str">
        <f t="shared" si="30"/>
        <v/>
      </c>
      <c r="C976" s="183"/>
      <c r="D976" s="152"/>
      <c r="E976" s="152"/>
      <c r="F976" s="151"/>
      <c r="G976" s="153"/>
      <c r="H976" s="151"/>
      <c r="I976" s="151"/>
      <c r="J976" s="151"/>
      <c r="K976" s="151"/>
      <c r="L976" s="151"/>
      <c r="M976" s="151"/>
      <c r="N976" s="151"/>
      <c r="O976" s="151"/>
      <c r="P976" s="151"/>
      <c r="Q976" s="151"/>
      <c r="R976" s="151"/>
      <c r="S976" s="152"/>
      <c r="T976" s="151"/>
      <c r="U976" s="151"/>
      <c r="V976" s="153"/>
      <c r="W976" s="151"/>
      <c r="X976" s="151"/>
      <c r="Y976" s="153"/>
      <c r="Z976" s="151"/>
      <c r="AA976" s="187" t="str">
        <f t="shared" si="31"/>
        <v>No</v>
      </c>
      <c r="AB976" s="158"/>
      <c r="AC976" s="159"/>
      <c r="AD976" s="160"/>
    </row>
    <row r="977" spans="1:30">
      <c r="A977" s="155"/>
      <c r="B977" s="112" t="str">
        <f t="shared" si="30"/>
        <v/>
      </c>
      <c r="C977" s="183"/>
      <c r="D977" s="152"/>
      <c r="E977" s="152"/>
      <c r="F977" s="151"/>
      <c r="G977" s="153"/>
      <c r="H977" s="151"/>
      <c r="I977" s="151"/>
      <c r="J977" s="151"/>
      <c r="K977" s="151"/>
      <c r="L977" s="151"/>
      <c r="M977" s="151"/>
      <c r="N977" s="151"/>
      <c r="O977" s="151"/>
      <c r="P977" s="151"/>
      <c r="Q977" s="151"/>
      <c r="R977" s="151"/>
      <c r="S977" s="152"/>
      <c r="T977" s="151"/>
      <c r="U977" s="151"/>
      <c r="V977" s="153"/>
      <c r="W977" s="151"/>
      <c r="X977" s="151"/>
      <c r="Y977" s="153"/>
      <c r="Z977" s="151"/>
      <c r="AA977" s="187" t="str">
        <f t="shared" si="31"/>
        <v>No</v>
      </c>
      <c r="AB977" s="158"/>
      <c r="AC977" s="159"/>
      <c r="AD977" s="160"/>
    </row>
    <row r="978" spans="1:30">
      <c r="A978" s="155"/>
      <c r="B978" s="112" t="str">
        <f t="shared" si="30"/>
        <v/>
      </c>
      <c r="C978" s="183"/>
      <c r="D978" s="152"/>
      <c r="E978" s="152"/>
      <c r="F978" s="151"/>
      <c r="G978" s="153"/>
      <c r="H978" s="151"/>
      <c r="I978" s="151"/>
      <c r="J978" s="151"/>
      <c r="K978" s="151"/>
      <c r="L978" s="151"/>
      <c r="M978" s="151"/>
      <c r="N978" s="151"/>
      <c r="O978" s="151"/>
      <c r="P978" s="151"/>
      <c r="Q978" s="151"/>
      <c r="R978" s="151"/>
      <c r="S978" s="152"/>
      <c r="T978" s="151"/>
      <c r="U978" s="151"/>
      <c r="V978" s="153"/>
      <c r="W978" s="151"/>
      <c r="X978" s="151"/>
      <c r="Y978" s="153"/>
      <c r="Z978" s="151"/>
      <c r="AA978" s="187" t="str">
        <f t="shared" si="31"/>
        <v>No</v>
      </c>
      <c r="AB978" s="158"/>
      <c r="AC978" s="159"/>
      <c r="AD978" s="160"/>
    </row>
    <row r="979" spans="1:30">
      <c r="A979" s="155"/>
      <c r="B979" s="112" t="str">
        <f t="shared" si="30"/>
        <v/>
      </c>
      <c r="C979" s="183"/>
      <c r="D979" s="152"/>
      <c r="E979" s="152"/>
      <c r="F979" s="151"/>
      <c r="G979" s="153"/>
      <c r="H979" s="151"/>
      <c r="I979" s="151"/>
      <c r="J979" s="151"/>
      <c r="K979" s="151"/>
      <c r="L979" s="151"/>
      <c r="M979" s="151"/>
      <c r="N979" s="151"/>
      <c r="O979" s="151"/>
      <c r="P979" s="151"/>
      <c r="Q979" s="151"/>
      <c r="R979" s="151"/>
      <c r="S979" s="152"/>
      <c r="T979" s="151"/>
      <c r="U979" s="151"/>
      <c r="V979" s="153"/>
      <c r="W979" s="151"/>
      <c r="X979" s="151"/>
      <c r="Y979" s="153"/>
      <c r="Z979" s="151"/>
      <c r="AA979" s="187" t="str">
        <f t="shared" si="31"/>
        <v>No</v>
      </c>
      <c r="AB979" s="158"/>
      <c r="AC979" s="159"/>
      <c r="AD979" s="160"/>
    </row>
    <row r="980" spans="1:30">
      <c r="A980" s="155"/>
      <c r="B980" s="112" t="str">
        <f t="shared" si="30"/>
        <v/>
      </c>
      <c r="C980" s="183"/>
      <c r="D980" s="152"/>
      <c r="E980" s="152"/>
      <c r="F980" s="151"/>
      <c r="G980" s="153"/>
      <c r="H980" s="151"/>
      <c r="I980" s="151"/>
      <c r="J980" s="151"/>
      <c r="K980" s="151"/>
      <c r="L980" s="151"/>
      <c r="M980" s="151"/>
      <c r="N980" s="151"/>
      <c r="O980" s="151"/>
      <c r="P980" s="151"/>
      <c r="Q980" s="151"/>
      <c r="R980" s="151"/>
      <c r="S980" s="152"/>
      <c r="T980" s="151"/>
      <c r="U980" s="151"/>
      <c r="V980" s="153"/>
      <c r="W980" s="151"/>
      <c r="X980" s="151"/>
      <c r="Y980" s="153"/>
      <c r="Z980" s="151"/>
      <c r="AA980" s="187" t="str">
        <f t="shared" si="31"/>
        <v>No</v>
      </c>
      <c r="AB980" s="158"/>
      <c r="AC980" s="159"/>
      <c r="AD980" s="160"/>
    </row>
    <row r="981" spans="1:30">
      <c r="A981" s="155"/>
      <c r="B981" s="112" t="str">
        <f t="shared" si="30"/>
        <v/>
      </c>
      <c r="C981" s="183"/>
      <c r="D981" s="152"/>
      <c r="E981" s="152"/>
      <c r="F981" s="151"/>
      <c r="G981" s="153"/>
      <c r="H981" s="151"/>
      <c r="I981" s="151"/>
      <c r="J981" s="151"/>
      <c r="K981" s="151"/>
      <c r="L981" s="151"/>
      <c r="M981" s="151"/>
      <c r="N981" s="151"/>
      <c r="O981" s="151"/>
      <c r="P981" s="151"/>
      <c r="Q981" s="151"/>
      <c r="R981" s="151"/>
      <c r="S981" s="152"/>
      <c r="T981" s="151"/>
      <c r="U981" s="151"/>
      <c r="V981" s="153"/>
      <c r="W981" s="151"/>
      <c r="X981" s="151"/>
      <c r="Y981" s="153"/>
      <c r="Z981" s="151"/>
      <c r="AA981" s="187" t="str">
        <f t="shared" si="31"/>
        <v>No</v>
      </c>
      <c r="AB981" s="158"/>
      <c r="AC981" s="159"/>
      <c r="AD981" s="160"/>
    </row>
    <row r="982" spans="1:30">
      <c r="A982" s="155"/>
      <c r="B982" s="112" t="str">
        <f t="shared" si="30"/>
        <v/>
      </c>
      <c r="C982" s="183"/>
      <c r="D982" s="152"/>
      <c r="E982" s="152"/>
      <c r="F982" s="151"/>
      <c r="G982" s="153"/>
      <c r="H982" s="151"/>
      <c r="I982" s="151"/>
      <c r="J982" s="151"/>
      <c r="K982" s="151"/>
      <c r="L982" s="151"/>
      <c r="M982" s="151"/>
      <c r="N982" s="151"/>
      <c r="O982" s="151"/>
      <c r="P982" s="151"/>
      <c r="Q982" s="151"/>
      <c r="R982" s="151"/>
      <c r="S982" s="152"/>
      <c r="T982" s="151"/>
      <c r="U982" s="151"/>
      <c r="V982" s="153"/>
      <c r="W982" s="151"/>
      <c r="X982" s="151"/>
      <c r="Y982" s="153"/>
      <c r="Z982" s="151"/>
      <c r="AA982" s="187" t="str">
        <f t="shared" si="31"/>
        <v>No</v>
      </c>
      <c r="AB982" s="158"/>
      <c r="AC982" s="159"/>
      <c r="AD982" s="160"/>
    </row>
    <row r="983" spans="1:30">
      <c r="A983" s="155"/>
      <c r="B983" s="112" t="str">
        <f t="shared" si="30"/>
        <v/>
      </c>
      <c r="C983" s="183"/>
      <c r="D983" s="152"/>
      <c r="E983" s="152"/>
      <c r="F983" s="151"/>
      <c r="G983" s="153"/>
      <c r="H983" s="151"/>
      <c r="I983" s="151"/>
      <c r="J983" s="151"/>
      <c r="K983" s="151"/>
      <c r="L983" s="151"/>
      <c r="M983" s="151"/>
      <c r="N983" s="151"/>
      <c r="O983" s="151"/>
      <c r="P983" s="151"/>
      <c r="Q983" s="151"/>
      <c r="R983" s="151"/>
      <c r="S983" s="152"/>
      <c r="T983" s="151"/>
      <c r="U983" s="151"/>
      <c r="V983" s="153"/>
      <c r="W983" s="151"/>
      <c r="X983" s="151"/>
      <c r="Y983" s="153"/>
      <c r="Z983" s="151"/>
      <c r="AA983" s="187" t="str">
        <f t="shared" si="31"/>
        <v>No</v>
      </c>
      <c r="AB983" s="158"/>
      <c r="AC983" s="159"/>
      <c r="AD983" s="160"/>
    </row>
    <row r="984" spans="1:30">
      <c r="A984" s="155"/>
      <c r="B984" s="112" t="str">
        <f t="shared" si="30"/>
        <v/>
      </c>
      <c r="C984" s="183"/>
      <c r="D984" s="152"/>
      <c r="E984" s="152"/>
      <c r="F984" s="151"/>
      <c r="G984" s="153"/>
      <c r="H984" s="151"/>
      <c r="I984" s="151"/>
      <c r="J984" s="151"/>
      <c r="K984" s="151"/>
      <c r="L984" s="151"/>
      <c r="M984" s="151"/>
      <c r="N984" s="151"/>
      <c r="O984" s="151"/>
      <c r="P984" s="151"/>
      <c r="Q984" s="151"/>
      <c r="R984" s="151"/>
      <c r="S984" s="152"/>
      <c r="T984" s="151"/>
      <c r="U984" s="151"/>
      <c r="V984" s="153"/>
      <c r="W984" s="151"/>
      <c r="X984" s="151"/>
      <c r="Y984" s="153"/>
      <c r="Z984" s="151"/>
      <c r="AA984" s="187" t="str">
        <f t="shared" si="31"/>
        <v>No</v>
      </c>
      <c r="AB984" s="158"/>
      <c r="AC984" s="159"/>
      <c r="AD984" s="160"/>
    </row>
    <row r="985" spans="1:30">
      <c r="A985" s="155"/>
      <c r="B985" s="112" t="str">
        <f t="shared" si="30"/>
        <v/>
      </c>
      <c r="C985" s="183"/>
      <c r="D985" s="152"/>
      <c r="E985" s="152"/>
      <c r="F985" s="151"/>
      <c r="G985" s="153"/>
      <c r="H985" s="151"/>
      <c r="I985" s="151"/>
      <c r="J985" s="151"/>
      <c r="K985" s="151"/>
      <c r="L985" s="151"/>
      <c r="M985" s="151"/>
      <c r="N985" s="151"/>
      <c r="O985" s="151"/>
      <c r="P985" s="151"/>
      <c r="Q985" s="151"/>
      <c r="R985" s="151"/>
      <c r="S985" s="152"/>
      <c r="T985" s="151"/>
      <c r="U985" s="151"/>
      <c r="V985" s="153"/>
      <c r="W985" s="151"/>
      <c r="X985" s="151"/>
      <c r="Y985" s="153"/>
      <c r="Z985" s="151"/>
      <c r="AA985" s="187" t="str">
        <f t="shared" si="31"/>
        <v>No</v>
      </c>
      <c r="AB985" s="158"/>
      <c r="AC985" s="159"/>
      <c r="AD985" s="160"/>
    </row>
    <row r="986" spans="1:30">
      <c r="A986" s="155"/>
      <c r="B986" s="112" t="str">
        <f t="shared" si="30"/>
        <v/>
      </c>
      <c r="C986" s="183"/>
      <c r="D986" s="152"/>
      <c r="E986" s="152"/>
      <c r="F986" s="151"/>
      <c r="G986" s="153"/>
      <c r="H986" s="151"/>
      <c r="I986" s="151"/>
      <c r="J986" s="151"/>
      <c r="K986" s="151"/>
      <c r="L986" s="151"/>
      <c r="M986" s="151"/>
      <c r="N986" s="151"/>
      <c r="O986" s="151"/>
      <c r="P986" s="151"/>
      <c r="Q986" s="151"/>
      <c r="R986" s="151"/>
      <c r="S986" s="152"/>
      <c r="T986" s="151"/>
      <c r="U986" s="151"/>
      <c r="V986" s="153"/>
      <c r="W986" s="151"/>
      <c r="X986" s="151"/>
      <c r="Y986" s="153"/>
      <c r="Z986" s="151"/>
      <c r="AA986" s="187" t="str">
        <f t="shared" si="31"/>
        <v>No</v>
      </c>
      <c r="AB986" s="158"/>
      <c r="AC986" s="159"/>
      <c r="AD986" s="160"/>
    </row>
    <row r="987" spans="1:30">
      <c r="A987" s="155"/>
      <c r="B987" s="112" t="str">
        <f t="shared" si="30"/>
        <v/>
      </c>
      <c r="C987" s="183"/>
      <c r="D987" s="152"/>
      <c r="E987" s="152"/>
      <c r="F987" s="151"/>
      <c r="G987" s="153"/>
      <c r="H987" s="151"/>
      <c r="I987" s="151"/>
      <c r="J987" s="151"/>
      <c r="K987" s="151"/>
      <c r="L987" s="151"/>
      <c r="M987" s="151"/>
      <c r="N987" s="151"/>
      <c r="O987" s="151"/>
      <c r="P987" s="151"/>
      <c r="Q987" s="151"/>
      <c r="R987" s="151"/>
      <c r="S987" s="152"/>
      <c r="T987" s="151"/>
      <c r="U987" s="151"/>
      <c r="V987" s="153"/>
      <c r="W987" s="151"/>
      <c r="X987" s="151"/>
      <c r="Y987" s="153"/>
      <c r="Z987" s="151"/>
      <c r="AA987" s="187" t="str">
        <f t="shared" si="31"/>
        <v>No</v>
      </c>
      <c r="AB987" s="158"/>
      <c r="AC987" s="159"/>
      <c r="AD987" s="160"/>
    </row>
    <row r="988" spans="1:30">
      <c r="A988" s="155"/>
      <c r="B988" s="112" t="str">
        <f t="shared" si="30"/>
        <v/>
      </c>
      <c r="C988" s="183"/>
      <c r="D988" s="152"/>
      <c r="E988" s="152"/>
      <c r="F988" s="151"/>
      <c r="G988" s="153"/>
      <c r="H988" s="151"/>
      <c r="I988" s="151"/>
      <c r="J988" s="151"/>
      <c r="K988" s="151"/>
      <c r="L988" s="151"/>
      <c r="M988" s="151"/>
      <c r="N988" s="151"/>
      <c r="O988" s="151"/>
      <c r="P988" s="151"/>
      <c r="Q988" s="151"/>
      <c r="R988" s="151"/>
      <c r="S988" s="152"/>
      <c r="T988" s="151"/>
      <c r="U988" s="151"/>
      <c r="V988" s="153"/>
      <c r="W988" s="151"/>
      <c r="X988" s="151"/>
      <c r="Y988" s="153"/>
      <c r="Z988" s="151"/>
      <c r="AA988" s="187" t="str">
        <f t="shared" si="31"/>
        <v>No</v>
      </c>
      <c r="AB988" s="158"/>
      <c r="AC988" s="159"/>
      <c r="AD988" s="160"/>
    </row>
    <row r="989" spans="1:30">
      <c r="A989" s="155"/>
      <c r="B989" s="112" t="str">
        <f t="shared" si="30"/>
        <v/>
      </c>
      <c r="C989" s="183"/>
      <c r="D989" s="152"/>
      <c r="E989" s="152"/>
      <c r="F989" s="151"/>
      <c r="G989" s="153"/>
      <c r="H989" s="151"/>
      <c r="I989" s="151"/>
      <c r="J989" s="151"/>
      <c r="K989" s="151"/>
      <c r="L989" s="151"/>
      <c r="M989" s="151"/>
      <c r="N989" s="151"/>
      <c r="O989" s="151"/>
      <c r="P989" s="151"/>
      <c r="Q989" s="151"/>
      <c r="R989" s="151"/>
      <c r="S989" s="152"/>
      <c r="T989" s="151"/>
      <c r="U989" s="151"/>
      <c r="V989" s="153"/>
      <c r="W989" s="151"/>
      <c r="X989" s="151"/>
      <c r="Y989" s="153"/>
      <c r="Z989" s="151"/>
      <c r="AA989" s="187" t="str">
        <f t="shared" si="31"/>
        <v>No</v>
      </c>
      <c r="AB989" s="158"/>
      <c r="AC989" s="159"/>
      <c r="AD989" s="160"/>
    </row>
    <row r="990" spans="1:30">
      <c r="A990" s="155"/>
      <c r="B990" s="112" t="str">
        <f t="shared" si="30"/>
        <v/>
      </c>
      <c r="C990" s="183"/>
      <c r="D990" s="152"/>
      <c r="E990" s="152"/>
      <c r="F990" s="151"/>
      <c r="G990" s="153"/>
      <c r="H990" s="151"/>
      <c r="I990" s="151"/>
      <c r="J990" s="151"/>
      <c r="K990" s="151"/>
      <c r="L990" s="151"/>
      <c r="M990" s="151"/>
      <c r="N990" s="151"/>
      <c r="O990" s="151"/>
      <c r="P990" s="151"/>
      <c r="Q990" s="151"/>
      <c r="R990" s="151"/>
      <c r="S990" s="152"/>
      <c r="T990" s="151"/>
      <c r="U990" s="151"/>
      <c r="V990" s="153"/>
      <c r="W990" s="151"/>
      <c r="X990" s="151"/>
      <c r="Y990" s="153"/>
      <c r="Z990" s="151"/>
      <c r="AA990" s="187" t="str">
        <f t="shared" si="31"/>
        <v>No</v>
      </c>
      <c r="AB990" s="158"/>
      <c r="AC990" s="159"/>
      <c r="AD990" s="160"/>
    </row>
    <row r="991" spans="1:30">
      <c r="A991" s="155"/>
      <c r="B991" s="112" t="str">
        <f t="shared" si="30"/>
        <v/>
      </c>
      <c r="C991" s="183"/>
      <c r="D991" s="152"/>
      <c r="E991" s="152"/>
      <c r="F991" s="151"/>
      <c r="G991" s="153"/>
      <c r="H991" s="151"/>
      <c r="I991" s="151"/>
      <c r="J991" s="151"/>
      <c r="K991" s="151"/>
      <c r="L991" s="151"/>
      <c r="M991" s="151"/>
      <c r="N991" s="151"/>
      <c r="O991" s="151"/>
      <c r="P991" s="151"/>
      <c r="Q991" s="151"/>
      <c r="R991" s="151"/>
      <c r="S991" s="152"/>
      <c r="T991" s="151"/>
      <c r="U991" s="151"/>
      <c r="V991" s="153"/>
      <c r="W991" s="151"/>
      <c r="X991" s="151"/>
      <c r="Y991" s="153"/>
      <c r="Z991" s="151"/>
      <c r="AA991" s="187" t="str">
        <f t="shared" si="31"/>
        <v>No</v>
      </c>
      <c r="AB991" s="158"/>
      <c r="AC991" s="159"/>
      <c r="AD991" s="160"/>
    </row>
    <row r="992" spans="1:30">
      <c r="A992" s="155"/>
      <c r="B992" s="112" t="str">
        <f t="shared" si="30"/>
        <v/>
      </c>
      <c r="C992" s="183"/>
      <c r="D992" s="152"/>
      <c r="E992" s="152"/>
      <c r="F992" s="151"/>
      <c r="G992" s="153"/>
      <c r="H992" s="151"/>
      <c r="I992" s="151"/>
      <c r="J992" s="151"/>
      <c r="K992" s="151"/>
      <c r="L992" s="151"/>
      <c r="M992" s="151"/>
      <c r="N992" s="151"/>
      <c r="O992" s="151"/>
      <c r="P992" s="151"/>
      <c r="Q992" s="151"/>
      <c r="R992" s="151"/>
      <c r="S992" s="152"/>
      <c r="T992" s="151"/>
      <c r="U992" s="151"/>
      <c r="V992" s="153"/>
      <c r="W992" s="151"/>
      <c r="X992" s="151"/>
      <c r="Y992" s="153"/>
      <c r="Z992" s="151"/>
      <c r="AA992" s="187" t="str">
        <f t="shared" si="31"/>
        <v>No</v>
      </c>
      <c r="AB992" s="158"/>
      <c r="AC992" s="159"/>
      <c r="AD992" s="160"/>
    </row>
    <row r="993" spans="1:30">
      <c r="A993" s="155"/>
      <c r="B993" s="112" t="str">
        <f t="shared" si="30"/>
        <v/>
      </c>
      <c r="C993" s="183"/>
      <c r="D993" s="152"/>
      <c r="E993" s="152"/>
      <c r="F993" s="151"/>
      <c r="G993" s="153"/>
      <c r="H993" s="151"/>
      <c r="I993" s="151"/>
      <c r="J993" s="151"/>
      <c r="K993" s="151"/>
      <c r="L993" s="151"/>
      <c r="M993" s="151"/>
      <c r="N993" s="151"/>
      <c r="O993" s="151"/>
      <c r="P993" s="151"/>
      <c r="Q993" s="151"/>
      <c r="R993" s="151"/>
      <c r="S993" s="152"/>
      <c r="T993" s="151"/>
      <c r="U993" s="151"/>
      <c r="V993" s="153"/>
      <c r="W993" s="151"/>
      <c r="X993" s="151"/>
      <c r="Y993" s="153"/>
      <c r="Z993" s="151"/>
      <c r="AA993" s="187" t="str">
        <f t="shared" si="31"/>
        <v>No</v>
      </c>
      <c r="AB993" s="158"/>
      <c r="AC993" s="159"/>
      <c r="AD993" s="160"/>
    </row>
    <row r="994" spans="1:30">
      <c r="A994" s="155"/>
      <c r="B994" s="112" t="str">
        <f t="shared" si="30"/>
        <v/>
      </c>
      <c r="C994" s="183"/>
      <c r="D994" s="152"/>
      <c r="E994" s="152"/>
      <c r="F994" s="151"/>
      <c r="G994" s="153"/>
      <c r="H994" s="151"/>
      <c r="I994" s="151"/>
      <c r="J994" s="151"/>
      <c r="K994" s="151"/>
      <c r="L994" s="151"/>
      <c r="M994" s="151"/>
      <c r="N994" s="151"/>
      <c r="O994" s="151"/>
      <c r="P994" s="151"/>
      <c r="Q994" s="151"/>
      <c r="R994" s="151"/>
      <c r="S994" s="152"/>
      <c r="T994" s="151"/>
      <c r="U994" s="151"/>
      <c r="V994" s="153"/>
      <c r="W994" s="151"/>
      <c r="X994" s="151"/>
      <c r="Y994" s="153"/>
      <c r="Z994" s="151"/>
      <c r="AA994" s="187" t="str">
        <f t="shared" si="31"/>
        <v>No</v>
      </c>
      <c r="AB994" s="158"/>
      <c r="AC994" s="159"/>
      <c r="AD994" s="160"/>
    </row>
    <row r="995" spans="1:30">
      <c r="A995" s="155"/>
      <c r="B995" s="112" t="str">
        <f t="shared" si="30"/>
        <v/>
      </c>
      <c r="C995" s="183"/>
      <c r="D995" s="152"/>
      <c r="E995" s="152"/>
      <c r="F995" s="151"/>
      <c r="G995" s="153"/>
      <c r="H995" s="151"/>
      <c r="I995" s="151"/>
      <c r="J995" s="151"/>
      <c r="K995" s="151"/>
      <c r="L995" s="151"/>
      <c r="M995" s="151"/>
      <c r="N995" s="151"/>
      <c r="O995" s="151"/>
      <c r="P995" s="151"/>
      <c r="Q995" s="151"/>
      <c r="R995" s="151"/>
      <c r="S995" s="152"/>
      <c r="T995" s="151"/>
      <c r="U995" s="151"/>
      <c r="V995" s="153"/>
      <c r="W995" s="151"/>
      <c r="X995" s="151"/>
      <c r="Y995" s="153"/>
      <c r="Z995" s="151"/>
      <c r="AA995" s="187" t="str">
        <f t="shared" si="31"/>
        <v>No</v>
      </c>
      <c r="AB995" s="158"/>
      <c r="AC995" s="159"/>
      <c r="AD995" s="160"/>
    </row>
    <row r="996" spans="1:30">
      <c r="A996" s="155"/>
      <c r="B996" s="112" t="str">
        <f t="shared" si="30"/>
        <v/>
      </c>
      <c r="C996" s="183"/>
      <c r="D996" s="152"/>
      <c r="E996" s="152"/>
      <c r="F996" s="151"/>
      <c r="G996" s="153"/>
      <c r="H996" s="151"/>
      <c r="I996" s="151"/>
      <c r="J996" s="151"/>
      <c r="K996" s="151"/>
      <c r="L996" s="151"/>
      <c r="M996" s="151"/>
      <c r="N996" s="151"/>
      <c r="O996" s="151"/>
      <c r="P996" s="151"/>
      <c r="Q996" s="151"/>
      <c r="R996" s="151"/>
      <c r="S996" s="152"/>
      <c r="T996" s="151"/>
      <c r="U996" s="151"/>
      <c r="V996" s="153"/>
      <c r="W996" s="151"/>
      <c r="X996" s="151"/>
      <c r="Y996" s="153"/>
      <c r="Z996" s="151"/>
      <c r="AA996" s="187" t="str">
        <f t="shared" si="31"/>
        <v>No</v>
      </c>
      <c r="AB996" s="158"/>
      <c r="AC996" s="159"/>
      <c r="AD996" s="160"/>
    </row>
    <row r="997" spans="1:30">
      <c r="A997" s="155"/>
      <c r="B997" s="112" t="str">
        <f t="shared" si="30"/>
        <v/>
      </c>
      <c r="C997" s="183"/>
      <c r="D997" s="152"/>
      <c r="E997" s="152"/>
      <c r="F997" s="151"/>
      <c r="G997" s="153"/>
      <c r="H997" s="151"/>
      <c r="I997" s="151"/>
      <c r="J997" s="151"/>
      <c r="K997" s="151"/>
      <c r="L997" s="151"/>
      <c r="M997" s="151"/>
      <c r="N997" s="151"/>
      <c r="O997" s="151"/>
      <c r="P997" s="151"/>
      <c r="Q997" s="151"/>
      <c r="R997" s="151"/>
      <c r="S997" s="152"/>
      <c r="T997" s="151"/>
      <c r="U997" s="151"/>
      <c r="V997" s="153"/>
      <c r="W997" s="151"/>
      <c r="X997" s="151"/>
      <c r="Y997" s="153"/>
      <c r="Z997" s="151"/>
      <c r="AA997" s="187" t="str">
        <f t="shared" si="31"/>
        <v>No</v>
      </c>
      <c r="AB997" s="158"/>
      <c r="AC997" s="159"/>
      <c r="AD997" s="160"/>
    </row>
    <row r="998" spans="1:30">
      <c r="A998" s="155"/>
      <c r="B998" s="112" t="str">
        <f t="shared" si="30"/>
        <v/>
      </c>
      <c r="C998" s="183"/>
      <c r="D998" s="152"/>
      <c r="E998" s="152"/>
      <c r="F998" s="151"/>
      <c r="G998" s="153"/>
      <c r="H998" s="151"/>
      <c r="I998" s="151"/>
      <c r="J998" s="151"/>
      <c r="K998" s="151"/>
      <c r="L998" s="151"/>
      <c r="M998" s="151"/>
      <c r="N998" s="151"/>
      <c r="O998" s="151"/>
      <c r="P998" s="151"/>
      <c r="Q998" s="151"/>
      <c r="R998" s="151"/>
      <c r="S998" s="152"/>
      <c r="T998" s="151"/>
      <c r="U998" s="151"/>
      <c r="V998" s="153"/>
      <c r="W998" s="151"/>
      <c r="X998" s="151"/>
      <c r="Y998" s="153"/>
      <c r="Z998" s="151"/>
      <c r="AA998" s="187" t="str">
        <f t="shared" si="31"/>
        <v>No</v>
      </c>
      <c r="AB998" s="158"/>
      <c r="AC998" s="159"/>
      <c r="AD998" s="160"/>
    </row>
    <row r="999" spans="1:30">
      <c r="A999" s="155"/>
      <c r="B999" s="112" t="str">
        <f t="shared" si="30"/>
        <v/>
      </c>
      <c r="C999" s="183"/>
      <c r="D999" s="152"/>
      <c r="E999" s="152"/>
      <c r="F999" s="151"/>
      <c r="G999" s="153"/>
      <c r="H999" s="151"/>
      <c r="I999" s="151"/>
      <c r="J999" s="151"/>
      <c r="K999" s="151"/>
      <c r="L999" s="151"/>
      <c r="M999" s="151"/>
      <c r="N999" s="151"/>
      <c r="O999" s="151"/>
      <c r="P999" s="151"/>
      <c r="Q999" s="151"/>
      <c r="R999" s="151"/>
      <c r="S999" s="152"/>
      <c r="T999" s="151"/>
      <c r="U999" s="151"/>
      <c r="V999" s="153"/>
      <c r="W999" s="151"/>
      <c r="X999" s="151"/>
      <c r="Y999" s="153"/>
      <c r="Z999" s="151"/>
      <c r="AA999" s="187" t="str">
        <f t="shared" si="31"/>
        <v>No</v>
      </c>
      <c r="AB999" s="158"/>
      <c r="AC999" s="159"/>
      <c r="AD999" s="160"/>
    </row>
    <row r="1000" spans="1:30">
      <c r="A1000" s="155"/>
      <c r="B1000" s="112" t="str">
        <f t="shared" si="30"/>
        <v/>
      </c>
      <c r="C1000" s="183"/>
      <c r="D1000" s="152"/>
      <c r="E1000" s="152"/>
      <c r="F1000" s="151"/>
      <c r="G1000" s="153"/>
      <c r="H1000" s="151"/>
      <c r="I1000" s="151"/>
      <c r="J1000" s="151"/>
      <c r="K1000" s="151"/>
      <c r="L1000" s="151"/>
      <c r="M1000" s="151"/>
      <c r="N1000" s="151"/>
      <c r="O1000" s="151"/>
      <c r="P1000" s="151"/>
      <c r="Q1000" s="151"/>
      <c r="R1000" s="151"/>
      <c r="S1000" s="152"/>
      <c r="T1000" s="151"/>
      <c r="U1000" s="151"/>
      <c r="V1000" s="153"/>
      <c r="W1000" s="151"/>
      <c r="X1000" s="151"/>
      <c r="Y1000" s="153"/>
      <c r="Z1000" s="151"/>
      <c r="AA1000" s="187" t="str">
        <f t="shared" si="31"/>
        <v>No</v>
      </c>
      <c r="AB1000" s="158"/>
      <c r="AC1000" s="159"/>
      <c r="AD1000" s="160"/>
    </row>
    <row r="1001" spans="1:30">
      <c r="A1001" s="155"/>
      <c r="B1001" s="112" t="str">
        <f t="shared" si="30"/>
        <v/>
      </c>
      <c r="C1001" s="183"/>
      <c r="D1001" s="152"/>
      <c r="E1001" s="152"/>
      <c r="F1001" s="151"/>
      <c r="G1001" s="153"/>
      <c r="H1001" s="151"/>
      <c r="I1001" s="151"/>
      <c r="J1001" s="151"/>
      <c r="K1001" s="151"/>
      <c r="L1001" s="151"/>
      <c r="M1001" s="151"/>
      <c r="N1001" s="151"/>
      <c r="O1001" s="151"/>
      <c r="P1001" s="151"/>
      <c r="Q1001" s="151"/>
      <c r="R1001" s="151"/>
      <c r="S1001" s="152"/>
      <c r="T1001" s="151"/>
      <c r="U1001" s="151"/>
      <c r="V1001" s="153"/>
      <c r="W1001" s="151"/>
      <c r="X1001" s="151"/>
      <c r="Y1001" s="153"/>
      <c r="Z1001" s="151"/>
      <c r="AA1001" s="187" t="str">
        <f t="shared" si="31"/>
        <v>No</v>
      </c>
      <c r="AB1001" s="158"/>
      <c r="AC1001" s="159"/>
      <c r="AD1001" s="160"/>
    </row>
    <row r="1002" spans="1:30">
      <c r="A1002" s="155"/>
      <c r="B1002" s="112" t="str">
        <f t="shared" si="30"/>
        <v/>
      </c>
      <c r="C1002" s="183"/>
      <c r="D1002" s="152"/>
      <c r="E1002" s="152"/>
      <c r="F1002" s="151"/>
      <c r="G1002" s="153"/>
      <c r="H1002" s="151"/>
      <c r="I1002" s="151"/>
      <c r="J1002" s="151"/>
      <c r="K1002" s="151"/>
      <c r="L1002" s="151"/>
      <c r="M1002" s="151"/>
      <c r="N1002" s="151"/>
      <c r="O1002" s="151"/>
      <c r="P1002" s="151"/>
      <c r="Q1002" s="151"/>
      <c r="R1002" s="151"/>
      <c r="S1002" s="152"/>
      <c r="T1002" s="151"/>
      <c r="U1002" s="151"/>
      <c r="V1002" s="153"/>
      <c r="W1002" s="151"/>
      <c r="X1002" s="151"/>
      <c r="Y1002" s="153"/>
      <c r="Z1002" s="151"/>
      <c r="AA1002" s="187" t="str">
        <f t="shared" si="31"/>
        <v>No</v>
      </c>
      <c r="AB1002" s="158"/>
      <c r="AC1002" s="159"/>
      <c r="AD1002" s="160"/>
    </row>
    <row r="1003" spans="1:30">
      <c r="A1003" s="155"/>
      <c r="B1003" s="112" t="str">
        <f t="shared" si="30"/>
        <v/>
      </c>
      <c r="C1003" s="183"/>
      <c r="D1003" s="152"/>
      <c r="E1003" s="152"/>
      <c r="F1003" s="151"/>
      <c r="G1003" s="153"/>
      <c r="H1003" s="151"/>
      <c r="I1003" s="151"/>
      <c r="J1003" s="151"/>
      <c r="K1003" s="151"/>
      <c r="L1003" s="151"/>
      <c r="M1003" s="151"/>
      <c r="N1003" s="151"/>
      <c r="O1003" s="151"/>
      <c r="P1003" s="151"/>
      <c r="Q1003" s="151"/>
      <c r="R1003" s="151"/>
      <c r="S1003" s="152"/>
      <c r="T1003" s="151"/>
      <c r="U1003" s="151"/>
      <c r="V1003" s="153"/>
      <c r="W1003" s="151"/>
      <c r="X1003" s="151"/>
      <c r="Y1003" s="153"/>
      <c r="Z1003" s="151"/>
      <c r="AA1003" s="187" t="str">
        <f t="shared" si="31"/>
        <v>No</v>
      </c>
      <c r="AB1003" s="158"/>
      <c r="AC1003" s="159"/>
      <c r="AD1003" s="160"/>
    </row>
    <row r="1004" spans="1:30">
      <c r="A1004" s="155"/>
      <c r="B1004" s="112" t="str">
        <f t="shared" si="30"/>
        <v/>
      </c>
      <c r="C1004" s="183"/>
      <c r="D1004" s="152"/>
      <c r="E1004" s="152"/>
      <c r="F1004" s="151"/>
      <c r="G1004" s="153"/>
      <c r="H1004" s="151"/>
      <c r="I1004" s="151"/>
      <c r="J1004" s="151"/>
      <c r="K1004" s="151"/>
      <c r="L1004" s="151"/>
      <c r="M1004" s="151"/>
      <c r="N1004" s="151"/>
      <c r="O1004" s="151"/>
      <c r="P1004" s="151"/>
      <c r="Q1004" s="151"/>
      <c r="R1004" s="151"/>
      <c r="S1004" s="152"/>
      <c r="T1004" s="151"/>
      <c r="U1004" s="151"/>
      <c r="V1004" s="153"/>
      <c r="W1004" s="151"/>
      <c r="X1004" s="151"/>
      <c r="Y1004" s="153"/>
      <c r="Z1004" s="151"/>
      <c r="AA1004" s="187" t="str">
        <f t="shared" si="31"/>
        <v>No</v>
      </c>
      <c r="AB1004" s="158"/>
      <c r="AC1004" s="159"/>
      <c r="AD1004" s="160"/>
    </row>
    <row r="1005" spans="1:30">
      <c r="A1005" s="155"/>
      <c r="B1005" s="112" t="str">
        <f t="shared" si="30"/>
        <v/>
      </c>
      <c r="C1005" s="183"/>
      <c r="D1005" s="152"/>
      <c r="E1005" s="152"/>
      <c r="F1005" s="151"/>
      <c r="G1005" s="153"/>
      <c r="H1005" s="151"/>
      <c r="I1005" s="151"/>
      <c r="J1005" s="151"/>
      <c r="K1005" s="151"/>
      <c r="L1005" s="151"/>
      <c r="M1005" s="151"/>
      <c r="N1005" s="151"/>
      <c r="O1005" s="151"/>
      <c r="P1005" s="151"/>
      <c r="Q1005" s="151"/>
      <c r="R1005" s="151"/>
      <c r="S1005" s="152"/>
      <c r="T1005" s="151"/>
      <c r="U1005" s="151"/>
      <c r="V1005" s="153"/>
      <c r="W1005" s="151"/>
      <c r="X1005" s="151"/>
      <c r="Y1005" s="153"/>
      <c r="Z1005" s="151"/>
      <c r="AA1005" s="187" t="str">
        <f t="shared" si="31"/>
        <v>No</v>
      </c>
      <c r="AB1005" s="158"/>
      <c r="AC1005" s="159"/>
      <c r="AD1005" s="160"/>
    </row>
    <row r="1006" spans="1:30">
      <c r="A1006" s="155"/>
      <c r="B1006" s="112" t="str">
        <f t="shared" si="30"/>
        <v/>
      </c>
      <c r="C1006" s="183"/>
      <c r="D1006" s="152"/>
      <c r="E1006" s="152"/>
      <c r="F1006" s="151"/>
      <c r="G1006" s="153"/>
      <c r="H1006" s="151"/>
      <c r="I1006" s="151"/>
      <c r="J1006" s="151"/>
      <c r="K1006" s="151"/>
      <c r="L1006" s="151"/>
      <c r="M1006" s="151"/>
      <c r="N1006" s="151"/>
      <c r="O1006" s="151"/>
      <c r="P1006" s="151"/>
      <c r="Q1006" s="151"/>
      <c r="R1006" s="151"/>
      <c r="S1006" s="152"/>
      <c r="T1006" s="151"/>
      <c r="U1006" s="151"/>
      <c r="V1006" s="153"/>
      <c r="W1006" s="151"/>
      <c r="X1006" s="151"/>
      <c r="Y1006" s="153"/>
      <c r="Z1006" s="151"/>
      <c r="AA1006" s="187" t="str">
        <f t="shared" si="31"/>
        <v>No</v>
      </c>
      <c r="AB1006" s="158"/>
      <c r="AC1006" s="159"/>
      <c r="AD1006" s="160"/>
    </row>
    <row r="1007" spans="1:30">
      <c r="A1007" s="155"/>
      <c r="B1007" s="112" t="str">
        <f t="shared" si="30"/>
        <v/>
      </c>
      <c r="C1007" s="183"/>
      <c r="D1007" s="152"/>
      <c r="E1007" s="152"/>
      <c r="F1007" s="151"/>
      <c r="G1007" s="153"/>
      <c r="H1007" s="151"/>
      <c r="I1007" s="151"/>
      <c r="J1007" s="151"/>
      <c r="K1007" s="151"/>
      <c r="L1007" s="151"/>
      <c r="M1007" s="151"/>
      <c r="N1007" s="151"/>
      <c r="O1007" s="151"/>
      <c r="P1007" s="151"/>
      <c r="Q1007" s="151"/>
      <c r="R1007" s="151"/>
      <c r="S1007" s="152"/>
      <c r="T1007" s="151"/>
      <c r="U1007" s="151"/>
      <c r="V1007" s="153"/>
      <c r="W1007" s="151"/>
      <c r="X1007" s="151"/>
      <c r="Y1007" s="153"/>
      <c r="Z1007" s="151"/>
      <c r="AA1007" s="187" t="str">
        <f t="shared" si="31"/>
        <v>No</v>
      </c>
      <c r="AB1007" s="158"/>
      <c r="AC1007" s="159"/>
      <c r="AD1007" s="160"/>
    </row>
    <row r="1008" spans="1:30">
      <c r="A1008" s="155"/>
      <c r="B1008" s="112" t="str">
        <f t="shared" si="30"/>
        <v/>
      </c>
      <c r="C1008" s="183"/>
      <c r="D1008" s="152"/>
      <c r="E1008" s="152"/>
      <c r="F1008" s="151"/>
      <c r="G1008" s="153"/>
      <c r="H1008" s="151"/>
      <c r="I1008" s="151"/>
      <c r="J1008" s="151"/>
      <c r="K1008" s="151"/>
      <c r="L1008" s="151"/>
      <c r="M1008" s="151"/>
      <c r="N1008" s="151"/>
      <c r="O1008" s="151"/>
      <c r="P1008" s="151"/>
      <c r="Q1008" s="151"/>
      <c r="R1008" s="151"/>
      <c r="S1008" s="152"/>
      <c r="T1008" s="151"/>
      <c r="U1008" s="151"/>
      <c r="V1008" s="153"/>
      <c r="W1008" s="151"/>
      <c r="X1008" s="151"/>
      <c r="Y1008" s="153"/>
      <c r="Z1008" s="151"/>
      <c r="AA1008" s="187" t="str">
        <f t="shared" si="31"/>
        <v>No</v>
      </c>
      <c r="AB1008" s="158"/>
      <c r="AC1008" s="159"/>
      <c r="AD1008" s="160"/>
    </row>
    <row r="1009" spans="1:30">
      <c r="A1009" s="155"/>
      <c r="B1009" s="112" t="str">
        <f t="shared" si="30"/>
        <v/>
      </c>
      <c r="C1009" s="183"/>
      <c r="D1009" s="152"/>
      <c r="E1009" s="152"/>
      <c r="F1009" s="151"/>
      <c r="G1009" s="153"/>
      <c r="H1009" s="151"/>
      <c r="I1009" s="151"/>
      <c r="J1009" s="151"/>
      <c r="K1009" s="151"/>
      <c r="L1009" s="151"/>
      <c r="M1009" s="151"/>
      <c r="N1009" s="151"/>
      <c r="O1009" s="151"/>
      <c r="P1009" s="151"/>
      <c r="Q1009" s="151"/>
      <c r="R1009" s="151"/>
      <c r="S1009" s="152"/>
      <c r="T1009" s="151"/>
      <c r="U1009" s="151"/>
      <c r="V1009" s="153"/>
      <c r="W1009" s="151"/>
      <c r="X1009" s="151"/>
      <c r="Y1009" s="153"/>
      <c r="Z1009" s="151"/>
      <c r="AA1009" s="187" t="str">
        <f t="shared" si="31"/>
        <v>No</v>
      </c>
      <c r="AB1009" s="158"/>
      <c r="AC1009" s="159"/>
      <c r="AD1009" s="160"/>
    </row>
    <row r="1010" spans="1:30">
      <c r="A1010" s="155"/>
      <c r="B1010" s="112" t="str">
        <f t="shared" si="30"/>
        <v/>
      </c>
      <c r="C1010" s="183"/>
      <c r="D1010" s="152"/>
      <c r="E1010" s="152"/>
      <c r="F1010" s="151"/>
      <c r="G1010" s="153"/>
      <c r="H1010" s="151"/>
      <c r="I1010" s="151"/>
      <c r="J1010" s="151"/>
      <c r="K1010" s="151"/>
      <c r="L1010" s="151"/>
      <c r="M1010" s="151"/>
      <c r="N1010" s="151"/>
      <c r="O1010" s="151"/>
      <c r="P1010" s="151"/>
      <c r="Q1010" s="151"/>
      <c r="R1010" s="151"/>
      <c r="S1010" s="152"/>
      <c r="T1010" s="151"/>
      <c r="U1010" s="151"/>
      <c r="V1010" s="153"/>
      <c r="W1010" s="151"/>
      <c r="X1010" s="151"/>
      <c r="Y1010" s="153"/>
      <c r="Z1010" s="151"/>
      <c r="AA1010" s="187" t="str">
        <f t="shared" si="31"/>
        <v>No</v>
      </c>
      <c r="AB1010" s="158"/>
      <c r="AC1010" s="159"/>
      <c r="AD1010" s="160"/>
    </row>
    <row r="1011" spans="1:30">
      <c r="A1011" s="155"/>
      <c r="B1011" s="112" t="str">
        <f t="shared" si="30"/>
        <v/>
      </c>
      <c r="C1011" s="183"/>
      <c r="D1011" s="152"/>
      <c r="E1011" s="152"/>
      <c r="F1011" s="151"/>
      <c r="G1011" s="153"/>
      <c r="H1011" s="151"/>
      <c r="I1011" s="151"/>
      <c r="J1011" s="151"/>
      <c r="K1011" s="151"/>
      <c r="L1011" s="151"/>
      <c r="M1011" s="151"/>
      <c r="N1011" s="151"/>
      <c r="O1011" s="151"/>
      <c r="P1011" s="151"/>
      <c r="Q1011" s="151"/>
      <c r="R1011" s="151"/>
      <c r="S1011" s="152"/>
      <c r="T1011" s="151"/>
      <c r="U1011" s="151"/>
      <c r="V1011" s="153"/>
      <c r="W1011" s="151"/>
      <c r="X1011" s="151"/>
      <c r="Y1011" s="153"/>
      <c r="Z1011" s="151"/>
      <c r="AA1011" s="187" t="str">
        <f t="shared" si="31"/>
        <v>No</v>
      </c>
      <c r="AB1011" s="158"/>
      <c r="AC1011" s="159"/>
      <c r="AD1011" s="160"/>
    </row>
    <row r="1012" spans="1:30">
      <c r="A1012" s="155"/>
      <c r="B1012" s="112" t="str">
        <f t="shared" si="30"/>
        <v/>
      </c>
      <c r="C1012" s="183"/>
      <c r="D1012" s="152"/>
      <c r="E1012" s="152"/>
      <c r="F1012" s="151"/>
      <c r="G1012" s="153"/>
      <c r="H1012" s="151"/>
      <c r="I1012" s="151"/>
      <c r="J1012" s="151"/>
      <c r="K1012" s="151"/>
      <c r="L1012" s="151"/>
      <c r="M1012" s="151"/>
      <c r="N1012" s="151"/>
      <c r="O1012" s="151"/>
      <c r="P1012" s="151"/>
      <c r="Q1012" s="151"/>
      <c r="R1012" s="151"/>
      <c r="S1012" s="152"/>
      <c r="T1012" s="151"/>
      <c r="U1012" s="151"/>
      <c r="V1012" s="153"/>
      <c r="W1012" s="151"/>
      <c r="X1012" s="151"/>
      <c r="Y1012" s="153"/>
      <c r="Z1012" s="151"/>
      <c r="AA1012" s="187" t="str">
        <f t="shared" si="31"/>
        <v>No</v>
      </c>
      <c r="AB1012" s="158"/>
      <c r="AC1012" s="159"/>
      <c r="AD1012" s="160"/>
    </row>
    <row r="1013" spans="1:30">
      <c r="A1013" s="155"/>
      <c r="B1013" s="112" t="str">
        <f t="shared" si="30"/>
        <v/>
      </c>
      <c r="C1013" s="183"/>
      <c r="D1013" s="152"/>
      <c r="E1013" s="152"/>
      <c r="F1013" s="151"/>
      <c r="G1013" s="153"/>
      <c r="H1013" s="151"/>
      <c r="I1013" s="151"/>
      <c r="J1013" s="151"/>
      <c r="K1013" s="151"/>
      <c r="L1013" s="151"/>
      <c r="M1013" s="151"/>
      <c r="N1013" s="151"/>
      <c r="O1013" s="151"/>
      <c r="P1013" s="151"/>
      <c r="Q1013" s="151"/>
      <c r="R1013" s="151"/>
      <c r="S1013" s="152"/>
      <c r="T1013" s="151"/>
      <c r="U1013" s="151"/>
      <c r="V1013" s="153"/>
      <c r="W1013" s="151"/>
      <c r="X1013" s="151"/>
      <c r="Y1013" s="153"/>
      <c r="Z1013" s="151"/>
      <c r="AA1013" s="187" t="str">
        <f t="shared" si="31"/>
        <v>No</v>
      </c>
      <c r="AB1013" s="158"/>
      <c r="AC1013" s="159"/>
      <c r="AD1013" s="160"/>
    </row>
    <row r="1014" spans="1:30">
      <c r="A1014" s="155"/>
      <c r="B1014" s="112" t="str">
        <f t="shared" si="30"/>
        <v/>
      </c>
      <c r="C1014" s="183"/>
      <c r="D1014" s="152"/>
      <c r="E1014" s="152"/>
      <c r="F1014" s="151"/>
      <c r="G1014" s="153"/>
      <c r="H1014" s="151"/>
      <c r="I1014" s="151"/>
      <c r="J1014" s="151"/>
      <c r="K1014" s="151"/>
      <c r="L1014" s="151"/>
      <c r="M1014" s="151"/>
      <c r="N1014" s="151"/>
      <c r="O1014" s="151"/>
      <c r="P1014" s="151"/>
      <c r="Q1014" s="151"/>
      <c r="R1014" s="151"/>
      <c r="S1014" s="152"/>
      <c r="T1014" s="151"/>
      <c r="U1014" s="151"/>
      <c r="V1014" s="153"/>
      <c r="W1014" s="151"/>
      <c r="X1014" s="151"/>
      <c r="Y1014" s="153"/>
      <c r="Z1014" s="151"/>
      <c r="AA1014" s="187" t="str">
        <f t="shared" si="31"/>
        <v>No</v>
      </c>
      <c r="AB1014" s="158"/>
      <c r="AC1014" s="159"/>
      <c r="AD1014" s="160"/>
    </row>
    <row r="1015" spans="1:30">
      <c r="A1015" s="155"/>
      <c r="B1015" s="112" t="str">
        <f t="shared" si="30"/>
        <v/>
      </c>
      <c r="C1015" s="183"/>
      <c r="D1015" s="152"/>
      <c r="E1015" s="152"/>
      <c r="F1015" s="151"/>
      <c r="G1015" s="153"/>
      <c r="H1015" s="151"/>
      <c r="I1015" s="151"/>
      <c r="J1015" s="151"/>
      <c r="K1015" s="151"/>
      <c r="L1015" s="151"/>
      <c r="M1015" s="151"/>
      <c r="N1015" s="151"/>
      <c r="O1015" s="151"/>
      <c r="P1015" s="151"/>
      <c r="Q1015" s="151"/>
      <c r="R1015" s="151"/>
      <c r="S1015" s="152"/>
      <c r="T1015" s="151"/>
      <c r="U1015" s="151"/>
      <c r="V1015" s="153"/>
      <c r="W1015" s="151"/>
      <c r="X1015" s="151"/>
      <c r="Y1015" s="153"/>
      <c r="Z1015" s="151"/>
      <c r="AA1015" s="187" t="str">
        <f t="shared" si="31"/>
        <v>No</v>
      </c>
      <c r="AB1015" s="158"/>
      <c r="AC1015" s="159"/>
      <c r="AD1015" s="160"/>
    </row>
    <row r="1016" spans="1:30">
      <c r="A1016" s="155"/>
      <c r="B1016" s="112" t="str">
        <f t="shared" si="30"/>
        <v/>
      </c>
      <c r="C1016" s="183"/>
      <c r="D1016" s="152"/>
      <c r="E1016" s="152"/>
      <c r="F1016" s="151"/>
      <c r="G1016" s="153"/>
      <c r="H1016" s="151"/>
      <c r="I1016" s="151"/>
      <c r="J1016" s="151"/>
      <c r="K1016" s="151"/>
      <c r="L1016" s="151"/>
      <c r="M1016" s="151"/>
      <c r="N1016" s="151"/>
      <c r="O1016" s="151"/>
      <c r="P1016" s="151"/>
      <c r="Q1016" s="151"/>
      <c r="R1016" s="151"/>
      <c r="S1016" s="152"/>
      <c r="T1016" s="151"/>
      <c r="U1016" s="151"/>
      <c r="V1016" s="153"/>
      <c r="W1016" s="151"/>
      <c r="X1016" s="151"/>
      <c r="Y1016" s="153"/>
      <c r="Z1016" s="151"/>
      <c r="AA1016" s="187" t="str">
        <f t="shared" si="31"/>
        <v>No</v>
      </c>
      <c r="AB1016" s="158"/>
      <c r="AC1016" s="159"/>
      <c r="AD1016" s="160"/>
    </row>
    <row r="1017" spans="1:30">
      <c r="A1017" s="155"/>
      <c r="B1017" s="112" t="str">
        <f t="shared" si="30"/>
        <v/>
      </c>
      <c r="C1017" s="183"/>
      <c r="D1017" s="152"/>
      <c r="E1017" s="152"/>
      <c r="F1017" s="151"/>
      <c r="G1017" s="153"/>
      <c r="H1017" s="151"/>
      <c r="I1017" s="151"/>
      <c r="J1017" s="151"/>
      <c r="K1017" s="151"/>
      <c r="L1017" s="151"/>
      <c r="M1017" s="151"/>
      <c r="N1017" s="151"/>
      <c r="O1017" s="151"/>
      <c r="P1017" s="151"/>
      <c r="Q1017" s="151"/>
      <c r="R1017" s="151"/>
      <c r="S1017" s="152"/>
      <c r="T1017" s="151"/>
      <c r="U1017" s="151"/>
      <c r="V1017" s="153"/>
      <c r="W1017" s="151"/>
      <c r="X1017" s="151"/>
      <c r="Y1017" s="153"/>
      <c r="Z1017" s="151"/>
      <c r="AA1017" s="187" t="str">
        <f t="shared" si="31"/>
        <v>No</v>
      </c>
      <c r="AB1017" s="158"/>
      <c r="AC1017" s="159"/>
      <c r="AD1017" s="160"/>
    </row>
    <row r="1018" spans="1:30">
      <c r="A1018" s="155"/>
      <c r="B1018" s="112" t="str">
        <f t="shared" si="30"/>
        <v/>
      </c>
      <c r="C1018" s="183"/>
      <c r="D1018" s="152"/>
      <c r="E1018" s="152"/>
      <c r="F1018" s="151"/>
      <c r="G1018" s="153"/>
      <c r="H1018" s="151"/>
      <c r="I1018" s="151"/>
      <c r="J1018" s="151"/>
      <c r="K1018" s="151"/>
      <c r="L1018" s="151"/>
      <c r="M1018" s="151"/>
      <c r="N1018" s="151"/>
      <c r="O1018" s="151"/>
      <c r="P1018" s="151"/>
      <c r="Q1018" s="151"/>
      <c r="R1018" s="151"/>
      <c r="S1018" s="152"/>
      <c r="T1018" s="151"/>
      <c r="U1018" s="151"/>
      <c r="V1018" s="153"/>
      <c r="W1018" s="151"/>
      <c r="X1018" s="151"/>
      <c r="Y1018" s="153"/>
      <c r="Z1018" s="151"/>
      <c r="AA1018" s="187" t="str">
        <f t="shared" si="31"/>
        <v>No</v>
      </c>
      <c r="AB1018" s="158"/>
      <c r="AC1018" s="159"/>
      <c r="AD1018" s="160"/>
    </row>
    <row r="1019" spans="1:30">
      <c r="A1019" s="155"/>
      <c r="B1019" s="112" t="str">
        <f t="shared" si="30"/>
        <v/>
      </c>
      <c r="C1019" s="183"/>
      <c r="D1019" s="152"/>
      <c r="E1019" s="152"/>
      <c r="F1019" s="151"/>
      <c r="G1019" s="153"/>
      <c r="H1019" s="151"/>
      <c r="I1019" s="151"/>
      <c r="J1019" s="151"/>
      <c r="K1019" s="151"/>
      <c r="L1019" s="151"/>
      <c r="M1019" s="151"/>
      <c r="N1019" s="151"/>
      <c r="O1019" s="151"/>
      <c r="P1019" s="151"/>
      <c r="Q1019" s="151"/>
      <c r="R1019" s="151"/>
      <c r="S1019" s="152"/>
      <c r="T1019" s="151"/>
      <c r="U1019" s="151"/>
      <c r="V1019" s="153"/>
      <c r="W1019" s="151"/>
      <c r="X1019" s="151"/>
      <c r="Y1019" s="153"/>
      <c r="Z1019" s="151"/>
      <c r="AA1019" s="187" t="str">
        <f t="shared" si="31"/>
        <v>No</v>
      </c>
      <c r="AB1019" s="158"/>
      <c r="AC1019" s="159"/>
      <c r="AD1019" s="160"/>
    </row>
    <row r="1020" spans="1:30">
      <c r="A1020" s="155"/>
      <c r="B1020" s="112" t="str">
        <f t="shared" si="30"/>
        <v/>
      </c>
      <c r="C1020" s="183"/>
      <c r="D1020" s="152"/>
      <c r="E1020" s="152"/>
      <c r="F1020" s="151"/>
      <c r="G1020" s="153"/>
      <c r="H1020" s="151"/>
      <c r="I1020" s="151"/>
      <c r="J1020" s="151"/>
      <c r="K1020" s="151"/>
      <c r="L1020" s="151"/>
      <c r="M1020" s="151"/>
      <c r="N1020" s="151"/>
      <c r="O1020" s="151"/>
      <c r="P1020" s="151"/>
      <c r="Q1020" s="151"/>
      <c r="R1020" s="151"/>
      <c r="S1020" s="152"/>
      <c r="T1020" s="151"/>
      <c r="U1020" s="151"/>
      <c r="V1020" s="153"/>
      <c r="W1020" s="151"/>
      <c r="X1020" s="151"/>
      <c r="Y1020" s="153"/>
      <c r="Z1020" s="151"/>
      <c r="AA1020" s="187" t="str">
        <f t="shared" si="31"/>
        <v>No</v>
      </c>
      <c r="AB1020" s="158"/>
      <c r="AC1020" s="159"/>
      <c r="AD1020" s="160"/>
    </row>
    <row r="1021" spans="1:30">
      <c r="A1021" s="155"/>
      <c r="B1021" s="112" t="str">
        <f t="shared" si="30"/>
        <v/>
      </c>
      <c r="C1021" s="183"/>
      <c r="D1021" s="152"/>
      <c r="E1021" s="152"/>
      <c r="F1021" s="151"/>
      <c r="G1021" s="153"/>
      <c r="H1021" s="151"/>
      <c r="I1021" s="151"/>
      <c r="J1021" s="151"/>
      <c r="K1021" s="151"/>
      <c r="L1021" s="151"/>
      <c r="M1021" s="151"/>
      <c r="N1021" s="151"/>
      <c r="O1021" s="151"/>
      <c r="P1021" s="151"/>
      <c r="Q1021" s="151"/>
      <c r="R1021" s="151"/>
      <c r="S1021" s="152"/>
      <c r="T1021" s="151"/>
      <c r="U1021" s="151"/>
      <c r="V1021" s="153"/>
      <c r="W1021" s="151"/>
      <c r="X1021" s="151"/>
      <c r="Y1021" s="153"/>
      <c r="Z1021" s="151"/>
      <c r="AA1021" s="187" t="str">
        <f t="shared" si="31"/>
        <v>No</v>
      </c>
      <c r="AB1021" s="158"/>
      <c r="AC1021" s="159"/>
      <c r="AD1021" s="160"/>
    </row>
    <row r="1022" spans="1:30">
      <c r="A1022" s="155"/>
      <c r="B1022" s="112" t="str">
        <f t="shared" si="30"/>
        <v/>
      </c>
      <c r="C1022" s="183"/>
      <c r="D1022" s="152"/>
      <c r="E1022" s="152"/>
      <c r="F1022" s="151"/>
      <c r="G1022" s="153"/>
      <c r="H1022" s="151"/>
      <c r="I1022" s="151"/>
      <c r="J1022" s="151"/>
      <c r="K1022" s="151"/>
      <c r="L1022" s="151"/>
      <c r="M1022" s="151"/>
      <c r="N1022" s="151"/>
      <c r="O1022" s="151"/>
      <c r="P1022" s="151"/>
      <c r="Q1022" s="151"/>
      <c r="R1022" s="151"/>
      <c r="S1022" s="152"/>
      <c r="T1022" s="151"/>
      <c r="U1022" s="151"/>
      <c r="V1022" s="153"/>
      <c r="W1022" s="151"/>
      <c r="X1022" s="151"/>
      <c r="Y1022" s="153"/>
      <c r="Z1022" s="151"/>
      <c r="AA1022" s="187" t="str">
        <f t="shared" si="31"/>
        <v>No</v>
      </c>
      <c r="AB1022" s="158"/>
      <c r="AC1022" s="159"/>
      <c r="AD1022" s="160"/>
    </row>
    <row r="1023" spans="1:30">
      <c r="A1023" s="155"/>
      <c r="B1023" s="112" t="str">
        <f t="shared" si="30"/>
        <v/>
      </c>
      <c r="C1023" s="183"/>
      <c r="D1023" s="152"/>
      <c r="E1023" s="152"/>
      <c r="F1023" s="151"/>
      <c r="G1023" s="153"/>
      <c r="H1023" s="151"/>
      <c r="I1023" s="151"/>
      <c r="J1023" s="151"/>
      <c r="K1023" s="151"/>
      <c r="L1023" s="151"/>
      <c r="M1023" s="151"/>
      <c r="N1023" s="151"/>
      <c r="O1023" s="151"/>
      <c r="P1023" s="151"/>
      <c r="Q1023" s="151"/>
      <c r="R1023" s="151"/>
      <c r="S1023" s="152"/>
      <c r="T1023" s="151"/>
      <c r="U1023" s="151"/>
      <c r="V1023" s="153"/>
      <c r="W1023" s="151"/>
      <c r="X1023" s="151"/>
      <c r="Y1023" s="153"/>
      <c r="Z1023" s="151"/>
      <c r="AA1023" s="187" t="str">
        <f t="shared" si="31"/>
        <v>No</v>
      </c>
      <c r="AB1023" s="158"/>
      <c r="AC1023" s="159"/>
      <c r="AD1023" s="160"/>
    </row>
    <row r="1024" spans="1:30">
      <c r="A1024" s="155"/>
      <c r="B1024" s="112" t="str">
        <f t="shared" si="30"/>
        <v/>
      </c>
      <c r="C1024" s="183"/>
      <c r="D1024" s="152"/>
      <c r="E1024" s="152"/>
      <c r="F1024" s="151"/>
      <c r="G1024" s="153"/>
      <c r="H1024" s="151"/>
      <c r="I1024" s="151"/>
      <c r="J1024" s="151"/>
      <c r="K1024" s="151"/>
      <c r="L1024" s="151"/>
      <c r="M1024" s="151"/>
      <c r="N1024" s="151"/>
      <c r="O1024" s="151"/>
      <c r="P1024" s="151"/>
      <c r="Q1024" s="151"/>
      <c r="R1024" s="151"/>
      <c r="S1024" s="152"/>
      <c r="T1024" s="151"/>
      <c r="U1024" s="151"/>
      <c r="V1024" s="153"/>
      <c r="W1024" s="151"/>
      <c r="X1024" s="151"/>
      <c r="Y1024" s="153"/>
      <c r="Z1024" s="151"/>
      <c r="AA1024" s="187" t="str">
        <f t="shared" si="31"/>
        <v>No</v>
      </c>
      <c r="AB1024" s="158"/>
      <c r="AC1024" s="159"/>
      <c r="AD1024" s="160"/>
    </row>
    <row r="1025" spans="1:30">
      <c r="A1025" s="155"/>
      <c r="B1025" s="112" t="str">
        <f t="shared" si="30"/>
        <v/>
      </c>
      <c r="C1025" s="183"/>
      <c r="D1025" s="152"/>
      <c r="E1025" s="152"/>
      <c r="F1025" s="151"/>
      <c r="G1025" s="153"/>
      <c r="H1025" s="151"/>
      <c r="I1025" s="151"/>
      <c r="J1025" s="151"/>
      <c r="K1025" s="151"/>
      <c r="L1025" s="151"/>
      <c r="M1025" s="151"/>
      <c r="N1025" s="151"/>
      <c r="O1025" s="151"/>
      <c r="P1025" s="151"/>
      <c r="Q1025" s="151"/>
      <c r="R1025" s="151"/>
      <c r="S1025" s="152"/>
      <c r="T1025" s="151"/>
      <c r="U1025" s="151"/>
      <c r="V1025" s="153"/>
      <c r="W1025" s="151"/>
      <c r="X1025" s="151"/>
      <c r="Y1025" s="153"/>
      <c r="Z1025" s="151"/>
      <c r="AA1025" s="187" t="str">
        <f t="shared" si="31"/>
        <v>No</v>
      </c>
      <c r="AB1025" s="158"/>
      <c r="AC1025" s="159"/>
      <c r="AD1025" s="160"/>
    </row>
    <row r="1026" spans="1:30">
      <c r="A1026" s="155"/>
      <c r="B1026" s="112" t="str">
        <f t="shared" si="30"/>
        <v/>
      </c>
      <c r="C1026" s="183"/>
      <c r="D1026" s="152"/>
      <c r="E1026" s="152"/>
      <c r="F1026" s="151"/>
      <c r="G1026" s="153"/>
      <c r="H1026" s="151"/>
      <c r="I1026" s="151"/>
      <c r="J1026" s="151"/>
      <c r="K1026" s="151"/>
      <c r="L1026" s="151"/>
      <c r="M1026" s="151"/>
      <c r="N1026" s="151"/>
      <c r="O1026" s="151"/>
      <c r="P1026" s="151"/>
      <c r="Q1026" s="151"/>
      <c r="R1026" s="151"/>
      <c r="S1026" s="152"/>
      <c r="T1026" s="151"/>
      <c r="U1026" s="151"/>
      <c r="V1026" s="153"/>
      <c r="W1026" s="151"/>
      <c r="X1026" s="151"/>
      <c r="Y1026" s="153"/>
      <c r="Z1026" s="151"/>
      <c r="AA1026" s="187" t="str">
        <f t="shared" si="31"/>
        <v>No</v>
      </c>
      <c r="AB1026" s="158"/>
      <c r="AC1026" s="159"/>
      <c r="AD1026" s="160"/>
    </row>
    <row r="1027" spans="1:30">
      <c r="A1027" s="155"/>
      <c r="B1027" s="112" t="str">
        <f t="shared" si="30"/>
        <v/>
      </c>
      <c r="C1027" s="183"/>
      <c r="D1027" s="152"/>
      <c r="E1027" s="152"/>
      <c r="F1027" s="151"/>
      <c r="G1027" s="153"/>
      <c r="H1027" s="151"/>
      <c r="I1027" s="151"/>
      <c r="J1027" s="151"/>
      <c r="K1027" s="151"/>
      <c r="L1027" s="151"/>
      <c r="M1027" s="151"/>
      <c r="N1027" s="151"/>
      <c r="O1027" s="151"/>
      <c r="P1027" s="151"/>
      <c r="Q1027" s="151"/>
      <c r="R1027" s="151"/>
      <c r="S1027" s="152"/>
      <c r="T1027" s="151"/>
      <c r="U1027" s="151"/>
      <c r="V1027" s="153"/>
      <c r="W1027" s="151"/>
      <c r="X1027" s="151"/>
      <c r="Y1027" s="153"/>
      <c r="Z1027" s="151"/>
      <c r="AA1027" s="187" t="str">
        <f t="shared" si="31"/>
        <v>No</v>
      </c>
      <c r="AB1027" s="158"/>
      <c r="AC1027" s="159"/>
      <c r="AD1027" s="160"/>
    </row>
    <row r="1028" spans="1:30">
      <c r="A1028" s="155"/>
      <c r="B1028" s="112" t="str">
        <f t="shared" si="30"/>
        <v/>
      </c>
      <c r="C1028" s="183"/>
      <c r="D1028" s="152"/>
      <c r="E1028" s="152"/>
      <c r="F1028" s="151"/>
      <c r="G1028" s="153"/>
      <c r="H1028" s="151"/>
      <c r="I1028" s="151"/>
      <c r="J1028" s="151"/>
      <c r="K1028" s="151"/>
      <c r="L1028" s="151"/>
      <c r="M1028" s="151"/>
      <c r="N1028" s="151"/>
      <c r="O1028" s="151"/>
      <c r="P1028" s="151"/>
      <c r="Q1028" s="151"/>
      <c r="R1028" s="151"/>
      <c r="S1028" s="152"/>
      <c r="T1028" s="151"/>
      <c r="U1028" s="151"/>
      <c r="V1028" s="153"/>
      <c r="W1028" s="151"/>
      <c r="X1028" s="151"/>
      <c r="Y1028" s="153"/>
      <c r="Z1028" s="151"/>
      <c r="AA1028" s="187" t="str">
        <f t="shared" si="31"/>
        <v>No</v>
      </c>
      <c r="AB1028" s="158"/>
      <c r="AC1028" s="159"/>
      <c r="AD1028" s="160"/>
    </row>
    <row r="1029" spans="1:30">
      <c r="A1029" s="155"/>
      <c r="B1029" s="112" t="str">
        <f t="shared" ref="B1029:B1092" si="32">IF(AND(A1029&lt;&gt;"",D1029&lt;&gt;"",J1029&lt;&gt;"",N1029&lt;&gt;""),TEXT(D1029,"YY")&amp;"-"&amp;TEXT(D1029,"MMM")&amp;"-"&amp;UPPER(LEFT(TRIM(N1029),2))&amp;"-"&amp;UPPER(LEFT(TRIM(J1029),3))&amp;"-"&amp;A1029,"")</f>
        <v/>
      </c>
      <c r="C1029" s="183"/>
      <c r="D1029" s="152"/>
      <c r="E1029" s="152"/>
      <c r="F1029" s="151"/>
      <c r="G1029" s="153"/>
      <c r="H1029" s="151"/>
      <c r="I1029" s="151"/>
      <c r="J1029" s="151"/>
      <c r="K1029" s="151"/>
      <c r="L1029" s="151"/>
      <c r="M1029" s="151"/>
      <c r="N1029" s="151"/>
      <c r="O1029" s="151"/>
      <c r="P1029" s="151"/>
      <c r="Q1029" s="151"/>
      <c r="R1029" s="151"/>
      <c r="S1029" s="152"/>
      <c r="T1029" s="151"/>
      <c r="U1029" s="151"/>
      <c r="V1029" s="153"/>
      <c r="W1029" s="151"/>
      <c r="X1029" s="151"/>
      <c r="Y1029" s="153"/>
      <c r="Z1029" s="151"/>
      <c r="AA1029" s="187" t="str">
        <f t="shared" ref="AA1029:AA1092" si="33">IF(E1029="","No","Yes")</f>
        <v>No</v>
      </c>
      <c r="AB1029" s="158"/>
      <c r="AC1029" s="159"/>
      <c r="AD1029" s="160"/>
    </row>
    <row r="1030" spans="1:30">
      <c r="A1030" s="155"/>
      <c r="B1030" s="112" t="str">
        <f t="shared" si="32"/>
        <v/>
      </c>
      <c r="C1030" s="183"/>
      <c r="D1030" s="152"/>
      <c r="E1030" s="152"/>
      <c r="F1030" s="151"/>
      <c r="G1030" s="153"/>
      <c r="H1030" s="151"/>
      <c r="I1030" s="151"/>
      <c r="J1030" s="151"/>
      <c r="K1030" s="151"/>
      <c r="L1030" s="151"/>
      <c r="M1030" s="151"/>
      <c r="N1030" s="151"/>
      <c r="O1030" s="151"/>
      <c r="P1030" s="151"/>
      <c r="Q1030" s="151"/>
      <c r="R1030" s="151"/>
      <c r="S1030" s="152"/>
      <c r="T1030" s="151"/>
      <c r="U1030" s="151"/>
      <c r="V1030" s="153"/>
      <c r="W1030" s="151"/>
      <c r="X1030" s="151"/>
      <c r="Y1030" s="153"/>
      <c r="Z1030" s="151"/>
      <c r="AA1030" s="187" t="str">
        <f t="shared" si="33"/>
        <v>No</v>
      </c>
      <c r="AB1030" s="158"/>
      <c r="AC1030" s="159"/>
      <c r="AD1030" s="160"/>
    </row>
    <row r="1031" spans="1:30">
      <c r="A1031" s="155"/>
      <c r="B1031" s="112" t="str">
        <f t="shared" si="32"/>
        <v/>
      </c>
      <c r="C1031" s="183"/>
      <c r="D1031" s="152"/>
      <c r="E1031" s="152"/>
      <c r="F1031" s="151"/>
      <c r="G1031" s="153"/>
      <c r="H1031" s="151"/>
      <c r="I1031" s="151"/>
      <c r="J1031" s="151"/>
      <c r="K1031" s="151"/>
      <c r="L1031" s="151"/>
      <c r="M1031" s="151"/>
      <c r="N1031" s="151"/>
      <c r="O1031" s="151"/>
      <c r="P1031" s="151"/>
      <c r="Q1031" s="151"/>
      <c r="R1031" s="151"/>
      <c r="S1031" s="152"/>
      <c r="T1031" s="151"/>
      <c r="U1031" s="151"/>
      <c r="V1031" s="153"/>
      <c r="W1031" s="151"/>
      <c r="X1031" s="151"/>
      <c r="Y1031" s="153"/>
      <c r="Z1031" s="151"/>
      <c r="AA1031" s="187" t="str">
        <f t="shared" si="33"/>
        <v>No</v>
      </c>
      <c r="AB1031" s="158"/>
      <c r="AC1031" s="159"/>
      <c r="AD1031" s="160"/>
    </row>
    <row r="1032" spans="1:30">
      <c r="A1032" s="155"/>
      <c r="B1032" s="112" t="str">
        <f t="shared" si="32"/>
        <v/>
      </c>
      <c r="C1032" s="183"/>
      <c r="D1032" s="152"/>
      <c r="E1032" s="152"/>
      <c r="F1032" s="151"/>
      <c r="G1032" s="153"/>
      <c r="H1032" s="151"/>
      <c r="I1032" s="151"/>
      <c r="J1032" s="151"/>
      <c r="K1032" s="151"/>
      <c r="L1032" s="151"/>
      <c r="M1032" s="151"/>
      <c r="N1032" s="151"/>
      <c r="O1032" s="151"/>
      <c r="P1032" s="151"/>
      <c r="Q1032" s="151"/>
      <c r="R1032" s="151"/>
      <c r="S1032" s="152"/>
      <c r="T1032" s="151"/>
      <c r="U1032" s="151"/>
      <c r="V1032" s="153"/>
      <c r="W1032" s="151"/>
      <c r="X1032" s="151"/>
      <c r="Y1032" s="153"/>
      <c r="Z1032" s="151"/>
      <c r="AA1032" s="187" t="str">
        <f t="shared" si="33"/>
        <v>No</v>
      </c>
      <c r="AB1032" s="158"/>
      <c r="AC1032" s="159"/>
      <c r="AD1032" s="160"/>
    </row>
    <row r="1033" spans="1:30">
      <c r="A1033" s="155"/>
      <c r="B1033" s="112" t="str">
        <f t="shared" si="32"/>
        <v/>
      </c>
      <c r="C1033" s="183"/>
      <c r="D1033" s="152"/>
      <c r="E1033" s="152"/>
      <c r="F1033" s="151"/>
      <c r="G1033" s="153"/>
      <c r="H1033" s="151"/>
      <c r="I1033" s="151"/>
      <c r="J1033" s="151"/>
      <c r="K1033" s="151"/>
      <c r="L1033" s="151"/>
      <c r="M1033" s="151"/>
      <c r="N1033" s="151"/>
      <c r="O1033" s="151"/>
      <c r="P1033" s="151"/>
      <c r="Q1033" s="151"/>
      <c r="R1033" s="151"/>
      <c r="S1033" s="152"/>
      <c r="T1033" s="151"/>
      <c r="U1033" s="151"/>
      <c r="V1033" s="153"/>
      <c r="W1033" s="151"/>
      <c r="X1033" s="151"/>
      <c r="Y1033" s="153"/>
      <c r="Z1033" s="151"/>
      <c r="AA1033" s="187" t="str">
        <f t="shared" si="33"/>
        <v>No</v>
      </c>
      <c r="AB1033" s="158"/>
      <c r="AC1033" s="159"/>
      <c r="AD1033" s="160"/>
    </row>
    <row r="1034" spans="1:30">
      <c r="A1034" s="155"/>
      <c r="B1034" s="112" t="str">
        <f t="shared" si="32"/>
        <v/>
      </c>
      <c r="C1034" s="183"/>
      <c r="D1034" s="152"/>
      <c r="E1034" s="152"/>
      <c r="F1034" s="151"/>
      <c r="G1034" s="153"/>
      <c r="H1034" s="151"/>
      <c r="I1034" s="151"/>
      <c r="J1034" s="151"/>
      <c r="K1034" s="151"/>
      <c r="L1034" s="151"/>
      <c r="M1034" s="151"/>
      <c r="N1034" s="151"/>
      <c r="O1034" s="151"/>
      <c r="P1034" s="151"/>
      <c r="Q1034" s="151"/>
      <c r="R1034" s="151"/>
      <c r="S1034" s="152"/>
      <c r="T1034" s="151"/>
      <c r="U1034" s="151"/>
      <c r="V1034" s="153"/>
      <c r="W1034" s="151"/>
      <c r="X1034" s="151"/>
      <c r="Y1034" s="153"/>
      <c r="Z1034" s="151"/>
      <c r="AA1034" s="187" t="str">
        <f t="shared" si="33"/>
        <v>No</v>
      </c>
      <c r="AB1034" s="158"/>
      <c r="AC1034" s="159"/>
      <c r="AD1034" s="160"/>
    </row>
    <row r="1035" spans="1:30">
      <c r="A1035" s="155"/>
      <c r="B1035" s="112" t="str">
        <f t="shared" si="32"/>
        <v/>
      </c>
      <c r="C1035" s="183"/>
      <c r="D1035" s="152"/>
      <c r="E1035" s="152"/>
      <c r="F1035" s="151"/>
      <c r="G1035" s="153"/>
      <c r="H1035" s="151"/>
      <c r="I1035" s="151"/>
      <c r="J1035" s="151"/>
      <c r="K1035" s="151"/>
      <c r="L1035" s="151"/>
      <c r="M1035" s="151"/>
      <c r="N1035" s="151"/>
      <c r="O1035" s="151"/>
      <c r="P1035" s="151"/>
      <c r="Q1035" s="151"/>
      <c r="R1035" s="151"/>
      <c r="S1035" s="152"/>
      <c r="T1035" s="151"/>
      <c r="U1035" s="151"/>
      <c r="V1035" s="153"/>
      <c r="W1035" s="151"/>
      <c r="X1035" s="151"/>
      <c r="Y1035" s="153"/>
      <c r="Z1035" s="151"/>
      <c r="AA1035" s="187" t="str">
        <f t="shared" si="33"/>
        <v>No</v>
      </c>
      <c r="AB1035" s="158"/>
      <c r="AC1035" s="159"/>
      <c r="AD1035" s="160"/>
    </row>
    <row r="1036" spans="1:30">
      <c r="A1036" s="155"/>
      <c r="B1036" s="112" t="str">
        <f t="shared" si="32"/>
        <v/>
      </c>
      <c r="C1036" s="183"/>
      <c r="D1036" s="152"/>
      <c r="E1036" s="152"/>
      <c r="F1036" s="151"/>
      <c r="G1036" s="153"/>
      <c r="H1036" s="151"/>
      <c r="I1036" s="151"/>
      <c r="J1036" s="151"/>
      <c r="K1036" s="151"/>
      <c r="L1036" s="151"/>
      <c r="M1036" s="151"/>
      <c r="N1036" s="151"/>
      <c r="O1036" s="151"/>
      <c r="P1036" s="151"/>
      <c r="Q1036" s="151"/>
      <c r="R1036" s="151"/>
      <c r="S1036" s="152"/>
      <c r="T1036" s="151"/>
      <c r="U1036" s="151"/>
      <c r="V1036" s="153"/>
      <c r="W1036" s="151"/>
      <c r="X1036" s="151"/>
      <c r="Y1036" s="153"/>
      <c r="Z1036" s="151"/>
      <c r="AA1036" s="187" t="str">
        <f t="shared" si="33"/>
        <v>No</v>
      </c>
      <c r="AB1036" s="158"/>
      <c r="AC1036" s="159"/>
      <c r="AD1036" s="160"/>
    </row>
    <row r="1037" spans="1:30">
      <c r="A1037" s="155"/>
      <c r="B1037" s="112" t="str">
        <f t="shared" si="32"/>
        <v/>
      </c>
      <c r="C1037" s="183"/>
      <c r="D1037" s="152"/>
      <c r="E1037" s="152"/>
      <c r="F1037" s="151"/>
      <c r="G1037" s="153"/>
      <c r="H1037" s="151"/>
      <c r="I1037" s="151"/>
      <c r="J1037" s="151"/>
      <c r="K1037" s="151"/>
      <c r="L1037" s="151"/>
      <c r="M1037" s="151"/>
      <c r="N1037" s="151"/>
      <c r="O1037" s="151"/>
      <c r="P1037" s="151"/>
      <c r="Q1037" s="151"/>
      <c r="R1037" s="151"/>
      <c r="S1037" s="152"/>
      <c r="T1037" s="151"/>
      <c r="U1037" s="151"/>
      <c r="V1037" s="153"/>
      <c r="W1037" s="151"/>
      <c r="X1037" s="151"/>
      <c r="Y1037" s="153"/>
      <c r="Z1037" s="151"/>
      <c r="AA1037" s="187" t="str">
        <f t="shared" si="33"/>
        <v>No</v>
      </c>
      <c r="AB1037" s="158"/>
      <c r="AC1037" s="159"/>
      <c r="AD1037" s="160"/>
    </row>
    <row r="1038" spans="1:30">
      <c r="A1038" s="155"/>
      <c r="B1038" s="112" t="str">
        <f t="shared" si="32"/>
        <v/>
      </c>
      <c r="C1038" s="183"/>
      <c r="D1038" s="152"/>
      <c r="E1038" s="152"/>
      <c r="F1038" s="151"/>
      <c r="G1038" s="153"/>
      <c r="H1038" s="151"/>
      <c r="I1038" s="151"/>
      <c r="J1038" s="151"/>
      <c r="K1038" s="151"/>
      <c r="L1038" s="151"/>
      <c r="M1038" s="151"/>
      <c r="N1038" s="151"/>
      <c r="O1038" s="151"/>
      <c r="P1038" s="151"/>
      <c r="Q1038" s="151"/>
      <c r="R1038" s="151"/>
      <c r="S1038" s="152"/>
      <c r="T1038" s="151"/>
      <c r="U1038" s="151"/>
      <c r="V1038" s="153"/>
      <c r="W1038" s="151"/>
      <c r="X1038" s="151"/>
      <c r="Y1038" s="153"/>
      <c r="Z1038" s="151"/>
      <c r="AA1038" s="187" t="str">
        <f t="shared" si="33"/>
        <v>No</v>
      </c>
      <c r="AB1038" s="158"/>
      <c r="AC1038" s="159"/>
      <c r="AD1038" s="160"/>
    </row>
    <row r="1039" spans="1:30">
      <c r="A1039" s="155"/>
      <c r="B1039" s="112" t="str">
        <f t="shared" si="32"/>
        <v/>
      </c>
      <c r="C1039" s="183"/>
      <c r="D1039" s="152"/>
      <c r="E1039" s="152"/>
      <c r="F1039" s="151"/>
      <c r="G1039" s="153"/>
      <c r="H1039" s="151"/>
      <c r="I1039" s="151"/>
      <c r="J1039" s="151"/>
      <c r="K1039" s="151"/>
      <c r="L1039" s="151"/>
      <c r="M1039" s="151"/>
      <c r="N1039" s="151"/>
      <c r="O1039" s="151"/>
      <c r="P1039" s="151"/>
      <c r="Q1039" s="151"/>
      <c r="R1039" s="151"/>
      <c r="S1039" s="152"/>
      <c r="T1039" s="151"/>
      <c r="U1039" s="151"/>
      <c r="V1039" s="153"/>
      <c r="W1039" s="151"/>
      <c r="X1039" s="151"/>
      <c r="Y1039" s="153"/>
      <c r="Z1039" s="151"/>
      <c r="AA1039" s="187" t="str">
        <f t="shared" si="33"/>
        <v>No</v>
      </c>
      <c r="AB1039" s="158"/>
      <c r="AC1039" s="159"/>
      <c r="AD1039" s="160"/>
    </row>
    <row r="1040" spans="1:30">
      <c r="A1040" s="155"/>
      <c r="B1040" s="112" t="str">
        <f t="shared" si="32"/>
        <v/>
      </c>
      <c r="C1040" s="183"/>
      <c r="D1040" s="152"/>
      <c r="E1040" s="152"/>
      <c r="F1040" s="151"/>
      <c r="G1040" s="153"/>
      <c r="H1040" s="151"/>
      <c r="I1040" s="151"/>
      <c r="J1040" s="151"/>
      <c r="K1040" s="151"/>
      <c r="L1040" s="151"/>
      <c r="M1040" s="151"/>
      <c r="N1040" s="151"/>
      <c r="O1040" s="151"/>
      <c r="P1040" s="151"/>
      <c r="Q1040" s="151"/>
      <c r="R1040" s="151"/>
      <c r="S1040" s="152"/>
      <c r="T1040" s="151"/>
      <c r="U1040" s="151"/>
      <c r="V1040" s="153"/>
      <c r="W1040" s="151"/>
      <c r="X1040" s="151"/>
      <c r="Y1040" s="153"/>
      <c r="Z1040" s="151"/>
      <c r="AA1040" s="187" t="str">
        <f t="shared" si="33"/>
        <v>No</v>
      </c>
      <c r="AB1040" s="158"/>
      <c r="AC1040" s="159"/>
      <c r="AD1040" s="160"/>
    </row>
    <row r="1041" spans="1:30">
      <c r="A1041" s="155"/>
      <c r="B1041" s="112" t="str">
        <f t="shared" si="32"/>
        <v/>
      </c>
      <c r="C1041" s="183"/>
      <c r="D1041" s="152"/>
      <c r="E1041" s="152"/>
      <c r="F1041" s="151"/>
      <c r="G1041" s="153"/>
      <c r="H1041" s="151"/>
      <c r="I1041" s="151"/>
      <c r="J1041" s="151"/>
      <c r="K1041" s="151"/>
      <c r="L1041" s="151"/>
      <c r="M1041" s="151"/>
      <c r="N1041" s="151"/>
      <c r="O1041" s="151"/>
      <c r="P1041" s="151"/>
      <c r="Q1041" s="151"/>
      <c r="R1041" s="151"/>
      <c r="S1041" s="152"/>
      <c r="T1041" s="151"/>
      <c r="U1041" s="151"/>
      <c r="V1041" s="153"/>
      <c r="W1041" s="151"/>
      <c r="X1041" s="151"/>
      <c r="Y1041" s="153"/>
      <c r="Z1041" s="151"/>
      <c r="AA1041" s="187" t="str">
        <f t="shared" si="33"/>
        <v>No</v>
      </c>
      <c r="AB1041" s="158"/>
      <c r="AC1041" s="159"/>
      <c r="AD1041" s="160"/>
    </row>
    <row r="1042" spans="1:30">
      <c r="A1042" s="155"/>
      <c r="B1042" s="112" t="str">
        <f t="shared" si="32"/>
        <v/>
      </c>
      <c r="C1042" s="183"/>
      <c r="D1042" s="152"/>
      <c r="E1042" s="152"/>
      <c r="F1042" s="151"/>
      <c r="G1042" s="153"/>
      <c r="H1042" s="151"/>
      <c r="I1042" s="151"/>
      <c r="J1042" s="151"/>
      <c r="K1042" s="151"/>
      <c r="L1042" s="151"/>
      <c r="M1042" s="151"/>
      <c r="N1042" s="151"/>
      <c r="O1042" s="151"/>
      <c r="P1042" s="151"/>
      <c r="Q1042" s="151"/>
      <c r="R1042" s="151"/>
      <c r="S1042" s="152"/>
      <c r="T1042" s="151"/>
      <c r="U1042" s="151"/>
      <c r="V1042" s="153"/>
      <c r="W1042" s="151"/>
      <c r="X1042" s="151"/>
      <c r="Y1042" s="153"/>
      <c r="Z1042" s="151"/>
      <c r="AA1042" s="187" t="str">
        <f t="shared" si="33"/>
        <v>No</v>
      </c>
      <c r="AB1042" s="158"/>
      <c r="AC1042" s="159"/>
      <c r="AD1042" s="160"/>
    </row>
    <row r="1043" spans="1:30">
      <c r="A1043" s="155"/>
      <c r="B1043" s="112" t="str">
        <f t="shared" si="32"/>
        <v/>
      </c>
      <c r="C1043" s="183"/>
      <c r="D1043" s="152"/>
      <c r="E1043" s="152"/>
      <c r="F1043" s="151"/>
      <c r="G1043" s="153"/>
      <c r="H1043" s="151"/>
      <c r="I1043" s="151"/>
      <c r="J1043" s="151"/>
      <c r="K1043" s="151"/>
      <c r="L1043" s="151"/>
      <c r="M1043" s="151"/>
      <c r="N1043" s="151"/>
      <c r="O1043" s="151"/>
      <c r="P1043" s="151"/>
      <c r="Q1043" s="151"/>
      <c r="R1043" s="151"/>
      <c r="S1043" s="152"/>
      <c r="T1043" s="151"/>
      <c r="U1043" s="151"/>
      <c r="V1043" s="153"/>
      <c r="W1043" s="151"/>
      <c r="X1043" s="151"/>
      <c r="Y1043" s="153"/>
      <c r="Z1043" s="151"/>
      <c r="AA1043" s="187" t="str">
        <f t="shared" si="33"/>
        <v>No</v>
      </c>
      <c r="AB1043" s="158"/>
      <c r="AC1043" s="159"/>
      <c r="AD1043" s="160"/>
    </row>
    <row r="1044" spans="1:30">
      <c r="A1044" s="155"/>
      <c r="B1044" s="112" t="str">
        <f t="shared" si="32"/>
        <v/>
      </c>
      <c r="C1044" s="183"/>
      <c r="D1044" s="152"/>
      <c r="E1044" s="152"/>
      <c r="F1044" s="151"/>
      <c r="G1044" s="153"/>
      <c r="H1044" s="151"/>
      <c r="I1044" s="151"/>
      <c r="J1044" s="151"/>
      <c r="K1044" s="151"/>
      <c r="L1044" s="151"/>
      <c r="M1044" s="151"/>
      <c r="N1044" s="151"/>
      <c r="O1044" s="151"/>
      <c r="P1044" s="151"/>
      <c r="Q1044" s="151"/>
      <c r="R1044" s="151"/>
      <c r="S1044" s="152"/>
      <c r="T1044" s="151"/>
      <c r="U1044" s="151"/>
      <c r="V1044" s="153"/>
      <c r="W1044" s="151"/>
      <c r="X1044" s="151"/>
      <c r="Y1044" s="153"/>
      <c r="Z1044" s="151"/>
      <c r="AA1044" s="187" t="str">
        <f t="shared" si="33"/>
        <v>No</v>
      </c>
      <c r="AB1044" s="158"/>
      <c r="AC1044" s="159"/>
      <c r="AD1044" s="160"/>
    </row>
    <row r="1045" spans="1:30">
      <c r="A1045" s="155"/>
      <c r="B1045" s="112" t="str">
        <f t="shared" si="32"/>
        <v/>
      </c>
      <c r="C1045" s="183"/>
      <c r="D1045" s="152"/>
      <c r="E1045" s="152"/>
      <c r="F1045" s="151"/>
      <c r="G1045" s="153"/>
      <c r="H1045" s="151"/>
      <c r="I1045" s="151"/>
      <c r="J1045" s="151"/>
      <c r="K1045" s="151"/>
      <c r="L1045" s="151"/>
      <c r="M1045" s="151"/>
      <c r="N1045" s="151"/>
      <c r="O1045" s="151"/>
      <c r="P1045" s="151"/>
      <c r="Q1045" s="151"/>
      <c r="R1045" s="151"/>
      <c r="S1045" s="152"/>
      <c r="T1045" s="151"/>
      <c r="U1045" s="151"/>
      <c r="V1045" s="153"/>
      <c r="W1045" s="151"/>
      <c r="X1045" s="151"/>
      <c r="Y1045" s="153"/>
      <c r="Z1045" s="151"/>
      <c r="AA1045" s="187" t="str">
        <f t="shared" si="33"/>
        <v>No</v>
      </c>
      <c r="AB1045" s="158"/>
      <c r="AC1045" s="159"/>
      <c r="AD1045" s="160"/>
    </row>
    <row r="1046" spans="1:30">
      <c r="A1046" s="155"/>
      <c r="B1046" s="112" t="str">
        <f t="shared" si="32"/>
        <v/>
      </c>
      <c r="C1046" s="183"/>
      <c r="D1046" s="152"/>
      <c r="E1046" s="152"/>
      <c r="F1046" s="151"/>
      <c r="G1046" s="153"/>
      <c r="H1046" s="151"/>
      <c r="I1046" s="151"/>
      <c r="J1046" s="151"/>
      <c r="K1046" s="151"/>
      <c r="L1046" s="151"/>
      <c r="M1046" s="151"/>
      <c r="N1046" s="151"/>
      <c r="O1046" s="151"/>
      <c r="P1046" s="151"/>
      <c r="Q1046" s="151"/>
      <c r="R1046" s="151"/>
      <c r="S1046" s="152"/>
      <c r="T1046" s="151"/>
      <c r="U1046" s="151"/>
      <c r="V1046" s="153"/>
      <c r="W1046" s="151"/>
      <c r="X1046" s="151"/>
      <c r="Y1046" s="153"/>
      <c r="Z1046" s="151"/>
      <c r="AA1046" s="187" t="str">
        <f t="shared" si="33"/>
        <v>No</v>
      </c>
      <c r="AB1046" s="158"/>
      <c r="AC1046" s="159"/>
      <c r="AD1046" s="160"/>
    </row>
    <row r="1047" spans="1:30">
      <c r="A1047" s="155"/>
      <c r="B1047" s="112" t="str">
        <f t="shared" si="32"/>
        <v/>
      </c>
      <c r="C1047" s="183"/>
      <c r="D1047" s="152"/>
      <c r="E1047" s="152"/>
      <c r="F1047" s="151"/>
      <c r="G1047" s="153"/>
      <c r="H1047" s="151"/>
      <c r="I1047" s="151"/>
      <c r="J1047" s="151"/>
      <c r="K1047" s="151"/>
      <c r="L1047" s="151"/>
      <c r="M1047" s="151"/>
      <c r="N1047" s="151"/>
      <c r="O1047" s="151"/>
      <c r="P1047" s="151"/>
      <c r="Q1047" s="151"/>
      <c r="R1047" s="151"/>
      <c r="S1047" s="152"/>
      <c r="T1047" s="151"/>
      <c r="U1047" s="151"/>
      <c r="V1047" s="153"/>
      <c r="W1047" s="151"/>
      <c r="X1047" s="151"/>
      <c r="Y1047" s="153"/>
      <c r="Z1047" s="151"/>
      <c r="AA1047" s="187" t="str">
        <f t="shared" si="33"/>
        <v>No</v>
      </c>
      <c r="AB1047" s="158"/>
      <c r="AC1047" s="159"/>
      <c r="AD1047" s="160"/>
    </row>
    <row r="1048" spans="1:30">
      <c r="A1048" s="155"/>
      <c r="B1048" s="112" t="str">
        <f t="shared" si="32"/>
        <v/>
      </c>
      <c r="C1048" s="183"/>
      <c r="D1048" s="152"/>
      <c r="E1048" s="152"/>
      <c r="F1048" s="151"/>
      <c r="G1048" s="153"/>
      <c r="H1048" s="151"/>
      <c r="I1048" s="151"/>
      <c r="J1048" s="151"/>
      <c r="K1048" s="151"/>
      <c r="L1048" s="151"/>
      <c r="M1048" s="151"/>
      <c r="N1048" s="151"/>
      <c r="O1048" s="151"/>
      <c r="P1048" s="151"/>
      <c r="Q1048" s="151"/>
      <c r="R1048" s="151"/>
      <c r="S1048" s="152"/>
      <c r="T1048" s="151"/>
      <c r="U1048" s="151"/>
      <c r="V1048" s="153"/>
      <c r="W1048" s="151"/>
      <c r="X1048" s="151"/>
      <c r="Y1048" s="153"/>
      <c r="Z1048" s="151"/>
      <c r="AA1048" s="187" t="str">
        <f t="shared" si="33"/>
        <v>No</v>
      </c>
      <c r="AB1048" s="158"/>
      <c r="AC1048" s="159"/>
      <c r="AD1048" s="160"/>
    </row>
    <row r="1049" spans="1:30">
      <c r="A1049" s="155"/>
      <c r="B1049" s="112" t="str">
        <f t="shared" si="32"/>
        <v/>
      </c>
      <c r="C1049" s="183"/>
      <c r="D1049" s="152"/>
      <c r="E1049" s="152"/>
      <c r="F1049" s="151"/>
      <c r="G1049" s="153"/>
      <c r="H1049" s="151"/>
      <c r="I1049" s="151"/>
      <c r="J1049" s="151"/>
      <c r="K1049" s="151"/>
      <c r="L1049" s="151"/>
      <c r="M1049" s="151"/>
      <c r="N1049" s="151"/>
      <c r="O1049" s="151"/>
      <c r="P1049" s="151"/>
      <c r="Q1049" s="151"/>
      <c r="R1049" s="151"/>
      <c r="S1049" s="152"/>
      <c r="T1049" s="151"/>
      <c r="U1049" s="151"/>
      <c r="V1049" s="153"/>
      <c r="W1049" s="151"/>
      <c r="X1049" s="151"/>
      <c r="Y1049" s="153"/>
      <c r="Z1049" s="151"/>
      <c r="AA1049" s="187" t="str">
        <f t="shared" si="33"/>
        <v>No</v>
      </c>
      <c r="AB1049" s="158"/>
      <c r="AC1049" s="159"/>
      <c r="AD1049" s="160"/>
    </row>
    <row r="1050" spans="1:30">
      <c r="A1050" s="155"/>
      <c r="B1050" s="112" t="str">
        <f t="shared" si="32"/>
        <v/>
      </c>
      <c r="C1050" s="183"/>
      <c r="D1050" s="152"/>
      <c r="E1050" s="152"/>
      <c r="F1050" s="151"/>
      <c r="G1050" s="153"/>
      <c r="H1050" s="151"/>
      <c r="I1050" s="151"/>
      <c r="J1050" s="151"/>
      <c r="K1050" s="151"/>
      <c r="L1050" s="151"/>
      <c r="M1050" s="151"/>
      <c r="N1050" s="151"/>
      <c r="O1050" s="151"/>
      <c r="P1050" s="151"/>
      <c r="Q1050" s="151"/>
      <c r="R1050" s="151"/>
      <c r="S1050" s="152"/>
      <c r="T1050" s="151"/>
      <c r="U1050" s="151"/>
      <c r="V1050" s="153"/>
      <c r="W1050" s="151"/>
      <c r="X1050" s="151"/>
      <c r="Y1050" s="153"/>
      <c r="Z1050" s="151"/>
      <c r="AA1050" s="187" t="str">
        <f t="shared" si="33"/>
        <v>No</v>
      </c>
      <c r="AB1050" s="158"/>
      <c r="AC1050" s="159"/>
      <c r="AD1050" s="160"/>
    </row>
    <row r="1051" spans="1:30">
      <c r="A1051" s="155"/>
      <c r="B1051" s="112" t="str">
        <f t="shared" si="32"/>
        <v/>
      </c>
      <c r="C1051" s="183"/>
      <c r="D1051" s="152"/>
      <c r="E1051" s="152"/>
      <c r="F1051" s="151"/>
      <c r="G1051" s="153"/>
      <c r="H1051" s="151"/>
      <c r="I1051" s="151"/>
      <c r="J1051" s="151"/>
      <c r="K1051" s="151"/>
      <c r="L1051" s="151"/>
      <c r="M1051" s="151"/>
      <c r="N1051" s="151"/>
      <c r="O1051" s="151"/>
      <c r="P1051" s="151"/>
      <c r="Q1051" s="151"/>
      <c r="R1051" s="151"/>
      <c r="S1051" s="152"/>
      <c r="T1051" s="151"/>
      <c r="U1051" s="151"/>
      <c r="V1051" s="153"/>
      <c r="W1051" s="151"/>
      <c r="X1051" s="151"/>
      <c r="Y1051" s="153"/>
      <c r="Z1051" s="151"/>
      <c r="AA1051" s="187" t="str">
        <f t="shared" si="33"/>
        <v>No</v>
      </c>
      <c r="AB1051" s="158"/>
      <c r="AC1051" s="159"/>
      <c r="AD1051" s="160"/>
    </row>
    <row r="1052" spans="1:30">
      <c r="A1052" s="155"/>
      <c r="B1052" s="112" t="str">
        <f t="shared" si="32"/>
        <v/>
      </c>
      <c r="C1052" s="183"/>
      <c r="D1052" s="152"/>
      <c r="E1052" s="152"/>
      <c r="F1052" s="151"/>
      <c r="G1052" s="153"/>
      <c r="H1052" s="151"/>
      <c r="I1052" s="151"/>
      <c r="J1052" s="151"/>
      <c r="K1052" s="151"/>
      <c r="L1052" s="151"/>
      <c r="M1052" s="151"/>
      <c r="N1052" s="151"/>
      <c r="O1052" s="151"/>
      <c r="P1052" s="151"/>
      <c r="Q1052" s="151"/>
      <c r="R1052" s="151"/>
      <c r="S1052" s="152"/>
      <c r="T1052" s="151"/>
      <c r="U1052" s="151"/>
      <c r="V1052" s="153"/>
      <c r="W1052" s="151"/>
      <c r="X1052" s="151"/>
      <c r="Y1052" s="153"/>
      <c r="Z1052" s="151"/>
      <c r="AA1052" s="187" t="str">
        <f t="shared" si="33"/>
        <v>No</v>
      </c>
      <c r="AB1052" s="158"/>
      <c r="AC1052" s="159"/>
      <c r="AD1052" s="160"/>
    </row>
    <row r="1053" spans="1:30">
      <c r="A1053" s="155"/>
      <c r="B1053" s="112" t="str">
        <f t="shared" si="32"/>
        <v/>
      </c>
      <c r="C1053" s="183"/>
      <c r="D1053" s="152"/>
      <c r="E1053" s="152"/>
      <c r="F1053" s="151"/>
      <c r="G1053" s="153"/>
      <c r="H1053" s="151"/>
      <c r="I1053" s="151"/>
      <c r="J1053" s="151"/>
      <c r="K1053" s="151"/>
      <c r="L1053" s="151"/>
      <c r="M1053" s="151"/>
      <c r="N1053" s="151"/>
      <c r="O1053" s="151"/>
      <c r="P1053" s="151"/>
      <c r="Q1053" s="151"/>
      <c r="R1053" s="151"/>
      <c r="S1053" s="152"/>
      <c r="T1053" s="151"/>
      <c r="U1053" s="151"/>
      <c r="V1053" s="153"/>
      <c r="W1053" s="151"/>
      <c r="X1053" s="151"/>
      <c r="Y1053" s="153"/>
      <c r="Z1053" s="151"/>
      <c r="AA1053" s="187" t="str">
        <f t="shared" si="33"/>
        <v>No</v>
      </c>
      <c r="AB1053" s="158"/>
      <c r="AC1053" s="159"/>
      <c r="AD1053" s="160"/>
    </row>
    <row r="1054" spans="1:30">
      <c r="A1054" s="155"/>
      <c r="B1054" s="112" t="str">
        <f t="shared" si="32"/>
        <v/>
      </c>
      <c r="C1054" s="183"/>
      <c r="D1054" s="152"/>
      <c r="E1054" s="152"/>
      <c r="F1054" s="151"/>
      <c r="G1054" s="153"/>
      <c r="H1054" s="151"/>
      <c r="I1054" s="151"/>
      <c r="J1054" s="151"/>
      <c r="K1054" s="151"/>
      <c r="L1054" s="151"/>
      <c r="M1054" s="151"/>
      <c r="N1054" s="151"/>
      <c r="O1054" s="151"/>
      <c r="P1054" s="151"/>
      <c r="Q1054" s="151"/>
      <c r="R1054" s="151"/>
      <c r="S1054" s="152"/>
      <c r="T1054" s="151"/>
      <c r="U1054" s="151"/>
      <c r="V1054" s="153"/>
      <c r="W1054" s="151"/>
      <c r="X1054" s="151"/>
      <c r="Y1054" s="153"/>
      <c r="Z1054" s="151"/>
      <c r="AA1054" s="187" t="str">
        <f t="shared" si="33"/>
        <v>No</v>
      </c>
      <c r="AB1054" s="158"/>
      <c r="AC1054" s="159"/>
      <c r="AD1054" s="160"/>
    </row>
    <row r="1055" spans="1:30">
      <c r="A1055" s="155"/>
      <c r="B1055" s="112" t="str">
        <f t="shared" si="32"/>
        <v/>
      </c>
      <c r="C1055" s="183"/>
      <c r="D1055" s="152"/>
      <c r="E1055" s="152"/>
      <c r="F1055" s="151"/>
      <c r="G1055" s="153"/>
      <c r="H1055" s="151"/>
      <c r="I1055" s="151"/>
      <c r="J1055" s="151"/>
      <c r="K1055" s="151"/>
      <c r="L1055" s="151"/>
      <c r="M1055" s="151"/>
      <c r="N1055" s="151"/>
      <c r="O1055" s="151"/>
      <c r="P1055" s="151"/>
      <c r="Q1055" s="151"/>
      <c r="R1055" s="151"/>
      <c r="S1055" s="152"/>
      <c r="T1055" s="151"/>
      <c r="U1055" s="151"/>
      <c r="V1055" s="153"/>
      <c r="W1055" s="151"/>
      <c r="X1055" s="151"/>
      <c r="Y1055" s="153"/>
      <c r="Z1055" s="151"/>
      <c r="AA1055" s="187" t="str">
        <f t="shared" si="33"/>
        <v>No</v>
      </c>
      <c r="AB1055" s="158"/>
      <c r="AC1055" s="159"/>
      <c r="AD1055" s="160"/>
    </row>
    <row r="1056" spans="1:30">
      <c r="A1056" s="155"/>
      <c r="B1056" s="112" t="str">
        <f t="shared" si="32"/>
        <v/>
      </c>
      <c r="C1056" s="183"/>
      <c r="D1056" s="152"/>
      <c r="E1056" s="152"/>
      <c r="F1056" s="151"/>
      <c r="G1056" s="153"/>
      <c r="H1056" s="151"/>
      <c r="I1056" s="151"/>
      <c r="J1056" s="151"/>
      <c r="K1056" s="151"/>
      <c r="L1056" s="151"/>
      <c r="M1056" s="151"/>
      <c r="N1056" s="151"/>
      <c r="O1056" s="151"/>
      <c r="P1056" s="151"/>
      <c r="Q1056" s="151"/>
      <c r="R1056" s="151"/>
      <c r="S1056" s="152"/>
      <c r="T1056" s="151"/>
      <c r="U1056" s="151"/>
      <c r="V1056" s="153"/>
      <c r="W1056" s="151"/>
      <c r="X1056" s="151"/>
      <c r="Y1056" s="153"/>
      <c r="Z1056" s="151"/>
      <c r="AA1056" s="187" t="str">
        <f t="shared" si="33"/>
        <v>No</v>
      </c>
      <c r="AB1056" s="158"/>
      <c r="AC1056" s="159"/>
      <c r="AD1056" s="160"/>
    </row>
    <row r="1057" spans="1:30">
      <c r="A1057" s="155"/>
      <c r="B1057" s="112" t="str">
        <f t="shared" si="32"/>
        <v/>
      </c>
      <c r="C1057" s="183"/>
      <c r="D1057" s="152"/>
      <c r="E1057" s="152"/>
      <c r="F1057" s="151"/>
      <c r="G1057" s="153"/>
      <c r="H1057" s="151"/>
      <c r="I1057" s="151"/>
      <c r="J1057" s="151"/>
      <c r="K1057" s="151"/>
      <c r="L1057" s="151"/>
      <c r="M1057" s="151"/>
      <c r="N1057" s="151"/>
      <c r="O1057" s="151"/>
      <c r="P1057" s="151"/>
      <c r="Q1057" s="151"/>
      <c r="R1057" s="151"/>
      <c r="S1057" s="152"/>
      <c r="T1057" s="151"/>
      <c r="U1057" s="151"/>
      <c r="V1057" s="153"/>
      <c r="W1057" s="151"/>
      <c r="X1057" s="151"/>
      <c r="Y1057" s="153"/>
      <c r="Z1057" s="151"/>
      <c r="AA1057" s="187" t="str">
        <f t="shared" si="33"/>
        <v>No</v>
      </c>
      <c r="AB1057" s="158"/>
      <c r="AC1057" s="159"/>
      <c r="AD1057" s="160"/>
    </row>
    <row r="1058" spans="1:30">
      <c r="A1058" s="155"/>
      <c r="B1058" s="112" t="str">
        <f t="shared" si="32"/>
        <v/>
      </c>
      <c r="C1058" s="183"/>
      <c r="D1058" s="152"/>
      <c r="E1058" s="152"/>
      <c r="F1058" s="151"/>
      <c r="G1058" s="153"/>
      <c r="H1058" s="151"/>
      <c r="I1058" s="151"/>
      <c r="J1058" s="151"/>
      <c r="K1058" s="151"/>
      <c r="L1058" s="151"/>
      <c r="M1058" s="151"/>
      <c r="N1058" s="151"/>
      <c r="O1058" s="151"/>
      <c r="P1058" s="151"/>
      <c r="Q1058" s="151"/>
      <c r="R1058" s="151"/>
      <c r="S1058" s="152"/>
      <c r="T1058" s="151"/>
      <c r="U1058" s="151"/>
      <c r="V1058" s="153"/>
      <c r="W1058" s="151"/>
      <c r="X1058" s="151"/>
      <c r="Y1058" s="153"/>
      <c r="Z1058" s="151"/>
      <c r="AA1058" s="187" t="str">
        <f t="shared" si="33"/>
        <v>No</v>
      </c>
      <c r="AB1058" s="158"/>
      <c r="AC1058" s="159"/>
      <c r="AD1058" s="160"/>
    </row>
    <row r="1059" spans="1:30">
      <c r="A1059" s="155"/>
      <c r="B1059" s="112" t="str">
        <f t="shared" si="32"/>
        <v/>
      </c>
      <c r="C1059" s="183"/>
      <c r="D1059" s="152"/>
      <c r="E1059" s="152"/>
      <c r="F1059" s="151"/>
      <c r="G1059" s="153"/>
      <c r="H1059" s="151"/>
      <c r="I1059" s="151"/>
      <c r="J1059" s="151"/>
      <c r="K1059" s="151"/>
      <c r="L1059" s="151"/>
      <c r="M1059" s="151"/>
      <c r="N1059" s="151"/>
      <c r="O1059" s="151"/>
      <c r="P1059" s="151"/>
      <c r="Q1059" s="151"/>
      <c r="R1059" s="151"/>
      <c r="S1059" s="152"/>
      <c r="T1059" s="151"/>
      <c r="U1059" s="151"/>
      <c r="V1059" s="153"/>
      <c r="W1059" s="151"/>
      <c r="X1059" s="151"/>
      <c r="Y1059" s="153"/>
      <c r="Z1059" s="151"/>
      <c r="AA1059" s="187" t="str">
        <f t="shared" si="33"/>
        <v>No</v>
      </c>
      <c r="AB1059" s="158"/>
      <c r="AC1059" s="159"/>
      <c r="AD1059" s="160"/>
    </row>
    <row r="1060" spans="1:30">
      <c r="A1060" s="155"/>
      <c r="B1060" s="112" t="str">
        <f t="shared" si="32"/>
        <v/>
      </c>
      <c r="C1060" s="183"/>
      <c r="D1060" s="152"/>
      <c r="E1060" s="152"/>
      <c r="F1060" s="151"/>
      <c r="G1060" s="153"/>
      <c r="H1060" s="151"/>
      <c r="I1060" s="151"/>
      <c r="J1060" s="151"/>
      <c r="K1060" s="151"/>
      <c r="L1060" s="151"/>
      <c r="M1060" s="151"/>
      <c r="N1060" s="151"/>
      <c r="O1060" s="151"/>
      <c r="P1060" s="151"/>
      <c r="Q1060" s="151"/>
      <c r="R1060" s="151"/>
      <c r="S1060" s="152"/>
      <c r="T1060" s="151"/>
      <c r="U1060" s="151"/>
      <c r="V1060" s="153"/>
      <c r="W1060" s="151"/>
      <c r="X1060" s="151"/>
      <c r="Y1060" s="153"/>
      <c r="Z1060" s="151"/>
      <c r="AA1060" s="187" t="str">
        <f t="shared" si="33"/>
        <v>No</v>
      </c>
      <c r="AB1060" s="158"/>
      <c r="AC1060" s="159"/>
      <c r="AD1060" s="160"/>
    </row>
    <row r="1061" spans="1:30">
      <c r="A1061" s="155"/>
      <c r="B1061" s="112" t="str">
        <f t="shared" si="32"/>
        <v/>
      </c>
      <c r="C1061" s="183"/>
      <c r="D1061" s="152"/>
      <c r="E1061" s="152"/>
      <c r="F1061" s="151"/>
      <c r="G1061" s="153"/>
      <c r="H1061" s="151"/>
      <c r="I1061" s="151"/>
      <c r="J1061" s="151"/>
      <c r="K1061" s="151"/>
      <c r="L1061" s="151"/>
      <c r="M1061" s="151"/>
      <c r="N1061" s="151"/>
      <c r="O1061" s="151"/>
      <c r="P1061" s="151"/>
      <c r="Q1061" s="151"/>
      <c r="R1061" s="151"/>
      <c r="S1061" s="152"/>
      <c r="T1061" s="151"/>
      <c r="U1061" s="151"/>
      <c r="V1061" s="153"/>
      <c r="W1061" s="151"/>
      <c r="X1061" s="151"/>
      <c r="Y1061" s="153"/>
      <c r="Z1061" s="151"/>
      <c r="AA1061" s="187" t="str">
        <f t="shared" si="33"/>
        <v>No</v>
      </c>
      <c r="AB1061" s="158"/>
      <c r="AC1061" s="159"/>
      <c r="AD1061" s="160"/>
    </row>
    <row r="1062" spans="1:30">
      <c r="A1062" s="155"/>
      <c r="B1062" s="112" t="str">
        <f t="shared" si="32"/>
        <v/>
      </c>
      <c r="C1062" s="183"/>
      <c r="D1062" s="152"/>
      <c r="E1062" s="152"/>
      <c r="F1062" s="151"/>
      <c r="G1062" s="153"/>
      <c r="H1062" s="151"/>
      <c r="I1062" s="151"/>
      <c r="J1062" s="151"/>
      <c r="K1062" s="151"/>
      <c r="L1062" s="151"/>
      <c r="M1062" s="151"/>
      <c r="N1062" s="151"/>
      <c r="O1062" s="151"/>
      <c r="P1062" s="151"/>
      <c r="Q1062" s="151"/>
      <c r="R1062" s="151"/>
      <c r="S1062" s="152"/>
      <c r="T1062" s="151"/>
      <c r="U1062" s="151"/>
      <c r="V1062" s="153"/>
      <c r="W1062" s="151"/>
      <c r="X1062" s="151"/>
      <c r="Y1062" s="153"/>
      <c r="Z1062" s="151"/>
      <c r="AA1062" s="187" t="str">
        <f t="shared" si="33"/>
        <v>No</v>
      </c>
      <c r="AB1062" s="158"/>
      <c r="AC1062" s="159"/>
      <c r="AD1062" s="160"/>
    </row>
    <row r="1063" spans="1:30">
      <c r="A1063" s="155"/>
      <c r="B1063" s="112" t="str">
        <f t="shared" si="32"/>
        <v/>
      </c>
      <c r="C1063" s="183"/>
      <c r="D1063" s="152"/>
      <c r="E1063" s="152"/>
      <c r="F1063" s="151"/>
      <c r="G1063" s="153"/>
      <c r="H1063" s="151"/>
      <c r="I1063" s="151"/>
      <c r="J1063" s="151"/>
      <c r="K1063" s="151"/>
      <c r="L1063" s="151"/>
      <c r="M1063" s="151"/>
      <c r="N1063" s="151"/>
      <c r="O1063" s="151"/>
      <c r="P1063" s="151"/>
      <c r="Q1063" s="151"/>
      <c r="R1063" s="151"/>
      <c r="S1063" s="152"/>
      <c r="T1063" s="151"/>
      <c r="U1063" s="151"/>
      <c r="V1063" s="153"/>
      <c r="W1063" s="151"/>
      <c r="X1063" s="151"/>
      <c r="Y1063" s="153"/>
      <c r="Z1063" s="151"/>
      <c r="AA1063" s="187" t="str">
        <f t="shared" si="33"/>
        <v>No</v>
      </c>
      <c r="AB1063" s="158"/>
      <c r="AC1063" s="159"/>
      <c r="AD1063" s="160"/>
    </row>
    <row r="1064" spans="1:30">
      <c r="A1064" s="155"/>
      <c r="B1064" s="112" t="str">
        <f t="shared" si="32"/>
        <v/>
      </c>
      <c r="C1064" s="183"/>
      <c r="D1064" s="152"/>
      <c r="E1064" s="152"/>
      <c r="F1064" s="151"/>
      <c r="G1064" s="153"/>
      <c r="H1064" s="151"/>
      <c r="I1064" s="151"/>
      <c r="J1064" s="151"/>
      <c r="K1064" s="151"/>
      <c r="L1064" s="151"/>
      <c r="M1064" s="151"/>
      <c r="N1064" s="151"/>
      <c r="O1064" s="151"/>
      <c r="P1064" s="151"/>
      <c r="Q1064" s="151"/>
      <c r="R1064" s="151"/>
      <c r="S1064" s="152"/>
      <c r="T1064" s="151"/>
      <c r="U1064" s="151"/>
      <c r="V1064" s="153"/>
      <c r="W1064" s="151"/>
      <c r="X1064" s="151"/>
      <c r="Y1064" s="153"/>
      <c r="Z1064" s="151"/>
      <c r="AA1064" s="187" t="str">
        <f t="shared" si="33"/>
        <v>No</v>
      </c>
      <c r="AB1064" s="158"/>
      <c r="AC1064" s="159"/>
      <c r="AD1064" s="160"/>
    </row>
    <row r="1065" spans="1:30">
      <c r="A1065" s="155"/>
      <c r="B1065" s="112" t="str">
        <f t="shared" si="32"/>
        <v/>
      </c>
      <c r="C1065" s="183"/>
      <c r="D1065" s="152"/>
      <c r="E1065" s="152"/>
      <c r="F1065" s="151"/>
      <c r="G1065" s="153"/>
      <c r="H1065" s="151"/>
      <c r="I1065" s="151"/>
      <c r="J1065" s="151"/>
      <c r="K1065" s="151"/>
      <c r="L1065" s="151"/>
      <c r="M1065" s="151"/>
      <c r="N1065" s="151"/>
      <c r="O1065" s="151"/>
      <c r="P1065" s="151"/>
      <c r="Q1065" s="151"/>
      <c r="R1065" s="151"/>
      <c r="S1065" s="152"/>
      <c r="T1065" s="151"/>
      <c r="U1065" s="151"/>
      <c r="V1065" s="153"/>
      <c r="W1065" s="151"/>
      <c r="X1065" s="151"/>
      <c r="Y1065" s="153"/>
      <c r="Z1065" s="151"/>
      <c r="AA1065" s="187" t="str">
        <f t="shared" si="33"/>
        <v>No</v>
      </c>
      <c r="AB1065" s="158"/>
      <c r="AC1065" s="159"/>
      <c r="AD1065" s="160"/>
    </row>
    <row r="1066" spans="1:30">
      <c r="A1066" s="155"/>
      <c r="B1066" s="112" t="str">
        <f t="shared" si="32"/>
        <v/>
      </c>
      <c r="C1066" s="183"/>
      <c r="D1066" s="152"/>
      <c r="E1066" s="152"/>
      <c r="F1066" s="151"/>
      <c r="G1066" s="153"/>
      <c r="H1066" s="151"/>
      <c r="I1066" s="151"/>
      <c r="J1066" s="151"/>
      <c r="K1066" s="151"/>
      <c r="L1066" s="151"/>
      <c r="M1066" s="151"/>
      <c r="N1066" s="151"/>
      <c r="O1066" s="151"/>
      <c r="P1066" s="151"/>
      <c r="Q1066" s="151"/>
      <c r="R1066" s="151"/>
      <c r="S1066" s="152"/>
      <c r="T1066" s="151"/>
      <c r="U1066" s="151"/>
      <c r="V1066" s="153"/>
      <c r="W1066" s="151"/>
      <c r="X1066" s="151"/>
      <c r="Y1066" s="153"/>
      <c r="Z1066" s="151"/>
      <c r="AA1066" s="187" t="str">
        <f t="shared" si="33"/>
        <v>No</v>
      </c>
      <c r="AB1066" s="158"/>
      <c r="AC1066" s="159"/>
      <c r="AD1066" s="160"/>
    </row>
    <row r="1067" spans="1:30">
      <c r="A1067" s="155"/>
      <c r="B1067" s="112" t="str">
        <f t="shared" si="32"/>
        <v/>
      </c>
      <c r="C1067" s="183"/>
      <c r="D1067" s="152"/>
      <c r="E1067" s="152"/>
      <c r="F1067" s="151"/>
      <c r="G1067" s="153"/>
      <c r="H1067" s="151"/>
      <c r="I1067" s="151"/>
      <c r="J1067" s="151"/>
      <c r="K1067" s="151"/>
      <c r="L1067" s="151"/>
      <c r="M1067" s="151"/>
      <c r="N1067" s="151"/>
      <c r="O1067" s="151"/>
      <c r="P1067" s="151"/>
      <c r="Q1067" s="151"/>
      <c r="R1067" s="151"/>
      <c r="S1067" s="152"/>
      <c r="T1067" s="151"/>
      <c r="U1067" s="151"/>
      <c r="V1067" s="153"/>
      <c r="W1067" s="151"/>
      <c r="X1067" s="151"/>
      <c r="Y1067" s="153"/>
      <c r="Z1067" s="151"/>
      <c r="AA1067" s="187" t="str">
        <f t="shared" si="33"/>
        <v>No</v>
      </c>
      <c r="AB1067" s="158"/>
      <c r="AC1067" s="159"/>
      <c r="AD1067" s="160"/>
    </row>
    <row r="1068" spans="1:30">
      <c r="A1068" s="155"/>
      <c r="B1068" s="112" t="str">
        <f t="shared" si="32"/>
        <v/>
      </c>
      <c r="C1068" s="183"/>
      <c r="D1068" s="152"/>
      <c r="E1068" s="152"/>
      <c r="F1068" s="151"/>
      <c r="G1068" s="153"/>
      <c r="H1068" s="151"/>
      <c r="I1068" s="151"/>
      <c r="J1068" s="151"/>
      <c r="K1068" s="151"/>
      <c r="L1068" s="151"/>
      <c r="M1068" s="151"/>
      <c r="N1068" s="151"/>
      <c r="O1068" s="151"/>
      <c r="P1068" s="151"/>
      <c r="Q1068" s="151"/>
      <c r="R1068" s="151"/>
      <c r="S1068" s="152"/>
      <c r="T1068" s="151"/>
      <c r="U1068" s="151"/>
      <c r="V1068" s="153"/>
      <c r="W1068" s="151"/>
      <c r="X1068" s="151"/>
      <c r="Y1068" s="153"/>
      <c r="Z1068" s="151"/>
      <c r="AA1068" s="187" t="str">
        <f t="shared" si="33"/>
        <v>No</v>
      </c>
      <c r="AB1068" s="158"/>
      <c r="AC1068" s="159"/>
      <c r="AD1068" s="160"/>
    </row>
    <row r="1069" spans="1:30">
      <c r="A1069" s="155"/>
      <c r="B1069" s="112" t="str">
        <f t="shared" si="32"/>
        <v/>
      </c>
      <c r="C1069" s="183"/>
      <c r="D1069" s="152"/>
      <c r="E1069" s="152"/>
      <c r="F1069" s="151"/>
      <c r="G1069" s="153"/>
      <c r="H1069" s="151"/>
      <c r="I1069" s="151"/>
      <c r="J1069" s="151"/>
      <c r="K1069" s="151"/>
      <c r="L1069" s="151"/>
      <c r="M1069" s="151"/>
      <c r="N1069" s="151"/>
      <c r="O1069" s="151"/>
      <c r="P1069" s="151"/>
      <c r="Q1069" s="151"/>
      <c r="R1069" s="151"/>
      <c r="S1069" s="152"/>
      <c r="T1069" s="151"/>
      <c r="U1069" s="151"/>
      <c r="V1069" s="153"/>
      <c r="W1069" s="151"/>
      <c r="X1069" s="151"/>
      <c r="Y1069" s="153"/>
      <c r="Z1069" s="151"/>
      <c r="AA1069" s="187" t="str">
        <f t="shared" si="33"/>
        <v>No</v>
      </c>
      <c r="AB1069" s="158"/>
      <c r="AC1069" s="159"/>
      <c r="AD1069" s="160"/>
    </row>
    <row r="1070" spans="1:30">
      <c r="A1070" s="155"/>
      <c r="B1070" s="112" t="str">
        <f t="shared" si="32"/>
        <v/>
      </c>
      <c r="C1070" s="183"/>
      <c r="D1070" s="152"/>
      <c r="E1070" s="152"/>
      <c r="F1070" s="151"/>
      <c r="G1070" s="153"/>
      <c r="H1070" s="151"/>
      <c r="I1070" s="151"/>
      <c r="J1070" s="151"/>
      <c r="K1070" s="151"/>
      <c r="L1070" s="151"/>
      <c r="M1070" s="151"/>
      <c r="N1070" s="151"/>
      <c r="O1070" s="151"/>
      <c r="P1070" s="151"/>
      <c r="Q1070" s="151"/>
      <c r="R1070" s="151"/>
      <c r="S1070" s="152"/>
      <c r="T1070" s="151"/>
      <c r="U1070" s="151"/>
      <c r="V1070" s="153"/>
      <c r="W1070" s="151"/>
      <c r="X1070" s="151"/>
      <c r="Y1070" s="153"/>
      <c r="Z1070" s="151"/>
      <c r="AA1070" s="187" t="str">
        <f t="shared" si="33"/>
        <v>No</v>
      </c>
      <c r="AB1070" s="158"/>
      <c r="AC1070" s="159"/>
      <c r="AD1070" s="160"/>
    </row>
    <row r="1071" spans="1:30">
      <c r="A1071" s="155"/>
      <c r="B1071" s="112" t="str">
        <f t="shared" si="32"/>
        <v/>
      </c>
      <c r="C1071" s="183"/>
      <c r="D1071" s="152"/>
      <c r="E1071" s="152"/>
      <c r="F1071" s="151"/>
      <c r="G1071" s="153"/>
      <c r="H1071" s="151"/>
      <c r="I1071" s="151"/>
      <c r="J1071" s="151"/>
      <c r="K1071" s="151"/>
      <c r="L1071" s="151"/>
      <c r="M1071" s="151"/>
      <c r="N1071" s="151"/>
      <c r="O1071" s="151"/>
      <c r="P1071" s="151"/>
      <c r="Q1071" s="151"/>
      <c r="R1071" s="151"/>
      <c r="S1071" s="152"/>
      <c r="T1071" s="151"/>
      <c r="U1071" s="151"/>
      <c r="V1071" s="153"/>
      <c r="W1071" s="151"/>
      <c r="X1071" s="151"/>
      <c r="Y1071" s="153"/>
      <c r="Z1071" s="151"/>
      <c r="AA1071" s="187" t="str">
        <f t="shared" si="33"/>
        <v>No</v>
      </c>
      <c r="AB1071" s="158"/>
      <c r="AC1071" s="159"/>
      <c r="AD1071" s="160"/>
    </row>
    <row r="1072" spans="1:30">
      <c r="A1072" s="155"/>
      <c r="B1072" s="112" t="str">
        <f t="shared" si="32"/>
        <v/>
      </c>
      <c r="C1072" s="183"/>
      <c r="D1072" s="152"/>
      <c r="E1072" s="152"/>
      <c r="F1072" s="151"/>
      <c r="G1072" s="153"/>
      <c r="H1072" s="151"/>
      <c r="I1072" s="151"/>
      <c r="J1072" s="151"/>
      <c r="K1072" s="151"/>
      <c r="L1072" s="151"/>
      <c r="M1072" s="151"/>
      <c r="N1072" s="151"/>
      <c r="O1072" s="151"/>
      <c r="P1072" s="151"/>
      <c r="Q1072" s="151"/>
      <c r="R1072" s="151"/>
      <c r="S1072" s="152"/>
      <c r="T1072" s="151"/>
      <c r="U1072" s="151"/>
      <c r="V1072" s="153"/>
      <c r="W1072" s="151"/>
      <c r="X1072" s="151"/>
      <c r="Y1072" s="153"/>
      <c r="Z1072" s="151"/>
      <c r="AA1072" s="187" t="str">
        <f t="shared" si="33"/>
        <v>No</v>
      </c>
      <c r="AB1072" s="158"/>
      <c r="AC1072" s="159"/>
      <c r="AD1072" s="160"/>
    </row>
    <row r="1073" spans="1:30">
      <c r="A1073" s="155"/>
      <c r="B1073" s="112" t="str">
        <f t="shared" si="32"/>
        <v/>
      </c>
      <c r="C1073" s="183"/>
      <c r="D1073" s="152"/>
      <c r="E1073" s="152"/>
      <c r="F1073" s="151"/>
      <c r="G1073" s="153"/>
      <c r="H1073" s="151"/>
      <c r="I1073" s="151"/>
      <c r="J1073" s="151"/>
      <c r="K1073" s="151"/>
      <c r="L1073" s="151"/>
      <c r="M1073" s="151"/>
      <c r="N1073" s="151"/>
      <c r="O1073" s="151"/>
      <c r="P1073" s="151"/>
      <c r="Q1073" s="151"/>
      <c r="R1073" s="151"/>
      <c r="S1073" s="152"/>
      <c r="T1073" s="151"/>
      <c r="U1073" s="151"/>
      <c r="V1073" s="153"/>
      <c r="W1073" s="151"/>
      <c r="X1073" s="151"/>
      <c r="Y1073" s="153"/>
      <c r="Z1073" s="151"/>
      <c r="AA1073" s="187" t="str">
        <f t="shared" si="33"/>
        <v>No</v>
      </c>
      <c r="AB1073" s="158"/>
      <c r="AC1073" s="159"/>
      <c r="AD1073" s="160"/>
    </row>
    <row r="1074" spans="1:30">
      <c r="A1074" s="155"/>
      <c r="B1074" s="112" t="str">
        <f t="shared" si="32"/>
        <v/>
      </c>
      <c r="C1074" s="183"/>
      <c r="D1074" s="152"/>
      <c r="E1074" s="152"/>
      <c r="F1074" s="151"/>
      <c r="G1074" s="153"/>
      <c r="H1074" s="151"/>
      <c r="I1074" s="151"/>
      <c r="J1074" s="151"/>
      <c r="K1074" s="151"/>
      <c r="L1074" s="151"/>
      <c r="M1074" s="151"/>
      <c r="N1074" s="151"/>
      <c r="O1074" s="151"/>
      <c r="P1074" s="151"/>
      <c r="Q1074" s="151"/>
      <c r="R1074" s="151"/>
      <c r="S1074" s="152"/>
      <c r="T1074" s="151"/>
      <c r="U1074" s="151"/>
      <c r="V1074" s="153"/>
      <c r="W1074" s="151"/>
      <c r="X1074" s="151"/>
      <c r="Y1074" s="153"/>
      <c r="Z1074" s="151"/>
      <c r="AA1074" s="187" t="str">
        <f t="shared" si="33"/>
        <v>No</v>
      </c>
      <c r="AB1074" s="158"/>
      <c r="AC1074" s="159"/>
      <c r="AD1074" s="160"/>
    </row>
    <row r="1075" spans="1:30">
      <c r="A1075" s="155"/>
      <c r="B1075" s="112" t="str">
        <f t="shared" si="32"/>
        <v/>
      </c>
      <c r="C1075" s="183"/>
      <c r="D1075" s="152"/>
      <c r="E1075" s="152"/>
      <c r="F1075" s="151"/>
      <c r="G1075" s="153"/>
      <c r="H1075" s="151"/>
      <c r="I1075" s="151"/>
      <c r="J1075" s="151"/>
      <c r="K1075" s="151"/>
      <c r="L1075" s="151"/>
      <c r="M1075" s="151"/>
      <c r="N1075" s="151"/>
      <c r="O1075" s="151"/>
      <c r="P1075" s="151"/>
      <c r="Q1075" s="151"/>
      <c r="R1075" s="151"/>
      <c r="S1075" s="152"/>
      <c r="T1075" s="151"/>
      <c r="U1075" s="151"/>
      <c r="V1075" s="153"/>
      <c r="W1075" s="151"/>
      <c r="X1075" s="151"/>
      <c r="Y1075" s="153"/>
      <c r="Z1075" s="151"/>
      <c r="AA1075" s="187" t="str">
        <f t="shared" si="33"/>
        <v>No</v>
      </c>
      <c r="AB1075" s="158"/>
      <c r="AC1075" s="159"/>
      <c r="AD1075" s="160"/>
    </row>
    <row r="1076" spans="1:30">
      <c r="A1076" s="155"/>
      <c r="B1076" s="112" t="str">
        <f t="shared" si="32"/>
        <v/>
      </c>
      <c r="C1076" s="183"/>
      <c r="D1076" s="152"/>
      <c r="E1076" s="152"/>
      <c r="F1076" s="151"/>
      <c r="G1076" s="153"/>
      <c r="H1076" s="151"/>
      <c r="I1076" s="151"/>
      <c r="J1076" s="151"/>
      <c r="K1076" s="151"/>
      <c r="L1076" s="151"/>
      <c r="M1076" s="151"/>
      <c r="N1076" s="151"/>
      <c r="O1076" s="151"/>
      <c r="P1076" s="151"/>
      <c r="Q1076" s="151"/>
      <c r="R1076" s="151"/>
      <c r="S1076" s="152"/>
      <c r="T1076" s="151"/>
      <c r="U1076" s="151"/>
      <c r="V1076" s="153"/>
      <c r="W1076" s="151"/>
      <c r="X1076" s="151"/>
      <c r="Y1076" s="153"/>
      <c r="Z1076" s="151"/>
      <c r="AA1076" s="187" t="str">
        <f t="shared" si="33"/>
        <v>No</v>
      </c>
      <c r="AB1076" s="158"/>
      <c r="AC1076" s="159"/>
      <c r="AD1076" s="160"/>
    </row>
    <row r="1077" spans="1:30">
      <c r="A1077" s="155"/>
      <c r="B1077" s="112" t="str">
        <f t="shared" si="32"/>
        <v/>
      </c>
      <c r="C1077" s="183"/>
      <c r="D1077" s="152"/>
      <c r="E1077" s="152"/>
      <c r="F1077" s="151"/>
      <c r="G1077" s="153"/>
      <c r="H1077" s="151"/>
      <c r="I1077" s="151"/>
      <c r="J1077" s="151"/>
      <c r="K1077" s="151"/>
      <c r="L1077" s="151"/>
      <c r="M1077" s="151"/>
      <c r="N1077" s="151"/>
      <c r="O1077" s="151"/>
      <c r="P1077" s="151"/>
      <c r="Q1077" s="151"/>
      <c r="R1077" s="151"/>
      <c r="S1077" s="152"/>
      <c r="T1077" s="151"/>
      <c r="U1077" s="151"/>
      <c r="V1077" s="153"/>
      <c r="W1077" s="151"/>
      <c r="X1077" s="151"/>
      <c r="Y1077" s="153"/>
      <c r="Z1077" s="151"/>
      <c r="AA1077" s="187" t="str">
        <f t="shared" si="33"/>
        <v>No</v>
      </c>
      <c r="AB1077" s="158"/>
      <c r="AC1077" s="159"/>
      <c r="AD1077" s="160"/>
    </row>
    <row r="1078" spans="1:30">
      <c r="A1078" s="155"/>
      <c r="B1078" s="112" t="str">
        <f t="shared" si="32"/>
        <v/>
      </c>
      <c r="C1078" s="183"/>
      <c r="D1078" s="152"/>
      <c r="E1078" s="152"/>
      <c r="F1078" s="151"/>
      <c r="G1078" s="153"/>
      <c r="H1078" s="151"/>
      <c r="I1078" s="151"/>
      <c r="J1078" s="151"/>
      <c r="K1078" s="151"/>
      <c r="L1078" s="151"/>
      <c r="M1078" s="151"/>
      <c r="N1078" s="151"/>
      <c r="O1078" s="151"/>
      <c r="P1078" s="151"/>
      <c r="Q1078" s="151"/>
      <c r="R1078" s="151"/>
      <c r="S1078" s="152"/>
      <c r="T1078" s="151"/>
      <c r="U1078" s="151"/>
      <c r="V1078" s="153"/>
      <c r="W1078" s="151"/>
      <c r="X1078" s="151"/>
      <c r="Y1078" s="153"/>
      <c r="Z1078" s="151"/>
      <c r="AA1078" s="187" t="str">
        <f t="shared" si="33"/>
        <v>No</v>
      </c>
      <c r="AB1078" s="158"/>
      <c r="AC1078" s="159"/>
      <c r="AD1078" s="160"/>
    </row>
    <row r="1079" spans="1:30">
      <c r="A1079" s="155"/>
      <c r="B1079" s="112" t="str">
        <f t="shared" si="32"/>
        <v/>
      </c>
      <c r="C1079" s="183"/>
      <c r="D1079" s="152"/>
      <c r="E1079" s="152"/>
      <c r="F1079" s="151"/>
      <c r="G1079" s="153"/>
      <c r="H1079" s="151"/>
      <c r="I1079" s="151"/>
      <c r="J1079" s="151"/>
      <c r="K1079" s="151"/>
      <c r="L1079" s="151"/>
      <c r="M1079" s="151"/>
      <c r="N1079" s="151"/>
      <c r="O1079" s="151"/>
      <c r="P1079" s="151"/>
      <c r="Q1079" s="151"/>
      <c r="R1079" s="151"/>
      <c r="S1079" s="152"/>
      <c r="T1079" s="151"/>
      <c r="U1079" s="151"/>
      <c r="V1079" s="153"/>
      <c r="W1079" s="151"/>
      <c r="X1079" s="151"/>
      <c r="Y1079" s="153"/>
      <c r="Z1079" s="151"/>
      <c r="AA1079" s="187" t="str">
        <f t="shared" si="33"/>
        <v>No</v>
      </c>
      <c r="AB1079" s="158"/>
      <c r="AC1079" s="159"/>
      <c r="AD1079" s="160"/>
    </row>
    <row r="1080" spans="1:30">
      <c r="A1080" s="155"/>
      <c r="B1080" s="112" t="str">
        <f t="shared" si="32"/>
        <v/>
      </c>
      <c r="C1080" s="183"/>
      <c r="D1080" s="152"/>
      <c r="E1080" s="152"/>
      <c r="F1080" s="151"/>
      <c r="G1080" s="153"/>
      <c r="H1080" s="151"/>
      <c r="I1080" s="151"/>
      <c r="J1080" s="151"/>
      <c r="K1080" s="151"/>
      <c r="L1080" s="151"/>
      <c r="M1080" s="151"/>
      <c r="N1080" s="151"/>
      <c r="O1080" s="151"/>
      <c r="P1080" s="151"/>
      <c r="Q1080" s="151"/>
      <c r="R1080" s="151"/>
      <c r="S1080" s="152"/>
      <c r="T1080" s="151"/>
      <c r="U1080" s="151"/>
      <c r="V1080" s="153"/>
      <c r="W1080" s="151"/>
      <c r="X1080" s="151"/>
      <c r="Y1080" s="153"/>
      <c r="Z1080" s="151"/>
      <c r="AA1080" s="187" t="str">
        <f t="shared" si="33"/>
        <v>No</v>
      </c>
      <c r="AB1080" s="158"/>
      <c r="AC1080" s="159"/>
      <c r="AD1080" s="160"/>
    </row>
    <row r="1081" spans="1:30">
      <c r="A1081" s="155"/>
      <c r="B1081" s="112" t="str">
        <f t="shared" si="32"/>
        <v/>
      </c>
      <c r="C1081" s="183"/>
      <c r="D1081" s="152"/>
      <c r="E1081" s="152"/>
      <c r="F1081" s="151"/>
      <c r="G1081" s="153"/>
      <c r="H1081" s="151"/>
      <c r="I1081" s="151"/>
      <c r="J1081" s="151"/>
      <c r="K1081" s="151"/>
      <c r="L1081" s="151"/>
      <c r="M1081" s="151"/>
      <c r="N1081" s="151"/>
      <c r="O1081" s="151"/>
      <c r="P1081" s="151"/>
      <c r="Q1081" s="151"/>
      <c r="R1081" s="151"/>
      <c r="S1081" s="152"/>
      <c r="T1081" s="151"/>
      <c r="U1081" s="151"/>
      <c r="V1081" s="153"/>
      <c r="W1081" s="151"/>
      <c r="X1081" s="151"/>
      <c r="Y1081" s="153"/>
      <c r="Z1081" s="151"/>
      <c r="AA1081" s="187" t="str">
        <f t="shared" si="33"/>
        <v>No</v>
      </c>
      <c r="AB1081" s="158"/>
      <c r="AC1081" s="159"/>
      <c r="AD1081" s="160"/>
    </row>
    <row r="1082" spans="1:30">
      <c r="A1082" s="155"/>
      <c r="B1082" s="112" t="str">
        <f t="shared" si="32"/>
        <v/>
      </c>
      <c r="C1082" s="183"/>
      <c r="D1082" s="152"/>
      <c r="E1082" s="152"/>
      <c r="F1082" s="151"/>
      <c r="G1082" s="153"/>
      <c r="H1082" s="151"/>
      <c r="I1082" s="151"/>
      <c r="J1082" s="151"/>
      <c r="K1082" s="151"/>
      <c r="L1082" s="151"/>
      <c r="M1082" s="151"/>
      <c r="N1082" s="151"/>
      <c r="O1082" s="151"/>
      <c r="P1082" s="151"/>
      <c r="Q1082" s="151"/>
      <c r="R1082" s="151"/>
      <c r="S1082" s="152"/>
      <c r="T1082" s="151"/>
      <c r="U1082" s="151"/>
      <c r="V1082" s="153"/>
      <c r="W1082" s="151"/>
      <c r="X1082" s="151"/>
      <c r="Y1082" s="153"/>
      <c r="Z1082" s="151"/>
      <c r="AA1082" s="187" t="str">
        <f t="shared" si="33"/>
        <v>No</v>
      </c>
      <c r="AB1082" s="158"/>
      <c r="AC1082" s="159"/>
      <c r="AD1082" s="160"/>
    </row>
    <row r="1083" spans="1:30">
      <c r="A1083" s="155"/>
      <c r="B1083" s="112" t="str">
        <f t="shared" si="32"/>
        <v/>
      </c>
      <c r="C1083" s="183"/>
      <c r="D1083" s="152"/>
      <c r="E1083" s="152"/>
      <c r="F1083" s="151"/>
      <c r="G1083" s="153"/>
      <c r="H1083" s="151"/>
      <c r="I1083" s="151"/>
      <c r="J1083" s="151"/>
      <c r="K1083" s="151"/>
      <c r="L1083" s="151"/>
      <c r="M1083" s="151"/>
      <c r="N1083" s="151"/>
      <c r="O1083" s="151"/>
      <c r="P1083" s="151"/>
      <c r="Q1083" s="151"/>
      <c r="R1083" s="151"/>
      <c r="S1083" s="152"/>
      <c r="T1083" s="151"/>
      <c r="U1083" s="151"/>
      <c r="V1083" s="153"/>
      <c r="W1083" s="151"/>
      <c r="X1083" s="151"/>
      <c r="Y1083" s="153"/>
      <c r="Z1083" s="151"/>
      <c r="AA1083" s="187" t="str">
        <f t="shared" si="33"/>
        <v>No</v>
      </c>
      <c r="AB1083" s="158"/>
      <c r="AC1083" s="159"/>
      <c r="AD1083" s="160"/>
    </row>
    <row r="1084" spans="1:30">
      <c r="A1084" s="155"/>
      <c r="B1084" s="112" t="str">
        <f t="shared" si="32"/>
        <v/>
      </c>
      <c r="C1084" s="183"/>
      <c r="D1084" s="152"/>
      <c r="E1084" s="152"/>
      <c r="F1084" s="151"/>
      <c r="G1084" s="153"/>
      <c r="H1084" s="151"/>
      <c r="I1084" s="151"/>
      <c r="J1084" s="151"/>
      <c r="K1084" s="151"/>
      <c r="L1084" s="151"/>
      <c r="M1084" s="151"/>
      <c r="N1084" s="151"/>
      <c r="O1084" s="151"/>
      <c r="P1084" s="151"/>
      <c r="Q1084" s="151"/>
      <c r="R1084" s="151"/>
      <c r="S1084" s="152"/>
      <c r="T1084" s="151"/>
      <c r="U1084" s="151"/>
      <c r="V1084" s="153"/>
      <c r="W1084" s="151"/>
      <c r="X1084" s="151"/>
      <c r="Y1084" s="153"/>
      <c r="Z1084" s="151"/>
      <c r="AA1084" s="187" t="str">
        <f t="shared" si="33"/>
        <v>No</v>
      </c>
      <c r="AB1084" s="158"/>
      <c r="AC1084" s="159"/>
      <c r="AD1084" s="160"/>
    </row>
    <row r="1085" spans="1:30">
      <c r="A1085" s="155"/>
      <c r="B1085" s="112" t="str">
        <f t="shared" si="32"/>
        <v/>
      </c>
      <c r="C1085" s="183"/>
      <c r="D1085" s="152"/>
      <c r="E1085" s="152"/>
      <c r="F1085" s="151"/>
      <c r="G1085" s="153"/>
      <c r="H1085" s="151"/>
      <c r="I1085" s="151"/>
      <c r="J1085" s="151"/>
      <c r="K1085" s="151"/>
      <c r="L1085" s="151"/>
      <c r="M1085" s="151"/>
      <c r="N1085" s="151"/>
      <c r="O1085" s="151"/>
      <c r="P1085" s="151"/>
      <c r="Q1085" s="151"/>
      <c r="R1085" s="151"/>
      <c r="S1085" s="152"/>
      <c r="T1085" s="151"/>
      <c r="U1085" s="151"/>
      <c r="V1085" s="153"/>
      <c r="W1085" s="151"/>
      <c r="X1085" s="151"/>
      <c r="Y1085" s="153"/>
      <c r="Z1085" s="151"/>
      <c r="AA1085" s="187" t="str">
        <f t="shared" si="33"/>
        <v>No</v>
      </c>
      <c r="AB1085" s="158"/>
      <c r="AC1085" s="159"/>
      <c r="AD1085" s="160"/>
    </row>
    <row r="1086" spans="1:30">
      <c r="A1086" s="155"/>
      <c r="B1086" s="112" t="str">
        <f t="shared" si="32"/>
        <v/>
      </c>
      <c r="C1086" s="183"/>
      <c r="D1086" s="152"/>
      <c r="E1086" s="152"/>
      <c r="F1086" s="151"/>
      <c r="G1086" s="153"/>
      <c r="H1086" s="151"/>
      <c r="I1086" s="151"/>
      <c r="J1086" s="151"/>
      <c r="K1086" s="151"/>
      <c r="L1086" s="151"/>
      <c r="M1086" s="151"/>
      <c r="N1086" s="151"/>
      <c r="O1086" s="151"/>
      <c r="P1086" s="151"/>
      <c r="Q1086" s="151"/>
      <c r="R1086" s="151"/>
      <c r="S1086" s="152"/>
      <c r="T1086" s="151"/>
      <c r="U1086" s="151"/>
      <c r="V1086" s="153"/>
      <c r="W1086" s="151"/>
      <c r="X1086" s="151"/>
      <c r="Y1086" s="153"/>
      <c r="Z1086" s="151"/>
      <c r="AA1086" s="187" t="str">
        <f t="shared" si="33"/>
        <v>No</v>
      </c>
      <c r="AB1086" s="158"/>
      <c r="AC1086" s="159"/>
      <c r="AD1086" s="160"/>
    </row>
    <row r="1087" spans="1:30">
      <c r="A1087" s="155"/>
      <c r="B1087" s="112" t="str">
        <f t="shared" si="32"/>
        <v/>
      </c>
      <c r="C1087" s="183"/>
      <c r="D1087" s="152"/>
      <c r="E1087" s="152"/>
      <c r="F1087" s="151"/>
      <c r="G1087" s="153"/>
      <c r="H1087" s="151"/>
      <c r="I1087" s="151"/>
      <c r="J1087" s="151"/>
      <c r="K1087" s="151"/>
      <c r="L1087" s="151"/>
      <c r="M1087" s="151"/>
      <c r="N1087" s="151"/>
      <c r="O1087" s="151"/>
      <c r="P1087" s="151"/>
      <c r="Q1087" s="151"/>
      <c r="R1087" s="151"/>
      <c r="S1087" s="152"/>
      <c r="T1087" s="151"/>
      <c r="U1087" s="151"/>
      <c r="V1087" s="153"/>
      <c r="W1087" s="151"/>
      <c r="X1087" s="151"/>
      <c r="Y1087" s="153"/>
      <c r="Z1087" s="151"/>
      <c r="AA1087" s="187" t="str">
        <f t="shared" si="33"/>
        <v>No</v>
      </c>
      <c r="AB1087" s="158"/>
      <c r="AC1087" s="159"/>
      <c r="AD1087" s="160"/>
    </row>
    <row r="1088" spans="1:30">
      <c r="A1088" s="155"/>
      <c r="B1088" s="112" t="str">
        <f t="shared" si="32"/>
        <v/>
      </c>
      <c r="C1088" s="183"/>
      <c r="D1088" s="152"/>
      <c r="E1088" s="152"/>
      <c r="F1088" s="151"/>
      <c r="G1088" s="153"/>
      <c r="H1088" s="151"/>
      <c r="I1088" s="151"/>
      <c r="J1088" s="151"/>
      <c r="K1088" s="151"/>
      <c r="L1088" s="151"/>
      <c r="M1088" s="151"/>
      <c r="N1088" s="151"/>
      <c r="O1088" s="151"/>
      <c r="P1088" s="151"/>
      <c r="Q1088" s="151"/>
      <c r="R1088" s="151"/>
      <c r="S1088" s="152"/>
      <c r="T1088" s="151"/>
      <c r="U1088" s="151"/>
      <c r="V1088" s="153"/>
      <c r="W1088" s="151"/>
      <c r="X1088" s="151"/>
      <c r="Y1088" s="153"/>
      <c r="Z1088" s="151"/>
      <c r="AA1088" s="187" t="str">
        <f t="shared" si="33"/>
        <v>No</v>
      </c>
      <c r="AB1088" s="158"/>
      <c r="AC1088" s="159"/>
      <c r="AD1088" s="160"/>
    </row>
    <row r="1089" spans="1:30">
      <c r="A1089" s="155"/>
      <c r="B1089" s="112" t="str">
        <f t="shared" si="32"/>
        <v/>
      </c>
      <c r="C1089" s="183"/>
      <c r="D1089" s="152"/>
      <c r="E1089" s="152"/>
      <c r="F1089" s="151"/>
      <c r="G1089" s="153"/>
      <c r="H1089" s="151"/>
      <c r="I1089" s="151"/>
      <c r="J1089" s="151"/>
      <c r="K1089" s="151"/>
      <c r="L1089" s="151"/>
      <c r="M1089" s="151"/>
      <c r="N1089" s="151"/>
      <c r="O1089" s="151"/>
      <c r="P1089" s="151"/>
      <c r="Q1089" s="151"/>
      <c r="R1089" s="151"/>
      <c r="S1089" s="152"/>
      <c r="T1089" s="151"/>
      <c r="U1089" s="151"/>
      <c r="V1089" s="153"/>
      <c r="W1089" s="151"/>
      <c r="X1089" s="151"/>
      <c r="Y1089" s="153"/>
      <c r="Z1089" s="151"/>
      <c r="AA1089" s="187" t="str">
        <f t="shared" si="33"/>
        <v>No</v>
      </c>
      <c r="AB1089" s="158"/>
      <c r="AC1089" s="159"/>
      <c r="AD1089" s="160"/>
    </row>
    <row r="1090" spans="1:30">
      <c r="A1090" s="155"/>
      <c r="B1090" s="112" t="str">
        <f t="shared" si="32"/>
        <v/>
      </c>
      <c r="C1090" s="183"/>
      <c r="D1090" s="152"/>
      <c r="E1090" s="152"/>
      <c r="F1090" s="151"/>
      <c r="G1090" s="153"/>
      <c r="H1090" s="151"/>
      <c r="I1090" s="151"/>
      <c r="J1090" s="151"/>
      <c r="K1090" s="151"/>
      <c r="L1090" s="151"/>
      <c r="M1090" s="151"/>
      <c r="N1090" s="151"/>
      <c r="O1090" s="151"/>
      <c r="P1090" s="151"/>
      <c r="Q1090" s="151"/>
      <c r="R1090" s="151"/>
      <c r="S1090" s="152"/>
      <c r="T1090" s="151"/>
      <c r="U1090" s="151"/>
      <c r="V1090" s="153"/>
      <c r="W1090" s="151"/>
      <c r="X1090" s="151"/>
      <c r="Y1090" s="153"/>
      <c r="Z1090" s="151"/>
      <c r="AA1090" s="187" t="str">
        <f t="shared" si="33"/>
        <v>No</v>
      </c>
      <c r="AB1090" s="158"/>
      <c r="AC1090" s="159"/>
      <c r="AD1090" s="160"/>
    </row>
    <row r="1091" spans="1:30">
      <c r="A1091" s="155"/>
      <c r="B1091" s="112" t="str">
        <f t="shared" si="32"/>
        <v/>
      </c>
      <c r="C1091" s="183"/>
      <c r="D1091" s="152"/>
      <c r="E1091" s="152"/>
      <c r="F1091" s="151"/>
      <c r="G1091" s="153"/>
      <c r="H1091" s="151"/>
      <c r="I1091" s="151"/>
      <c r="J1091" s="151"/>
      <c r="K1091" s="151"/>
      <c r="L1091" s="151"/>
      <c r="M1091" s="151"/>
      <c r="N1091" s="151"/>
      <c r="O1091" s="151"/>
      <c r="P1091" s="151"/>
      <c r="Q1091" s="151"/>
      <c r="R1091" s="151"/>
      <c r="S1091" s="152"/>
      <c r="T1091" s="151"/>
      <c r="U1091" s="151"/>
      <c r="V1091" s="153"/>
      <c r="W1091" s="151"/>
      <c r="X1091" s="151"/>
      <c r="Y1091" s="153"/>
      <c r="Z1091" s="151"/>
      <c r="AA1091" s="187" t="str">
        <f t="shared" si="33"/>
        <v>No</v>
      </c>
      <c r="AB1091" s="158"/>
      <c r="AC1091" s="159"/>
      <c r="AD1091" s="160"/>
    </row>
    <row r="1092" spans="1:30">
      <c r="A1092" s="155"/>
      <c r="B1092" s="112" t="str">
        <f t="shared" si="32"/>
        <v/>
      </c>
      <c r="C1092" s="183"/>
      <c r="D1092" s="152"/>
      <c r="E1092" s="152"/>
      <c r="F1092" s="151"/>
      <c r="G1092" s="153"/>
      <c r="H1092" s="151"/>
      <c r="I1092" s="151"/>
      <c r="J1092" s="151"/>
      <c r="K1092" s="151"/>
      <c r="L1092" s="151"/>
      <c r="M1092" s="151"/>
      <c r="N1092" s="151"/>
      <c r="O1092" s="151"/>
      <c r="P1092" s="151"/>
      <c r="Q1092" s="151"/>
      <c r="R1092" s="151"/>
      <c r="S1092" s="152"/>
      <c r="T1092" s="151"/>
      <c r="U1092" s="151"/>
      <c r="V1092" s="153"/>
      <c r="W1092" s="151"/>
      <c r="X1092" s="151"/>
      <c r="Y1092" s="153"/>
      <c r="Z1092" s="151"/>
      <c r="AA1092" s="187" t="str">
        <f t="shared" si="33"/>
        <v>No</v>
      </c>
      <c r="AB1092" s="158"/>
      <c r="AC1092" s="159"/>
      <c r="AD1092" s="160"/>
    </row>
    <row r="1093" spans="1:30">
      <c r="A1093" s="155"/>
      <c r="B1093" s="112" t="str">
        <f t="shared" ref="B1093:B1156" si="34">IF(AND(A1093&lt;&gt;"",D1093&lt;&gt;"",J1093&lt;&gt;"",N1093&lt;&gt;""),TEXT(D1093,"YY")&amp;"-"&amp;TEXT(D1093,"MMM")&amp;"-"&amp;UPPER(LEFT(TRIM(N1093),2))&amp;"-"&amp;UPPER(LEFT(TRIM(J1093),3))&amp;"-"&amp;A1093,"")</f>
        <v/>
      </c>
      <c r="C1093" s="183"/>
      <c r="D1093" s="152"/>
      <c r="E1093" s="152"/>
      <c r="F1093" s="151"/>
      <c r="G1093" s="153"/>
      <c r="H1093" s="151"/>
      <c r="I1093" s="151"/>
      <c r="J1093" s="151"/>
      <c r="K1093" s="151"/>
      <c r="L1093" s="151"/>
      <c r="M1093" s="151"/>
      <c r="N1093" s="151"/>
      <c r="O1093" s="151"/>
      <c r="P1093" s="151"/>
      <c r="Q1093" s="151"/>
      <c r="R1093" s="151"/>
      <c r="S1093" s="152"/>
      <c r="T1093" s="151"/>
      <c r="U1093" s="151"/>
      <c r="V1093" s="153"/>
      <c r="W1093" s="151"/>
      <c r="X1093" s="151"/>
      <c r="Y1093" s="153"/>
      <c r="Z1093" s="151"/>
      <c r="AA1093" s="187" t="str">
        <f t="shared" ref="AA1093:AA1156" si="35">IF(E1093="","No","Yes")</f>
        <v>No</v>
      </c>
      <c r="AB1093" s="158"/>
      <c r="AC1093" s="159"/>
      <c r="AD1093" s="160"/>
    </row>
    <row r="1094" spans="1:30">
      <c r="A1094" s="155"/>
      <c r="B1094" s="112" t="str">
        <f t="shared" si="34"/>
        <v/>
      </c>
      <c r="C1094" s="183"/>
      <c r="D1094" s="152"/>
      <c r="E1094" s="152"/>
      <c r="F1094" s="151"/>
      <c r="G1094" s="153"/>
      <c r="H1094" s="151"/>
      <c r="I1094" s="151"/>
      <c r="J1094" s="151"/>
      <c r="K1094" s="151"/>
      <c r="L1094" s="151"/>
      <c r="M1094" s="151"/>
      <c r="N1094" s="151"/>
      <c r="O1094" s="151"/>
      <c r="P1094" s="151"/>
      <c r="Q1094" s="151"/>
      <c r="R1094" s="151"/>
      <c r="S1094" s="152"/>
      <c r="T1094" s="151"/>
      <c r="U1094" s="151"/>
      <c r="V1094" s="153"/>
      <c r="W1094" s="151"/>
      <c r="X1094" s="151"/>
      <c r="Y1094" s="153"/>
      <c r="Z1094" s="151"/>
      <c r="AA1094" s="187" t="str">
        <f t="shared" si="35"/>
        <v>No</v>
      </c>
      <c r="AB1094" s="158"/>
      <c r="AC1094" s="159"/>
      <c r="AD1094" s="160"/>
    </row>
    <row r="1095" spans="1:30">
      <c r="A1095" s="155"/>
      <c r="B1095" s="112" t="str">
        <f t="shared" si="34"/>
        <v/>
      </c>
      <c r="C1095" s="183"/>
      <c r="D1095" s="152"/>
      <c r="E1095" s="152"/>
      <c r="F1095" s="151"/>
      <c r="G1095" s="153"/>
      <c r="H1095" s="151"/>
      <c r="I1095" s="151"/>
      <c r="J1095" s="151"/>
      <c r="K1095" s="151"/>
      <c r="L1095" s="151"/>
      <c r="M1095" s="151"/>
      <c r="N1095" s="151"/>
      <c r="O1095" s="151"/>
      <c r="P1095" s="151"/>
      <c r="Q1095" s="151"/>
      <c r="R1095" s="151"/>
      <c r="S1095" s="152"/>
      <c r="T1095" s="151"/>
      <c r="U1095" s="151"/>
      <c r="V1095" s="153"/>
      <c r="W1095" s="151"/>
      <c r="X1095" s="151"/>
      <c r="Y1095" s="153"/>
      <c r="Z1095" s="151"/>
      <c r="AA1095" s="187" t="str">
        <f t="shared" si="35"/>
        <v>No</v>
      </c>
      <c r="AB1095" s="158"/>
      <c r="AC1095" s="159"/>
      <c r="AD1095" s="160"/>
    </row>
    <row r="1096" spans="1:30">
      <c r="A1096" s="155"/>
      <c r="B1096" s="112" t="str">
        <f t="shared" si="34"/>
        <v/>
      </c>
      <c r="C1096" s="183"/>
      <c r="D1096" s="152"/>
      <c r="E1096" s="152"/>
      <c r="F1096" s="151"/>
      <c r="G1096" s="153"/>
      <c r="H1096" s="151"/>
      <c r="I1096" s="151"/>
      <c r="J1096" s="151"/>
      <c r="K1096" s="151"/>
      <c r="L1096" s="151"/>
      <c r="M1096" s="151"/>
      <c r="N1096" s="151"/>
      <c r="O1096" s="151"/>
      <c r="P1096" s="151"/>
      <c r="Q1096" s="151"/>
      <c r="R1096" s="151"/>
      <c r="S1096" s="152"/>
      <c r="T1096" s="151"/>
      <c r="U1096" s="151"/>
      <c r="V1096" s="153"/>
      <c r="W1096" s="151"/>
      <c r="X1096" s="151"/>
      <c r="Y1096" s="153"/>
      <c r="Z1096" s="151"/>
      <c r="AA1096" s="187" t="str">
        <f t="shared" si="35"/>
        <v>No</v>
      </c>
      <c r="AB1096" s="158"/>
      <c r="AC1096" s="159"/>
      <c r="AD1096" s="160"/>
    </row>
    <row r="1097" spans="1:30">
      <c r="A1097" s="155"/>
      <c r="B1097" s="112" t="str">
        <f t="shared" si="34"/>
        <v/>
      </c>
      <c r="C1097" s="183"/>
      <c r="D1097" s="152"/>
      <c r="E1097" s="152"/>
      <c r="F1097" s="151"/>
      <c r="G1097" s="153"/>
      <c r="H1097" s="151"/>
      <c r="I1097" s="151"/>
      <c r="J1097" s="151"/>
      <c r="K1097" s="151"/>
      <c r="L1097" s="151"/>
      <c r="M1097" s="151"/>
      <c r="N1097" s="151"/>
      <c r="O1097" s="151"/>
      <c r="P1097" s="151"/>
      <c r="Q1097" s="151"/>
      <c r="R1097" s="151"/>
      <c r="S1097" s="152"/>
      <c r="T1097" s="151"/>
      <c r="U1097" s="151"/>
      <c r="V1097" s="153"/>
      <c r="W1097" s="151"/>
      <c r="X1097" s="151"/>
      <c r="Y1097" s="153"/>
      <c r="Z1097" s="151"/>
      <c r="AA1097" s="187" t="str">
        <f t="shared" si="35"/>
        <v>No</v>
      </c>
      <c r="AB1097" s="158"/>
      <c r="AC1097" s="159"/>
      <c r="AD1097" s="160"/>
    </row>
    <row r="1098" spans="1:30">
      <c r="A1098" s="155"/>
      <c r="B1098" s="112" t="str">
        <f t="shared" si="34"/>
        <v/>
      </c>
      <c r="C1098" s="183"/>
      <c r="D1098" s="152"/>
      <c r="E1098" s="152"/>
      <c r="F1098" s="151"/>
      <c r="G1098" s="153"/>
      <c r="H1098" s="151"/>
      <c r="I1098" s="151"/>
      <c r="J1098" s="151"/>
      <c r="K1098" s="151"/>
      <c r="L1098" s="151"/>
      <c r="M1098" s="151"/>
      <c r="N1098" s="151"/>
      <c r="O1098" s="151"/>
      <c r="P1098" s="151"/>
      <c r="Q1098" s="151"/>
      <c r="R1098" s="151"/>
      <c r="S1098" s="152"/>
      <c r="T1098" s="151"/>
      <c r="U1098" s="151"/>
      <c r="V1098" s="153"/>
      <c r="W1098" s="151"/>
      <c r="X1098" s="151"/>
      <c r="Y1098" s="153"/>
      <c r="Z1098" s="151"/>
      <c r="AA1098" s="187" t="str">
        <f t="shared" si="35"/>
        <v>No</v>
      </c>
      <c r="AB1098" s="158"/>
      <c r="AC1098" s="159"/>
      <c r="AD1098" s="160"/>
    </row>
    <row r="1099" spans="1:30">
      <c r="A1099" s="155"/>
      <c r="B1099" s="112" t="str">
        <f t="shared" si="34"/>
        <v/>
      </c>
      <c r="C1099" s="183"/>
      <c r="D1099" s="152"/>
      <c r="E1099" s="152"/>
      <c r="F1099" s="151"/>
      <c r="G1099" s="153"/>
      <c r="H1099" s="151"/>
      <c r="I1099" s="151"/>
      <c r="J1099" s="151"/>
      <c r="K1099" s="151"/>
      <c r="L1099" s="151"/>
      <c r="M1099" s="151"/>
      <c r="N1099" s="151"/>
      <c r="O1099" s="151"/>
      <c r="P1099" s="151"/>
      <c r="Q1099" s="151"/>
      <c r="R1099" s="151"/>
      <c r="S1099" s="152"/>
      <c r="T1099" s="151"/>
      <c r="U1099" s="151"/>
      <c r="V1099" s="153"/>
      <c r="W1099" s="151"/>
      <c r="X1099" s="151"/>
      <c r="Y1099" s="153"/>
      <c r="Z1099" s="151"/>
      <c r="AA1099" s="187" t="str">
        <f t="shared" si="35"/>
        <v>No</v>
      </c>
      <c r="AB1099" s="158"/>
      <c r="AC1099" s="159"/>
      <c r="AD1099" s="160"/>
    </row>
    <row r="1100" spans="1:30">
      <c r="A1100" s="155"/>
      <c r="B1100" s="112" t="str">
        <f t="shared" si="34"/>
        <v/>
      </c>
      <c r="C1100" s="183"/>
      <c r="D1100" s="152"/>
      <c r="E1100" s="152"/>
      <c r="F1100" s="151"/>
      <c r="G1100" s="153"/>
      <c r="H1100" s="151"/>
      <c r="I1100" s="151"/>
      <c r="J1100" s="151"/>
      <c r="K1100" s="151"/>
      <c r="L1100" s="151"/>
      <c r="M1100" s="151"/>
      <c r="N1100" s="151"/>
      <c r="O1100" s="151"/>
      <c r="P1100" s="151"/>
      <c r="Q1100" s="151"/>
      <c r="R1100" s="151"/>
      <c r="S1100" s="152"/>
      <c r="T1100" s="151"/>
      <c r="U1100" s="151"/>
      <c r="V1100" s="153"/>
      <c r="W1100" s="151"/>
      <c r="X1100" s="151"/>
      <c r="Y1100" s="153"/>
      <c r="Z1100" s="151"/>
      <c r="AA1100" s="187" t="str">
        <f t="shared" si="35"/>
        <v>No</v>
      </c>
      <c r="AB1100" s="158"/>
      <c r="AC1100" s="159"/>
      <c r="AD1100" s="160"/>
    </row>
    <row r="1101" spans="1:30">
      <c r="A1101" s="155"/>
      <c r="B1101" s="112" t="str">
        <f t="shared" si="34"/>
        <v/>
      </c>
      <c r="C1101" s="183"/>
      <c r="D1101" s="152"/>
      <c r="E1101" s="152"/>
      <c r="F1101" s="151"/>
      <c r="G1101" s="153"/>
      <c r="H1101" s="151"/>
      <c r="I1101" s="151"/>
      <c r="J1101" s="151"/>
      <c r="K1101" s="151"/>
      <c r="L1101" s="151"/>
      <c r="M1101" s="151"/>
      <c r="N1101" s="151"/>
      <c r="O1101" s="151"/>
      <c r="P1101" s="151"/>
      <c r="Q1101" s="151"/>
      <c r="R1101" s="151"/>
      <c r="S1101" s="152"/>
      <c r="T1101" s="151"/>
      <c r="U1101" s="151"/>
      <c r="V1101" s="153"/>
      <c r="W1101" s="151"/>
      <c r="X1101" s="151"/>
      <c r="Y1101" s="153"/>
      <c r="Z1101" s="151"/>
      <c r="AA1101" s="187" t="str">
        <f t="shared" si="35"/>
        <v>No</v>
      </c>
      <c r="AB1101" s="158"/>
      <c r="AC1101" s="159"/>
      <c r="AD1101" s="160"/>
    </row>
    <row r="1102" spans="1:30">
      <c r="A1102" s="155"/>
      <c r="B1102" s="112" t="str">
        <f t="shared" si="34"/>
        <v/>
      </c>
      <c r="C1102" s="183"/>
      <c r="D1102" s="152"/>
      <c r="E1102" s="152"/>
      <c r="F1102" s="151"/>
      <c r="G1102" s="153"/>
      <c r="H1102" s="151"/>
      <c r="I1102" s="151"/>
      <c r="J1102" s="151"/>
      <c r="K1102" s="151"/>
      <c r="L1102" s="151"/>
      <c r="M1102" s="151"/>
      <c r="N1102" s="151"/>
      <c r="O1102" s="151"/>
      <c r="P1102" s="151"/>
      <c r="Q1102" s="151"/>
      <c r="R1102" s="151"/>
      <c r="S1102" s="152"/>
      <c r="T1102" s="151"/>
      <c r="U1102" s="151"/>
      <c r="V1102" s="153"/>
      <c r="W1102" s="151"/>
      <c r="X1102" s="151"/>
      <c r="Y1102" s="153"/>
      <c r="Z1102" s="151"/>
      <c r="AA1102" s="187" t="str">
        <f t="shared" si="35"/>
        <v>No</v>
      </c>
      <c r="AB1102" s="158"/>
      <c r="AC1102" s="159"/>
      <c r="AD1102" s="160"/>
    </row>
    <row r="1103" spans="1:30">
      <c r="A1103" s="155"/>
      <c r="B1103" s="112" t="str">
        <f t="shared" si="34"/>
        <v/>
      </c>
      <c r="C1103" s="183"/>
      <c r="D1103" s="152"/>
      <c r="E1103" s="152"/>
      <c r="F1103" s="151"/>
      <c r="G1103" s="153"/>
      <c r="H1103" s="151"/>
      <c r="I1103" s="151"/>
      <c r="J1103" s="151"/>
      <c r="K1103" s="151"/>
      <c r="L1103" s="151"/>
      <c r="M1103" s="151"/>
      <c r="N1103" s="151"/>
      <c r="O1103" s="151"/>
      <c r="P1103" s="151"/>
      <c r="Q1103" s="151"/>
      <c r="R1103" s="151"/>
      <c r="S1103" s="152"/>
      <c r="T1103" s="151"/>
      <c r="U1103" s="151"/>
      <c r="V1103" s="153"/>
      <c r="W1103" s="151"/>
      <c r="X1103" s="151"/>
      <c r="Y1103" s="153"/>
      <c r="Z1103" s="151"/>
      <c r="AA1103" s="187" t="str">
        <f t="shared" si="35"/>
        <v>No</v>
      </c>
      <c r="AB1103" s="158"/>
      <c r="AC1103" s="159"/>
      <c r="AD1103" s="160"/>
    </row>
    <row r="1104" spans="1:30">
      <c r="A1104" s="155"/>
      <c r="B1104" s="112" t="str">
        <f t="shared" si="34"/>
        <v/>
      </c>
      <c r="C1104" s="183"/>
      <c r="D1104" s="152"/>
      <c r="E1104" s="152"/>
      <c r="F1104" s="151"/>
      <c r="G1104" s="153"/>
      <c r="H1104" s="151"/>
      <c r="I1104" s="151"/>
      <c r="J1104" s="151"/>
      <c r="K1104" s="151"/>
      <c r="L1104" s="151"/>
      <c r="M1104" s="151"/>
      <c r="N1104" s="151"/>
      <c r="O1104" s="151"/>
      <c r="P1104" s="151"/>
      <c r="Q1104" s="151"/>
      <c r="R1104" s="151"/>
      <c r="S1104" s="152"/>
      <c r="T1104" s="151"/>
      <c r="U1104" s="151"/>
      <c r="V1104" s="153"/>
      <c r="W1104" s="151"/>
      <c r="X1104" s="151"/>
      <c r="Y1104" s="153"/>
      <c r="Z1104" s="151"/>
      <c r="AA1104" s="187" t="str">
        <f t="shared" si="35"/>
        <v>No</v>
      </c>
      <c r="AB1104" s="158"/>
      <c r="AC1104" s="159"/>
      <c r="AD1104" s="160"/>
    </row>
    <row r="1105" spans="1:30">
      <c r="A1105" s="155"/>
      <c r="B1105" s="112" t="str">
        <f t="shared" si="34"/>
        <v/>
      </c>
      <c r="C1105" s="183"/>
      <c r="D1105" s="152"/>
      <c r="E1105" s="152"/>
      <c r="F1105" s="151"/>
      <c r="G1105" s="153"/>
      <c r="H1105" s="151"/>
      <c r="I1105" s="151"/>
      <c r="J1105" s="151"/>
      <c r="K1105" s="151"/>
      <c r="L1105" s="151"/>
      <c r="M1105" s="151"/>
      <c r="N1105" s="151"/>
      <c r="O1105" s="151"/>
      <c r="P1105" s="151"/>
      <c r="Q1105" s="151"/>
      <c r="R1105" s="151"/>
      <c r="S1105" s="152"/>
      <c r="T1105" s="151"/>
      <c r="U1105" s="151"/>
      <c r="V1105" s="153"/>
      <c r="W1105" s="151"/>
      <c r="X1105" s="151"/>
      <c r="Y1105" s="153"/>
      <c r="Z1105" s="151"/>
      <c r="AA1105" s="187" t="str">
        <f t="shared" si="35"/>
        <v>No</v>
      </c>
      <c r="AB1105" s="158"/>
      <c r="AC1105" s="159"/>
      <c r="AD1105" s="160"/>
    </row>
    <row r="1106" spans="1:30">
      <c r="A1106" s="155"/>
      <c r="B1106" s="112" t="str">
        <f t="shared" si="34"/>
        <v/>
      </c>
      <c r="C1106" s="183"/>
      <c r="D1106" s="152"/>
      <c r="E1106" s="152"/>
      <c r="F1106" s="151"/>
      <c r="G1106" s="153"/>
      <c r="H1106" s="151"/>
      <c r="I1106" s="151"/>
      <c r="J1106" s="151"/>
      <c r="K1106" s="151"/>
      <c r="L1106" s="151"/>
      <c r="M1106" s="151"/>
      <c r="N1106" s="151"/>
      <c r="O1106" s="151"/>
      <c r="P1106" s="151"/>
      <c r="Q1106" s="151"/>
      <c r="R1106" s="151"/>
      <c r="S1106" s="152"/>
      <c r="T1106" s="151"/>
      <c r="U1106" s="151"/>
      <c r="V1106" s="153"/>
      <c r="W1106" s="151"/>
      <c r="X1106" s="151"/>
      <c r="Y1106" s="153"/>
      <c r="Z1106" s="151"/>
      <c r="AA1106" s="187" t="str">
        <f t="shared" si="35"/>
        <v>No</v>
      </c>
      <c r="AB1106" s="158"/>
      <c r="AC1106" s="159"/>
      <c r="AD1106" s="160"/>
    </row>
    <row r="1107" spans="1:30">
      <c r="A1107" s="155"/>
      <c r="B1107" s="112" t="str">
        <f t="shared" si="34"/>
        <v/>
      </c>
      <c r="C1107" s="183"/>
      <c r="D1107" s="152"/>
      <c r="E1107" s="152"/>
      <c r="F1107" s="151"/>
      <c r="G1107" s="153"/>
      <c r="H1107" s="151"/>
      <c r="I1107" s="151"/>
      <c r="J1107" s="151"/>
      <c r="K1107" s="151"/>
      <c r="L1107" s="151"/>
      <c r="M1107" s="151"/>
      <c r="N1107" s="151"/>
      <c r="O1107" s="151"/>
      <c r="P1107" s="151"/>
      <c r="Q1107" s="151"/>
      <c r="R1107" s="151"/>
      <c r="S1107" s="152"/>
      <c r="T1107" s="151"/>
      <c r="U1107" s="151"/>
      <c r="V1107" s="153"/>
      <c r="W1107" s="151"/>
      <c r="X1107" s="151"/>
      <c r="Y1107" s="153"/>
      <c r="Z1107" s="151"/>
      <c r="AA1107" s="187" t="str">
        <f t="shared" si="35"/>
        <v>No</v>
      </c>
      <c r="AB1107" s="158"/>
      <c r="AC1107" s="159"/>
      <c r="AD1107" s="160"/>
    </row>
    <row r="1108" spans="1:30">
      <c r="A1108" s="155"/>
      <c r="B1108" s="112" t="str">
        <f t="shared" si="34"/>
        <v/>
      </c>
      <c r="C1108" s="183"/>
      <c r="D1108" s="152"/>
      <c r="E1108" s="152"/>
      <c r="F1108" s="151"/>
      <c r="G1108" s="153"/>
      <c r="H1108" s="151"/>
      <c r="I1108" s="151"/>
      <c r="J1108" s="151"/>
      <c r="K1108" s="151"/>
      <c r="L1108" s="151"/>
      <c r="M1108" s="151"/>
      <c r="N1108" s="151"/>
      <c r="O1108" s="151"/>
      <c r="P1108" s="151"/>
      <c r="Q1108" s="151"/>
      <c r="R1108" s="151"/>
      <c r="S1108" s="152"/>
      <c r="T1108" s="151"/>
      <c r="U1108" s="151"/>
      <c r="V1108" s="153"/>
      <c r="W1108" s="151"/>
      <c r="X1108" s="151"/>
      <c r="Y1108" s="153"/>
      <c r="Z1108" s="151"/>
      <c r="AA1108" s="187" t="str">
        <f t="shared" si="35"/>
        <v>No</v>
      </c>
      <c r="AB1108" s="158"/>
      <c r="AC1108" s="159"/>
      <c r="AD1108" s="160"/>
    </row>
    <row r="1109" spans="1:30">
      <c r="A1109" s="155"/>
      <c r="B1109" s="112" t="str">
        <f t="shared" si="34"/>
        <v/>
      </c>
      <c r="C1109" s="183"/>
      <c r="D1109" s="152"/>
      <c r="E1109" s="152"/>
      <c r="F1109" s="151"/>
      <c r="G1109" s="153"/>
      <c r="H1109" s="151"/>
      <c r="I1109" s="151"/>
      <c r="J1109" s="151"/>
      <c r="K1109" s="151"/>
      <c r="L1109" s="151"/>
      <c r="M1109" s="151"/>
      <c r="N1109" s="151"/>
      <c r="O1109" s="151"/>
      <c r="P1109" s="151"/>
      <c r="Q1109" s="151"/>
      <c r="R1109" s="151"/>
      <c r="S1109" s="152"/>
      <c r="T1109" s="151"/>
      <c r="U1109" s="151"/>
      <c r="V1109" s="153"/>
      <c r="W1109" s="151"/>
      <c r="X1109" s="151"/>
      <c r="Y1109" s="153"/>
      <c r="Z1109" s="151"/>
      <c r="AA1109" s="187" t="str">
        <f t="shared" si="35"/>
        <v>No</v>
      </c>
      <c r="AB1109" s="158"/>
      <c r="AC1109" s="159"/>
      <c r="AD1109" s="160"/>
    </row>
    <row r="1110" spans="1:30">
      <c r="A1110" s="155"/>
      <c r="B1110" s="112" t="str">
        <f t="shared" si="34"/>
        <v/>
      </c>
      <c r="C1110" s="183"/>
      <c r="D1110" s="152"/>
      <c r="E1110" s="152"/>
      <c r="F1110" s="151"/>
      <c r="G1110" s="153"/>
      <c r="H1110" s="151"/>
      <c r="I1110" s="151"/>
      <c r="J1110" s="151"/>
      <c r="K1110" s="151"/>
      <c r="L1110" s="151"/>
      <c r="M1110" s="151"/>
      <c r="N1110" s="151"/>
      <c r="O1110" s="151"/>
      <c r="P1110" s="151"/>
      <c r="Q1110" s="151"/>
      <c r="R1110" s="151"/>
      <c r="S1110" s="152"/>
      <c r="T1110" s="151"/>
      <c r="U1110" s="151"/>
      <c r="V1110" s="153"/>
      <c r="W1110" s="151"/>
      <c r="X1110" s="151"/>
      <c r="Y1110" s="153"/>
      <c r="Z1110" s="151"/>
      <c r="AA1110" s="187" t="str">
        <f t="shared" si="35"/>
        <v>No</v>
      </c>
      <c r="AB1110" s="158"/>
      <c r="AC1110" s="159"/>
      <c r="AD1110" s="160"/>
    </row>
    <row r="1111" spans="1:30">
      <c r="A1111" s="155"/>
      <c r="B1111" s="112" t="str">
        <f t="shared" si="34"/>
        <v/>
      </c>
      <c r="C1111" s="183"/>
      <c r="D1111" s="152"/>
      <c r="E1111" s="152"/>
      <c r="F1111" s="151"/>
      <c r="G1111" s="153"/>
      <c r="H1111" s="151"/>
      <c r="I1111" s="151"/>
      <c r="J1111" s="151"/>
      <c r="K1111" s="151"/>
      <c r="L1111" s="151"/>
      <c r="M1111" s="151"/>
      <c r="N1111" s="151"/>
      <c r="O1111" s="151"/>
      <c r="P1111" s="151"/>
      <c r="Q1111" s="151"/>
      <c r="R1111" s="151"/>
      <c r="S1111" s="152"/>
      <c r="T1111" s="151"/>
      <c r="U1111" s="151"/>
      <c r="V1111" s="153"/>
      <c r="W1111" s="151"/>
      <c r="X1111" s="151"/>
      <c r="Y1111" s="153"/>
      <c r="Z1111" s="151"/>
      <c r="AA1111" s="187" t="str">
        <f t="shared" si="35"/>
        <v>No</v>
      </c>
      <c r="AB1111" s="158"/>
      <c r="AC1111" s="159"/>
      <c r="AD1111" s="160"/>
    </row>
    <row r="1112" spans="1:30">
      <c r="A1112" s="155"/>
      <c r="B1112" s="112" t="str">
        <f t="shared" si="34"/>
        <v/>
      </c>
      <c r="C1112" s="183"/>
      <c r="D1112" s="152"/>
      <c r="E1112" s="152"/>
      <c r="F1112" s="151"/>
      <c r="G1112" s="153"/>
      <c r="H1112" s="151"/>
      <c r="I1112" s="151"/>
      <c r="J1112" s="151"/>
      <c r="K1112" s="151"/>
      <c r="L1112" s="151"/>
      <c r="M1112" s="151"/>
      <c r="N1112" s="151"/>
      <c r="O1112" s="151"/>
      <c r="P1112" s="151"/>
      <c r="Q1112" s="151"/>
      <c r="R1112" s="151"/>
      <c r="S1112" s="152"/>
      <c r="T1112" s="151"/>
      <c r="U1112" s="151"/>
      <c r="V1112" s="153"/>
      <c r="W1112" s="151"/>
      <c r="X1112" s="151"/>
      <c r="Y1112" s="153"/>
      <c r="Z1112" s="151"/>
      <c r="AA1112" s="187" t="str">
        <f t="shared" si="35"/>
        <v>No</v>
      </c>
      <c r="AB1112" s="158"/>
      <c r="AC1112" s="159"/>
      <c r="AD1112" s="160"/>
    </row>
    <row r="1113" spans="1:30">
      <c r="A1113" s="155"/>
      <c r="B1113" s="112" t="str">
        <f t="shared" si="34"/>
        <v/>
      </c>
      <c r="C1113" s="183"/>
      <c r="D1113" s="152"/>
      <c r="E1113" s="152"/>
      <c r="F1113" s="151"/>
      <c r="G1113" s="153"/>
      <c r="H1113" s="151"/>
      <c r="I1113" s="151"/>
      <c r="J1113" s="151"/>
      <c r="K1113" s="151"/>
      <c r="L1113" s="151"/>
      <c r="M1113" s="151"/>
      <c r="N1113" s="151"/>
      <c r="O1113" s="151"/>
      <c r="P1113" s="151"/>
      <c r="Q1113" s="151"/>
      <c r="R1113" s="151"/>
      <c r="S1113" s="152"/>
      <c r="T1113" s="151"/>
      <c r="U1113" s="151"/>
      <c r="V1113" s="153"/>
      <c r="W1113" s="151"/>
      <c r="X1113" s="151"/>
      <c r="Y1113" s="153"/>
      <c r="Z1113" s="151"/>
      <c r="AA1113" s="187" t="str">
        <f t="shared" si="35"/>
        <v>No</v>
      </c>
      <c r="AB1113" s="158"/>
      <c r="AC1113" s="159"/>
      <c r="AD1113" s="160"/>
    </row>
    <row r="1114" spans="1:30">
      <c r="A1114" s="155"/>
      <c r="B1114" s="112" t="str">
        <f t="shared" si="34"/>
        <v/>
      </c>
      <c r="C1114" s="183"/>
      <c r="D1114" s="152"/>
      <c r="E1114" s="152"/>
      <c r="F1114" s="151"/>
      <c r="G1114" s="153"/>
      <c r="H1114" s="151"/>
      <c r="I1114" s="151"/>
      <c r="J1114" s="151"/>
      <c r="K1114" s="151"/>
      <c r="L1114" s="151"/>
      <c r="M1114" s="151"/>
      <c r="N1114" s="151"/>
      <c r="O1114" s="151"/>
      <c r="P1114" s="151"/>
      <c r="Q1114" s="151"/>
      <c r="R1114" s="151"/>
      <c r="S1114" s="152"/>
      <c r="T1114" s="151"/>
      <c r="U1114" s="151"/>
      <c r="V1114" s="153"/>
      <c r="W1114" s="151"/>
      <c r="X1114" s="151"/>
      <c r="Y1114" s="153"/>
      <c r="Z1114" s="151"/>
      <c r="AA1114" s="187" t="str">
        <f t="shared" si="35"/>
        <v>No</v>
      </c>
      <c r="AB1114" s="158"/>
      <c r="AC1114" s="159"/>
      <c r="AD1114" s="160"/>
    </row>
    <row r="1115" spans="1:30">
      <c r="A1115" s="155"/>
      <c r="B1115" s="112" t="str">
        <f t="shared" si="34"/>
        <v/>
      </c>
      <c r="C1115" s="183"/>
      <c r="D1115" s="152"/>
      <c r="E1115" s="152"/>
      <c r="F1115" s="151"/>
      <c r="G1115" s="153"/>
      <c r="H1115" s="151"/>
      <c r="I1115" s="151"/>
      <c r="J1115" s="151"/>
      <c r="K1115" s="151"/>
      <c r="L1115" s="151"/>
      <c r="M1115" s="151"/>
      <c r="N1115" s="151"/>
      <c r="O1115" s="151"/>
      <c r="P1115" s="151"/>
      <c r="Q1115" s="151"/>
      <c r="R1115" s="151"/>
      <c r="S1115" s="152"/>
      <c r="T1115" s="151"/>
      <c r="U1115" s="151"/>
      <c r="V1115" s="153"/>
      <c r="W1115" s="151"/>
      <c r="X1115" s="151"/>
      <c r="Y1115" s="153"/>
      <c r="Z1115" s="151"/>
      <c r="AA1115" s="187" t="str">
        <f t="shared" si="35"/>
        <v>No</v>
      </c>
      <c r="AB1115" s="158"/>
      <c r="AC1115" s="159"/>
      <c r="AD1115" s="160"/>
    </row>
    <row r="1116" spans="1:30">
      <c r="A1116" s="155"/>
      <c r="B1116" s="112" t="str">
        <f t="shared" si="34"/>
        <v/>
      </c>
      <c r="C1116" s="183"/>
      <c r="D1116" s="152"/>
      <c r="E1116" s="152"/>
      <c r="F1116" s="151"/>
      <c r="G1116" s="153"/>
      <c r="H1116" s="151"/>
      <c r="I1116" s="151"/>
      <c r="J1116" s="151"/>
      <c r="K1116" s="151"/>
      <c r="L1116" s="151"/>
      <c r="M1116" s="151"/>
      <c r="N1116" s="151"/>
      <c r="O1116" s="151"/>
      <c r="P1116" s="151"/>
      <c r="Q1116" s="151"/>
      <c r="R1116" s="151"/>
      <c r="S1116" s="152"/>
      <c r="T1116" s="151"/>
      <c r="U1116" s="151"/>
      <c r="V1116" s="153"/>
      <c r="W1116" s="151"/>
      <c r="X1116" s="151"/>
      <c r="Y1116" s="153"/>
      <c r="Z1116" s="151"/>
      <c r="AA1116" s="187" t="str">
        <f t="shared" si="35"/>
        <v>No</v>
      </c>
      <c r="AB1116" s="158"/>
      <c r="AC1116" s="159"/>
      <c r="AD1116" s="160"/>
    </row>
    <row r="1117" spans="1:30">
      <c r="A1117" s="155"/>
      <c r="B1117" s="112" t="str">
        <f t="shared" si="34"/>
        <v/>
      </c>
      <c r="C1117" s="183"/>
      <c r="D1117" s="152"/>
      <c r="E1117" s="152"/>
      <c r="F1117" s="151"/>
      <c r="G1117" s="153"/>
      <c r="H1117" s="151"/>
      <c r="I1117" s="151"/>
      <c r="J1117" s="151"/>
      <c r="K1117" s="151"/>
      <c r="L1117" s="151"/>
      <c r="M1117" s="151"/>
      <c r="N1117" s="151"/>
      <c r="O1117" s="151"/>
      <c r="P1117" s="151"/>
      <c r="Q1117" s="151"/>
      <c r="R1117" s="151"/>
      <c r="S1117" s="152"/>
      <c r="T1117" s="151"/>
      <c r="U1117" s="151"/>
      <c r="V1117" s="153"/>
      <c r="W1117" s="151"/>
      <c r="X1117" s="151"/>
      <c r="Y1117" s="153"/>
      <c r="Z1117" s="151"/>
      <c r="AA1117" s="187" t="str">
        <f t="shared" si="35"/>
        <v>No</v>
      </c>
      <c r="AB1117" s="158"/>
      <c r="AC1117" s="159"/>
      <c r="AD1117" s="160"/>
    </row>
    <row r="1118" spans="1:30">
      <c r="A1118" s="155"/>
      <c r="B1118" s="112" t="str">
        <f t="shared" si="34"/>
        <v/>
      </c>
      <c r="C1118" s="183"/>
      <c r="D1118" s="152"/>
      <c r="E1118" s="152"/>
      <c r="F1118" s="151"/>
      <c r="G1118" s="153"/>
      <c r="H1118" s="151"/>
      <c r="I1118" s="151"/>
      <c r="J1118" s="151"/>
      <c r="K1118" s="151"/>
      <c r="L1118" s="151"/>
      <c r="M1118" s="151"/>
      <c r="N1118" s="151"/>
      <c r="O1118" s="151"/>
      <c r="P1118" s="151"/>
      <c r="Q1118" s="151"/>
      <c r="R1118" s="151"/>
      <c r="S1118" s="152"/>
      <c r="T1118" s="151"/>
      <c r="U1118" s="151"/>
      <c r="V1118" s="153"/>
      <c r="W1118" s="151"/>
      <c r="X1118" s="151"/>
      <c r="Y1118" s="153"/>
      <c r="Z1118" s="151"/>
      <c r="AA1118" s="187" t="str">
        <f t="shared" si="35"/>
        <v>No</v>
      </c>
      <c r="AB1118" s="158"/>
      <c r="AC1118" s="159"/>
      <c r="AD1118" s="160"/>
    </row>
    <row r="1119" spans="1:30">
      <c r="A1119" s="155"/>
      <c r="B1119" s="112" t="str">
        <f t="shared" si="34"/>
        <v/>
      </c>
      <c r="C1119" s="183"/>
      <c r="D1119" s="152"/>
      <c r="E1119" s="152"/>
      <c r="F1119" s="151"/>
      <c r="G1119" s="153"/>
      <c r="H1119" s="151"/>
      <c r="I1119" s="151"/>
      <c r="J1119" s="151"/>
      <c r="K1119" s="151"/>
      <c r="L1119" s="151"/>
      <c r="M1119" s="151"/>
      <c r="N1119" s="151"/>
      <c r="O1119" s="151"/>
      <c r="P1119" s="151"/>
      <c r="Q1119" s="151"/>
      <c r="R1119" s="151"/>
      <c r="S1119" s="152"/>
      <c r="T1119" s="151"/>
      <c r="U1119" s="151"/>
      <c r="V1119" s="153"/>
      <c r="W1119" s="151"/>
      <c r="X1119" s="151"/>
      <c r="Y1119" s="153"/>
      <c r="Z1119" s="151"/>
      <c r="AA1119" s="187" t="str">
        <f t="shared" si="35"/>
        <v>No</v>
      </c>
      <c r="AB1119" s="158"/>
      <c r="AC1119" s="159"/>
      <c r="AD1119" s="160"/>
    </row>
    <row r="1120" spans="1:30">
      <c r="A1120" s="155"/>
      <c r="B1120" s="112" t="str">
        <f t="shared" si="34"/>
        <v/>
      </c>
      <c r="C1120" s="183"/>
      <c r="D1120" s="152"/>
      <c r="E1120" s="152"/>
      <c r="F1120" s="151"/>
      <c r="G1120" s="153"/>
      <c r="H1120" s="151"/>
      <c r="I1120" s="151"/>
      <c r="J1120" s="151"/>
      <c r="K1120" s="151"/>
      <c r="L1120" s="151"/>
      <c r="M1120" s="151"/>
      <c r="N1120" s="151"/>
      <c r="O1120" s="151"/>
      <c r="P1120" s="151"/>
      <c r="Q1120" s="151"/>
      <c r="R1120" s="151"/>
      <c r="S1120" s="152"/>
      <c r="T1120" s="151"/>
      <c r="U1120" s="151"/>
      <c r="V1120" s="153"/>
      <c r="W1120" s="151"/>
      <c r="X1120" s="151"/>
      <c r="Y1120" s="153"/>
      <c r="Z1120" s="151"/>
      <c r="AA1120" s="187" t="str">
        <f t="shared" si="35"/>
        <v>No</v>
      </c>
      <c r="AB1120" s="158"/>
      <c r="AC1120" s="159"/>
      <c r="AD1120" s="160"/>
    </row>
    <row r="1121" spans="1:30">
      <c r="A1121" s="155"/>
      <c r="B1121" s="112" t="str">
        <f t="shared" si="34"/>
        <v/>
      </c>
      <c r="C1121" s="183"/>
      <c r="D1121" s="152"/>
      <c r="E1121" s="152"/>
      <c r="F1121" s="151"/>
      <c r="G1121" s="153"/>
      <c r="H1121" s="151"/>
      <c r="I1121" s="151"/>
      <c r="J1121" s="151"/>
      <c r="K1121" s="151"/>
      <c r="L1121" s="151"/>
      <c r="M1121" s="151"/>
      <c r="N1121" s="151"/>
      <c r="O1121" s="151"/>
      <c r="P1121" s="151"/>
      <c r="Q1121" s="151"/>
      <c r="R1121" s="151"/>
      <c r="S1121" s="152"/>
      <c r="T1121" s="151"/>
      <c r="U1121" s="151"/>
      <c r="V1121" s="153"/>
      <c r="W1121" s="151"/>
      <c r="X1121" s="151"/>
      <c r="Y1121" s="153"/>
      <c r="Z1121" s="151"/>
      <c r="AA1121" s="187" t="str">
        <f t="shared" si="35"/>
        <v>No</v>
      </c>
      <c r="AB1121" s="158"/>
      <c r="AC1121" s="159"/>
      <c r="AD1121" s="160"/>
    </row>
    <row r="1122" spans="1:30">
      <c r="A1122" s="155"/>
      <c r="B1122" s="112" t="str">
        <f t="shared" si="34"/>
        <v/>
      </c>
      <c r="C1122" s="183"/>
      <c r="D1122" s="152"/>
      <c r="E1122" s="152"/>
      <c r="F1122" s="151"/>
      <c r="G1122" s="153"/>
      <c r="H1122" s="151"/>
      <c r="I1122" s="151"/>
      <c r="J1122" s="151"/>
      <c r="K1122" s="151"/>
      <c r="L1122" s="151"/>
      <c r="M1122" s="151"/>
      <c r="N1122" s="151"/>
      <c r="O1122" s="151"/>
      <c r="P1122" s="151"/>
      <c r="Q1122" s="151"/>
      <c r="R1122" s="151"/>
      <c r="S1122" s="152"/>
      <c r="T1122" s="151"/>
      <c r="U1122" s="151"/>
      <c r="V1122" s="153"/>
      <c r="W1122" s="151"/>
      <c r="X1122" s="151"/>
      <c r="Y1122" s="153"/>
      <c r="Z1122" s="151"/>
      <c r="AA1122" s="187" t="str">
        <f t="shared" si="35"/>
        <v>No</v>
      </c>
      <c r="AB1122" s="158"/>
      <c r="AC1122" s="159"/>
      <c r="AD1122" s="160"/>
    </row>
    <row r="1123" spans="1:30">
      <c r="A1123" s="155"/>
      <c r="B1123" s="112" t="str">
        <f t="shared" si="34"/>
        <v/>
      </c>
      <c r="C1123" s="183"/>
      <c r="D1123" s="152"/>
      <c r="E1123" s="152"/>
      <c r="F1123" s="151"/>
      <c r="G1123" s="153"/>
      <c r="H1123" s="151"/>
      <c r="I1123" s="151"/>
      <c r="J1123" s="151"/>
      <c r="K1123" s="151"/>
      <c r="L1123" s="151"/>
      <c r="M1123" s="151"/>
      <c r="N1123" s="151"/>
      <c r="O1123" s="151"/>
      <c r="P1123" s="151"/>
      <c r="Q1123" s="151"/>
      <c r="R1123" s="151"/>
      <c r="S1123" s="152"/>
      <c r="T1123" s="151"/>
      <c r="U1123" s="151"/>
      <c r="V1123" s="153"/>
      <c r="W1123" s="151"/>
      <c r="X1123" s="151"/>
      <c r="Y1123" s="153"/>
      <c r="Z1123" s="151"/>
      <c r="AA1123" s="187" t="str">
        <f t="shared" si="35"/>
        <v>No</v>
      </c>
      <c r="AB1123" s="158"/>
      <c r="AC1123" s="159"/>
      <c r="AD1123" s="160"/>
    </row>
    <row r="1124" spans="1:30">
      <c r="A1124" s="155"/>
      <c r="B1124" s="112" t="str">
        <f t="shared" si="34"/>
        <v/>
      </c>
      <c r="C1124" s="183"/>
      <c r="D1124" s="152"/>
      <c r="E1124" s="152"/>
      <c r="F1124" s="151"/>
      <c r="G1124" s="153"/>
      <c r="H1124" s="151"/>
      <c r="I1124" s="151"/>
      <c r="J1124" s="151"/>
      <c r="K1124" s="151"/>
      <c r="L1124" s="151"/>
      <c r="M1124" s="151"/>
      <c r="N1124" s="151"/>
      <c r="O1124" s="151"/>
      <c r="P1124" s="151"/>
      <c r="Q1124" s="151"/>
      <c r="R1124" s="151"/>
      <c r="S1124" s="152"/>
      <c r="T1124" s="151"/>
      <c r="U1124" s="151"/>
      <c r="V1124" s="153"/>
      <c r="W1124" s="151"/>
      <c r="X1124" s="151"/>
      <c r="Y1124" s="153"/>
      <c r="Z1124" s="151"/>
      <c r="AA1124" s="187" t="str">
        <f t="shared" si="35"/>
        <v>No</v>
      </c>
      <c r="AB1124" s="158"/>
      <c r="AC1124" s="159"/>
      <c r="AD1124" s="160"/>
    </row>
    <row r="1125" spans="1:30">
      <c r="A1125" s="155"/>
      <c r="B1125" s="112" t="str">
        <f t="shared" si="34"/>
        <v/>
      </c>
      <c r="C1125" s="183"/>
      <c r="D1125" s="152"/>
      <c r="E1125" s="152"/>
      <c r="F1125" s="151"/>
      <c r="G1125" s="153"/>
      <c r="H1125" s="151"/>
      <c r="I1125" s="151"/>
      <c r="J1125" s="151"/>
      <c r="K1125" s="151"/>
      <c r="L1125" s="151"/>
      <c r="M1125" s="151"/>
      <c r="N1125" s="151"/>
      <c r="O1125" s="151"/>
      <c r="P1125" s="151"/>
      <c r="Q1125" s="151"/>
      <c r="R1125" s="151"/>
      <c r="S1125" s="152"/>
      <c r="T1125" s="151"/>
      <c r="U1125" s="151"/>
      <c r="V1125" s="153"/>
      <c r="W1125" s="151"/>
      <c r="X1125" s="151"/>
      <c r="Y1125" s="153"/>
      <c r="Z1125" s="151"/>
      <c r="AA1125" s="187" t="str">
        <f t="shared" si="35"/>
        <v>No</v>
      </c>
      <c r="AB1125" s="158"/>
      <c r="AC1125" s="159"/>
      <c r="AD1125" s="160"/>
    </row>
    <row r="1126" spans="1:30">
      <c r="A1126" s="155"/>
      <c r="B1126" s="112" t="str">
        <f t="shared" si="34"/>
        <v/>
      </c>
      <c r="C1126" s="183"/>
      <c r="D1126" s="152"/>
      <c r="E1126" s="152"/>
      <c r="F1126" s="151"/>
      <c r="G1126" s="153"/>
      <c r="H1126" s="151"/>
      <c r="I1126" s="151"/>
      <c r="J1126" s="151"/>
      <c r="K1126" s="151"/>
      <c r="L1126" s="151"/>
      <c r="M1126" s="151"/>
      <c r="N1126" s="151"/>
      <c r="O1126" s="151"/>
      <c r="P1126" s="151"/>
      <c r="Q1126" s="151"/>
      <c r="R1126" s="151"/>
      <c r="S1126" s="152"/>
      <c r="T1126" s="151"/>
      <c r="U1126" s="151"/>
      <c r="V1126" s="153"/>
      <c r="W1126" s="151"/>
      <c r="X1126" s="151"/>
      <c r="Y1126" s="153"/>
      <c r="Z1126" s="151"/>
      <c r="AA1126" s="187" t="str">
        <f t="shared" si="35"/>
        <v>No</v>
      </c>
      <c r="AB1126" s="158"/>
      <c r="AC1126" s="159"/>
      <c r="AD1126" s="160"/>
    </row>
    <row r="1127" spans="1:30">
      <c r="A1127" s="155"/>
      <c r="B1127" s="112" t="str">
        <f t="shared" si="34"/>
        <v/>
      </c>
      <c r="C1127" s="183"/>
      <c r="D1127" s="152"/>
      <c r="E1127" s="152"/>
      <c r="F1127" s="151"/>
      <c r="G1127" s="153"/>
      <c r="H1127" s="151"/>
      <c r="I1127" s="151"/>
      <c r="J1127" s="151"/>
      <c r="K1127" s="151"/>
      <c r="L1127" s="151"/>
      <c r="M1127" s="151"/>
      <c r="N1127" s="151"/>
      <c r="O1127" s="151"/>
      <c r="P1127" s="151"/>
      <c r="Q1127" s="151"/>
      <c r="R1127" s="151"/>
      <c r="S1127" s="152"/>
      <c r="T1127" s="151"/>
      <c r="U1127" s="151"/>
      <c r="V1127" s="153"/>
      <c r="W1127" s="151"/>
      <c r="X1127" s="151"/>
      <c r="Y1127" s="153"/>
      <c r="Z1127" s="151"/>
      <c r="AA1127" s="187" t="str">
        <f t="shared" si="35"/>
        <v>No</v>
      </c>
      <c r="AB1127" s="158"/>
      <c r="AC1127" s="159"/>
      <c r="AD1127" s="160"/>
    </row>
    <row r="1128" spans="1:30">
      <c r="A1128" s="155"/>
      <c r="B1128" s="112" t="str">
        <f t="shared" si="34"/>
        <v/>
      </c>
      <c r="C1128" s="183"/>
      <c r="D1128" s="152"/>
      <c r="E1128" s="152"/>
      <c r="F1128" s="151"/>
      <c r="G1128" s="153"/>
      <c r="H1128" s="151"/>
      <c r="I1128" s="151"/>
      <c r="J1128" s="151"/>
      <c r="K1128" s="151"/>
      <c r="L1128" s="151"/>
      <c r="M1128" s="151"/>
      <c r="N1128" s="151"/>
      <c r="O1128" s="151"/>
      <c r="P1128" s="151"/>
      <c r="Q1128" s="151"/>
      <c r="R1128" s="151"/>
      <c r="S1128" s="152"/>
      <c r="T1128" s="151"/>
      <c r="U1128" s="151"/>
      <c r="V1128" s="153"/>
      <c r="W1128" s="151"/>
      <c r="X1128" s="151"/>
      <c r="Y1128" s="153"/>
      <c r="Z1128" s="151"/>
      <c r="AA1128" s="187" t="str">
        <f t="shared" si="35"/>
        <v>No</v>
      </c>
      <c r="AB1128" s="158"/>
      <c r="AC1128" s="159"/>
      <c r="AD1128" s="160"/>
    </row>
    <row r="1129" spans="1:30">
      <c r="A1129" s="155"/>
      <c r="B1129" s="112" t="str">
        <f t="shared" si="34"/>
        <v/>
      </c>
      <c r="C1129" s="183"/>
      <c r="D1129" s="152"/>
      <c r="E1129" s="152"/>
      <c r="F1129" s="151"/>
      <c r="G1129" s="153"/>
      <c r="H1129" s="151"/>
      <c r="I1129" s="151"/>
      <c r="J1129" s="151"/>
      <c r="K1129" s="151"/>
      <c r="L1129" s="151"/>
      <c r="M1129" s="151"/>
      <c r="N1129" s="151"/>
      <c r="O1129" s="151"/>
      <c r="P1129" s="151"/>
      <c r="Q1129" s="151"/>
      <c r="R1129" s="151"/>
      <c r="S1129" s="152"/>
      <c r="T1129" s="151"/>
      <c r="U1129" s="151"/>
      <c r="V1129" s="153"/>
      <c r="W1129" s="151"/>
      <c r="X1129" s="151"/>
      <c r="Y1129" s="153"/>
      <c r="Z1129" s="151"/>
      <c r="AA1129" s="187" t="str">
        <f t="shared" si="35"/>
        <v>No</v>
      </c>
      <c r="AB1129" s="158"/>
      <c r="AC1129" s="159"/>
      <c r="AD1129" s="160"/>
    </row>
    <row r="1130" spans="1:30">
      <c r="A1130" s="155"/>
      <c r="B1130" s="112" t="str">
        <f t="shared" si="34"/>
        <v/>
      </c>
      <c r="C1130" s="183"/>
      <c r="D1130" s="152"/>
      <c r="E1130" s="152"/>
      <c r="F1130" s="151"/>
      <c r="G1130" s="153"/>
      <c r="H1130" s="151"/>
      <c r="I1130" s="151"/>
      <c r="J1130" s="151"/>
      <c r="K1130" s="151"/>
      <c r="L1130" s="151"/>
      <c r="M1130" s="151"/>
      <c r="N1130" s="151"/>
      <c r="O1130" s="151"/>
      <c r="P1130" s="151"/>
      <c r="Q1130" s="151"/>
      <c r="R1130" s="151"/>
      <c r="S1130" s="152"/>
      <c r="T1130" s="151"/>
      <c r="U1130" s="151"/>
      <c r="V1130" s="153"/>
      <c r="W1130" s="151"/>
      <c r="X1130" s="151"/>
      <c r="Y1130" s="153"/>
      <c r="Z1130" s="151"/>
      <c r="AA1130" s="187" t="str">
        <f t="shared" si="35"/>
        <v>No</v>
      </c>
      <c r="AB1130" s="158"/>
      <c r="AC1130" s="159"/>
      <c r="AD1130" s="160"/>
    </row>
    <row r="1131" spans="1:30">
      <c r="A1131" s="155"/>
      <c r="B1131" s="112" t="str">
        <f t="shared" si="34"/>
        <v/>
      </c>
      <c r="C1131" s="183"/>
      <c r="D1131" s="152"/>
      <c r="E1131" s="152"/>
      <c r="F1131" s="151"/>
      <c r="G1131" s="153"/>
      <c r="H1131" s="151"/>
      <c r="I1131" s="151"/>
      <c r="J1131" s="151"/>
      <c r="K1131" s="151"/>
      <c r="L1131" s="151"/>
      <c r="M1131" s="151"/>
      <c r="N1131" s="151"/>
      <c r="O1131" s="151"/>
      <c r="P1131" s="151"/>
      <c r="Q1131" s="151"/>
      <c r="R1131" s="151"/>
      <c r="S1131" s="152"/>
      <c r="T1131" s="151"/>
      <c r="U1131" s="151"/>
      <c r="V1131" s="153"/>
      <c r="W1131" s="151"/>
      <c r="X1131" s="151"/>
      <c r="Y1131" s="153"/>
      <c r="Z1131" s="151"/>
      <c r="AA1131" s="187" t="str">
        <f t="shared" si="35"/>
        <v>No</v>
      </c>
      <c r="AB1131" s="158"/>
      <c r="AC1131" s="159"/>
      <c r="AD1131" s="160"/>
    </row>
    <row r="1132" spans="1:30">
      <c r="A1132" s="155"/>
      <c r="B1132" s="112" t="str">
        <f t="shared" si="34"/>
        <v/>
      </c>
      <c r="C1132" s="183"/>
      <c r="D1132" s="152"/>
      <c r="E1132" s="152"/>
      <c r="F1132" s="151"/>
      <c r="G1132" s="153"/>
      <c r="H1132" s="151"/>
      <c r="I1132" s="151"/>
      <c r="J1132" s="151"/>
      <c r="K1132" s="151"/>
      <c r="L1132" s="151"/>
      <c r="M1132" s="151"/>
      <c r="N1132" s="151"/>
      <c r="O1132" s="151"/>
      <c r="P1132" s="151"/>
      <c r="Q1132" s="151"/>
      <c r="R1132" s="151"/>
      <c r="S1132" s="152"/>
      <c r="T1132" s="151"/>
      <c r="U1132" s="151"/>
      <c r="V1132" s="153"/>
      <c r="W1132" s="151"/>
      <c r="X1132" s="151"/>
      <c r="Y1132" s="153"/>
      <c r="Z1132" s="151"/>
      <c r="AA1132" s="187" t="str">
        <f t="shared" si="35"/>
        <v>No</v>
      </c>
      <c r="AB1132" s="158"/>
      <c r="AC1132" s="159"/>
      <c r="AD1132" s="160"/>
    </row>
    <row r="1133" spans="1:30">
      <c r="A1133" s="155"/>
      <c r="B1133" s="112" t="str">
        <f t="shared" si="34"/>
        <v/>
      </c>
      <c r="C1133" s="183"/>
      <c r="D1133" s="152"/>
      <c r="E1133" s="152"/>
      <c r="F1133" s="151"/>
      <c r="G1133" s="153"/>
      <c r="H1133" s="151"/>
      <c r="I1133" s="151"/>
      <c r="J1133" s="151"/>
      <c r="K1133" s="151"/>
      <c r="L1133" s="151"/>
      <c r="M1133" s="151"/>
      <c r="N1133" s="151"/>
      <c r="O1133" s="151"/>
      <c r="P1133" s="151"/>
      <c r="Q1133" s="151"/>
      <c r="R1133" s="151"/>
      <c r="S1133" s="152"/>
      <c r="T1133" s="151"/>
      <c r="U1133" s="151"/>
      <c r="V1133" s="153"/>
      <c r="W1133" s="151"/>
      <c r="X1133" s="151"/>
      <c r="Y1133" s="153"/>
      <c r="Z1133" s="151"/>
      <c r="AA1133" s="187" t="str">
        <f t="shared" si="35"/>
        <v>No</v>
      </c>
      <c r="AB1133" s="158"/>
      <c r="AC1133" s="159"/>
      <c r="AD1133" s="160"/>
    </row>
    <row r="1134" spans="1:30">
      <c r="A1134" s="155"/>
      <c r="B1134" s="112" t="str">
        <f t="shared" si="34"/>
        <v/>
      </c>
      <c r="C1134" s="183"/>
      <c r="D1134" s="152"/>
      <c r="E1134" s="152"/>
      <c r="F1134" s="151"/>
      <c r="G1134" s="153"/>
      <c r="H1134" s="151"/>
      <c r="I1134" s="151"/>
      <c r="J1134" s="151"/>
      <c r="K1134" s="151"/>
      <c r="L1134" s="151"/>
      <c r="M1134" s="151"/>
      <c r="N1134" s="151"/>
      <c r="O1134" s="151"/>
      <c r="P1134" s="151"/>
      <c r="Q1134" s="151"/>
      <c r="R1134" s="151"/>
      <c r="S1134" s="152"/>
      <c r="T1134" s="151"/>
      <c r="U1134" s="151"/>
      <c r="V1134" s="153"/>
      <c r="W1134" s="151"/>
      <c r="X1134" s="151"/>
      <c r="Y1134" s="153"/>
      <c r="Z1134" s="151"/>
      <c r="AA1134" s="187" t="str">
        <f t="shared" si="35"/>
        <v>No</v>
      </c>
      <c r="AB1134" s="158"/>
      <c r="AC1134" s="159"/>
      <c r="AD1134" s="160"/>
    </row>
    <row r="1135" spans="1:30">
      <c r="A1135" s="155"/>
      <c r="B1135" s="112" t="str">
        <f t="shared" si="34"/>
        <v/>
      </c>
      <c r="C1135" s="183"/>
      <c r="D1135" s="152"/>
      <c r="E1135" s="152"/>
      <c r="F1135" s="151"/>
      <c r="G1135" s="153"/>
      <c r="H1135" s="151"/>
      <c r="I1135" s="151"/>
      <c r="J1135" s="151"/>
      <c r="K1135" s="151"/>
      <c r="L1135" s="151"/>
      <c r="M1135" s="151"/>
      <c r="N1135" s="151"/>
      <c r="O1135" s="151"/>
      <c r="P1135" s="151"/>
      <c r="Q1135" s="151"/>
      <c r="R1135" s="151"/>
      <c r="S1135" s="152"/>
      <c r="T1135" s="151"/>
      <c r="U1135" s="151"/>
      <c r="V1135" s="153"/>
      <c r="W1135" s="151"/>
      <c r="X1135" s="151"/>
      <c r="Y1135" s="153"/>
      <c r="Z1135" s="151"/>
      <c r="AA1135" s="187" t="str">
        <f t="shared" si="35"/>
        <v>No</v>
      </c>
      <c r="AB1135" s="158"/>
      <c r="AC1135" s="159"/>
      <c r="AD1135" s="160"/>
    </row>
    <row r="1136" spans="1:30">
      <c r="A1136" s="155"/>
      <c r="B1136" s="112" t="str">
        <f t="shared" si="34"/>
        <v/>
      </c>
      <c r="C1136" s="183"/>
      <c r="D1136" s="152"/>
      <c r="E1136" s="152"/>
      <c r="F1136" s="151"/>
      <c r="G1136" s="153"/>
      <c r="H1136" s="151"/>
      <c r="I1136" s="151"/>
      <c r="J1136" s="151"/>
      <c r="K1136" s="151"/>
      <c r="L1136" s="151"/>
      <c r="M1136" s="151"/>
      <c r="N1136" s="151"/>
      <c r="O1136" s="151"/>
      <c r="P1136" s="151"/>
      <c r="Q1136" s="151"/>
      <c r="R1136" s="151"/>
      <c r="S1136" s="152"/>
      <c r="T1136" s="151"/>
      <c r="U1136" s="151"/>
      <c r="V1136" s="153"/>
      <c r="W1136" s="151"/>
      <c r="X1136" s="151"/>
      <c r="Y1136" s="153"/>
      <c r="Z1136" s="151"/>
      <c r="AA1136" s="187" t="str">
        <f t="shared" si="35"/>
        <v>No</v>
      </c>
      <c r="AB1136" s="158"/>
      <c r="AC1136" s="159"/>
      <c r="AD1136" s="160"/>
    </row>
    <row r="1137" spans="1:30">
      <c r="A1137" s="155"/>
      <c r="B1137" s="112" t="str">
        <f t="shared" si="34"/>
        <v/>
      </c>
      <c r="C1137" s="183"/>
      <c r="D1137" s="152"/>
      <c r="E1137" s="152"/>
      <c r="F1137" s="151"/>
      <c r="G1137" s="153"/>
      <c r="H1137" s="151"/>
      <c r="I1137" s="151"/>
      <c r="J1137" s="151"/>
      <c r="K1137" s="151"/>
      <c r="L1137" s="151"/>
      <c r="M1137" s="151"/>
      <c r="N1137" s="151"/>
      <c r="O1137" s="151"/>
      <c r="P1137" s="151"/>
      <c r="Q1137" s="151"/>
      <c r="R1137" s="151"/>
      <c r="S1137" s="152"/>
      <c r="T1137" s="151"/>
      <c r="U1137" s="151"/>
      <c r="V1137" s="153"/>
      <c r="W1137" s="151"/>
      <c r="X1137" s="151"/>
      <c r="Y1137" s="153"/>
      <c r="Z1137" s="151"/>
      <c r="AA1137" s="187" t="str">
        <f t="shared" si="35"/>
        <v>No</v>
      </c>
      <c r="AB1137" s="158"/>
      <c r="AC1137" s="159"/>
      <c r="AD1137" s="160"/>
    </row>
    <row r="1138" spans="1:30">
      <c r="A1138" s="155"/>
      <c r="B1138" s="112" t="str">
        <f t="shared" si="34"/>
        <v/>
      </c>
      <c r="C1138" s="183"/>
      <c r="D1138" s="152"/>
      <c r="E1138" s="152"/>
      <c r="F1138" s="151"/>
      <c r="G1138" s="153"/>
      <c r="H1138" s="151"/>
      <c r="I1138" s="151"/>
      <c r="J1138" s="151"/>
      <c r="K1138" s="151"/>
      <c r="L1138" s="151"/>
      <c r="M1138" s="151"/>
      <c r="N1138" s="151"/>
      <c r="O1138" s="151"/>
      <c r="P1138" s="151"/>
      <c r="Q1138" s="151"/>
      <c r="R1138" s="151"/>
      <c r="S1138" s="152"/>
      <c r="T1138" s="151"/>
      <c r="U1138" s="151"/>
      <c r="V1138" s="153"/>
      <c r="W1138" s="151"/>
      <c r="X1138" s="151"/>
      <c r="Y1138" s="153"/>
      <c r="Z1138" s="151"/>
      <c r="AA1138" s="187" t="str">
        <f t="shared" si="35"/>
        <v>No</v>
      </c>
      <c r="AB1138" s="158"/>
      <c r="AC1138" s="159"/>
      <c r="AD1138" s="160"/>
    </row>
    <row r="1139" spans="1:30">
      <c r="A1139" s="155"/>
      <c r="B1139" s="112" t="str">
        <f t="shared" si="34"/>
        <v/>
      </c>
      <c r="C1139" s="183"/>
      <c r="D1139" s="152"/>
      <c r="E1139" s="152"/>
      <c r="F1139" s="151"/>
      <c r="G1139" s="153"/>
      <c r="H1139" s="151"/>
      <c r="I1139" s="151"/>
      <c r="J1139" s="151"/>
      <c r="K1139" s="151"/>
      <c r="L1139" s="151"/>
      <c r="M1139" s="151"/>
      <c r="N1139" s="151"/>
      <c r="O1139" s="151"/>
      <c r="P1139" s="151"/>
      <c r="Q1139" s="151"/>
      <c r="R1139" s="151"/>
      <c r="S1139" s="152"/>
      <c r="T1139" s="151"/>
      <c r="U1139" s="151"/>
      <c r="V1139" s="153"/>
      <c r="W1139" s="151"/>
      <c r="X1139" s="151"/>
      <c r="Y1139" s="153"/>
      <c r="Z1139" s="151"/>
      <c r="AA1139" s="187" t="str">
        <f t="shared" si="35"/>
        <v>No</v>
      </c>
      <c r="AB1139" s="158"/>
      <c r="AC1139" s="159"/>
      <c r="AD1139" s="160"/>
    </row>
    <row r="1140" spans="1:30">
      <c r="A1140" s="155"/>
      <c r="B1140" s="112" t="str">
        <f t="shared" si="34"/>
        <v/>
      </c>
      <c r="C1140" s="183"/>
      <c r="D1140" s="152"/>
      <c r="E1140" s="152"/>
      <c r="F1140" s="151"/>
      <c r="G1140" s="153"/>
      <c r="H1140" s="151"/>
      <c r="I1140" s="151"/>
      <c r="J1140" s="151"/>
      <c r="K1140" s="151"/>
      <c r="L1140" s="151"/>
      <c r="M1140" s="151"/>
      <c r="N1140" s="151"/>
      <c r="O1140" s="151"/>
      <c r="P1140" s="151"/>
      <c r="Q1140" s="151"/>
      <c r="R1140" s="151"/>
      <c r="S1140" s="152"/>
      <c r="T1140" s="151"/>
      <c r="U1140" s="151"/>
      <c r="V1140" s="153"/>
      <c r="W1140" s="151"/>
      <c r="X1140" s="151"/>
      <c r="Y1140" s="153"/>
      <c r="Z1140" s="151"/>
      <c r="AA1140" s="187" t="str">
        <f t="shared" si="35"/>
        <v>No</v>
      </c>
      <c r="AB1140" s="158"/>
      <c r="AC1140" s="159"/>
      <c r="AD1140" s="160"/>
    </row>
    <row r="1141" spans="1:30">
      <c r="A1141" s="155"/>
      <c r="B1141" s="112" t="str">
        <f t="shared" si="34"/>
        <v/>
      </c>
      <c r="C1141" s="183"/>
      <c r="D1141" s="152"/>
      <c r="E1141" s="152"/>
      <c r="F1141" s="151"/>
      <c r="G1141" s="153"/>
      <c r="H1141" s="151"/>
      <c r="I1141" s="151"/>
      <c r="J1141" s="151"/>
      <c r="K1141" s="151"/>
      <c r="L1141" s="151"/>
      <c r="M1141" s="151"/>
      <c r="N1141" s="151"/>
      <c r="O1141" s="151"/>
      <c r="P1141" s="151"/>
      <c r="Q1141" s="151"/>
      <c r="R1141" s="151"/>
      <c r="S1141" s="152"/>
      <c r="T1141" s="151"/>
      <c r="U1141" s="151"/>
      <c r="V1141" s="153"/>
      <c r="W1141" s="151"/>
      <c r="X1141" s="151"/>
      <c r="Y1141" s="153"/>
      <c r="Z1141" s="151"/>
      <c r="AA1141" s="187" t="str">
        <f t="shared" si="35"/>
        <v>No</v>
      </c>
      <c r="AB1141" s="158"/>
      <c r="AC1141" s="159"/>
      <c r="AD1141" s="160"/>
    </row>
    <row r="1142" spans="1:30">
      <c r="A1142" s="155"/>
      <c r="B1142" s="112" t="str">
        <f t="shared" si="34"/>
        <v/>
      </c>
      <c r="C1142" s="183"/>
      <c r="D1142" s="152"/>
      <c r="E1142" s="152"/>
      <c r="F1142" s="151"/>
      <c r="G1142" s="153"/>
      <c r="H1142" s="151"/>
      <c r="I1142" s="151"/>
      <c r="J1142" s="151"/>
      <c r="K1142" s="151"/>
      <c r="L1142" s="151"/>
      <c r="M1142" s="151"/>
      <c r="N1142" s="151"/>
      <c r="O1142" s="151"/>
      <c r="P1142" s="151"/>
      <c r="Q1142" s="151"/>
      <c r="R1142" s="151"/>
      <c r="S1142" s="152"/>
      <c r="T1142" s="151"/>
      <c r="U1142" s="151"/>
      <c r="V1142" s="153"/>
      <c r="W1142" s="151"/>
      <c r="X1142" s="151"/>
      <c r="Y1142" s="153"/>
      <c r="Z1142" s="151"/>
      <c r="AA1142" s="187" t="str">
        <f t="shared" si="35"/>
        <v>No</v>
      </c>
      <c r="AB1142" s="158"/>
      <c r="AC1142" s="159"/>
      <c r="AD1142" s="160"/>
    </row>
    <row r="1143" spans="1:30">
      <c r="A1143" s="155"/>
      <c r="B1143" s="112" t="str">
        <f t="shared" si="34"/>
        <v/>
      </c>
      <c r="C1143" s="183"/>
      <c r="D1143" s="152"/>
      <c r="E1143" s="152"/>
      <c r="F1143" s="151"/>
      <c r="G1143" s="153"/>
      <c r="H1143" s="151"/>
      <c r="I1143" s="151"/>
      <c r="J1143" s="151"/>
      <c r="K1143" s="151"/>
      <c r="L1143" s="151"/>
      <c r="M1143" s="151"/>
      <c r="N1143" s="151"/>
      <c r="O1143" s="151"/>
      <c r="P1143" s="151"/>
      <c r="Q1143" s="151"/>
      <c r="R1143" s="151"/>
      <c r="S1143" s="152"/>
      <c r="T1143" s="151"/>
      <c r="U1143" s="151"/>
      <c r="V1143" s="153"/>
      <c r="W1143" s="151"/>
      <c r="X1143" s="151"/>
      <c r="Y1143" s="153"/>
      <c r="Z1143" s="151"/>
      <c r="AA1143" s="187" t="str">
        <f t="shared" si="35"/>
        <v>No</v>
      </c>
      <c r="AB1143" s="158"/>
      <c r="AC1143" s="159"/>
      <c r="AD1143" s="160"/>
    </row>
    <row r="1144" spans="1:30">
      <c r="A1144" s="155"/>
      <c r="B1144" s="112" t="str">
        <f t="shared" si="34"/>
        <v/>
      </c>
      <c r="C1144" s="183"/>
      <c r="D1144" s="152"/>
      <c r="E1144" s="152"/>
      <c r="F1144" s="151"/>
      <c r="G1144" s="153"/>
      <c r="H1144" s="151"/>
      <c r="I1144" s="151"/>
      <c r="J1144" s="151"/>
      <c r="K1144" s="151"/>
      <c r="L1144" s="151"/>
      <c r="M1144" s="151"/>
      <c r="N1144" s="151"/>
      <c r="O1144" s="151"/>
      <c r="P1144" s="151"/>
      <c r="Q1144" s="151"/>
      <c r="R1144" s="151"/>
      <c r="S1144" s="152"/>
      <c r="T1144" s="151"/>
      <c r="U1144" s="151"/>
      <c r="V1144" s="153"/>
      <c r="W1144" s="151"/>
      <c r="X1144" s="151"/>
      <c r="Y1144" s="153"/>
      <c r="Z1144" s="151"/>
      <c r="AA1144" s="187" t="str">
        <f t="shared" si="35"/>
        <v>No</v>
      </c>
      <c r="AB1144" s="158"/>
      <c r="AC1144" s="159"/>
      <c r="AD1144" s="160"/>
    </row>
    <row r="1145" spans="1:30">
      <c r="A1145" s="155"/>
      <c r="B1145" s="112" t="str">
        <f t="shared" si="34"/>
        <v/>
      </c>
      <c r="C1145" s="183"/>
      <c r="D1145" s="152"/>
      <c r="E1145" s="152"/>
      <c r="F1145" s="151"/>
      <c r="G1145" s="153"/>
      <c r="H1145" s="151"/>
      <c r="I1145" s="151"/>
      <c r="J1145" s="151"/>
      <c r="K1145" s="151"/>
      <c r="L1145" s="151"/>
      <c r="M1145" s="151"/>
      <c r="N1145" s="151"/>
      <c r="O1145" s="151"/>
      <c r="P1145" s="151"/>
      <c r="Q1145" s="151"/>
      <c r="R1145" s="151"/>
      <c r="S1145" s="152"/>
      <c r="T1145" s="151"/>
      <c r="U1145" s="151"/>
      <c r="V1145" s="153"/>
      <c r="W1145" s="151"/>
      <c r="X1145" s="151"/>
      <c r="Y1145" s="153"/>
      <c r="Z1145" s="151"/>
      <c r="AA1145" s="187" t="str">
        <f t="shared" si="35"/>
        <v>No</v>
      </c>
      <c r="AB1145" s="158"/>
      <c r="AC1145" s="159"/>
      <c r="AD1145" s="160"/>
    </row>
    <row r="1146" spans="1:30">
      <c r="A1146" s="155"/>
      <c r="B1146" s="112" t="str">
        <f t="shared" si="34"/>
        <v/>
      </c>
      <c r="C1146" s="183"/>
      <c r="D1146" s="152"/>
      <c r="E1146" s="152"/>
      <c r="F1146" s="151"/>
      <c r="G1146" s="153"/>
      <c r="H1146" s="151"/>
      <c r="I1146" s="151"/>
      <c r="J1146" s="151"/>
      <c r="K1146" s="151"/>
      <c r="L1146" s="151"/>
      <c r="M1146" s="151"/>
      <c r="N1146" s="151"/>
      <c r="O1146" s="151"/>
      <c r="P1146" s="151"/>
      <c r="Q1146" s="151"/>
      <c r="R1146" s="151"/>
      <c r="S1146" s="152"/>
      <c r="T1146" s="151"/>
      <c r="U1146" s="151"/>
      <c r="V1146" s="153"/>
      <c r="W1146" s="151"/>
      <c r="X1146" s="151"/>
      <c r="Y1146" s="153"/>
      <c r="Z1146" s="151"/>
      <c r="AA1146" s="187" t="str">
        <f t="shared" si="35"/>
        <v>No</v>
      </c>
      <c r="AB1146" s="158"/>
      <c r="AC1146" s="159"/>
      <c r="AD1146" s="160"/>
    </row>
    <row r="1147" spans="1:30">
      <c r="A1147" s="155"/>
      <c r="B1147" s="112" t="str">
        <f t="shared" si="34"/>
        <v/>
      </c>
      <c r="C1147" s="183"/>
      <c r="D1147" s="152"/>
      <c r="E1147" s="152"/>
      <c r="F1147" s="151"/>
      <c r="G1147" s="153"/>
      <c r="H1147" s="151"/>
      <c r="I1147" s="151"/>
      <c r="J1147" s="151"/>
      <c r="K1147" s="151"/>
      <c r="L1147" s="151"/>
      <c r="M1147" s="151"/>
      <c r="N1147" s="151"/>
      <c r="O1147" s="151"/>
      <c r="P1147" s="151"/>
      <c r="Q1147" s="151"/>
      <c r="R1147" s="151"/>
      <c r="S1147" s="152"/>
      <c r="T1147" s="151"/>
      <c r="U1147" s="151"/>
      <c r="V1147" s="153"/>
      <c r="W1147" s="151"/>
      <c r="X1147" s="151"/>
      <c r="Y1147" s="153"/>
      <c r="Z1147" s="151"/>
      <c r="AA1147" s="187" t="str">
        <f t="shared" si="35"/>
        <v>No</v>
      </c>
      <c r="AB1147" s="158"/>
      <c r="AC1147" s="159"/>
      <c r="AD1147" s="160"/>
    </row>
    <row r="1148" spans="1:30">
      <c r="A1148" s="155"/>
      <c r="B1148" s="112" t="str">
        <f t="shared" si="34"/>
        <v/>
      </c>
      <c r="C1148" s="183"/>
      <c r="D1148" s="152"/>
      <c r="E1148" s="152"/>
      <c r="F1148" s="151"/>
      <c r="G1148" s="153"/>
      <c r="H1148" s="151"/>
      <c r="I1148" s="151"/>
      <c r="J1148" s="151"/>
      <c r="K1148" s="151"/>
      <c r="L1148" s="151"/>
      <c r="M1148" s="151"/>
      <c r="N1148" s="151"/>
      <c r="O1148" s="151"/>
      <c r="P1148" s="151"/>
      <c r="Q1148" s="151"/>
      <c r="R1148" s="151"/>
      <c r="S1148" s="152"/>
      <c r="T1148" s="151"/>
      <c r="U1148" s="151"/>
      <c r="V1148" s="153"/>
      <c r="W1148" s="151"/>
      <c r="X1148" s="151"/>
      <c r="Y1148" s="153"/>
      <c r="Z1148" s="151"/>
      <c r="AA1148" s="187" t="str">
        <f t="shared" si="35"/>
        <v>No</v>
      </c>
      <c r="AB1148" s="158"/>
      <c r="AC1148" s="159"/>
      <c r="AD1148" s="160"/>
    </row>
    <row r="1149" spans="1:30">
      <c r="A1149" s="155"/>
      <c r="B1149" s="112" t="str">
        <f t="shared" si="34"/>
        <v/>
      </c>
      <c r="C1149" s="183"/>
      <c r="D1149" s="152"/>
      <c r="E1149" s="152"/>
      <c r="F1149" s="151"/>
      <c r="G1149" s="153"/>
      <c r="H1149" s="151"/>
      <c r="I1149" s="151"/>
      <c r="J1149" s="151"/>
      <c r="K1149" s="151"/>
      <c r="L1149" s="151"/>
      <c r="M1149" s="151"/>
      <c r="N1149" s="151"/>
      <c r="O1149" s="151"/>
      <c r="P1149" s="151"/>
      <c r="Q1149" s="151"/>
      <c r="R1149" s="151"/>
      <c r="S1149" s="152"/>
      <c r="T1149" s="151"/>
      <c r="U1149" s="151"/>
      <c r="V1149" s="153"/>
      <c r="W1149" s="151"/>
      <c r="X1149" s="151"/>
      <c r="Y1149" s="153"/>
      <c r="Z1149" s="151"/>
      <c r="AA1149" s="187" t="str">
        <f t="shared" si="35"/>
        <v>No</v>
      </c>
      <c r="AB1149" s="158"/>
      <c r="AC1149" s="159"/>
      <c r="AD1149" s="160"/>
    </row>
    <row r="1150" spans="1:30">
      <c r="A1150" s="155"/>
      <c r="B1150" s="112" t="str">
        <f t="shared" si="34"/>
        <v/>
      </c>
      <c r="C1150" s="183"/>
      <c r="D1150" s="152"/>
      <c r="E1150" s="152"/>
      <c r="F1150" s="151"/>
      <c r="G1150" s="153"/>
      <c r="H1150" s="151"/>
      <c r="I1150" s="151"/>
      <c r="J1150" s="151"/>
      <c r="K1150" s="151"/>
      <c r="L1150" s="151"/>
      <c r="M1150" s="151"/>
      <c r="N1150" s="151"/>
      <c r="O1150" s="151"/>
      <c r="P1150" s="151"/>
      <c r="Q1150" s="151"/>
      <c r="R1150" s="151"/>
      <c r="S1150" s="152"/>
      <c r="T1150" s="151"/>
      <c r="U1150" s="151"/>
      <c r="V1150" s="153"/>
      <c r="W1150" s="151"/>
      <c r="X1150" s="151"/>
      <c r="Y1150" s="153"/>
      <c r="Z1150" s="151"/>
      <c r="AA1150" s="187" t="str">
        <f t="shared" si="35"/>
        <v>No</v>
      </c>
      <c r="AB1150" s="158"/>
      <c r="AC1150" s="159"/>
      <c r="AD1150" s="160"/>
    </row>
    <row r="1151" spans="1:30">
      <c r="A1151" s="155"/>
      <c r="B1151" s="112" t="str">
        <f t="shared" si="34"/>
        <v/>
      </c>
      <c r="C1151" s="183"/>
      <c r="D1151" s="152"/>
      <c r="E1151" s="152"/>
      <c r="F1151" s="151"/>
      <c r="G1151" s="153"/>
      <c r="H1151" s="151"/>
      <c r="I1151" s="151"/>
      <c r="J1151" s="151"/>
      <c r="K1151" s="151"/>
      <c r="L1151" s="151"/>
      <c r="M1151" s="151"/>
      <c r="N1151" s="151"/>
      <c r="O1151" s="151"/>
      <c r="P1151" s="151"/>
      <c r="Q1151" s="151"/>
      <c r="R1151" s="151"/>
      <c r="S1151" s="152"/>
      <c r="T1151" s="151"/>
      <c r="U1151" s="151"/>
      <c r="V1151" s="153"/>
      <c r="W1151" s="151"/>
      <c r="X1151" s="151"/>
      <c r="Y1151" s="153"/>
      <c r="Z1151" s="151"/>
      <c r="AA1151" s="187" t="str">
        <f t="shared" si="35"/>
        <v>No</v>
      </c>
      <c r="AB1151" s="158"/>
      <c r="AC1151" s="159"/>
      <c r="AD1151" s="160"/>
    </row>
    <row r="1152" spans="1:30">
      <c r="A1152" s="155"/>
      <c r="B1152" s="112" t="str">
        <f t="shared" si="34"/>
        <v/>
      </c>
      <c r="C1152" s="183"/>
      <c r="D1152" s="152"/>
      <c r="E1152" s="152"/>
      <c r="F1152" s="151"/>
      <c r="G1152" s="153"/>
      <c r="H1152" s="151"/>
      <c r="I1152" s="151"/>
      <c r="J1152" s="151"/>
      <c r="K1152" s="151"/>
      <c r="L1152" s="151"/>
      <c r="M1152" s="151"/>
      <c r="N1152" s="151"/>
      <c r="O1152" s="151"/>
      <c r="P1152" s="151"/>
      <c r="Q1152" s="151"/>
      <c r="R1152" s="151"/>
      <c r="S1152" s="152"/>
      <c r="T1152" s="151"/>
      <c r="U1152" s="151"/>
      <c r="V1152" s="153"/>
      <c r="W1152" s="151"/>
      <c r="X1152" s="151"/>
      <c r="Y1152" s="153"/>
      <c r="Z1152" s="151"/>
      <c r="AA1152" s="187" t="str">
        <f t="shared" si="35"/>
        <v>No</v>
      </c>
      <c r="AB1152" s="158"/>
      <c r="AC1152" s="159"/>
      <c r="AD1152" s="160"/>
    </row>
    <row r="1153" spans="1:30">
      <c r="A1153" s="155"/>
      <c r="B1153" s="112" t="str">
        <f t="shared" si="34"/>
        <v/>
      </c>
      <c r="C1153" s="183"/>
      <c r="D1153" s="152"/>
      <c r="E1153" s="152"/>
      <c r="F1153" s="151"/>
      <c r="G1153" s="153"/>
      <c r="H1153" s="151"/>
      <c r="I1153" s="151"/>
      <c r="J1153" s="151"/>
      <c r="K1153" s="151"/>
      <c r="L1153" s="151"/>
      <c r="M1153" s="151"/>
      <c r="N1153" s="151"/>
      <c r="O1153" s="151"/>
      <c r="P1153" s="151"/>
      <c r="Q1153" s="151"/>
      <c r="R1153" s="151"/>
      <c r="S1153" s="152"/>
      <c r="T1153" s="151"/>
      <c r="U1153" s="151"/>
      <c r="V1153" s="153"/>
      <c r="W1153" s="151"/>
      <c r="X1153" s="151"/>
      <c r="Y1153" s="153"/>
      <c r="Z1153" s="151"/>
      <c r="AA1153" s="187" t="str">
        <f t="shared" si="35"/>
        <v>No</v>
      </c>
      <c r="AB1153" s="158"/>
      <c r="AC1153" s="159"/>
      <c r="AD1153" s="160"/>
    </row>
    <row r="1154" spans="1:30">
      <c r="A1154" s="155"/>
      <c r="B1154" s="112" t="str">
        <f t="shared" si="34"/>
        <v/>
      </c>
      <c r="C1154" s="183"/>
      <c r="D1154" s="152"/>
      <c r="E1154" s="152"/>
      <c r="F1154" s="151"/>
      <c r="G1154" s="153"/>
      <c r="H1154" s="151"/>
      <c r="I1154" s="151"/>
      <c r="J1154" s="151"/>
      <c r="K1154" s="151"/>
      <c r="L1154" s="151"/>
      <c r="M1154" s="151"/>
      <c r="N1154" s="151"/>
      <c r="O1154" s="151"/>
      <c r="P1154" s="151"/>
      <c r="Q1154" s="151"/>
      <c r="R1154" s="151"/>
      <c r="S1154" s="152"/>
      <c r="T1154" s="151"/>
      <c r="U1154" s="151"/>
      <c r="V1154" s="153"/>
      <c r="W1154" s="151"/>
      <c r="X1154" s="151"/>
      <c r="Y1154" s="153"/>
      <c r="Z1154" s="151"/>
      <c r="AA1154" s="187" t="str">
        <f t="shared" si="35"/>
        <v>No</v>
      </c>
      <c r="AB1154" s="158"/>
      <c r="AC1154" s="159"/>
      <c r="AD1154" s="160"/>
    </row>
    <row r="1155" spans="1:30">
      <c r="A1155" s="155"/>
      <c r="B1155" s="112" t="str">
        <f t="shared" si="34"/>
        <v/>
      </c>
      <c r="C1155" s="183"/>
      <c r="D1155" s="152"/>
      <c r="E1155" s="152"/>
      <c r="F1155" s="151"/>
      <c r="G1155" s="153"/>
      <c r="H1155" s="151"/>
      <c r="I1155" s="151"/>
      <c r="J1155" s="151"/>
      <c r="K1155" s="151"/>
      <c r="L1155" s="151"/>
      <c r="M1155" s="151"/>
      <c r="N1155" s="151"/>
      <c r="O1155" s="151"/>
      <c r="P1155" s="151"/>
      <c r="Q1155" s="151"/>
      <c r="R1155" s="151"/>
      <c r="S1155" s="152"/>
      <c r="T1155" s="151"/>
      <c r="U1155" s="151"/>
      <c r="V1155" s="153"/>
      <c r="W1155" s="151"/>
      <c r="X1155" s="151"/>
      <c r="Y1155" s="153"/>
      <c r="Z1155" s="151"/>
      <c r="AA1155" s="187" t="str">
        <f t="shared" si="35"/>
        <v>No</v>
      </c>
      <c r="AB1155" s="158"/>
      <c r="AC1155" s="159"/>
      <c r="AD1155" s="160"/>
    </row>
    <row r="1156" spans="1:30">
      <c r="A1156" s="155"/>
      <c r="B1156" s="112" t="str">
        <f t="shared" si="34"/>
        <v/>
      </c>
      <c r="C1156" s="183"/>
      <c r="D1156" s="152"/>
      <c r="E1156" s="152"/>
      <c r="F1156" s="151"/>
      <c r="G1156" s="153"/>
      <c r="H1156" s="151"/>
      <c r="I1156" s="151"/>
      <c r="J1156" s="151"/>
      <c r="K1156" s="151"/>
      <c r="L1156" s="151"/>
      <c r="M1156" s="151"/>
      <c r="N1156" s="151"/>
      <c r="O1156" s="151"/>
      <c r="P1156" s="151"/>
      <c r="Q1156" s="151"/>
      <c r="R1156" s="151"/>
      <c r="S1156" s="152"/>
      <c r="T1156" s="151"/>
      <c r="U1156" s="151"/>
      <c r="V1156" s="153"/>
      <c r="W1156" s="151"/>
      <c r="X1156" s="151"/>
      <c r="Y1156" s="153"/>
      <c r="Z1156" s="151"/>
      <c r="AA1156" s="187" t="str">
        <f t="shared" si="35"/>
        <v>No</v>
      </c>
      <c r="AB1156" s="158"/>
      <c r="AC1156" s="159"/>
      <c r="AD1156" s="160"/>
    </row>
    <row r="1157" spans="1:30">
      <c r="A1157" s="155"/>
      <c r="B1157" s="112" t="str">
        <f t="shared" ref="B1157:B1220" si="36">IF(AND(A1157&lt;&gt;"",D1157&lt;&gt;"",J1157&lt;&gt;"",N1157&lt;&gt;""),TEXT(D1157,"YY")&amp;"-"&amp;TEXT(D1157,"MMM")&amp;"-"&amp;UPPER(LEFT(TRIM(N1157),2))&amp;"-"&amp;UPPER(LEFT(TRIM(J1157),3))&amp;"-"&amp;A1157,"")</f>
        <v/>
      </c>
      <c r="C1157" s="183"/>
      <c r="D1157" s="152"/>
      <c r="E1157" s="152"/>
      <c r="F1157" s="151"/>
      <c r="G1157" s="153"/>
      <c r="H1157" s="151"/>
      <c r="I1157" s="151"/>
      <c r="J1157" s="151"/>
      <c r="K1157" s="151"/>
      <c r="L1157" s="151"/>
      <c r="M1157" s="151"/>
      <c r="N1157" s="151"/>
      <c r="O1157" s="151"/>
      <c r="P1157" s="151"/>
      <c r="Q1157" s="151"/>
      <c r="R1157" s="151"/>
      <c r="S1157" s="152"/>
      <c r="T1157" s="151"/>
      <c r="U1157" s="151"/>
      <c r="V1157" s="153"/>
      <c r="W1157" s="151"/>
      <c r="X1157" s="151"/>
      <c r="Y1157" s="153"/>
      <c r="Z1157" s="151"/>
      <c r="AA1157" s="187" t="str">
        <f t="shared" ref="AA1157:AA1220" si="37">IF(E1157="","No","Yes")</f>
        <v>No</v>
      </c>
      <c r="AB1157" s="158"/>
      <c r="AC1157" s="159"/>
      <c r="AD1157" s="160"/>
    </row>
    <row r="1158" spans="1:30">
      <c r="A1158" s="155"/>
      <c r="B1158" s="112" t="str">
        <f t="shared" si="36"/>
        <v/>
      </c>
      <c r="C1158" s="183"/>
      <c r="D1158" s="152"/>
      <c r="E1158" s="152"/>
      <c r="F1158" s="151"/>
      <c r="G1158" s="153"/>
      <c r="H1158" s="151"/>
      <c r="I1158" s="151"/>
      <c r="J1158" s="151"/>
      <c r="K1158" s="151"/>
      <c r="L1158" s="151"/>
      <c r="M1158" s="151"/>
      <c r="N1158" s="151"/>
      <c r="O1158" s="151"/>
      <c r="P1158" s="151"/>
      <c r="Q1158" s="151"/>
      <c r="R1158" s="151"/>
      <c r="S1158" s="152"/>
      <c r="T1158" s="151"/>
      <c r="U1158" s="151"/>
      <c r="V1158" s="153"/>
      <c r="W1158" s="151"/>
      <c r="X1158" s="151"/>
      <c r="Y1158" s="153"/>
      <c r="Z1158" s="151"/>
      <c r="AA1158" s="187" t="str">
        <f t="shared" si="37"/>
        <v>No</v>
      </c>
      <c r="AB1158" s="158"/>
      <c r="AC1158" s="159"/>
      <c r="AD1158" s="160"/>
    </row>
    <row r="1159" spans="1:30">
      <c r="A1159" s="155"/>
      <c r="B1159" s="112" t="str">
        <f t="shared" si="36"/>
        <v/>
      </c>
      <c r="C1159" s="183"/>
      <c r="D1159" s="152"/>
      <c r="E1159" s="152"/>
      <c r="F1159" s="151"/>
      <c r="G1159" s="153"/>
      <c r="H1159" s="151"/>
      <c r="I1159" s="151"/>
      <c r="J1159" s="151"/>
      <c r="K1159" s="151"/>
      <c r="L1159" s="151"/>
      <c r="M1159" s="151"/>
      <c r="N1159" s="151"/>
      <c r="O1159" s="151"/>
      <c r="P1159" s="151"/>
      <c r="Q1159" s="151"/>
      <c r="R1159" s="151"/>
      <c r="S1159" s="152"/>
      <c r="T1159" s="151"/>
      <c r="U1159" s="151"/>
      <c r="V1159" s="153"/>
      <c r="W1159" s="151"/>
      <c r="X1159" s="151"/>
      <c r="Y1159" s="153"/>
      <c r="Z1159" s="151"/>
      <c r="AA1159" s="187" t="str">
        <f t="shared" si="37"/>
        <v>No</v>
      </c>
      <c r="AB1159" s="158"/>
      <c r="AC1159" s="159"/>
      <c r="AD1159" s="160"/>
    </row>
    <row r="1160" spans="1:30">
      <c r="A1160" s="155"/>
      <c r="B1160" s="112" t="str">
        <f t="shared" si="36"/>
        <v/>
      </c>
      <c r="C1160" s="183"/>
      <c r="D1160" s="152"/>
      <c r="E1160" s="152"/>
      <c r="F1160" s="151"/>
      <c r="G1160" s="153"/>
      <c r="H1160" s="151"/>
      <c r="I1160" s="151"/>
      <c r="J1160" s="151"/>
      <c r="K1160" s="151"/>
      <c r="L1160" s="151"/>
      <c r="M1160" s="151"/>
      <c r="N1160" s="151"/>
      <c r="O1160" s="151"/>
      <c r="P1160" s="151"/>
      <c r="Q1160" s="151"/>
      <c r="R1160" s="151"/>
      <c r="S1160" s="152"/>
      <c r="T1160" s="151"/>
      <c r="U1160" s="151"/>
      <c r="V1160" s="153"/>
      <c r="W1160" s="151"/>
      <c r="X1160" s="151"/>
      <c r="Y1160" s="153"/>
      <c r="Z1160" s="151"/>
      <c r="AA1160" s="187" t="str">
        <f t="shared" si="37"/>
        <v>No</v>
      </c>
      <c r="AB1160" s="158"/>
      <c r="AC1160" s="159"/>
      <c r="AD1160" s="160"/>
    </row>
    <row r="1161" spans="1:30">
      <c r="A1161" s="155"/>
      <c r="B1161" s="112" t="str">
        <f t="shared" si="36"/>
        <v/>
      </c>
      <c r="C1161" s="183"/>
      <c r="D1161" s="152"/>
      <c r="E1161" s="152"/>
      <c r="F1161" s="151"/>
      <c r="G1161" s="153"/>
      <c r="H1161" s="151"/>
      <c r="I1161" s="151"/>
      <c r="J1161" s="151"/>
      <c r="K1161" s="151"/>
      <c r="L1161" s="151"/>
      <c r="M1161" s="151"/>
      <c r="N1161" s="151"/>
      <c r="O1161" s="151"/>
      <c r="P1161" s="151"/>
      <c r="Q1161" s="151"/>
      <c r="R1161" s="151"/>
      <c r="S1161" s="152"/>
      <c r="T1161" s="151"/>
      <c r="U1161" s="151"/>
      <c r="V1161" s="153"/>
      <c r="W1161" s="151"/>
      <c r="X1161" s="151"/>
      <c r="Y1161" s="153"/>
      <c r="Z1161" s="151"/>
      <c r="AA1161" s="187" t="str">
        <f t="shared" si="37"/>
        <v>No</v>
      </c>
      <c r="AB1161" s="158"/>
      <c r="AC1161" s="159"/>
      <c r="AD1161" s="160"/>
    </row>
    <row r="1162" spans="1:30">
      <c r="A1162" s="155"/>
      <c r="B1162" s="112" t="str">
        <f t="shared" si="36"/>
        <v/>
      </c>
      <c r="C1162" s="183"/>
      <c r="D1162" s="152"/>
      <c r="E1162" s="152"/>
      <c r="F1162" s="151"/>
      <c r="G1162" s="153"/>
      <c r="H1162" s="151"/>
      <c r="I1162" s="151"/>
      <c r="J1162" s="151"/>
      <c r="K1162" s="151"/>
      <c r="L1162" s="151"/>
      <c r="M1162" s="151"/>
      <c r="N1162" s="151"/>
      <c r="O1162" s="151"/>
      <c r="P1162" s="151"/>
      <c r="Q1162" s="151"/>
      <c r="R1162" s="151"/>
      <c r="S1162" s="152"/>
      <c r="T1162" s="151"/>
      <c r="U1162" s="151"/>
      <c r="V1162" s="153"/>
      <c r="W1162" s="151"/>
      <c r="X1162" s="151"/>
      <c r="Y1162" s="153"/>
      <c r="Z1162" s="151"/>
      <c r="AA1162" s="187" t="str">
        <f t="shared" si="37"/>
        <v>No</v>
      </c>
      <c r="AB1162" s="158"/>
      <c r="AC1162" s="159"/>
      <c r="AD1162" s="160"/>
    </row>
    <row r="1163" spans="1:30">
      <c r="A1163" s="155"/>
      <c r="B1163" s="112" t="str">
        <f t="shared" si="36"/>
        <v/>
      </c>
      <c r="C1163" s="183"/>
      <c r="D1163" s="152"/>
      <c r="E1163" s="152"/>
      <c r="F1163" s="151"/>
      <c r="G1163" s="153"/>
      <c r="H1163" s="151"/>
      <c r="I1163" s="151"/>
      <c r="J1163" s="151"/>
      <c r="K1163" s="151"/>
      <c r="L1163" s="151"/>
      <c r="M1163" s="151"/>
      <c r="N1163" s="151"/>
      <c r="O1163" s="151"/>
      <c r="P1163" s="151"/>
      <c r="Q1163" s="151"/>
      <c r="R1163" s="151"/>
      <c r="S1163" s="152"/>
      <c r="T1163" s="151"/>
      <c r="U1163" s="151"/>
      <c r="V1163" s="153"/>
      <c r="W1163" s="151"/>
      <c r="X1163" s="151"/>
      <c r="Y1163" s="153"/>
      <c r="Z1163" s="151"/>
      <c r="AA1163" s="187" t="str">
        <f t="shared" si="37"/>
        <v>No</v>
      </c>
      <c r="AB1163" s="158"/>
      <c r="AC1163" s="159"/>
      <c r="AD1163" s="160"/>
    </row>
    <row r="1164" spans="1:30">
      <c r="A1164" s="155"/>
      <c r="B1164" s="112" t="str">
        <f t="shared" si="36"/>
        <v/>
      </c>
      <c r="C1164" s="183"/>
      <c r="D1164" s="152"/>
      <c r="E1164" s="152"/>
      <c r="F1164" s="151"/>
      <c r="G1164" s="153"/>
      <c r="H1164" s="151"/>
      <c r="I1164" s="151"/>
      <c r="J1164" s="151"/>
      <c r="K1164" s="151"/>
      <c r="L1164" s="151"/>
      <c r="M1164" s="151"/>
      <c r="N1164" s="151"/>
      <c r="O1164" s="151"/>
      <c r="P1164" s="151"/>
      <c r="Q1164" s="151"/>
      <c r="R1164" s="151"/>
      <c r="S1164" s="152"/>
      <c r="T1164" s="151"/>
      <c r="U1164" s="151"/>
      <c r="V1164" s="153"/>
      <c r="W1164" s="151"/>
      <c r="X1164" s="151"/>
      <c r="Y1164" s="153"/>
      <c r="Z1164" s="151"/>
      <c r="AA1164" s="187" t="str">
        <f t="shared" si="37"/>
        <v>No</v>
      </c>
      <c r="AB1164" s="158"/>
      <c r="AC1164" s="159"/>
      <c r="AD1164" s="160"/>
    </row>
    <row r="1165" spans="1:30">
      <c r="A1165" s="155"/>
      <c r="B1165" s="112" t="str">
        <f t="shared" si="36"/>
        <v/>
      </c>
      <c r="C1165" s="183"/>
      <c r="D1165" s="152"/>
      <c r="E1165" s="152"/>
      <c r="F1165" s="151"/>
      <c r="G1165" s="153"/>
      <c r="H1165" s="151"/>
      <c r="I1165" s="151"/>
      <c r="J1165" s="151"/>
      <c r="K1165" s="151"/>
      <c r="L1165" s="151"/>
      <c r="M1165" s="151"/>
      <c r="N1165" s="151"/>
      <c r="O1165" s="151"/>
      <c r="P1165" s="151"/>
      <c r="Q1165" s="151"/>
      <c r="R1165" s="151"/>
      <c r="S1165" s="152"/>
      <c r="T1165" s="151"/>
      <c r="U1165" s="151"/>
      <c r="V1165" s="153"/>
      <c r="W1165" s="151"/>
      <c r="X1165" s="151"/>
      <c r="Y1165" s="153"/>
      <c r="Z1165" s="151"/>
      <c r="AA1165" s="187" t="str">
        <f t="shared" si="37"/>
        <v>No</v>
      </c>
      <c r="AB1165" s="158"/>
      <c r="AC1165" s="159"/>
      <c r="AD1165" s="160"/>
    </row>
    <row r="1166" spans="1:30">
      <c r="A1166" s="155"/>
      <c r="B1166" s="112" t="str">
        <f t="shared" si="36"/>
        <v/>
      </c>
      <c r="C1166" s="183"/>
      <c r="D1166" s="152"/>
      <c r="E1166" s="152"/>
      <c r="F1166" s="151"/>
      <c r="G1166" s="153"/>
      <c r="H1166" s="151"/>
      <c r="I1166" s="151"/>
      <c r="J1166" s="151"/>
      <c r="K1166" s="151"/>
      <c r="L1166" s="151"/>
      <c r="M1166" s="151"/>
      <c r="N1166" s="151"/>
      <c r="O1166" s="151"/>
      <c r="P1166" s="151"/>
      <c r="Q1166" s="151"/>
      <c r="R1166" s="151"/>
      <c r="S1166" s="152"/>
      <c r="T1166" s="151"/>
      <c r="U1166" s="151"/>
      <c r="V1166" s="153"/>
      <c r="W1166" s="151"/>
      <c r="X1166" s="151"/>
      <c r="Y1166" s="153"/>
      <c r="Z1166" s="151"/>
      <c r="AA1166" s="187" t="str">
        <f t="shared" si="37"/>
        <v>No</v>
      </c>
      <c r="AB1166" s="158"/>
      <c r="AC1166" s="159"/>
      <c r="AD1166" s="160"/>
    </row>
    <row r="1167" spans="1:30">
      <c r="A1167" s="155"/>
      <c r="B1167" s="112" t="str">
        <f t="shared" si="36"/>
        <v/>
      </c>
      <c r="C1167" s="183"/>
      <c r="D1167" s="152"/>
      <c r="E1167" s="152"/>
      <c r="F1167" s="151"/>
      <c r="G1167" s="153"/>
      <c r="H1167" s="151"/>
      <c r="I1167" s="151"/>
      <c r="J1167" s="151"/>
      <c r="K1167" s="151"/>
      <c r="L1167" s="151"/>
      <c r="M1167" s="151"/>
      <c r="N1167" s="151"/>
      <c r="O1167" s="151"/>
      <c r="P1167" s="151"/>
      <c r="Q1167" s="151"/>
      <c r="R1167" s="151"/>
      <c r="S1167" s="152"/>
      <c r="T1167" s="151"/>
      <c r="U1167" s="151"/>
      <c r="V1167" s="153"/>
      <c r="W1167" s="151"/>
      <c r="X1167" s="151"/>
      <c r="Y1167" s="153"/>
      <c r="Z1167" s="151"/>
      <c r="AA1167" s="187" t="str">
        <f t="shared" si="37"/>
        <v>No</v>
      </c>
      <c r="AB1167" s="158"/>
      <c r="AC1167" s="159"/>
      <c r="AD1167" s="160"/>
    </row>
    <row r="1168" spans="1:30">
      <c r="A1168" s="155"/>
      <c r="B1168" s="112" t="str">
        <f t="shared" si="36"/>
        <v/>
      </c>
      <c r="C1168" s="183"/>
      <c r="D1168" s="152"/>
      <c r="E1168" s="152"/>
      <c r="F1168" s="151"/>
      <c r="G1168" s="153"/>
      <c r="H1168" s="151"/>
      <c r="I1168" s="151"/>
      <c r="J1168" s="151"/>
      <c r="K1168" s="151"/>
      <c r="L1168" s="151"/>
      <c r="M1168" s="151"/>
      <c r="N1168" s="151"/>
      <c r="O1168" s="151"/>
      <c r="P1168" s="151"/>
      <c r="Q1168" s="151"/>
      <c r="R1168" s="151"/>
      <c r="S1168" s="152"/>
      <c r="T1168" s="151"/>
      <c r="U1168" s="151"/>
      <c r="V1168" s="153"/>
      <c r="W1168" s="151"/>
      <c r="X1168" s="151"/>
      <c r="Y1168" s="153"/>
      <c r="Z1168" s="151"/>
      <c r="AA1168" s="187" t="str">
        <f t="shared" si="37"/>
        <v>No</v>
      </c>
      <c r="AB1168" s="158"/>
      <c r="AC1168" s="159"/>
      <c r="AD1168" s="160"/>
    </row>
    <row r="1169" spans="1:30">
      <c r="A1169" s="155"/>
      <c r="B1169" s="112" t="str">
        <f t="shared" si="36"/>
        <v/>
      </c>
      <c r="C1169" s="183"/>
      <c r="D1169" s="152"/>
      <c r="E1169" s="152"/>
      <c r="F1169" s="151"/>
      <c r="G1169" s="153"/>
      <c r="H1169" s="151"/>
      <c r="I1169" s="151"/>
      <c r="J1169" s="151"/>
      <c r="K1169" s="151"/>
      <c r="L1169" s="151"/>
      <c r="M1169" s="151"/>
      <c r="N1169" s="151"/>
      <c r="O1169" s="151"/>
      <c r="P1169" s="151"/>
      <c r="Q1169" s="151"/>
      <c r="R1169" s="151"/>
      <c r="S1169" s="152"/>
      <c r="T1169" s="151"/>
      <c r="U1169" s="151"/>
      <c r="V1169" s="153"/>
      <c r="W1169" s="151"/>
      <c r="X1169" s="151"/>
      <c r="Y1169" s="153"/>
      <c r="Z1169" s="151"/>
      <c r="AA1169" s="187" t="str">
        <f t="shared" si="37"/>
        <v>No</v>
      </c>
      <c r="AB1169" s="158"/>
      <c r="AC1169" s="159"/>
      <c r="AD1169" s="160"/>
    </row>
    <row r="1170" spans="1:30">
      <c r="A1170" s="155"/>
      <c r="B1170" s="112" t="str">
        <f t="shared" si="36"/>
        <v/>
      </c>
      <c r="C1170" s="183"/>
      <c r="D1170" s="152"/>
      <c r="E1170" s="152"/>
      <c r="F1170" s="151"/>
      <c r="G1170" s="153"/>
      <c r="H1170" s="151"/>
      <c r="I1170" s="151"/>
      <c r="J1170" s="151"/>
      <c r="K1170" s="151"/>
      <c r="L1170" s="151"/>
      <c r="M1170" s="151"/>
      <c r="N1170" s="151"/>
      <c r="O1170" s="151"/>
      <c r="P1170" s="151"/>
      <c r="Q1170" s="151"/>
      <c r="R1170" s="151"/>
      <c r="S1170" s="152"/>
      <c r="T1170" s="151"/>
      <c r="U1170" s="151"/>
      <c r="V1170" s="153"/>
      <c r="W1170" s="151"/>
      <c r="X1170" s="151"/>
      <c r="Y1170" s="153"/>
      <c r="Z1170" s="151"/>
      <c r="AA1170" s="187" t="str">
        <f t="shared" si="37"/>
        <v>No</v>
      </c>
      <c r="AB1170" s="158"/>
      <c r="AC1170" s="159"/>
      <c r="AD1170" s="160"/>
    </row>
    <row r="1171" spans="1:30">
      <c r="A1171" s="155"/>
      <c r="B1171" s="112" t="str">
        <f t="shared" si="36"/>
        <v/>
      </c>
      <c r="C1171" s="183"/>
      <c r="D1171" s="152"/>
      <c r="E1171" s="152"/>
      <c r="F1171" s="151"/>
      <c r="G1171" s="153"/>
      <c r="H1171" s="151"/>
      <c r="I1171" s="151"/>
      <c r="J1171" s="151"/>
      <c r="K1171" s="151"/>
      <c r="L1171" s="151"/>
      <c r="M1171" s="151"/>
      <c r="N1171" s="151"/>
      <c r="O1171" s="151"/>
      <c r="P1171" s="151"/>
      <c r="Q1171" s="151"/>
      <c r="R1171" s="151"/>
      <c r="S1171" s="152"/>
      <c r="T1171" s="151"/>
      <c r="U1171" s="151"/>
      <c r="V1171" s="153"/>
      <c r="W1171" s="151"/>
      <c r="X1171" s="151"/>
      <c r="Y1171" s="153"/>
      <c r="Z1171" s="151"/>
      <c r="AA1171" s="187" t="str">
        <f t="shared" si="37"/>
        <v>No</v>
      </c>
      <c r="AB1171" s="158"/>
      <c r="AC1171" s="159"/>
      <c r="AD1171" s="160"/>
    </row>
    <row r="1172" spans="1:30">
      <c r="A1172" s="155"/>
      <c r="B1172" s="112" t="str">
        <f t="shared" si="36"/>
        <v/>
      </c>
      <c r="C1172" s="183"/>
      <c r="D1172" s="152"/>
      <c r="E1172" s="152"/>
      <c r="F1172" s="151"/>
      <c r="G1172" s="153"/>
      <c r="H1172" s="151"/>
      <c r="I1172" s="151"/>
      <c r="J1172" s="151"/>
      <c r="K1172" s="151"/>
      <c r="L1172" s="151"/>
      <c r="M1172" s="151"/>
      <c r="N1172" s="151"/>
      <c r="O1172" s="151"/>
      <c r="P1172" s="151"/>
      <c r="Q1172" s="151"/>
      <c r="R1172" s="151"/>
      <c r="S1172" s="152"/>
      <c r="T1172" s="151"/>
      <c r="U1172" s="151"/>
      <c r="V1172" s="153"/>
      <c r="W1172" s="151"/>
      <c r="X1172" s="151"/>
      <c r="Y1172" s="153"/>
      <c r="Z1172" s="151"/>
      <c r="AA1172" s="187" t="str">
        <f t="shared" si="37"/>
        <v>No</v>
      </c>
      <c r="AB1172" s="158"/>
      <c r="AC1172" s="159"/>
      <c r="AD1172" s="160"/>
    </row>
    <row r="1173" spans="1:30">
      <c r="A1173" s="155"/>
      <c r="B1173" s="112" t="str">
        <f t="shared" si="36"/>
        <v/>
      </c>
      <c r="C1173" s="183"/>
      <c r="D1173" s="152"/>
      <c r="E1173" s="152"/>
      <c r="F1173" s="151"/>
      <c r="G1173" s="153"/>
      <c r="H1173" s="151"/>
      <c r="I1173" s="151"/>
      <c r="J1173" s="151"/>
      <c r="K1173" s="151"/>
      <c r="L1173" s="151"/>
      <c r="M1173" s="151"/>
      <c r="N1173" s="151"/>
      <c r="O1173" s="151"/>
      <c r="P1173" s="151"/>
      <c r="Q1173" s="151"/>
      <c r="R1173" s="151"/>
      <c r="S1173" s="152"/>
      <c r="T1173" s="151"/>
      <c r="U1173" s="151"/>
      <c r="V1173" s="153"/>
      <c r="W1173" s="151"/>
      <c r="X1173" s="151"/>
      <c r="Y1173" s="153"/>
      <c r="Z1173" s="151"/>
      <c r="AA1173" s="187" t="str">
        <f t="shared" si="37"/>
        <v>No</v>
      </c>
      <c r="AB1173" s="158"/>
      <c r="AC1173" s="159"/>
      <c r="AD1173" s="160"/>
    </row>
    <row r="1174" spans="1:30">
      <c r="A1174" s="155"/>
      <c r="B1174" s="112" t="str">
        <f t="shared" si="36"/>
        <v/>
      </c>
      <c r="C1174" s="183"/>
      <c r="D1174" s="152"/>
      <c r="E1174" s="152"/>
      <c r="F1174" s="151"/>
      <c r="G1174" s="153"/>
      <c r="H1174" s="151"/>
      <c r="I1174" s="151"/>
      <c r="J1174" s="151"/>
      <c r="K1174" s="151"/>
      <c r="L1174" s="151"/>
      <c r="M1174" s="151"/>
      <c r="N1174" s="151"/>
      <c r="O1174" s="151"/>
      <c r="P1174" s="151"/>
      <c r="Q1174" s="151"/>
      <c r="R1174" s="151"/>
      <c r="S1174" s="152"/>
      <c r="T1174" s="151"/>
      <c r="U1174" s="151"/>
      <c r="V1174" s="153"/>
      <c r="W1174" s="151"/>
      <c r="X1174" s="151"/>
      <c r="Y1174" s="153"/>
      <c r="Z1174" s="151"/>
      <c r="AA1174" s="187" t="str">
        <f t="shared" si="37"/>
        <v>No</v>
      </c>
      <c r="AB1174" s="158"/>
      <c r="AC1174" s="159"/>
      <c r="AD1174" s="160"/>
    </row>
    <row r="1175" spans="1:30">
      <c r="A1175" s="155"/>
      <c r="B1175" s="112" t="str">
        <f t="shared" si="36"/>
        <v/>
      </c>
      <c r="C1175" s="183"/>
      <c r="D1175" s="152"/>
      <c r="E1175" s="152"/>
      <c r="F1175" s="151"/>
      <c r="G1175" s="153"/>
      <c r="H1175" s="151"/>
      <c r="I1175" s="151"/>
      <c r="J1175" s="151"/>
      <c r="K1175" s="151"/>
      <c r="L1175" s="151"/>
      <c r="M1175" s="151"/>
      <c r="N1175" s="151"/>
      <c r="O1175" s="151"/>
      <c r="P1175" s="151"/>
      <c r="Q1175" s="151"/>
      <c r="R1175" s="151"/>
      <c r="S1175" s="152"/>
      <c r="T1175" s="151"/>
      <c r="U1175" s="151"/>
      <c r="V1175" s="153"/>
      <c r="W1175" s="151"/>
      <c r="X1175" s="151"/>
      <c r="Y1175" s="153"/>
      <c r="Z1175" s="151"/>
      <c r="AA1175" s="187" t="str">
        <f t="shared" si="37"/>
        <v>No</v>
      </c>
      <c r="AB1175" s="158"/>
      <c r="AC1175" s="159"/>
      <c r="AD1175" s="160"/>
    </row>
    <row r="1176" spans="1:30">
      <c r="A1176" s="155"/>
      <c r="B1176" s="112" t="str">
        <f t="shared" si="36"/>
        <v/>
      </c>
      <c r="C1176" s="183"/>
      <c r="D1176" s="152"/>
      <c r="E1176" s="152"/>
      <c r="F1176" s="151"/>
      <c r="G1176" s="153"/>
      <c r="H1176" s="151"/>
      <c r="I1176" s="151"/>
      <c r="J1176" s="151"/>
      <c r="K1176" s="151"/>
      <c r="L1176" s="151"/>
      <c r="M1176" s="151"/>
      <c r="N1176" s="151"/>
      <c r="O1176" s="151"/>
      <c r="P1176" s="151"/>
      <c r="Q1176" s="151"/>
      <c r="R1176" s="151"/>
      <c r="S1176" s="152"/>
      <c r="T1176" s="151"/>
      <c r="U1176" s="151"/>
      <c r="V1176" s="153"/>
      <c r="W1176" s="151"/>
      <c r="X1176" s="151"/>
      <c r="Y1176" s="153"/>
      <c r="Z1176" s="151"/>
      <c r="AA1176" s="187" t="str">
        <f t="shared" si="37"/>
        <v>No</v>
      </c>
      <c r="AB1176" s="158"/>
      <c r="AC1176" s="159"/>
      <c r="AD1176" s="160"/>
    </row>
    <row r="1177" spans="1:30">
      <c r="A1177" s="155"/>
      <c r="B1177" s="112" t="str">
        <f t="shared" si="36"/>
        <v/>
      </c>
      <c r="C1177" s="183"/>
      <c r="D1177" s="152"/>
      <c r="E1177" s="152"/>
      <c r="F1177" s="151"/>
      <c r="G1177" s="153"/>
      <c r="H1177" s="151"/>
      <c r="I1177" s="151"/>
      <c r="J1177" s="151"/>
      <c r="K1177" s="151"/>
      <c r="L1177" s="151"/>
      <c r="M1177" s="151"/>
      <c r="N1177" s="151"/>
      <c r="O1177" s="151"/>
      <c r="P1177" s="151"/>
      <c r="Q1177" s="151"/>
      <c r="R1177" s="151"/>
      <c r="S1177" s="152"/>
      <c r="T1177" s="151"/>
      <c r="U1177" s="151"/>
      <c r="V1177" s="153"/>
      <c r="W1177" s="151"/>
      <c r="X1177" s="151"/>
      <c r="Y1177" s="153"/>
      <c r="Z1177" s="151"/>
      <c r="AA1177" s="187" t="str">
        <f t="shared" si="37"/>
        <v>No</v>
      </c>
      <c r="AB1177" s="158"/>
      <c r="AC1177" s="159"/>
      <c r="AD1177" s="160"/>
    </row>
    <row r="1178" spans="1:30">
      <c r="A1178" s="155"/>
      <c r="B1178" s="112" t="str">
        <f t="shared" si="36"/>
        <v/>
      </c>
      <c r="C1178" s="183"/>
      <c r="D1178" s="152"/>
      <c r="E1178" s="152"/>
      <c r="F1178" s="151"/>
      <c r="G1178" s="153"/>
      <c r="H1178" s="151"/>
      <c r="I1178" s="151"/>
      <c r="J1178" s="151"/>
      <c r="K1178" s="151"/>
      <c r="L1178" s="151"/>
      <c r="M1178" s="151"/>
      <c r="N1178" s="151"/>
      <c r="O1178" s="151"/>
      <c r="P1178" s="151"/>
      <c r="Q1178" s="151"/>
      <c r="R1178" s="151"/>
      <c r="S1178" s="152"/>
      <c r="T1178" s="151"/>
      <c r="U1178" s="151"/>
      <c r="V1178" s="153"/>
      <c r="W1178" s="151"/>
      <c r="X1178" s="151"/>
      <c r="Y1178" s="153"/>
      <c r="Z1178" s="151"/>
      <c r="AA1178" s="187" t="str">
        <f t="shared" si="37"/>
        <v>No</v>
      </c>
      <c r="AB1178" s="158"/>
      <c r="AC1178" s="159"/>
      <c r="AD1178" s="160"/>
    </row>
    <row r="1179" spans="1:30">
      <c r="A1179" s="155"/>
      <c r="B1179" s="112" t="str">
        <f t="shared" si="36"/>
        <v/>
      </c>
      <c r="C1179" s="183"/>
      <c r="D1179" s="152"/>
      <c r="E1179" s="152"/>
      <c r="F1179" s="151"/>
      <c r="G1179" s="153"/>
      <c r="H1179" s="151"/>
      <c r="I1179" s="151"/>
      <c r="J1179" s="151"/>
      <c r="K1179" s="151"/>
      <c r="L1179" s="151"/>
      <c r="M1179" s="151"/>
      <c r="N1179" s="151"/>
      <c r="O1179" s="151"/>
      <c r="P1179" s="151"/>
      <c r="Q1179" s="151"/>
      <c r="R1179" s="151"/>
      <c r="S1179" s="152"/>
      <c r="T1179" s="151"/>
      <c r="U1179" s="151"/>
      <c r="V1179" s="153"/>
      <c r="W1179" s="151"/>
      <c r="X1179" s="151"/>
      <c r="Y1179" s="153"/>
      <c r="Z1179" s="151"/>
      <c r="AA1179" s="187" t="str">
        <f t="shared" si="37"/>
        <v>No</v>
      </c>
      <c r="AB1179" s="158"/>
      <c r="AC1179" s="159"/>
      <c r="AD1179" s="160"/>
    </row>
    <row r="1180" spans="1:30">
      <c r="A1180" s="155"/>
      <c r="B1180" s="112" t="str">
        <f t="shared" si="36"/>
        <v/>
      </c>
      <c r="C1180" s="183"/>
      <c r="D1180" s="152"/>
      <c r="E1180" s="152"/>
      <c r="F1180" s="151"/>
      <c r="G1180" s="153"/>
      <c r="H1180" s="151"/>
      <c r="I1180" s="151"/>
      <c r="J1180" s="151"/>
      <c r="K1180" s="151"/>
      <c r="L1180" s="151"/>
      <c r="M1180" s="151"/>
      <c r="N1180" s="151"/>
      <c r="O1180" s="151"/>
      <c r="P1180" s="151"/>
      <c r="Q1180" s="151"/>
      <c r="R1180" s="151"/>
      <c r="S1180" s="152"/>
      <c r="T1180" s="151"/>
      <c r="U1180" s="151"/>
      <c r="V1180" s="153"/>
      <c r="W1180" s="151"/>
      <c r="X1180" s="151"/>
      <c r="Y1180" s="153"/>
      <c r="Z1180" s="151"/>
      <c r="AA1180" s="187" t="str">
        <f t="shared" si="37"/>
        <v>No</v>
      </c>
      <c r="AB1180" s="158"/>
      <c r="AC1180" s="159"/>
      <c r="AD1180" s="160"/>
    </row>
    <row r="1181" spans="1:30">
      <c r="A1181" s="155"/>
      <c r="B1181" s="112" t="str">
        <f t="shared" si="36"/>
        <v/>
      </c>
      <c r="C1181" s="183"/>
      <c r="D1181" s="152"/>
      <c r="E1181" s="152"/>
      <c r="F1181" s="151"/>
      <c r="G1181" s="153"/>
      <c r="H1181" s="151"/>
      <c r="I1181" s="151"/>
      <c r="J1181" s="151"/>
      <c r="K1181" s="151"/>
      <c r="L1181" s="151"/>
      <c r="M1181" s="151"/>
      <c r="N1181" s="151"/>
      <c r="O1181" s="151"/>
      <c r="P1181" s="151"/>
      <c r="Q1181" s="151"/>
      <c r="R1181" s="151"/>
      <c r="S1181" s="152"/>
      <c r="T1181" s="151"/>
      <c r="U1181" s="151"/>
      <c r="V1181" s="153"/>
      <c r="W1181" s="151"/>
      <c r="X1181" s="151"/>
      <c r="Y1181" s="153"/>
      <c r="Z1181" s="151"/>
      <c r="AA1181" s="187" t="str">
        <f t="shared" si="37"/>
        <v>No</v>
      </c>
      <c r="AB1181" s="158"/>
      <c r="AC1181" s="159"/>
      <c r="AD1181" s="160"/>
    </row>
    <row r="1182" spans="1:30">
      <c r="A1182" s="155"/>
      <c r="B1182" s="112" t="str">
        <f t="shared" si="36"/>
        <v/>
      </c>
      <c r="C1182" s="183"/>
      <c r="D1182" s="152"/>
      <c r="E1182" s="152"/>
      <c r="F1182" s="151"/>
      <c r="G1182" s="153"/>
      <c r="H1182" s="151"/>
      <c r="I1182" s="151"/>
      <c r="J1182" s="151"/>
      <c r="K1182" s="151"/>
      <c r="L1182" s="151"/>
      <c r="M1182" s="151"/>
      <c r="N1182" s="151"/>
      <c r="O1182" s="151"/>
      <c r="P1182" s="151"/>
      <c r="Q1182" s="151"/>
      <c r="R1182" s="151"/>
      <c r="S1182" s="152"/>
      <c r="T1182" s="151"/>
      <c r="U1182" s="151"/>
      <c r="V1182" s="153"/>
      <c r="W1182" s="151"/>
      <c r="X1182" s="151"/>
      <c r="Y1182" s="153"/>
      <c r="Z1182" s="151"/>
      <c r="AA1182" s="187" t="str">
        <f t="shared" si="37"/>
        <v>No</v>
      </c>
      <c r="AB1182" s="158"/>
      <c r="AC1182" s="159"/>
      <c r="AD1182" s="160"/>
    </row>
    <row r="1183" spans="1:30">
      <c r="A1183" s="155"/>
      <c r="B1183" s="112" t="str">
        <f t="shared" si="36"/>
        <v/>
      </c>
      <c r="C1183" s="183"/>
      <c r="D1183" s="152"/>
      <c r="E1183" s="152"/>
      <c r="F1183" s="151"/>
      <c r="G1183" s="153"/>
      <c r="H1183" s="151"/>
      <c r="I1183" s="151"/>
      <c r="J1183" s="151"/>
      <c r="K1183" s="151"/>
      <c r="L1183" s="151"/>
      <c r="M1183" s="151"/>
      <c r="N1183" s="151"/>
      <c r="O1183" s="151"/>
      <c r="P1183" s="151"/>
      <c r="Q1183" s="151"/>
      <c r="R1183" s="151"/>
      <c r="S1183" s="152"/>
      <c r="T1183" s="151"/>
      <c r="U1183" s="151"/>
      <c r="V1183" s="153"/>
      <c r="W1183" s="151"/>
      <c r="X1183" s="151"/>
      <c r="Y1183" s="153"/>
      <c r="Z1183" s="151"/>
      <c r="AA1183" s="187" t="str">
        <f t="shared" si="37"/>
        <v>No</v>
      </c>
      <c r="AB1183" s="158"/>
      <c r="AC1183" s="159"/>
      <c r="AD1183" s="160"/>
    </row>
    <row r="1184" spans="1:30">
      <c r="A1184" s="155"/>
      <c r="B1184" s="112" t="str">
        <f t="shared" si="36"/>
        <v/>
      </c>
      <c r="C1184" s="183"/>
      <c r="D1184" s="152"/>
      <c r="E1184" s="152"/>
      <c r="F1184" s="151"/>
      <c r="G1184" s="153"/>
      <c r="H1184" s="151"/>
      <c r="I1184" s="151"/>
      <c r="J1184" s="151"/>
      <c r="K1184" s="151"/>
      <c r="L1184" s="151"/>
      <c r="M1184" s="151"/>
      <c r="N1184" s="151"/>
      <c r="O1184" s="151"/>
      <c r="P1184" s="151"/>
      <c r="Q1184" s="151"/>
      <c r="R1184" s="151"/>
      <c r="S1184" s="152"/>
      <c r="T1184" s="151"/>
      <c r="U1184" s="151"/>
      <c r="V1184" s="153"/>
      <c r="W1184" s="151"/>
      <c r="X1184" s="151"/>
      <c r="Y1184" s="153"/>
      <c r="Z1184" s="151"/>
      <c r="AA1184" s="187" t="str">
        <f t="shared" si="37"/>
        <v>No</v>
      </c>
      <c r="AB1184" s="158"/>
      <c r="AC1184" s="159"/>
      <c r="AD1184" s="160"/>
    </row>
    <row r="1185" spans="1:30">
      <c r="A1185" s="155"/>
      <c r="B1185" s="112" t="str">
        <f t="shared" si="36"/>
        <v/>
      </c>
      <c r="C1185" s="183"/>
      <c r="D1185" s="152"/>
      <c r="E1185" s="152"/>
      <c r="F1185" s="151"/>
      <c r="G1185" s="153"/>
      <c r="H1185" s="151"/>
      <c r="I1185" s="151"/>
      <c r="J1185" s="151"/>
      <c r="K1185" s="151"/>
      <c r="L1185" s="151"/>
      <c r="M1185" s="151"/>
      <c r="N1185" s="151"/>
      <c r="O1185" s="151"/>
      <c r="P1185" s="151"/>
      <c r="Q1185" s="151"/>
      <c r="R1185" s="151"/>
      <c r="S1185" s="152"/>
      <c r="T1185" s="151"/>
      <c r="U1185" s="151"/>
      <c r="V1185" s="153"/>
      <c r="W1185" s="151"/>
      <c r="X1185" s="151"/>
      <c r="Y1185" s="153"/>
      <c r="Z1185" s="151"/>
      <c r="AA1185" s="187" t="str">
        <f t="shared" si="37"/>
        <v>No</v>
      </c>
      <c r="AB1185" s="158"/>
      <c r="AC1185" s="159"/>
      <c r="AD1185" s="160"/>
    </row>
    <row r="1186" spans="1:30">
      <c r="A1186" s="155"/>
      <c r="B1186" s="112" t="str">
        <f t="shared" si="36"/>
        <v/>
      </c>
      <c r="C1186" s="183"/>
      <c r="D1186" s="152"/>
      <c r="E1186" s="152"/>
      <c r="F1186" s="151"/>
      <c r="G1186" s="153"/>
      <c r="H1186" s="151"/>
      <c r="I1186" s="151"/>
      <c r="J1186" s="151"/>
      <c r="K1186" s="151"/>
      <c r="L1186" s="151"/>
      <c r="M1186" s="151"/>
      <c r="N1186" s="151"/>
      <c r="O1186" s="151"/>
      <c r="P1186" s="151"/>
      <c r="Q1186" s="151"/>
      <c r="R1186" s="151"/>
      <c r="S1186" s="152"/>
      <c r="T1186" s="151"/>
      <c r="U1186" s="151"/>
      <c r="V1186" s="153"/>
      <c r="W1186" s="151"/>
      <c r="X1186" s="151"/>
      <c r="Y1186" s="153"/>
      <c r="Z1186" s="151"/>
      <c r="AA1186" s="187" t="str">
        <f t="shared" si="37"/>
        <v>No</v>
      </c>
      <c r="AB1186" s="158"/>
      <c r="AC1186" s="159"/>
      <c r="AD1186" s="160"/>
    </row>
    <row r="1187" spans="1:30">
      <c r="A1187" s="155"/>
      <c r="B1187" s="112" t="str">
        <f t="shared" si="36"/>
        <v/>
      </c>
      <c r="C1187" s="183"/>
      <c r="D1187" s="152"/>
      <c r="E1187" s="152"/>
      <c r="F1187" s="151"/>
      <c r="G1187" s="153"/>
      <c r="H1187" s="151"/>
      <c r="I1187" s="151"/>
      <c r="J1187" s="151"/>
      <c r="K1187" s="151"/>
      <c r="L1187" s="151"/>
      <c r="M1187" s="151"/>
      <c r="N1187" s="151"/>
      <c r="O1187" s="151"/>
      <c r="P1187" s="151"/>
      <c r="Q1187" s="151"/>
      <c r="R1187" s="151"/>
      <c r="S1187" s="152"/>
      <c r="T1187" s="151"/>
      <c r="U1187" s="151"/>
      <c r="V1187" s="153"/>
      <c r="W1187" s="151"/>
      <c r="X1187" s="151"/>
      <c r="Y1187" s="153"/>
      <c r="Z1187" s="151"/>
      <c r="AA1187" s="187" t="str">
        <f t="shared" si="37"/>
        <v>No</v>
      </c>
      <c r="AB1187" s="158"/>
      <c r="AC1187" s="159"/>
      <c r="AD1187" s="160"/>
    </row>
    <row r="1188" spans="1:30">
      <c r="A1188" s="155"/>
      <c r="B1188" s="112" t="str">
        <f t="shared" si="36"/>
        <v/>
      </c>
      <c r="C1188" s="183"/>
      <c r="D1188" s="152"/>
      <c r="E1188" s="152"/>
      <c r="F1188" s="151"/>
      <c r="G1188" s="153"/>
      <c r="H1188" s="151"/>
      <c r="I1188" s="151"/>
      <c r="J1188" s="151"/>
      <c r="K1188" s="151"/>
      <c r="L1188" s="151"/>
      <c r="M1188" s="151"/>
      <c r="N1188" s="151"/>
      <c r="O1188" s="151"/>
      <c r="P1188" s="151"/>
      <c r="Q1188" s="151"/>
      <c r="R1188" s="151"/>
      <c r="S1188" s="152"/>
      <c r="T1188" s="151"/>
      <c r="U1188" s="151"/>
      <c r="V1188" s="153"/>
      <c r="W1188" s="151"/>
      <c r="X1188" s="151"/>
      <c r="Y1188" s="153"/>
      <c r="Z1188" s="151"/>
      <c r="AA1188" s="187" t="str">
        <f t="shared" si="37"/>
        <v>No</v>
      </c>
      <c r="AB1188" s="158"/>
      <c r="AC1188" s="159"/>
      <c r="AD1188" s="160"/>
    </row>
    <row r="1189" spans="1:30">
      <c r="A1189" s="155"/>
      <c r="B1189" s="112" t="str">
        <f t="shared" si="36"/>
        <v/>
      </c>
      <c r="C1189" s="183"/>
      <c r="D1189" s="152"/>
      <c r="E1189" s="152"/>
      <c r="F1189" s="151"/>
      <c r="G1189" s="153"/>
      <c r="H1189" s="151"/>
      <c r="I1189" s="151"/>
      <c r="J1189" s="151"/>
      <c r="K1189" s="151"/>
      <c r="L1189" s="151"/>
      <c r="M1189" s="151"/>
      <c r="N1189" s="151"/>
      <c r="O1189" s="151"/>
      <c r="P1189" s="151"/>
      <c r="Q1189" s="151"/>
      <c r="R1189" s="151"/>
      <c r="S1189" s="152"/>
      <c r="T1189" s="151"/>
      <c r="U1189" s="151"/>
      <c r="V1189" s="153"/>
      <c r="W1189" s="151"/>
      <c r="X1189" s="151"/>
      <c r="Y1189" s="153"/>
      <c r="Z1189" s="151"/>
      <c r="AA1189" s="187" t="str">
        <f t="shared" si="37"/>
        <v>No</v>
      </c>
      <c r="AB1189" s="158"/>
      <c r="AC1189" s="159"/>
      <c r="AD1189" s="160"/>
    </row>
    <row r="1190" spans="1:30">
      <c r="A1190" s="155"/>
      <c r="B1190" s="112" t="str">
        <f t="shared" si="36"/>
        <v/>
      </c>
      <c r="C1190" s="183"/>
      <c r="D1190" s="152"/>
      <c r="E1190" s="152"/>
      <c r="F1190" s="151"/>
      <c r="G1190" s="153"/>
      <c r="H1190" s="151"/>
      <c r="I1190" s="151"/>
      <c r="J1190" s="151"/>
      <c r="K1190" s="151"/>
      <c r="L1190" s="151"/>
      <c r="M1190" s="151"/>
      <c r="N1190" s="151"/>
      <c r="O1190" s="151"/>
      <c r="P1190" s="151"/>
      <c r="Q1190" s="151"/>
      <c r="R1190" s="151"/>
      <c r="S1190" s="152"/>
      <c r="T1190" s="151"/>
      <c r="U1190" s="151"/>
      <c r="V1190" s="153"/>
      <c r="W1190" s="151"/>
      <c r="X1190" s="151"/>
      <c r="Y1190" s="153"/>
      <c r="Z1190" s="151"/>
      <c r="AA1190" s="187" t="str">
        <f t="shared" si="37"/>
        <v>No</v>
      </c>
      <c r="AB1190" s="158"/>
      <c r="AC1190" s="159"/>
      <c r="AD1190" s="160"/>
    </row>
    <row r="1191" spans="1:30">
      <c r="A1191" s="155"/>
      <c r="B1191" s="112" t="str">
        <f t="shared" si="36"/>
        <v/>
      </c>
      <c r="C1191" s="183"/>
      <c r="D1191" s="152"/>
      <c r="E1191" s="152"/>
      <c r="F1191" s="151"/>
      <c r="G1191" s="153"/>
      <c r="H1191" s="151"/>
      <c r="I1191" s="151"/>
      <c r="J1191" s="151"/>
      <c r="K1191" s="151"/>
      <c r="L1191" s="151"/>
      <c r="M1191" s="151"/>
      <c r="N1191" s="151"/>
      <c r="O1191" s="151"/>
      <c r="P1191" s="151"/>
      <c r="Q1191" s="151"/>
      <c r="R1191" s="151"/>
      <c r="S1191" s="152"/>
      <c r="T1191" s="151"/>
      <c r="U1191" s="151"/>
      <c r="V1191" s="153"/>
      <c r="W1191" s="151"/>
      <c r="X1191" s="151"/>
      <c r="Y1191" s="153"/>
      <c r="Z1191" s="151"/>
      <c r="AA1191" s="187" t="str">
        <f t="shared" si="37"/>
        <v>No</v>
      </c>
      <c r="AB1191" s="158"/>
      <c r="AC1191" s="159"/>
      <c r="AD1191" s="160"/>
    </row>
    <row r="1192" spans="1:30">
      <c r="A1192" s="155"/>
      <c r="B1192" s="112" t="str">
        <f t="shared" si="36"/>
        <v/>
      </c>
      <c r="C1192" s="183"/>
      <c r="D1192" s="152"/>
      <c r="E1192" s="152"/>
      <c r="F1192" s="151"/>
      <c r="G1192" s="153"/>
      <c r="H1192" s="151"/>
      <c r="I1192" s="151"/>
      <c r="J1192" s="151"/>
      <c r="K1192" s="151"/>
      <c r="L1192" s="151"/>
      <c r="M1192" s="151"/>
      <c r="N1192" s="151"/>
      <c r="O1192" s="151"/>
      <c r="P1192" s="151"/>
      <c r="Q1192" s="151"/>
      <c r="R1192" s="151"/>
      <c r="S1192" s="152"/>
      <c r="T1192" s="151"/>
      <c r="U1192" s="151"/>
      <c r="V1192" s="153"/>
      <c r="W1192" s="151"/>
      <c r="X1192" s="151"/>
      <c r="Y1192" s="153"/>
      <c r="Z1192" s="151"/>
      <c r="AA1192" s="187" t="str">
        <f t="shared" si="37"/>
        <v>No</v>
      </c>
      <c r="AB1192" s="158"/>
      <c r="AC1192" s="159"/>
      <c r="AD1192" s="160"/>
    </row>
    <row r="1193" spans="1:30">
      <c r="A1193" s="155"/>
      <c r="B1193" s="112" t="str">
        <f t="shared" si="36"/>
        <v/>
      </c>
      <c r="C1193" s="183"/>
      <c r="D1193" s="152"/>
      <c r="E1193" s="152"/>
      <c r="F1193" s="151"/>
      <c r="G1193" s="153"/>
      <c r="H1193" s="151"/>
      <c r="I1193" s="151"/>
      <c r="J1193" s="151"/>
      <c r="K1193" s="151"/>
      <c r="L1193" s="151"/>
      <c r="M1193" s="151"/>
      <c r="N1193" s="151"/>
      <c r="O1193" s="151"/>
      <c r="P1193" s="151"/>
      <c r="Q1193" s="151"/>
      <c r="R1193" s="151"/>
      <c r="S1193" s="152"/>
      <c r="T1193" s="151"/>
      <c r="U1193" s="151"/>
      <c r="V1193" s="153"/>
      <c r="W1193" s="151"/>
      <c r="X1193" s="151"/>
      <c r="Y1193" s="153"/>
      <c r="Z1193" s="151"/>
      <c r="AA1193" s="187" t="str">
        <f t="shared" si="37"/>
        <v>No</v>
      </c>
      <c r="AB1193" s="158"/>
      <c r="AC1193" s="159"/>
      <c r="AD1193" s="160"/>
    </row>
    <row r="1194" spans="1:30">
      <c r="A1194" s="155"/>
      <c r="B1194" s="112" t="str">
        <f t="shared" si="36"/>
        <v/>
      </c>
      <c r="C1194" s="183"/>
      <c r="D1194" s="152"/>
      <c r="E1194" s="152"/>
      <c r="F1194" s="151"/>
      <c r="G1194" s="153"/>
      <c r="H1194" s="151"/>
      <c r="I1194" s="151"/>
      <c r="J1194" s="151"/>
      <c r="K1194" s="151"/>
      <c r="L1194" s="151"/>
      <c r="M1194" s="151"/>
      <c r="N1194" s="151"/>
      <c r="O1194" s="151"/>
      <c r="P1194" s="151"/>
      <c r="Q1194" s="151"/>
      <c r="R1194" s="151"/>
      <c r="S1194" s="152"/>
      <c r="T1194" s="151"/>
      <c r="U1194" s="151"/>
      <c r="V1194" s="153"/>
      <c r="W1194" s="151"/>
      <c r="X1194" s="151"/>
      <c r="Y1194" s="153"/>
      <c r="Z1194" s="151"/>
      <c r="AA1194" s="187" t="str">
        <f t="shared" si="37"/>
        <v>No</v>
      </c>
      <c r="AB1194" s="158"/>
      <c r="AC1194" s="159"/>
      <c r="AD1194" s="160"/>
    </row>
    <row r="1195" spans="1:30">
      <c r="A1195" s="155"/>
      <c r="B1195" s="112" t="str">
        <f t="shared" si="36"/>
        <v/>
      </c>
      <c r="C1195" s="183"/>
      <c r="D1195" s="152"/>
      <c r="E1195" s="152"/>
      <c r="F1195" s="151"/>
      <c r="G1195" s="153"/>
      <c r="H1195" s="151"/>
      <c r="I1195" s="151"/>
      <c r="J1195" s="151"/>
      <c r="K1195" s="151"/>
      <c r="L1195" s="151"/>
      <c r="M1195" s="151"/>
      <c r="N1195" s="151"/>
      <c r="O1195" s="151"/>
      <c r="P1195" s="151"/>
      <c r="Q1195" s="151"/>
      <c r="R1195" s="151"/>
      <c r="S1195" s="152"/>
      <c r="T1195" s="151"/>
      <c r="U1195" s="151"/>
      <c r="V1195" s="153"/>
      <c r="W1195" s="151"/>
      <c r="X1195" s="151"/>
      <c r="Y1195" s="153"/>
      <c r="Z1195" s="151"/>
      <c r="AA1195" s="187" t="str">
        <f t="shared" si="37"/>
        <v>No</v>
      </c>
      <c r="AB1195" s="158"/>
      <c r="AC1195" s="159"/>
      <c r="AD1195" s="160"/>
    </row>
    <row r="1196" spans="1:30">
      <c r="A1196" s="155"/>
      <c r="B1196" s="112" t="str">
        <f t="shared" si="36"/>
        <v/>
      </c>
      <c r="C1196" s="183"/>
      <c r="D1196" s="152"/>
      <c r="E1196" s="152"/>
      <c r="F1196" s="151"/>
      <c r="G1196" s="153"/>
      <c r="H1196" s="151"/>
      <c r="I1196" s="151"/>
      <c r="J1196" s="151"/>
      <c r="K1196" s="151"/>
      <c r="L1196" s="151"/>
      <c r="M1196" s="151"/>
      <c r="N1196" s="151"/>
      <c r="O1196" s="151"/>
      <c r="P1196" s="151"/>
      <c r="Q1196" s="151"/>
      <c r="R1196" s="151"/>
      <c r="S1196" s="152"/>
      <c r="T1196" s="151"/>
      <c r="U1196" s="151"/>
      <c r="V1196" s="153"/>
      <c r="W1196" s="151"/>
      <c r="X1196" s="151"/>
      <c r="Y1196" s="153"/>
      <c r="Z1196" s="151"/>
      <c r="AA1196" s="187" t="str">
        <f t="shared" si="37"/>
        <v>No</v>
      </c>
      <c r="AB1196" s="158"/>
      <c r="AC1196" s="159"/>
      <c r="AD1196" s="160"/>
    </row>
    <row r="1197" spans="1:30">
      <c r="A1197" s="155"/>
      <c r="B1197" s="112" t="str">
        <f t="shared" si="36"/>
        <v/>
      </c>
      <c r="C1197" s="183"/>
      <c r="D1197" s="152"/>
      <c r="E1197" s="152"/>
      <c r="F1197" s="151"/>
      <c r="G1197" s="153"/>
      <c r="H1197" s="151"/>
      <c r="I1197" s="151"/>
      <c r="J1197" s="151"/>
      <c r="K1197" s="151"/>
      <c r="L1197" s="151"/>
      <c r="M1197" s="151"/>
      <c r="N1197" s="151"/>
      <c r="O1197" s="151"/>
      <c r="P1197" s="151"/>
      <c r="Q1197" s="151"/>
      <c r="R1197" s="151"/>
      <c r="S1197" s="152"/>
      <c r="T1197" s="151"/>
      <c r="U1197" s="151"/>
      <c r="V1197" s="153"/>
      <c r="W1197" s="151"/>
      <c r="X1197" s="151"/>
      <c r="Y1197" s="153"/>
      <c r="Z1197" s="151"/>
      <c r="AA1197" s="187" t="str">
        <f t="shared" si="37"/>
        <v>No</v>
      </c>
      <c r="AB1197" s="158"/>
      <c r="AC1197" s="159"/>
      <c r="AD1197" s="160"/>
    </row>
    <row r="1198" spans="1:30">
      <c r="A1198" s="155"/>
      <c r="B1198" s="112" t="str">
        <f t="shared" si="36"/>
        <v/>
      </c>
      <c r="C1198" s="183"/>
      <c r="D1198" s="152"/>
      <c r="E1198" s="152"/>
      <c r="F1198" s="151"/>
      <c r="G1198" s="153"/>
      <c r="H1198" s="151"/>
      <c r="I1198" s="151"/>
      <c r="J1198" s="151"/>
      <c r="K1198" s="151"/>
      <c r="L1198" s="151"/>
      <c r="M1198" s="151"/>
      <c r="N1198" s="151"/>
      <c r="O1198" s="151"/>
      <c r="P1198" s="151"/>
      <c r="Q1198" s="151"/>
      <c r="R1198" s="151"/>
      <c r="S1198" s="152"/>
      <c r="T1198" s="151"/>
      <c r="U1198" s="151"/>
      <c r="V1198" s="153"/>
      <c r="W1198" s="151"/>
      <c r="X1198" s="151"/>
      <c r="Y1198" s="153"/>
      <c r="Z1198" s="151"/>
      <c r="AA1198" s="187" t="str">
        <f t="shared" si="37"/>
        <v>No</v>
      </c>
      <c r="AB1198" s="158"/>
      <c r="AC1198" s="159"/>
      <c r="AD1198" s="160"/>
    </row>
    <row r="1199" spans="1:30">
      <c r="A1199" s="155"/>
      <c r="B1199" s="112" t="str">
        <f t="shared" si="36"/>
        <v/>
      </c>
      <c r="C1199" s="183"/>
      <c r="D1199" s="152"/>
      <c r="E1199" s="152"/>
      <c r="F1199" s="151"/>
      <c r="G1199" s="153"/>
      <c r="H1199" s="151"/>
      <c r="I1199" s="151"/>
      <c r="J1199" s="151"/>
      <c r="K1199" s="151"/>
      <c r="L1199" s="151"/>
      <c r="M1199" s="151"/>
      <c r="N1199" s="151"/>
      <c r="O1199" s="151"/>
      <c r="P1199" s="151"/>
      <c r="Q1199" s="151"/>
      <c r="R1199" s="151"/>
      <c r="S1199" s="152"/>
      <c r="T1199" s="151"/>
      <c r="U1199" s="151"/>
      <c r="V1199" s="153"/>
      <c r="W1199" s="151"/>
      <c r="X1199" s="151"/>
      <c r="Y1199" s="153"/>
      <c r="Z1199" s="151"/>
      <c r="AA1199" s="187" t="str">
        <f t="shared" si="37"/>
        <v>No</v>
      </c>
      <c r="AB1199" s="158"/>
      <c r="AC1199" s="159"/>
      <c r="AD1199" s="160"/>
    </row>
    <row r="1200" spans="1:30">
      <c r="A1200" s="155"/>
      <c r="B1200" s="112" t="str">
        <f t="shared" si="36"/>
        <v/>
      </c>
      <c r="C1200" s="183"/>
      <c r="D1200" s="152"/>
      <c r="E1200" s="152"/>
      <c r="F1200" s="151"/>
      <c r="G1200" s="153"/>
      <c r="H1200" s="151"/>
      <c r="I1200" s="151"/>
      <c r="J1200" s="151"/>
      <c r="K1200" s="151"/>
      <c r="L1200" s="151"/>
      <c r="M1200" s="151"/>
      <c r="N1200" s="151"/>
      <c r="O1200" s="151"/>
      <c r="P1200" s="151"/>
      <c r="Q1200" s="151"/>
      <c r="R1200" s="151"/>
      <c r="S1200" s="152"/>
      <c r="T1200" s="151"/>
      <c r="U1200" s="151"/>
      <c r="V1200" s="153"/>
      <c r="W1200" s="151"/>
      <c r="X1200" s="151"/>
      <c r="Y1200" s="153"/>
      <c r="Z1200" s="151"/>
      <c r="AA1200" s="187" t="str">
        <f t="shared" si="37"/>
        <v>No</v>
      </c>
      <c r="AB1200" s="158"/>
      <c r="AC1200" s="159"/>
      <c r="AD1200" s="160"/>
    </row>
    <row r="1201" spans="1:30">
      <c r="A1201" s="155"/>
      <c r="B1201" s="112" t="str">
        <f t="shared" si="36"/>
        <v/>
      </c>
      <c r="C1201" s="183"/>
      <c r="D1201" s="152"/>
      <c r="E1201" s="152"/>
      <c r="F1201" s="151"/>
      <c r="G1201" s="153"/>
      <c r="H1201" s="151"/>
      <c r="I1201" s="151"/>
      <c r="J1201" s="151"/>
      <c r="K1201" s="151"/>
      <c r="L1201" s="151"/>
      <c r="M1201" s="151"/>
      <c r="N1201" s="151"/>
      <c r="O1201" s="151"/>
      <c r="P1201" s="151"/>
      <c r="Q1201" s="151"/>
      <c r="R1201" s="151"/>
      <c r="S1201" s="152"/>
      <c r="T1201" s="151"/>
      <c r="U1201" s="151"/>
      <c r="V1201" s="153"/>
      <c r="W1201" s="151"/>
      <c r="X1201" s="151"/>
      <c r="Y1201" s="153"/>
      <c r="Z1201" s="151"/>
      <c r="AA1201" s="187" t="str">
        <f t="shared" si="37"/>
        <v>No</v>
      </c>
      <c r="AB1201" s="158"/>
      <c r="AC1201" s="159"/>
      <c r="AD1201" s="160"/>
    </row>
    <row r="1202" spans="1:30">
      <c r="A1202" s="155"/>
      <c r="B1202" s="112" t="str">
        <f t="shared" si="36"/>
        <v/>
      </c>
      <c r="C1202" s="183"/>
      <c r="D1202" s="152"/>
      <c r="E1202" s="152"/>
      <c r="F1202" s="151"/>
      <c r="G1202" s="153"/>
      <c r="H1202" s="151"/>
      <c r="I1202" s="151"/>
      <c r="J1202" s="151"/>
      <c r="K1202" s="151"/>
      <c r="L1202" s="151"/>
      <c r="M1202" s="151"/>
      <c r="N1202" s="151"/>
      <c r="O1202" s="151"/>
      <c r="P1202" s="151"/>
      <c r="Q1202" s="151"/>
      <c r="R1202" s="151"/>
      <c r="S1202" s="152"/>
      <c r="T1202" s="151"/>
      <c r="U1202" s="151"/>
      <c r="V1202" s="153"/>
      <c r="W1202" s="151"/>
      <c r="X1202" s="151"/>
      <c r="Y1202" s="153"/>
      <c r="Z1202" s="151"/>
      <c r="AA1202" s="187" t="str">
        <f t="shared" si="37"/>
        <v>No</v>
      </c>
      <c r="AB1202" s="158"/>
      <c r="AC1202" s="159"/>
      <c r="AD1202" s="160"/>
    </row>
    <row r="1203" spans="1:30">
      <c r="A1203" s="155"/>
      <c r="B1203" s="112" t="str">
        <f t="shared" si="36"/>
        <v/>
      </c>
      <c r="C1203" s="183"/>
      <c r="D1203" s="152"/>
      <c r="E1203" s="152"/>
      <c r="F1203" s="151"/>
      <c r="G1203" s="153"/>
      <c r="H1203" s="151"/>
      <c r="I1203" s="151"/>
      <c r="J1203" s="151"/>
      <c r="K1203" s="151"/>
      <c r="L1203" s="151"/>
      <c r="M1203" s="151"/>
      <c r="N1203" s="151"/>
      <c r="O1203" s="151"/>
      <c r="P1203" s="151"/>
      <c r="Q1203" s="151"/>
      <c r="R1203" s="151"/>
      <c r="S1203" s="152"/>
      <c r="T1203" s="151"/>
      <c r="U1203" s="151"/>
      <c r="V1203" s="153"/>
      <c r="W1203" s="151"/>
      <c r="X1203" s="151"/>
      <c r="Y1203" s="153"/>
      <c r="Z1203" s="151"/>
      <c r="AA1203" s="187" t="str">
        <f t="shared" si="37"/>
        <v>No</v>
      </c>
      <c r="AB1203" s="158"/>
      <c r="AC1203" s="159"/>
      <c r="AD1203" s="160"/>
    </row>
    <row r="1204" spans="1:30">
      <c r="A1204" s="155"/>
      <c r="B1204" s="112" t="str">
        <f t="shared" si="36"/>
        <v/>
      </c>
      <c r="C1204" s="183"/>
      <c r="D1204" s="152"/>
      <c r="E1204" s="152"/>
      <c r="F1204" s="151"/>
      <c r="G1204" s="153"/>
      <c r="H1204" s="151"/>
      <c r="I1204" s="151"/>
      <c r="J1204" s="151"/>
      <c r="K1204" s="151"/>
      <c r="L1204" s="151"/>
      <c r="M1204" s="151"/>
      <c r="N1204" s="151"/>
      <c r="O1204" s="151"/>
      <c r="P1204" s="151"/>
      <c r="Q1204" s="151"/>
      <c r="R1204" s="151"/>
      <c r="S1204" s="152"/>
      <c r="T1204" s="151"/>
      <c r="U1204" s="151"/>
      <c r="V1204" s="153"/>
      <c r="W1204" s="151"/>
      <c r="X1204" s="151"/>
      <c r="Y1204" s="153"/>
      <c r="Z1204" s="151"/>
      <c r="AA1204" s="187" t="str">
        <f t="shared" si="37"/>
        <v>No</v>
      </c>
      <c r="AB1204" s="158"/>
      <c r="AC1204" s="159"/>
      <c r="AD1204" s="160"/>
    </row>
    <row r="1205" spans="1:30">
      <c r="A1205" s="155"/>
      <c r="B1205" s="112" t="str">
        <f t="shared" si="36"/>
        <v/>
      </c>
      <c r="C1205" s="183"/>
      <c r="D1205" s="152"/>
      <c r="E1205" s="152"/>
      <c r="F1205" s="151"/>
      <c r="G1205" s="153"/>
      <c r="H1205" s="151"/>
      <c r="I1205" s="151"/>
      <c r="J1205" s="151"/>
      <c r="K1205" s="151"/>
      <c r="L1205" s="151"/>
      <c r="M1205" s="151"/>
      <c r="N1205" s="151"/>
      <c r="O1205" s="151"/>
      <c r="P1205" s="151"/>
      <c r="Q1205" s="151"/>
      <c r="R1205" s="151"/>
      <c r="S1205" s="152"/>
      <c r="T1205" s="151"/>
      <c r="U1205" s="151"/>
      <c r="V1205" s="153"/>
      <c r="W1205" s="151"/>
      <c r="X1205" s="151"/>
      <c r="Y1205" s="153"/>
      <c r="Z1205" s="151"/>
      <c r="AA1205" s="187" t="str">
        <f t="shared" si="37"/>
        <v>No</v>
      </c>
      <c r="AB1205" s="158"/>
      <c r="AC1205" s="159"/>
      <c r="AD1205" s="160"/>
    </row>
    <row r="1206" spans="1:30">
      <c r="A1206" s="155"/>
      <c r="B1206" s="112" t="str">
        <f t="shared" si="36"/>
        <v/>
      </c>
      <c r="C1206" s="183"/>
      <c r="D1206" s="152"/>
      <c r="E1206" s="152"/>
      <c r="F1206" s="151"/>
      <c r="G1206" s="153"/>
      <c r="H1206" s="151"/>
      <c r="I1206" s="151"/>
      <c r="J1206" s="151"/>
      <c r="K1206" s="151"/>
      <c r="L1206" s="151"/>
      <c r="M1206" s="151"/>
      <c r="N1206" s="151"/>
      <c r="O1206" s="151"/>
      <c r="P1206" s="151"/>
      <c r="Q1206" s="151"/>
      <c r="R1206" s="151"/>
      <c r="S1206" s="152"/>
      <c r="T1206" s="151"/>
      <c r="U1206" s="151"/>
      <c r="V1206" s="153"/>
      <c r="W1206" s="151"/>
      <c r="X1206" s="151"/>
      <c r="Y1206" s="153"/>
      <c r="Z1206" s="151"/>
      <c r="AA1206" s="187" t="str">
        <f t="shared" si="37"/>
        <v>No</v>
      </c>
      <c r="AB1206" s="158"/>
      <c r="AC1206" s="159"/>
      <c r="AD1206" s="160"/>
    </row>
    <row r="1207" spans="1:30">
      <c r="A1207" s="155"/>
      <c r="B1207" s="112" t="str">
        <f t="shared" si="36"/>
        <v/>
      </c>
      <c r="C1207" s="183"/>
      <c r="D1207" s="152"/>
      <c r="E1207" s="152"/>
      <c r="F1207" s="151"/>
      <c r="G1207" s="153"/>
      <c r="H1207" s="151"/>
      <c r="I1207" s="151"/>
      <c r="J1207" s="151"/>
      <c r="K1207" s="151"/>
      <c r="L1207" s="151"/>
      <c r="M1207" s="151"/>
      <c r="N1207" s="151"/>
      <c r="O1207" s="151"/>
      <c r="P1207" s="151"/>
      <c r="Q1207" s="151"/>
      <c r="R1207" s="151"/>
      <c r="S1207" s="152"/>
      <c r="T1207" s="151"/>
      <c r="U1207" s="151"/>
      <c r="V1207" s="153"/>
      <c r="W1207" s="151"/>
      <c r="X1207" s="151"/>
      <c r="Y1207" s="153"/>
      <c r="Z1207" s="151"/>
      <c r="AA1207" s="187" t="str">
        <f t="shared" si="37"/>
        <v>No</v>
      </c>
      <c r="AB1207" s="158"/>
      <c r="AC1207" s="159"/>
      <c r="AD1207" s="160"/>
    </row>
    <row r="1208" spans="1:30">
      <c r="A1208" s="155"/>
      <c r="B1208" s="112" t="str">
        <f t="shared" si="36"/>
        <v/>
      </c>
      <c r="C1208" s="183"/>
      <c r="D1208" s="152"/>
      <c r="E1208" s="152"/>
      <c r="F1208" s="151"/>
      <c r="G1208" s="153"/>
      <c r="H1208" s="151"/>
      <c r="I1208" s="151"/>
      <c r="J1208" s="151"/>
      <c r="K1208" s="151"/>
      <c r="L1208" s="151"/>
      <c r="M1208" s="151"/>
      <c r="N1208" s="151"/>
      <c r="O1208" s="151"/>
      <c r="P1208" s="151"/>
      <c r="Q1208" s="151"/>
      <c r="R1208" s="151"/>
      <c r="S1208" s="152"/>
      <c r="T1208" s="151"/>
      <c r="U1208" s="151"/>
      <c r="V1208" s="153"/>
      <c r="W1208" s="151"/>
      <c r="X1208" s="151"/>
      <c r="Y1208" s="153"/>
      <c r="Z1208" s="151"/>
      <c r="AA1208" s="187" t="str">
        <f t="shared" si="37"/>
        <v>No</v>
      </c>
      <c r="AB1208" s="158"/>
      <c r="AC1208" s="159"/>
      <c r="AD1208" s="160"/>
    </row>
    <row r="1209" spans="1:30">
      <c r="A1209" s="155"/>
      <c r="B1209" s="112" t="str">
        <f t="shared" si="36"/>
        <v/>
      </c>
      <c r="C1209" s="183"/>
      <c r="D1209" s="152"/>
      <c r="E1209" s="152"/>
      <c r="F1209" s="151"/>
      <c r="G1209" s="153"/>
      <c r="H1209" s="151"/>
      <c r="I1209" s="151"/>
      <c r="J1209" s="151"/>
      <c r="K1209" s="151"/>
      <c r="L1209" s="151"/>
      <c r="M1209" s="151"/>
      <c r="N1209" s="151"/>
      <c r="O1209" s="151"/>
      <c r="P1209" s="151"/>
      <c r="Q1209" s="151"/>
      <c r="R1209" s="151"/>
      <c r="S1209" s="152"/>
      <c r="T1209" s="151"/>
      <c r="U1209" s="151"/>
      <c r="V1209" s="153"/>
      <c r="W1209" s="151"/>
      <c r="X1209" s="151"/>
      <c r="Y1209" s="153"/>
      <c r="Z1209" s="151"/>
      <c r="AA1209" s="187" t="str">
        <f t="shared" si="37"/>
        <v>No</v>
      </c>
      <c r="AB1209" s="158"/>
      <c r="AC1209" s="159"/>
      <c r="AD1209" s="160"/>
    </row>
    <row r="1210" spans="1:30">
      <c r="A1210" s="155"/>
      <c r="B1210" s="112" t="str">
        <f t="shared" si="36"/>
        <v/>
      </c>
      <c r="C1210" s="183"/>
      <c r="D1210" s="152"/>
      <c r="E1210" s="152"/>
      <c r="F1210" s="151"/>
      <c r="G1210" s="153"/>
      <c r="H1210" s="151"/>
      <c r="I1210" s="151"/>
      <c r="J1210" s="151"/>
      <c r="K1210" s="151"/>
      <c r="L1210" s="151"/>
      <c r="M1210" s="151"/>
      <c r="N1210" s="151"/>
      <c r="O1210" s="151"/>
      <c r="P1210" s="151"/>
      <c r="Q1210" s="151"/>
      <c r="R1210" s="151"/>
      <c r="S1210" s="152"/>
      <c r="T1210" s="151"/>
      <c r="U1210" s="151"/>
      <c r="V1210" s="153"/>
      <c r="W1210" s="151"/>
      <c r="X1210" s="151"/>
      <c r="Y1210" s="153"/>
      <c r="Z1210" s="151"/>
      <c r="AA1210" s="187" t="str">
        <f t="shared" si="37"/>
        <v>No</v>
      </c>
      <c r="AB1210" s="158"/>
      <c r="AC1210" s="159"/>
      <c r="AD1210" s="160"/>
    </row>
    <row r="1211" spans="1:30">
      <c r="A1211" s="155"/>
      <c r="B1211" s="112" t="str">
        <f t="shared" si="36"/>
        <v/>
      </c>
      <c r="C1211" s="183"/>
      <c r="D1211" s="152"/>
      <c r="E1211" s="152"/>
      <c r="F1211" s="151"/>
      <c r="G1211" s="153"/>
      <c r="H1211" s="151"/>
      <c r="I1211" s="151"/>
      <c r="J1211" s="151"/>
      <c r="K1211" s="151"/>
      <c r="L1211" s="151"/>
      <c r="M1211" s="151"/>
      <c r="N1211" s="151"/>
      <c r="O1211" s="151"/>
      <c r="P1211" s="151"/>
      <c r="Q1211" s="151"/>
      <c r="R1211" s="151"/>
      <c r="S1211" s="152"/>
      <c r="T1211" s="151"/>
      <c r="U1211" s="151"/>
      <c r="V1211" s="153"/>
      <c r="W1211" s="151"/>
      <c r="X1211" s="151"/>
      <c r="Y1211" s="153"/>
      <c r="Z1211" s="151"/>
      <c r="AA1211" s="187" t="str">
        <f t="shared" si="37"/>
        <v>No</v>
      </c>
      <c r="AB1211" s="158"/>
      <c r="AC1211" s="159"/>
      <c r="AD1211" s="160"/>
    </row>
    <row r="1212" spans="1:30">
      <c r="A1212" s="155"/>
      <c r="B1212" s="112" t="str">
        <f t="shared" si="36"/>
        <v/>
      </c>
      <c r="C1212" s="183"/>
      <c r="D1212" s="152"/>
      <c r="E1212" s="152"/>
      <c r="F1212" s="151"/>
      <c r="G1212" s="153"/>
      <c r="H1212" s="151"/>
      <c r="I1212" s="151"/>
      <c r="J1212" s="151"/>
      <c r="K1212" s="151"/>
      <c r="L1212" s="151"/>
      <c r="M1212" s="151"/>
      <c r="N1212" s="151"/>
      <c r="O1212" s="151"/>
      <c r="P1212" s="151"/>
      <c r="Q1212" s="151"/>
      <c r="R1212" s="151"/>
      <c r="S1212" s="152"/>
      <c r="T1212" s="151"/>
      <c r="U1212" s="151"/>
      <c r="V1212" s="153"/>
      <c r="W1212" s="151"/>
      <c r="X1212" s="151"/>
      <c r="Y1212" s="153"/>
      <c r="Z1212" s="151"/>
      <c r="AA1212" s="187" t="str">
        <f t="shared" si="37"/>
        <v>No</v>
      </c>
      <c r="AB1212" s="158"/>
      <c r="AC1212" s="159"/>
      <c r="AD1212" s="160"/>
    </row>
    <row r="1213" spans="1:30">
      <c r="A1213" s="155"/>
      <c r="B1213" s="112" t="str">
        <f t="shared" si="36"/>
        <v/>
      </c>
      <c r="C1213" s="183"/>
      <c r="D1213" s="152"/>
      <c r="E1213" s="152"/>
      <c r="F1213" s="151"/>
      <c r="G1213" s="153"/>
      <c r="H1213" s="151"/>
      <c r="I1213" s="151"/>
      <c r="J1213" s="151"/>
      <c r="K1213" s="151"/>
      <c r="L1213" s="151"/>
      <c r="M1213" s="151"/>
      <c r="N1213" s="151"/>
      <c r="O1213" s="151"/>
      <c r="P1213" s="151"/>
      <c r="Q1213" s="151"/>
      <c r="R1213" s="151"/>
      <c r="S1213" s="152"/>
      <c r="T1213" s="151"/>
      <c r="U1213" s="151"/>
      <c r="V1213" s="153"/>
      <c r="W1213" s="151"/>
      <c r="X1213" s="151"/>
      <c r="Y1213" s="153"/>
      <c r="Z1213" s="151"/>
      <c r="AA1213" s="187" t="str">
        <f t="shared" si="37"/>
        <v>No</v>
      </c>
      <c r="AB1213" s="158"/>
      <c r="AC1213" s="159"/>
      <c r="AD1213" s="160"/>
    </row>
    <row r="1214" spans="1:30">
      <c r="A1214" s="155"/>
      <c r="B1214" s="112" t="str">
        <f t="shared" si="36"/>
        <v/>
      </c>
      <c r="C1214" s="183"/>
      <c r="D1214" s="152"/>
      <c r="E1214" s="152"/>
      <c r="F1214" s="151"/>
      <c r="G1214" s="153"/>
      <c r="H1214" s="151"/>
      <c r="I1214" s="151"/>
      <c r="J1214" s="151"/>
      <c r="K1214" s="151"/>
      <c r="L1214" s="151"/>
      <c r="M1214" s="151"/>
      <c r="N1214" s="151"/>
      <c r="O1214" s="151"/>
      <c r="P1214" s="151"/>
      <c r="Q1214" s="151"/>
      <c r="R1214" s="151"/>
      <c r="S1214" s="152"/>
      <c r="T1214" s="151"/>
      <c r="U1214" s="151"/>
      <c r="V1214" s="153"/>
      <c r="W1214" s="151"/>
      <c r="X1214" s="151"/>
      <c r="Y1214" s="153"/>
      <c r="Z1214" s="151"/>
      <c r="AA1214" s="187" t="str">
        <f t="shared" si="37"/>
        <v>No</v>
      </c>
      <c r="AB1214" s="158"/>
      <c r="AC1214" s="159"/>
      <c r="AD1214" s="160"/>
    </row>
    <row r="1215" spans="1:30">
      <c r="A1215" s="155"/>
      <c r="B1215" s="112" t="str">
        <f t="shared" si="36"/>
        <v/>
      </c>
      <c r="C1215" s="183"/>
      <c r="D1215" s="152"/>
      <c r="E1215" s="152"/>
      <c r="F1215" s="151"/>
      <c r="G1215" s="153"/>
      <c r="H1215" s="151"/>
      <c r="I1215" s="151"/>
      <c r="J1215" s="151"/>
      <c r="K1215" s="151"/>
      <c r="L1215" s="151"/>
      <c r="M1215" s="151"/>
      <c r="N1215" s="151"/>
      <c r="O1215" s="151"/>
      <c r="P1215" s="151"/>
      <c r="Q1215" s="151"/>
      <c r="R1215" s="151"/>
      <c r="S1215" s="152"/>
      <c r="T1215" s="151"/>
      <c r="U1215" s="151"/>
      <c r="V1215" s="153"/>
      <c r="W1215" s="151"/>
      <c r="X1215" s="151"/>
      <c r="Y1215" s="153"/>
      <c r="Z1215" s="151"/>
      <c r="AA1215" s="187" t="str">
        <f t="shared" si="37"/>
        <v>No</v>
      </c>
      <c r="AB1215" s="158"/>
      <c r="AC1215" s="159"/>
      <c r="AD1215" s="160"/>
    </row>
    <row r="1216" spans="1:30">
      <c r="A1216" s="155"/>
      <c r="B1216" s="112" t="str">
        <f t="shared" si="36"/>
        <v/>
      </c>
      <c r="C1216" s="183"/>
      <c r="D1216" s="152"/>
      <c r="E1216" s="152"/>
      <c r="F1216" s="151"/>
      <c r="G1216" s="153"/>
      <c r="H1216" s="151"/>
      <c r="I1216" s="151"/>
      <c r="J1216" s="151"/>
      <c r="K1216" s="151"/>
      <c r="L1216" s="151"/>
      <c r="M1216" s="151"/>
      <c r="N1216" s="151"/>
      <c r="O1216" s="151"/>
      <c r="P1216" s="151"/>
      <c r="Q1216" s="151"/>
      <c r="R1216" s="151"/>
      <c r="S1216" s="152"/>
      <c r="T1216" s="151"/>
      <c r="U1216" s="151"/>
      <c r="V1216" s="153"/>
      <c r="W1216" s="151"/>
      <c r="X1216" s="151"/>
      <c r="Y1216" s="153"/>
      <c r="Z1216" s="151"/>
      <c r="AA1216" s="187" t="str">
        <f t="shared" si="37"/>
        <v>No</v>
      </c>
      <c r="AB1216" s="158"/>
      <c r="AC1216" s="159"/>
      <c r="AD1216" s="160"/>
    </row>
    <row r="1217" spans="1:30">
      <c r="A1217" s="155"/>
      <c r="B1217" s="112" t="str">
        <f t="shared" si="36"/>
        <v/>
      </c>
      <c r="C1217" s="183"/>
      <c r="D1217" s="152"/>
      <c r="E1217" s="152"/>
      <c r="F1217" s="151"/>
      <c r="G1217" s="153"/>
      <c r="H1217" s="151"/>
      <c r="I1217" s="151"/>
      <c r="J1217" s="151"/>
      <c r="K1217" s="151"/>
      <c r="L1217" s="151"/>
      <c r="M1217" s="151"/>
      <c r="N1217" s="151"/>
      <c r="O1217" s="151"/>
      <c r="P1217" s="151"/>
      <c r="Q1217" s="151"/>
      <c r="R1217" s="151"/>
      <c r="S1217" s="152"/>
      <c r="T1217" s="151"/>
      <c r="U1217" s="151"/>
      <c r="V1217" s="153"/>
      <c r="W1217" s="151"/>
      <c r="X1217" s="151"/>
      <c r="Y1217" s="153"/>
      <c r="Z1217" s="151"/>
      <c r="AA1217" s="187" t="str">
        <f t="shared" si="37"/>
        <v>No</v>
      </c>
      <c r="AB1217" s="158"/>
      <c r="AC1217" s="159"/>
      <c r="AD1217" s="160"/>
    </row>
    <row r="1218" spans="1:30">
      <c r="A1218" s="155"/>
      <c r="B1218" s="112" t="str">
        <f t="shared" si="36"/>
        <v/>
      </c>
      <c r="C1218" s="183"/>
      <c r="D1218" s="152"/>
      <c r="E1218" s="152"/>
      <c r="F1218" s="151"/>
      <c r="G1218" s="153"/>
      <c r="H1218" s="151"/>
      <c r="I1218" s="151"/>
      <c r="J1218" s="151"/>
      <c r="K1218" s="151"/>
      <c r="L1218" s="151"/>
      <c r="M1218" s="151"/>
      <c r="N1218" s="151"/>
      <c r="O1218" s="151"/>
      <c r="P1218" s="151"/>
      <c r="Q1218" s="151"/>
      <c r="R1218" s="151"/>
      <c r="S1218" s="152"/>
      <c r="T1218" s="151"/>
      <c r="U1218" s="151"/>
      <c r="V1218" s="153"/>
      <c r="W1218" s="151"/>
      <c r="X1218" s="151"/>
      <c r="Y1218" s="153"/>
      <c r="Z1218" s="151"/>
      <c r="AA1218" s="187" t="str">
        <f t="shared" si="37"/>
        <v>No</v>
      </c>
      <c r="AB1218" s="158"/>
      <c r="AC1218" s="159"/>
      <c r="AD1218" s="160"/>
    </row>
    <row r="1219" spans="1:30">
      <c r="A1219" s="155"/>
      <c r="B1219" s="112" t="str">
        <f t="shared" si="36"/>
        <v/>
      </c>
      <c r="C1219" s="183"/>
      <c r="D1219" s="152"/>
      <c r="E1219" s="152"/>
      <c r="F1219" s="151"/>
      <c r="G1219" s="153"/>
      <c r="H1219" s="151"/>
      <c r="I1219" s="151"/>
      <c r="J1219" s="151"/>
      <c r="K1219" s="151"/>
      <c r="L1219" s="151"/>
      <c r="M1219" s="151"/>
      <c r="N1219" s="151"/>
      <c r="O1219" s="151"/>
      <c r="P1219" s="151"/>
      <c r="Q1219" s="151"/>
      <c r="R1219" s="151"/>
      <c r="S1219" s="152"/>
      <c r="T1219" s="151"/>
      <c r="U1219" s="151"/>
      <c r="V1219" s="153"/>
      <c r="W1219" s="151"/>
      <c r="X1219" s="151"/>
      <c r="Y1219" s="153"/>
      <c r="Z1219" s="151"/>
      <c r="AA1219" s="187" t="str">
        <f t="shared" si="37"/>
        <v>No</v>
      </c>
      <c r="AB1219" s="158"/>
      <c r="AC1219" s="159"/>
      <c r="AD1219" s="160"/>
    </row>
    <row r="1220" spans="1:30">
      <c r="A1220" s="155"/>
      <c r="B1220" s="112" t="str">
        <f t="shared" si="36"/>
        <v/>
      </c>
      <c r="C1220" s="183"/>
      <c r="D1220" s="152"/>
      <c r="E1220" s="152"/>
      <c r="F1220" s="151"/>
      <c r="G1220" s="153"/>
      <c r="H1220" s="151"/>
      <c r="I1220" s="151"/>
      <c r="J1220" s="151"/>
      <c r="K1220" s="151"/>
      <c r="L1220" s="151"/>
      <c r="M1220" s="151"/>
      <c r="N1220" s="151"/>
      <c r="O1220" s="151"/>
      <c r="P1220" s="151"/>
      <c r="Q1220" s="151"/>
      <c r="R1220" s="151"/>
      <c r="S1220" s="152"/>
      <c r="T1220" s="151"/>
      <c r="U1220" s="151"/>
      <c r="V1220" s="153"/>
      <c r="W1220" s="151"/>
      <c r="X1220" s="151"/>
      <c r="Y1220" s="153"/>
      <c r="Z1220" s="151"/>
      <c r="AA1220" s="187" t="str">
        <f t="shared" si="37"/>
        <v>No</v>
      </c>
      <c r="AB1220" s="158"/>
      <c r="AC1220" s="159"/>
      <c r="AD1220" s="160"/>
    </row>
    <row r="1221" spans="1:30">
      <c r="A1221" s="155"/>
      <c r="B1221" s="112" t="str">
        <f t="shared" ref="B1221:B1284" si="38">IF(AND(A1221&lt;&gt;"",D1221&lt;&gt;"",J1221&lt;&gt;"",N1221&lt;&gt;""),TEXT(D1221,"YY")&amp;"-"&amp;TEXT(D1221,"MMM")&amp;"-"&amp;UPPER(LEFT(TRIM(N1221),2))&amp;"-"&amp;UPPER(LEFT(TRIM(J1221),3))&amp;"-"&amp;A1221,"")</f>
        <v/>
      </c>
      <c r="C1221" s="183"/>
      <c r="D1221" s="152"/>
      <c r="E1221" s="152"/>
      <c r="F1221" s="151"/>
      <c r="G1221" s="153"/>
      <c r="H1221" s="151"/>
      <c r="I1221" s="151"/>
      <c r="J1221" s="151"/>
      <c r="K1221" s="151"/>
      <c r="L1221" s="151"/>
      <c r="M1221" s="151"/>
      <c r="N1221" s="151"/>
      <c r="O1221" s="151"/>
      <c r="P1221" s="151"/>
      <c r="Q1221" s="151"/>
      <c r="R1221" s="151"/>
      <c r="S1221" s="152"/>
      <c r="T1221" s="151"/>
      <c r="U1221" s="151"/>
      <c r="V1221" s="153"/>
      <c r="W1221" s="151"/>
      <c r="X1221" s="151"/>
      <c r="Y1221" s="153"/>
      <c r="Z1221" s="151"/>
      <c r="AA1221" s="187" t="str">
        <f t="shared" ref="AA1221:AA1284" si="39">IF(E1221="","No","Yes")</f>
        <v>No</v>
      </c>
      <c r="AB1221" s="158"/>
      <c r="AC1221" s="159"/>
      <c r="AD1221" s="160"/>
    </row>
    <row r="1222" spans="1:30">
      <c r="A1222" s="155"/>
      <c r="B1222" s="112" t="str">
        <f t="shared" si="38"/>
        <v/>
      </c>
      <c r="C1222" s="183"/>
      <c r="D1222" s="152"/>
      <c r="E1222" s="152"/>
      <c r="F1222" s="151"/>
      <c r="G1222" s="153"/>
      <c r="H1222" s="151"/>
      <c r="I1222" s="151"/>
      <c r="J1222" s="151"/>
      <c r="K1222" s="151"/>
      <c r="L1222" s="151"/>
      <c r="M1222" s="151"/>
      <c r="N1222" s="151"/>
      <c r="O1222" s="151"/>
      <c r="P1222" s="151"/>
      <c r="Q1222" s="151"/>
      <c r="R1222" s="151"/>
      <c r="S1222" s="152"/>
      <c r="T1222" s="151"/>
      <c r="U1222" s="151"/>
      <c r="V1222" s="153"/>
      <c r="W1222" s="151"/>
      <c r="X1222" s="151"/>
      <c r="Y1222" s="153"/>
      <c r="Z1222" s="151"/>
      <c r="AA1222" s="187" t="str">
        <f t="shared" si="39"/>
        <v>No</v>
      </c>
      <c r="AB1222" s="158"/>
      <c r="AC1222" s="159"/>
      <c r="AD1222" s="160"/>
    </row>
    <row r="1223" spans="1:30">
      <c r="A1223" s="155"/>
      <c r="B1223" s="112" t="str">
        <f t="shared" si="38"/>
        <v/>
      </c>
      <c r="C1223" s="183"/>
      <c r="D1223" s="152"/>
      <c r="E1223" s="152"/>
      <c r="F1223" s="151"/>
      <c r="G1223" s="153"/>
      <c r="H1223" s="151"/>
      <c r="I1223" s="151"/>
      <c r="J1223" s="151"/>
      <c r="K1223" s="151"/>
      <c r="L1223" s="151"/>
      <c r="M1223" s="151"/>
      <c r="N1223" s="151"/>
      <c r="O1223" s="151"/>
      <c r="P1223" s="151"/>
      <c r="Q1223" s="151"/>
      <c r="R1223" s="151"/>
      <c r="S1223" s="152"/>
      <c r="T1223" s="151"/>
      <c r="U1223" s="151"/>
      <c r="V1223" s="153"/>
      <c r="W1223" s="151"/>
      <c r="X1223" s="151"/>
      <c r="Y1223" s="153"/>
      <c r="Z1223" s="151"/>
      <c r="AA1223" s="187" t="str">
        <f t="shared" si="39"/>
        <v>No</v>
      </c>
      <c r="AB1223" s="158"/>
      <c r="AC1223" s="159"/>
      <c r="AD1223" s="160"/>
    </row>
    <row r="1224" spans="1:30">
      <c r="A1224" s="155"/>
      <c r="B1224" s="112" t="str">
        <f t="shared" si="38"/>
        <v/>
      </c>
      <c r="C1224" s="183"/>
      <c r="D1224" s="152"/>
      <c r="E1224" s="152"/>
      <c r="F1224" s="151"/>
      <c r="G1224" s="153"/>
      <c r="H1224" s="151"/>
      <c r="I1224" s="151"/>
      <c r="J1224" s="151"/>
      <c r="K1224" s="151"/>
      <c r="L1224" s="151"/>
      <c r="M1224" s="151"/>
      <c r="N1224" s="151"/>
      <c r="O1224" s="151"/>
      <c r="P1224" s="151"/>
      <c r="Q1224" s="151"/>
      <c r="R1224" s="151"/>
      <c r="S1224" s="152"/>
      <c r="T1224" s="151"/>
      <c r="U1224" s="151"/>
      <c r="V1224" s="153"/>
      <c r="W1224" s="151"/>
      <c r="X1224" s="151"/>
      <c r="Y1224" s="153"/>
      <c r="Z1224" s="151"/>
      <c r="AA1224" s="187" t="str">
        <f t="shared" si="39"/>
        <v>No</v>
      </c>
      <c r="AB1224" s="158"/>
      <c r="AC1224" s="159"/>
      <c r="AD1224" s="160"/>
    </row>
    <row r="1225" spans="1:30">
      <c r="A1225" s="155"/>
      <c r="B1225" s="112" t="str">
        <f t="shared" si="38"/>
        <v/>
      </c>
      <c r="C1225" s="183"/>
      <c r="D1225" s="152"/>
      <c r="E1225" s="152"/>
      <c r="F1225" s="151"/>
      <c r="G1225" s="153"/>
      <c r="H1225" s="151"/>
      <c r="I1225" s="151"/>
      <c r="J1225" s="151"/>
      <c r="K1225" s="151"/>
      <c r="L1225" s="151"/>
      <c r="M1225" s="151"/>
      <c r="N1225" s="151"/>
      <c r="O1225" s="151"/>
      <c r="P1225" s="151"/>
      <c r="Q1225" s="151"/>
      <c r="R1225" s="151"/>
      <c r="S1225" s="152"/>
      <c r="T1225" s="151"/>
      <c r="U1225" s="151"/>
      <c r="V1225" s="153"/>
      <c r="W1225" s="151"/>
      <c r="X1225" s="151"/>
      <c r="Y1225" s="153"/>
      <c r="Z1225" s="151"/>
      <c r="AA1225" s="187" t="str">
        <f t="shared" si="39"/>
        <v>No</v>
      </c>
      <c r="AB1225" s="158"/>
      <c r="AC1225" s="159"/>
      <c r="AD1225" s="160"/>
    </row>
    <row r="1226" spans="1:30">
      <c r="A1226" s="155"/>
      <c r="B1226" s="112" t="str">
        <f t="shared" si="38"/>
        <v/>
      </c>
      <c r="C1226" s="183"/>
      <c r="D1226" s="152"/>
      <c r="E1226" s="152"/>
      <c r="F1226" s="151"/>
      <c r="G1226" s="153"/>
      <c r="H1226" s="151"/>
      <c r="I1226" s="151"/>
      <c r="J1226" s="151"/>
      <c r="K1226" s="151"/>
      <c r="L1226" s="151"/>
      <c r="M1226" s="151"/>
      <c r="N1226" s="151"/>
      <c r="O1226" s="151"/>
      <c r="P1226" s="151"/>
      <c r="Q1226" s="151"/>
      <c r="R1226" s="151"/>
      <c r="S1226" s="152"/>
      <c r="T1226" s="151"/>
      <c r="U1226" s="151"/>
      <c r="V1226" s="153"/>
      <c r="W1226" s="151"/>
      <c r="X1226" s="151"/>
      <c r="Y1226" s="153"/>
      <c r="Z1226" s="151"/>
      <c r="AA1226" s="187" t="str">
        <f t="shared" si="39"/>
        <v>No</v>
      </c>
      <c r="AB1226" s="158"/>
      <c r="AC1226" s="159"/>
      <c r="AD1226" s="160"/>
    </row>
    <row r="1227" spans="1:30">
      <c r="A1227" s="155"/>
      <c r="B1227" s="112" t="str">
        <f t="shared" si="38"/>
        <v/>
      </c>
      <c r="C1227" s="183"/>
      <c r="D1227" s="152"/>
      <c r="E1227" s="152"/>
      <c r="F1227" s="151"/>
      <c r="G1227" s="153"/>
      <c r="H1227" s="151"/>
      <c r="I1227" s="151"/>
      <c r="J1227" s="151"/>
      <c r="K1227" s="151"/>
      <c r="L1227" s="151"/>
      <c r="M1227" s="151"/>
      <c r="N1227" s="151"/>
      <c r="O1227" s="151"/>
      <c r="P1227" s="151"/>
      <c r="Q1227" s="151"/>
      <c r="R1227" s="151"/>
      <c r="S1227" s="152"/>
      <c r="T1227" s="151"/>
      <c r="U1227" s="151"/>
      <c r="V1227" s="153"/>
      <c r="W1227" s="151"/>
      <c r="X1227" s="151"/>
      <c r="Y1227" s="153"/>
      <c r="Z1227" s="151"/>
      <c r="AA1227" s="187" t="str">
        <f t="shared" si="39"/>
        <v>No</v>
      </c>
      <c r="AB1227" s="158"/>
      <c r="AC1227" s="159"/>
      <c r="AD1227" s="160"/>
    </row>
    <row r="1228" spans="1:30">
      <c r="A1228" s="155"/>
      <c r="B1228" s="112" t="str">
        <f t="shared" si="38"/>
        <v/>
      </c>
      <c r="C1228" s="183"/>
      <c r="D1228" s="152"/>
      <c r="E1228" s="152"/>
      <c r="F1228" s="151"/>
      <c r="G1228" s="153"/>
      <c r="H1228" s="151"/>
      <c r="I1228" s="151"/>
      <c r="J1228" s="151"/>
      <c r="K1228" s="151"/>
      <c r="L1228" s="151"/>
      <c r="M1228" s="151"/>
      <c r="N1228" s="151"/>
      <c r="O1228" s="151"/>
      <c r="P1228" s="151"/>
      <c r="Q1228" s="151"/>
      <c r="R1228" s="151"/>
      <c r="S1228" s="152"/>
      <c r="T1228" s="151"/>
      <c r="U1228" s="151"/>
      <c r="V1228" s="153"/>
      <c r="W1228" s="151"/>
      <c r="X1228" s="151"/>
      <c r="Y1228" s="153"/>
      <c r="Z1228" s="151"/>
      <c r="AA1228" s="187" t="str">
        <f t="shared" si="39"/>
        <v>No</v>
      </c>
      <c r="AB1228" s="158"/>
      <c r="AC1228" s="159"/>
      <c r="AD1228" s="160"/>
    </row>
    <row r="1229" spans="1:30">
      <c r="A1229" s="155"/>
      <c r="B1229" s="112" t="str">
        <f t="shared" si="38"/>
        <v/>
      </c>
      <c r="C1229" s="183"/>
      <c r="D1229" s="152"/>
      <c r="E1229" s="152"/>
      <c r="F1229" s="151"/>
      <c r="G1229" s="153"/>
      <c r="H1229" s="151"/>
      <c r="I1229" s="151"/>
      <c r="J1229" s="151"/>
      <c r="K1229" s="151"/>
      <c r="L1229" s="151"/>
      <c r="M1229" s="151"/>
      <c r="N1229" s="151"/>
      <c r="O1229" s="151"/>
      <c r="P1229" s="151"/>
      <c r="Q1229" s="151"/>
      <c r="R1229" s="151"/>
      <c r="S1229" s="152"/>
      <c r="T1229" s="151"/>
      <c r="U1229" s="151"/>
      <c r="V1229" s="153"/>
      <c r="W1229" s="151"/>
      <c r="X1229" s="151"/>
      <c r="Y1229" s="153"/>
      <c r="Z1229" s="151"/>
      <c r="AA1229" s="187" t="str">
        <f t="shared" si="39"/>
        <v>No</v>
      </c>
      <c r="AB1229" s="158"/>
      <c r="AC1229" s="159"/>
      <c r="AD1229" s="160"/>
    </row>
    <row r="1230" spans="1:30">
      <c r="A1230" s="155"/>
      <c r="B1230" s="112" t="str">
        <f t="shared" si="38"/>
        <v/>
      </c>
      <c r="C1230" s="183"/>
      <c r="D1230" s="152"/>
      <c r="E1230" s="152"/>
      <c r="F1230" s="151"/>
      <c r="G1230" s="153"/>
      <c r="H1230" s="151"/>
      <c r="I1230" s="151"/>
      <c r="J1230" s="151"/>
      <c r="K1230" s="151"/>
      <c r="L1230" s="151"/>
      <c r="M1230" s="151"/>
      <c r="N1230" s="151"/>
      <c r="O1230" s="151"/>
      <c r="P1230" s="151"/>
      <c r="Q1230" s="151"/>
      <c r="R1230" s="151"/>
      <c r="S1230" s="152"/>
      <c r="T1230" s="151"/>
      <c r="U1230" s="151"/>
      <c r="V1230" s="153"/>
      <c r="W1230" s="151"/>
      <c r="X1230" s="151"/>
      <c r="Y1230" s="153"/>
      <c r="Z1230" s="151"/>
      <c r="AA1230" s="187" t="str">
        <f t="shared" si="39"/>
        <v>No</v>
      </c>
      <c r="AB1230" s="158"/>
      <c r="AC1230" s="159"/>
      <c r="AD1230" s="160"/>
    </row>
    <row r="1231" spans="1:30">
      <c r="A1231" s="155"/>
      <c r="B1231" s="112" t="str">
        <f t="shared" si="38"/>
        <v/>
      </c>
      <c r="C1231" s="183"/>
      <c r="D1231" s="152"/>
      <c r="E1231" s="152"/>
      <c r="F1231" s="151"/>
      <c r="G1231" s="153"/>
      <c r="H1231" s="151"/>
      <c r="I1231" s="151"/>
      <c r="J1231" s="151"/>
      <c r="K1231" s="151"/>
      <c r="L1231" s="151"/>
      <c r="M1231" s="151"/>
      <c r="N1231" s="151"/>
      <c r="O1231" s="151"/>
      <c r="P1231" s="151"/>
      <c r="Q1231" s="151"/>
      <c r="R1231" s="151"/>
      <c r="S1231" s="152"/>
      <c r="T1231" s="151"/>
      <c r="U1231" s="151"/>
      <c r="V1231" s="153"/>
      <c r="W1231" s="151"/>
      <c r="X1231" s="151"/>
      <c r="Y1231" s="153"/>
      <c r="Z1231" s="151"/>
      <c r="AA1231" s="187" t="str">
        <f t="shared" si="39"/>
        <v>No</v>
      </c>
      <c r="AB1231" s="158"/>
      <c r="AC1231" s="159"/>
      <c r="AD1231" s="160"/>
    </row>
    <row r="1232" spans="1:30">
      <c r="A1232" s="155"/>
      <c r="B1232" s="112" t="str">
        <f t="shared" si="38"/>
        <v/>
      </c>
      <c r="C1232" s="183"/>
      <c r="D1232" s="152"/>
      <c r="E1232" s="152"/>
      <c r="F1232" s="151"/>
      <c r="G1232" s="153"/>
      <c r="H1232" s="151"/>
      <c r="I1232" s="151"/>
      <c r="J1232" s="151"/>
      <c r="K1232" s="151"/>
      <c r="L1232" s="151"/>
      <c r="M1232" s="151"/>
      <c r="N1232" s="151"/>
      <c r="O1232" s="151"/>
      <c r="P1232" s="151"/>
      <c r="Q1232" s="151"/>
      <c r="R1232" s="151"/>
      <c r="S1232" s="152"/>
      <c r="T1232" s="151"/>
      <c r="U1232" s="151"/>
      <c r="V1232" s="153"/>
      <c r="W1232" s="151"/>
      <c r="X1232" s="151"/>
      <c r="Y1232" s="153"/>
      <c r="Z1232" s="151"/>
      <c r="AA1232" s="187" t="str">
        <f t="shared" si="39"/>
        <v>No</v>
      </c>
      <c r="AB1232" s="158"/>
      <c r="AC1232" s="159"/>
      <c r="AD1232" s="160"/>
    </row>
    <row r="1233" spans="1:30">
      <c r="A1233" s="155"/>
      <c r="B1233" s="112" t="str">
        <f t="shared" si="38"/>
        <v/>
      </c>
      <c r="C1233" s="183"/>
      <c r="D1233" s="152"/>
      <c r="E1233" s="152"/>
      <c r="F1233" s="151"/>
      <c r="G1233" s="153"/>
      <c r="H1233" s="151"/>
      <c r="I1233" s="151"/>
      <c r="J1233" s="151"/>
      <c r="K1233" s="151"/>
      <c r="L1233" s="151"/>
      <c r="M1233" s="151"/>
      <c r="N1233" s="151"/>
      <c r="O1233" s="151"/>
      <c r="P1233" s="151"/>
      <c r="Q1233" s="151"/>
      <c r="R1233" s="151"/>
      <c r="S1233" s="152"/>
      <c r="T1233" s="151"/>
      <c r="U1233" s="151"/>
      <c r="V1233" s="153"/>
      <c r="W1233" s="151"/>
      <c r="X1233" s="151"/>
      <c r="Y1233" s="153"/>
      <c r="Z1233" s="151"/>
      <c r="AA1233" s="187" t="str">
        <f t="shared" si="39"/>
        <v>No</v>
      </c>
      <c r="AB1233" s="158"/>
      <c r="AC1233" s="159"/>
      <c r="AD1233" s="160"/>
    </row>
    <row r="1234" spans="1:30">
      <c r="A1234" s="155"/>
      <c r="B1234" s="112" t="str">
        <f t="shared" si="38"/>
        <v/>
      </c>
      <c r="C1234" s="183"/>
      <c r="D1234" s="152"/>
      <c r="E1234" s="152"/>
      <c r="F1234" s="151"/>
      <c r="G1234" s="153"/>
      <c r="H1234" s="151"/>
      <c r="I1234" s="151"/>
      <c r="J1234" s="151"/>
      <c r="K1234" s="151"/>
      <c r="L1234" s="151"/>
      <c r="M1234" s="151"/>
      <c r="N1234" s="151"/>
      <c r="O1234" s="151"/>
      <c r="P1234" s="151"/>
      <c r="Q1234" s="151"/>
      <c r="R1234" s="151"/>
      <c r="S1234" s="152"/>
      <c r="T1234" s="151"/>
      <c r="U1234" s="151"/>
      <c r="V1234" s="153"/>
      <c r="W1234" s="151"/>
      <c r="X1234" s="151"/>
      <c r="Y1234" s="153"/>
      <c r="Z1234" s="151"/>
      <c r="AA1234" s="187" t="str">
        <f t="shared" si="39"/>
        <v>No</v>
      </c>
      <c r="AB1234" s="158"/>
      <c r="AC1234" s="159"/>
      <c r="AD1234" s="160"/>
    </row>
    <row r="1235" spans="1:30">
      <c r="A1235" s="155"/>
      <c r="B1235" s="112" t="str">
        <f t="shared" si="38"/>
        <v/>
      </c>
      <c r="C1235" s="183"/>
      <c r="D1235" s="152"/>
      <c r="E1235" s="152"/>
      <c r="F1235" s="151"/>
      <c r="G1235" s="153"/>
      <c r="H1235" s="151"/>
      <c r="I1235" s="151"/>
      <c r="J1235" s="151"/>
      <c r="K1235" s="151"/>
      <c r="L1235" s="151"/>
      <c r="M1235" s="151"/>
      <c r="N1235" s="151"/>
      <c r="O1235" s="151"/>
      <c r="P1235" s="151"/>
      <c r="Q1235" s="151"/>
      <c r="R1235" s="151"/>
      <c r="S1235" s="152"/>
      <c r="T1235" s="151"/>
      <c r="U1235" s="151"/>
      <c r="V1235" s="153"/>
      <c r="W1235" s="151"/>
      <c r="X1235" s="151"/>
      <c r="Y1235" s="153"/>
      <c r="Z1235" s="151"/>
      <c r="AA1235" s="187" t="str">
        <f t="shared" si="39"/>
        <v>No</v>
      </c>
      <c r="AB1235" s="158"/>
      <c r="AC1235" s="159"/>
      <c r="AD1235" s="160"/>
    </row>
    <row r="1236" spans="1:30">
      <c r="A1236" s="155"/>
      <c r="B1236" s="112" t="str">
        <f t="shared" si="38"/>
        <v/>
      </c>
      <c r="C1236" s="183"/>
      <c r="D1236" s="152"/>
      <c r="E1236" s="152"/>
      <c r="F1236" s="151"/>
      <c r="G1236" s="153"/>
      <c r="H1236" s="151"/>
      <c r="I1236" s="151"/>
      <c r="J1236" s="151"/>
      <c r="K1236" s="151"/>
      <c r="L1236" s="151"/>
      <c r="M1236" s="151"/>
      <c r="N1236" s="151"/>
      <c r="O1236" s="151"/>
      <c r="P1236" s="151"/>
      <c r="Q1236" s="151"/>
      <c r="R1236" s="151"/>
      <c r="S1236" s="152"/>
      <c r="T1236" s="151"/>
      <c r="U1236" s="151"/>
      <c r="V1236" s="153"/>
      <c r="W1236" s="151"/>
      <c r="X1236" s="151"/>
      <c r="Y1236" s="153"/>
      <c r="Z1236" s="151"/>
      <c r="AA1236" s="187" t="str">
        <f t="shared" si="39"/>
        <v>No</v>
      </c>
      <c r="AB1236" s="158"/>
      <c r="AC1236" s="159"/>
      <c r="AD1236" s="160"/>
    </row>
    <row r="1237" spans="1:30">
      <c r="A1237" s="155"/>
      <c r="B1237" s="112" t="str">
        <f t="shared" si="38"/>
        <v/>
      </c>
      <c r="C1237" s="183"/>
      <c r="D1237" s="152"/>
      <c r="E1237" s="152"/>
      <c r="F1237" s="151"/>
      <c r="G1237" s="153"/>
      <c r="H1237" s="151"/>
      <c r="I1237" s="151"/>
      <c r="J1237" s="151"/>
      <c r="K1237" s="151"/>
      <c r="L1237" s="151"/>
      <c r="M1237" s="151"/>
      <c r="N1237" s="151"/>
      <c r="O1237" s="151"/>
      <c r="P1237" s="151"/>
      <c r="Q1237" s="151"/>
      <c r="R1237" s="151"/>
      <c r="S1237" s="152"/>
      <c r="T1237" s="151"/>
      <c r="U1237" s="151"/>
      <c r="V1237" s="153"/>
      <c r="W1237" s="151"/>
      <c r="X1237" s="151"/>
      <c r="Y1237" s="153"/>
      <c r="Z1237" s="151"/>
      <c r="AA1237" s="187" t="str">
        <f t="shared" si="39"/>
        <v>No</v>
      </c>
      <c r="AB1237" s="158"/>
      <c r="AC1237" s="159"/>
      <c r="AD1237" s="160"/>
    </row>
    <row r="1238" spans="1:30">
      <c r="A1238" s="155"/>
      <c r="B1238" s="112" t="str">
        <f t="shared" si="38"/>
        <v/>
      </c>
      <c r="C1238" s="183"/>
      <c r="D1238" s="152"/>
      <c r="E1238" s="152"/>
      <c r="F1238" s="151"/>
      <c r="G1238" s="153"/>
      <c r="H1238" s="151"/>
      <c r="I1238" s="151"/>
      <c r="J1238" s="151"/>
      <c r="K1238" s="151"/>
      <c r="L1238" s="151"/>
      <c r="M1238" s="151"/>
      <c r="N1238" s="151"/>
      <c r="O1238" s="151"/>
      <c r="P1238" s="151"/>
      <c r="Q1238" s="151"/>
      <c r="R1238" s="151"/>
      <c r="S1238" s="152"/>
      <c r="T1238" s="151"/>
      <c r="U1238" s="151"/>
      <c r="V1238" s="153"/>
      <c r="W1238" s="151"/>
      <c r="X1238" s="151"/>
      <c r="Y1238" s="153"/>
      <c r="Z1238" s="151"/>
      <c r="AA1238" s="187" t="str">
        <f t="shared" si="39"/>
        <v>No</v>
      </c>
      <c r="AB1238" s="158"/>
      <c r="AC1238" s="159"/>
      <c r="AD1238" s="160"/>
    </row>
    <row r="1239" spans="1:30">
      <c r="A1239" s="155"/>
      <c r="B1239" s="112" t="str">
        <f t="shared" si="38"/>
        <v/>
      </c>
      <c r="C1239" s="183"/>
      <c r="D1239" s="152"/>
      <c r="E1239" s="152"/>
      <c r="F1239" s="151"/>
      <c r="G1239" s="153"/>
      <c r="H1239" s="151"/>
      <c r="I1239" s="151"/>
      <c r="J1239" s="151"/>
      <c r="K1239" s="151"/>
      <c r="L1239" s="151"/>
      <c r="M1239" s="151"/>
      <c r="N1239" s="151"/>
      <c r="O1239" s="151"/>
      <c r="P1239" s="151"/>
      <c r="Q1239" s="151"/>
      <c r="R1239" s="151"/>
      <c r="S1239" s="152"/>
      <c r="T1239" s="151"/>
      <c r="U1239" s="151"/>
      <c r="V1239" s="153"/>
      <c r="W1239" s="151"/>
      <c r="X1239" s="151"/>
      <c r="Y1239" s="153"/>
      <c r="Z1239" s="151"/>
      <c r="AA1239" s="187" t="str">
        <f t="shared" si="39"/>
        <v>No</v>
      </c>
      <c r="AB1239" s="158"/>
      <c r="AC1239" s="159"/>
      <c r="AD1239" s="160"/>
    </row>
    <row r="1240" spans="1:30">
      <c r="A1240" s="155"/>
      <c r="B1240" s="112" t="str">
        <f t="shared" si="38"/>
        <v/>
      </c>
      <c r="C1240" s="183"/>
      <c r="D1240" s="152"/>
      <c r="E1240" s="152"/>
      <c r="F1240" s="151"/>
      <c r="G1240" s="153"/>
      <c r="H1240" s="151"/>
      <c r="I1240" s="151"/>
      <c r="J1240" s="151"/>
      <c r="K1240" s="151"/>
      <c r="L1240" s="151"/>
      <c r="M1240" s="151"/>
      <c r="N1240" s="151"/>
      <c r="O1240" s="151"/>
      <c r="P1240" s="151"/>
      <c r="Q1240" s="151"/>
      <c r="R1240" s="151"/>
      <c r="S1240" s="152"/>
      <c r="T1240" s="151"/>
      <c r="U1240" s="151"/>
      <c r="V1240" s="153"/>
      <c r="W1240" s="151"/>
      <c r="X1240" s="151"/>
      <c r="Y1240" s="153"/>
      <c r="Z1240" s="151"/>
      <c r="AA1240" s="187" t="str">
        <f t="shared" si="39"/>
        <v>No</v>
      </c>
      <c r="AB1240" s="158"/>
      <c r="AC1240" s="159"/>
      <c r="AD1240" s="160"/>
    </row>
    <row r="1241" spans="1:30">
      <c r="A1241" s="155"/>
      <c r="B1241" s="112" t="str">
        <f t="shared" si="38"/>
        <v/>
      </c>
      <c r="C1241" s="183"/>
      <c r="D1241" s="152"/>
      <c r="E1241" s="152"/>
      <c r="F1241" s="151"/>
      <c r="G1241" s="153"/>
      <c r="H1241" s="151"/>
      <c r="I1241" s="151"/>
      <c r="J1241" s="151"/>
      <c r="K1241" s="151"/>
      <c r="L1241" s="151"/>
      <c r="M1241" s="151"/>
      <c r="N1241" s="151"/>
      <c r="O1241" s="151"/>
      <c r="P1241" s="151"/>
      <c r="Q1241" s="151"/>
      <c r="R1241" s="151"/>
      <c r="S1241" s="152"/>
      <c r="T1241" s="151"/>
      <c r="U1241" s="151"/>
      <c r="V1241" s="153"/>
      <c r="W1241" s="151"/>
      <c r="X1241" s="151"/>
      <c r="Y1241" s="153"/>
      <c r="Z1241" s="151"/>
      <c r="AA1241" s="187" t="str">
        <f t="shared" si="39"/>
        <v>No</v>
      </c>
      <c r="AB1241" s="158"/>
      <c r="AC1241" s="159"/>
      <c r="AD1241" s="160"/>
    </row>
    <row r="1242" spans="1:30">
      <c r="A1242" s="155"/>
      <c r="B1242" s="112" t="str">
        <f t="shared" si="38"/>
        <v/>
      </c>
      <c r="C1242" s="183"/>
      <c r="D1242" s="152"/>
      <c r="E1242" s="152"/>
      <c r="F1242" s="151"/>
      <c r="G1242" s="153"/>
      <c r="H1242" s="151"/>
      <c r="I1242" s="151"/>
      <c r="J1242" s="151"/>
      <c r="K1242" s="151"/>
      <c r="L1242" s="151"/>
      <c r="M1242" s="151"/>
      <c r="N1242" s="151"/>
      <c r="O1242" s="151"/>
      <c r="P1242" s="151"/>
      <c r="Q1242" s="151"/>
      <c r="R1242" s="151"/>
      <c r="S1242" s="152"/>
      <c r="T1242" s="151"/>
      <c r="U1242" s="151"/>
      <c r="V1242" s="153"/>
      <c r="W1242" s="151"/>
      <c r="X1242" s="151"/>
      <c r="Y1242" s="153"/>
      <c r="Z1242" s="151"/>
      <c r="AA1242" s="187" t="str">
        <f t="shared" si="39"/>
        <v>No</v>
      </c>
      <c r="AB1242" s="158"/>
      <c r="AC1242" s="159"/>
      <c r="AD1242" s="160"/>
    </row>
    <row r="1243" spans="1:30">
      <c r="A1243" s="155"/>
      <c r="B1243" s="112" t="str">
        <f t="shared" si="38"/>
        <v/>
      </c>
      <c r="C1243" s="183"/>
      <c r="D1243" s="152"/>
      <c r="E1243" s="152"/>
      <c r="F1243" s="151"/>
      <c r="G1243" s="153"/>
      <c r="H1243" s="151"/>
      <c r="I1243" s="151"/>
      <c r="J1243" s="151"/>
      <c r="K1243" s="151"/>
      <c r="L1243" s="151"/>
      <c r="M1243" s="151"/>
      <c r="N1243" s="151"/>
      <c r="O1243" s="151"/>
      <c r="P1243" s="151"/>
      <c r="Q1243" s="151"/>
      <c r="R1243" s="151"/>
      <c r="S1243" s="152"/>
      <c r="T1243" s="151"/>
      <c r="U1243" s="151"/>
      <c r="V1243" s="153"/>
      <c r="W1243" s="151"/>
      <c r="X1243" s="151"/>
      <c r="Y1243" s="153"/>
      <c r="Z1243" s="151"/>
      <c r="AA1243" s="187" t="str">
        <f t="shared" si="39"/>
        <v>No</v>
      </c>
      <c r="AB1243" s="158"/>
      <c r="AC1243" s="159"/>
      <c r="AD1243" s="160"/>
    </row>
    <row r="1244" spans="1:30">
      <c r="A1244" s="155"/>
      <c r="B1244" s="112" t="str">
        <f t="shared" si="38"/>
        <v/>
      </c>
      <c r="C1244" s="183"/>
      <c r="D1244" s="152"/>
      <c r="E1244" s="152"/>
      <c r="F1244" s="151"/>
      <c r="G1244" s="153"/>
      <c r="H1244" s="151"/>
      <c r="I1244" s="151"/>
      <c r="J1244" s="151"/>
      <c r="K1244" s="151"/>
      <c r="L1244" s="151"/>
      <c r="M1244" s="151"/>
      <c r="N1244" s="151"/>
      <c r="O1244" s="151"/>
      <c r="P1244" s="151"/>
      <c r="Q1244" s="151"/>
      <c r="R1244" s="151"/>
      <c r="S1244" s="152"/>
      <c r="T1244" s="151"/>
      <c r="U1244" s="151"/>
      <c r="V1244" s="153"/>
      <c r="W1244" s="151"/>
      <c r="X1244" s="151"/>
      <c r="Y1244" s="153"/>
      <c r="Z1244" s="151"/>
      <c r="AA1244" s="187" t="str">
        <f t="shared" si="39"/>
        <v>No</v>
      </c>
      <c r="AB1244" s="158"/>
      <c r="AC1244" s="159"/>
      <c r="AD1244" s="160"/>
    </row>
    <row r="1245" spans="1:30">
      <c r="A1245" s="155"/>
      <c r="B1245" s="112" t="str">
        <f t="shared" si="38"/>
        <v/>
      </c>
      <c r="C1245" s="183"/>
      <c r="D1245" s="152"/>
      <c r="E1245" s="152"/>
      <c r="F1245" s="151"/>
      <c r="G1245" s="153"/>
      <c r="H1245" s="151"/>
      <c r="I1245" s="151"/>
      <c r="J1245" s="151"/>
      <c r="K1245" s="151"/>
      <c r="L1245" s="151"/>
      <c r="M1245" s="151"/>
      <c r="N1245" s="151"/>
      <c r="O1245" s="151"/>
      <c r="P1245" s="151"/>
      <c r="Q1245" s="151"/>
      <c r="R1245" s="151"/>
      <c r="S1245" s="152"/>
      <c r="T1245" s="151"/>
      <c r="U1245" s="151"/>
      <c r="V1245" s="153"/>
      <c r="W1245" s="151"/>
      <c r="X1245" s="151"/>
      <c r="Y1245" s="153"/>
      <c r="Z1245" s="151"/>
      <c r="AA1245" s="187" t="str">
        <f t="shared" si="39"/>
        <v>No</v>
      </c>
      <c r="AB1245" s="158"/>
      <c r="AC1245" s="159"/>
      <c r="AD1245" s="160"/>
    </row>
    <row r="1246" spans="1:30">
      <c r="A1246" s="155"/>
      <c r="B1246" s="112" t="str">
        <f t="shared" si="38"/>
        <v/>
      </c>
      <c r="C1246" s="183"/>
      <c r="D1246" s="152"/>
      <c r="E1246" s="152"/>
      <c r="F1246" s="151"/>
      <c r="G1246" s="153"/>
      <c r="H1246" s="151"/>
      <c r="I1246" s="151"/>
      <c r="J1246" s="151"/>
      <c r="K1246" s="151"/>
      <c r="L1246" s="151"/>
      <c r="M1246" s="151"/>
      <c r="N1246" s="151"/>
      <c r="O1246" s="151"/>
      <c r="P1246" s="151"/>
      <c r="Q1246" s="151"/>
      <c r="R1246" s="151"/>
      <c r="S1246" s="152"/>
      <c r="T1246" s="151"/>
      <c r="U1246" s="151"/>
      <c r="V1246" s="153"/>
      <c r="W1246" s="151"/>
      <c r="X1246" s="151"/>
      <c r="Y1246" s="153"/>
      <c r="Z1246" s="151"/>
      <c r="AA1246" s="187" t="str">
        <f t="shared" si="39"/>
        <v>No</v>
      </c>
      <c r="AB1246" s="158"/>
      <c r="AC1246" s="159"/>
      <c r="AD1246" s="160"/>
    </row>
    <row r="1247" spans="1:30">
      <c r="A1247" s="155"/>
      <c r="B1247" s="112" t="str">
        <f t="shared" si="38"/>
        <v/>
      </c>
      <c r="C1247" s="183"/>
      <c r="D1247" s="152"/>
      <c r="E1247" s="152"/>
      <c r="F1247" s="151"/>
      <c r="G1247" s="153"/>
      <c r="H1247" s="151"/>
      <c r="I1247" s="151"/>
      <c r="J1247" s="151"/>
      <c r="K1247" s="151"/>
      <c r="L1247" s="151"/>
      <c r="M1247" s="151"/>
      <c r="N1247" s="151"/>
      <c r="O1247" s="151"/>
      <c r="P1247" s="151"/>
      <c r="Q1247" s="151"/>
      <c r="R1247" s="151"/>
      <c r="S1247" s="152"/>
      <c r="T1247" s="151"/>
      <c r="U1247" s="151"/>
      <c r="V1247" s="153"/>
      <c r="W1247" s="151"/>
      <c r="X1247" s="151"/>
      <c r="Y1247" s="153"/>
      <c r="Z1247" s="151"/>
      <c r="AA1247" s="187" t="str">
        <f t="shared" si="39"/>
        <v>No</v>
      </c>
      <c r="AB1247" s="158"/>
      <c r="AC1247" s="159"/>
      <c r="AD1247" s="160"/>
    </row>
    <row r="1248" spans="1:30">
      <c r="A1248" s="155"/>
      <c r="B1248" s="112" t="str">
        <f t="shared" si="38"/>
        <v/>
      </c>
      <c r="C1248" s="183"/>
      <c r="D1248" s="152"/>
      <c r="E1248" s="152"/>
      <c r="F1248" s="151"/>
      <c r="G1248" s="153"/>
      <c r="H1248" s="151"/>
      <c r="I1248" s="151"/>
      <c r="J1248" s="151"/>
      <c r="K1248" s="151"/>
      <c r="L1248" s="151"/>
      <c r="M1248" s="151"/>
      <c r="N1248" s="151"/>
      <c r="O1248" s="151"/>
      <c r="P1248" s="151"/>
      <c r="Q1248" s="151"/>
      <c r="R1248" s="151"/>
      <c r="S1248" s="152"/>
      <c r="T1248" s="151"/>
      <c r="U1248" s="151"/>
      <c r="V1248" s="153"/>
      <c r="W1248" s="151"/>
      <c r="X1248" s="151"/>
      <c r="Y1248" s="153"/>
      <c r="Z1248" s="151"/>
      <c r="AA1248" s="187" t="str">
        <f t="shared" si="39"/>
        <v>No</v>
      </c>
      <c r="AB1248" s="158"/>
      <c r="AC1248" s="159"/>
      <c r="AD1248" s="160"/>
    </row>
    <row r="1249" spans="1:30">
      <c r="A1249" s="155"/>
      <c r="B1249" s="112" t="str">
        <f t="shared" si="38"/>
        <v/>
      </c>
      <c r="C1249" s="183"/>
      <c r="D1249" s="152"/>
      <c r="E1249" s="152"/>
      <c r="F1249" s="151"/>
      <c r="G1249" s="153"/>
      <c r="H1249" s="151"/>
      <c r="I1249" s="151"/>
      <c r="J1249" s="151"/>
      <c r="K1249" s="151"/>
      <c r="L1249" s="151"/>
      <c r="M1249" s="151"/>
      <c r="N1249" s="151"/>
      <c r="O1249" s="151"/>
      <c r="P1249" s="151"/>
      <c r="Q1249" s="151"/>
      <c r="R1249" s="151"/>
      <c r="S1249" s="152"/>
      <c r="T1249" s="151"/>
      <c r="U1249" s="151"/>
      <c r="V1249" s="153"/>
      <c r="W1249" s="151"/>
      <c r="X1249" s="151"/>
      <c r="Y1249" s="153"/>
      <c r="Z1249" s="151"/>
      <c r="AA1249" s="187" t="str">
        <f t="shared" si="39"/>
        <v>No</v>
      </c>
      <c r="AB1249" s="158"/>
      <c r="AC1249" s="159"/>
      <c r="AD1249" s="160"/>
    </row>
    <row r="1250" spans="1:30">
      <c r="A1250" s="155"/>
      <c r="B1250" s="112" t="str">
        <f t="shared" si="38"/>
        <v/>
      </c>
      <c r="C1250" s="183"/>
      <c r="D1250" s="152"/>
      <c r="E1250" s="152"/>
      <c r="F1250" s="151"/>
      <c r="G1250" s="153"/>
      <c r="H1250" s="151"/>
      <c r="I1250" s="151"/>
      <c r="J1250" s="151"/>
      <c r="K1250" s="151"/>
      <c r="L1250" s="151"/>
      <c r="M1250" s="151"/>
      <c r="N1250" s="151"/>
      <c r="O1250" s="151"/>
      <c r="P1250" s="151"/>
      <c r="Q1250" s="151"/>
      <c r="R1250" s="151"/>
      <c r="S1250" s="152"/>
      <c r="T1250" s="151"/>
      <c r="U1250" s="151"/>
      <c r="V1250" s="153"/>
      <c r="W1250" s="151"/>
      <c r="X1250" s="151"/>
      <c r="Y1250" s="153"/>
      <c r="Z1250" s="151"/>
      <c r="AA1250" s="187" t="str">
        <f t="shared" si="39"/>
        <v>No</v>
      </c>
      <c r="AB1250" s="158"/>
      <c r="AC1250" s="159"/>
      <c r="AD1250" s="160"/>
    </row>
    <row r="1251" spans="1:30">
      <c r="A1251" s="155"/>
      <c r="B1251" s="112" t="str">
        <f t="shared" si="38"/>
        <v/>
      </c>
      <c r="C1251" s="183"/>
      <c r="D1251" s="152"/>
      <c r="E1251" s="152"/>
      <c r="F1251" s="151"/>
      <c r="G1251" s="153"/>
      <c r="H1251" s="151"/>
      <c r="I1251" s="151"/>
      <c r="J1251" s="151"/>
      <c r="K1251" s="151"/>
      <c r="L1251" s="151"/>
      <c r="M1251" s="151"/>
      <c r="N1251" s="151"/>
      <c r="O1251" s="151"/>
      <c r="P1251" s="151"/>
      <c r="Q1251" s="151"/>
      <c r="R1251" s="151"/>
      <c r="S1251" s="152"/>
      <c r="T1251" s="151"/>
      <c r="U1251" s="151"/>
      <c r="V1251" s="153"/>
      <c r="W1251" s="151"/>
      <c r="X1251" s="151"/>
      <c r="Y1251" s="153"/>
      <c r="Z1251" s="151"/>
      <c r="AA1251" s="187" t="str">
        <f t="shared" si="39"/>
        <v>No</v>
      </c>
      <c r="AB1251" s="158"/>
      <c r="AC1251" s="159"/>
      <c r="AD1251" s="160"/>
    </row>
    <row r="1252" spans="1:30">
      <c r="A1252" s="155"/>
      <c r="B1252" s="112" t="str">
        <f t="shared" si="38"/>
        <v/>
      </c>
      <c r="C1252" s="183"/>
      <c r="D1252" s="152"/>
      <c r="E1252" s="152"/>
      <c r="F1252" s="151"/>
      <c r="G1252" s="153"/>
      <c r="H1252" s="151"/>
      <c r="I1252" s="151"/>
      <c r="J1252" s="151"/>
      <c r="K1252" s="151"/>
      <c r="L1252" s="151"/>
      <c r="M1252" s="151"/>
      <c r="N1252" s="151"/>
      <c r="O1252" s="151"/>
      <c r="P1252" s="151"/>
      <c r="Q1252" s="151"/>
      <c r="R1252" s="151"/>
      <c r="S1252" s="152"/>
      <c r="T1252" s="151"/>
      <c r="U1252" s="151"/>
      <c r="V1252" s="153"/>
      <c r="W1252" s="151"/>
      <c r="X1252" s="151"/>
      <c r="Y1252" s="153"/>
      <c r="Z1252" s="151"/>
      <c r="AA1252" s="187" t="str">
        <f t="shared" si="39"/>
        <v>No</v>
      </c>
      <c r="AB1252" s="158"/>
      <c r="AC1252" s="159"/>
      <c r="AD1252" s="160"/>
    </row>
    <row r="1253" spans="1:30">
      <c r="A1253" s="155"/>
      <c r="B1253" s="112" t="str">
        <f t="shared" si="38"/>
        <v/>
      </c>
      <c r="C1253" s="183"/>
      <c r="D1253" s="152"/>
      <c r="E1253" s="152"/>
      <c r="F1253" s="151"/>
      <c r="G1253" s="153"/>
      <c r="H1253" s="151"/>
      <c r="I1253" s="151"/>
      <c r="J1253" s="151"/>
      <c r="K1253" s="151"/>
      <c r="L1253" s="151"/>
      <c r="M1253" s="151"/>
      <c r="N1253" s="151"/>
      <c r="O1253" s="151"/>
      <c r="P1253" s="151"/>
      <c r="Q1253" s="151"/>
      <c r="R1253" s="151"/>
      <c r="S1253" s="152"/>
      <c r="T1253" s="151"/>
      <c r="U1253" s="151"/>
      <c r="V1253" s="153"/>
      <c r="W1253" s="151"/>
      <c r="X1253" s="151"/>
      <c r="Y1253" s="153"/>
      <c r="Z1253" s="151"/>
      <c r="AA1253" s="187" t="str">
        <f t="shared" si="39"/>
        <v>No</v>
      </c>
      <c r="AB1253" s="158"/>
      <c r="AC1253" s="159"/>
      <c r="AD1253" s="160"/>
    </row>
    <row r="1254" spans="1:30">
      <c r="A1254" s="155"/>
      <c r="B1254" s="112" t="str">
        <f t="shared" si="38"/>
        <v/>
      </c>
      <c r="C1254" s="183"/>
      <c r="D1254" s="152"/>
      <c r="E1254" s="152"/>
      <c r="F1254" s="151"/>
      <c r="G1254" s="153"/>
      <c r="H1254" s="151"/>
      <c r="I1254" s="151"/>
      <c r="J1254" s="151"/>
      <c r="K1254" s="151"/>
      <c r="L1254" s="151"/>
      <c r="M1254" s="151"/>
      <c r="N1254" s="151"/>
      <c r="O1254" s="151"/>
      <c r="P1254" s="151"/>
      <c r="Q1254" s="151"/>
      <c r="R1254" s="151"/>
      <c r="S1254" s="152"/>
      <c r="T1254" s="151"/>
      <c r="U1254" s="151"/>
      <c r="V1254" s="153"/>
      <c r="W1254" s="151"/>
      <c r="X1254" s="151"/>
      <c r="Y1254" s="153"/>
      <c r="Z1254" s="151"/>
      <c r="AA1254" s="187" t="str">
        <f t="shared" si="39"/>
        <v>No</v>
      </c>
      <c r="AB1254" s="158"/>
      <c r="AC1254" s="159"/>
      <c r="AD1254" s="160"/>
    </row>
    <row r="1255" spans="1:30">
      <c r="A1255" s="155"/>
      <c r="B1255" s="112" t="str">
        <f t="shared" si="38"/>
        <v/>
      </c>
      <c r="C1255" s="183"/>
      <c r="D1255" s="152"/>
      <c r="E1255" s="152"/>
      <c r="F1255" s="151"/>
      <c r="G1255" s="153"/>
      <c r="H1255" s="151"/>
      <c r="I1255" s="151"/>
      <c r="J1255" s="151"/>
      <c r="K1255" s="151"/>
      <c r="L1255" s="151"/>
      <c r="M1255" s="151"/>
      <c r="N1255" s="151"/>
      <c r="O1255" s="151"/>
      <c r="P1255" s="151"/>
      <c r="Q1255" s="151"/>
      <c r="R1255" s="151"/>
      <c r="S1255" s="152"/>
      <c r="T1255" s="151"/>
      <c r="U1255" s="151"/>
      <c r="V1255" s="153"/>
      <c r="W1255" s="151"/>
      <c r="X1255" s="151"/>
      <c r="Y1255" s="153"/>
      <c r="Z1255" s="151"/>
      <c r="AA1255" s="187" t="str">
        <f t="shared" si="39"/>
        <v>No</v>
      </c>
      <c r="AB1255" s="158"/>
      <c r="AC1255" s="159"/>
      <c r="AD1255" s="160"/>
    </row>
    <row r="1256" spans="1:30">
      <c r="A1256" s="155"/>
      <c r="B1256" s="112" t="str">
        <f t="shared" si="38"/>
        <v/>
      </c>
      <c r="C1256" s="183"/>
      <c r="D1256" s="152"/>
      <c r="E1256" s="152"/>
      <c r="F1256" s="151"/>
      <c r="G1256" s="153"/>
      <c r="H1256" s="151"/>
      <c r="I1256" s="151"/>
      <c r="J1256" s="151"/>
      <c r="K1256" s="151"/>
      <c r="L1256" s="151"/>
      <c r="M1256" s="151"/>
      <c r="N1256" s="151"/>
      <c r="O1256" s="151"/>
      <c r="P1256" s="151"/>
      <c r="Q1256" s="151"/>
      <c r="R1256" s="151"/>
      <c r="S1256" s="152"/>
      <c r="T1256" s="151"/>
      <c r="U1256" s="151"/>
      <c r="V1256" s="153"/>
      <c r="W1256" s="151"/>
      <c r="X1256" s="151"/>
      <c r="Y1256" s="153"/>
      <c r="Z1256" s="151"/>
      <c r="AA1256" s="187" t="str">
        <f t="shared" si="39"/>
        <v>No</v>
      </c>
      <c r="AB1256" s="158"/>
      <c r="AC1256" s="159"/>
      <c r="AD1256" s="160"/>
    </row>
    <row r="1257" spans="1:30">
      <c r="A1257" s="155"/>
      <c r="B1257" s="112" t="str">
        <f t="shared" si="38"/>
        <v/>
      </c>
      <c r="C1257" s="183"/>
      <c r="D1257" s="152"/>
      <c r="E1257" s="152"/>
      <c r="F1257" s="151"/>
      <c r="G1257" s="153"/>
      <c r="H1257" s="151"/>
      <c r="I1257" s="151"/>
      <c r="J1257" s="151"/>
      <c r="K1257" s="151"/>
      <c r="L1257" s="151"/>
      <c r="M1257" s="151"/>
      <c r="N1257" s="151"/>
      <c r="O1257" s="151"/>
      <c r="P1257" s="151"/>
      <c r="Q1257" s="151"/>
      <c r="R1257" s="151"/>
      <c r="S1257" s="152"/>
      <c r="T1257" s="151"/>
      <c r="U1257" s="151"/>
      <c r="V1257" s="153"/>
      <c r="W1257" s="151"/>
      <c r="X1257" s="151"/>
      <c r="Y1257" s="153"/>
      <c r="Z1257" s="151"/>
      <c r="AA1257" s="187" t="str">
        <f t="shared" si="39"/>
        <v>No</v>
      </c>
      <c r="AB1257" s="158"/>
      <c r="AC1257" s="159"/>
      <c r="AD1257" s="160"/>
    </row>
    <row r="1258" spans="1:30">
      <c r="A1258" s="155"/>
      <c r="B1258" s="112" t="str">
        <f t="shared" si="38"/>
        <v/>
      </c>
      <c r="C1258" s="183"/>
      <c r="D1258" s="152"/>
      <c r="E1258" s="152"/>
      <c r="F1258" s="151"/>
      <c r="G1258" s="153"/>
      <c r="H1258" s="151"/>
      <c r="I1258" s="151"/>
      <c r="J1258" s="151"/>
      <c r="K1258" s="151"/>
      <c r="L1258" s="151"/>
      <c r="M1258" s="151"/>
      <c r="N1258" s="151"/>
      <c r="O1258" s="151"/>
      <c r="P1258" s="151"/>
      <c r="Q1258" s="151"/>
      <c r="R1258" s="151"/>
      <c r="S1258" s="152"/>
      <c r="T1258" s="151"/>
      <c r="U1258" s="151"/>
      <c r="V1258" s="153"/>
      <c r="W1258" s="151"/>
      <c r="X1258" s="151"/>
      <c r="Y1258" s="153"/>
      <c r="Z1258" s="151"/>
      <c r="AA1258" s="187" t="str">
        <f t="shared" si="39"/>
        <v>No</v>
      </c>
      <c r="AB1258" s="158"/>
      <c r="AC1258" s="159"/>
      <c r="AD1258" s="160"/>
    </row>
    <row r="1259" spans="1:30">
      <c r="A1259" s="155"/>
      <c r="B1259" s="112" t="str">
        <f t="shared" si="38"/>
        <v/>
      </c>
      <c r="C1259" s="183"/>
      <c r="D1259" s="152"/>
      <c r="E1259" s="152"/>
      <c r="F1259" s="151"/>
      <c r="G1259" s="153"/>
      <c r="H1259" s="151"/>
      <c r="I1259" s="151"/>
      <c r="J1259" s="151"/>
      <c r="K1259" s="151"/>
      <c r="L1259" s="151"/>
      <c r="M1259" s="151"/>
      <c r="N1259" s="151"/>
      <c r="O1259" s="151"/>
      <c r="P1259" s="151"/>
      <c r="Q1259" s="151"/>
      <c r="R1259" s="151"/>
      <c r="S1259" s="152"/>
      <c r="T1259" s="151"/>
      <c r="U1259" s="151"/>
      <c r="V1259" s="153"/>
      <c r="W1259" s="151"/>
      <c r="X1259" s="151"/>
      <c r="Y1259" s="153"/>
      <c r="Z1259" s="151"/>
      <c r="AA1259" s="187" t="str">
        <f t="shared" si="39"/>
        <v>No</v>
      </c>
      <c r="AB1259" s="158"/>
      <c r="AC1259" s="159"/>
      <c r="AD1259" s="160"/>
    </row>
    <row r="1260" spans="1:30">
      <c r="A1260" s="155"/>
      <c r="B1260" s="112" t="str">
        <f t="shared" si="38"/>
        <v/>
      </c>
      <c r="C1260" s="183"/>
      <c r="D1260" s="152"/>
      <c r="E1260" s="152"/>
      <c r="F1260" s="151"/>
      <c r="G1260" s="153"/>
      <c r="H1260" s="151"/>
      <c r="I1260" s="151"/>
      <c r="J1260" s="151"/>
      <c r="K1260" s="151"/>
      <c r="L1260" s="151"/>
      <c r="M1260" s="151"/>
      <c r="N1260" s="151"/>
      <c r="O1260" s="151"/>
      <c r="P1260" s="151"/>
      <c r="Q1260" s="151"/>
      <c r="R1260" s="151"/>
      <c r="S1260" s="152"/>
      <c r="T1260" s="151"/>
      <c r="U1260" s="151"/>
      <c r="V1260" s="153"/>
      <c r="W1260" s="151"/>
      <c r="X1260" s="151"/>
      <c r="Y1260" s="153"/>
      <c r="Z1260" s="151"/>
      <c r="AA1260" s="187" t="str">
        <f t="shared" si="39"/>
        <v>No</v>
      </c>
      <c r="AB1260" s="158"/>
      <c r="AC1260" s="159"/>
      <c r="AD1260" s="160"/>
    </row>
    <row r="1261" spans="1:30">
      <c r="A1261" s="155"/>
      <c r="B1261" s="112" t="str">
        <f t="shared" si="38"/>
        <v/>
      </c>
      <c r="C1261" s="183"/>
      <c r="D1261" s="152"/>
      <c r="E1261" s="152"/>
      <c r="F1261" s="151"/>
      <c r="G1261" s="153"/>
      <c r="H1261" s="151"/>
      <c r="I1261" s="151"/>
      <c r="J1261" s="151"/>
      <c r="K1261" s="151"/>
      <c r="L1261" s="151"/>
      <c r="M1261" s="151"/>
      <c r="N1261" s="151"/>
      <c r="O1261" s="151"/>
      <c r="P1261" s="151"/>
      <c r="Q1261" s="151"/>
      <c r="R1261" s="151"/>
      <c r="S1261" s="152"/>
      <c r="T1261" s="151"/>
      <c r="U1261" s="151"/>
      <c r="V1261" s="153"/>
      <c r="W1261" s="151"/>
      <c r="X1261" s="151"/>
      <c r="Y1261" s="153"/>
      <c r="Z1261" s="151"/>
      <c r="AA1261" s="187" t="str">
        <f t="shared" si="39"/>
        <v>No</v>
      </c>
      <c r="AB1261" s="158"/>
      <c r="AC1261" s="159"/>
      <c r="AD1261" s="160"/>
    </row>
    <row r="1262" spans="1:30">
      <c r="A1262" s="155"/>
      <c r="B1262" s="112" t="str">
        <f t="shared" si="38"/>
        <v/>
      </c>
      <c r="C1262" s="183"/>
      <c r="D1262" s="152"/>
      <c r="E1262" s="152"/>
      <c r="F1262" s="151"/>
      <c r="G1262" s="153"/>
      <c r="H1262" s="151"/>
      <c r="I1262" s="151"/>
      <c r="J1262" s="151"/>
      <c r="K1262" s="151"/>
      <c r="L1262" s="151"/>
      <c r="M1262" s="151"/>
      <c r="N1262" s="151"/>
      <c r="O1262" s="151"/>
      <c r="P1262" s="151"/>
      <c r="Q1262" s="151"/>
      <c r="R1262" s="151"/>
      <c r="S1262" s="152"/>
      <c r="T1262" s="151"/>
      <c r="U1262" s="151"/>
      <c r="V1262" s="153"/>
      <c r="W1262" s="151"/>
      <c r="X1262" s="151"/>
      <c r="Y1262" s="153"/>
      <c r="Z1262" s="151"/>
      <c r="AA1262" s="187" t="str">
        <f t="shared" si="39"/>
        <v>No</v>
      </c>
      <c r="AB1262" s="158"/>
      <c r="AC1262" s="159"/>
      <c r="AD1262" s="160"/>
    </row>
    <row r="1263" spans="1:30">
      <c r="A1263" s="155"/>
      <c r="B1263" s="112" t="str">
        <f t="shared" si="38"/>
        <v/>
      </c>
      <c r="C1263" s="183"/>
      <c r="D1263" s="152"/>
      <c r="E1263" s="152"/>
      <c r="F1263" s="151"/>
      <c r="G1263" s="153"/>
      <c r="H1263" s="151"/>
      <c r="I1263" s="151"/>
      <c r="J1263" s="151"/>
      <c r="K1263" s="151"/>
      <c r="L1263" s="151"/>
      <c r="M1263" s="151"/>
      <c r="N1263" s="151"/>
      <c r="O1263" s="151"/>
      <c r="P1263" s="151"/>
      <c r="Q1263" s="151"/>
      <c r="R1263" s="151"/>
      <c r="S1263" s="152"/>
      <c r="T1263" s="151"/>
      <c r="U1263" s="151"/>
      <c r="V1263" s="153"/>
      <c r="W1263" s="151"/>
      <c r="X1263" s="151"/>
      <c r="Y1263" s="153"/>
      <c r="Z1263" s="151"/>
      <c r="AA1263" s="187" t="str">
        <f t="shared" si="39"/>
        <v>No</v>
      </c>
      <c r="AB1263" s="158"/>
      <c r="AC1263" s="159"/>
      <c r="AD1263" s="160"/>
    </row>
    <row r="1264" spans="1:30">
      <c r="A1264" s="155"/>
      <c r="B1264" s="112" t="str">
        <f t="shared" si="38"/>
        <v/>
      </c>
      <c r="C1264" s="183"/>
      <c r="D1264" s="152"/>
      <c r="E1264" s="152"/>
      <c r="F1264" s="151"/>
      <c r="G1264" s="153"/>
      <c r="H1264" s="151"/>
      <c r="I1264" s="151"/>
      <c r="J1264" s="151"/>
      <c r="K1264" s="151"/>
      <c r="L1264" s="151"/>
      <c r="M1264" s="151"/>
      <c r="N1264" s="151"/>
      <c r="O1264" s="151"/>
      <c r="P1264" s="151"/>
      <c r="Q1264" s="151"/>
      <c r="R1264" s="151"/>
      <c r="S1264" s="152"/>
      <c r="T1264" s="151"/>
      <c r="U1264" s="151"/>
      <c r="V1264" s="153"/>
      <c r="W1264" s="151"/>
      <c r="X1264" s="151"/>
      <c r="Y1264" s="153"/>
      <c r="Z1264" s="151"/>
      <c r="AA1264" s="187" t="str">
        <f t="shared" si="39"/>
        <v>No</v>
      </c>
      <c r="AB1264" s="158"/>
      <c r="AC1264" s="159"/>
      <c r="AD1264" s="160"/>
    </row>
    <row r="1265" spans="1:30">
      <c r="A1265" s="155"/>
      <c r="B1265" s="112" t="str">
        <f t="shared" si="38"/>
        <v/>
      </c>
      <c r="C1265" s="183"/>
      <c r="D1265" s="152"/>
      <c r="E1265" s="152"/>
      <c r="F1265" s="151"/>
      <c r="G1265" s="153"/>
      <c r="H1265" s="151"/>
      <c r="I1265" s="151"/>
      <c r="J1265" s="151"/>
      <c r="K1265" s="151"/>
      <c r="L1265" s="151"/>
      <c r="M1265" s="151"/>
      <c r="N1265" s="151"/>
      <c r="O1265" s="151"/>
      <c r="P1265" s="151"/>
      <c r="Q1265" s="151"/>
      <c r="R1265" s="151"/>
      <c r="S1265" s="152"/>
      <c r="T1265" s="151"/>
      <c r="U1265" s="151"/>
      <c r="V1265" s="153"/>
      <c r="W1265" s="151"/>
      <c r="X1265" s="151"/>
      <c r="Y1265" s="153"/>
      <c r="Z1265" s="151"/>
      <c r="AA1265" s="187" t="str">
        <f t="shared" si="39"/>
        <v>No</v>
      </c>
      <c r="AB1265" s="158"/>
      <c r="AC1265" s="159"/>
      <c r="AD1265" s="160"/>
    </row>
    <row r="1266" spans="1:30">
      <c r="A1266" s="155"/>
      <c r="B1266" s="112" t="str">
        <f t="shared" si="38"/>
        <v/>
      </c>
      <c r="C1266" s="183"/>
      <c r="D1266" s="152"/>
      <c r="E1266" s="152"/>
      <c r="F1266" s="151"/>
      <c r="G1266" s="153"/>
      <c r="H1266" s="151"/>
      <c r="I1266" s="151"/>
      <c r="J1266" s="151"/>
      <c r="K1266" s="151"/>
      <c r="L1266" s="151"/>
      <c r="M1266" s="151"/>
      <c r="N1266" s="151"/>
      <c r="O1266" s="151"/>
      <c r="P1266" s="151"/>
      <c r="Q1266" s="151"/>
      <c r="R1266" s="151"/>
      <c r="S1266" s="152"/>
      <c r="T1266" s="151"/>
      <c r="U1266" s="151"/>
      <c r="V1266" s="153"/>
      <c r="W1266" s="151"/>
      <c r="X1266" s="151"/>
      <c r="Y1266" s="153"/>
      <c r="Z1266" s="151"/>
      <c r="AA1266" s="187" t="str">
        <f t="shared" si="39"/>
        <v>No</v>
      </c>
      <c r="AB1266" s="158"/>
      <c r="AC1266" s="159"/>
      <c r="AD1266" s="160"/>
    </row>
    <row r="1267" spans="1:30">
      <c r="A1267" s="155"/>
      <c r="B1267" s="112" t="str">
        <f t="shared" si="38"/>
        <v/>
      </c>
      <c r="C1267" s="183"/>
      <c r="D1267" s="152"/>
      <c r="E1267" s="152"/>
      <c r="F1267" s="151"/>
      <c r="G1267" s="153"/>
      <c r="H1267" s="151"/>
      <c r="I1267" s="151"/>
      <c r="J1267" s="151"/>
      <c r="K1267" s="151"/>
      <c r="L1267" s="151"/>
      <c r="M1267" s="151"/>
      <c r="N1267" s="151"/>
      <c r="O1267" s="151"/>
      <c r="P1267" s="151"/>
      <c r="Q1267" s="151"/>
      <c r="R1267" s="151"/>
      <c r="S1267" s="152"/>
      <c r="T1267" s="151"/>
      <c r="U1267" s="151"/>
      <c r="V1267" s="153"/>
      <c r="W1267" s="151"/>
      <c r="X1267" s="151"/>
      <c r="Y1267" s="153"/>
      <c r="Z1267" s="151"/>
      <c r="AA1267" s="187" t="str">
        <f t="shared" si="39"/>
        <v>No</v>
      </c>
      <c r="AB1267" s="158"/>
      <c r="AC1267" s="159"/>
      <c r="AD1267" s="160"/>
    </row>
    <row r="1268" spans="1:30">
      <c r="A1268" s="155"/>
      <c r="B1268" s="112" t="str">
        <f t="shared" si="38"/>
        <v/>
      </c>
      <c r="C1268" s="183"/>
      <c r="D1268" s="152"/>
      <c r="E1268" s="152"/>
      <c r="F1268" s="151"/>
      <c r="G1268" s="153"/>
      <c r="H1268" s="151"/>
      <c r="I1268" s="151"/>
      <c r="J1268" s="151"/>
      <c r="K1268" s="151"/>
      <c r="L1268" s="151"/>
      <c r="M1268" s="151"/>
      <c r="N1268" s="151"/>
      <c r="O1268" s="151"/>
      <c r="P1268" s="151"/>
      <c r="Q1268" s="151"/>
      <c r="R1268" s="151"/>
      <c r="S1268" s="152"/>
      <c r="T1268" s="151"/>
      <c r="U1268" s="151"/>
      <c r="V1268" s="153"/>
      <c r="W1268" s="151"/>
      <c r="X1268" s="151"/>
      <c r="Y1268" s="153"/>
      <c r="Z1268" s="151"/>
      <c r="AA1268" s="187" t="str">
        <f t="shared" si="39"/>
        <v>No</v>
      </c>
      <c r="AB1268" s="158"/>
      <c r="AC1268" s="159"/>
      <c r="AD1268" s="160"/>
    </row>
    <row r="1269" spans="1:30">
      <c r="A1269" s="155"/>
      <c r="B1269" s="112" t="str">
        <f t="shared" si="38"/>
        <v/>
      </c>
      <c r="C1269" s="183"/>
      <c r="D1269" s="152"/>
      <c r="E1269" s="152"/>
      <c r="F1269" s="151"/>
      <c r="G1269" s="153"/>
      <c r="H1269" s="151"/>
      <c r="I1269" s="151"/>
      <c r="J1269" s="151"/>
      <c r="K1269" s="151"/>
      <c r="L1269" s="151"/>
      <c r="M1269" s="151"/>
      <c r="N1269" s="151"/>
      <c r="O1269" s="151"/>
      <c r="P1269" s="151"/>
      <c r="Q1269" s="151"/>
      <c r="R1269" s="151"/>
      <c r="S1269" s="152"/>
      <c r="T1269" s="151"/>
      <c r="U1269" s="151"/>
      <c r="V1269" s="153"/>
      <c r="W1269" s="151"/>
      <c r="X1269" s="151"/>
      <c r="Y1269" s="153"/>
      <c r="Z1269" s="151"/>
      <c r="AA1269" s="187" t="str">
        <f t="shared" si="39"/>
        <v>No</v>
      </c>
      <c r="AB1269" s="158"/>
      <c r="AC1269" s="159"/>
      <c r="AD1269" s="160"/>
    </row>
    <row r="1270" spans="1:30">
      <c r="A1270" s="155"/>
      <c r="B1270" s="112" t="str">
        <f t="shared" si="38"/>
        <v/>
      </c>
      <c r="C1270" s="183"/>
      <c r="D1270" s="152"/>
      <c r="E1270" s="152"/>
      <c r="F1270" s="151"/>
      <c r="G1270" s="153"/>
      <c r="H1270" s="151"/>
      <c r="I1270" s="151"/>
      <c r="J1270" s="151"/>
      <c r="K1270" s="151"/>
      <c r="L1270" s="151"/>
      <c r="M1270" s="151"/>
      <c r="N1270" s="151"/>
      <c r="O1270" s="151"/>
      <c r="P1270" s="151"/>
      <c r="Q1270" s="151"/>
      <c r="R1270" s="151"/>
      <c r="S1270" s="152"/>
      <c r="T1270" s="151"/>
      <c r="U1270" s="151"/>
      <c r="V1270" s="153"/>
      <c r="W1270" s="151"/>
      <c r="X1270" s="151"/>
      <c r="Y1270" s="153"/>
      <c r="Z1270" s="151"/>
      <c r="AA1270" s="187" t="str">
        <f t="shared" si="39"/>
        <v>No</v>
      </c>
      <c r="AB1270" s="158"/>
      <c r="AC1270" s="159"/>
      <c r="AD1270" s="160"/>
    </row>
    <row r="1271" spans="1:30">
      <c r="A1271" s="155"/>
      <c r="B1271" s="112" t="str">
        <f t="shared" si="38"/>
        <v/>
      </c>
      <c r="C1271" s="183"/>
      <c r="D1271" s="152"/>
      <c r="E1271" s="152"/>
      <c r="F1271" s="151"/>
      <c r="G1271" s="153"/>
      <c r="H1271" s="151"/>
      <c r="I1271" s="151"/>
      <c r="J1271" s="151"/>
      <c r="K1271" s="151"/>
      <c r="L1271" s="151"/>
      <c r="M1271" s="151"/>
      <c r="N1271" s="151"/>
      <c r="O1271" s="151"/>
      <c r="P1271" s="151"/>
      <c r="Q1271" s="151"/>
      <c r="R1271" s="151"/>
      <c r="S1271" s="152"/>
      <c r="T1271" s="151"/>
      <c r="U1271" s="151"/>
      <c r="V1271" s="153"/>
      <c r="W1271" s="151"/>
      <c r="X1271" s="151"/>
      <c r="Y1271" s="153"/>
      <c r="Z1271" s="151"/>
      <c r="AA1271" s="187" t="str">
        <f t="shared" si="39"/>
        <v>No</v>
      </c>
      <c r="AB1271" s="158"/>
      <c r="AC1271" s="159"/>
      <c r="AD1271" s="160"/>
    </row>
    <row r="1272" spans="1:30">
      <c r="A1272" s="155"/>
      <c r="B1272" s="112" t="str">
        <f t="shared" si="38"/>
        <v/>
      </c>
      <c r="C1272" s="183"/>
      <c r="D1272" s="152"/>
      <c r="E1272" s="152"/>
      <c r="F1272" s="151"/>
      <c r="G1272" s="153"/>
      <c r="H1272" s="151"/>
      <c r="I1272" s="151"/>
      <c r="J1272" s="151"/>
      <c r="K1272" s="151"/>
      <c r="L1272" s="151"/>
      <c r="M1272" s="151"/>
      <c r="N1272" s="151"/>
      <c r="O1272" s="151"/>
      <c r="P1272" s="151"/>
      <c r="Q1272" s="151"/>
      <c r="R1272" s="151"/>
      <c r="S1272" s="152"/>
      <c r="T1272" s="151"/>
      <c r="U1272" s="151"/>
      <c r="V1272" s="153"/>
      <c r="W1272" s="151"/>
      <c r="X1272" s="151"/>
      <c r="Y1272" s="153"/>
      <c r="Z1272" s="151"/>
      <c r="AA1272" s="187" t="str">
        <f t="shared" si="39"/>
        <v>No</v>
      </c>
      <c r="AB1272" s="158"/>
      <c r="AC1272" s="159"/>
      <c r="AD1272" s="160"/>
    </row>
    <row r="1273" spans="1:30">
      <c r="A1273" s="155"/>
      <c r="B1273" s="112" t="str">
        <f t="shared" si="38"/>
        <v/>
      </c>
      <c r="C1273" s="183"/>
      <c r="D1273" s="152"/>
      <c r="E1273" s="152"/>
      <c r="F1273" s="151"/>
      <c r="G1273" s="153"/>
      <c r="H1273" s="151"/>
      <c r="I1273" s="151"/>
      <c r="J1273" s="151"/>
      <c r="K1273" s="151"/>
      <c r="L1273" s="151"/>
      <c r="M1273" s="151"/>
      <c r="N1273" s="151"/>
      <c r="O1273" s="151"/>
      <c r="P1273" s="151"/>
      <c r="Q1273" s="151"/>
      <c r="R1273" s="151"/>
      <c r="S1273" s="152"/>
      <c r="T1273" s="151"/>
      <c r="U1273" s="151"/>
      <c r="V1273" s="153"/>
      <c r="W1273" s="151"/>
      <c r="X1273" s="151"/>
      <c r="Y1273" s="153"/>
      <c r="Z1273" s="151"/>
      <c r="AA1273" s="187" t="str">
        <f t="shared" si="39"/>
        <v>No</v>
      </c>
      <c r="AB1273" s="158"/>
      <c r="AC1273" s="159"/>
      <c r="AD1273" s="160"/>
    </row>
    <row r="1274" spans="1:30">
      <c r="A1274" s="155"/>
      <c r="B1274" s="112" t="str">
        <f t="shared" si="38"/>
        <v/>
      </c>
      <c r="C1274" s="183"/>
      <c r="D1274" s="152"/>
      <c r="E1274" s="152"/>
      <c r="F1274" s="151"/>
      <c r="G1274" s="153"/>
      <c r="H1274" s="151"/>
      <c r="I1274" s="151"/>
      <c r="J1274" s="151"/>
      <c r="K1274" s="151"/>
      <c r="L1274" s="151"/>
      <c r="M1274" s="151"/>
      <c r="N1274" s="151"/>
      <c r="O1274" s="151"/>
      <c r="P1274" s="151"/>
      <c r="Q1274" s="151"/>
      <c r="R1274" s="151"/>
      <c r="S1274" s="152"/>
      <c r="T1274" s="151"/>
      <c r="U1274" s="151"/>
      <c r="V1274" s="153"/>
      <c r="W1274" s="151"/>
      <c r="X1274" s="151"/>
      <c r="Y1274" s="153"/>
      <c r="Z1274" s="151"/>
      <c r="AA1274" s="187" t="str">
        <f t="shared" si="39"/>
        <v>No</v>
      </c>
      <c r="AB1274" s="158"/>
      <c r="AC1274" s="159"/>
      <c r="AD1274" s="160"/>
    </row>
    <row r="1275" spans="1:30">
      <c r="A1275" s="155"/>
      <c r="B1275" s="112" t="str">
        <f t="shared" si="38"/>
        <v/>
      </c>
      <c r="C1275" s="183"/>
      <c r="D1275" s="152"/>
      <c r="E1275" s="152"/>
      <c r="F1275" s="151"/>
      <c r="G1275" s="153"/>
      <c r="H1275" s="151"/>
      <c r="I1275" s="151"/>
      <c r="J1275" s="151"/>
      <c r="K1275" s="151"/>
      <c r="L1275" s="151"/>
      <c r="M1275" s="151"/>
      <c r="N1275" s="151"/>
      <c r="O1275" s="151"/>
      <c r="P1275" s="151"/>
      <c r="Q1275" s="151"/>
      <c r="R1275" s="151"/>
      <c r="S1275" s="152"/>
      <c r="T1275" s="151"/>
      <c r="U1275" s="151"/>
      <c r="V1275" s="153"/>
      <c r="W1275" s="151"/>
      <c r="X1275" s="151"/>
      <c r="Y1275" s="153"/>
      <c r="Z1275" s="151"/>
      <c r="AA1275" s="187" t="str">
        <f t="shared" si="39"/>
        <v>No</v>
      </c>
      <c r="AB1275" s="158"/>
      <c r="AC1275" s="159"/>
      <c r="AD1275" s="160"/>
    </row>
    <row r="1276" spans="1:30">
      <c r="A1276" s="155"/>
      <c r="B1276" s="112" t="str">
        <f t="shared" si="38"/>
        <v/>
      </c>
      <c r="C1276" s="183"/>
      <c r="D1276" s="152"/>
      <c r="E1276" s="152"/>
      <c r="F1276" s="151"/>
      <c r="G1276" s="153"/>
      <c r="H1276" s="151"/>
      <c r="I1276" s="151"/>
      <c r="J1276" s="151"/>
      <c r="K1276" s="151"/>
      <c r="L1276" s="151"/>
      <c r="M1276" s="151"/>
      <c r="N1276" s="151"/>
      <c r="O1276" s="151"/>
      <c r="P1276" s="151"/>
      <c r="Q1276" s="151"/>
      <c r="R1276" s="151"/>
      <c r="S1276" s="152"/>
      <c r="T1276" s="151"/>
      <c r="U1276" s="151"/>
      <c r="V1276" s="153"/>
      <c r="W1276" s="151"/>
      <c r="X1276" s="151"/>
      <c r="Y1276" s="153"/>
      <c r="Z1276" s="151"/>
      <c r="AA1276" s="187" t="str">
        <f t="shared" si="39"/>
        <v>No</v>
      </c>
      <c r="AB1276" s="158"/>
      <c r="AC1276" s="159"/>
      <c r="AD1276" s="160"/>
    </row>
    <row r="1277" spans="1:30">
      <c r="A1277" s="155"/>
      <c r="B1277" s="112" t="str">
        <f t="shared" si="38"/>
        <v/>
      </c>
      <c r="C1277" s="183"/>
      <c r="D1277" s="152"/>
      <c r="E1277" s="152"/>
      <c r="F1277" s="151"/>
      <c r="G1277" s="153"/>
      <c r="H1277" s="151"/>
      <c r="I1277" s="151"/>
      <c r="J1277" s="151"/>
      <c r="K1277" s="151"/>
      <c r="L1277" s="151"/>
      <c r="M1277" s="151"/>
      <c r="N1277" s="151"/>
      <c r="O1277" s="151"/>
      <c r="P1277" s="151"/>
      <c r="Q1277" s="151"/>
      <c r="R1277" s="151"/>
      <c r="S1277" s="152"/>
      <c r="T1277" s="151"/>
      <c r="U1277" s="151"/>
      <c r="V1277" s="153"/>
      <c r="W1277" s="151"/>
      <c r="X1277" s="151"/>
      <c r="Y1277" s="153"/>
      <c r="Z1277" s="151"/>
      <c r="AA1277" s="187" t="str">
        <f t="shared" si="39"/>
        <v>No</v>
      </c>
      <c r="AB1277" s="158"/>
      <c r="AC1277" s="159"/>
      <c r="AD1277" s="160"/>
    </row>
    <row r="1278" spans="1:30">
      <c r="A1278" s="155"/>
      <c r="B1278" s="112" t="str">
        <f t="shared" si="38"/>
        <v/>
      </c>
      <c r="C1278" s="183"/>
      <c r="D1278" s="152"/>
      <c r="E1278" s="152"/>
      <c r="F1278" s="151"/>
      <c r="G1278" s="153"/>
      <c r="H1278" s="151"/>
      <c r="I1278" s="151"/>
      <c r="J1278" s="151"/>
      <c r="K1278" s="151"/>
      <c r="L1278" s="151"/>
      <c r="M1278" s="151"/>
      <c r="N1278" s="151"/>
      <c r="O1278" s="151"/>
      <c r="P1278" s="151"/>
      <c r="Q1278" s="151"/>
      <c r="R1278" s="151"/>
      <c r="S1278" s="152"/>
      <c r="T1278" s="151"/>
      <c r="U1278" s="151"/>
      <c r="V1278" s="153"/>
      <c r="W1278" s="151"/>
      <c r="X1278" s="151"/>
      <c r="Y1278" s="153"/>
      <c r="Z1278" s="151"/>
      <c r="AA1278" s="187" t="str">
        <f t="shared" si="39"/>
        <v>No</v>
      </c>
      <c r="AB1278" s="158"/>
      <c r="AC1278" s="159"/>
      <c r="AD1278" s="160"/>
    </row>
    <row r="1279" spans="1:30">
      <c r="A1279" s="155"/>
      <c r="B1279" s="112" t="str">
        <f t="shared" si="38"/>
        <v/>
      </c>
      <c r="C1279" s="183"/>
      <c r="D1279" s="152"/>
      <c r="E1279" s="152"/>
      <c r="F1279" s="151"/>
      <c r="G1279" s="153"/>
      <c r="H1279" s="151"/>
      <c r="I1279" s="151"/>
      <c r="J1279" s="151"/>
      <c r="K1279" s="151"/>
      <c r="L1279" s="151"/>
      <c r="M1279" s="151"/>
      <c r="N1279" s="151"/>
      <c r="O1279" s="151"/>
      <c r="P1279" s="151"/>
      <c r="Q1279" s="151"/>
      <c r="R1279" s="151"/>
      <c r="S1279" s="152"/>
      <c r="T1279" s="151"/>
      <c r="U1279" s="151"/>
      <c r="V1279" s="153"/>
      <c r="W1279" s="151"/>
      <c r="X1279" s="151"/>
      <c r="Y1279" s="153"/>
      <c r="Z1279" s="151"/>
      <c r="AA1279" s="187" t="str">
        <f t="shared" si="39"/>
        <v>No</v>
      </c>
      <c r="AB1279" s="158"/>
      <c r="AC1279" s="159"/>
      <c r="AD1279" s="160"/>
    </row>
    <row r="1280" spans="1:30">
      <c r="A1280" s="155"/>
      <c r="B1280" s="112" t="str">
        <f t="shared" si="38"/>
        <v/>
      </c>
      <c r="C1280" s="183"/>
      <c r="D1280" s="152"/>
      <c r="E1280" s="152"/>
      <c r="F1280" s="151"/>
      <c r="G1280" s="153"/>
      <c r="H1280" s="151"/>
      <c r="I1280" s="151"/>
      <c r="J1280" s="151"/>
      <c r="K1280" s="151"/>
      <c r="L1280" s="151"/>
      <c r="M1280" s="151"/>
      <c r="N1280" s="151"/>
      <c r="O1280" s="151"/>
      <c r="P1280" s="151"/>
      <c r="Q1280" s="151"/>
      <c r="R1280" s="151"/>
      <c r="S1280" s="152"/>
      <c r="T1280" s="151"/>
      <c r="U1280" s="151"/>
      <c r="V1280" s="153"/>
      <c r="W1280" s="151"/>
      <c r="X1280" s="151"/>
      <c r="Y1280" s="153"/>
      <c r="Z1280" s="151"/>
      <c r="AA1280" s="187" t="str">
        <f t="shared" si="39"/>
        <v>No</v>
      </c>
      <c r="AB1280" s="158"/>
      <c r="AC1280" s="159"/>
      <c r="AD1280" s="160"/>
    </row>
    <row r="1281" spans="1:30">
      <c r="A1281" s="155"/>
      <c r="B1281" s="112" t="str">
        <f t="shared" si="38"/>
        <v/>
      </c>
      <c r="C1281" s="183"/>
      <c r="D1281" s="152"/>
      <c r="E1281" s="152"/>
      <c r="F1281" s="151"/>
      <c r="G1281" s="153"/>
      <c r="H1281" s="151"/>
      <c r="I1281" s="151"/>
      <c r="J1281" s="151"/>
      <c r="K1281" s="151"/>
      <c r="L1281" s="151"/>
      <c r="M1281" s="151"/>
      <c r="N1281" s="151"/>
      <c r="O1281" s="151"/>
      <c r="P1281" s="151"/>
      <c r="Q1281" s="151"/>
      <c r="R1281" s="151"/>
      <c r="S1281" s="152"/>
      <c r="T1281" s="151"/>
      <c r="U1281" s="151"/>
      <c r="V1281" s="153"/>
      <c r="W1281" s="151"/>
      <c r="X1281" s="151"/>
      <c r="Y1281" s="153"/>
      <c r="Z1281" s="151"/>
      <c r="AA1281" s="187" t="str">
        <f t="shared" si="39"/>
        <v>No</v>
      </c>
      <c r="AB1281" s="158"/>
      <c r="AC1281" s="159"/>
      <c r="AD1281" s="160"/>
    </row>
    <row r="1282" spans="1:30">
      <c r="A1282" s="155"/>
      <c r="B1282" s="112" t="str">
        <f t="shared" si="38"/>
        <v/>
      </c>
      <c r="C1282" s="183"/>
      <c r="D1282" s="152"/>
      <c r="E1282" s="152"/>
      <c r="F1282" s="151"/>
      <c r="G1282" s="153"/>
      <c r="H1282" s="151"/>
      <c r="I1282" s="151"/>
      <c r="J1282" s="151"/>
      <c r="K1282" s="151"/>
      <c r="L1282" s="151"/>
      <c r="M1282" s="151"/>
      <c r="N1282" s="151"/>
      <c r="O1282" s="151"/>
      <c r="P1282" s="151"/>
      <c r="Q1282" s="151"/>
      <c r="R1282" s="151"/>
      <c r="S1282" s="152"/>
      <c r="T1282" s="151"/>
      <c r="U1282" s="151"/>
      <c r="V1282" s="153"/>
      <c r="W1282" s="151"/>
      <c r="X1282" s="151"/>
      <c r="Y1282" s="153"/>
      <c r="Z1282" s="151"/>
      <c r="AA1282" s="187" t="str">
        <f t="shared" si="39"/>
        <v>No</v>
      </c>
      <c r="AB1282" s="158"/>
      <c r="AC1282" s="159"/>
      <c r="AD1282" s="160"/>
    </row>
    <row r="1283" spans="1:30">
      <c r="A1283" s="155"/>
      <c r="B1283" s="112" t="str">
        <f t="shared" si="38"/>
        <v/>
      </c>
      <c r="C1283" s="183"/>
      <c r="D1283" s="152"/>
      <c r="E1283" s="152"/>
      <c r="F1283" s="151"/>
      <c r="G1283" s="153"/>
      <c r="H1283" s="151"/>
      <c r="I1283" s="151"/>
      <c r="J1283" s="151"/>
      <c r="K1283" s="151"/>
      <c r="L1283" s="151"/>
      <c r="M1283" s="151"/>
      <c r="N1283" s="151"/>
      <c r="O1283" s="151"/>
      <c r="P1283" s="151"/>
      <c r="Q1283" s="151"/>
      <c r="R1283" s="151"/>
      <c r="S1283" s="152"/>
      <c r="T1283" s="151"/>
      <c r="U1283" s="151"/>
      <c r="V1283" s="153"/>
      <c r="W1283" s="151"/>
      <c r="X1283" s="151"/>
      <c r="Y1283" s="153"/>
      <c r="Z1283" s="151"/>
      <c r="AA1283" s="187" t="str">
        <f t="shared" si="39"/>
        <v>No</v>
      </c>
      <c r="AB1283" s="158"/>
      <c r="AC1283" s="159"/>
      <c r="AD1283" s="160"/>
    </row>
    <row r="1284" spans="1:30">
      <c r="A1284" s="155"/>
      <c r="B1284" s="112" t="str">
        <f t="shared" si="38"/>
        <v/>
      </c>
      <c r="C1284" s="183"/>
      <c r="D1284" s="152"/>
      <c r="E1284" s="152"/>
      <c r="F1284" s="151"/>
      <c r="G1284" s="153"/>
      <c r="H1284" s="151"/>
      <c r="I1284" s="151"/>
      <c r="J1284" s="151"/>
      <c r="K1284" s="151"/>
      <c r="L1284" s="151"/>
      <c r="M1284" s="151"/>
      <c r="N1284" s="151"/>
      <c r="O1284" s="151"/>
      <c r="P1284" s="151"/>
      <c r="Q1284" s="151"/>
      <c r="R1284" s="151"/>
      <c r="S1284" s="152"/>
      <c r="T1284" s="151"/>
      <c r="U1284" s="151"/>
      <c r="V1284" s="153"/>
      <c r="W1284" s="151"/>
      <c r="X1284" s="151"/>
      <c r="Y1284" s="153"/>
      <c r="Z1284" s="151"/>
      <c r="AA1284" s="187" t="str">
        <f t="shared" si="39"/>
        <v>No</v>
      </c>
      <c r="AB1284" s="158"/>
      <c r="AC1284" s="159"/>
      <c r="AD1284" s="160"/>
    </row>
    <row r="1285" spans="1:30">
      <c r="A1285" s="155"/>
      <c r="B1285" s="112" t="str">
        <f t="shared" ref="B1285:B1348" si="40">IF(AND(A1285&lt;&gt;"",D1285&lt;&gt;"",J1285&lt;&gt;"",N1285&lt;&gt;""),TEXT(D1285,"YY")&amp;"-"&amp;TEXT(D1285,"MMM")&amp;"-"&amp;UPPER(LEFT(TRIM(N1285),2))&amp;"-"&amp;UPPER(LEFT(TRIM(J1285),3))&amp;"-"&amp;A1285,"")</f>
        <v/>
      </c>
      <c r="C1285" s="183"/>
      <c r="D1285" s="152"/>
      <c r="E1285" s="152"/>
      <c r="F1285" s="151"/>
      <c r="G1285" s="153"/>
      <c r="H1285" s="151"/>
      <c r="I1285" s="151"/>
      <c r="J1285" s="151"/>
      <c r="K1285" s="151"/>
      <c r="L1285" s="151"/>
      <c r="M1285" s="151"/>
      <c r="N1285" s="151"/>
      <c r="O1285" s="151"/>
      <c r="P1285" s="151"/>
      <c r="Q1285" s="151"/>
      <c r="R1285" s="151"/>
      <c r="S1285" s="152"/>
      <c r="T1285" s="151"/>
      <c r="U1285" s="151"/>
      <c r="V1285" s="153"/>
      <c r="W1285" s="151"/>
      <c r="X1285" s="151"/>
      <c r="Y1285" s="153"/>
      <c r="Z1285" s="151"/>
      <c r="AA1285" s="187" t="str">
        <f t="shared" ref="AA1285:AA1348" si="41">IF(E1285="","No","Yes")</f>
        <v>No</v>
      </c>
      <c r="AB1285" s="158"/>
      <c r="AC1285" s="159"/>
      <c r="AD1285" s="160"/>
    </row>
    <row r="1286" spans="1:30">
      <c r="A1286" s="155"/>
      <c r="B1286" s="112" t="str">
        <f t="shared" si="40"/>
        <v/>
      </c>
      <c r="C1286" s="183"/>
      <c r="D1286" s="152"/>
      <c r="E1286" s="152"/>
      <c r="F1286" s="151"/>
      <c r="G1286" s="153"/>
      <c r="H1286" s="151"/>
      <c r="I1286" s="151"/>
      <c r="J1286" s="151"/>
      <c r="K1286" s="151"/>
      <c r="L1286" s="151"/>
      <c r="M1286" s="151"/>
      <c r="N1286" s="151"/>
      <c r="O1286" s="151"/>
      <c r="P1286" s="151"/>
      <c r="Q1286" s="151"/>
      <c r="R1286" s="151"/>
      <c r="S1286" s="152"/>
      <c r="T1286" s="151"/>
      <c r="U1286" s="151"/>
      <c r="V1286" s="153"/>
      <c r="W1286" s="151"/>
      <c r="X1286" s="151"/>
      <c r="Y1286" s="153"/>
      <c r="Z1286" s="151"/>
      <c r="AA1286" s="187" t="str">
        <f t="shared" si="41"/>
        <v>No</v>
      </c>
      <c r="AB1286" s="158"/>
      <c r="AC1286" s="159"/>
      <c r="AD1286" s="160"/>
    </row>
    <row r="1287" spans="1:30">
      <c r="A1287" s="155"/>
      <c r="B1287" s="112" t="str">
        <f t="shared" si="40"/>
        <v/>
      </c>
      <c r="C1287" s="183"/>
      <c r="D1287" s="152"/>
      <c r="E1287" s="152"/>
      <c r="F1287" s="151"/>
      <c r="G1287" s="153"/>
      <c r="H1287" s="151"/>
      <c r="I1287" s="151"/>
      <c r="J1287" s="151"/>
      <c r="K1287" s="151"/>
      <c r="L1287" s="151"/>
      <c r="M1287" s="151"/>
      <c r="N1287" s="151"/>
      <c r="O1287" s="151"/>
      <c r="P1287" s="151"/>
      <c r="Q1287" s="151"/>
      <c r="R1287" s="151"/>
      <c r="S1287" s="152"/>
      <c r="T1287" s="151"/>
      <c r="U1287" s="151"/>
      <c r="V1287" s="153"/>
      <c r="W1287" s="151"/>
      <c r="X1287" s="151"/>
      <c r="Y1287" s="153"/>
      <c r="Z1287" s="151"/>
      <c r="AA1287" s="187" t="str">
        <f t="shared" si="41"/>
        <v>No</v>
      </c>
      <c r="AB1287" s="158"/>
      <c r="AC1287" s="159"/>
      <c r="AD1287" s="160"/>
    </row>
    <row r="1288" spans="1:30">
      <c r="A1288" s="155"/>
      <c r="B1288" s="112" t="str">
        <f t="shared" si="40"/>
        <v/>
      </c>
      <c r="C1288" s="183"/>
      <c r="D1288" s="152"/>
      <c r="E1288" s="152"/>
      <c r="F1288" s="151"/>
      <c r="G1288" s="153"/>
      <c r="H1288" s="151"/>
      <c r="I1288" s="151"/>
      <c r="J1288" s="151"/>
      <c r="K1288" s="151"/>
      <c r="L1288" s="151"/>
      <c r="M1288" s="151"/>
      <c r="N1288" s="151"/>
      <c r="O1288" s="151"/>
      <c r="P1288" s="151"/>
      <c r="Q1288" s="151"/>
      <c r="R1288" s="151"/>
      <c r="S1288" s="152"/>
      <c r="T1288" s="151"/>
      <c r="U1288" s="151"/>
      <c r="V1288" s="153"/>
      <c r="W1288" s="151"/>
      <c r="X1288" s="151"/>
      <c r="Y1288" s="153"/>
      <c r="Z1288" s="151"/>
      <c r="AA1288" s="187" t="str">
        <f t="shared" si="41"/>
        <v>No</v>
      </c>
      <c r="AB1288" s="158"/>
      <c r="AC1288" s="159"/>
      <c r="AD1288" s="160"/>
    </row>
    <row r="1289" spans="1:30">
      <c r="A1289" s="155"/>
      <c r="B1289" s="112" t="str">
        <f t="shared" si="40"/>
        <v/>
      </c>
      <c r="C1289" s="183"/>
      <c r="D1289" s="152"/>
      <c r="E1289" s="152"/>
      <c r="F1289" s="151"/>
      <c r="G1289" s="153"/>
      <c r="H1289" s="151"/>
      <c r="I1289" s="151"/>
      <c r="J1289" s="151"/>
      <c r="K1289" s="151"/>
      <c r="L1289" s="151"/>
      <c r="M1289" s="151"/>
      <c r="N1289" s="151"/>
      <c r="O1289" s="151"/>
      <c r="P1289" s="151"/>
      <c r="Q1289" s="151"/>
      <c r="R1289" s="151"/>
      <c r="S1289" s="152"/>
      <c r="T1289" s="151"/>
      <c r="U1289" s="151"/>
      <c r="V1289" s="153"/>
      <c r="W1289" s="151"/>
      <c r="X1289" s="151"/>
      <c r="Y1289" s="153"/>
      <c r="Z1289" s="151"/>
      <c r="AA1289" s="187" t="str">
        <f t="shared" si="41"/>
        <v>No</v>
      </c>
      <c r="AB1289" s="158"/>
      <c r="AC1289" s="159"/>
      <c r="AD1289" s="160"/>
    </row>
    <row r="1290" spans="1:30">
      <c r="A1290" s="155"/>
      <c r="B1290" s="112" t="str">
        <f t="shared" si="40"/>
        <v/>
      </c>
      <c r="C1290" s="183"/>
      <c r="D1290" s="152"/>
      <c r="E1290" s="152"/>
      <c r="F1290" s="151"/>
      <c r="G1290" s="153"/>
      <c r="H1290" s="151"/>
      <c r="I1290" s="151"/>
      <c r="J1290" s="151"/>
      <c r="K1290" s="151"/>
      <c r="L1290" s="151"/>
      <c r="M1290" s="151"/>
      <c r="N1290" s="151"/>
      <c r="O1290" s="151"/>
      <c r="P1290" s="151"/>
      <c r="Q1290" s="151"/>
      <c r="R1290" s="151"/>
      <c r="S1290" s="152"/>
      <c r="T1290" s="151"/>
      <c r="U1290" s="151"/>
      <c r="V1290" s="153"/>
      <c r="W1290" s="151"/>
      <c r="X1290" s="151"/>
      <c r="Y1290" s="153"/>
      <c r="Z1290" s="151"/>
      <c r="AA1290" s="187" t="str">
        <f t="shared" si="41"/>
        <v>No</v>
      </c>
      <c r="AB1290" s="158"/>
      <c r="AC1290" s="159"/>
      <c r="AD1290" s="160"/>
    </row>
    <row r="1291" spans="1:30">
      <c r="A1291" s="155"/>
      <c r="B1291" s="112" t="str">
        <f t="shared" si="40"/>
        <v/>
      </c>
      <c r="C1291" s="183"/>
      <c r="D1291" s="152"/>
      <c r="E1291" s="152"/>
      <c r="F1291" s="151"/>
      <c r="G1291" s="153"/>
      <c r="H1291" s="151"/>
      <c r="I1291" s="151"/>
      <c r="J1291" s="151"/>
      <c r="K1291" s="151"/>
      <c r="L1291" s="151"/>
      <c r="M1291" s="151"/>
      <c r="N1291" s="151"/>
      <c r="O1291" s="151"/>
      <c r="P1291" s="151"/>
      <c r="Q1291" s="151"/>
      <c r="R1291" s="151"/>
      <c r="S1291" s="152"/>
      <c r="T1291" s="151"/>
      <c r="U1291" s="151"/>
      <c r="V1291" s="153"/>
      <c r="W1291" s="151"/>
      <c r="X1291" s="151"/>
      <c r="Y1291" s="153"/>
      <c r="Z1291" s="151"/>
      <c r="AA1291" s="187" t="str">
        <f t="shared" si="41"/>
        <v>No</v>
      </c>
      <c r="AB1291" s="158"/>
      <c r="AC1291" s="159"/>
      <c r="AD1291" s="160"/>
    </row>
    <row r="1292" spans="1:30">
      <c r="A1292" s="155"/>
      <c r="B1292" s="112" t="str">
        <f t="shared" si="40"/>
        <v/>
      </c>
      <c r="C1292" s="183"/>
      <c r="D1292" s="152"/>
      <c r="E1292" s="152"/>
      <c r="F1292" s="151"/>
      <c r="G1292" s="153"/>
      <c r="H1292" s="151"/>
      <c r="I1292" s="151"/>
      <c r="J1292" s="151"/>
      <c r="K1292" s="151"/>
      <c r="L1292" s="151"/>
      <c r="M1292" s="151"/>
      <c r="N1292" s="151"/>
      <c r="O1292" s="151"/>
      <c r="P1292" s="151"/>
      <c r="Q1292" s="151"/>
      <c r="R1292" s="151"/>
      <c r="S1292" s="152"/>
      <c r="T1292" s="151"/>
      <c r="U1292" s="151"/>
      <c r="V1292" s="153"/>
      <c r="W1292" s="151"/>
      <c r="X1292" s="151"/>
      <c r="Y1292" s="153"/>
      <c r="Z1292" s="151"/>
      <c r="AA1292" s="187" t="str">
        <f t="shared" si="41"/>
        <v>No</v>
      </c>
      <c r="AB1292" s="158"/>
      <c r="AC1292" s="159"/>
      <c r="AD1292" s="160"/>
    </row>
    <row r="1293" spans="1:30">
      <c r="A1293" s="155"/>
      <c r="B1293" s="112" t="str">
        <f t="shared" si="40"/>
        <v/>
      </c>
      <c r="C1293" s="183"/>
      <c r="D1293" s="152"/>
      <c r="E1293" s="152"/>
      <c r="F1293" s="151"/>
      <c r="G1293" s="153"/>
      <c r="H1293" s="151"/>
      <c r="I1293" s="151"/>
      <c r="J1293" s="151"/>
      <c r="K1293" s="151"/>
      <c r="L1293" s="151"/>
      <c r="M1293" s="151"/>
      <c r="N1293" s="151"/>
      <c r="O1293" s="151"/>
      <c r="P1293" s="151"/>
      <c r="Q1293" s="151"/>
      <c r="R1293" s="151"/>
      <c r="S1293" s="152"/>
      <c r="T1293" s="151"/>
      <c r="U1293" s="151"/>
      <c r="V1293" s="153"/>
      <c r="W1293" s="151"/>
      <c r="X1293" s="151"/>
      <c r="Y1293" s="153"/>
      <c r="Z1293" s="151"/>
      <c r="AA1293" s="187" t="str">
        <f t="shared" si="41"/>
        <v>No</v>
      </c>
      <c r="AB1293" s="158"/>
      <c r="AC1293" s="159"/>
      <c r="AD1293" s="160"/>
    </row>
    <row r="1294" spans="1:30">
      <c r="A1294" s="155"/>
      <c r="B1294" s="112" t="str">
        <f t="shared" si="40"/>
        <v/>
      </c>
      <c r="C1294" s="183"/>
      <c r="D1294" s="152"/>
      <c r="E1294" s="152"/>
      <c r="F1294" s="151"/>
      <c r="G1294" s="153"/>
      <c r="H1294" s="151"/>
      <c r="I1294" s="151"/>
      <c r="J1294" s="151"/>
      <c r="K1294" s="151"/>
      <c r="L1294" s="151"/>
      <c r="M1294" s="151"/>
      <c r="N1294" s="151"/>
      <c r="O1294" s="151"/>
      <c r="P1294" s="151"/>
      <c r="Q1294" s="151"/>
      <c r="R1294" s="151"/>
      <c r="S1294" s="152"/>
      <c r="T1294" s="151"/>
      <c r="U1294" s="151"/>
      <c r="V1294" s="153"/>
      <c r="W1294" s="151"/>
      <c r="X1294" s="151"/>
      <c r="Y1294" s="153"/>
      <c r="Z1294" s="151"/>
      <c r="AA1294" s="187" t="str">
        <f t="shared" si="41"/>
        <v>No</v>
      </c>
      <c r="AB1294" s="158"/>
      <c r="AC1294" s="159"/>
      <c r="AD1294" s="160"/>
    </row>
    <row r="1295" spans="1:30">
      <c r="A1295" s="155"/>
      <c r="B1295" s="112" t="str">
        <f t="shared" si="40"/>
        <v/>
      </c>
      <c r="C1295" s="183"/>
      <c r="D1295" s="152"/>
      <c r="E1295" s="152"/>
      <c r="F1295" s="151"/>
      <c r="G1295" s="153"/>
      <c r="H1295" s="151"/>
      <c r="I1295" s="151"/>
      <c r="J1295" s="151"/>
      <c r="K1295" s="151"/>
      <c r="L1295" s="151"/>
      <c r="M1295" s="151"/>
      <c r="N1295" s="151"/>
      <c r="O1295" s="151"/>
      <c r="P1295" s="151"/>
      <c r="Q1295" s="151"/>
      <c r="R1295" s="151"/>
      <c r="S1295" s="152"/>
      <c r="T1295" s="151"/>
      <c r="U1295" s="151"/>
      <c r="V1295" s="153"/>
      <c r="W1295" s="151"/>
      <c r="X1295" s="151"/>
      <c r="Y1295" s="153"/>
      <c r="Z1295" s="151"/>
      <c r="AA1295" s="187" t="str">
        <f t="shared" si="41"/>
        <v>No</v>
      </c>
      <c r="AB1295" s="158"/>
      <c r="AC1295" s="159"/>
      <c r="AD1295" s="160"/>
    </row>
    <row r="1296" spans="1:30">
      <c r="A1296" s="155"/>
      <c r="B1296" s="112" t="str">
        <f t="shared" si="40"/>
        <v/>
      </c>
      <c r="C1296" s="183"/>
      <c r="D1296" s="152"/>
      <c r="E1296" s="152"/>
      <c r="F1296" s="151"/>
      <c r="G1296" s="153"/>
      <c r="H1296" s="151"/>
      <c r="I1296" s="151"/>
      <c r="J1296" s="151"/>
      <c r="K1296" s="151"/>
      <c r="L1296" s="151"/>
      <c r="M1296" s="151"/>
      <c r="N1296" s="151"/>
      <c r="O1296" s="151"/>
      <c r="P1296" s="151"/>
      <c r="Q1296" s="151"/>
      <c r="R1296" s="151"/>
      <c r="S1296" s="152"/>
      <c r="T1296" s="151"/>
      <c r="U1296" s="151"/>
      <c r="V1296" s="153"/>
      <c r="W1296" s="151"/>
      <c r="X1296" s="151"/>
      <c r="Y1296" s="153"/>
      <c r="Z1296" s="151"/>
      <c r="AA1296" s="187" t="str">
        <f t="shared" si="41"/>
        <v>No</v>
      </c>
      <c r="AB1296" s="158"/>
      <c r="AC1296" s="159"/>
      <c r="AD1296" s="160"/>
    </row>
    <row r="1297" spans="1:30">
      <c r="A1297" s="155"/>
      <c r="B1297" s="112" t="str">
        <f t="shared" si="40"/>
        <v/>
      </c>
      <c r="C1297" s="183"/>
      <c r="D1297" s="152"/>
      <c r="E1297" s="152"/>
      <c r="F1297" s="151"/>
      <c r="G1297" s="153"/>
      <c r="H1297" s="151"/>
      <c r="I1297" s="151"/>
      <c r="J1297" s="151"/>
      <c r="K1297" s="151"/>
      <c r="L1297" s="151"/>
      <c r="M1297" s="151"/>
      <c r="N1297" s="151"/>
      <c r="O1297" s="151"/>
      <c r="P1297" s="151"/>
      <c r="Q1297" s="151"/>
      <c r="R1297" s="151"/>
      <c r="S1297" s="152"/>
      <c r="T1297" s="151"/>
      <c r="U1297" s="151"/>
      <c r="V1297" s="153"/>
      <c r="W1297" s="151"/>
      <c r="X1297" s="151"/>
      <c r="Y1297" s="153"/>
      <c r="Z1297" s="151"/>
      <c r="AA1297" s="187" t="str">
        <f t="shared" si="41"/>
        <v>No</v>
      </c>
      <c r="AB1297" s="158"/>
      <c r="AC1297" s="159"/>
      <c r="AD1297" s="160"/>
    </row>
    <row r="1298" spans="1:30">
      <c r="A1298" s="155"/>
      <c r="B1298" s="112" t="str">
        <f t="shared" si="40"/>
        <v/>
      </c>
      <c r="C1298" s="183"/>
      <c r="D1298" s="152"/>
      <c r="E1298" s="152"/>
      <c r="F1298" s="151"/>
      <c r="G1298" s="153"/>
      <c r="H1298" s="151"/>
      <c r="I1298" s="151"/>
      <c r="J1298" s="151"/>
      <c r="K1298" s="151"/>
      <c r="L1298" s="151"/>
      <c r="M1298" s="151"/>
      <c r="N1298" s="151"/>
      <c r="O1298" s="151"/>
      <c r="P1298" s="151"/>
      <c r="Q1298" s="151"/>
      <c r="R1298" s="151"/>
      <c r="S1298" s="152"/>
      <c r="T1298" s="151"/>
      <c r="U1298" s="151"/>
      <c r="V1298" s="153"/>
      <c r="W1298" s="151"/>
      <c r="X1298" s="151"/>
      <c r="Y1298" s="153"/>
      <c r="Z1298" s="151"/>
      <c r="AA1298" s="187" t="str">
        <f t="shared" si="41"/>
        <v>No</v>
      </c>
      <c r="AB1298" s="158"/>
      <c r="AC1298" s="159"/>
      <c r="AD1298" s="160"/>
    </row>
    <row r="1299" spans="1:30">
      <c r="A1299" s="155"/>
      <c r="B1299" s="112" t="str">
        <f t="shared" si="40"/>
        <v/>
      </c>
      <c r="C1299" s="183"/>
      <c r="D1299" s="152"/>
      <c r="E1299" s="152"/>
      <c r="F1299" s="151"/>
      <c r="G1299" s="153"/>
      <c r="H1299" s="151"/>
      <c r="I1299" s="151"/>
      <c r="J1299" s="151"/>
      <c r="K1299" s="151"/>
      <c r="L1299" s="151"/>
      <c r="M1299" s="151"/>
      <c r="N1299" s="151"/>
      <c r="O1299" s="151"/>
      <c r="P1299" s="151"/>
      <c r="Q1299" s="151"/>
      <c r="R1299" s="151"/>
      <c r="S1299" s="152"/>
      <c r="T1299" s="151"/>
      <c r="U1299" s="151"/>
      <c r="V1299" s="153"/>
      <c r="W1299" s="151"/>
      <c r="X1299" s="151"/>
      <c r="Y1299" s="153"/>
      <c r="Z1299" s="151"/>
      <c r="AA1299" s="187" t="str">
        <f t="shared" si="41"/>
        <v>No</v>
      </c>
      <c r="AB1299" s="158"/>
      <c r="AC1299" s="159"/>
      <c r="AD1299" s="160"/>
    </row>
    <row r="1300" spans="1:30">
      <c r="A1300" s="155"/>
      <c r="B1300" s="112" t="str">
        <f t="shared" si="40"/>
        <v/>
      </c>
      <c r="C1300" s="183"/>
      <c r="D1300" s="152"/>
      <c r="E1300" s="152"/>
      <c r="F1300" s="151"/>
      <c r="G1300" s="153"/>
      <c r="H1300" s="151"/>
      <c r="I1300" s="151"/>
      <c r="J1300" s="151"/>
      <c r="K1300" s="151"/>
      <c r="L1300" s="151"/>
      <c r="M1300" s="151"/>
      <c r="N1300" s="151"/>
      <c r="O1300" s="151"/>
      <c r="P1300" s="151"/>
      <c r="Q1300" s="151"/>
      <c r="R1300" s="151"/>
      <c r="S1300" s="152"/>
      <c r="T1300" s="151"/>
      <c r="U1300" s="151"/>
      <c r="V1300" s="153"/>
      <c r="W1300" s="151"/>
      <c r="X1300" s="151"/>
      <c r="Y1300" s="153"/>
      <c r="Z1300" s="151"/>
      <c r="AA1300" s="187" t="str">
        <f t="shared" si="41"/>
        <v>No</v>
      </c>
      <c r="AB1300" s="158"/>
      <c r="AC1300" s="159"/>
      <c r="AD1300" s="160"/>
    </row>
    <row r="1301" spans="1:30">
      <c r="A1301" s="155"/>
      <c r="B1301" s="112" t="str">
        <f t="shared" si="40"/>
        <v/>
      </c>
      <c r="C1301" s="183"/>
      <c r="D1301" s="152"/>
      <c r="E1301" s="152"/>
      <c r="F1301" s="151"/>
      <c r="G1301" s="153"/>
      <c r="H1301" s="151"/>
      <c r="I1301" s="151"/>
      <c r="J1301" s="151"/>
      <c r="K1301" s="151"/>
      <c r="L1301" s="151"/>
      <c r="M1301" s="151"/>
      <c r="N1301" s="151"/>
      <c r="O1301" s="151"/>
      <c r="P1301" s="151"/>
      <c r="Q1301" s="151"/>
      <c r="R1301" s="151"/>
      <c r="S1301" s="152"/>
      <c r="T1301" s="151"/>
      <c r="U1301" s="151"/>
      <c r="V1301" s="153"/>
      <c r="W1301" s="151"/>
      <c r="X1301" s="151"/>
      <c r="Y1301" s="153"/>
      <c r="Z1301" s="151"/>
      <c r="AA1301" s="187" t="str">
        <f t="shared" si="41"/>
        <v>No</v>
      </c>
      <c r="AB1301" s="158"/>
      <c r="AC1301" s="159"/>
      <c r="AD1301" s="160"/>
    </row>
    <row r="1302" spans="1:30">
      <c r="A1302" s="155"/>
      <c r="B1302" s="112" t="str">
        <f t="shared" si="40"/>
        <v/>
      </c>
      <c r="C1302" s="183"/>
      <c r="D1302" s="152"/>
      <c r="E1302" s="152"/>
      <c r="F1302" s="151"/>
      <c r="G1302" s="153"/>
      <c r="H1302" s="151"/>
      <c r="I1302" s="151"/>
      <c r="J1302" s="151"/>
      <c r="K1302" s="151"/>
      <c r="L1302" s="151"/>
      <c r="M1302" s="151"/>
      <c r="N1302" s="151"/>
      <c r="O1302" s="151"/>
      <c r="P1302" s="151"/>
      <c r="Q1302" s="151"/>
      <c r="R1302" s="151"/>
      <c r="S1302" s="152"/>
      <c r="T1302" s="151"/>
      <c r="U1302" s="151"/>
      <c r="V1302" s="153"/>
      <c r="W1302" s="151"/>
      <c r="X1302" s="151"/>
      <c r="Y1302" s="153"/>
      <c r="Z1302" s="151"/>
      <c r="AA1302" s="187" t="str">
        <f t="shared" si="41"/>
        <v>No</v>
      </c>
      <c r="AB1302" s="158"/>
      <c r="AC1302" s="159"/>
      <c r="AD1302" s="160"/>
    </row>
    <row r="1303" spans="1:30">
      <c r="A1303" s="155"/>
      <c r="B1303" s="112" t="str">
        <f t="shared" si="40"/>
        <v/>
      </c>
      <c r="C1303" s="183"/>
      <c r="D1303" s="152"/>
      <c r="E1303" s="152"/>
      <c r="F1303" s="151"/>
      <c r="G1303" s="153"/>
      <c r="H1303" s="151"/>
      <c r="I1303" s="151"/>
      <c r="J1303" s="151"/>
      <c r="K1303" s="151"/>
      <c r="L1303" s="151"/>
      <c r="M1303" s="151"/>
      <c r="N1303" s="151"/>
      <c r="O1303" s="151"/>
      <c r="P1303" s="151"/>
      <c r="Q1303" s="151"/>
      <c r="R1303" s="151"/>
      <c r="S1303" s="152"/>
      <c r="T1303" s="151"/>
      <c r="U1303" s="151"/>
      <c r="V1303" s="153"/>
      <c r="W1303" s="151"/>
      <c r="X1303" s="151"/>
      <c r="Y1303" s="153"/>
      <c r="Z1303" s="151"/>
      <c r="AA1303" s="187" t="str">
        <f t="shared" si="41"/>
        <v>No</v>
      </c>
      <c r="AB1303" s="158"/>
      <c r="AC1303" s="159"/>
      <c r="AD1303" s="160"/>
    </row>
    <row r="1304" spans="1:30">
      <c r="A1304" s="155"/>
      <c r="B1304" s="112" t="str">
        <f t="shared" si="40"/>
        <v/>
      </c>
      <c r="C1304" s="183"/>
      <c r="D1304" s="152"/>
      <c r="E1304" s="152"/>
      <c r="F1304" s="151"/>
      <c r="G1304" s="153"/>
      <c r="H1304" s="151"/>
      <c r="I1304" s="151"/>
      <c r="J1304" s="151"/>
      <c r="K1304" s="151"/>
      <c r="L1304" s="151"/>
      <c r="M1304" s="151"/>
      <c r="N1304" s="151"/>
      <c r="O1304" s="151"/>
      <c r="P1304" s="151"/>
      <c r="Q1304" s="151"/>
      <c r="R1304" s="151"/>
      <c r="S1304" s="152"/>
      <c r="T1304" s="151"/>
      <c r="U1304" s="151"/>
      <c r="V1304" s="153"/>
      <c r="W1304" s="151"/>
      <c r="X1304" s="151"/>
      <c r="Y1304" s="153"/>
      <c r="Z1304" s="151"/>
      <c r="AA1304" s="187" t="str">
        <f t="shared" si="41"/>
        <v>No</v>
      </c>
      <c r="AB1304" s="158"/>
      <c r="AC1304" s="159"/>
      <c r="AD1304" s="160"/>
    </row>
    <row r="1305" spans="1:30">
      <c r="A1305" s="155"/>
      <c r="B1305" s="112" t="str">
        <f t="shared" si="40"/>
        <v/>
      </c>
      <c r="C1305" s="183"/>
      <c r="D1305" s="152"/>
      <c r="E1305" s="152"/>
      <c r="F1305" s="151"/>
      <c r="G1305" s="153"/>
      <c r="H1305" s="151"/>
      <c r="I1305" s="151"/>
      <c r="J1305" s="151"/>
      <c r="K1305" s="151"/>
      <c r="L1305" s="151"/>
      <c r="M1305" s="151"/>
      <c r="N1305" s="151"/>
      <c r="O1305" s="151"/>
      <c r="P1305" s="151"/>
      <c r="Q1305" s="151"/>
      <c r="R1305" s="151"/>
      <c r="S1305" s="152"/>
      <c r="T1305" s="151"/>
      <c r="U1305" s="151"/>
      <c r="V1305" s="153"/>
      <c r="W1305" s="151"/>
      <c r="X1305" s="151"/>
      <c r="Y1305" s="153"/>
      <c r="Z1305" s="151"/>
      <c r="AA1305" s="187" t="str">
        <f t="shared" si="41"/>
        <v>No</v>
      </c>
      <c r="AB1305" s="158"/>
      <c r="AC1305" s="159"/>
      <c r="AD1305" s="160"/>
    </row>
    <row r="1306" spans="1:30">
      <c r="A1306" s="155"/>
      <c r="B1306" s="112" t="str">
        <f t="shared" si="40"/>
        <v/>
      </c>
      <c r="C1306" s="183"/>
      <c r="D1306" s="152"/>
      <c r="E1306" s="152"/>
      <c r="F1306" s="151"/>
      <c r="G1306" s="153"/>
      <c r="H1306" s="151"/>
      <c r="I1306" s="151"/>
      <c r="J1306" s="151"/>
      <c r="K1306" s="151"/>
      <c r="L1306" s="151"/>
      <c r="M1306" s="151"/>
      <c r="N1306" s="151"/>
      <c r="O1306" s="151"/>
      <c r="P1306" s="151"/>
      <c r="Q1306" s="151"/>
      <c r="R1306" s="151"/>
      <c r="S1306" s="152"/>
      <c r="T1306" s="151"/>
      <c r="U1306" s="151"/>
      <c r="V1306" s="153"/>
      <c r="W1306" s="151"/>
      <c r="X1306" s="151"/>
      <c r="Y1306" s="153"/>
      <c r="Z1306" s="151"/>
      <c r="AA1306" s="187" t="str">
        <f t="shared" si="41"/>
        <v>No</v>
      </c>
      <c r="AB1306" s="158"/>
      <c r="AC1306" s="159"/>
      <c r="AD1306" s="160"/>
    </row>
    <row r="1307" spans="1:30">
      <c r="A1307" s="155"/>
      <c r="B1307" s="112" t="str">
        <f t="shared" si="40"/>
        <v/>
      </c>
      <c r="C1307" s="183"/>
      <c r="D1307" s="152"/>
      <c r="E1307" s="152"/>
      <c r="F1307" s="151"/>
      <c r="G1307" s="153"/>
      <c r="H1307" s="151"/>
      <c r="I1307" s="151"/>
      <c r="J1307" s="151"/>
      <c r="K1307" s="151"/>
      <c r="L1307" s="151"/>
      <c r="M1307" s="151"/>
      <c r="N1307" s="151"/>
      <c r="O1307" s="151"/>
      <c r="P1307" s="151"/>
      <c r="Q1307" s="151"/>
      <c r="R1307" s="151"/>
      <c r="S1307" s="152"/>
      <c r="T1307" s="151"/>
      <c r="U1307" s="151"/>
      <c r="V1307" s="153"/>
      <c r="W1307" s="151"/>
      <c r="X1307" s="151"/>
      <c r="Y1307" s="153"/>
      <c r="Z1307" s="151"/>
      <c r="AA1307" s="187" t="str">
        <f t="shared" si="41"/>
        <v>No</v>
      </c>
      <c r="AB1307" s="158"/>
      <c r="AC1307" s="159"/>
      <c r="AD1307" s="160"/>
    </row>
    <row r="1308" spans="1:30">
      <c r="A1308" s="155"/>
      <c r="B1308" s="112" t="str">
        <f t="shared" si="40"/>
        <v/>
      </c>
      <c r="C1308" s="183"/>
      <c r="D1308" s="152"/>
      <c r="E1308" s="152"/>
      <c r="F1308" s="151"/>
      <c r="G1308" s="153"/>
      <c r="H1308" s="151"/>
      <c r="I1308" s="151"/>
      <c r="J1308" s="151"/>
      <c r="K1308" s="151"/>
      <c r="L1308" s="151"/>
      <c r="M1308" s="151"/>
      <c r="N1308" s="151"/>
      <c r="O1308" s="151"/>
      <c r="P1308" s="151"/>
      <c r="Q1308" s="151"/>
      <c r="R1308" s="151"/>
      <c r="S1308" s="152"/>
      <c r="T1308" s="151"/>
      <c r="U1308" s="151"/>
      <c r="V1308" s="153"/>
      <c r="W1308" s="151"/>
      <c r="X1308" s="151"/>
      <c r="Y1308" s="153"/>
      <c r="Z1308" s="151"/>
      <c r="AA1308" s="187" t="str">
        <f t="shared" si="41"/>
        <v>No</v>
      </c>
      <c r="AB1308" s="158"/>
      <c r="AC1308" s="159"/>
      <c r="AD1308" s="160"/>
    </row>
    <row r="1309" spans="1:30">
      <c r="A1309" s="155"/>
      <c r="B1309" s="112" t="str">
        <f t="shared" si="40"/>
        <v/>
      </c>
      <c r="C1309" s="183"/>
      <c r="D1309" s="152"/>
      <c r="E1309" s="152"/>
      <c r="F1309" s="151"/>
      <c r="G1309" s="153"/>
      <c r="H1309" s="151"/>
      <c r="I1309" s="151"/>
      <c r="J1309" s="151"/>
      <c r="K1309" s="151"/>
      <c r="L1309" s="151"/>
      <c r="M1309" s="151"/>
      <c r="N1309" s="151"/>
      <c r="O1309" s="151"/>
      <c r="P1309" s="151"/>
      <c r="Q1309" s="151"/>
      <c r="R1309" s="151"/>
      <c r="S1309" s="152"/>
      <c r="T1309" s="151"/>
      <c r="U1309" s="151"/>
      <c r="V1309" s="153"/>
      <c r="W1309" s="151"/>
      <c r="X1309" s="151"/>
      <c r="Y1309" s="153"/>
      <c r="Z1309" s="151"/>
      <c r="AA1309" s="187" t="str">
        <f t="shared" si="41"/>
        <v>No</v>
      </c>
      <c r="AB1309" s="158"/>
      <c r="AC1309" s="159"/>
      <c r="AD1309" s="160"/>
    </row>
    <row r="1310" spans="1:30">
      <c r="A1310" s="155"/>
      <c r="B1310" s="112" t="str">
        <f t="shared" si="40"/>
        <v/>
      </c>
      <c r="C1310" s="183"/>
      <c r="D1310" s="152"/>
      <c r="E1310" s="152"/>
      <c r="F1310" s="151"/>
      <c r="G1310" s="153"/>
      <c r="H1310" s="151"/>
      <c r="I1310" s="151"/>
      <c r="J1310" s="151"/>
      <c r="K1310" s="151"/>
      <c r="L1310" s="151"/>
      <c r="M1310" s="151"/>
      <c r="N1310" s="151"/>
      <c r="O1310" s="151"/>
      <c r="P1310" s="151"/>
      <c r="Q1310" s="151"/>
      <c r="R1310" s="151"/>
      <c r="S1310" s="152"/>
      <c r="T1310" s="151"/>
      <c r="U1310" s="151"/>
      <c r="V1310" s="153"/>
      <c r="W1310" s="151"/>
      <c r="X1310" s="151"/>
      <c r="Y1310" s="153"/>
      <c r="Z1310" s="151"/>
      <c r="AA1310" s="187" t="str">
        <f t="shared" si="41"/>
        <v>No</v>
      </c>
      <c r="AB1310" s="158"/>
      <c r="AC1310" s="159"/>
      <c r="AD1310" s="160"/>
    </row>
    <row r="1311" spans="1:30">
      <c r="A1311" s="155"/>
      <c r="B1311" s="112" t="str">
        <f t="shared" si="40"/>
        <v/>
      </c>
      <c r="C1311" s="183"/>
      <c r="D1311" s="152"/>
      <c r="E1311" s="152"/>
      <c r="F1311" s="151"/>
      <c r="G1311" s="153"/>
      <c r="H1311" s="151"/>
      <c r="I1311" s="151"/>
      <c r="J1311" s="151"/>
      <c r="K1311" s="151"/>
      <c r="L1311" s="151"/>
      <c r="M1311" s="151"/>
      <c r="N1311" s="151"/>
      <c r="O1311" s="151"/>
      <c r="P1311" s="151"/>
      <c r="Q1311" s="151"/>
      <c r="R1311" s="151"/>
      <c r="S1311" s="152"/>
      <c r="T1311" s="151"/>
      <c r="U1311" s="151"/>
      <c r="V1311" s="153"/>
      <c r="W1311" s="151"/>
      <c r="X1311" s="151"/>
      <c r="Y1311" s="153"/>
      <c r="Z1311" s="151"/>
      <c r="AA1311" s="187" t="str">
        <f t="shared" si="41"/>
        <v>No</v>
      </c>
      <c r="AB1311" s="158"/>
      <c r="AC1311" s="159"/>
      <c r="AD1311" s="160"/>
    </row>
    <row r="1312" spans="1:30">
      <c r="A1312" s="155"/>
      <c r="B1312" s="112" t="str">
        <f t="shared" si="40"/>
        <v/>
      </c>
      <c r="C1312" s="183"/>
      <c r="D1312" s="152"/>
      <c r="E1312" s="152"/>
      <c r="F1312" s="151"/>
      <c r="G1312" s="153"/>
      <c r="H1312" s="151"/>
      <c r="I1312" s="151"/>
      <c r="J1312" s="151"/>
      <c r="K1312" s="151"/>
      <c r="L1312" s="151"/>
      <c r="M1312" s="151"/>
      <c r="N1312" s="151"/>
      <c r="O1312" s="151"/>
      <c r="P1312" s="151"/>
      <c r="Q1312" s="151"/>
      <c r="R1312" s="151"/>
      <c r="S1312" s="152"/>
      <c r="T1312" s="151"/>
      <c r="U1312" s="151"/>
      <c r="V1312" s="153"/>
      <c r="W1312" s="151"/>
      <c r="X1312" s="151"/>
      <c r="Y1312" s="153"/>
      <c r="Z1312" s="151"/>
      <c r="AA1312" s="187" t="str">
        <f t="shared" si="41"/>
        <v>No</v>
      </c>
      <c r="AB1312" s="158"/>
      <c r="AC1312" s="159"/>
      <c r="AD1312" s="160"/>
    </row>
    <row r="1313" spans="1:30">
      <c r="A1313" s="155"/>
      <c r="B1313" s="112" t="str">
        <f t="shared" si="40"/>
        <v/>
      </c>
      <c r="C1313" s="183"/>
      <c r="D1313" s="152"/>
      <c r="E1313" s="152"/>
      <c r="F1313" s="151"/>
      <c r="G1313" s="153"/>
      <c r="H1313" s="151"/>
      <c r="I1313" s="151"/>
      <c r="J1313" s="151"/>
      <c r="K1313" s="151"/>
      <c r="L1313" s="151"/>
      <c r="M1313" s="151"/>
      <c r="N1313" s="151"/>
      <c r="O1313" s="151"/>
      <c r="P1313" s="151"/>
      <c r="Q1313" s="151"/>
      <c r="R1313" s="151"/>
      <c r="S1313" s="152"/>
      <c r="T1313" s="151"/>
      <c r="U1313" s="151"/>
      <c r="V1313" s="153"/>
      <c r="W1313" s="151"/>
      <c r="X1313" s="151"/>
      <c r="Y1313" s="153"/>
      <c r="Z1313" s="151"/>
      <c r="AA1313" s="187" t="str">
        <f t="shared" si="41"/>
        <v>No</v>
      </c>
      <c r="AB1313" s="158"/>
      <c r="AC1313" s="159"/>
      <c r="AD1313" s="160"/>
    </row>
    <row r="1314" spans="1:30">
      <c r="A1314" s="155"/>
      <c r="B1314" s="112" t="str">
        <f t="shared" si="40"/>
        <v/>
      </c>
      <c r="C1314" s="183"/>
      <c r="D1314" s="152"/>
      <c r="E1314" s="152"/>
      <c r="F1314" s="151"/>
      <c r="G1314" s="153"/>
      <c r="H1314" s="151"/>
      <c r="I1314" s="151"/>
      <c r="J1314" s="151"/>
      <c r="K1314" s="151"/>
      <c r="L1314" s="151"/>
      <c r="M1314" s="151"/>
      <c r="N1314" s="151"/>
      <c r="O1314" s="151"/>
      <c r="P1314" s="151"/>
      <c r="Q1314" s="151"/>
      <c r="R1314" s="151"/>
      <c r="S1314" s="152"/>
      <c r="T1314" s="151"/>
      <c r="U1314" s="151"/>
      <c r="V1314" s="153"/>
      <c r="W1314" s="151"/>
      <c r="X1314" s="151"/>
      <c r="Y1314" s="153"/>
      <c r="Z1314" s="151"/>
      <c r="AA1314" s="187" t="str">
        <f t="shared" si="41"/>
        <v>No</v>
      </c>
      <c r="AB1314" s="158"/>
      <c r="AC1314" s="159"/>
      <c r="AD1314" s="160"/>
    </row>
    <row r="1315" spans="1:30">
      <c r="A1315" s="155"/>
      <c r="B1315" s="112" t="str">
        <f t="shared" si="40"/>
        <v/>
      </c>
      <c r="C1315" s="183"/>
      <c r="D1315" s="152"/>
      <c r="E1315" s="152"/>
      <c r="F1315" s="151"/>
      <c r="G1315" s="153"/>
      <c r="H1315" s="151"/>
      <c r="I1315" s="151"/>
      <c r="J1315" s="151"/>
      <c r="K1315" s="151"/>
      <c r="L1315" s="151"/>
      <c r="M1315" s="151"/>
      <c r="N1315" s="151"/>
      <c r="O1315" s="151"/>
      <c r="P1315" s="151"/>
      <c r="Q1315" s="151"/>
      <c r="R1315" s="151"/>
      <c r="S1315" s="152"/>
      <c r="T1315" s="151"/>
      <c r="U1315" s="151"/>
      <c r="V1315" s="153"/>
      <c r="W1315" s="151"/>
      <c r="X1315" s="151"/>
      <c r="Y1315" s="153"/>
      <c r="Z1315" s="151"/>
      <c r="AA1315" s="187" t="str">
        <f t="shared" si="41"/>
        <v>No</v>
      </c>
      <c r="AB1315" s="158"/>
      <c r="AC1315" s="159"/>
      <c r="AD1315" s="160"/>
    </row>
    <row r="1316" spans="1:30">
      <c r="A1316" s="155"/>
      <c r="B1316" s="112" t="str">
        <f t="shared" si="40"/>
        <v/>
      </c>
      <c r="C1316" s="183"/>
      <c r="D1316" s="152"/>
      <c r="E1316" s="152"/>
      <c r="F1316" s="151"/>
      <c r="G1316" s="153"/>
      <c r="H1316" s="151"/>
      <c r="I1316" s="151"/>
      <c r="J1316" s="151"/>
      <c r="K1316" s="151"/>
      <c r="L1316" s="151"/>
      <c r="M1316" s="151"/>
      <c r="N1316" s="151"/>
      <c r="O1316" s="151"/>
      <c r="P1316" s="151"/>
      <c r="Q1316" s="151"/>
      <c r="R1316" s="151"/>
      <c r="S1316" s="152"/>
      <c r="T1316" s="151"/>
      <c r="U1316" s="151"/>
      <c r="V1316" s="153"/>
      <c r="W1316" s="151"/>
      <c r="X1316" s="151"/>
      <c r="Y1316" s="153"/>
      <c r="Z1316" s="151"/>
      <c r="AA1316" s="187" t="str">
        <f t="shared" si="41"/>
        <v>No</v>
      </c>
      <c r="AB1316" s="158"/>
      <c r="AC1316" s="159"/>
      <c r="AD1316" s="160"/>
    </row>
    <row r="1317" spans="1:30">
      <c r="A1317" s="155"/>
      <c r="B1317" s="112" t="str">
        <f t="shared" si="40"/>
        <v/>
      </c>
      <c r="C1317" s="183"/>
      <c r="D1317" s="152"/>
      <c r="E1317" s="152"/>
      <c r="F1317" s="151"/>
      <c r="G1317" s="153"/>
      <c r="H1317" s="151"/>
      <c r="I1317" s="151"/>
      <c r="J1317" s="151"/>
      <c r="K1317" s="151"/>
      <c r="L1317" s="151"/>
      <c r="M1317" s="151"/>
      <c r="N1317" s="151"/>
      <c r="O1317" s="151"/>
      <c r="P1317" s="151"/>
      <c r="Q1317" s="151"/>
      <c r="R1317" s="151"/>
      <c r="S1317" s="152"/>
      <c r="T1317" s="151"/>
      <c r="U1317" s="151"/>
      <c r="V1317" s="153"/>
      <c r="W1317" s="151"/>
      <c r="X1317" s="151"/>
      <c r="Y1317" s="153"/>
      <c r="Z1317" s="151"/>
      <c r="AA1317" s="187" t="str">
        <f t="shared" si="41"/>
        <v>No</v>
      </c>
      <c r="AB1317" s="158"/>
      <c r="AC1317" s="159"/>
      <c r="AD1317" s="160"/>
    </row>
    <row r="1318" spans="1:30">
      <c r="A1318" s="155"/>
      <c r="B1318" s="112" t="str">
        <f t="shared" si="40"/>
        <v/>
      </c>
      <c r="C1318" s="183"/>
      <c r="D1318" s="152"/>
      <c r="E1318" s="152"/>
      <c r="F1318" s="151"/>
      <c r="G1318" s="153"/>
      <c r="H1318" s="151"/>
      <c r="I1318" s="151"/>
      <c r="J1318" s="151"/>
      <c r="K1318" s="151"/>
      <c r="L1318" s="151"/>
      <c r="M1318" s="151"/>
      <c r="N1318" s="151"/>
      <c r="O1318" s="151"/>
      <c r="P1318" s="151"/>
      <c r="Q1318" s="151"/>
      <c r="R1318" s="151"/>
      <c r="S1318" s="152"/>
      <c r="T1318" s="151"/>
      <c r="U1318" s="151"/>
      <c r="V1318" s="153"/>
      <c r="W1318" s="151"/>
      <c r="X1318" s="151"/>
      <c r="Y1318" s="153"/>
      <c r="Z1318" s="151"/>
      <c r="AA1318" s="187" t="str">
        <f t="shared" si="41"/>
        <v>No</v>
      </c>
      <c r="AB1318" s="158"/>
      <c r="AC1318" s="159"/>
      <c r="AD1318" s="160"/>
    </row>
    <row r="1319" spans="1:30">
      <c r="A1319" s="155"/>
      <c r="B1319" s="112" t="str">
        <f t="shared" si="40"/>
        <v/>
      </c>
      <c r="C1319" s="183"/>
      <c r="D1319" s="152"/>
      <c r="E1319" s="152"/>
      <c r="F1319" s="151"/>
      <c r="G1319" s="153"/>
      <c r="H1319" s="151"/>
      <c r="I1319" s="151"/>
      <c r="J1319" s="151"/>
      <c r="K1319" s="151"/>
      <c r="L1319" s="151"/>
      <c r="M1319" s="151"/>
      <c r="N1319" s="151"/>
      <c r="O1319" s="151"/>
      <c r="P1319" s="151"/>
      <c r="Q1319" s="151"/>
      <c r="R1319" s="151"/>
      <c r="S1319" s="152"/>
      <c r="T1319" s="151"/>
      <c r="U1319" s="151"/>
      <c r="V1319" s="153"/>
      <c r="W1319" s="151"/>
      <c r="X1319" s="151"/>
      <c r="Y1319" s="153"/>
      <c r="Z1319" s="151"/>
      <c r="AA1319" s="187" t="str">
        <f t="shared" si="41"/>
        <v>No</v>
      </c>
      <c r="AB1319" s="158"/>
      <c r="AC1319" s="159"/>
      <c r="AD1319" s="160"/>
    </row>
    <row r="1320" spans="1:30">
      <c r="A1320" s="155"/>
      <c r="B1320" s="112" t="str">
        <f t="shared" si="40"/>
        <v/>
      </c>
      <c r="C1320" s="183"/>
      <c r="D1320" s="152"/>
      <c r="E1320" s="152"/>
      <c r="F1320" s="151"/>
      <c r="G1320" s="153"/>
      <c r="H1320" s="151"/>
      <c r="I1320" s="151"/>
      <c r="J1320" s="151"/>
      <c r="K1320" s="151"/>
      <c r="L1320" s="151"/>
      <c r="M1320" s="151"/>
      <c r="N1320" s="151"/>
      <c r="O1320" s="151"/>
      <c r="P1320" s="151"/>
      <c r="Q1320" s="151"/>
      <c r="R1320" s="151"/>
      <c r="S1320" s="152"/>
      <c r="T1320" s="151"/>
      <c r="U1320" s="151"/>
      <c r="V1320" s="153"/>
      <c r="W1320" s="151"/>
      <c r="X1320" s="151"/>
      <c r="Y1320" s="153"/>
      <c r="Z1320" s="151"/>
      <c r="AA1320" s="187" t="str">
        <f t="shared" si="41"/>
        <v>No</v>
      </c>
      <c r="AB1320" s="158"/>
      <c r="AC1320" s="159"/>
      <c r="AD1320" s="160"/>
    </row>
    <row r="1321" spans="1:30">
      <c r="A1321" s="155"/>
      <c r="B1321" s="112" t="str">
        <f t="shared" si="40"/>
        <v/>
      </c>
      <c r="C1321" s="183"/>
      <c r="D1321" s="152"/>
      <c r="E1321" s="152"/>
      <c r="F1321" s="151"/>
      <c r="G1321" s="153"/>
      <c r="H1321" s="151"/>
      <c r="I1321" s="151"/>
      <c r="J1321" s="151"/>
      <c r="K1321" s="151"/>
      <c r="L1321" s="151"/>
      <c r="M1321" s="151"/>
      <c r="N1321" s="151"/>
      <c r="O1321" s="151"/>
      <c r="P1321" s="151"/>
      <c r="Q1321" s="151"/>
      <c r="R1321" s="151"/>
      <c r="S1321" s="152"/>
      <c r="T1321" s="151"/>
      <c r="U1321" s="151"/>
      <c r="V1321" s="153"/>
      <c r="W1321" s="151"/>
      <c r="X1321" s="151"/>
      <c r="Y1321" s="153"/>
      <c r="Z1321" s="151"/>
      <c r="AA1321" s="187" t="str">
        <f t="shared" si="41"/>
        <v>No</v>
      </c>
      <c r="AB1321" s="158"/>
      <c r="AC1321" s="159"/>
      <c r="AD1321" s="160"/>
    </row>
    <row r="1322" spans="1:30">
      <c r="A1322" s="155"/>
      <c r="B1322" s="112" t="str">
        <f t="shared" si="40"/>
        <v/>
      </c>
      <c r="C1322" s="183"/>
      <c r="D1322" s="152"/>
      <c r="E1322" s="152"/>
      <c r="F1322" s="151"/>
      <c r="G1322" s="153"/>
      <c r="H1322" s="151"/>
      <c r="I1322" s="151"/>
      <c r="J1322" s="151"/>
      <c r="K1322" s="151"/>
      <c r="L1322" s="151"/>
      <c r="M1322" s="151"/>
      <c r="N1322" s="151"/>
      <c r="O1322" s="151"/>
      <c r="P1322" s="151"/>
      <c r="Q1322" s="151"/>
      <c r="R1322" s="151"/>
      <c r="S1322" s="152"/>
      <c r="T1322" s="151"/>
      <c r="U1322" s="151"/>
      <c r="V1322" s="153"/>
      <c r="W1322" s="151"/>
      <c r="X1322" s="151"/>
      <c r="Y1322" s="153"/>
      <c r="Z1322" s="151"/>
      <c r="AA1322" s="187" t="str">
        <f t="shared" si="41"/>
        <v>No</v>
      </c>
      <c r="AB1322" s="158"/>
      <c r="AC1322" s="159"/>
      <c r="AD1322" s="160"/>
    </row>
    <row r="1323" spans="1:30">
      <c r="A1323" s="155"/>
      <c r="B1323" s="112" t="str">
        <f t="shared" si="40"/>
        <v/>
      </c>
      <c r="C1323" s="183"/>
      <c r="D1323" s="152"/>
      <c r="E1323" s="152"/>
      <c r="F1323" s="151"/>
      <c r="G1323" s="153"/>
      <c r="H1323" s="151"/>
      <c r="I1323" s="151"/>
      <c r="J1323" s="151"/>
      <c r="K1323" s="151"/>
      <c r="L1323" s="151"/>
      <c r="M1323" s="151"/>
      <c r="N1323" s="151"/>
      <c r="O1323" s="151"/>
      <c r="P1323" s="151"/>
      <c r="Q1323" s="151"/>
      <c r="R1323" s="151"/>
      <c r="S1323" s="152"/>
      <c r="T1323" s="151"/>
      <c r="U1323" s="151"/>
      <c r="V1323" s="153"/>
      <c r="W1323" s="151"/>
      <c r="X1323" s="151"/>
      <c r="Y1323" s="153"/>
      <c r="Z1323" s="151"/>
      <c r="AA1323" s="187" t="str">
        <f t="shared" si="41"/>
        <v>No</v>
      </c>
      <c r="AB1323" s="158"/>
      <c r="AC1323" s="159"/>
      <c r="AD1323" s="160"/>
    </row>
    <row r="1324" spans="1:30">
      <c r="A1324" s="155"/>
      <c r="B1324" s="112" t="str">
        <f t="shared" si="40"/>
        <v/>
      </c>
      <c r="C1324" s="183"/>
      <c r="D1324" s="152"/>
      <c r="E1324" s="152"/>
      <c r="F1324" s="151"/>
      <c r="G1324" s="153"/>
      <c r="H1324" s="151"/>
      <c r="I1324" s="151"/>
      <c r="J1324" s="151"/>
      <c r="K1324" s="151"/>
      <c r="L1324" s="151"/>
      <c r="M1324" s="151"/>
      <c r="N1324" s="151"/>
      <c r="O1324" s="151"/>
      <c r="P1324" s="151"/>
      <c r="Q1324" s="151"/>
      <c r="R1324" s="151"/>
      <c r="S1324" s="152"/>
      <c r="T1324" s="151"/>
      <c r="U1324" s="151"/>
      <c r="V1324" s="153"/>
      <c r="W1324" s="151"/>
      <c r="X1324" s="151"/>
      <c r="Y1324" s="153"/>
      <c r="Z1324" s="151"/>
      <c r="AA1324" s="187" t="str">
        <f t="shared" si="41"/>
        <v>No</v>
      </c>
      <c r="AB1324" s="158"/>
      <c r="AC1324" s="159"/>
      <c r="AD1324" s="160"/>
    </row>
    <row r="1325" spans="1:30">
      <c r="A1325" s="155"/>
      <c r="B1325" s="112" t="str">
        <f t="shared" si="40"/>
        <v/>
      </c>
      <c r="C1325" s="183"/>
      <c r="D1325" s="152"/>
      <c r="E1325" s="152"/>
      <c r="F1325" s="151"/>
      <c r="G1325" s="153"/>
      <c r="H1325" s="151"/>
      <c r="I1325" s="151"/>
      <c r="J1325" s="151"/>
      <c r="K1325" s="151"/>
      <c r="L1325" s="151"/>
      <c r="M1325" s="151"/>
      <c r="N1325" s="151"/>
      <c r="O1325" s="151"/>
      <c r="P1325" s="151"/>
      <c r="Q1325" s="151"/>
      <c r="R1325" s="151"/>
      <c r="S1325" s="152"/>
      <c r="T1325" s="151"/>
      <c r="U1325" s="151"/>
      <c r="V1325" s="153"/>
      <c r="W1325" s="151"/>
      <c r="X1325" s="151"/>
      <c r="Y1325" s="153"/>
      <c r="Z1325" s="151"/>
      <c r="AA1325" s="187" t="str">
        <f t="shared" si="41"/>
        <v>No</v>
      </c>
      <c r="AB1325" s="158"/>
      <c r="AC1325" s="159"/>
      <c r="AD1325" s="160"/>
    </row>
    <row r="1326" spans="1:30">
      <c r="A1326" s="155"/>
      <c r="B1326" s="112" t="str">
        <f t="shared" si="40"/>
        <v/>
      </c>
      <c r="C1326" s="183"/>
      <c r="D1326" s="152"/>
      <c r="E1326" s="152"/>
      <c r="F1326" s="151"/>
      <c r="G1326" s="153"/>
      <c r="H1326" s="151"/>
      <c r="I1326" s="151"/>
      <c r="J1326" s="151"/>
      <c r="K1326" s="151"/>
      <c r="L1326" s="151"/>
      <c r="M1326" s="151"/>
      <c r="N1326" s="151"/>
      <c r="O1326" s="151"/>
      <c r="P1326" s="151"/>
      <c r="Q1326" s="151"/>
      <c r="R1326" s="151"/>
      <c r="S1326" s="152"/>
      <c r="T1326" s="151"/>
      <c r="U1326" s="151"/>
      <c r="V1326" s="153"/>
      <c r="W1326" s="151"/>
      <c r="X1326" s="151"/>
      <c r="Y1326" s="153"/>
      <c r="Z1326" s="151"/>
      <c r="AA1326" s="187" t="str">
        <f t="shared" si="41"/>
        <v>No</v>
      </c>
      <c r="AB1326" s="158"/>
      <c r="AC1326" s="159"/>
      <c r="AD1326" s="160"/>
    </row>
    <row r="1327" spans="1:30">
      <c r="A1327" s="155"/>
      <c r="B1327" s="112" t="str">
        <f t="shared" si="40"/>
        <v/>
      </c>
      <c r="C1327" s="183"/>
      <c r="D1327" s="152"/>
      <c r="E1327" s="152"/>
      <c r="F1327" s="151"/>
      <c r="G1327" s="153"/>
      <c r="H1327" s="151"/>
      <c r="I1327" s="151"/>
      <c r="J1327" s="151"/>
      <c r="K1327" s="151"/>
      <c r="L1327" s="151"/>
      <c r="M1327" s="151"/>
      <c r="N1327" s="151"/>
      <c r="O1327" s="151"/>
      <c r="P1327" s="151"/>
      <c r="Q1327" s="151"/>
      <c r="R1327" s="151"/>
      <c r="S1327" s="152"/>
      <c r="T1327" s="151"/>
      <c r="U1327" s="151"/>
      <c r="V1327" s="153"/>
      <c r="W1327" s="151"/>
      <c r="X1327" s="151"/>
      <c r="Y1327" s="153"/>
      <c r="Z1327" s="151"/>
      <c r="AA1327" s="187" t="str">
        <f t="shared" si="41"/>
        <v>No</v>
      </c>
      <c r="AB1327" s="158"/>
      <c r="AC1327" s="159"/>
      <c r="AD1327" s="160"/>
    </row>
    <row r="1328" spans="1:30">
      <c r="A1328" s="155"/>
      <c r="B1328" s="112" t="str">
        <f t="shared" si="40"/>
        <v/>
      </c>
      <c r="C1328" s="183"/>
      <c r="D1328" s="152"/>
      <c r="E1328" s="152"/>
      <c r="F1328" s="151"/>
      <c r="G1328" s="153"/>
      <c r="H1328" s="151"/>
      <c r="I1328" s="151"/>
      <c r="J1328" s="151"/>
      <c r="K1328" s="151"/>
      <c r="L1328" s="151"/>
      <c r="M1328" s="151"/>
      <c r="N1328" s="151"/>
      <c r="O1328" s="151"/>
      <c r="P1328" s="151"/>
      <c r="Q1328" s="151"/>
      <c r="R1328" s="151"/>
      <c r="S1328" s="152"/>
      <c r="T1328" s="151"/>
      <c r="U1328" s="151"/>
      <c r="V1328" s="153"/>
      <c r="W1328" s="151"/>
      <c r="X1328" s="151"/>
      <c r="Y1328" s="153"/>
      <c r="Z1328" s="151"/>
      <c r="AA1328" s="187" t="str">
        <f t="shared" si="41"/>
        <v>No</v>
      </c>
      <c r="AB1328" s="158"/>
      <c r="AC1328" s="159"/>
      <c r="AD1328" s="160"/>
    </row>
    <row r="1329" spans="1:30">
      <c r="A1329" s="155"/>
      <c r="B1329" s="112" t="str">
        <f t="shared" si="40"/>
        <v/>
      </c>
      <c r="C1329" s="183"/>
      <c r="D1329" s="152"/>
      <c r="E1329" s="152"/>
      <c r="F1329" s="151"/>
      <c r="G1329" s="153"/>
      <c r="H1329" s="151"/>
      <c r="I1329" s="151"/>
      <c r="J1329" s="151"/>
      <c r="K1329" s="151"/>
      <c r="L1329" s="151"/>
      <c r="M1329" s="151"/>
      <c r="N1329" s="151"/>
      <c r="O1329" s="151"/>
      <c r="P1329" s="151"/>
      <c r="Q1329" s="151"/>
      <c r="R1329" s="151"/>
      <c r="S1329" s="152"/>
      <c r="T1329" s="151"/>
      <c r="U1329" s="151"/>
      <c r="V1329" s="153"/>
      <c r="W1329" s="151"/>
      <c r="X1329" s="151"/>
      <c r="Y1329" s="153"/>
      <c r="Z1329" s="151"/>
      <c r="AA1329" s="187" t="str">
        <f t="shared" si="41"/>
        <v>No</v>
      </c>
      <c r="AB1329" s="158"/>
      <c r="AC1329" s="159"/>
      <c r="AD1329" s="160"/>
    </row>
    <row r="1330" spans="1:30">
      <c r="A1330" s="155"/>
      <c r="B1330" s="112" t="str">
        <f t="shared" si="40"/>
        <v/>
      </c>
      <c r="C1330" s="183"/>
      <c r="D1330" s="152"/>
      <c r="E1330" s="152"/>
      <c r="F1330" s="151"/>
      <c r="G1330" s="153"/>
      <c r="H1330" s="151"/>
      <c r="I1330" s="151"/>
      <c r="J1330" s="151"/>
      <c r="K1330" s="151"/>
      <c r="L1330" s="151"/>
      <c r="M1330" s="151"/>
      <c r="N1330" s="151"/>
      <c r="O1330" s="151"/>
      <c r="P1330" s="151"/>
      <c r="Q1330" s="151"/>
      <c r="R1330" s="151"/>
      <c r="S1330" s="152"/>
      <c r="T1330" s="151"/>
      <c r="U1330" s="151"/>
      <c r="V1330" s="153"/>
      <c r="W1330" s="151"/>
      <c r="X1330" s="151"/>
      <c r="Y1330" s="153"/>
      <c r="Z1330" s="151"/>
      <c r="AA1330" s="187" t="str">
        <f t="shared" si="41"/>
        <v>No</v>
      </c>
      <c r="AB1330" s="158"/>
      <c r="AC1330" s="159"/>
      <c r="AD1330" s="160"/>
    </row>
    <row r="1331" spans="1:30">
      <c r="A1331" s="155"/>
      <c r="B1331" s="112" t="str">
        <f t="shared" si="40"/>
        <v/>
      </c>
      <c r="C1331" s="183"/>
      <c r="D1331" s="152"/>
      <c r="E1331" s="152"/>
      <c r="F1331" s="151"/>
      <c r="G1331" s="153"/>
      <c r="H1331" s="151"/>
      <c r="I1331" s="151"/>
      <c r="J1331" s="151"/>
      <c r="K1331" s="151"/>
      <c r="L1331" s="151"/>
      <c r="M1331" s="151"/>
      <c r="N1331" s="151"/>
      <c r="O1331" s="151"/>
      <c r="P1331" s="151"/>
      <c r="Q1331" s="151"/>
      <c r="R1331" s="151"/>
      <c r="S1331" s="152"/>
      <c r="T1331" s="151"/>
      <c r="U1331" s="151"/>
      <c r="V1331" s="153"/>
      <c r="W1331" s="151"/>
      <c r="X1331" s="151"/>
      <c r="Y1331" s="153"/>
      <c r="Z1331" s="151"/>
      <c r="AA1331" s="187" t="str">
        <f t="shared" si="41"/>
        <v>No</v>
      </c>
      <c r="AB1331" s="158"/>
      <c r="AC1331" s="159"/>
      <c r="AD1331" s="160"/>
    </row>
    <row r="1332" spans="1:30">
      <c r="A1332" s="155"/>
      <c r="B1332" s="112" t="str">
        <f t="shared" si="40"/>
        <v/>
      </c>
      <c r="C1332" s="183"/>
      <c r="D1332" s="152"/>
      <c r="E1332" s="152"/>
      <c r="F1332" s="151"/>
      <c r="G1332" s="153"/>
      <c r="H1332" s="151"/>
      <c r="I1332" s="151"/>
      <c r="J1332" s="151"/>
      <c r="K1332" s="151"/>
      <c r="L1332" s="151"/>
      <c r="M1332" s="151"/>
      <c r="N1332" s="151"/>
      <c r="O1332" s="151"/>
      <c r="P1332" s="151"/>
      <c r="Q1332" s="151"/>
      <c r="R1332" s="151"/>
      <c r="S1332" s="152"/>
      <c r="T1332" s="151"/>
      <c r="U1332" s="151"/>
      <c r="V1332" s="153"/>
      <c r="W1332" s="151"/>
      <c r="X1332" s="151"/>
      <c r="Y1332" s="153"/>
      <c r="Z1332" s="151"/>
      <c r="AA1332" s="187" t="str">
        <f t="shared" si="41"/>
        <v>No</v>
      </c>
      <c r="AB1332" s="158"/>
      <c r="AC1332" s="159"/>
      <c r="AD1332" s="160"/>
    </row>
    <row r="1333" spans="1:30">
      <c r="A1333" s="155"/>
      <c r="B1333" s="112" t="str">
        <f t="shared" si="40"/>
        <v/>
      </c>
      <c r="C1333" s="183"/>
      <c r="D1333" s="152"/>
      <c r="E1333" s="152"/>
      <c r="F1333" s="151"/>
      <c r="G1333" s="153"/>
      <c r="H1333" s="151"/>
      <c r="I1333" s="151"/>
      <c r="J1333" s="151"/>
      <c r="K1333" s="151"/>
      <c r="L1333" s="151"/>
      <c r="M1333" s="151"/>
      <c r="N1333" s="151"/>
      <c r="O1333" s="151"/>
      <c r="P1333" s="151"/>
      <c r="Q1333" s="151"/>
      <c r="R1333" s="151"/>
      <c r="S1333" s="152"/>
      <c r="T1333" s="151"/>
      <c r="U1333" s="151"/>
      <c r="V1333" s="153"/>
      <c r="W1333" s="151"/>
      <c r="X1333" s="151"/>
      <c r="Y1333" s="153"/>
      <c r="Z1333" s="151"/>
      <c r="AA1333" s="187" t="str">
        <f t="shared" si="41"/>
        <v>No</v>
      </c>
      <c r="AB1333" s="158"/>
      <c r="AC1333" s="159"/>
      <c r="AD1333" s="160"/>
    </row>
    <row r="1334" spans="1:30">
      <c r="A1334" s="155"/>
      <c r="B1334" s="112" t="str">
        <f t="shared" si="40"/>
        <v/>
      </c>
      <c r="C1334" s="183"/>
      <c r="D1334" s="152"/>
      <c r="E1334" s="152"/>
      <c r="F1334" s="151"/>
      <c r="G1334" s="153"/>
      <c r="H1334" s="151"/>
      <c r="I1334" s="151"/>
      <c r="J1334" s="151"/>
      <c r="K1334" s="151"/>
      <c r="L1334" s="151"/>
      <c r="M1334" s="151"/>
      <c r="N1334" s="151"/>
      <c r="O1334" s="151"/>
      <c r="P1334" s="151"/>
      <c r="Q1334" s="151"/>
      <c r="R1334" s="151"/>
      <c r="S1334" s="152"/>
      <c r="T1334" s="151"/>
      <c r="U1334" s="151"/>
      <c r="V1334" s="153"/>
      <c r="W1334" s="151"/>
      <c r="X1334" s="151"/>
      <c r="Y1334" s="153"/>
      <c r="Z1334" s="151"/>
      <c r="AA1334" s="187" t="str">
        <f t="shared" si="41"/>
        <v>No</v>
      </c>
      <c r="AB1334" s="158"/>
      <c r="AC1334" s="159"/>
      <c r="AD1334" s="160"/>
    </row>
    <row r="1335" spans="1:30">
      <c r="A1335" s="155"/>
      <c r="B1335" s="112" t="str">
        <f t="shared" si="40"/>
        <v/>
      </c>
      <c r="C1335" s="183"/>
      <c r="D1335" s="152"/>
      <c r="E1335" s="152"/>
      <c r="F1335" s="151"/>
      <c r="G1335" s="153"/>
      <c r="H1335" s="151"/>
      <c r="I1335" s="151"/>
      <c r="J1335" s="151"/>
      <c r="K1335" s="151"/>
      <c r="L1335" s="151"/>
      <c r="M1335" s="151"/>
      <c r="N1335" s="151"/>
      <c r="O1335" s="151"/>
      <c r="P1335" s="151"/>
      <c r="Q1335" s="151"/>
      <c r="R1335" s="151"/>
      <c r="S1335" s="152"/>
      <c r="T1335" s="151"/>
      <c r="U1335" s="151"/>
      <c r="V1335" s="153"/>
      <c r="W1335" s="151"/>
      <c r="X1335" s="151"/>
      <c r="Y1335" s="153"/>
      <c r="Z1335" s="151"/>
      <c r="AA1335" s="187" t="str">
        <f t="shared" si="41"/>
        <v>No</v>
      </c>
      <c r="AB1335" s="158"/>
      <c r="AC1335" s="159"/>
      <c r="AD1335" s="160"/>
    </row>
    <row r="1336" spans="1:30">
      <c r="A1336" s="155"/>
      <c r="B1336" s="112" t="str">
        <f t="shared" si="40"/>
        <v/>
      </c>
      <c r="C1336" s="183"/>
      <c r="D1336" s="152"/>
      <c r="E1336" s="152"/>
      <c r="F1336" s="151"/>
      <c r="G1336" s="153"/>
      <c r="H1336" s="151"/>
      <c r="I1336" s="151"/>
      <c r="J1336" s="151"/>
      <c r="K1336" s="151"/>
      <c r="L1336" s="151"/>
      <c r="M1336" s="151"/>
      <c r="N1336" s="151"/>
      <c r="O1336" s="151"/>
      <c r="P1336" s="151"/>
      <c r="Q1336" s="151"/>
      <c r="R1336" s="151"/>
      <c r="S1336" s="152"/>
      <c r="T1336" s="151"/>
      <c r="U1336" s="151"/>
      <c r="V1336" s="153"/>
      <c r="W1336" s="151"/>
      <c r="X1336" s="151"/>
      <c r="Y1336" s="153"/>
      <c r="Z1336" s="151"/>
      <c r="AA1336" s="187" t="str">
        <f t="shared" si="41"/>
        <v>No</v>
      </c>
      <c r="AB1336" s="158"/>
      <c r="AC1336" s="159"/>
      <c r="AD1336" s="160"/>
    </row>
    <row r="1337" spans="1:30">
      <c r="A1337" s="155"/>
      <c r="B1337" s="112" t="str">
        <f t="shared" si="40"/>
        <v/>
      </c>
      <c r="C1337" s="183"/>
      <c r="D1337" s="152"/>
      <c r="E1337" s="152"/>
      <c r="F1337" s="151"/>
      <c r="G1337" s="153"/>
      <c r="H1337" s="151"/>
      <c r="I1337" s="151"/>
      <c r="J1337" s="151"/>
      <c r="K1337" s="151"/>
      <c r="L1337" s="151"/>
      <c r="M1337" s="151"/>
      <c r="N1337" s="151"/>
      <c r="O1337" s="151"/>
      <c r="P1337" s="151"/>
      <c r="Q1337" s="151"/>
      <c r="R1337" s="151"/>
      <c r="S1337" s="152"/>
      <c r="T1337" s="151"/>
      <c r="U1337" s="151"/>
      <c r="V1337" s="153"/>
      <c r="W1337" s="151"/>
      <c r="X1337" s="151"/>
      <c r="Y1337" s="153"/>
      <c r="Z1337" s="151"/>
      <c r="AA1337" s="187" t="str">
        <f t="shared" si="41"/>
        <v>No</v>
      </c>
      <c r="AB1337" s="158"/>
      <c r="AC1337" s="159"/>
      <c r="AD1337" s="160"/>
    </row>
    <row r="1338" spans="1:30">
      <c r="A1338" s="155"/>
      <c r="B1338" s="112" t="str">
        <f t="shared" si="40"/>
        <v/>
      </c>
      <c r="C1338" s="183"/>
      <c r="D1338" s="152"/>
      <c r="E1338" s="152"/>
      <c r="F1338" s="151"/>
      <c r="G1338" s="153"/>
      <c r="H1338" s="151"/>
      <c r="I1338" s="151"/>
      <c r="J1338" s="151"/>
      <c r="K1338" s="151"/>
      <c r="L1338" s="151"/>
      <c r="M1338" s="151"/>
      <c r="N1338" s="151"/>
      <c r="O1338" s="151"/>
      <c r="P1338" s="151"/>
      <c r="Q1338" s="151"/>
      <c r="R1338" s="151"/>
      <c r="S1338" s="152"/>
      <c r="T1338" s="151"/>
      <c r="U1338" s="151"/>
      <c r="V1338" s="153"/>
      <c r="W1338" s="151"/>
      <c r="X1338" s="151"/>
      <c r="Y1338" s="153"/>
      <c r="Z1338" s="151"/>
      <c r="AA1338" s="187" t="str">
        <f t="shared" si="41"/>
        <v>No</v>
      </c>
      <c r="AB1338" s="158"/>
      <c r="AC1338" s="159"/>
      <c r="AD1338" s="160"/>
    </row>
    <row r="1339" spans="1:30">
      <c r="A1339" s="155"/>
      <c r="B1339" s="112" t="str">
        <f t="shared" si="40"/>
        <v/>
      </c>
      <c r="C1339" s="183"/>
      <c r="D1339" s="152"/>
      <c r="E1339" s="152"/>
      <c r="F1339" s="151"/>
      <c r="G1339" s="153"/>
      <c r="H1339" s="151"/>
      <c r="I1339" s="151"/>
      <c r="J1339" s="151"/>
      <c r="K1339" s="151"/>
      <c r="L1339" s="151"/>
      <c r="M1339" s="151"/>
      <c r="N1339" s="151"/>
      <c r="O1339" s="151"/>
      <c r="P1339" s="151"/>
      <c r="Q1339" s="151"/>
      <c r="R1339" s="151"/>
      <c r="S1339" s="152"/>
      <c r="T1339" s="151"/>
      <c r="U1339" s="151"/>
      <c r="V1339" s="153"/>
      <c r="W1339" s="151"/>
      <c r="X1339" s="151"/>
      <c r="Y1339" s="153"/>
      <c r="Z1339" s="151"/>
      <c r="AA1339" s="187" t="str">
        <f t="shared" si="41"/>
        <v>No</v>
      </c>
      <c r="AB1339" s="158"/>
      <c r="AC1339" s="159"/>
      <c r="AD1339" s="160"/>
    </row>
    <row r="1340" spans="1:30">
      <c r="A1340" s="155"/>
      <c r="B1340" s="112" t="str">
        <f t="shared" si="40"/>
        <v/>
      </c>
      <c r="C1340" s="183"/>
      <c r="D1340" s="152"/>
      <c r="E1340" s="152"/>
      <c r="F1340" s="151"/>
      <c r="G1340" s="153"/>
      <c r="H1340" s="151"/>
      <c r="I1340" s="151"/>
      <c r="J1340" s="151"/>
      <c r="K1340" s="151"/>
      <c r="L1340" s="151"/>
      <c r="M1340" s="151"/>
      <c r="N1340" s="151"/>
      <c r="O1340" s="151"/>
      <c r="P1340" s="151"/>
      <c r="Q1340" s="151"/>
      <c r="R1340" s="151"/>
      <c r="S1340" s="152"/>
      <c r="T1340" s="151"/>
      <c r="U1340" s="151"/>
      <c r="V1340" s="153"/>
      <c r="W1340" s="151"/>
      <c r="X1340" s="151"/>
      <c r="Y1340" s="153"/>
      <c r="Z1340" s="151"/>
      <c r="AA1340" s="187" t="str">
        <f t="shared" si="41"/>
        <v>No</v>
      </c>
      <c r="AB1340" s="158"/>
      <c r="AC1340" s="159"/>
      <c r="AD1340" s="160"/>
    </row>
    <row r="1341" spans="1:30">
      <c r="A1341" s="155"/>
      <c r="B1341" s="112" t="str">
        <f t="shared" si="40"/>
        <v/>
      </c>
      <c r="C1341" s="183"/>
      <c r="D1341" s="152"/>
      <c r="E1341" s="152"/>
      <c r="F1341" s="151"/>
      <c r="G1341" s="153"/>
      <c r="H1341" s="151"/>
      <c r="I1341" s="151"/>
      <c r="J1341" s="151"/>
      <c r="K1341" s="151"/>
      <c r="L1341" s="151"/>
      <c r="M1341" s="151"/>
      <c r="N1341" s="151"/>
      <c r="O1341" s="151"/>
      <c r="P1341" s="151"/>
      <c r="Q1341" s="151"/>
      <c r="R1341" s="151"/>
      <c r="S1341" s="152"/>
      <c r="T1341" s="151"/>
      <c r="U1341" s="151"/>
      <c r="V1341" s="153"/>
      <c r="W1341" s="151"/>
      <c r="X1341" s="151"/>
      <c r="Y1341" s="153"/>
      <c r="Z1341" s="151"/>
      <c r="AA1341" s="187" t="str">
        <f t="shared" si="41"/>
        <v>No</v>
      </c>
      <c r="AB1341" s="158"/>
      <c r="AC1341" s="159"/>
      <c r="AD1341" s="160"/>
    </row>
    <row r="1342" spans="1:30">
      <c r="A1342" s="155"/>
      <c r="B1342" s="112" t="str">
        <f t="shared" si="40"/>
        <v/>
      </c>
      <c r="C1342" s="183"/>
      <c r="D1342" s="152"/>
      <c r="E1342" s="152"/>
      <c r="F1342" s="151"/>
      <c r="G1342" s="153"/>
      <c r="H1342" s="151"/>
      <c r="I1342" s="151"/>
      <c r="J1342" s="151"/>
      <c r="K1342" s="151"/>
      <c r="L1342" s="151"/>
      <c r="M1342" s="151"/>
      <c r="N1342" s="151"/>
      <c r="O1342" s="151"/>
      <c r="P1342" s="151"/>
      <c r="Q1342" s="151"/>
      <c r="R1342" s="151"/>
      <c r="S1342" s="152"/>
      <c r="T1342" s="151"/>
      <c r="U1342" s="151"/>
      <c r="V1342" s="153"/>
      <c r="W1342" s="151"/>
      <c r="X1342" s="151"/>
      <c r="Y1342" s="153"/>
      <c r="Z1342" s="151"/>
      <c r="AA1342" s="187" t="str">
        <f t="shared" si="41"/>
        <v>No</v>
      </c>
      <c r="AB1342" s="158"/>
      <c r="AC1342" s="159"/>
      <c r="AD1342" s="160"/>
    </row>
    <row r="1343" spans="1:30">
      <c r="A1343" s="155"/>
      <c r="B1343" s="112" t="str">
        <f t="shared" si="40"/>
        <v/>
      </c>
      <c r="C1343" s="183"/>
      <c r="D1343" s="152"/>
      <c r="E1343" s="152"/>
      <c r="F1343" s="151"/>
      <c r="G1343" s="153"/>
      <c r="H1343" s="151"/>
      <c r="I1343" s="151"/>
      <c r="J1343" s="151"/>
      <c r="K1343" s="151"/>
      <c r="L1343" s="151"/>
      <c r="M1343" s="151"/>
      <c r="N1343" s="151"/>
      <c r="O1343" s="151"/>
      <c r="P1343" s="151"/>
      <c r="Q1343" s="151"/>
      <c r="R1343" s="151"/>
      <c r="S1343" s="152"/>
      <c r="T1343" s="151"/>
      <c r="U1343" s="151"/>
      <c r="V1343" s="153"/>
      <c r="W1343" s="151"/>
      <c r="X1343" s="151"/>
      <c r="Y1343" s="153"/>
      <c r="Z1343" s="151"/>
      <c r="AA1343" s="187" t="str">
        <f t="shared" si="41"/>
        <v>No</v>
      </c>
      <c r="AB1343" s="158"/>
      <c r="AC1343" s="159"/>
      <c r="AD1343" s="160"/>
    </row>
    <row r="1344" spans="1:30">
      <c r="A1344" s="155"/>
      <c r="B1344" s="112" t="str">
        <f t="shared" si="40"/>
        <v/>
      </c>
      <c r="C1344" s="183"/>
      <c r="D1344" s="152"/>
      <c r="E1344" s="152"/>
      <c r="F1344" s="151"/>
      <c r="G1344" s="153"/>
      <c r="H1344" s="151"/>
      <c r="I1344" s="151"/>
      <c r="J1344" s="151"/>
      <c r="K1344" s="151"/>
      <c r="L1344" s="151"/>
      <c r="M1344" s="151"/>
      <c r="N1344" s="151"/>
      <c r="O1344" s="151"/>
      <c r="P1344" s="151"/>
      <c r="Q1344" s="151"/>
      <c r="R1344" s="151"/>
      <c r="S1344" s="152"/>
      <c r="T1344" s="151"/>
      <c r="U1344" s="151"/>
      <c r="V1344" s="153"/>
      <c r="W1344" s="151"/>
      <c r="X1344" s="151"/>
      <c r="Y1344" s="153"/>
      <c r="Z1344" s="151"/>
      <c r="AA1344" s="187" t="str">
        <f t="shared" si="41"/>
        <v>No</v>
      </c>
      <c r="AB1344" s="158"/>
      <c r="AC1344" s="159"/>
      <c r="AD1344" s="160"/>
    </row>
    <row r="1345" spans="1:30">
      <c r="A1345" s="155"/>
      <c r="B1345" s="112" t="str">
        <f t="shared" si="40"/>
        <v/>
      </c>
      <c r="C1345" s="183"/>
      <c r="D1345" s="152"/>
      <c r="E1345" s="152"/>
      <c r="F1345" s="151"/>
      <c r="G1345" s="153"/>
      <c r="H1345" s="151"/>
      <c r="I1345" s="151"/>
      <c r="J1345" s="151"/>
      <c r="K1345" s="151"/>
      <c r="L1345" s="151"/>
      <c r="M1345" s="151"/>
      <c r="N1345" s="151"/>
      <c r="O1345" s="151"/>
      <c r="P1345" s="151"/>
      <c r="Q1345" s="151"/>
      <c r="R1345" s="151"/>
      <c r="S1345" s="152"/>
      <c r="T1345" s="151"/>
      <c r="U1345" s="151"/>
      <c r="V1345" s="153"/>
      <c r="W1345" s="151"/>
      <c r="X1345" s="151"/>
      <c r="Y1345" s="153"/>
      <c r="Z1345" s="151"/>
      <c r="AA1345" s="187" t="str">
        <f t="shared" si="41"/>
        <v>No</v>
      </c>
      <c r="AB1345" s="158"/>
      <c r="AC1345" s="159"/>
      <c r="AD1345" s="160"/>
    </row>
    <row r="1346" spans="1:30">
      <c r="A1346" s="155"/>
      <c r="B1346" s="112" t="str">
        <f t="shared" si="40"/>
        <v/>
      </c>
      <c r="C1346" s="183"/>
      <c r="D1346" s="152"/>
      <c r="E1346" s="152"/>
      <c r="F1346" s="151"/>
      <c r="G1346" s="153"/>
      <c r="H1346" s="151"/>
      <c r="I1346" s="151"/>
      <c r="J1346" s="151"/>
      <c r="K1346" s="151"/>
      <c r="L1346" s="151"/>
      <c r="M1346" s="151"/>
      <c r="N1346" s="151"/>
      <c r="O1346" s="151"/>
      <c r="P1346" s="151"/>
      <c r="Q1346" s="151"/>
      <c r="R1346" s="151"/>
      <c r="S1346" s="152"/>
      <c r="T1346" s="151"/>
      <c r="U1346" s="151"/>
      <c r="V1346" s="153"/>
      <c r="W1346" s="151"/>
      <c r="X1346" s="151"/>
      <c r="Y1346" s="153"/>
      <c r="Z1346" s="151"/>
      <c r="AA1346" s="187" t="str">
        <f t="shared" si="41"/>
        <v>No</v>
      </c>
      <c r="AB1346" s="158"/>
      <c r="AC1346" s="159"/>
      <c r="AD1346" s="160"/>
    </row>
    <row r="1347" spans="1:30">
      <c r="A1347" s="155"/>
      <c r="B1347" s="112" t="str">
        <f t="shared" si="40"/>
        <v/>
      </c>
      <c r="C1347" s="183"/>
      <c r="D1347" s="152"/>
      <c r="E1347" s="152"/>
      <c r="F1347" s="151"/>
      <c r="G1347" s="153"/>
      <c r="H1347" s="151"/>
      <c r="I1347" s="151"/>
      <c r="J1347" s="151"/>
      <c r="K1347" s="151"/>
      <c r="L1347" s="151"/>
      <c r="M1347" s="151"/>
      <c r="N1347" s="151"/>
      <c r="O1347" s="151"/>
      <c r="P1347" s="151"/>
      <c r="Q1347" s="151"/>
      <c r="R1347" s="151"/>
      <c r="S1347" s="152"/>
      <c r="T1347" s="151"/>
      <c r="U1347" s="151"/>
      <c r="V1347" s="153"/>
      <c r="W1347" s="151"/>
      <c r="X1347" s="151"/>
      <c r="Y1347" s="153"/>
      <c r="Z1347" s="151"/>
      <c r="AA1347" s="187" t="str">
        <f t="shared" si="41"/>
        <v>No</v>
      </c>
      <c r="AB1347" s="158"/>
      <c r="AC1347" s="159"/>
      <c r="AD1347" s="160"/>
    </row>
    <row r="1348" spans="1:30">
      <c r="A1348" s="155"/>
      <c r="B1348" s="112" t="str">
        <f t="shared" si="40"/>
        <v/>
      </c>
      <c r="C1348" s="183"/>
      <c r="D1348" s="152"/>
      <c r="E1348" s="152"/>
      <c r="F1348" s="151"/>
      <c r="G1348" s="153"/>
      <c r="H1348" s="151"/>
      <c r="I1348" s="151"/>
      <c r="J1348" s="151"/>
      <c r="K1348" s="151"/>
      <c r="L1348" s="151"/>
      <c r="M1348" s="151"/>
      <c r="N1348" s="151"/>
      <c r="O1348" s="151"/>
      <c r="P1348" s="151"/>
      <c r="Q1348" s="151"/>
      <c r="R1348" s="151"/>
      <c r="S1348" s="152"/>
      <c r="T1348" s="151"/>
      <c r="U1348" s="151"/>
      <c r="V1348" s="153"/>
      <c r="W1348" s="151"/>
      <c r="X1348" s="151"/>
      <c r="Y1348" s="153"/>
      <c r="Z1348" s="151"/>
      <c r="AA1348" s="187" t="str">
        <f t="shared" si="41"/>
        <v>No</v>
      </c>
      <c r="AB1348" s="158"/>
      <c r="AC1348" s="159"/>
      <c r="AD1348" s="160"/>
    </row>
    <row r="1349" spans="1:30">
      <c r="A1349" s="155"/>
      <c r="B1349" s="112" t="str">
        <f t="shared" ref="B1349:B1412" si="42">IF(AND(A1349&lt;&gt;"",D1349&lt;&gt;"",J1349&lt;&gt;"",N1349&lt;&gt;""),TEXT(D1349,"YY")&amp;"-"&amp;TEXT(D1349,"MMM")&amp;"-"&amp;UPPER(LEFT(TRIM(N1349),2))&amp;"-"&amp;UPPER(LEFT(TRIM(J1349),3))&amp;"-"&amp;A1349,"")</f>
        <v/>
      </c>
      <c r="C1349" s="183"/>
      <c r="D1349" s="152"/>
      <c r="E1349" s="152"/>
      <c r="F1349" s="151"/>
      <c r="G1349" s="153"/>
      <c r="H1349" s="151"/>
      <c r="I1349" s="151"/>
      <c r="J1349" s="151"/>
      <c r="K1349" s="151"/>
      <c r="L1349" s="151"/>
      <c r="M1349" s="151"/>
      <c r="N1349" s="151"/>
      <c r="O1349" s="151"/>
      <c r="P1349" s="151"/>
      <c r="Q1349" s="151"/>
      <c r="R1349" s="151"/>
      <c r="S1349" s="152"/>
      <c r="T1349" s="151"/>
      <c r="U1349" s="151"/>
      <c r="V1349" s="153"/>
      <c r="W1349" s="151"/>
      <c r="X1349" s="151"/>
      <c r="Y1349" s="153"/>
      <c r="Z1349" s="151"/>
      <c r="AA1349" s="187" t="str">
        <f t="shared" ref="AA1349:AA1412" si="43">IF(E1349="","No","Yes")</f>
        <v>No</v>
      </c>
      <c r="AB1349" s="158"/>
      <c r="AC1349" s="159"/>
      <c r="AD1349" s="160"/>
    </row>
    <row r="1350" spans="1:30">
      <c r="A1350" s="155"/>
      <c r="B1350" s="112" t="str">
        <f t="shared" si="42"/>
        <v/>
      </c>
      <c r="C1350" s="183"/>
      <c r="D1350" s="152"/>
      <c r="E1350" s="152"/>
      <c r="F1350" s="151"/>
      <c r="G1350" s="153"/>
      <c r="H1350" s="151"/>
      <c r="I1350" s="151"/>
      <c r="J1350" s="151"/>
      <c r="K1350" s="151"/>
      <c r="L1350" s="151"/>
      <c r="M1350" s="151"/>
      <c r="N1350" s="151"/>
      <c r="O1350" s="151"/>
      <c r="P1350" s="151"/>
      <c r="Q1350" s="151"/>
      <c r="R1350" s="151"/>
      <c r="S1350" s="152"/>
      <c r="T1350" s="151"/>
      <c r="U1350" s="151"/>
      <c r="V1350" s="153"/>
      <c r="W1350" s="151"/>
      <c r="X1350" s="151"/>
      <c r="Y1350" s="153"/>
      <c r="Z1350" s="151"/>
      <c r="AA1350" s="187" t="str">
        <f t="shared" si="43"/>
        <v>No</v>
      </c>
      <c r="AB1350" s="158"/>
      <c r="AC1350" s="159"/>
      <c r="AD1350" s="160"/>
    </row>
    <row r="1351" spans="1:30">
      <c r="A1351" s="155"/>
      <c r="B1351" s="112" t="str">
        <f t="shared" si="42"/>
        <v/>
      </c>
      <c r="C1351" s="183"/>
      <c r="D1351" s="152"/>
      <c r="E1351" s="152"/>
      <c r="F1351" s="151"/>
      <c r="G1351" s="153"/>
      <c r="H1351" s="151"/>
      <c r="I1351" s="151"/>
      <c r="J1351" s="151"/>
      <c r="K1351" s="151"/>
      <c r="L1351" s="151"/>
      <c r="M1351" s="151"/>
      <c r="N1351" s="151"/>
      <c r="O1351" s="151"/>
      <c r="P1351" s="151"/>
      <c r="Q1351" s="151"/>
      <c r="R1351" s="151"/>
      <c r="S1351" s="152"/>
      <c r="T1351" s="151"/>
      <c r="U1351" s="151"/>
      <c r="V1351" s="153"/>
      <c r="W1351" s="151"/>
      <c r="X1351" s="151"/>
      <c r="Y1351" s="153"/>
      <c r="Z1351" s="151"/>
      <c r="AA1351" s="187" t="str">
        <f t="shared" si="43"/>
        <v>No</v>
      </c>
      <c r="AB1351" s="158"/>
      <c r="AC1351" s="159"/>
      <c r="AD1351" s="160"/>
    </row>
    <row r="1352" spans="1:30">
      <c r="A1352" s="155"/>
      <c r="B1352" s="112" t="str">
        <f t="shared" si="42"/>
        <v/>
      </c>
      <c r="C1352" s="183"/>
      <c r="D1352" s="152"/>
      <c r="E1352" s="152"/>
      <c r="F1352" s="151"/>
      <c r="G1352" s="153"/>
      <c r="H1352" s="151"/>
      <c r="I1352" s="151"/>
      <c r="J1352" s="151"/>
      <c r="K1352" s="151"/>
      <c r="L1352" s="151"/>
      <c r="M1352" s="151"/>
      <c r="N1352" s="151"/>
      <c r="O1352" s="151"/>
      <c r="P1352" s="151"/>
      <c r="Q1352" s="151"/>
      <c r="R1352" s="151"/>
      <c r="S1352" s="152"/>
      <c r="T1352" s="151"/>
      <c r="U1352" s="151"/>
      <c r="V1352" s="153"/>
      <c r="W1352" s="151"/>
      <c r="X1352" s="151"/>
      <c r="Y1352" s="153"/>
      <c r="Z1352" s="151"/>
      <c r="AA1352" s="187" t="str">
        <f t="shared" si="43"/>
        <v>No</v>
      </c>
      <c r="AB1352" s="158"/>
      <c r="AC1352" s="159"/>
      <c r="AD1352" s="160"/>
    </row>
    <row r="1353" spans="1:30">
      <c r="A1353" s="155"/>
      <c r="B1353" s="112" t="str">
        <f t="shared" si="42"/>
        <v/>
      </c>
      <c r="C1353" s="183"/>
      <c r="D1353" s="152"/>
      <c r="E1353" s="152"/>
      <c r="F1353" s="151"/>
      <c r="G1353" s="153"/>
      <c r="H1353" s="151"/>
      <c r="I1353" s="151"/>
      <c r="J1353" s="151"/>
      <c r="K1353" s="151"/>
      <c r="L1353" s="151"/>
      <c r="M1353" s="151"/>
      <c r="N1353" s="151"/>
      <c r="O1353" s="151"/>
      <c r="P1353" s="151"/>
      <c r="Q1353" s="151"/>
      <c r="R1353" s="151"/>
      <c r="S1353" s="152"/>
      <c r="T1353" s="151"/>
      <c r="U1353" s="151"/>
      <c r="V1353" s="153"/>
      <c r="W1353" s="151"/>
      <c r="X1353" s="151"/>
      <c r="Y1353" s="153"/>
      <c r="Z1353" s="151"/>
      <c r="AA1353" s="187" t="str">
        <f t="shared" si="43"/>
        <v>No</v>
      </c>
      <c r="AB1353" s="158"/>
      <c r="AC1353" s="159"/>
      <c r="AD1353" s="160"/>
    </row>
    <row r="1354" spans="1:30">
      <c r="A1354" s="155"/>
      <c r="B1354" s="112" t="str">
        <f t="shared" si="42"/>
        <v/>
      </c>
      <c r="C1354" s="183"/>
      <c r="D1354" s="152"/>
      <c r="E1354" s="152"/>
      <c r="F1354" s="151"/>
      <c r="G1354" s="153"/>
      <c r="H1354" s="151"/>
      <c r="I1354" s="151"/>
      <c r="J1354" s="151"/>
      <c r="K1354" s="151"/>
      <c r="L1354" s="151"/>
      <c r="M1354" s="151"/>
      <c r="N1354" s="151"/>
      <c r="O1354" s="151"/>
      <c r="P1354" s="151"/>
      <c r="Q1354" s="151"/>
      <c r="R1354" s="151"/>
      <c r="S1354" s="152"/>
      <c r="T1354" s="151"/>
      <c r="U1354" s="151"/>
      <c r="V1354" s="153"/>
      <c r="W1354" s="151"/>
      <c r="X1354" s="151"/>
      <c r="Y1354" s="153"/>
      <c r="Z1354" s="151"/>
      <c r="AA1354" s="187" t="str">
        <f t="shared" si="43"/>
        <v>No</v>
      </c>
      <c r="AB1354" s="158"/>
      <c r="AC1354" s="159"/>
      <c r="AD1354" s="160"/>
    </row>
    <row r="1355" spans="1:30">
      <c r="A1355" s="155"/>
      <c r="B1355" s="112" t="str">
        <f t="shared" si="42"/>
        <v/>
      </c>
      <c r="C1355" s="183"/>
      <c r="D1355" s="152"/>
      <c r="E1355" s="152"/>
      <c r="F1355" s="151"/>
      <c r="G1355" s="153"/>
      <c r="H1355" s="151"/>
      <c r="I1355" s="151"/>
      <c r="J1355" s="151"/>
      <c r="K1355" s="151"/>
      <c r="L1355" s="151"/>
      <c r="M1355" s="151"/>
      <c r="N1355" s="151"/>
      <c r="O1355" s="151"/>
      <c r="P1355" s="151"/>
      <c r="Q1355" s="151"/>
      <c r="R1355" s="151"/>
      <c r="S1355" s="152"/>
      <c r="T1355" s="151"/>
      <c r="U1355" s="151"/>
      <c r="V1355" s="153"/>
      <c r="W1355" s="151"/>
      <c r="X1355" s="151"/>
      <c r="Y1355" s="153"/>
      <c r="Z1355" s="151"/>
      <c r="AA1355" s="187" t="str">
        <f t="shared" si="43"/>
        <v>No</v>
      </c>
      <c r="AB1355" s="158"/>
      <c r="AC1355" s="159"/>
      <c r="AD1355" s="160"/>
    </row>
    <row r="1356" spans="1:30">
      <c r="A1356" s="155"/>
      <c r="B1356" s="112" t="str">
        <f t="shared" si="42"/>
        <v/>
      </c>
      <c r="C1356" s="183"/>
      <c r="D1356" s="152"/>
      <c r="E1356" s="152"/>
      <c r="F1356" s="151"/>
      <c r="G1356" s="153"/>
      <c r="H1356" s="151"/>
      <c r="I1356" s="151"/>
      <c r="J1356" s="151"/>
      <c r="K1356" s="151"/>
      <c r="L1356" s="151"/>
      <c r="M1356" s="151"/>
      <c r="N1356" s="151"/>
      <c r="O1356" s="151"/>
      <c r="P1356" s="151"/>
      <c r="Q1356" s="151"/>
      <c r="R1356" s="151"/>
      <c r="S1356" s="152"/>
      <c r="T1356" s="151"/>
      <c r="U1356" s="151"/>
      <c r="V1356" s="153"/>
      <c r="W1356" s="151"/>
      <c r="X1356" s="151"/>
      <c r="Y1356" s="153"/>
      <c r="Z1356" s="151"/>
      <c r="AA1356" s="187" t="str">
        <f t="shared" si="43"/>
        <v>No</v>
      </c>
      <c r="AB1356" s="158"/>
      <c r="AC1356" s="159"/>
      <c r="AD1356" s="160"/>
    </row>
    <row r="1357" spans="1:30">
      <c r="A1357" s="155"/>
      <c r="B1357" s="112" t="str">
        <f t="shared" si="42"/>
        <v/>
      </c>
      <c r="C1357" s="183"/>
      <c r="D1357" s="152"/>
      <c r="E1357" s="152"/>
      <c r="F1357" s="151"/>
      <c r="G1357" s="153"/>
      <c r="H1357" s="151"/>
      <c r="I1357" s="151"/>
      <c r="J1357" s="151"/>
      <c r="K1357" s="151"/>
      <c r="L1357" s="151"/>
      <c r="M1357" s="151"/>
      <c r="N1357" s="151"/>
      <c r="O1357" s="151"/>
      <c r="P1357" s="151"/>
      <c r="Q1357" s="151"/>
      <c r="R1357" s="151"/>
      <c r="S1357" s="152"/>
      <c r="T1357" s="151"/>
      <c r="U1357" s="151"/>
      <c r="V1357" s="153"/>
      <c r="W1357" s="151"/>
      <c r="X1357" s="151"/>
      <c r="Y1357" s="153"/>
      <c r="Z1357" s="151"/>
      <c r="AA1357" s="187" t="str">
        <f t="shared" si="43"/>
        <v>No</v>
      </c>
      <c r="AB1357" s="158"/>
      <c r="AC1357" s="159"/>
      <c r="AD1357" s="160"/>
    </row>
    <row r="1358" spans="1:30">
      <c r="A1358" s="155"/>
      <c r="B1358" s="112" t="str">
        <f t="shared" si="42"/>
        <v/>
      </c>
      <c r="C1358" s="183"/>
      <c r="D1358" s="152"/>
      <c r="E1358" s="152"/>
      <c r="F1358" s="151"/>
      <c r="G1358" s="153"/>
      <c r="H1358" s="151"/>
      <c r="I1358" s="151"/>
      <c r="J1358" s="151"/>
      <c r="K1358" s="151"/>
      <c r="L1358" s="151"/>
      <c r="M1358" s="151"/>
      <c r="N1358" s="151"/>
      <c r="O1358" s="151"/>
      <c r="P1358" s="151"/>
      <c r="Q1358" s="151"/>
      <c r="R1358" s="151"/>
      <c r="S1358" s="152"/>
      <c r="T1358" s="151"/>
      <c r="U1358" s="151"/>
      <c r="V1358" s="153"/>
      <c r="W1358" s="151"/>
      <c r="X1358" s="151"/>
      <c r="Y1358" s="153"/>
      <c r="Z1358" s="151"/>
      <c r="AA1358" s="187" t="str">
        <f t="shared" si="43"/>
        <v>No</v>
      </c>
      <c r="AB1358" s="158"/>
      <c r="AC1358" s="159"/>
      <c r="AD1358" s="160"/>
    </row>
    <row r="1359" spans="1:30">
      <c r="A1359" s="155"/>
      <c r="B1359" s="112" t="str">
        <f t="shared" si="42"/>
        <v/>
      </c>
      <c r="C1359" s="183"/>
      <c r="D1359" s="152"/>
      <c r="E1359" s="152"/>
      <c r="F1359" s="151"/>
      <c r="G1359" s="153"/>
      <c r="H1359" s="151"/>
      <c r="I1359" s="151"/>
      <c r="J1359" s="151"/>
      <c r="K1359" s="151"/>
      <c r="L1359" s="151"/>
      <c r="M1359" s="151"/>
      <c r="N1359" s="151"/>
      <c r="O1359" s="151"/>
      <c r="P1359" s="151"/>
      <c r="Q1359" s="151"/>
      <c r="R1359" s="151"/>
      <c r="S1359" s="152"/>
      <c r="T1359" s="151"/>
      <c r="U1359" s="151"/>
      <c r="V1359" s="153"/>
      <c r="W1359" s="151"/>
      <c r="X1359" s="151"/>
      <c r="Y1359" s="153"/>
      <c r="Z1359" s="151"/>
      <c r="AA1359" s="187" t="str">
        <f t="shared" si="43"/>
        <v>No</v>
      </c>
      <c r="AB1359" s="158"/>
      <c r="AC1359" s="159"/>
      <c r="AD1359" s="160"/>
    </row>
    <row r="1360" spans="1:30">
      <c r="A1360" s="155"/>
      <c r="B1360" s="112" t="str">
        <f t="shared" si="42"/>
        <v/>
      </c>
      <c r="C1360" s="183"/>
      <c r="D1360" s="152"/>
      <c r="E1360" s="152"/>
      <c r="F1360" s="151"/>
      <c r="G1360" s="153"/>
      <c r="H1360" s="151"/>
      <c r="I1360" s="151"/>
      <c r="J1360" s="151"/>
      <c r="K1360" s="151"/>
      <c r="L1360" s="151"/>
      <c r="M1360" s="151"/>
      <c r="N1360" s="151"/>
      <c r="O1360" s="151"/>
      <c r="P1360" s="151"/>
      <c r="Q1360" s="151"/>
      <c r="R1360" s="151"/>
      <c r="S1360" s="152"/>
      <c r="T1360" s="151"/>
      <c r="U1360" s="151"/>
      <c r="V1360" s="153"/>
      <c r="W1360" s="151"/>
      <c r="X1360" s="151"/>
      <c r="Y1360" s="153"/>
      <c r="Z1360" s="151"/>
      <c r="AA1360" s="187" t="str">
        <f t="shared" si="43"/>
        <v>No</v>
      </c>
      <c r="AB1360" s="158"/>
      <c r="AC1360" s="159"/>
      <c r="AD1360" s="160"/>
    </row>
    <row r="1361" spans="1:30">
      <c r="A1361" s="155"/>
      <c r="B1361" s="112" t="str">
        <f t="shared" si="42"/>
        <v/>
      </c>
      <c r="C1361" s="183"/>
      <c r="D1361" s="152"/>
      <c r="E1361" s="152"/>
      <c r="F1361" s="151"/>
      <c r="G1361" s="153"/>
      <c r="H1361" s="151"/>
      <c r="I1361" s="151"/>
      <c r="J1361" s="151"/>
      <c r="K1361" s="151"/>
      <c r="L1361" s="151"/>
      <c r="M1361" s="151"/>
      <c r="N1361" s="151"/>
      <c r="O1361" s="151"/>
      <c r="P1361" s="151"/>
      <c r="Q1361" s="151"/>
      <c r="R1361" s="151"/>
      <c r="S1361" s="152"/>
      <c r="T1361" s="151"/>
      <c r="U1361" s="151"/>
      <c r="V1361" s="153"/>
      <c r="W1361" s="151"/>
      <c r="X1361" s="151"/>
      <c r="Y1361" s="153"/>
      <c r="Z1361" s="151"/>
      <c r="AA1361" s="187" t="str">
        <f t="shared" si="43"/>
        <v>No</v>
      </c>
      <c r="AB1361" s="158"/>
      <c r="AC1361" s="159"/>
      <c r="AD1361" s="160"/>
    </row>
    <row r="1362" spans="1:30">
      <c r="A1362" s="155"/>
      <c r="B1362" s="112" t="str">
        <f t="shared" si="42"/>
        <v/>
      </c>
      <c r="C1362" s="183"/>
      <c r="D1362" s="152"/>
      <c r="E1362" s="152"/>
      <c r="F1362" s="151"/>
      <c r="G1362" s="153"/>
      <c r="H1362" s="151"/>
      <c r="I1362" s="151"/>
      <c r="J1362" s="151"/>
      <c r="K1362" s="151"/>
      <c r="L1362" s="151"/>
      <c r="M1362" s="151"/>
      <c r="N1362" s="151"/>
      <c r="O1362" s="151"/>
      <c r="P1362" s="151"/>
      <c r="Q1362" s="151"/>
      <c r="R1362" s="151"/>
      <c r="S1362" s="152"/>
      <c r="T1362" s="151"/>
      <c r="U1362" s="151"/>
      <c r="V1362" s="153"/>
      <c r="W1362" s="151"/>
      <c r="X1362" s="151"/>
      <c r="Y1362" s="153"/>
      <c r="Z1362" s="151"/>
      <c r="AA1362" s="187" t="str">
        <f t="shared" si="43"/>
        <v>No</v>
      </c>
      <c r="AB1362" s="158"/>
      <c r="AC1362" s="159"/>
      <c r="AD1362" s="160"/>
    </row>
    <row r="1363" spans="1:30">
      <c r="A1363" s="155"/>
      <c r="B1363" s="112" t="str">
        <f t="shared" si="42"/>
        <v/>
      </c>
      <c r="C1363" s="183"/>
      <c r="D1363" s="152"/>
      <c r="E1363" s="152"/>
      <c r="F1363" s="151"/>
      <c r="G1363" s="153"/>
      <c r="H1363" s="151"/>
      <c r="I1363" s="151"/>
      <c r="J1363" s="151"/>
      <c r="K1363" s="151"/>
      <c r="L1363" s="151"/>
      <c r="M1363" s="151"/>
      <c r="N1363" s="151"/>
      <c r="O1363" s="151"/>
      <c r="P1363" s="151"/>
      <c r="Q1363" s="151"/>
      <c r="R1363" s="151"/>
      <c r="S1363" s="152"/>
      <c r="T1363" s="151"/>
      <c r="U1363" s="151"/>
      <c r="V1363" s="153"/>
      <c r="W1363" s="151"/>
      <c r="X1363" s="151"/>
      <c r="Y1363" s="153"/>
      <c r="Z1363" s="151"/>
      <c r="AA1363" s="187" t="str">
        <f t="shared" si="43"/>
        <v>No</v>
      </c>
      <c r="AB1363" s="158"/>
      <c r="AC1363" s="159"/>
      <c r="AD1363" s="160"/>
    </row>
    <row r="1364" spans="1:30">
      <c r="A1364" s="155"/>
      <c r="B1364" s="112" t="str">
        <f t="shared" si="42"/>
        <v/>
      </c>
      <c r="C1364" s="183"/>
      <c r="D1364" s="152"/>
      <c r="E1364" s="152"/>
      <c r="F1364" s="151"/>
      <c r="G1364" s="153"/>
      <c r="H1364" s="151"/>
      <c r="I1364" s="151"/>
      <c r="J1364" s="151"/>
      <c r="K1364" s="151"/>
      <c r="L1364" s="151"/>
      <c r="M1364" s="151"/>
      <c r="N1364" s="151"/>
      <c r="O1364" s="151"/>
      <c r="P1364" s="151"/>
      <c r="Q1364" s="151"/>
      <c r="R1364" s="151"/>
      <c r="S1364" s="152"/>
      <c r="T1364" s="151"/>
      <c r="U1364" s="151"/>
      <c r="V1364" s="153"/>
      <c r="W1364" s="151"/>
      <c r="X1364" s="151"/>
      <c r="Y1364" s="153"/>
      <c r="Z1364" s="151"/>
      <c r="AA1364" s="187" t="str">
        <f t="shared" si="43"/>
        <v>No</v>
      </c>
      <c r="AB1364" s="158"/>
      <c r="AC1364" s="159"/>
      <c r="AD1364" s="160"/>
    </row>
    <row r="1365" spans="1:30">
      <c r="A1365" s="155"/>
      <c r="B1365" s="112" t="str">
        <f t="shared" si="42"/>
        <v/>
      </c>
      <c r="C1365" s="183"/>
      <c r="D1365" s="152"/>
      <c r="E1365" s="152"/>
      <c r="F1365" s="151"/>
      <c r="G1365" s="153"/>
      <c r="H1365" s="151"/>
      <c r="I1365" s="151"/>
      <c r="J1365" s="151"/>
      <c r="K1365" s="151"/>
      <c r="L1365" s="151"/>
      <c r="M1365" s="151"/>
      <c r="N1365" s="151"/>
      <c r="O1365" s="151"/>
      <c r="P1365" s="151"/>
      <c r="Q1365" s="151"/>
      <c r="R1365" s="151"/>
      <c r="S1365" s="152"/>
      <c r="T1365" s="151"/>
      <c r="U1365" s="151"/>
      <c r="V1365" s="153"/>
      <c r="W1365" s="151"/>
      <c r="X1365" s="151"/>
      <c r="Y1365" s="153"/>
      <c r="Z1365" s="151"/>
      <c r="AA1365" s="187" t="str">
        <f t="shared" si="43"/>
        <v>No</v>
      </c>
      <c r="AB1365" s="158"/>
      <c r="AC1365" s="159"/>
      <c r="AD1365" s="160"/>
    </row>
    <row r="1366" spans="1:30">
      <c r="A1366" s="155"/>
      <c r="B1366" s="112" t="str">
        <f t="shared" si="42"/>
        <v/>
      </c>
      <c r="C1366" s="183"/>
      <c r="D1366" s="152"/>
      <c r="E1366" s="152"/>
      <c r="F1366" s="151"/>
      <c r="G1366" s="153"/>
      <c r="H1366" s="151"/>
      <c r="I1366" s="151"/>
      <c r="J1366" s="151"/>
      <c r="K1366" s="151"/>
      <c r="L1366" s="151"/>
      <c r="M1366" s="151"/>
      <c r="N1366" s="151"/>
      <c r="O1366" s="151"/>
      <c r="P1366" s="151"/>
      <c r="Q1366" s="151"/>
      <c r="R1366" s="151"/>
      <c r="S1366" s="152"/>
      <c r="T1366" s="151"/>
      <c r="U1366" s="151"/>
      <c r="V1366" s="153"/>
      <c r="W1366" s="151"/>
      <c r="X1366" s="151"/>
      <c r="Y1366" s="153"/>
      <c r="Z1366" s="151"/>
      <c r="AA1366" s="187" t="str">
        <f t="shared" si="43"/>
        <v>No</v>
      </c>
      <c r="AB1366" s="158"/>
      <c r="AC1366" s="159"/>
      <c r="AD1366" s="160"/>
    </row>
    <row r="1367" spans="1:30">
      <c r="A1367" s="155"/>
      <c r="B1367" s="112" t="str">
        <f t="shared" si="42"/>
        <v/>
      </c>
      <c r="C1367" s="183"/>
      <c r="D1367" s="152"/>
      <c r="E1367" s="152"/>
      <c r="F1367" s="151"/>
      <c r="G1367" s="153"/>
      <c r="H1367" s="151"/>
      <c r="I1367" s="151"/>
      <c r="J1367" s="151"/>
      <c r="K1367" s="151"/>
      <c r="L1367" s="151"/>
      <c r="M1367" s="151"/>
      <c r="N1367" s="151"/>
      <c r="O1367" s="151"/>
      <c r="P1367" s="151"/>
      <c r="Q1367" s="151"/>
      <c r="R1367" s="151"/>
      <c r="S1367" s="152"/>
      <c r="T1367" s="151"/>
      <c r="U1367" s="151"/>
      <c r="V1367" s="153"/>
      <c r="W1367" s="151"/>
      <c r="X1367" s="151"/>
      <c r="Y1367" s="153"/>
      <c r="Z1367" s="151"/>
      <c r="AA1367" s="187" t="str">
        <f t="shared" si="43"/>
        <v>No</v>
      </c>
      <c r="AB1367" s="158"/>
      <c r="AC1367" s="159"/>
      <c r="AD1367" s="160"/>
    </row>
    <row r="1368" spans="1:30">
      <c r="A1368" s="155"/>
      <c r="B1368" s="112" t="str">
        <f t="shared" si="42"/>
        <v/>
      </c>
      <c r="C1368" s="183"/>
      <c r="D1368" s="152"/>
      <c r="E1368" s="152"/>
      <c r="F1368" s="151"/>
      <c r="G1368" s="153"/>
      <c r="H1368" s="151"/>
      <c r="I1368" s="151"/>
      <c r="J1368" s="151"/>
      <c r="K1368" s="151"/>
      <c r="L1368" s="151"/>
      <c r="M1368" s="151"/>
      <c r="N1368" s="151"/>
      <c r="O1368" s="151"/>
      <c r="P1368" s="151"/>
      <c r="Q1368" s="151"/>
      <c r="R1368" s="151"/>
      <c r="S1368" s="152"/>
      <c r="T1368" s="151"/>
      <c r="U1368" s="151"/>
      <c r="V1368" s="153"/>
      <c r="W1368" s="151"/>
      <c r="X1368" s="151"/>
      <c r="Y1368" s="153"/>
      <c r="Z1368" s="151"/>
      <c r="AA1368" s="187" t="str">
        <f t="shared" si="43"/>
        <v>No</v>
      </c>
      <c r="AB1368" s="158"/>
      <c r="AC1368" s="159"/>
      <c r="AD1368" s="160"/>
    </row>
    <row r="1369" spans="1:30">
      <c r="A1369" s="155"/>
      <c r="B1369" s="112" t="str">
        <f t="shared" si="42"/>
        <v/>
      </c>
      <c r="C1369" s="183"/>
      <c r="D1369" s="152"/>
      <c r="E1369" s="152"/>
      <c r="F1369" s="151"/>
      <c r="G1369" s="153"/>
      <c r="H1369" s="151"/>
      <c r="I1369" s="151"/>
      <c r="J1369" s="151"/>
      <c r="K1369" s="151"/>
      <c r="L1369" s="151"/>
      <c r="M1369" s="151"/>
      <c r="N1369" s="151"/>
      <c r="O1369" s="151"/>
      <c r="P1369" s="151"/>
      <c r="Q1369" s="151"/>
      <c r="R1369" s="151"/>
      <c r="S1369" s="152"/>
      <c r="T1369" s="151"/>
      <c r="U1369" s="151"/>
      <c r="V1369" s="153"/>
      <c r="W1369" s="151"/>
      <c r="X1369" s="151"/>
      <c r="Y1369" s="153"/>
      <c r="Z1369" s="151"/>
      <c r="AA1369" s="187" t="str">
        <f t="shared" si="43"/>
        <v>No</v>
      </c>
      <c r="AB1369" s="158"/>
      <c r="AC1369" s="159"/>
      <c r="AD1369" s="160"/>
    </row>
    <row r="1370" spans="1:30">
      <c r="A1370" s="155"/>
      <c r="B1370" s="112" t="str">
        <f t="shared" si="42"/>
        <v/>
      </c>
      <c r="C1370" s="183"/>
      <c r="D1370" s="152"/>
      <c r="E1370" s="152"/>
      <c r="F1370" s="151"/>
      <c r="G1370" s="153"/>
      <c r="H1370" s="151"/>
      <c r="I1370" s="151"/>
      <c r="J1370" s="151"/>
      <c r="K1370" s="151"/>
      <c r="L1370" s="151"/>
      <c r="M1370" s="151"/>
      <c r="N1370" s="151"/>
      <c r="O1370" s="151"/>
      <c r="P1370" s="151"/>
      <c r="Q1370" s="151"/>
      <c r="R1370" s="151"/>
      <c r="S1370" s="152"/>
      <c r="T1370" s="151"/>
      <c r="U1370" s="151"/>
      <c r="V1370" s="153"/>
      <c r="W1370" s="151"/>
      <c r="X1370" s="151"/>
      <c r="Y1370" s="153"/>
      <c r="Z1370" s="151"/>
      <c r="AA1370" s="187" t="str">
        <f t="shared" si="43"/>
        <v>No</v>
      </c>
      <c r="AB1370" s="158"/>
      <c r="AC1370" s="159"/>
      <c r="AD1370" s="160"/>
    </row>
    <row r="1371" spans="1:30">
      <c r="A1371" s="155"/>
      <c r="B1371" s="112" t="str">
        <f t="shared" si="42"/>
        <v/>
      </c>
      <c r="C1371" s="183"/>
      <c r="D1371" s="152"/>
      <c r="E1371" s="152"/>
      <c r="F1371" s="151"/>
      <c r="G1371" s="153"/>
      <c r="H1371" s="151"/>
      <c r="I1371" s="151"/>
      <c r="J1371" s="151"/>
      <c r="K1371" s="151"/>
      <c r="L1371" s="151"/>
      <c r="M1371" s="151"/>
      <c r="N1371" s="151"/>
      <c r="O1371" s="151"/>
      <c r="P1371" s="151"/>
      <c r="Q1371" s="151"/>
      <c r="R1371" s="151"/>
      <c r="S1371" s="152"/>
      <c r="T1371" s="151"/>
      <c r="U1371" s="151"/>
      <c r="V1371" s="153"/>
      <c r="W1371" s="151"/>
      <c r="X1371" s="151"/>
      <c r="Y1371" s="153"/>
      <c r="Z1371" s="151"/>
      <c r="AA1371" s="187" t="str">
        <f t="shared" si="43"/>
        <v>No</v>
      </c>
      <c r="AB1371" s="158"/>
      <c r="AC1371" s="159"/>
      <c r="AD1371" s="160"/>
    </row>
    <row r="1372" spans="1:30">
      <c r="A1372" s="155"/>
      <c r="B1372" s="112" t="str">
        <f t="shared" si="42"/>
        <v/>
      </c>
      <c r="C1372" s="183"/>
      <c r="D1372" s="152"/>
      <c r="E1372" s="152"/>
      <c r="F1372" s="151"/>
      <c r="G1372" s="153"/>
      <c r="H1372" s="151"/>
      <c r="I1372" s="151"/>
      <c r="J1372" s="151"/>
      <c r="K1372" s="151"/>
      <c r="L1372" s="151"/>
      <c r="M1372" s="151"/>
      <c r="N1372" s="151"/>
      <c r="O1372" s="151"/>
      <c r="P1372" s="151"/>
      <c r="Q1372" s="151"/>
      <c r="R1372" s="151"/>
      <c r="S1372" s="152"/>
      <c r="T1372" s="151"/>
      <c r="U1372" s="151"/>
      <c r="V1372" s="153"/>
      <c r="W1372" s="151"/>
      <c r="X1372" s="151"/>
      <c r="Y1372" s="153"/>
      <c r="Z1372" s="151"/>
      <c r="AA1372" s="187" t="str">
        <f t="shared" si="43"/>
        <v>No</v>
      </c>
      <c r="AB1372" s="158"/>
      <c r="AC1372" s="159"/>
      <c r="AD1372" s="160"/>
    </row>
    <row r="1373" spans="1:30">
      <c r="A1373" s="155"/>
      <c r="B1373" s="112" t="str">
        <f t="shared" si="42"/>
        <v/>
      </c>
      <c r="C1373" s="183"/>
      <c r="D1373" s="152"/>
      <c r="E1373" s="152"/>
      <c r="F1373" s="151"/>
      <c r="G1373" s="153"/>
      <c r="H1373" s="151"/>
      <c r="I1373" s="151"/>
      <c r="J1373" s="151"/>
      <c r="K1373" s="151"/>
      <c r="L1373" s="151"/>
      <c r="M1373" s="151"/>
      <c r="N1373" s="151"/>
      <c r="O1373" s="151"/>
      <c r="P1373" s="151"/>
      <c r="Q1373" s="151"/>
      <c r="R1373" s="151"/>
      <c r="S1373" s="152"/>
      <c r="T1373" s="151"/>
      <c r="U1373" s="151"/>
      <c r="V1373" s="153"/>
      <c r="W1373" s="151"/>
      <c r="X1373" s="151"/>
      <c r="Y1373" s="153"/>
      <c r="Z1373" s="151"/>
      <c r="AA1373" s="187" t="str">
        <f t="shared" si="43"/>
        <v>No</v>
      </c>
      <c r="AB1373" s="158"/>
      <c r="AC1373" s="159"/>
      <c r="AD1373" s="160"/>
    </row>
    <row r="1374" spans="1:30">
      <c r="A1374" s="155"/>
      <c r="B1374" s="112" t="str">
        <f t="shared" si="42"/>
        <v/>
      </c>
      <c r="C1374" s="183"/>
      <c r="D1374" s="152"/>
      <c r="E1374" s="152"/>
      <c r="F1374" s="151"/>
      <c r="G1374" s="153"/>
      <c r="H1374" s="151"/>
      <c r="I1374" s="151"/>
      <c r="J1374" s="151"/>
      <c r="K1374" s="151"/>
      <c r="L1374" s="151"/>
      <c r="M1374" s="151"/>
      <c r="N1374" s="151"/>
      <c r="O1374" s="151"/>
      <c r="P1374" s="151"/>
      <c r="Q1374" s="151"/>
      <c r="R1374" s="151"/>
      <c r="S1374" s="152"/>
      <c r="T1374" s="151"/>
      <c r="U1374" s="151"/>
      <c r="V1374" s="153"/>
      <c r="W1374" s="151"/>
      <c r="X1374" s="151"/>
      <c r="Y1374" s="153"/>
      <c r="Z1374" s="151"/>
      <c r="AA1374" s="187" t="str">
        <f t="shared" si="43"/>
        <v>No</v>
      </c>
      <c r="AB1374" s="158"/>
      <c r="AC1374" s="159"/>
      <c r="AD1374" s="160"/>
    </row>
    <row r="1375" spans="1:30">
      <c r="A1375" s="155"/>
      <c r="B1375" s="112" t="str">
        <f t="shared" si="42"/>
        <v/>
      </c>
      <c r="C1375" s="183"/>
      <c r="D1375" s="152"/>
      <c r="E1375" s="152"/>
      <c r="F1375" s="151"/>
      <c r="G1375" s="153"/>
      <c r="H1375" s="151"/>
      <c r="I1375" s="151"/>
      <c r="J1375" s="151"/>
      <c r="K1375" s="151"/>
      <c r="L1375" s="151"/>
      <c r="M1375" s="151"/>
      <c r="N1375" s="151"/>
      <c r="O1375" s="151"/>
      <c r="P1375" s="151"/>
      <c r="Q1375" s="151"/>
      <c r="R1375" s="151"/>
      <c r="S1375" s="152"/>
      <c r="T1375" s="151"/>
      <c r="U1375" s="151"/>
      <c r="V1375" s="153"/>
      <c r="W1375" s="151"/>
      <c r="X1375" s="151"/>
      <c r="Y1375" s="153"/>
      <c r="Z1375" s="151"/>
      <c r="AA1375" s="187" t="str">
        <f t="shared" si="43"/>
        <v>No</v>
      </c>
      <c r="AB1375" s="158"/>
      <c r="AC1375" s="159"/>
      <c r="AD1375" s="160"/>
    </row>
    <row r="1376" spans="1:30">
      <c r="A1376" s="155"/>
      <c r="B1376" s="112" t="str">
        <f t="shared" si="42"/>
        <v/>
      </c>
      <c r="C1376" s="183"/>
      <c r="D1376" s="152"/>
      <c r="E1376" s="152"/>
      <c r="F1376" s="151"/>
      <c r="G1376" s="153"/>
      <c r="H1376" s="151"/>
      <c r="I1376" s="151"/>
      <c r="J1376" s="151"/>
      <c r="K1376" s="151"/>
      <c r="L1376" s="151"/>
      <c r="M1376" s="151"/>
      <c r="N1376" s="151"/>
      <c r="O1376" s="151"/>
      <c r="P1376" s="151"/>
      <c r="Q1376" s="151"/>
      <c r="R1376" s="151"/>
      <c r="S1376" s="152"/>
      <c r="T1376" s="151"/>
      <c r="U1376" s="151"/>
      <c r="V1376" s="153"/>
      <c r="W1376" s="151"/>
      <c r="X1376" s="151"/>
      <c r="Y1376" s="153"/>
      <c r="Z1376" s="151"/>
      <c r="AA1376" s="187" t="str">
        <f t="shared" si="43"/>
        <v>No</v>
      </c>
      <c r="AB1376" s="158"/>
      <c r="AC1376" s="159"/>
      <c r="AD1376" s="160"/>
    </row>
    <row r="1377" spans="1:30">
      <c r="A1377" s="155"/>
      <c r="B1377" s="112" t="str">
        <f t="shared" si="42"/>
        <v/>
      </c>
      <c r="C1377" s="183"/>
      <c r="D1377" s="152"/>
      <c r="E1377" s="152"/>
      <c r="F1377" s="151"/>
      <c r="G1377" s="153"/>
      <c r="H1377" s="151"/>
      <c r="I1377" s="151"/>
      <c r="J1377" s="151"/>
      <c r="K1377" s="151"/>
      <c r="L1377" s="151"/>
      <c r="M1377" s="151"/>
      <c r="N1377" s="151"/>
      <c r="O1377" s="151"/>
      <c r="P1377" s="151"/>
      <c r="Q1377" s="151"/>
      <c r="R1377" s="151"/>
      <c r="S1377" s="152"/>
      <c r="T1377" s="151"/>
      <c r="U1377" s="151"/>
      <c r="V1377" s="153"/>
      <c r="W1377" s="151"/>
      <c r="X1377" s="151"/>
      <c r="Y1377" s="153"/>
      <c r="Z1377" s="151"/>
      <c r="AA1377" s="187" t="str">
        <f t="shared" si="43"/>
        <v>No</v>
      </c>
      <c r="AB1377" s="158"/>
      <c r="AC1377" s="159"/>
      <c r="AD1377" s="160"/>
    </row>
    <row r="1378" spans="1:30">
      <c r="A1378" s="155"/>
      <c r="B1378" s="112" t="str">
        <f t="shared" si="42"/>
        <v/>
      </c>
      <c r="C1378" s="183"/>
      <c r="D1378" s="152"/>
      <c r="E1378" s="152"/>
      <c r="F1378" s="151"/>
      <c r="G1378" s="153"/>
      <c r="H1378" s="151"/>
      <c r="I1378" s="151"/>
      <c r="J1378" s="151"/>
      <c r="K1378" s="151"/>
      <c r="L1378" s="151"/>
      <c r="M1378" s="151"/>
      <c r="N1378" s="151"/>
      <c r="O1378" s="151"/>
      <c r="P1378" s="151"/>
      <c r="Q1378" s="151"/>
      <c r="R1378" s="151"/>
      <c r="S1378" s="152"/>
      <c r="T1378" s="151"/>
      <c r="U1378" s="151"/>
      <c r="V1378" s="153"/>
      <c r="W1378" s="151"/>
      <c r="X1378" s="151"/>
      <c r="Y1378" s="153"/>
      <c r="Z1378" s="151"/>
      <c r="AA1378" s="187" t="str">
        <f t="shared" si="43"/>
        <v>No</v>
      </c>
      <c r="AB1378" s="158"/>
      <c r="AC1378" s="159"/>
      <c r="AD1378" s="160"/>
    </row>
    <row r="1379" spans="1:30">
      <c r="A1379" s="155"/>
      <c r="B1379" s="112" t="str">
        <f t="shared" si="42"/>
        <v/>
      </c>
      <c r="C1379" s="183"/>
      <c r="D1379" s="152"/>
      <c r="E1379" s="152"/>
      <c r="F1379" s="151"/>
      <c r="G1379" s="153"/>
      <c r="H1379" s="151"/>
      <c r="I1379" s="151"/>
      <c r="J1379" s="151"/>
      <c r="K1379" s="151"/>
      <c r="L1379" s="151"/>
      <c r="M1379" s="151"/>
      <c r="N1379" s="151"/>
      <c r="O1379" s="151"/>
      <c r="P1379" s="151"/>
      <c r="Q1379" s="151"/>
      <c r="R1379" s="151"/>
      <c r="S1379" s="152"/>
      <c r="T1379" s="151"/>
      <c r="U1379" s="151"/>
      <c r="V1379" s="153"/>
      <c r="W1379" s="151"/>
      <c r="X1379" s="151"/>
      <c r="Y1379" s="153"/>
      <c r="Z1379" s="151"/>
      <c r="AA1379" s="187" t="str">
        <f t="shared" si="43"/>
        <v>No</v>
      </c>
      <c r="AB1379" s="158"/>
      <c r="AC1379" s="159"/>
      <c r="AD1379" s="160"/>
    </row>
    <row r="1380" spans="1:30">
      <c r="A1380" s="155"/>
      <c r="B1380" s="112" t="str">
        <f t="shared" si="42"/>
        <v/>
      </c>
      <c r="C1380" s="183"/>
      <c r="D1380" s="152"/>
      <c r="E1380" s="152"/>
      <c r="F1380" s="151"/>
      <c r="G1380" s="153"/>
      <c r="H1380" s="151"/>
      <c r="I1380" s="151"/>
      <c r="J1380" s="151"/>
      <c r="K1380" s="151"/>
      <c r="L1380" s="151"/>
      <c r="M1380" s="151"/>
      <c r="N1380" s="151"/>
      <c r="O1380" s="151"/>
      <c r="P1380" s="151"/>
      <c r="Q1380" s="151"/>
      <c r="R1380" s="151"/>
      <c r="S1380" s="152"/>
      <c r="T1380" s="151"/>
      <c r="U1380" s="151"/>
      <c r="V1380" s="153"/>
      <c r="W1380" s="151"/>
      <c r="X1380" s="151"/>
      <c r="Y1380" s="153"/>
      <c r="Z1380" s="151"/>
      <c r="AA1380" s="187" t="str">
        <f t="shared" si="43"/>
        <v>No</v>
      </c>
      <c r="AB1380" s="158"/>
      <c r="AC1380" s="159"/>
      <c r="AD1380" s="160"/>
    </row>
    <row r="1381" spans="1:30">
      <c r="A1381" s="155"/>
      <c r="B1381" s="112" t="str">
        <f t="shared" si="42"/>
        <v/>
      </c>
      <c r="C1381" s="183"/>
      <c r="D1381" s="152"/>
      <c r="E1381" s="152"/>
      <c r="F1381" s="151"/>
      <c r="G1381" s="153"/>
      <c r="H1381" s="151"/>
      <c r="I1381" s="151"/>
      <c r="J1381" s="151"/>
      <c r="K1381" s="151"/>
      <c r="L1381" s="151"/>
      <c r="M1381" s="151"/>
      <c r="N1381" s="151"/>
      <c r="O1381" s="151"/>
      <c r="P1381" s="151"/>
      <c r="Q1381" s="151"/>
      <c r="R1381" s="151"/>
      <c r="S1381" s="152"/>
      <c r="T1381" s="151"/>
      <c r="U1381" s="151"/>
      <c r="V1381" s="153"/>
      <c r="W1381" s="151"/>
      <c r="X1381" s="151"/>
      <c r="Y1381" s="153"/>
      <c r="Z1381" s="151"/>
      <c r="AA1381" s="187" t="str">
        <f t="shared" si="43"/>
        <v>No</v>
      </c>
      <c r="AB1381" s="158"/>
      <c r="AC1381" s="159"/>
      <c r="AD1381" s="160"/>
    </row>
    <row r="1382" spans="1:30">
      <c r="A1382" s="155"/>
      <c r="B1382" s="112" t="str">
        <f t="shared" si="42"/>
        <v/>
      </c>
      <c r="C1382" s="183"/>
      <c r="D1382" s="152"/>
      <c r="E1382" s="152"/>
      <c r="F1382" s="151"/>
      <c r="G1382" s="153"/>
      <c r="H1382" s="151"/>
      <c r="I1382" s="151"/>
      <c r="J1382" s="151"/>
      <c r="K1382" s="151"/>
      <c r="L1382" s="151"/>
      <c r="M1382" s="151"/>
      <c r="N1382" s="151"/>
      <c r="O1382" s="151"/>
      <c r="P1382" s="151"/>
      <c r="Q1382" s="151"/>
      <c r="R1382" s="151"/>
      <c r="S1382" s="152"/>
      <c r="T1382" s="151"/>
      <c r="U1382" s="151"/>
      <c r="V1382" s="153"/>
      <c r="W1382" s="151"/>
      <c r="X1382" s="151"/>
      <c r="Y1382" s="153"/>
      <c r="Z1382" s="151"/>
      <c r="AA1382" s="187" t="str">
        <f t="shared" si="43"/>
        <v>No</v>
      </c>
      <c r="AB1382" s="158"/>
      <c r="AC1382" s="159"/>
      <c r="AD1382" s="160"/>
    </row>
    <row r="1383" spans="1:30">
      <c r="A1383" s="155"/>
      <c r="B1383" s="112" t="str">
        <f t="shared" si="42"/>
        <v/>
      </c>
      <c r="C1383" s="183"/>
      <c r="D1383" s="152"/>
      <c r="E1383" s="152"/>
      <c r="F1383" s="151"/>
      <c r="G1383" s="153"/>
      <c r="H1383" s="151"/>
      <c r="I1383" s="151"/>
      <c r="J1383" s="151"/>
      <c r="K1383" s="151"/>
      <c r="L1383" s="151"/>
      <c r="M1383" s="151"/>
      <c r="N1383" s="151"/>
      <c r="O1383" s="151"/>
      <c r="P1383" s="151"/>
      <c r="Q1383" s="151"/>
      <c r="R1383" s="151"/>
      <c r="S1383" s="152"/>
      <c r="T1383" s="151"/>
      <c r="U1383" s="151"/>
      <c r="V1383" s="153"/>
      <c r="W1383" s="151"/>
      <c r="X1383" s="151"/>
      <c r="Y1383" s="153"/>
      <c r="Z1383" s="151"/>
      <c r="AA1383" s="187" t="str">
        <f t="shared" si="43"/>
        <v>No</v>
      </c>
      <c r="AB1383" s="158"/>
      <c r="AC1383" s="159"/>
      <c r="AD1383" s="160"/>
    </row>
    <row r="1384" spans="1:30">
      <c r="A1384" s="155"/>
      <c r="B1384" s="112" t="str">
        <f t="shared" si="42"/>
        <v/>
      </c>
      <c r="C1384" s="183"/>
      <c r="D1384" s="152"/>
      <c r="E1384" s="152"/>
      <c r="F1384" s="151"/>
      <c r="G1384" s="153"/>
      <c r="H1384" s="151"/>
      <c r="I1384" s="151"/>
      <c r="J1384" s="151"/>
      <c r="K1384" s="151"/>
      <c r="L1384" s="151"/>
      <c r="M1384" s="151"/>
      <c r="N1384" s="151"/>
      <c r="O1384" s="151"/>
      <c r="P1384" s="151"/>
      <c r="Q1384" s="151"/>
      <c r="R1384" s="151"/>
      <c r="S1384" s="152"/>
      <c r="T1384" s="151"/>
      <c r="U1384" s="151"/>
      <c r="V1384" s="153"/>
      <c r="W1384" s="151"/>
      <c r="X1384" s="151"/>
      <c r="Y1384" s="153"/>
      <c r="Z1384" s="151"/>
      <c r="AA1384" s="187" t="str">
        <f t="shared" si="43"/>
        <v>No</v>
      </c>
      <c r="AB1384" s="158"/>
      <c r="AC1384" s="159"/>
      <c r="AD1384" s="160"/>
    </row>
    <row r="1385" spans="1:30">
      <c r="A1385" s="155"/>
      <c r="B1385" s="112" t="str">
        <f t="shared" si="42"/>
        <v/>
      </c>
      <c r="C1385" s="183"/>
      <c r="D1385" s="152"/>
      <c r="E1385" s="152"/>
      <c r="F1385" s="151"/>
      <c r="G1385" s="153"/>
      <c r="H1385" s="151"/>
      <c r="I1385" s="151"/>
      <c r="J1385" s="151"/>
      <c r="K1385" s="151"/>
      <c r="L1385" s="151"/>
      <c r="M1385" s="151"/>
      <c r="N1385" s="151"/>
      <c r="O1385" s="151"/>
      <c r="P1385" s="151"/>
      <c r="Q1385" s="151"/>
      <c r="R1385" s="151"/>
      <c r="S1385" s="152"/>
      <c r="T1385" s="151"/>
      <c r="U1385" s="151"/>
      <c r="V1385" s="153"/>
      <c r="W1385" s="151"/>
      <c r="X1385" s="151"/>
      <c r="Y1385" s="153"/>
      <c r="Z1385" s="151"/>
      <c r="AA1385" s="187" t="str">
        <f t="shared" si="43"/>
        <v>No</v>
      </c>
      <c r="AB1385" s="158"/>
      <c r="AC1385" s="159"/>
      <c r="AD1385" s="160"/>
    </row>
    <row r="1386" spans="1:30">
      <c r="A1386" s="155"/>
      <c r="B1386" s="112" t="str">
        <f t="shared" si="42"/>
        <v/>
      </c>
      <c r="C1386" s="183"/>
      <c r="D1386" s="152"/>
      <c r="E1386" s="152"/>
      <c r="F1386" s="151"/>
      <c r="G1386" s="153"/>
      <c r="H1386" s="151"/>
      <c r="I1386" s="151"/>
      <c r="J1386" s="151"/>
      <c r="K1386" s="151"/>
      <c r="L1386" s="151"/>
      <c r="M1386" s="151"/>
      <c r="N1386" s="151"/>
      <c r="O1386" s="151"/>
      <c r="P1386" s="151"/>
      <c r="Q1386" s="151"/>
      <c r="R1386" s="151"/>
      <c r="S1386" s="152"/>
      <c r="T1386" s="151"/>
      <c r="U1386" s="151"/>
      <c r="V1386" s="153"/>
      <c r="W1386" s="151"/>
      <c r="X1386" s="151"/>
      <c r="Y1386" s="153"/>
      <c r="Z1386" s="151"/>
      <c r="AA1386" s="187" t="str">
        <f t="shared" si="43"/>
        <v>No</v>
      </c>
      <c r="AB1386" s="158"/>
      <c r="AC1386" s="159"/>
      <c r="AD1386" s="160"/>
    </row>
    <row r="1387" spans="1:30">
      <c r="A1387" s="155"/>
      <c r="B1387" s="112" t="str">
        <f t="shared" si="42"/>
        <v/>
      </c>
      <c r="C1387" s="183"/>
      <c r="D1387" s="152"/>
      <c r="E1387" s="152"/>
      <c r="F1387" s="151"/>
      <c r="G1387" s="153"/>
      <c r="H1387" s="151"/>
      <c r="I1387" s="151"/>
      <c r="J1387" s="151"/>
      <c r="K1387" s="151"/>
      <c r="L1387" s="151"/>
      <c r="M1387" s="151"/>
      <c r="N1387" s="151"/>
      <c r="O1387" s="151"/>
      <c r="P1387" s="151"/>
      <c r="Q1387" s="151"/>
      <c r="R1387" s="151"/>
      <c r="S1387" s="152"/>
      <c r="T1387" s="151"/>
      <c r="U1387" s="151"/>
      <c r="V1387" s="153"/>
      <c r="W1387" s="151"/>
      <c r="X1387" s="151"/>
      <c r="Y1387" s="153"/>
      <c r="Z1387" s="151"/>
      <c r="AA1387" s="187" t="str">
        <f t="shared" si="43"/>
        <v>No</v>
      </c>
      <c r="AB1387" s="158"/>
      <c r="AC1387" s="159"/>
      <c r="AD1387" s="160"/>
    </row>
    <row r="1388" spans="1:30">
      <c r="A1388" s="155"/>
      <c r="B1388" s="112" t="str">
        <f t="shared" si="42"/>
        <v/>
      </c>
      <c r="C1388" s="183"/>
      <c r="D1388" s="152"/>
      <c r="E1388" s="152"/>
      <c r="F1388" s="151"/>
      <c r="G1388" s="153"/>
      <c r="H1388" s="151"/>
      <c r="I1388" s="151"/>
      <c r="J1388" s="151"/>
      <c r="K1388" s="151"/>
      <c r="L1388" s="151"/>
      <c r="M1388" s="151"/>
      <c r="N1388" s="151"/>
      <c r="O1388" s="151"/>
      <c r="P1388" s="151"/>
      <c r="Q1388" s="151"/>
      <c r="R1388" s="151"/>
      <c r="S1388" s="152"/>
      <c r="T1388" s="151"/>
      <c r="U1388" s="151"/>
      <c r="V1388" s="153"/>
      <c r="W1388" s="151"/>
      <c r="X1388" s="151"/>
      <c r="Y1388" s="153"/>
      <c r="Z1388" s="151"/>
      <c r="AA1388" s="187" t="str">
        <f t="shared" si="43"/>
        <v>No</v>
      </c>
      <c r="AB1388" s="158"/>
      <c r="AC1388" s="159"/>
      <c r="AD1388" s="160"/>
    </row>
    <row r="1389" spans="1:30">
      <c r="A1389" s="155"/>
      <c r="B1389" s="112" t="str">
        <f t="shared" si="42"/>
        <v/>
      </c>
      <c r="C1389" s="183"/>
      <c r="D1389" s="152"/>
      <c r="E1389" s="152"/>
      <c r="F1389" s="151"/>
      <c r="G1389" s="153"/>
      <c r="H1389" s="151"/>
      <c r="I1389" s="151"/>
      <c r="J1389" s="151"/>
      <c r="K1389" s="151"/>
      <c r="L1389" s="151"/>
      <c r="M1389" s="151"/>
      <c r="N1389" s="151"/>
      <c r="O1389" s="151"/>
      <c r="P1389" s="151"/>
      <c r="Q1389" s="151"/>
      <c r="R1389" s="151"/>
      <c r="S1389" s="152"/>
      <c r="T1389" s="151"/>
      <c r="U1389" s="151"/>
      <c r="V1389" s="153"/>
      <c r="W1389" s="151"/>
      <c r="X1389" s="151"/>
      <c r="Y1389" s="153"/>
      <c r="Z1389" s="151"/>
      <c r="AA1389" s="187" t="str">
        <f t="shared" si="43"/>
        <v>No</v>
      </c>
      <c r="AB1389" s="158"/>
      <c r="AC1389" s="159"/>
      <c r="AD1389" s="160"/>
    </row>
    <row r="1390" spans="1:30">
      <c r="A1390" s="155"/>
      <c r="B1390" s="112" t="str">
        <f t="shared" si="42"/>
        <v/>
      </c>
      <c r="C1390" s="183"/>
      <c r="D1390" s="152"/>
      <c r="E1390" s="152"/>
      <c r="F1390" s="151"/>
      <c r="G1390" s="153"/>
      <c r="H1390" s="151"/>
      <c r="I1390" s="151"/>
      <c r="J1390" s="151"/>
      <c r="K1390" s="151"/>
      <c r="L1390" s="151"/>
      <c r="M1390" s="151"/>
      <c r="N1390" s="151"/>
      <c r="O1390" s="151"/>
      <c r="P1390" s="151"/>
      <c r="Q1390" s="151"/>
      <c r="R1390" s="151"/>
      <c r="S1390" s="152"/>
      <c r="T1390" s="151"/>
      <c r="U1390" s="151"/>
      <c r="V1390" s="153"/>
      <c r="W1390" s="151"/>
      <c r="X1390" s="151"/>
      <c r="Y1390" s="153"/>
      <c r="Z1390" s="151"/>
      <c r="AA1390" s="187" t="str">
        <f t="shared" si="43"/>
        <v>No</v>
      </c>
      <c r="AB1390" s="158"/>
      <c r="AC1390" s="159"/>
      <c r="AD1390" s="160"/>
    </row>
    <row r="1391" spans="1:30">
      <c r="A1391" s="155"/>
      <c r="B1391" s="112" t="str">
        <f t="shared" si="42"/>
        <v/>
      </c>
      <c r="C1391" s="183"/>
      <c r="D1391" s="152"/>
      <c r="E1391" s="152"/>
      <c r="F1391" s="151"/>
      <c r="G1391" s="153"/>
      <c r="H1391" s="151"/>
      <c r="I1391" s="151"/>
      <c r="J1391" s="151"/>
      <c r="K1391" s="151"/>
      <c r="L1391" s="151"/>
      <c r="M1391" s="151"/>
      <c r="N1391" s="151"/>
      <c r="O1391" s="151"/>
      <c r="P1391" s="151"/>
      <c r="Q1391" s="151"/>
      <c r="R1391" s="151"/>
      <c r="S1391" s="152"/>
      <c r="T1391" s="151"/>
      <c r="U1391" s="151"/>
      <c r="V1391" s="153"/>
      <c r="W1391" s="151"/>
      <c r="X1391" s="151"/>
      <c r="Y1391" s="153"/>
      <c r="Z1391" s="151"/>
      <c r="AA1391" s="187" t="str">
        <f t="shared" si="43"/>
        <v>No</v>
      </c>
      <c r="AB1391" s="158"/>
      <c r="AC1391" s="159"/>
      <c r="AD1391" s="160"/>
    </row>
    <row r="1392" spans="1:30">
      <c r="A1392" s="155"/>
      <c r="B1392" s="112" t="str">
        <f t="shared" si="42"/>
        <v/>
      </c>
      <c r="C1392" s="183"/>
      <c r="D1392" s="152"/>
      <c r="E1392" s="152"/>
      <c r="F1392" s="151"/>
      <c r="G1392" s="153"/>
      <c r="H1392" s="151"/>
      <c r="I1392" s="151"/>
      <c r="J1392" s="151"/>
      <c r="K1392" s="151"/>
      <c r="L1392" s="151"/>
      <c r="M1392" s="151"/>
      <c r="N1392" s="151"/>
      <c r="O1392" s="151"/>
      <c r="P1392" s="151"/>
      <c r="Q1392" s="151"/>
      <c r="R1392" s="151"/>
      <c r="S1392" s="152"/>
      <c r="T1392" s="151"/>
      <c r="U1392" s="151"/>
      <c r="V1392" s="153"/>
      <c r="W1392" s="151"/>
      <c r="X1392" s="151"/>
      <c r="Y1392" s="153"/>
      <c r="Z1392" s="151"/>
      <c r="AA1392" s="187" t="str">
        <f t="shared" si="43"/>
        <v>No</v>
      </c>
      <c r="AB1392" s="158"/>
      <c r="AC1392" s="159"/>
      <c r="AD1392" s="160"/>
    </row>
    <row r="1393" spans="1:30">
      <c r="A1393" s="155"/>
      <c r="B1393" s="112" t="str">
        <f t="shared" si="42"/>
        <v/>
      </c>
      <c r="C1393" s="183"/>
      <c r="D1393" s="152"/>
      <c r="E1393" s="152"/>
      <c r="F1393" s="151"/>
      <c r="G1393" s="153"/>
      <c r="H1393" s="151"/>
      <c r="I1393" s="151"/>
      <c r="J1393" s="151"/>
      <c r="K1393" s="151"/>
      <c r="L1393" s="151"/>
      <c r="M1393" s="151"/>
      <c r="N1393" s="151"/>
      <c r="O1393" s="151"/>
      <c r="P1393" s="151"/>
      <c r="Q1393" s="151"/>
      <c r="R1393" s="151"/>
      <c r="S1393" s="152"/>
      <c r="T1393" s="151"/>
      <c r="U1393" s="151"/>
      <c r="V1393" s="153"/>
      <c r="W1393" s="151"/>
      <c r="X1393" s="151"/>
      <c r="Y1393" s="153"/>
      <c r="Z1393" s="151"/>
      <c r="AA1393" s="187" t="str">
        <f t="shared" si="43"/>
        <v>No</v>
      </c>
      <c r="AB1393" s="158"/>
      <c r="AC1393" s="159"/>
      <c r="AD1393" s="160"/>
    </row>
    <row r="1394" spans="1:30">
      <c r="A1394" s="155"/>
      <c r="B1394" s="112" t="str">
        <f t="shared" si="42"/>
        <v/>
      </c>
      <c r="C1394" s="183"/>
      <c r="D1394" s="152"/>
      <c r="E1394" s="152"/>
      <c r="F1394" s="151"/>
      <c r="G1394" s="153"/>
      <c r="H1394" s="151"/>
      <c r="I1394" s="151"/>
      <c r="J1394" s="151"/>
      <c r="K1394" s="151"/>
      <c r="L1394" s="151"/>
      <c r="M1394" s="151"/>
      <c r="N1394" s="151"/>
      <c r="O1394" s="151"/>
      <c r="P1394" s="151"/>
      <c r="Q1394" s="151"/>
      <c r="R1394" s="151"/>
      <c r="S1394" s="152"/>
      <c r="T1394" s="151"/>
      <c r="U1394" s="151"/>
      <c r="V1394" s="153"/>
      <c r="W1394" s="151"/>
      <c r="X1394" s="151"/>
      <c r="Y1394" s="153"/>
      <c r="Z1394" s="151"/>
      <c r="AA1394" s="187" t="str">
        <f t="shared" si="43"/>
        <v>No</v>
      </c>
      <c r="AB1394" s="158"/>
      <c r="AC1394" s="159"/>
      <c r="AD1394" s="160"/>
    </row>
    <row r="1395" spans="1:30">
      <c r="A1395" s="155"/>
      <c r="B1395" s="112" t="str">
        <f t="shared" si="42"/>
        <v/>
      </c>
      <c r="C1395" s="183"/>
      <c r="D1395" s="152"/>
      <c r="E1395" s="152"/>
      <c r="F1395" s="151"/>
      <c r="G1395" s="153"/>
      <c r="H1395" s="151"/>
      <c r="I1395" s="151"/>
      <c r="J1395" s="151"/>
      <c r="K1395" s="151"/>
      <c r="L1395" s="151"/>
      <c r="M1395" s="151"/>
      <c r="N1395" s="151"/>
      <c r="O1395" s="151"/>
      <c r="P1395" s="151"/>
      <c r="Q1395" s="151"/>
      <c r="R1395" s="151"/>
      <c r="S1395" s="152"/>
      <c r="T1395" s="151"/>
      <c r="U1395" s="151"/>
      <c r="V1395" s="153"/>
      <c r="W1395" s="151"/>
      <c r="X1395" s="151"/>
      <c r="Y1395" s="153"/>
      <c r="Z1395" s="151"/>
      <c r="AA1395" s="187" t="str">
        <f t="shared" si="43"/>
        <v>No</v>
      </c>
      <c r="AB1395" s="158"/>
      <c r="AC1395" s="159"/>
      <c r="AD1395" s="160"/>
    </row>
    <row r="1396" spans="1:30">
      <c r="A1396" s="155"/>
      <c r="B1396" s="112" t="str">
        <f t="shared" si="42"/>
        <v/>
      </c>
      <c r="C1396" s="183"/>
      <c r="D1396" s="152"/>
      <c r="E1396" s="152"/>
      <c r="F1396" s="151"/>
      <c r="G1396" s="153"/>
      <c r="H1396" s="151"/>
      <c r="I1396" s="151"/>
      <c r="J1396" s="151"/>
      <c r="K1396" s="151"/>
      <c r="L1396" s="151"/>
      <c r="M1396" s="151"/>
      <c r="N1396" s="151"/>
      <c r="O1396" s="151"/>
      <c r="P1396" s="151"/>
      <c r="Q1396" s="151"/>
      <c r="R1396" s="151"/>
      <c r="S1396" s="152"/>
      <c r="T1396" s="151"/>
      <c r="U1396" s="151"/>
      <c r="V1396" s="153"/>
      <c r="W1396" s="151"/>
      <c r="X1396" s="151"/>
      <c r="Y1396" s="153"/>
      <c r="Z1396" s="151"/>
      <c r="AA1396" s="187" t="str">
        <f t="shared" si="43"/>
        <v>No</v>
      </c>
      <c r="AB1396" s="158"/>
      <c r="AC1396" s="159"/>
      <c r="AD1396" s="160"/>
    </row>
    <row r="1397" spans="1:30">
      <c r="A1397" s="155"/>
      <c r="B1397" s="112" t="str">
        <f t="shared" si="42"/>
        <v/>
      </c>
      <c r="C1397" s="183"/>
      <c r="D1397" s="152"/>
      <c r="E1397" s="152"/>
      <c r="F1397" s="151"/>
      <c r="G1397" s="153"/>
      <c r="H1397" s="151"/>
      <c r="I1397" s="151"/>
      <c r="J1397" s="151"/>
      <c r="K1397" s="151"/>
      <c r="L1397" s="151"/>
      <c r="M1397" s="151"/>
      <c r="N1397" s="151"/>
      <c r="O1397" s="151"/>
      <c r="P1397" s="151"/>
      <c r="Q1397" s="151"/>
      <c r="R1397" s="151"/>
      <c r="S1397" s="152"/>
      <c r="T1397" s="151"/>
      <c r="U1397" s="151"/>
      <c r="V1397" s="153"/>
      <c r="W1397" s="151"/>
      <c r="X1397" s="151"/>
      <c r="Y1397" s="153"/>
      <c r="Z1397" s="151"/>
      <c r="AA1397" s="187" t="str">
        <f t="shared" si="43"/>
        <v>No</v>
      </c>
      <c r="AB1397" s="158"/>
      <c r="AC1397" s="159"/>
      <c r="AD1397" s="160"/>
    </row>
    <row r="1398" spans="1:30">
      <c r="A1398" s="155"/>
      <c r="B1398" s="112" t="str">
        <f t="shared" si="42"/>
        <v/>
      </c>
      <c r="C1398" s="183"/>
      <c r="D1398" s="152"/>
      <c r="E1398" s="152"/>
      <c r="F1398" s="151"/>
      <c r="G1398" s="153"/>
      <c r="H1398" s="151"/>
      <c r="I1398" s="151"/>
      <c r="J1398" s="151"/>
      <c r="K1398" s="151"/>
      <c r="L1398" s="151"/>
      <c r="M1398" s="151"/>
      <c r="N1398" s="151"/>
      <c r="O1398" s="151"/>
      <c r="P1398" s="151"/>
      <c r="Q1398" s="151"/>
      <c r="R1398" s="151"/>
      <c r="S1398" s="152"/>
      <c r="T1398" s="151"/>
      <c r="U1398" s="151"/>
      <c r="V1398" s="153"/>
      <c r="W1398" s="151"/>
      <c r="X1398" s="151"/>
      <c r="Y1398" s="153"/>
      <c r="Z1398" s="151"/>
      <c r="AA1398" s="187" t="str">
        <f t="shared" si="43"/>
        <v>No</v>
      </c>
      <c r="AB1398" s="158"/>
      <c r="AC1398" s="159"/>
      <c r="AD1398" s="160"/>
    </row>
    <row r="1399" spans="1:30">
      <c r="A1399" s="155"/>
      <c r="B1399" s="112" t="str">
        <f t="shared" si="42"/>
        <v/>
      </c>
      <c r="C1399" s="183"/>
      <c r="D1399" s="152"/>
      <c r="E1399" s="152"/>
      <c r="F1399" s="151"/>
      <c r="G1399" s="153"/>
      <c r="H1399" s="151"/>
      <c r="I1399" s="151"/>
      <c r="J1399" s="151"/>
      <c r="K1399" s="151"/>
      <c r="L1399" s="151"/>
      <c r="M1399" s="151"/>
      <c r="N1399" s="151"/>
      <c r="O1399" s="151"/>
      <c r="P1399" s="151"/>
      <c r="Q1399" s="151"/>
      <c r="R1399" s="151"/>
      <c r="S1399" s="152"/>
      <c r="T1399" s="151"/>
      <c r="U1399" s="151"/>
      <c r="V1399" s="153"/>
      <c r="W1399" s="151"/>
      <c r="X1399" s="151"/>
      <c r="Y1399" s="153"/>
      <c r="Z1399" s="151"/>
      <c r="AA1399" s="187" t="str">
        <f t="shared" si="43"/>
        <v>No</v>
      </c>
      <c r="AB1399" s="158"/>
      <c r="AC1399" s="159"/>
      <c r="AD1399" s="160"/>
    </row>
    <row r="1400" spans="1:30">
      <c r="A1400" s="155"/>
      <c r="B1400" s="112" t="str">
        <f t="shared" si="42"/>
        <v/>
      </c>
      <c r="C1400" s="183"/>
      <c r="D1400" s="152"/>
      <c r="E1400" s="152"/>
      <c r="F1400" s="151"/>
      <c r="G1400" s="153"/>
      <c r="H1400" s="151"/>
      <c r="I1400" s="151"/>
      <c r="J1400" s="151"/>
      <c r="K1400" s="151"/>
      <c r="L1400" s="151"/>
      <c r="M1400" s="151"/>
      <c r="N1400" s="151"/>
      <c r="O1400" s="151"/>
      <c r="P1400" s="151"/>
      <c r="Q1400" s="151"/>
      <c r="R1400" s="151"/>
      <c r="S1400" s="152"/>
      <c r="T1400" s="151"/>
      <c r="U1400" s="151"/>
      <c r="V1400" s="153"/>
      <c r="W1400" s="151"/>
      <c r="X1400" s="151"/>
      <c r="Y1400" s="153"/>
      <c r="Z1400" s="151"/>
      <c r="AA1400" s="187" t="str">
        <f t="shared" si="43"/>
        <v>No</v>
      </c>
      <c r="AB1400" s="158"/>
      <c r="AC1400" s="159"/>
      <c r="AD1400" s="160"/>
    </row>
    <row r="1401" spans="1:30">
      <c r="A1401" s="155"/>
      <c r="B1401" s="112" t="str">
        <f t="shared" si="42"/>
        <v/>
      </c>
      <c r="C1401" s="183"/>
      <c r="D1401" s="152"/>
      <c r="E1401" s="152"/>
      <c r="F1401" s="151"/>
      <c r="G1401" s="153"/>
      <c r="H1401" s="151"/>
      <c r="I1401" s="151"/>
      <c r="J1401" s="151"/>
      <c r="K1401" s="151"/>
      <c r="L1401" s="151"/>
      <c r="M1401" s="151"/>
      <c r="N1401" s="151"/>
      <c r="O1401" s="151"/>
      <c r="P1401" s="151"/>
      <c r="Q1401" s="151"/>
      <c r="R1401" s="151"/>
      <c r="S1401" s="152"/>
      <c r="T1401" s="151"/>
      <c r="U1401" s="151"/>
      <c r="V1401" s="153"/>
      <c r="W1401" s="151"/>
      <c r="X1401" s="151"/>
      <c r="Y1401" s="153"/>
      <c r="Z1401" s="151"/>
      <c r="AA1401" s="187" t="str">
        <f t="shared" si="43"/>
        <v>No</v>
      </c>
      <c r="AB1401" s="158"/>
      <c r="AC1401" s="159"/>
      <c r="AD1401" s="160"/>
    </row>
    <row r="1402" spans="1:30">
      <c r="A1402" s="155"/>
      <c r="B1402" s="112" t="str">
        <f t="shared" si="42"/>
        <v/>
      </c>
      <c r="C1402" s="183"/>
      <c r="D1402" s="152"/>
      <c r="E1402" s="152"/>
      <c r="F1402" s="151"/>
      <c r="G1402" s="153"/>
      <c r="H1402" s="151"/>
      <c r="I1402" s="151"/>
      <c r="J1402" s="151"/>
      <c r="K1402" s="151"/>
      <c r="L1402" s="151"/>
      <c r="M1402" s="151"/>
      <c r="N1402" s="151"/>
      <c r="O1402" s="151"/>
      <c r="P1402" s="151"/>
      <c r="Q1402" s="151"/>
      <c r="R1402" s="151"/>
      <c r="S1402" s="152"/>
      <c r="T1402" s="151"/>
      <c r="U1402" s="151"/>
      <c r="V1402" s="153"/>
      <c r="W1402" s="151"/>
      <c r="X1402" s="151"/>
      <c r="Y1402" s="153"/>
      <c r="Z1402" s="151"/>
      <c r="AA1402" s="187" t="str">
        <f t="shared" si="43"/>
        <v>No</v>
      </c>
      <c r="AB1402" s="158"/>
      <c r="AC1402" s="159"/>
      <c r="AD1402" s="160"/>
    </row>
    <row r="1403" spans="1:30">
      <c r="A1403" s="155"/>
      <c r="B1403" s="112" t="str">
        <f t="shared" si="42"/>
        <v/>
      </c>
      <c r="C1403" s="183"/>
      <c r="D1403" s="152"/>
      <c r="E1403" s="152"/>
      <c r="F1403" s="151"/>
      <c r="G1403" s="153"/>
      <c r="H1403" s="151"/>
      <c r="I1403" s="151"/>
      <c r="J1403" s="151"/>
      <c r="K1403" s="151"/>
      <c r="L1403" s="151"/>
      <c r="M1403" s="151"/>
      <c r="N1403" s="151"/>
      <c r="O1403" s="151"/>
      <c r="P1403" s="151"/>
      <c r="Q1403" s="151"/>
      <c r="R1403" s="151"/>
      <c r="S1403" s="152"/>
      <c r="T1403" s="151"/>
      <c r="U1403" s="151"/>
      <c r="V1403" s="153"/>
      <c r="W1403" s="151"/>
      <c r="X1403" s="151"/>
      <c r="Y1403" s="153"/>
      <c r="Z1403" s="151"/>
      <c r="AA1403" s="187" t="str">
        <f t="shared" si="43"/>
        <v>No</v>
      </c>
      <c r="AB1403" s="158"/>
      <c r="AC1403" s="159"/>
      <c r="AD1403" s="160"/>
    </row>
    <row r="1404" spans="1:30">
      <c r="A1404" s="155"/>
      <c r="B1404" s="112" t="str">
        <f t="shared" si="42"/>
        <v/>
      </c>
      <c r="C1404" s="183"/>
      <c r="D1404" s="152"/>
      <c r="E1404" s="152"/>
      <c r="F1404" s="151"/>
      <c r="G1404" s="153"/>
      <c r="H1404" s="151"/>
      <c r="I1404" s="151"/>
      <c r="J1404" s="151"/>
      <c r="K1404" s="151"/>
      <c r="L1404" s="151"/>
      <c r="M1404" s="151"/>
      <c r="N1404" s="151"/>
      <c r="O1404" s="151"/>
      <c r="P1404" s="151"/>
      <c r="Q1404" s="151"/>
      <c r="R1404" s="151"/>
      <c r="S1404" s="152"/>
      <c r="T1404" s="151"/>
      <c r="U1404" s="151"/>
      <c r="V1404" s="153"/>
      <c r="W1404" s="151"/>
      <c r="X1404" s="151"/>
      <c r="Y1404" s="153"/>
      <c r="Z1404" s="151"/>
      <c r="AA1404" s="187" t="str">
        <f t="shared" si="43"/>
        <v>No</v>
      </c>
      <c r="AB1404" s="158"/>
      <c r="AC1404" s="159"/>
      <c r="AD1404" s="160"/>
    </row>
    <row r="1405" spans="1:30">
      <c r="A1405" s="155"/>
      <c r="B1405" s="112" t="str">
        <f t="shared" si="42"/>
        <v/>
      </c>
      <c r="C1405" s="183"/>
      <c r="D1405" s="152"/>
      <c r="E1405" s="152"/>
      <c r="F1405" s="151"/>
      <c r="G1405" s="153"/>
      <c r="H1405" s="151"/>
      <c r="I1405" s="151"/>
      <c r="J1405" s="151"/>
      <c r="K1405" s="151"/>
      <c r="L1405" s="151"/>
      <c r="M1405" s="151"/>
      <c r="N1405" s="151"/>
      <c r="O1405" s="151"/>
      <c r="P1405" s="151"/>
      <c r="Q1405" s="151"/>
      <c r="R1405" s="151"/>
      <c r="S1405" s="152"/>
      <c r="T1405" s="151"/>
      <c r="U1405" s="151"/>
      <c r="V1405" s="153"/>
      <c r="W1405" s="151"/>
      <c r="X1405" s="151"/>
      <c r="Y1405" s="153"/>
      <c r="Z1405" s="151"/>
      <c r="AA1405" s="187" t="str">
        <f t="shared" si="43"/>
        <v>No</v>
      </c>
      <c r="AB1405" s="158"/>
      <c r="AC1405" s="159"/>
      <c r="AD1405" s="160"/>
    </row>
    <row r="1406" spans="1:30">
      <c r="A1406" s="155"/>
      <c r="B1406" s="112" t="str">
        <f t="shared" si="42"/>
        <v/>
      </c>
      <c r="C1406" s="183"/>
      <c r="D1406" s="152"/>
      <c r="E1406" s="152"/>
      <c r="F1406" s="151"/>
      <c r="G1406" s="153"/>
      <c r="H1406" s="151"/>
      <c r="I1406" s="151"/>
      <c r="J1406" s="151"/>
      <c r="K1406" s="151"/>
      <c r="L1406" s="151"/>
      <c r="M1406" s="151"/>
      <c r="N1406" s="151"/>
      <c r="O1406" s="151"/>
      <c r="P1406" s="151"/>
      <c r="Q1406" s="151"/>
      <c r="R1406" s="151"/>
      <c r="S1406" s="152"/>
      <c r="T1406" s="151"/>
      <c r="U1406" s="151"/>
      <c r="V1406" s="153"/>
      <c r="W1406" s="151"/>
      <c r="X1406" s="151"/>
      <c r="Y1406" s="153"/>
      <c r="Z1406" s="151"/>
      <c r="AA1406" s="187" t="str">
        <f t="shared" si="43"/>
        <v>No</v>
      </c>
      <c r="AB1406" s="158"/>
      <c r="AC1406" s="159"/>
      <c r="AD1406" s="160"/>
    </row>
    <row r="1407" spans="1:30">
      <c r="A1407" s="155"/>
      <c r="B1407" s="112" t="str">
        <f t="shared" si="42"/>
        <v/>
      </c>
      <c r="C1407" s="183"/>
      <c r="D1407" s="152"/>
      <c r="E1407" s="152"/>
      <c r="F1407" s="151"/>
      <c r="G1407" s="153"/>
      <c r="H1407" s="151"/>
      <c r="I1407" s="151"/>
      <c r="J1407" s="151"/>
      <c r="K1407" s="151"/>
      <c r="L1407" s="151"/>
      <c r="M1407" s="151"/>
      <c r="N1407" s="151"/>
      <c r="O1407" s="151"/>
      <c r="P1407" s="151"/>
      <c r="Q1407" s="151"/>
      <c r="R1407" s="151"/>
      <c r="S1407" s="152"/>
      <c r="T1407" s="151"/>
      <c r="U1407" s="151"/>
      <c r="V1407" s="153"/>
      <c r="W1407" s="151"/>
      <c r="X1407" s="151"/>
      <c r="Y1407" s="153"/>
      <c r="Z1407" s="151"/>
      <c r="AA1407" s="187" t="str">
        <f t="shared" si="43"/>
        <v>No</v>
      </c>
      <c r="AB1407" s="158"/>
      <c r="AC1407" s="159"/>
      <c r="AD1407" s="160"/>
    </row>
    <row r="1408" spans="1:30">
      <c r="A1408" s="155"/>
      <c r="B1408" s="112" t="str">
        <f t="shared" si="42"/>
        <v/>
      </c>
      <c r="C1408" s="183"/>
      <c r="D1408" s="152"/>
      <c r="E1408" s="152"/>
      <c r="F1408" s="151"/>
      <c r="G1408" s="153"/>
      <c r="H1408" s="151"/>
      <c r="I1408" s="151"/>
      <c r="J1408" s="151"/>
      <c r="K1408" s="151"/>
      <c r="L1408" s="151"/>
      <c r="M1408" s="151"/>
      <c r="N1408" s="151"/>
      <c r="O1408" s="151"/>
      <c r="P1408" s="151"/>
      <c r="Q1408" s="151"/>
      <c r="R1408" s="151"/>
      <c r="S1408" s="152"/>
      <c r="T1408" s="151"/>
      <c r="U1408" s="151"/>
      <c r="V1408" s="153"/>
      <c r="W1408" s="151"/>
      <c r="X1408" s="151"/>
      <c r="Y1408" s="153"/>
      <c r="Z1408" s="151"/>
      <c r="AA1408" s="187" t="str">
        <f t="shared" si="43"/>
        <v>No</v>
      </c>
      <c r="AB1408" s="158"/>
      <c r="AC1408" s="159"/>
      <c r="AD1408" s="160"/>
    </row>
    <row r="1409" spans="1:30">
      <c r="A1409" s="155"/>
      <c r="B1409" s="112" t="str">
        <f t="shared" si="42"/>
        <v/>
      </c>
      <c r="C1409" s="183"/>
      <c r="D1409" s="152"/>
      <c r="E1409" s="152"/>
      <c r="F1409" s="151"/>
      <c r="G1409" s="153"/>
      <c r="H1409" s="151"/>
      <c r="I1409" s="151"/>
      <c r="J1409" s="151"/>
      <c r="K1409" s="151"/>
      <c r="L1409" s="151"/>
      <c r="M1409" s="151"/>
      <c r="N1409" s="151"/>
      <c r="O1409" s="151"/>
      <c r="P1409" s="151"/>
      <c r="Q1409" s="151"/>
      <c r="R1409" s="151"/>
      <c r="S1409" s="152"/>
      <c r="T1409" s="151"/>
      <c r="U1409" s="151"/>
      <c r="V1409" s="153"/>
      <c r="W1409" s="151"/>
      <c r="X1409" s="151"/>
      <c r="Y1409" s="153"/>
      <c r="Z1409" s="151"/>
      <c r="AA1409" s="187" t="str">
        <f t="shared" si="43"/>
        <v>No</v>
      </c>
      <c r="AB1409" s="158"/>
      <c r="AC1409" s="159"/>
      <c r="AD1409" s="160"/>
    </row>
    <row r="1410" spans="1:30">
      <c r="A1410" s="155"/>
      <c r="B1410" s="112" t="str">
        <f t="shared" si="42"/>
        <v/>
      </c>
      <c r="C1410" s="183"/>
      <c r="D1410" s="152"/>
      <c r="E1410" s="152"/>
      <c r="F1410" s="151"/>
      <c r="G1410" s="153"/>
      <c r="H1410" s="151"/>
      <c r="I1410" s="151"/>
      <c r="J1410" s="151"/>
      <c r="K1410" s="151"/>
      <c r="L1410" s="151"/>
      <c r="M1410" s="151"/>
      <c r="N1410" s="151"/>
      <c r="O1410" s="151"/>
      <c r="P1410" s="151"/>
      <c r="Q1410" s="151"/>
      <c r="R1410" s="151"/>
      <c r="S1410" s="152"/>
      <c r="T1410" s="151"/>
      <c r="U1410" s="151"/>
      <c r="V1410" s="153"/>
      <c r="W1410" s="151"/>
      <c r="X1410" s="151"/>
      <c r="Y1410" s="153"/>
      <c r="Z1410" s="151"/>
      <c r="AA1410" s="187" t="str">
        <f t="shared" si="43"/>
        <v>No</v>
      </c>
      <c r="AB1410" s="158"/>
      <c r="AC1410" s="159"/>
      <c r="AD1410" s="160"/>
    </row>
    <row r="1411" spans="1:30">
      <c r="A1411" s="155"/>
      <c r="B1411" s="112" t="str">
        <f t="shared" si="42"/>
        <v/>
      </c>
      <c r="C1411" s="183"/>
      <c r="D1411" s="152"/>
      <c r="E1411" s="152"/>
      <c r="F1411" s="151"/>
      <c r="G1411" s="153"/>
      <c r="H1411" s="151"/>
      <c r="I1411" s="151"/>
      <c r="J1411" s="151"/>
      <c r="K1411" s="151"/>
      <c r="L1411" s="151"/>
      <c r="M1411" s="151"/>
      <c r="N1411" s="151"/>
      <c r="O1411" s="151"/>
      <c r="P1411" s="151"/>
      <c r="Q1411" s="151"/>
      <c r="R1411" s="151"/>
      <c r="S1411" s="152"/>
      <c r="T1411" s="151"/>
      <c r="U1411" s="151"/>
      <c r="V1411" s="153"/>
      <c r="W1411" s="151"/>
      <c r="X1411" s="151"/>
      <c r="Y1411" s="153"/>
      <c r="Z1411" s="151"/>
      <c r="AA1411" s="187" t="str">
        <f t="shared" si="43"/>
        <v>No</v>
      </c>
      <c r="AB1411" s="158"/>
      <c r="AC1411" s="159"/>
      <c r="AD1411" s="160"/>
    </row>
    <row r="1412" spans="1:30">
      <c r="A1412" s="155"/>
      <c r="B1412" s="112" t="str">
        <f t="shared" si="42"/>
        <v/>
      </c>
      <c r="C1412" s="183"/>
      <c r="D1412" s="152"/>
      <c r="E1412" s="152"/>
      <c r="F1412" s="151"/>
      <c r="G1412" s="153"/>
      <c r="H1412" s="151"/>
      <c r="I1412" s="151"/>
      <c r="J1412" s="151"/>
      <c r="K1412" s="151"/>
      <c r="L1412" s="151"/>
      <c r="M1412" s="151"/>
      <c r="N1412" s="151"/>
      <c r="O1412" s="151"/>
      <c r="P1412" s="151"/>
      <c r="Q1412" s="151"/>
      <c r="R1412" s="151"/>
      <c r="S1412" s="152"/>
      <c r="T1412" s="151"/>
      <c r="U1412" s="151"/>
      <c r="V1412" s="153"/>
      <c r="W1412" s="151"/>
      <c r="X1412" s="151"/>
      <c r="Y1412" s="153"/>
      <c r="Z1412" s="151"/>
      <c r="AA1412" s="187" t="str">
        <f t="shared" si="43"/>
        <v>No</v>
      </c>
      <c r="AB1412" s="158"/>
      <c r="AC1412" s="159"/>
      <c r="AD1412" s="160"/>
    </row>
    <row r="1413" spans="1:30">
      <c r="A1413" s="155"/>
      <c r="B1413" s="112" t="str">
        <f t="shared" ref="B1413:B1476" si="44">IF(AND(A1413&lt;&gt;"",D1413&lt;&gt;"",J1413&lt;&gt;"",N1413&lt;&gt;""),TEXT(D1413,"YY")&amp;"-"&amp;TEXT(D1413,"MMM")&amp;"-"&amp;UPPER(LEFT(TRIM(N1413),2))&amp;"-"&amp;UPPER(LEFT(TRIM(J1413),3))&amp;"-"&amp;A1413,"")</f>
        <v/>
      </c>
      <c r="C1413" s="183"/>
      <c r="D1413" s="152"/>
      <c r="E1413" s="152"/>
      <c r="F1413" s="151"/>
      <c r="G1413" s="153"/>
      <c r="H1413" s="151"/>
      <c r="I1413" s="151"/>
      <c r="J1413" s="151"/>
      <c r="K1413" s="151"/>
      <c r="L1413" s="151"/>
      <c r="M1413" s="151"/>
      <c r="N1413" s="151"/>
      <c r="O1413" s="151"/>
      <c r="P1413" s="151"/>
      <c r="Q1413" s="151"/>
      <c r="R1413" s="151"/>
      <c r="S1413" s="152"/>
      <c r="T1413" s="151"/>
      <c r="U1413" s="151"/>
      <c r="V1413" s="153"/>
      <c r="W1413" s="151"/>
      <c r="X1413" s="151"/>
      <c r="Y1413" s="153"/>
      <c r="Z1413" s="151"/>
      <c r="AA1413" s="187" t="str">
        <f t="shared" ref="AA1413:AA1476" si="45">IF(E1413="","No","Yes")</f>
        <v>No</v>
      </c>
      <c r="AB1413" s="158"/>
      <c r="AC1413" s="159"/>
      <c r="AD1413" s="160"/>
    </row>
    <row r="1414" spans="1:30">
      <c r="A1414" s="155"/>
      <c r="B1414" s="112" t="str">
        <f t="shared" si="44"/>
        <v/>
      </c>
      <c r="C1414" s="183"/>
      <c r="D1414" s="152"/>
      <c r="E1414" s="152"/>
      <c r="F1414" s="151"/>
      <c r="G1414" s="153"/>
      <c r="H1414" s="151"/>
      <c r="I1414" s="151"/>
      <c r="J1414" s="151"/>
      <c r="K1414" s="151"/>
      <c r="L1414" s="151"/>
      <c r="M1414" s="151"/>
      <c r="N1414" s="151"/>
      <c r="O1414" s="151"/>
      <c r="P1414" s="151"/>
      <c r="Q1414" s="151"/>
      <c r="R1414" s="151"/>
      <c r="S1414" s="152"/>
      <c r="T1414" s="151"/>
      <c r="U1414" s="151"/>
      <c r="V1414" s="153"/>
      <c r="W1414" s="151"/>
      <c r="X1414" s="151"/>
      <c r="Y1414" s="153"/>
      <c r="Z1414" s="151"/>
      <c r="AA1414" s="187" t="str">
        <f t="shared" si="45"/>
        <v>No</v>
      </c>
      <c r="AB1414" s="158"/>
      <c r="AC1414" s="159"/>
      <c r="AD1414" s="160"/>
    </row>
    <row r="1415" spans="1:30">
      <c r="A1415" s="155"/>
      <c r="B1415" s="112" t="str">
        <f t="shared" si="44"/>
        <v/>
      </c>
      <c r="C1415" s="183"/>
      <c r="D1415" s="152"/>
      <c r="E1415" s="152"/>
      <c r="F1415" s="151"/>
      <c r="G1415" s="153"/>
      <c r="H1415" s="151"/>
      <c r="I1415" s="151"/>
      <c r="J1415" s="151"/>
      <c r="K1415" s="151"/>
      <c r="L1415" s="151"/>
      <c r="M1415" s="151"/>
      <c r="N1415" s="151"/>
      <c r="O1415" s="151"/>
      <c r="P1415" s="151"/>
      <c r="Q1415" s="151"/>
      <c r="R1415" s="151"/>
      <c r="S1415" s="152"/>
      <c r="T1415" s="151"/>
      <c r="U1415" s="151"/>
      <c r="V1415" s="153"/>
      <c r="W1415" s="151"/>
      <c r="X1415" s="151"/>
      <c r="Y1415" s="153"/>
      <c r="Z1415" s="151"/>
      <c r="AA1415" s="187" t="str">
        <f t="shared" si="45"/>
        <v>No</v>
      </c>
      <c r="AB1415" s="158"/>
      <c r="AC1415" s="159"/>
      <c r="AD1415" s="160"/>
    </row>
    <row r="1416" spans="1:30">
      <c r="A1416" s="155"/>
      <c r="B1416" s="112" t="str">
        <f t="shared" si="44"/>
        <v/>
      </c>
      <c r="C1416" s="183"/>
      <c r="D1416" s="152"/>
      <c r="E1416" s="152"/>
      <c r="F1416" s="151"/>
      <c r="G1416" s="153"/>
      <c r="H1416" s="151"/>
      <c r="I1416" s="151"/>
      <c r="J1416" s="151"/>
      <c r="K1416" s="151"/>
      <c r="L1416" s="151"/>
      <c r="M1416" s="151"/>
      <c r="N1416" s="151"/>
      <c r="O1416" s="151"/>
      <c r="P1416" s="151"/>
      <c r="Q1416" s="151"/>
      <c r="R1416" s="151"/>
      <c r="S1416" s="152"/>
      <c r="T1416" s="151"/>
      <c r="U1416" s="151"/>
      <c r="V1416" s="153"/>
      <c r="W1416" s="151"/>
      <c r="X1416" s="151"/>
      <c r="Y1416" s="153"/>
      <c r="Z1416" s="151"/>
      <c r="AA1416" s="187" t="str">
        <f t="shared" si="45"/>
        <v>No</v>
      </c>
      <c r="AB1416" s="158"/>
      <c r="AC1416" s="159"/>
      <c r="AD1416" s="160"/>
    </row>
    <row r="1417" spans="1:30">
      <c r="A1417" s="155"/>
      <c r="B1417" s="112" t="str">
        <f t="shared" si="44"/>
        <v/>
      </c>
      <c r="C1417" s="183"/>
      <c r="D1417" s="152"/>
      <c r="E1417" s="152"/>
      <c r="F1417" s="151"/>
      <c r="G1417" s="153"/>
      <c r="H1417" s="151"/>
      <c r="I1417" s="151"/>
      <c r="J1417" s="151"/>
      <c r="K1417" s="151"/>
      <c r="L1417" s="151"/>
      <c r="M1417" s="151"/>
      <c r="N1417" s="151"/>
      <c r="O1417" s="151"/>
      <c r="P1417" s="151"/>
      <c r="Q1417" s="151"/>
      <c r="R1417" s="151"/>
      <c r="S1417" s="152"/>
      <c r="T1417" s="151"/>
      <c r="U1417" s="151"/>
      <c r="V1417" s="153"/>
      <c r="W1417" s="151"/>
      <c r="X1417" s="151"/>
      <c r="Y1417" s="153"/>
      <c r="Z1417" s="151"/>
      <c r="AA1417" s="187" t="str">
        <f t="shared" si="45"/>
        <v>No</v>
      </c>
      <c r="AB1417" s="158"/>
      <c r="AC1417" s="159"/>
      <c r="AD1417" s="160"/>
    </row>
    <row r="1418" spans="1:30">
      <c r="A1418" s="155"/>
      <c r="B1418" s="112" t="str">
        <f t="shared" si="44"/>
        <v/>
      </c>
      <c r="C1418" s="183"/>
      <c r="D1418" s="152"/>
      <c r="E1418" s="152"/>
      <c r="F1418" s="151"/>
      <c r="G1418" s="153"/>
      <c r="H1418" s="151"/>
      <c r="I1418" s="151"/>
      <c r="J1418" s="151"/>
      <c r="K1418" s="151"/>
      <c r="L1418" s="151"/>
      <c r="M1418" s="151"/>
      <c r="N1418" s="151"/>
      <c r="O1418" s="151"/>
      <c r="P1418" s="151"/>
      <c r="Q1418" s="151"/>
      <c r="R1418" s="151"/>
      <c r="S1418" s="152"/>
      <c r="T1418" s="151"/>
      <c r="U1418" s="151"/>
      <c r="V1418" s="153"/>
      <c r="W1418" s="151"/>
      <c r="X1418" s="151"/>
      <c r="Y1418" s="153"/>
      <c r="Z1418" s="151"/>
      <c r="AA1418" s="187" t="str">
        <f t="shared" si="45"/>
        <v>No</v>
      </c>
      <c r="AB1418" s="158"/>
      <c r="AC1418" s="159"/>
      <c r="AD1418" s="160"/>
    </row>
    <row r="1419" spans="1:30">
      <c r="A1419" s="155"/>
      <c r="B1419" s="112" t="str">
        <f t="shared" si="44"/>
        <v/>
      </c>
      <c r="C1419" s="183"/>
      <c r="D1419" s="152"/>
      <c r="E1419" s="152"/>
      <c r="F1419" s="151"/>
      <c r="G1419" s="153"/>
      <c r="H1419" s="151"/>
      <c r="I1419" s="151"/>
      <c r="J1419" s="151"/>
      <c r="K1419" s="151"/>
      <c r="L1419" s="151"/>
      <c r="M1419" s="151"/>
      <c r="N1419" s="151"/>
      <c r="O1419" s="151"/>
      <c r="P1419" s="151"/>
      <c r="Q1419" s="151"/>
      <c r="R1419" s="151"/>
      <c r="S1419" s="152"/>
      <c r="T1419" s="151"/>
      <c r="U1419" s="151"/>
      <c r="V1419" s="153"/>
      <c r="W1419" s="151"/>
      <c r="X1419" s="151"/>
      <c r="Y1419" s="153"/>
      <c r="Z1419" s="151"/>
      <c r="AA1419" s="187" t="str">
        <f t="shared" si="45"/>
        <v>No</v>
      </c>
      <c r="AB1419" s="158"/>
      <c r="AC1419" s="159"/>
      <c r="AD1419" s="160"/>
    </row>
    <row r="1420" spans="1:30">
      <c r="A1420" s="155"/>
      <c r="B1420" s="112" t="str">
        <f t="shared" si="44"/>
        <v/>
      </c>
      <c r="C1420" s="183"/>
      <c r="D1420" s="152"/>
      <c r="E1420" s="152"/>
      <c r="F1420" s="151"/>
      <c r="G1420" s="153"/>
      <c r="H1420" s="151"/>
      <c r="I1420" s="151"/>
      <c r="J1420" s="151"/>
      <c r="K1420" s="151"/>
      <c r="L1420" s="151"/>
      <c r="M1420" s="151"/>
      <c r="N1420" s="151"/>
      <c r="O1420" s="151"/>
      <c r="P1420" s="151"/>
      <c r="Q1420" s="151"/>
      <c r="R1420" s="151"/>
      <c r="S1420" s="152"/>
      <c r="T1420" s="151"/>
      <c r="U1420" s="151"/>
      <c r="V1420" s="153"/>
      <c r="W1420" s="151"/>
      <c r="X1420" s="151"/>
      <c r="Y1420" s="153"/>
      <c r="Z1420" s="151"/>
      <c r="AA1420" s="187" t="str">
        <f t="shared" si="45"/>
        <v>No</v>
      </c>
      <c r="AB1420" s="158"/>
      <c r="AC1420" s="159"/>
      <c r="AD1420" s="160"/>
    </row>
    <row r="1421" spans="1:30">
      <c r="A1421" s="155"/>
      <c r="B1421" s="112" t="str">
        <f t="shared" si="44"/>
        <v/>
      </c>
      <c r="C1421" s="183"/>
      <c r="D1421" s="152"/>
      <c r="E1421" s="152"/>
      <c r="F1421" s="151"/>
      <c r="G1421" s="153"/>
      <c r="H1421" s="151"/>
      <c r="I1421" s="151"/>
      <c r="J1421" s="151"/>
      <c r="K1421" s="151"/>
      <c r="L1421" s="151"/>
      <c r="M1421" s="151"/>
      <c r="N1421" s="151"/>
      <c r="O1421" s="151"/>
      <c r="P1421" s="151"/>
      <c r="Q1421" s="151"/>
      <c r="R1421" s="151"/>
      <c r="S1421" s="152"/>
      <c r="T1421" s="151"/>
      <c r="U1421" s="151"/>
      <c r="V1421" s="153"/>
      <c r="W1421" s="151"/>
      <c r="X1421" s="151"/>
      <c r="Y1421" s="153"/>
      <c r="Z1421" s="151"/>
      <c r="AA1421" s="187" t="str">
        <f t="shared" si="45"/>
        <v>No</v>
      </c>
      <c r="AB1421" s="158"/>
      <c r="AC1421" s="159"/>
      <c r="AD1421" s="160"/>
    </row>
    <row r="1422" spans="1:30">
      <c r="A1422" s="155"/>
      <c r="B1422" s="112" t="str">
        <f t="shared" si="44"/>
        <v/>
      </c>
      <c r="C1422" s="183"/>
      <c r="D1422" s="152"/>
      <c r="E1422" s="152"/>
      <c r="F1422" s="151"/>
      <c r="G1422" s="153"/>
      <c r="H1422" s="151"/>
      <c r="I1422" s="151"/>
      <c r="J1422" s="151"/>
      <c r="K1422" s="151"/>
      <c r="L1422" s="151"/>
      <c r="M1422" s="151"/>
      <c r="N1422" s="151"/>
      <c r="O1422" s="151"/>
      <c r="P1422" s="151"/>
      <c r="Q1422" s="151"/>
      <c r="R1422" s="151"/>
      <c r="S1422" s="152"/>
      <c r="T1422" s="151"/>
      <c r="U1422" s="151"/>
      <c r="V1422" s="153"/>
      <c r="W1422" s="151"/>
      <c r="X1422" s="151"/>
      <c r="Y1422" s="153"/>
      <c r="Z1422" s="151"/>
      <c r="AA1422" s="187" t="str">
        <f t="shared" si="45"/>
        <v>No</v>
      </c>
      <c r="AB1422" s="158"/>
      <c r="AC1422" s="159"/>
      <c r="AD1422" s="160"/>
    </row>
    <row r="1423" spans="1:30">
      <c r="A1423" s="155"/>
      <c r="B1423" s="112" t="str">
        <f t="shared" si="44"/>
        <v/>
      </c>
      <c r="C1423" s="183"/>
      <c r="D1423" s="152"/>
      <c r="E1423" s="152"/>
      <c r="F1423" s="151"/>
      <c r="G1423" s="153"/>
      <c r="H1423" s="151"/>
      <c r="I1423" s="151"/>
      <c r="J1423" s="151"/>
      <c r="K1423" s="151"/>
      <c r="L1423" s="151"/>
      <c r="M1423" s="151"/>
      <c r="N1423" s="151"/>
      <c r="O1423" s="151"/>
      <c r="P1423" s="151"/>
      <c r="Q1423" s="151"/>
      <c r="R1423" s="151"/>
      <c r="S1423" s="152"/>
      <c r="T1423" s="151"/>
      <c r="U1423" s="151"/>
      <c r="V1423" s="153"/>
      <c r="W1423" s="151"/>
      <c r="X1423" s="151"/>
      <c r="Y1423" s="153"/>
      <c r="Z1423" s="151"/>
      <c r="AA1423" s="187" t="str">
        <f t="shared" si="45"/>
        <v>No</v>
      </c>
      <c r="AB1423" s="158"/>
      <c r="AC1423" s="159"/>
      <c r="AD1423" s="160"/>
    </row>
    <row r="1424" spans="1:30">
      <c r="A1424" s="155"/>
      <c r="B1424" s="112" t="str">
        <f t="shared" si="44"/>
        <v/>
      </c>
      <c r="C1424" s="183"/>
      <c r="D1424" s="152"/>
      <c r="E1424" s="152"/>
      <c r="F1424" s="151"/>
      <c r="G1424" s="153"/>
      <c r="H1424" s="151"/>
      <c r="I1424" s="151"/>
      <c r="J1424" s="151"/>
      <c r="K1424" s="151"/>
      <c r="L1424" s="151"/>
      <c r="M1424" s="151"/>
      <c r="N1424" s="151"/>
      <c r="O1424" s="151"/>
      <c r="P1424" s="151"/>
      <c r="Q1424" s="151"/>
      <c r="R1424" s="151"/>
      <c r="S1424" s="152"/>
      <c r="T1424" s="151"/>
      <c r="U1424" s="151"/>
      <c r="V1424" s="153"/>
      <c r="W1424" s="151"/>
      <c r="X1424" s="151"/>
      <c r="Y1424" s="153"/>
      <c r="Z1424" s="151"/>
      <c r="AA1424" s="187" t="str">
        <f t="shared" si="45"/>
        <v>No</v>
      </c>
      <c r="AB1424" s="158"/>
      <c r="AC1424" s="159"/>
      <c r="AD1424" s="160"/>
    </row>
    <row r="1425" spans="1:30">
      <c r="A1425" s="155"/>
      <c r="B1425" s="112" t="str">
        <f t="shared" si="44"/>
        <v/>
      </c>
      <c r="C1425" s="183"/>
      <c r="D1425" s="152"/>
      <c r="E1425" s="152"/>
      <c r="F1425" s="151"/>
      <c r="G1425" s="153"/>
      <c r="H1425" s="151"/>
      <c r="I1425" s="151"/>
      <c r="J1425" s="151"/>
      <c r="K1425" s="151"/>
      <c r="L1425" s="151"/>
      <c r="M1425" s="151"/>
      <c r="N1425" s="151"/>
      <c r="O1425" s="151"/>
      <c r="P1425" s="151"/>
      <c r="Q1425" s="151"/>
      <c r="R1425" s="151"/>
      <c r="S1425" s="152"/>
      <c r="T1425" s="151"/>
      <c r="U1425" s="151"/>
      <c r="V1425" s="153"/>
      <c r="W1425" s="151"/>
      <c r="X1425" s="151"/>
      <c r="Y1425" s="153"/>
      <c r="Z1425" s="151"/>
      <c r="AA1425" s="187" t="str">
        <f t="shared" si="45"/>
        <v>No</v>
      </c>
      <c r="AB1425" s="158"/>
      <c r="AC1425" s="159"/>
      <c r="AD1425" s="160"/>
    </row>
    <row r="1426" spans="1:30">
      <c r="A1426" s="155"/>
      <c r="B1426" s="112" t="str">
        <f t="shared" si="44"/>
        <v/>
      </c>
      <c r="C1426" s="183"/>
      <c r="D1426" s="152"/>
      <c r="E1426" s="152"/>
      <c r="F1426" s="151"/>
      <c r="G1426" s="153"/>
      <c r="H1426" s="151"/>
      <c r="I1426" s="151"/>
      <c r="J1426" s="151"/>
      <c r="K1426" s="151"/>
      <c r="L1426" s="151"/>
      <c r="M1426" s="151"/>
      <c r="N1426" s="151"/>
      <c r="O1426" s="151"/>
      <c r="P1426" s="151"/>
      <c r="Q1426" s="151"/>
      <c r="R1426" s="151"/>
      <c r="S1426" s="152"/>
      <c r="T1426" s="151"/>
      <c r="U1426" s="151"/>
      <c r="V1426" s="153"/>
      <c r="W1426" s="151"/>
      <c r="X1426" s="151"/>
      <c r="Y1426" s="153"/>
      <c r="Z1426" s="151"/>
      <c r="AA1426" s="187" t="str">
        <f t="shared" si="45"/>
        <v>No</v>
      </c>
      <c r="AB1426" s="158"/>
      <c r="AC1426" s="159"/>
      <c r="AD1426" s="160"/>
    </row>
    <row r="1427" spans="1:30">
      <c r="A1427" s="155"/>
      <c r="B1427" s="112" t="str">
        <f t="shared" si="44"/>
        <v/>
      </c>
      <c r="C1427" s="183"/>
      <c r="D1427" s="152"/>
      <c r="E1427" s="152"/>
      <c r="F1427" s="151"/>
      <c r="G1427" s="153"/>
      <c r="H1427" s="151"/>
      <c r="I1427" s="151"/>
      <c r="J1427" s="151"/>
      <c r="K1427" s="151"/>
      <c r="L1427" s="151"/>
      <c r="M1427" s="151"/>
      <c r="N1427" s="151"/>
      <c r="O1427" s="151"/>
      <c r="P1427" s="151"/>
      <c r="Q1427" s="151"/>
      <c r="R1427" s="151"/>
      <c r="S1427" s="152"/>
      <c r="T1427" s="151"/>
      <c r="U1427" s="151"/>
      <c r="V1427" s="153"/>
      <c r="W1427" s="151"/>
      <c r="X1427" s="151"/>
      <c r="Y1427" s="153"/>
      <c r="Z1427" s="151"/>
      <c r="AA1427" s="187" t="str">
        <f t="shared" si="45"/>
        <v>No</v>
      </c>
      <c r="AB1427" s="158"/>
      <c r="AC1427" s="159"/>
      <c r="AD1427" s="160"/>
    </row>
    <row r="1428" spans="1:30">
      <c r="A1428" s="155"/>
      <c r="B1428" s="112" t="str">
        <f t="shared" si="44"/>
        <v/>
      </c>
      <c r="C1428" s="183"/>
      <c r="D1428" s="152"/>
      <c r="E1428" s="152"/>
      <c r="F1428" s="151"/>
      <c r="G1428" s="153"/>
      <c r="H1428" s="151"/>
      <c r="I1428" s="151"/>
      <c r="J1428" s="151"/>
      <c r="K1428" s="151"/>
      <c r="L1428" s="151"/>
      <c r="M1428" s="151"/>
      <c r="N1428" s="151"/>
      <c r="O1428" s="151"/>
      <c r="P1428" s="151"/>
      <c r="Q1428" s="151"/>
      <c r="R1428" s="151"/>
      <c r="S1428" s="152"/>
      <c r="T1428" s="151"/>
      <c r="U1428" s="151"/>
      <c r="V1428" s="153"/>
      <c r="W1428" s="151"/>
      <c r="X1428" s="151"/>
      <c r="Y1428" s="153"/>
      <c r="Z1428" s="151"/>
      <c r="AA1428" s="187" t="str">
        <f t="shared" si="45"/>
        <v>No</v>
      </c>
      <c r="AB1428" s="158"/>
      <c r="AC1428" s="159"/>
      <c r="AD1428" s="160"/>
    </row>
    <row r="1429" spans="1:30">
      <c r="A1429" s="155"/>
      <c r="B1429" s="112" t="str">
        <f t="shared" si="44"/>
        <v/>
      </c>
      <c r="C1429" s="183"/>
      <c r="D1429" s="152"/>
      <c r="E1429" s="152"/>
      <c r="F1429" s="151"/>
      <c r="G1429" s="153"/>
      <c r="H1429" s="151"/>
      <c r="I1429" s="151"/>
      <c r="J1429" s="151"/>
      <c r="K1429" s="151"/>
      <c r="L1429" s="151"/>
      <c r="M1429" s="151"/>
      <c r="N1429" s="151"/>
      <c r="O1429" s="151"/>
      <c r="P1429" s="151"/>
      <c r="Q1429" s="151"/>
      <c r="R1429" s="151"/>
      <c r="S1429" s="152"/>
      <c r="T1429" s="151"/>
      <c r="U1429" s="151"/>
      <c r="V1429" s="153"/>
      <c r="W1429" s="151"/>
      <c r="X1429" s="151"/>
      <c r="Y1429" s="153"/>
      <c r="Z1429" s="151"/>
      <c r="AA1429" s="187" t="str">
        <f t="shared" si="45"/>
        <v>No</v>
      </c>
      <c r="AB1429" s="158"/>
      <c r="AC1429" s="159"/>
      <c r="AD1429" s="160"/>
    </row>
    <row r="1430" spans="1:30">
      <c r="A1430" s="155"/>
      <c r="B1430" s="112" t="str">
        <f t="shared" si="44"/>
        <v/>
      </c>
      <c r="C1430" s="183"/>
      <c r="D1430" s="152"/>
      <c r="E1430" s="152"/>
      <c r="F1430" s="151"/>
      <c r="G1430" s="153"/>
      <c r="H1430" s="151"/>
      <c r="I1430" s="151"/>
      <c r="J1430" s="151"/>
      <c r="K1430" s="151"/>
      <c r="L1430" s="151"/>
      <c r="M1430" s="151"/>
      <c r="N1430" s="151"/>
      <c r="O1430" s="151"/>
      <c r="P1430" s="151"/>
      <c r="Q1430" s="151"/>
      <c r="R1430" s="151"/>
      <c r="S1430" s="152"/>
      <c r="T1430" s="151"/>
      <c r="U1430" s="151"/>
      <c r="V1430" s="153"/>
      <c r="W1430" s="151"/>
      <c r="X1430" s="151"/>
      <c r="Y1430" s="153"/>
      <c r="Z1430" s="151"/>
      <c r="AA1430" s="187" t="str">
        <f t="shared" si="45"/>
        <v>No</v>
      </c>
      <c r="AB1430" s="158"/>
      <c r="AC1430" s="159"/>
      <c r="AD1430" s="160"/>
    </row>
    <row r="1431" spans="1:30">
      <c r="A1431" s="155"/>
      <c r="B1431" s="112" t="str">
        <f t="shared" si="44"/>
        <v/>
      </c>
      <c r="C1431" s="183"/>
      <c r="D1431" s="152"/>
      <c r="E1431" s="152"/>
      <c r="F1431" s="151"/>
      <c r="G1431" s="153"/>
      <c r="H1431" s="151"/>
      <c r="I1431" s="151"/>
      <c r="J1431" s="151"/>
      <c r="K1431" s="151"/>
      <c r="L1431" s="151"/>
      <c r="M1431" s="151"/>
      <c r="N1431" s="151"/>
      <c r="O1431" s="151"/>
      <c r="P1431" s="151"/>
      <c r="Q1431" s="151"/>
      <c r="R1431" s="151"/>
      <c r="S1431" s="152"/>
      <c r="T1431" s="151"/>
      <c r="U1431" s="151"/>
      <c r="V1431" s="153"/>
      <c r="W1431" s="151"/>
      <c r="X1431" s="151"/>
      <c r="Y1431" s="153"/>
      <c r="Z1431" s="151"/>
      <c r="AA1431" s="187" t="str">
        <f t="shared" si="45"/>
        <v>No</v>
      </c>
      <c r="AB1431" s="158"/>
      <c r="AC1431" s="159"/>
      <c r="AD1431" s="160"/>
    </row>
    <row r="1432" spans="1:30">
      <c r="A1432" s="155"/>
      <c r="B1432" s="112" t="str">
        <f t="shared" si="44"/>
        <v/>
      </c>
      <c r="C1432" s="183"/>
      <c r="D1432" s="152"/>
      <c r="E1432" s="152"/>
      <c r="F1432" s="151"/>
      <c r="G1432" s="153"/>
      <c r="H1432" s="151"/>
      <c r="I1432" s="151"/>
      <c r="J1432" s="151"/>
      <c r="K1432" s="151"/>
      <c r="L1432" s="151"/>
      <c r="M1432" s="151"/>
      <c r="N1432" s="151"/>
      <c r="O1432" s="151"/>
      <c r="P1432" s="151"/>
      <c r="Q1432" s="151"/>
      <c r="R1432" s="151"/>
      <c r="S1432" s="152"/>
      <c r="T1432" s="151"/>
      <c r="U1432" s="151"/>
      <c r="V1432" s="153"/>
      <c r="W1432" s="151"/>
      <c r="X1432" s="151"/>
      <c r="Y1432" s="153"/>
      <c r="Z1432" s="151"/>
      <c r="AA1432" s="187" t="str">
        <f t="shared" si="45"/>
        <v>No</v>
      </c>
      <c r="AB1432" s="158"/>
      <c r="AC1432" s="159"/>
      <c r="AD1432" s="160"/>
    </row>
    <row r="1433" spans="1:30">
      <c r="A1433" s="155"/>
      <c r="B1433" s="112" t="str">
        <f t="shared" si="44"/>
        <v/>
      </c>
      <c r="C1433" s="183"/>
      <c r="D1433" s="152"/>
      <c r="E1433" s="152"/>
      <c r="F1433" s="151"/>
      <c r="G1433" s="153"/>
      <c r="H1433" s="151"/>
      <c r="I1433" s="151"/>
      <c r="J1433" s="151"/>
      <c r="K1433" s="151"/>
      <c r="L1433" s="151"/>
      <c r="M1433" s="151"/>
      <c r="N1433" s="151"/>
      <c r="O1433" s="151"/>
      <c r="P1433" s="151"/>
      <c r="Q1433" s="151"/>
      <c r="R1433" s="151"/>
      <c r="S1433" s="152"/>
      <c r="T1433" s="151"/>
      <c r="U1433" s="151"/>
      <c r="V1433" s="153"/>
      <c r="W1433" s="151"/>
      <c r="X1433" s="151"/>
      <c r="Y1433" s="153"/>
      <c r="Z1433" s="151"/>
      <c r="AA1433" s="187" t="str">
        <f t="shared" si="45"/>
        <v>No</v>
      </c>
      <c r="AB1433" s="158"/>
      <c r="AC1433" s="159"/>
      <c r="AD1433" s="160"/>
    </row>
    <row r="1434" spans="1:30">
      <c r="A1434" s="155"/>
      <c r="B1434" s="112" t="str">
        <f t="shared" si="44"/>
        <v/>
      </c>
      <c r="C1434" s="183"/>
      <c r="D1434" s="152"/>
      <c r="E1434" s="152"/>
      <c r="F1434" s="151"/>
      <c r="G1434" s="153"/>
      <c r="H1434" s="151"/>
      <c r="I1434" s="151"/>
      <c r="J1434" s="151"/>
      <c r="K1434" s="151"/>
      <c r="L1434" s="151"/>
      <c r="M1434" s="151"/>
      <c r="N1434" s="151"/>
      <c r="O1434" s="151"/>
      <c r="P1434" s="151"/>
      <c r="Q1434" s="151"/>
      <c r="R1434" s="151"/>
      <c r="S1434" s="152"/>
      <c r="T1434" s="151"/>
      <c r="U1434" s="151"/>
      <c r="V1434" s="153"/>
      <c r="W1434" s="151"/>
      <c r="X1434" s="151"/>
      <c r="Y1434" s="153"/>
      <c r="Z1434" s="151"/>
      <c r="AA1434" s="187" t="str">
        <f t="shared" si="45"/>
        <v>No</v>
      </c>
      <c r="AB1434" s="158"/>
      <c r="AC1434" s="159"/>
      <c r="AD1434" s="160"/>
    </row>
    <row r="1435" spans="1:30">
      <c r="A1435" s="155"/>
      <c r="B1435" s="112" t="str">
        <f t="shared" si="44"/>
        <v/>
      </c>
      <c r="C1435" s="183"/>
      <c r="D1435" s="152"/>
      <c r="E1435" s="152"/>
      <c r="F1435" s="151"/>
      <c r="G1435" s="153"/>
      <c r="H1435" s="151"/>
      <c r="I1435" s="151"/>
      <c r="J1435" s="151"/>
      <c r="K1435" s="151"/>
      <c r="L1435" s="151"/>
      <c r="M1435" s="151"/>
      <c r="N1435" s="151"/>
      <c r="O1435" s="151"/>
      <c r="P1435" s="151"/>
      <c r="Q1435" s="151"/>
      <c r="R1435" s="151"/>
      <c r="S1435" s="152"/>
      <c r="T1435" s="151"/>
      <c r="U1435" s="151"/>
      <c r="V1435" s="153"/>
      <c r="W1435" s="151"/>
      <c r="X1435" s="151"/>
      <c r="Y1435" s="153"/>
      <c r="Z1435" s="151"/>
      <c r="AA1435" s="187" t="str">
        <f t="shared" si="45"/>
        <v>No</v>
      </c>
      <c r="AB1435" s="158"/>
      <c r="AC1435" s="159"/>
      <c r="AD1435" s="160"/>
    </row>
    <row r="1436" spans="1:30">
      <c r="A1436" s="155"/>
      <c r="B1436" s="112" t="str">
        <f t="shared" si="44"/>
        <v/>
      </c>
      <c r="C1436" s="183"/>
      <c r="D1436" s="152"/>
      <c r="E1436" s="152"/>
      <c r="F1436" s="151"/>
      <c r="G1436" s="153"/>
      <c r="H1436" s="151"/>
      <c r="I1436" s="151"/>
      <c r="J1436" s="151"/>
      <c r="K1436" s="151"/>
      <c r="L1436" s="151"/>
      <c r="M1436" s="151"/>
      <c r="N1436" s="151"/>
      <c r="O1436" s="151"/>
      <c r="P1436" s="151"/>
      <c r="Q1436" s="151"/>
      <c r="R1436" s="151"/>
      <c r="S1436" s="152"/>
      <c r="T1436" s="151"/>
      <c r="U1436" s="151"/>
      <c r="V1436" s="153"/>
      <c r="W1436" s="151"/>
      <c r="X1436" s="151"/>
      <c r="Y1436" s="153"/>
      <c r="Z1436" s="151"/>
      <c r="AA1436" s="187" t="str">
        <f t="shared" si="45"/>
        <v>No</v>
      </c>
      <c r="AB1436" s="158"/>
      <c r="AC1436" s="159"/>
      <c r="AD1436" s="160"/>
    </row>
    <row r="1437" spans="1:30">
      <c r="A1437" s="155"/>
      <c r="B1437" s="112" t="str">
        <f t="shared" si="44"/>
        <v/>
      </c>
      <c r="C1437" s="183"/>
      <c r="D1437" s="152"/>
      <c r="E1437" s="152"/>
      <c r="F1437" s="151"/>
      <c r="G1437" s="153"/>
      <c r="H1437" s="151"/>
      <c r="I1437" s="151"/>
      <c r="J1437" s="151"/>
      <c r="K1437" s="151"/>
      <c r="L1437" s="151"/>
      <c r="M1437" s="151"/>
      <c r="N1437" s="151"/>
      <c r="O1437" s="151"/>
      <c r="P1437" s="151"/>
      <c r="Q1437" s="151"/>
      <c r="R1437" s="151"/>
      <c r="S1437" s="152"/>
      <c r="T1437" s="151"/>
      <c r="U1437" s="151"/>
      <c r="V1437" s="153"/>
      <c r="W1437" s="151"/>
      <c r="X1437" s="151"/>
      <c r="Y1437" s="153"/>
      <c r="Z1437" s="151"/>
      <c r="AA1437" s="187" t="str">
        <f t="shared" si="45"/>
        <v>No</v>
      </c>
      <c r="AB1437" s="158"/>
      <c r="AC1437" s="159"/>
      <c r="AD1437" s="160"/>
    </row>
    <row r="1438" spans="1:30">
      <c r="A1438" s="155"/>
      <c r="B1438" s="112" t="str">
        <f t="shared" si="44"/>
        <v/>
      </c>
      <c r="C1438" s="183"/>
      <c r="D1438" s="152"/>
      <c r="E1438" s="152"/>
      <c r="F1438" s="151"/>
      <c r="G1438" s="153"/>
      <c r="H1438" s="151"/>
      <c r="I1438" s="151"/>
      <c r="J1438" s="151"/>
      <c r="K1438" s="151"/>
      <c r="L1438" s="151"/>
      <c r="M1438" s="151"/>
      <c r="N1438" s="151"/>
      <c r="O1438" s="151"/>
      <c r="P1438" s="151"/>
      <c r="Q1438" s="151"/>
      <c r="R1438" s="151"/>
      <c r="S1438" s="152"/>
      <c r="T1438" s="151"/>
      <c r="U1438" s="151"/>
      <c r="V1438" s="153"/>
      <c r="W1438" s="151"/>
      <c r="X1438" s="151"/>
      <c r="Y1438" s="153"/>
      <c r="Z1438" s="151"/>
      <c r="AA1438" s="187" t="str">
        <f t="shared" si="45"/>
        <v>No</v>
      </c>
      <c r="AB1438" s="158"/>
      <c r="AC1438" s="159"/>
      <c r="AD1438" s="160"/>
    </row>
    <row r="1439" spans="1:30">
      <c r="A1439" s="155"/>
      <c r="B1439" s="112" t="str">
        <f t="shared" si="44"/>
        <v/>
      </c>
      <c r="C1439" s="183"/>
      <c r="D1439" s="152"/>
      <c r="E1439" s="152"/>
      <c r="F1439" s="151"/>
      <c r="G1439" s="153"/>
      <c r="H1439" s="151"/>
      <c r="I1439" s="151"/>
      <c r="J1439" s="151"/>
      <c r="K1439" s="151"/>
      <c r="L1439" s="151"/>
      <c r="M1439" s="151"/>
      <c r="N1439" s="151"/>
      <c r="O1439" s="151"/>
      <c r="P1439" s="151"/>
      <c r="Q1439" s="151"/>
      <c r="R1439" s="151"/>
      <c r="S1439" s="152"/>
      <c r="T1439" s="151"/>
      <c r="U1439" s="151"/>
      <c r="V1439" s="153"/>
      <c r="W1439" s="151"/>
      <c r="X1439" s="151"/>
      <c r="Y1439" s="153"/>
      <c r="Z1439" s="151"/>
      <c r="AA1439" s="187" t="str">
        <f t="shared" si="45"/>
        <v>No</v>
      </c>
      <c r="AB1439" s="158"/>
      <c r="AC1439" s="159"/>
      <c r="AD1439" s="160"/>
    </row>
    <row r="1440" spans="1:30">
      <c r="A1440" s="155"/>
      <c r="B1440" s="112" t="str">
        <f t="shared" si="44"/>
        <v/>
      </c>
      <c r="C1440" s="183"/>
      <c r="D1440" s="152"/>
      <c r="E1440" s="152"/>
      <c r="F1440" s="151"/>
      <c r="G1440" s="153"/>
      <c r="H1440" s="151"/>
      <c r="I1440" s="151"/>
      <c r="J1440" s="151"/>
      <c r="K1440" s="151"/>
      <c r="L1440" s="151"/>
      <c r="M1440" s="151"/>
      <c r="N1440" s="151"/>
      <c r="O1440" s="151"/>
      <c r="P1440" s="151"/>
      <c r="Q1440" s="151"/>
      <c r="R1440" s="151"/>
      <c r="S1440" s="152"/>
      <c r="T1440" s="151"/>
      <c r="U1440" s="151"/>
      <c r="V1440" s="153"/>
      <c r="W1440" s="151"/>
      <c r="X1440" s="151"/>
      <c r="Y1440" s="153"/>
      <c r="Z1440" s="151"/>
      <c r="AA1440" s="187" t="str">
        <f t="shared" si="45"/>
        <v>No</v>
      </c>
      <c r="AB1440" s="158"/>
      <c r="AC1440" s="159"/>
      <c r="AD1440" s="160"/>
    </row>
    <row r="1441" spans="1:30">
      <c r="A1441" s="155"/>
      <c r="B1441" s="112" t="str">
        <f t="shared" si="44"/>
        <v/>
      </c>
      <c r="C1441" s="183"/>
      <c r="D1441" s="152"/>
      <c r="E1441" s="152"/>
      <c r="F1441" s="151"/>
      <c r="G1441" s="153"/>
      <c r="H1441" s="151"/>
      <c r="I1441" s="151"/>
      <c r="J1441" s="151"/>
      <c r="K1441" s="151"/>
      <c r="L1441" s="151"/>
      <c r="M1441" s="151"/>
      <c r="N1441" s="151"/>
      <c r="O1441" s="151"/>
      <c r="P1441" s="151"/>
      <c r="Q1441" s="151"/>
      <c r="R1441" s="151"/>
      <c r="S1441" s="152"/>
      <c r="T1441" s="151"/>
      <c r="U1441" s="151"/>
      <c r="V1441" s="153"/>
      <c r="W1441" s="151"/>
      <c r="X1441" s="151"/>
      <c r="Y1441" s="153"/>
      <c r="Z1441" s="151"/>
      <c r="AA1441" s="187" t="str">
        <f t="shared" si="45"/>
        <v>No</v>
      </c>
      <c r="AB1441" s="158"/>
      <c r="AC1441" s="159"/>
      <c r="AD1441" s="160"/>
    </row>
    <row r="1442" spans="1:30">
      <c r="A1442" s="155"/>
      <c r="B1442" s="112" t="str">
        <f t="shared" si="44"/>
        <v/>
      </c>
      <c r="C1442" s="183"/>
      <c r="D1442" s="152"/>
      <c r="E1442" s="152"/>
      <c r="F1442" s="151"/>
      <c r="G1442" s="153"/>
      <c r="H1442" s="151"/>
      <c r="I1442" s="151"/>
      <c r="J1442" s="151"/>
      <c r="K1442" s="151"/>
      <c r="L1442" s="151"/>
      <c r="M1442" s="151"/>
      <c r="N1442" s="151"/>
      <c r="O1442" s="151"/>
      <c r="P1442" s="151"/>
      <c r="Q1442" s="151"/>
      <c r="R1442" s="151"/>
      <c r="S1442" s="152"/>
      <c r="T1442" s="151"/>
      <c r="U1442" s="151"/>
      <c r="V1442" s="153"/>
      <c r="W1442" s="151"/>
      <c r="X1442" s="151"/>
      <c r="Y1442" s="153"/>
      <c r="Z1442" s="151"/>
      <c r="AA1442" s="187" t="str">
        <f t="shared" si="45"/>
        <v>No</v>
      </c>
      <c r="AB1442" s="158"/>
      <c r="AC1442" s="159"/>
      <c r="AD1442" s="160"/>
    </row>
    <row r="1443" spans="1:30">
      <c r="A1443" s="155"/>
      <c r="B1443" s="112" t="str">
        <f t="shared" si="44"/>
        <v/>
      </c>
      <c r="C1443" s="183"/>
      <c r="D1443" s="152"/>
      <c r="E1443" s="152"/>
      <c r="F1443" s="151"/>
      <c r="G1443" s="153"/>
      <c r="H1443" s="151"/>
      <c r="I1443" s="151"/>
      <c r="J1443" s="151"/>
      <c r="K1443" s="151"/>
      <c r="L1443" s="151"/>
      <c r="M1443" s="151"/>
      <c r="N1443" s="151"/>
      <c r="O1443" s="151"/>
      <c r="P1443" s="151"/>
      <c r="Q1443" s="151"/>
      <c r="R1443" s="151"/>
      <c r="S1443" s="152"/>
      <c r="T1443" s="151"/>
      <c r="U1443" s="151"/>
      <c r="V1443" s="153"/>
      <c r="W1443" s="151"/>
      <c r="X1443" s="151"/>
      <c r="Y1443" s="153"/>
      <c r="Z1443" s="151"/>
      <c r="AA1443" s="187" t="str">
        <f t="shared" si="45"/>
        <v>No</v>
      </c>
      <c r="AB1443" s="158"/>
      <c r="AC1443" s="159"/>
      <c r="AD1443" s="160"/>
    </row>
    <row r="1444" spans="1:30">
      <c r="A1444" s="155"/>
      <c r="B1444" s="112" t="str">
        <f t="shared" si="44"/>
        <v/>
      </c>
      <c r="C1444" s="183"/>
      <c r="D1444" s="152"/>
      <c r="E1444" s="152"/>
      <c r="F1444" s="151"/>
      <c r="G1444" s="153"/>
      <c r="H1444" s="151"/>
      <c r="I1444" s="151"/>
      <c r="J1444" s="151"/>
      <c r="K1444" s="151"/>
      <c r="L1444" s="151"/>
      <c r="M1444" s="151"/>
      <c r="N1444" s="151"/>
      <c r="O1444" s="151"/>
      <c r="P1444" s="151"/>
      <c r="Q1444" s="151"/>
      <c r="R1444" s="151"/>
      <c r="S1444" s="152"/>
      <c r="T1444" s="151"/>
      <c r="U1444" s="151"/>
      <c r="V1444" s="153"/>
      <c r="W1444" s="151"/>
      <c r="X1444" s="151"/>
      <c r="Y1444" s="153"/>
      <c r="Z1444" s="151"/>
      <c r="AA1444" s="187" t="str">
        <f t="shared" si="45"/>
        <v>No</v>
      </c>
      <c r="AB1444" s="158"/>
      <c r="AC1444" s="159"/>
      <c r="AD1444" s="160"/>
    </row>
    <row r="1445" spans="1:30">
      <c r="A1445" s="155"/>
      <c r="B1445" s="112" t="str">
        <f t="shared" si="44"/>
        <v/>
      </c>
      <c r="C1445" s="183"/>
      <c r="D1445" s="152"/>
      <c r="E1445" s="152"/>
      <c r="F1445" s="151"/>
      <c r="G1445" s="153"/>
      <c r="H1445" s="151"/>
      <c r="I1445" s="151"/>
      <c r="J1445" s="151"/>
      <c r="K1445" s="151"/>
      <c r="L1445" s="151"/>
      <c r="M1445" s="151"/>
      <c r="N1445" s="151"/>
      <c r="O1445" s="151"/>
      <c r="P1445" s="151"/>
      <c r="Q1445" s="151"/>
      <c r="R1445" s="151"/>
      <c r="S1445" s="152"/>
      <c r="T1445" s="151"/>
      <c r="U1445" s="151"/>
      <c r="V1445" s="153"/>
      <c r="W1445" s="151"/>
      <c r="X1445" s="151"/>
      <c r="Y1445" s="153"/>
      <c r="Z1445" s="151"/>
      <c r="AA1445" s="187" t="str">
        <f t="shared" si="45"/>
        <v>No</v>
      </c>
      <c r="AB1445" s="158"/>
      <c r="AC1445" s="159"/>
      <c r="AD1445" s="160"/>
    </row>
    <row r="1446" spans="1:30">
      <c r="A1446" s="155"/>
      <c r="B1446" s="112" t="str">
        <f t="shared" si="44"/>
        <v/>
      </c>
      <c r="C1446" s="183"/>
      <c r="D1446" s="152"/>
      <c r="E1446" s="152"/>
      <c r="F1446" s="151"/>
      <c r="G1446" s="153"/>
      <c r="H1446" s="151"/>
      <c r="I1446" s="151"/>
      <c r="J1446" s="151"/>
      <c r="K1446" s="151"/>
      <c r="L1446" s="151"/>
      <c r="M1446" s="151"/>
      <c r="N1446" s="151"/>
      <c r="O1446" s="151"/>
      <c r="P1446" s="151"/>
      <c r="Q1446" s="151"/>
      <c r="R1446" s="151"/>
      <c r="S1446" s="152"/>
      <c r="T1446" s="151"/>
      <c r="U1446" s="151"/>
      <c r="V1446" s="153"/>
      <c r="W1446" s="151"/>
      <c r="X1446" s="151"/>
      <c r="Y1446" s="153"/>
      <c r="Z1446" s="151"/>
      <c r="AA1446" s="187" t="str">
        <f t="shared" si="45"/>
        <v>No</v>
      </c>
      <c r="AB1446" s="158"/>
      <c r="AC1446" s="159"/>
      <c r="AD1446" s="160"/>
    </row>
    <row r="1447" spans="1:30">
      <c r="A1447" s="155"/>
      <c r="B1447" s="112" t="str">
        <f t="shared" si="44"/>
        <v/>
      </c>
      <c r="C1447" s="183"/>
      <c r="D1447" s="152"/>
      <c r="E1447" s="152"/>
      <c r="F1447" s="151"/>
      <c r="G1447" s="153"/>
      <c r="H1447" s="151"/>
      <c r="I1447" s="151"/>
      <c r="J1447" s="151"/>
      <c r="K1447" s="151"/>
      <c r="L1447" s="151"/>
      <c r="M1447" s="151"/>
      <c r="N1447" s="151"/>
      <c r="O1447" s="151"/>
      <c r="P1447" s="151"/>
      <c r="Q1447" s="151"/>
      <c r="R1447" s="151"/>
      <c r="S1447" s="152"/>
      <c r="T1447" s="151"/>
      <c r="U1447" s="151"/>
      <c r="V1447" s="153"/>
      <c r="W1447" s="151"/>
      <c r="X1447" s="151"/>
      <c r="Y1447" s="153"/>
      <c r="Z1447" s="151"/>
      <c r="AA1447" s="187" t="str">
        <f t="shared" si="45"/>
        <v>No</v>
      </c>
      <c r="AB1447" s="158"/>
      <c r="AC1447" s="159"/>
      <c r="AD1447" s="160"/>
    </row>
    <row r="1448" spans="1:30">
      <c r="A1448" s="155"/>
      <c r="B1448" s="112" t="str">
        <f t="shared" si="44"/>
        <v/>
      </c>
      <c r="C1448" s="183"/>
      <c r="D1448" s="152"/>
      <c r="E1448" s="152"/>
      <c r="F1448" s="151"/>
      <c r="G1448" s="153"/>
      <c r="H1448" s="151"/>
      <c r="I1448" s="151"/>
      <c r="J1448" s="151"/>
      <c r="K1448" s="151"/>
      <c r="L1448" s="151"/>
      <c r="M1448" s="151"/>
      <c r="N1448" s="151"/>
      <c r="O1448" s="151"/>
      <c r="P1448" s="151"/>
      <c r="Q1448" s="151"/>
      <c r="R1448" s="151"/>
      <c r="S1448" s="152"/>
      <c r="T1448" s="151"/>
      <c r="U1448" s="151"/>
      <c r="V1448" s="153"/>
      <c r="W1448" s="151"/>
      <c r="X1448" s="151"/>
      <c r="Y1448" s="153"/>
      <c r="Z1448" s="151"/>
      <c r="AA1448" s="187" t="str">
        <f t="shared" si="45"/>
        <v>No</v>
      </c>
      <c r="AB1448" s="158"/>
      <c r="AC1448" s="159"/>
      <c r="AD1448" s="160"/>
    </row>
    <row r="1449" spans="1:30">
      <c r="A1449" s="155"/>
      <c r="B1449" s="112" t="str">
        <f t="shared" si="44"/>
        <v/>
      </c>
      <c r="C1449" s="183"/>
      <c r="D1449" s="152"/>
      <c r="E1449" s="152"/>
      <c r="F1449" s="151"/>
      <c r="G1449" s="153"/>
      <c r="H1449" s="151"/>
      <c r="I1449" s="151"/>
      <c r="J1449" s="151"/>
      <c r="K1449" s="151"/>
      <c r="L1449" s="151"/>
      <c r="M1449" s="151"/>
      <c r="N1449" s="151"/>
      <c r="O1449" s="151"/>
      <c r="P1449" s="151"/>
      <c r="Q1449" s="151"/>
      <c r="R1449" s="151"/>
      <c r="S1449" s="152"/>
      <c r="T1449" s="151"/>
      <c r="U1449" s="151"/>
      <c r="V1449" s="153"/>
      <c r="W1449" s="151"/>
      <c r="X1449" s="151"/>
      <c r="Y1449" s="153"/>
      <c r="Z1449" s="151"/>
      <c r="AA1449" s="187" t="str">
        <f t="shared" si="45"/>
        <v>No</v>
      </c>
      <c r="AB1449" s="158"/>
      <c r="AC1449" s="159"/>
      <c r="AD1449" s="160"/>
    </row>
    <row r="1450" spans="1:30">
      <c r="A1450" s="155"/>
      <c r="B1450" s="112" t="str">
        <f t="shared" si="44"/>
        <v/>
      </c>
      <c r="C1450" s="183"/>
      <c r="D1450" s="152"/>
      <c r="E1450" s="152"/>
      <c r="F1450" s="151"/>
      <c r="G1450" s="153"/>
      <c r="H1450" s="151"/>
      <c r="I1450" s="151"/>
      <c r="J1450" s="151"/>
      <c r="K1450" s="151"/>
      <c r="L1450" s="151"/>
      <c r="M1450" s="151"/>
      <c r="N1450" s="151"/>
      <c r="O1450" s="151"/>
      <c r="P1450" s="151"/>
      <c r="Q1450" s="151"/>
      <c r="R1450" s="151"/>
      <c r="S1450" s="152"/>
      <c r="T1450" s="151"/>
      <c r="U1450" s="151"/>
      <c r="V1450" s="153"/>
      <c r="W1450" s="151"/>
      <c r="X1450" s="151"/>
      <c r="Y1450" s="153"/>
      <c r="Z1450" s="151"/>
      <c r="AA1450" s="187" t="str">
        <f t="shared" si="45"/>
        <v>No</v>
      </c>
      <c r="AB1450" s="158"/>
      <c r="AC1450" s="159"/>
      <c r="AD1450" s="160"/>
    </row>
    <row r="1451" spans="1:30">
      <c r="A1451" s="155"/>
      <c r="B1451" s="112" t="str">
        <f t="shared" si="44"/>
        <v/>
      </c>
      <c r="C1451" s="183"/>
      <c r="D1451" s="152"/>
      <c r="E1451" s="152"/>
      <c r="F1451" s="151"/>
      <c r="G1451" s="153"/>
      <c r="H1451" s="151"/>
      <c r="I1451" s="151"/>
      <c r="J1451" s="151"/>
      <c r="K1451" s="151"/>
      <c r="L1451" s="151"/>
      <c r="M1451" s="151"/>
      <c r="N1451" s="151"/>
      <c r="O1451" s="151"/>
      <c r="P1451" s="151"/>
      <c r="Q1451" s="151"/>
      <c r="R1451" s="151"/>
      <c r="S1451" s="152"/>
      <c r="T1451" s="151"/>
      <c r="U1451" s="151"/>
      <c r="V1451" s="153"/>
      <c r="W1451" s="151"/>
      <c r="X1451" s="151"/>
      <c r="Y1451" s="153"/>
      <c r="Z1451" s="151"/>
      <c r="AA1451" s="187" t="str">
        <f t="shared" si="45"/>
        <v>No</v>
      </c>
      <c r="AB1451" s="158"/>
      <c r="AC1451" s="159"/>
      <c r="AD1451" s="160"/>
    </row>
    <row r="1452" spans="1:30">
      <c r="A1452" s="155"/>
      <c r="B1452" s="112" t="str">
        <f t="shared" si="44"/>
        <v/>
      </c>
      <c r="C1452" s="183"/>
      <c r="D1452" s="152"/>
      <c r="E1452" s="152"/>
      <c r="F1452" s="151"/>
      <c r="G1452" s="153"/>
      <c r="H1452" s="151"/>
      <c r="I1452" s="151"/>
      <c r="J1452" s="151"/>
      <c r="K1452" s="151"/>
      <c r="L1452" s="151"/>
      <c r="M1452" s="151"/>
      <c r="N1452" s="151"/>
      <c r="O1452" s="151"/>
      <c r="P1452" s="151"/>
      <c r="Q1452" s="151"/>
      <c r="R1452" s="151"/>
      <c r="S1452" s="152"/>
      <c r="T1452" s="151"/>
      <c r="U1452" s="151"/>
      <c r="V1452" s="153"/>
      <c r="W1452" s="151"/>
      <c r="X1452" s="151"/>
      <c r="Y1452" s="153"/>
      <c r="Z1452" s="151"/>
      <c r="AA1452" s="187" t="str">
        <f t="shared" si="45"/>
        <v>No</v>
      </c>
      <c r="AB1452" s="158"/>
      <c r="AC1452" s="159"/>
      <c r="AD1452" s="160"/>
    </row>
    <row r="1453" spans="1:30">
      <c r="A1453" s="155"/>
      <c r="B1453" s="112" t="str">
        <f t="shared" si="44"/>
        <v/>
      </c>
      <c r="C1453" s="183"/>
      <c r="D1453" s="152"/>
      <c r="E1453" s="152"/>
      <c r="F1453" s="151"/>
      <c r="G1453" s="153"/>
      <c r="H1453" s="151"/>
      <c r="I1453" s="151"/>
      <c r="J1453" s="151"/>
      <c r="K1453" s="151"/>
      <c r="L1453" s="151"/>
      <c r="M1453" s="151"/>
      <c r="N1453" s="151"/>
      <c r="O1453" s="151"/>
      <c r="P1453" s="151"/>
      <c r="Q1453" s="151"/>
      <c r="R1453" s="151"/>
      <c r="S1453" s="152"/>
      <c r="T1453" s="151"/>
      <c r="U1453" s="151"/>
      <c r="V1453" s="153"/>
      <c r="W1453" s="151"/>
      <c r="X1453" s="151"/>
      <c r="Y1453" s="153"/>
      <c r="Z1453" s="151"/>
      <c r="AA1453" s="187" t="str">
        <f t="shared" si="45"/>
        <v>No</v>
      </c>
      <c r="AB1453" s="158"/>
      <c r="AC1453" s="159"/>
      <c r="AD1453" s="160"/>
    </row>
    <row r="1454" spans="1:30">
      <c r="A1454" s="155"/>
      <c r="B1454" s="112" t="str">
        <f t="shared" si="44"/>
        <v/>
      </c>
      <c r="C1454" s="183"/>
      <c r="D1454" s="152"/>
      <c r="E1454" s="152"/>
      <c r="F1454" s="151"/>
      <c r="G1454" s="153"/>
      <c r="H1454" s="151"/>
      <c r="I1454" s="151"/>
      <c r="J1454" s="151"/>
      <c r="K1454" s="151"/>
      <c r="L1454" s="151"/>
      <c r="M1454" s="151"/>
      <c r="N1454" s="151"/>
      <c r="O1454" s="151"/>
      <c r="P1454" s="151"/>
      <c r="Q1454" s="151"/>
      <c r="R1454" s="151"/>
      <c r="S1454" s="152"/>
      <c r="T1454" s="151"/>
      <c r="U1454" s="151"/>
      <c r="V1454" s="153"/>
      <c r="W1454" s="151"/>
      <c r="X1454" s="151"/>
      <c r="Y1454" s="153"/>
      <c r="Z1454" s="151"/>
      <c r="AA1454" s="187" t="str">
        <f t="shared" si="45"/>
        <v>No</v>
      </c>
      <c r="AB1454" s="158"/>
      <c r="AC1454" s="159"/>
      <c r="AD1454" s="160"/>
    </row>
    <row r="1455" spans="1:30">
      <c r="A1455" s="155"/>
      <c r="B1455" s="112" t="str">
        <f t="shared" si="44"/>
        <v/>
      </c>
      <c r="C1455" s="183"/>
      <c r="D1455" s="152"/>
      <c r="E1455" s="152"/>
      <c r="F1455" s="151"/>
      <c r="G1455" s="153"/>
      <c r="H1455" s="151"/>
      <c r="I1455" s="151"/>
      <c r="J1455" s="151"/>
      <c r="K1455" s="151"/>
      <c r="L1455" s="151"/>
      <c r="M1455" s="151"/>
      <c r="N1455" s="151"/>
      <c r="O1455" s="151"/>
      <c r="P1455" s="151"/>
      <c r="Q1455" s="151"/>
      <c r="R1455" s="151"/>
      <c r="S1455" s="152"/>
      <c r="T1455" s="151"/>
      <c r="U1455" s="151"/>
      <c r="V1455" s="153"/>
      <c r="W1455" s="151"/>
      <c r="X1455" s="151"/>
      <c r="Y1455" s="153"/>
      <c r="Z1455" s="151"/>
      <c r="AA1455" s="187" t="str">
        <f t="shared" si="45"/>
        <v>No</v>
      </c>
      <c r="AB1455" s="158"/>
      <c r="AC1455" s="159"/>
      <c r="AD1455" s="160"/>
    </row>
    <row r="1456" spans="1:30">
      <c r="A1456" s="155"/>
      <c r="B1456" s="112" t="str">
        <f t="shared" si="44"/>
        <v/>
      </c>
      <c r="C1456" s="183"/>
      <c r="D1456" s="152"/>
      <c r="E1456" s="152"/>
      <c r="F1456" s="151"/>
      <c r="G1456" s="153"/>
      <c r="H1456" s="151"/>
      <c r="I1456" s="151"/>
      <c r="J1456" s="151"/>
      <c r="K1456" s="151"/>
      <c r="L1456" s="151"/>
      <c r="M1456" s="151"/>
      <c r="N1456" s="151"/>
      <c r="O1456" s="151"/>
      <c r="P1456" s="151"/>
      <c r="Q1456" s="151"/>
      <c r="R1456" s="151"/>
      <c r="S1456" s="152"/>
      <c r="T1456" s="151"/>
      <c r="U1456" s="151"/>
      <c r="V1456" s="153"/>
      <c r="W1456" s="151"/>
      <c r="X1456" s="151"/>
      <c r="Y1456" s="153"/>
      <c r="Z1456" s="151"/>
      <c r="AA1456" s="187" t="str">
        <f t="shared" si="45"/>
        <v>No</v>
      </c>
      <c r="AB1456" s="158"/>
      <c r="AC1456" s="159"/>
      <c r="AD1456" s="160"/>
    </row>
    <row r="1457" spans="1:30">
      <c r="A1457" s="155"/>
      <c r="B1457" s="112" t="str">
        <f t="shared" si="44"/>
        <v/>
      </c>
      <c r="C1457" s="183"/>
      <c r="D1457" s="152"/>
      <c r="E1457" s="152"/>
      <c r="F1457" s="151"/>
      <c r="G1457" s="153"/>
      <c r="H1457" s="151"/>
      <c r="I1457" s="151"/>
      <c r="J1457" s="151"/>
      <c r="K1457" s="151"/>
      <c r="L1457" s="151"/>
      <c r="M1457" s="151"/>
      <c r="N1457" s="151"/>
      <c r="O1457" s="151"/>
      <c r="P1457" s="151"/>
      <c r="Q1457" s="151"/>
      <c r="R1457" s="151"/>
      <c r="S1457" s="152"/>
      <c r="T1457" s="151"/>
      <c r="U1457" s="151"/>
      <c r="V1457" s="153"/>
      <c r="W1457" s="151"/>
      <c r="X1457" s="151"/>
      <c r="Y1457" s="153"/>
      <c r="Z1457" s="151"/>
      <c r="AA1457" s="187" t="str">
        <f t="shared" si="45"/>
        <v>No</v>
      </c>
      <c r="AB1457" s="158"/>
      <c r="AC1457" s="159"/>
      <c r="AD1457" s="160"/>
    </row>
    <row r="1458" spans="1:30">
      <c r="A1458" s="155"/>
      <c r="B1458" s="112" t="str">
        <f t="shared" si="44"/>
        <v/>
      </c>
      <c r="C1458" s="183"/>
      <c r="D1458" s="152"/>
      <c r="E1458" s="152"/>
      <c r="F1458" s="151"/>
      <c r="G1458" s="153"/>
      <c r="H1458" s="151"/>
      <c r="I1458" s="151"/>
      <c r="J1458" s="151"/>
      <c r="K1458" s="151"/>
      <c r="L1458" s="151"/>
      <c r="M1458" s="151"/>
      <c r="N1458" s="151"/>
      <c r="O1458" s="151"/>
      <c r="P1458" s="151"/>
      <c r="Q1458" s="151"/>
      <c r="R1458" s="151"/>
      <c r="S1458" s="152"/>
      <c r="T1458" s="151"/>
      <c r="U1458" s="151"/>
      <c r="V1458" s="153"/>
      <c r="W1458" s="151"/>
      <c r="X1458" s="151"/>
      <c r="Y1458" s="153"/>
      <c r="Z1458" s="151"/>
      <c r="AA1458" s="187" t="str">
        <f t="shared" si="45"/>
        <v>No</v>
      </c>
      <c r="AB1458" s="158"/>
      <c r="AC1458" s="159"/>
      <c r="AD1458" s="160"/>
    </row>
    <row r="1459" spans="1:30">
      <c r="A1459" s="155"/>
      <c r="B1459" s="112" t="str">
        <f t="shared" si="44"/>
        <v/>
      </c>
      <c r="C1459" s="183"/>
      <c r="D1459" s="152"/>
      <c r="E1459" s="152"/>
      <c r="F1459" s="151"/>
      <c r="G1459" s="153"/>
      <c r="H1459" s="151"/>
      <c r="I1459" s="151"/>
      <c r="J1459" s="151"/>
      <c r="K1459" s="151"/>
      <c r="L1459" s="151"/>
      <c r="M1459" s="151"/>
      <c r="N1459" s="151"/>
      <c r="O1459" s="151"/>
      <c r="P1459" s="151"/>
      <c r="Q1459" s="151"/>
      <c r="R1459" s="151"/>
      <c r="S1459" s="152"/>
      <c r="T1459" s="151"/>
      <c r="U1459" s="151"/>
      <c r="V1459" s="153"/>
      <c r="W1459" s="151"/>
      <c r="X1459" s="151"/>
      <c r="Y1459" s="153"/>
      <c r="Z1459" s="151"/>
      <c r="AA1459" s="187" t="str">
        <f t="shared" si="45"/>
        <v>No</v>
      </c>
      <c r="AB1459" s="158"/>
      <c r="AC1459" s="159"/>
      <c r="AD1459" s="160"/>
    </row>
    <row r="1460" spans="1:30">
      <c r="A1460" s="155"/>
      <c r="B1460" s="112" t="str">
        <f t="shared" si="44"/>
        <v/>
      </c>
      <c r="C1460" s="183"/>
      <c r="D1460" s="152"/>
      <c r="E1460" s="152"/>
      <c r="F1460" s="151"/>
      <c r="G1460" s="153"/>
      <c r="H1460" s="151"/>
      <c r="I1460" s="151"/>
      <c r="J1460" s="151"/>
      <c r="K1460" s="151"/>
      <c r="L1460" s="151"/>
      <c r="M1460" s="151"/>
      <c r="N1460" s="151"/>
      <c r="O1460" s="151"/>
      <c r="P1460" s="151"/>
      <c r="Q1460" s="151"/>
      <c r="R1460" s="151"/>
      <c r="S1460" s="152"/>
      <c r="T1460" s="151"/>
      <c r="U1460" s="151"/>
      <c r="V1460" s="153"/>
      <c r="W1460" s="151"/>
      <c r="X1460" s="151"/>
      <c r="Y1460" s="153"/>
      <c r="Z1460" s="151"/>
      <c r="AA1460" s="187" t="str">
        <f t="shared" si="45"/>
        <v>No</v>
      </c>
      <c r="AB1460" s="158"/>
      <c r="AC1460" s="159"/>
      <c r="AD1460" s="160"/>
    </row>
    <row r="1461" spans="1:30">
      <c r="A1461" s="155"/>
      <c r="B1461" s="112" t="str">
        <f t="shared" si="44"/>
        <v/>
      </c>
      <c r="C1461" s="183"/>
      <c r="D1461" s="152"/>
      <c r="E1461" s="152"/>
      <c r="F1461" s="151"/>
      <c r="G1461" s="153"/>
      <c r="H1461" s="151"/>
      <c r="I1461" s="151"/>
      <c r="J1461" s="151"/>
      <c r="K1461" s="151"/>
      <c r="L1461" s="151"/>
      <c r="M1461" s="151"/>
      <c r="N1461" s="151"/>
      <c r="O1461" s="151"/>
      <c r="P1461" s="151"/>
      <c r="Q1461" s="151"/>
      <c r="R1461" s="151"/>
      <c r="S1461" s="152"/>
      <c r="T1461" s="151"/>
      <c r="U1461" s="151"/>
      <c r="V1461" s="153"/>
      <c r="W1461" s="151"/>
      <c r="X1461" s="151"/>
      <c r="Y1461" s="153"/>
      <c r="Z1461" s="151"/>
      <c r="AA1461" s="187" t="str">
        <f t="shared" si="45"/>
        <v>No</v>
      </c>
      <c r="AB1461" s="158"/>
      <c r="AC1461" s="159"/>
      <c r="AD1461" s="160"/>
    </row>
    <row r="1462" spans="1:30">
      <c r="A1462" s="155"/>
      <c r="B1462" s="112" t="str">
        <f t="shared" si="44"/>
        <v/>
      </c>
      <c r="C1462" s="183"/>
      <c r="D1462" s="152"/>
      <c r="E1462" s="152"/>
      <c r="F1462" s="151"/>
      <c r="G1462" s="153"/>
      <c r="H1462" s="151"/>
      <c r="I1462" s="151"/>
      <c r="J1462" s="151"/>
      <c r="K1462" s="151"/>
      <c r="L1462" s="151"/>
      <c r="M1462" s="151"/>
      <c r="N1462" s="151"/>
      <c r="O1462" s="151"/>
      <c r="P1462" s="151"/>
      <c r="Q1462" s="151"/>
      <c r="R1462" s="151"/>
      <c r="S1462" s="152"/>
      <c r="T1462" s="151"/>
      <c r="U1462" s="151"/>
      <c r="V1462" s="153"/>
      <c r="W1462" s="151"/>
      <c r="X1462" s="151"/>
      <c r="Y1462" s="153"/>
      <c r="Z1462" s="151"/>
      <c r="AA1462" s="187" t="str">
        <f t="shared" si="45"/>
        <v>No</v>
      </c>
      <c r="AB1462" s="158"/>
      <c r="AC1462" s="159"/>
      <c r="AD1462" s="160"/>
    </row>
    <row r="1463" spans="1:30">
      <c r="A1463" s="155"/>
      <c r="B1463" s="112" t="str">
        <f t="shared" si="44"/>
        <v/>
      </c>
      <c r="C1463" s="183"/>
      <c r="D1463" s="152"/>
      <c r="E1463" s="152"/>
      <c r="F1463" s="151"/>
      <c r="G1463" s="153"/>
      <c r="H1463" s="151"/>
      <c r="I1463" s="151"/>
      <c r="J1463" s="151"/>
      <c r="K1463" s="151"/>
      <c r="L1463" s="151"/>
      <c r="M1463" s="151"/>
      <c r="N1463" s="151"/>
      <c r="O1463" s="151"/>
      <c r="P1463" s="151"/>
      <c r="Q1463" s="151"/>
      <c r="R1463" s="151"/>
      <c r="S1463" s="152"/>
      <c r="T1463" s="151"/>
      <c r="U1463" s="151"/>
      <c r="V1463" s="153"/>
      <c r="W1463" s="151"/>
      <c r="X1463" s="151"/>
      <c r="Y1463" s="153"/>
      <c r="Z1463" s="151"/>
      <c r="AA1463" s="187" t="str">
        <f t="shared" si="45"/>
        <v>No</v>
      </c>
      <c r="AB1463" s="158"/>
      <c r="AC1463" s="159"/>
      <c r="AD1463" s="160"/>
    </row>
    <row r="1464" spans="1:30">
      <c r="A1464" s="155"/>
      <c r="B1464" s="112" t="str">
        <f t="shared" si="44"/>
        <v/>
      </c>
      <c r="C1464" s="183"/>
      <c r="D1464" s="152"/>
      <c r="E1464" s="152"/>
      <c r="F1464" s="151"/>
      <c r="G1464" s="153"/>
      <c r="H1464" s="151"/>
      <c r="I1464" s="151"/>
      <c r="J1464" s="151"/>
      <c r="K1464" s="151"/>
      <c r="L1464" s="151"/>
      <c r="M1464" s="151"/>
      <c r="N1464" s="151"/>
      <c r="O1464" s="151"/>
      <c r="P1464" s="151"/>
      <c r="Q1464" s="151"/>
      <c r="R1464" s="151"/>
      <c r="S1464" s="152"/>
      <c r="T1464" s="151"/>
      <c r="U1464" s="151"/>
      <c r="V1464" s="153"/>
      <c r="W1464" s="151"/>
      <c r="X1464" s="151"/>
      <c r="Y1464" s="153"/>
      <c r="Z1464" s="151"/>
      <c r="AA1464" s="187" t="str">
        <f t="shared" si="45"/>
        <v>No</v>
      </c>
      <c r="AB1464" s="158"/>
      <c r="AC1464" s="159"/>
      <c r="AD1464" s="160"/>
    </row>
    <row r="1465" spans="1:30">
      <c r="A1465" s="155"/>
      <c r="B1465" s="112" t="str">
        <f t="shared" si="44"/>
        <v/>
      </c>
      <c r="C1465" s="183"/>
      <c r="D1465" s="152"/>
      <c r="E1465" s="152"/>
      <c r="F1465" s="151"/>
      <c r="G1465" s="153"/>
      <c r="H1465" s="151"/>
      <c r="I1465" s="151"/>
      <c r="J1465" s="151"/>
      <c r="K1465" s="151"/>
      <c r="L1465" s="151"/>
      <c r="M1465" s="151"/>
      <c r="N1465" s="151"/>
      <c r="O1465" s="151"/>
      <c r="P1465" s="151"/>
      <c r="Q1465" s="151"/>
      <c r="R1465" s="151"/>
      <c r="S1465" s="152"/>
      <c r="T1465" s="151"/>
      <c r="U1465" s="151"/>
      <c r="V1465" s="153"/>
      <c r="W1465" s="151"/>
      <c r="X1465" s="151"/>
      <c r="Y1465" s="153"/>
      <c r="Z1465" s="151"/>
      <c r="AA1465" s="187" t="str">
        <f t="shared" si="45"/>
        <v>No</v>
      </c>
      <c r="AB1465" s="158"/>
      <c r="AC1465" s="159"/>
      <c r="AD1465" s="160"/>
    </row>
    <row r="1466" spans="1:30">
      <c r="A1466" s="155"/>
      <c r="B1466" s="112" t="str">
        <f t="shared" si="44"/>
        <v/>
      </c>
      <c r="C1466" s="183"/>
      <c r="D1466" s="152"/>
      <c r="E1466" s="152"/>
      <c r="F1466" s="151"/>
      <c r="G1466" s="153"/>
      <c r="H1466" s="151"/>
      <c r="I1466" s="151"/>
      <c r="J1466" s="151"/>
      <c r="K1466" s="151"/>
      <c r="L1466" s="151"/>
      <c r="M1466" s="151"/>
      <c r="N1466" s="151"/>
      <c r="O1466" s="151"/>
      <c r="P1466" s="151"/>
      <c r="Q1466" s="151"/>
      <c r="R1466" s="151"/>
      <c r="S1466" s="152"/>
      <c r="T1466" s="151"/>
      <c r="U1466" s="151"/>
      <c r="V1466" s="153"/>
      <c r="W1466" s="151"/>
      <c r="X1466" s="151"/>
      <c r="Y1466" s="153"/>
      <c r="Z1466" s="151"/>
      <c r="AA1466" s="187" t="str">
        <f t="shared" si="45"/>
        <v>No</v>
      </c>
      <c r="AB1466" s="158"/>
      <c r="AC1466" s="159"/>
      <c r="AD1466" s="160"/>
    </row>
    <row r="1467" spans="1:30">
      <c r="A1467" s="155"/>
      <c r="B1467" s="112" t="str">
        <f t="shared" si="44"/>
        <v/>
      </c>
      <c r="C1467" s="183"/>
      <c r="D1467" s="152"/>
      <c r="E1467" s="152"/>
      <c r="F1467" s="151"/>
      <c r="G1467" s="153"/>
      <c r="H1467" s="151"/>
      <c r="I1467" s="151"/>
      <c r="J1467" s="151"/>
      <c r="K1467" s="151"/>
      <c r="L1467" s="151"/>
      <c r="M1467" s="151"/>
      <c r="N1467" s="151"/>
      <c r="O1467" s="151"/>
      <c r="P1467" s="151"/>
      <c r="Q1467" s="151"/>
      <c r="R1467" s="151"/>
      <c r="S1467" s="152"/>
      <c r="T1467" s="151"/>
      <c r="U1467" s="151"/>
      <c r="V1467" s="153"/>
      <c r="W1467" s="151"/>
      <c r="X1467" s="151"/>
      <c r="Y1467" s="153"/>
      <c r="Z1467" s="151"/>
      <c r="AA1467" s="187" t="str">
        <f t="shared" si="45"/>
        <v>No</v>
      </c>
      <c r="AB1467" s="158"/>
      <c r="AC1467" s="159"/>
      <c r="AD1467" s="160"/>
    </row>
    <row r="1468" spans="1:30">
      <c r="A1468" s="155"/>
      <c r="B1468" s="112" t="str">
        <f t="shared" si="44"/>
        <v/>
      </c>
      <c r="C1468" s="183"/>
      <c r="D1468" s="152"/>
      <c r="E1468" s="152"/>
      <c r="F1468" s="151"/>
      <c r="G1468" s="153"/>
      <c r="H1468" s="151"/>
      <c r="I1468" s="151"/>
      <c r="J1468" s="151"/>
      <c r="K1468" s="151"/>
      <c r="L1468" s="151"/>
      <c r="M1468" s="151"/>
      <c r="N1468" s="151"/>
      <c r="O1468" s="151"/>
      <c r="P1468" s="151"/>
      <c r="Q1468" s="151"/>
      <c r="R1468" s="151"/>
      <c r="S1468" s="152"/>
      <c r="T1468" s="151"/>
      <c r="U1468" s="151"/>
      <c r="V1468" s="153"/>
      <c r="W1468" s="151"/>
      <c r="X1468" s="151"/>
      <c r="Y1468" s="153"/>
      <c r="Z1468" s="151"/>
      <c r="AA1468" s="187" t="str">
        <f t="shared" si="45"/>
        <v>No</v>
      </c>
      <c r="AB1468" s="158"/>
      <c r="AC1468" s="159"/>
      <c r="AD1468" s="160"/>
    </row>
    <row r="1469" spans="1:30">
      <c r="A1469" s="155"/>
      <c r="B1469" s="112" t="str">
        <f t="shared" si="44"/>
        <v/>
      </c>
      <c r="C1469" s="183"/>
      <c r="D1469" s="152"/>
      <c r="E1469" s="152"/>
      <c r="F1469" s="151"/>
      <c r="G1469" s="153"/>
      <c r="H1469" s="151"/>
      <c r="I1469" s="151"/>
      <c r="J1469" s="151"/>
      <c r="K1469" s="151"/>
      <c r="L1469" s="151"/>
      <c r="M1469" s="151"/>
      <c r="N1469" s="151"/>
      <c r="O1469" s="151"/>
      <c r="P1469" s="151"/>
      <c r="Q1469" s="151"/>
      <c r="R1469" s="151"/>
      <c r="S1469" s="152"/>
      <c r="T1469" s="151"/>
      <c r="U1469" s="151"/>
      <c r="V1469" s="153"/>
      <c r="W1469" s="151"/>
      <c r="X1469" s="151"/>
      <c r="Y1469" s="153"/>
      <c r="Z1469" s="151"/>
      <c r="AA1469" s="187" t="str">
        <f t="shared" si="45"/>
        <v>No</v>
      </c>
      <c r="AB1469" s="158"/>
      <c r="AC1469" s="159"/>
      <c r="AD1469" s="160"/>
    </row>
    <row r="1470" spans="1:30">
      <c r="A1470" s="155"/>
      <c r="B1470" s="112" t="str">
        <f t="shared" si="44"/>
        <v/>
      </c>
      <c r="C1470" s="183"/>
      <c r="D1470" s="152"/>
      <c r="E1470" s="152"/>
      <c r="F1470" s="151"/>
      <c r="G1470" s="153"/>
      <c r="H1470" s="151"/>
      <c r="I1470" s="151"/>
      <c r="J1470" s="151"/>
      <c r="K1470" s="151"/>
      <c r="L1470" s="151"/>
      <c r="M1470" s="151"/>
      <c r="N1470" s="151"/>
      <c r="O1470" s="151"/>
      <c r="P1470" s="151"/>
      <c r="Q1470" s="151"/>
      <c r="R1470" s="151"/>
      <c r="S1470" s="152"/>
      <c r="T1470" s="151"/>
      <c r="U1470" s="151"/>
      <c r="V1470" s="153"/>
      <c r="W1470" s="151"/>
      <c r="X1470" s="151"/>
      <c r="Y1470" s="153"/>
      <c r="Z1470" s="151"/>
      <c r="AA1470" s="187" t="str">
        <f t="shared" si="45"/>
        <v>No</v>
      </c>
      <c r="AB1470" s="158"/>
      <c r="AC1470" s="159"/>
      <c r="AD1470" s="160"/>
    </row>
    <row r="1471" spans="1:30">
      <c r="A1471" s="155"/>
      <c r="B1471" s="112" t="str">
        <f t="shared" si="44"/>
        <v/>
      </c>
      <c r="C1471" s="183"/>
      <c r="D1471" s="152"/>
      <c r="E1471" s="152"/>
      <c r="F1471" s="151"/>
      <c r="G1471" s="153"/>
      <c r="H1471" s="151"/>
      <c r="I1471" s="151"/>
      <c r="J1471" s="151"/>
      <c r="K1471" s="151"/>
      <c r="L1471" s="151"/>
      <c r="M1471" s="151"/>
      <c r="N1471" s="151"/>
      <c r="O1471" s="151"/>
      <c r="P1471" s="151"/>
      <c r="Q1471" s="151"/>
      <c r="R1471" s="151"/>
      <c r="S1471" s="152"/>
      <c r="T1471" s="151"/>
      <c r="U1471" s="151"/>
      <c r="V1471" s="153"/>
      <c r="W1471" s="151"/>
      <c r="X1471" s="151"/>
      <c r="Y1471" s="153"/>
      <c r="Z1471" s="151"/>
      <c r="AA1471" s="187" t="str">
        <f t="shared" si="45"/>
        <v>No</v>
      </c>
      <c r="AB1471" s="158"/>
      <c r="AC1471" s="159"/>
      <c r="AD1471" s="160"/>
    </row>
    <row r="1472" spans="1:30">
      <c r="A1472" s="155"/>
      <c r="B1472" s="112" t="str">
        <f t="shared" si="44"/>
        <v/>
      </c>
      <c r="C1472" s="183"/>
      <c r="D1472" s="152"/>
      <c r="E1472" s="152"/>
      <c r="F1472" s="151"/>
      <c r="G1472" s="153"/>
      <c r="H1472" s="151"/>
      <c r="I1472" s="151"/>
      <c r="J1472" s="151"/>
      <c r="K1472" s="151"/>
      <c r="L1472" s="151"/>
      <c r="M1472" s="151"/>
      <c r="N1472" s="151"/>
      <c r="O1472" s="151"/>
      <c r="P1472" s="151"/>
      <c r="Q1472" s="151"/>
      <c r="R1472" s="151"/>
      <c r="S1472" s="152"/>
      <c r="T1472" s="151"/>
      <c r="U1472" s="151"/>
      <c r="V1472" s="153"/>
      <c r="W1472" s="151"/>
      <c r="X1472" s="151"/>
      <c r="Y1472" s="153"/>
      <c r="Z1472" s="151"/>
      <c r="AA1472" s="187" t="str">
        <f t="shared" si="45"/>
        <v>No</v>
      </c>
      <c r="AB1472" s="158"/>
      <c r="AC1472" s="159"/>
      <c r="AD1472" s="160"/>
    </row>
    <row r="1473" spans="1:30">
      <c r="A1473" s="155"/>
      <c r="B1473" s="112" t="str">
        <f t="shared" si="44"/>
        <v/>
      </c>
      <c r="C1473" s="183"/>
      <c r="D1473" s="152"/>
      <c r="E1473" s="152"/>
      <c r="F1473" s="151"/>
      <c r="G1473" s="153"/>
      <c r="H1473" s="151"/>
      <c r="I1473" s="151"/>
      <c r="J1473" s="151"/>
      <c r="K1473" s="151"/>
      <c r="L1473" s="151"/>
      <c r="M1473" s="151"/>
      <c r="N1473" s="151"/>
      <c r="O1473" s="151"/>
      <c r="P1473" s="151"/>
      <c r="Q1473" s="151"/>
      <c r="R1473" s="151"/>
      <c r="S1473" s="152"/>
      <c r="T1473" s="151"/>
      <c r="U1473" s="151"/>
      <c r="V1473" s="153"/>
      <c r="W1473" s="151"/>
      <c r="X1473" s="151"/>
      <c r="Y1473" s="153"/>
      <c r="Z1473" s="151"/>
      <c r="AA1473" s="187" t="str">
        <f t="shared" si="45"/>
        <v>No</v>
      </c>
      <c r="AB1473" s="158"/>
      <c r="AC1473" s="159"/>
      <c r="AD1473" s="160"/>
    </row>
    <row r="1474" spans="1:30">
      <c r="A1474" s="155"/>
      <c r="B1474" s="112" t="str">
        <f t="shared" si="44"/>
        <v/>
      </c>
      <c r="C1474" s="183"/>
      <c r="D1474" s="152"/>
      <c r="E1474" s="152"/>
      <c r="F1474" s="151"/>
      <c r="G1474" s="153"/>
      <c r="H1474" s="151"/>
      <c r="I1474" s="151"/>
      <c r="J1474" s="151"/>
      <c r="K1474" s="151"/>
      <c r="L1474" s="151"/>
      <c r="M1474" s="151"/>
      <c r="N1474" s="151"/>
      <c r="O1474" s="151"/>
      <c r="P1474" s="151"/>
      <c r="Q1474" s="151"/>
      <c r="R1474" s="151"/>
      <c r="S1474" s="152"/>
      <c r="T1474" s="151"/>
      <c r="U1474" s="151"/>
      <c r="V1474" s="153"/>
      <c r="W1474" s="151"/>
      <c r="X1474" s="151"/>
      <c r="Y1474" s="153"/>
      <c r="Z1474" s="151"/>
      <c r="AA1474" s="187" t="str">
        <f t="shared" si="45"/>
        <v>No</v>
      </c>
      <c r="AB1474" s="158"/>
      <c r="AC1474" s="159"/>
      <c r="AD1474" s="160"/>
    </row>
    <row r="1475" spans="1:30">
      <c r="A1475" s="155"/>
      <c r="B1475" s="112" t="str">
        <f t="shared" si="44"/>
        <v/>
      </c>
      <c r="C1475" s="183"/>
      <c r="D1475" s="152"/>
      <c r="E1475" s="152"/>
      <c r="F1475" s="151"/>
      <c r="G1475" s="153"/>
      <c r="H1475" s="151"/>
      <c r="I1475" s="151"/>
      <c r="J1475" s="151"/>
      <c r="K1475" s="151"/>
      <c r="L1475" s="151"/>
      <c r="M1475" s="151"/>
      <c r="N1475" s="151"/>
      <c r="O1475" s="151"/>
      <c r="P1475" s="151"/>
      <c r="Q1475" s="151"/>
      <c r="R1475" s="151"/>
      <c r="S1475" s="152"/>
      <c r="T1475" s="151"/>
      <c r="U1475" s="151"/>
      <c r="V1475" s="153"/>
      <c r="W1475" s="151"/>
      <c r="X1475" s="151"/>
      <c r="Y1475" s="153"/>
      <c r="Z1475" s="151"/>
      <c r="AA1475" s="187" t="str">
        <f t="shared" si="45"/>
        <v>No</v>
      </c>
      <c r="AB1475" s="158"/>
      <c r="AC1475" s="159"/>
      <c r="AD1475" s="160"/>
    </row>
    <row r="1476" spans="1:30">
      <c r="A1476" s="155"/>
      <c r="B1476" s="112" t="str">
        <f t="shared" si="44"/>
        <v/>
      </c>
      <c r="C1476" s="183"/>
      <c r="D1476" s="152"/>
      <c r="E1476" s="152"/>
      <c r="F1476" s="151"/>
      <c r="G1476" s="153"/>
      <c r="H1476" s="151"/>
      <c r="I1476" s="151"/>
      <c r="J1476" s="151"/>
      <c r="K1476" s="151"/>
      <c r="L1476" s="151"/>
      <c r="M1476" s="151"/>
      <c r="N1476" s="151"/>
      <c r="O1476" s="151"/>
      <c r="P1476" s="151"/>
      <c r="Q1476" s="151"/>
      <c r="R1476" s="151"/>
      <c r="S1476" s="152"/>
      <c r="T1476" s="151"/>
      <c r="U1476" s="151"/>
      <c r="V1476" s="153"/>
      <c r="W1476" s="151"/>
      <c r="X1476" s="151"/>
      <c r="Y1476" s="153"/>
      <c r="Z1476" s="151"/>
      <c r="AA1476" s="187" t="str">
        <f t="shared" si="45"/>
        <v>No</v>
      </c>
      <c r="AB1476" s="158"/>
      <c r="AC1476" s="159"/>
      <c r="AD1476" s="160"/>
    </row>
    <row r="1477" spans="1:30">
      <c r="A1477" s="155"/>
      <c r="B1477" s="112" t="str">
        <f t="shared" ref="B1477:B1540" si="46">IF(AND(A1477&lt;&gt;"",D1477&lt;&gt;"",J1477&lt;&gt;"",N1477&lt;&gt;""),TEXT(D1477,"YY")&amp;"-"&amp;TEXT(D1477,"MMM")&amp;"-"&amp;UPPER(LEFT(TRIM(N1477),2))&amp;"-"&amp;UPPER(LEFT(TRIM(J1477),3))&amp;"-"&amp;A1477,"")</f>
        <v/>
      </c>
      <c r="C1477" s="183"/>
      <c r="D1477" s="152"/>
      <c r="E1477" s="152"/>
      <c r="F1477" s="151"/>
      <c r="G1477" s="153"/>
      <c r="H1477" s="151"/>
      <c r="I1477" s="151"/>
      <c r="J1477" s="151"/>
      <c r="K1477" s="151"/>
      <c r="L1477" s="151"/>
      <c r="M1477" s="151"/>
      <c r="N1477" s="151"/>
      <c r="O1477" s="151"/>
      <c r="P1477" s="151"/>
      <c r="Q1477" s="151"/>
      <c r="R1477" s="151"/>
      <c r="S1477" s="152"/>
      <c r="T1477" s="151"/>
      <c r="U1477" s="151"/>
      <c r="V1477" s="153"/>
      <c r="W1477" s="151"/>
      <c r="X1477" s="151"/>
      <c r="Y1477" s="153"/>
      <c r="Z1477" s="151"/>
      <c r="AA1477" s="187" t="str">
        <f t="shared" ref="AA1477:AA1540" si="47">IF(E1477="","No","Yes")</f>
        <v>No</v>
      </c>
      <c r="AB1477" s="158"/>
      <c r="AC1477" s="159"/>
      <c r="AD1477" s="160"/>
    </row>
    <row r="1478" spans="1:30">
      <c r="A1478" s="155"/>
      <c r="B1478" s="112" t="str">
        <f t="shared" si="46"/>
        <v/>
      </c>
      <c r="C1478" s="183"/>
      <c r="D1478" s="152"/>
      <c r="E1478" s="152"/>
      <c r="F1478" s="151"/>
      <c r="G1478" s="153"/>
      <c r="H1478" s="151"/>
      <c r="I1478" s="151"/>
      <c r="J1478" s="151"/>
      <c r="K1478" s="151"/>
      <c r="L1478" s="151"/>
      <c r="M1478" s="151"/>
      <c r="N1478" s="151"/>
      <c r="O1478" s="151"/>
      <c r="P1478" s="151"/>
      <c r="Q1478" s="151"/>
      <c r="R1478" s="151"/>
      <c r="S1478" s="152"/>
      <c r="T1478" s="151"/>
      <c r="U1478" s="151"/>
      <c r="V1478" s="153"/>
      <c r="W1478" s="151"/>
      <c r="X1478" s="151"/>
      <c r="Y1478" s="153"/>
      <c r="Z1478" s="151"/>
      <c r="AA1478" s="187" t="str">
        <f t="shared" si="47"/>
        <v>No</v>
      </c>
      <c r="AB1478" s="158"/>
      <c r="AC1478" s="159"/>
      <c r="AD1478" s="160"/>
    </row>
    <row r="1479" spans="1:30">
      <c r="A1479" s="155"/>
      <c r="B1479" s="112" t="str">
        <f t="shared" si="46"/>
        <v/>
      </c>
      <c r="C1479" s="183"/>
      <c r="D1479" s="152"/>
      <c r="E1479" s="152"/>
      <c r="F1479" s="151"/>
      <c r="G1479" s="153"/>
      <c r="H1479" s="151"/>
      <c r="I1479" s="151"/>
      <c r="J1479" s="151"/>
      <c r="K1479" s="151"/>
      <c r="L1479" s="151"/>
      <c r="M1479" s="151"/>
      <c r="N1479" s="151"/>
      <c r="O1479" s="151"/>
      <c r="P1479" s="151"/>
      <c r="Q1479" s="151"/>
      <c r="R1479" s="151"/>
      <c r="S1479" s="152"/>
      <c r="T1479" s="151"/>
      <c r="U1479" s="151"/>
      <c r="V1479" s="153"/>
      <c r="W1479" s="151"/>
      <c r="X1479" s="151"/>
      <c r="Y1479" s="153"/>
      <c r="Z1479" s="151"/>
      <c r="AA1479" s="187" t="str">
        <f t="shared" si="47"/>
        <v>No</v>
      </c>
      <c r="AB1479" s="158"/>
      <c r="AC1479" s="159"/>
      <c r="AD1479" s="160"/>
    </row>
    <row r="1480" spans="1:30">
      <c r="A1480" s="155"/>
      <c r="B1480" s="112" t="str">
        <f t="shared" si="46"/>
        <v/>
      </c>
      <c r="C1480" s="183"/>
      <c r="D1480" s="152"/>
      <c r="E1480" s="152"/>
      <c r="F1480" s="151"/>
      <c r="G1480" s="153"/>
      <c r="H1480" s="151"/>
      <c r="I1480" s="151"/>
      <c r="J1480" s="151"/>
      <c r="K1480" s="151"/>
      <c r="L1480" s="151"/>
      <c r="M1480" s="151"/>
      <c r="N1480" s="151"/>
      <c r="O1480" s="151"/>
      <c r="P1480" s="151"/>
      <c r="Q1480" s="151"/>
      <c r="R1480" s="151"/>
      <c r="S1480" s="152"/>
      <c r="T1480" s="151"/>
      <c r="U1480" s="151"/>
      <c r="V1480" s="153"/>
      <c r="W1480" s="151"/>
      <c r="X1480" s="151"/>
      <c r="Y1480" s="153"/>
      <c r="Z1480" s="151"/>
      <c r="AA1480" s="187" t="str">
        <f t="shared" si="47"/>
        <v>No</v>
      </c>
      <c r="AB1480" s="158"/>
      <c r="AC1480" s="159"/>
      <c r="AD1480" s="160"/>
    </row>
    <row r="1481" spans="1:30">
      <c r="A1481" s="155"/>
      <c r="B1481" s="112" t="str">
        <f t="shared" si="46"/>
        <v/>
      </c>
      <c r="C1481" s="183"/>
      <c r="D1481" s="152"/>
      <c r="E1481" s="152"/>
      <c r="F1481" s="151"/>
      <c r="G1481" s="153"/>
      <c r="H1481" s="151"/>
      <c r="I1481" s="151"/>
      <c r="J1481" s="151"/>
      <c r="K1481" s="151"/>
      <c r="L1481" s="151"/>
      <c r="M1481" s="151"/>
      <c r="N1481" s="151"/>
      <c r="O1481" s="151"/>
      <c r="P1481" s="151"/>
      <c r="Q1481" s="151"/>
      <c r="R1481" s="151"/>
      <c r="S1481" s="152"/>
      <c r="T1481" s="151"/>
      <c r="U1481" s="151"/>
      <c r="V1481" s="153"/>
      <c r="W1481" s="151"/>
      <c r="X1481" s="151"/>
      <c r="Y1481" s="153"/>
      <c r="Z1481" s="151"/>
      <c r="AA1481" s="187" t="str">
        <f t="shared" si="47"/>
        <v>No</v>
      </c>
      <c r="AB1481" s="158"/>
      <c r="AC1481" s="159"/>
      <c r="AD1481" s="160"/>
    </row>
    <row r="1482" spans="1:30">
      <c r="A1482" s="155"/>
      <c r="B1482" s="112" t="str">
        <f t="shared" si="46"/>
        <v/>
      </c>
      <c r="C1482" s="183"/>
      <c r="D1482" s="152"/>
      <c r="E1482" s="152"/>
      <c r="F1482" s="151"/>
      <c r="G1482" s="153"/>
      <c r="H1482" s="151"/>
      <c r="I1482" s="151"/>
      <c r="J1482" s="151"/>
      <c r="K1482" s="151"/>
      <c r="L1482" s="151"/>
      <c r="M1482" s="151"/>
      <c r="N1482" s="151"/>
      <c r="O1482" s="151"/>
      <c r="P1482" s="151"/>
      <c r="Q1482" s="151"/>
      <c r="R1482" s="151"/>
      <c r="S1482" s="152"/>
      <c r="T1482" s="151"/>
      <c r="U1482" s="151"/>
      <c r="V1482" s="153"/>
      <c r="W1482" s="151"/>
      <c r="X1482" s="151"/>
      <c r="Y1482" s="153"/>
      <c r="Z1482" s="151"/>
      <c r="AA1482" s="187" t="str">
        <f t="shared" si="47"/>
        <v>No</v>
      </c>
      <c r="AB1482" s="158"/>
      <c r="AC1482" s="159"/>
      <c r="AD1482" s="160"/>
    </row>
    <row r="1483" spans="1:30">
      <c r="A1483" s="155"/>
      <c r="B1483" s="112" t="str">
        <f t="shared" si="46"/>
        <v/>
      </c>
      <c r="C1483" s="183"/>
      <c r="D1483" s="152"/>
      <c r="E1483" s="152"/>
      <c r="F1483" s="151"/>
      <c r="G1483" s="153"/>
      <c r="H1483" s="151"/>
      <c r="I1483" s="151"/>
      <c r="J1483" s="151"/>
      <c r="K1483" s="151"/>
      <c r="L1483" s="151"/>
      <c r="M1483" s="151"/>
      <c r="N1483" s="151"/>
      <c r="O1483" s="151"/>
      <c r="P1483" s="151"/>
      <c r="Q1483" s="151"/>
      <c r="R1483" s="151"/>
      <c r="S1483" s="152"/>
      <c r="T1483" s="151"/>
      <c r="U1483" s="151"/>
      <c r="V1483" s="153"/>
      <c r="W1483" s="151"/>
      <c r="X1483" s="151"/>
      <c r="Y1483" s="153"/>
      <c r="Z1483" s="151"/>
      <c r="AA1483" s="187" t="str">
        <f t="shared" si="47"/>
        <v>No</v>
      </c>
      <c r="AB1483" s="158"/>
      <c r="AC1483" s="159"/>
      <c r="AD1483" s="160"/>
    </row>
    <row r="1484" spans="1:30">
      <c r="A1484" s="155"/>
      <c r="B1484" s="112" t="str">
        <f t="shared" si="46"/>
        <v/>
      </c>
      <c r="C1484" s="183"/>
      <c r="D1484" s="152"/>
      <c r="E1484" s="152"/>
      <c r="F1484" s="151"/>
      <c r="G1484" s="153"/>
      <c r="H1484" s="151"/>
      <c r="I1484" s="151"/>
      <c r="J1484" s="151"/>
      <c r="K1484" s="151"/>
      <c r="L1484" s="151"/>
      <c r="M1484" s="151"/>
      <c r="N1484" s="151"/>
      <c r="O1484" s="151"/>
      <c r="P1484" s="151"/>
      <c r="Q1484" s="151"/>
      <c r="R1484" s="151"/>
      <c r="S1484" s="152"/>
      <c r="T1484" s="151"/>
      <c r="U1484" s="151"/>
      <c r="V1484" s="153"/>
      <c r="W1484" s="151"/>
      <c r="X1484" s="151"/>
      <c r="Y1484" s="153"/>
      <c r="Z1484" s="151"/>
      <c r="AA1484" s="187" t="str">
        <f t="shared" si="47"/>
        <v>No</v>
      </c>
      <c r="AB1484" s="158"/>
      <c r="AC1484" s="159"/>
      <c r="AD1484" s="160"/>
    </row>
    <row r="1485" spans="1:30">
      <c r="A1485" s="155"/>
      <c r="B1485" s="112" t="str">
        <f t="shared" si="46"/>
        <v/>
      </c>
      <c r="C1485" s="183"/>
      <c r="D1485" s="152"/>
      <c r="E1485" s="152"/>
      <c r="F1485" s="151"/>
      <c r="G1485" s="153"/>
      <c r="H1485" s="151"/>
      <c r="I1485" s="151"/>
      <c r="J1485" s="151"/>
      <c r="K1485" s="151"/>
      <c r="L1485" s="151"/>
      <c r="M1485" s="151"/>
      <c r="N1485" s="151"/>
      <c r="O1485" s="151"/>
      <c r="P1485" s="151"/>
      <c r="Q1485" s="151"/>
      <c r="R1485" s="151"/>
      <c r="S1485" s="152"/>
      <c r="T1485" s="151"/>
      <c r="U1485" s="151"/>
      <c r="V1485" s="153"/>
      <c r="W1485" s="151"/>
      <c r="X1485" s="151"/>
      <c r="Y1485" s="153"/>
      <c r="Z1485" s="151"/>
      <c r="AA1485" s="187" t="str">
        <f t="shared" si="47"/>
        <v>No</v>
      </c>
      <c r="AB1485" s="158"/>
      <c r="AC1485" s="159"/>
      <c r="AD1485" s="160"/>
    </row>
    <row r="1486" spans="1:30">
      <c r="A1486" s="155"/>
      <c r="B1486" s="112" t="str">
        <f t="shared" si="46"/>
        <v/>
      </c>
      <c r="C1486" s="183"/>
      <c r="D1486" s="152"/>
      <c r="E1486" s="152"/>
      <c r="F1486" s="151"/>
      <c r="G1486" s="153"/>
      <c r="H1486" s="151"/>
      <c r="I1486" s="151"/>
      <c r="J1486" s="151"/>
      <c r="K1486" s="151"/>
      <c r="L1486" s="151"/>
      <c r="M1486" s="151"/>
      <c r="N1486" s="151"/>
      <c r="O1486" s="151"/>
      <c r="P1486" s="151"/>
      <c r="Q1486" s="151"/>
      <c r="R1486" s="151"/>
      <c r="S1486" s="152"/>
      <c r="T1486" s="151"/>
      <c r="U1486" s="151"/>
      <c r="V1486" s="153"/>
      <c r="W1486" s="151"/>
      <c r="X1486" s="151"/>
      <c r="Y1486" s="153"/>
      <c r="Z1486" s="151"/>
      <c r="AA1486" s="187" t="str">
        <f t="shared" si="47"/>
        <v>No</v>
      </c>
      <c r="AB1486" s="158"/>
      <c r="AC1486" s="159"/>
      <c r="AD1486" s="160"/>
    </row>
    <row r="1487" spans="1:30">
      <c r="A1487" s="155"/>
      <c r="B1487" s="112" t="str">
        <f t="shared" si="46"/>
        <v/>
      </c>
      <c r="C1487" s="183"/>
      <c r="D1487" s="152"/>
      <c r="E1487" s="152"/>
      <c r="F1487" s="151"/>
      <c r="G1487" s="153"/>
      <c r="H1487" s="151"/>
      <c r="I1487" s="151"/>
      <c r="J1487" s="151"/>
      <c r="K1487" s="151"/>
      <c r="L1487" s="151"/>
      <c r="M1487" s="151"/>
      <c r="N1487" s="151"/>
      <c r="O1487" s="151"/>
      <c r="P1487" s="151"/>
      <c r="Q1487" s="151"/>
      <c r="R1487" s="151"/>
      <c r="S1487" s="152"/>
      <c r="T1487" s="151"/>
      <c r="U1487" s="151"/>
      <c r="V1487" s="153"/>
      <c r="W1487" s="151"/>
      <c r="X1487" s="151"/>
      <c r="Y1487" s="153"/>
      <c r="Z1487" s="151"/>
      <c r="AA1487" s="187" t="str">
        <f t="shared" si="47"/>
        <v>No</v>
      </c>
      <c r="AB1487" s="158"/>
      <c r="AC1487" s="159"/>
      <c r="AD1487" s="160"/>
    </row>
    <row r="1488" spans="1:30">
      <c r="A1488" s="155"/>
      <c r="B1488" s="112" t="str">
        <f t="shared" si="46"/>
        <v/>
      </c>
      <c r="C1488" s="183"/>
      <c r="D1488" s="152"/>
      <c r="E1488" s="152"/>
      <c r="F1488" s="151"/>
      <c r="G1488" s="153"/>
      <c r="H1488" s="151"/>
      <c r="I1488" s="151"/>
      <c r="J1488" s="151"/>
      <c r="K1488" s="151"/>
      <c r="L1488" s="151"/>
      <c r="M1488" s="151"/>
      <c r="N1488" s="151"/>
      <c r="O1488" s="151"/>
      <c r="P1488" s="151"/>
      <c r="Q1488" s="151"/>
      <c r="R1488" s="151"/>
      <c r="S1488" s="152"/>
      <c r="T1488" s="151"/>
      <c r="U1488" s="151"/>
      <c r="V1488" s="153"/>
      <c r="W1488" s="151"/>
      <c r="X1488" s="151"/>
      <c r="Y1488" s="153"/>
      <c r="Z1488" s="151"/>
      <c r="AA1488" s="187" t="str">
        <f t="shared" si="47"/>
        <v>No</v>
      </c>
      <c r="AB1488" s="158"/>
      <c r="AC1488" s="159"/>
      <c r="AD1488" s="160"/>
    </row>
    <row r="1489" spans="1:30">
      <c r="A1489" s="155"/>
      <c r="B1489" s="112" t="str">
        <f t="shared" si="46"/>
        <v/>
      </c>
      <c r="C1489" s="183"/>
      <c r="D1489" s="152"/>
      <c r="E1489" s="152"/>
      <c r="F1489" s="151"/>
      <c r="G1489" s="153"/>
      <c r="H1489" s="151"/>
      <c r="I1489" s="151"/>
      <c r="J1489" s="151"/>
      <c r="K1489" s="151"/>
      <c r="L1489" s="151"/>
      <c r="M1489" s="151"/>
      <c r="N1489" s="151"/>
      <c r="O1489" s="151"/>
      <c r="P1489" s="151"/>
      <c r="Q1489" s="151"/>
      <c r="R1489" s="151"/>
      <c r="S1489" s="152"/>
      <c r="T1489" s="151"/>
      <c r="U1489" s="151"/>
      <c r="V1489" s="153"/>
      <c r="W1489" s="151"/>
      <c r="X1489" s="151"/>
      <c r="Y1489" s="153"/>
      <c r="Z1489" s="151"/>
      <c r="AA1489" s="187" t="str">
        <f t="shared" si="47"/>
        <v>No</v>
      </c>
      <c r="AB1489" s="158"/>
      <c r="AC1489" s="159"/>
      <c r="AD1489" s="160"/>
    </row>
    <row r="1490" spans="1:30">
      <c r="A1490" s="155"/>
      <c r="B1490" s="112" t="str">
        <f t="shared" si="46"/>
        <v/>
      </c>
      <c r="C1490" s="183"/>
      <c r="D1490" s="152"/>
      <c r="E1490" s="152"/>
      <c r="F1490" s="151"/>
      <c r="G1490" s="153"/>
      <c r="H1490" s="151"/>
      <c r="I1490" s="151"/>
      <c r="J1490" s="151"/>
      <c r="K1490" s="151"/>
      <c r="L1490" s="151"/>
      <c r="M1490" s="151"/>
      <c r="N1490" s="151"/>
      <c r="O1490" s="151"/>
      <c r="P1490" s="151"/>
      <c r="Q1490" s="151"/>
      <c r="R1490" s="151"/>
      <c r="S1490" s="152"/>
      <c r="T1490" s="151"/>
      <c r="U1490" s="151"/>
      <c r="V1490" s="153"/>
      <c r="W1490" s="151"/>
      <c r="X1490" s="151"/>
      <c r="Y1490" s="153"/>
      <c r="Z1490" s="151"/>
      <c r="AA1490" s="187" t="str">
        <f t="shared" si="47"/>
        <v>No</v>
      </c>
      <c r="AB1490" s="158"/>
      <c r="AC1490" s="159"/>
      <c r="AD1490" s="160"/>
    </row>
    <row r="1491" spans="1:30">
      <c r="A1491" s="155"/>
      <c r="B1491" s="112" t="str">
        <f t="shared" si="46"/>
        <v/>
      </c>
      <c r="C1491" s="183"/>
      <c r="D1491" s="152"/>
      <c r="E1491" s="152"/>
      <c r="F1491" s="151"/>
      <c r="G1491" s="153"/>
      <c r="H1491" s="151"/>
      <c r="I1491" s="151"/>
      <c r="J1491" s="151"/>
      <c r="K1491" s="151"/>
      <c r="L1491" s="151"/>
      <c r="M1491" s="151"/>
      <c r="N1491" s="151"/>
      <c r="O1491" s="151"/>
      <c r="P1491" s="151"/>
      <c r="Q1491" s="151"/>
      <c r="R1491" s="151"/>
      <c r="S1491" s="152"/>
      <c r="T1491" s="151"/>
      <c r="U1491" s="151"/>
      <c r="V1491" s="153"/>
      <c r="W1491" s="151"/>
      <c r="X1491" s="151"/>
      <c r="Y1491" s="153"/>
      <c r="Z1491" s="151"/>
      <c r="AA1491" s="187" t="str">
        <f t="shared" si="47"/>
        <v>No</v>
      </c>
      <c r="AB1491" s="158"/>
      <c r="AC1491" s="159"/>
      <c r="AD1491" s="160"/>
    </row>
    <row r="1492" spans="1:30">
      <c r="A1492" s="155"/>
      <c r="B1492" s="112" t="str">
        <f t="shared" si="46"/>
        <v/>
      </c>
      <c r="C1492" s="183"/>
      <c r="D1492" s="152"/>
      <c r="E1492" s="152"/>
      <c r="F1492" s="151"/>
      <c r="G1492" s="153"/>
      <c r="H1492" s="151"/>
      <c r="I1492" s="151"/>
      <c r="J1492" s="151"/>
      <c r="K1492" s="151"/>
      <c r="L1492" s="151"/>
      <c r="M1492" s="151"/>
      <c r="N1492" s="151"/>
      <c r="O1492" s="151"/>
      <c r="P1492" s="151"/>
      <c r="Q1492" s="151"/>
      <c r="R1492" s="151"/>
      <c r="S1492" s="152"/>
      <c r="T1492" s="151"/>
      <c r="U1492" s="151"/>
      <c r="V1492" s="153"/>
      <c r="W1492" s="151"/>
      <c r="X1492" s="151"/>
      <c r="Y1492" s="153"/>
      <c r="Z1492" s="151"/>
      <c r="AA1492" s="187" t="str">
        <f t="shared" si="47"/>
        <v>No</v>
      </c>
      <c r="AB1492" s="158"/>
      <c r="AC1492" s="159"/>
      <c r="AD1492" s="160"/>
    </row>
    <row r="1493" spans="1:30">
      <c r="A1493" s="155"/>
      <c r="B1493" s="112" t="str">
        <f t="shared" si="46"/>
        <v/>
      </c>
      <c r="C1493" s="183"/>
      <c r="D1493" s="152"/>
      <c r="E1493" s="152"/>
      <c r="F1493" s="151"/>
      <c r="G1493" s="153"/>
      <c r="H1493" s="151"/>
      <c r="I1493" s="151"/>
      <c r="J1493" s="151"/>
      <c r="K1493" s="151"/>
      <c r="L1493" s="151"/>
      <c r="M1493" s="151"/>
      <c r="N1493" s="151"/>
      <c r="O1493" s="151"/>
      <c r="P1493" s="151"/>
      <c r="Q1493" s="151"/>
      <c r="R1493" s="151"/>
      <c r="S1493" s="152"/>
      <c r="T1493" s="151"/>
      <c r="U1493" s="151"/>
      <c r="V1493" s="153"/>
      <c r="W1493" s="151"/>
      <c r="X1493" s="151"/>
      <c r="Y1493" s="153"/>
      <c r="Z1493" s="151"/>
      <c r="AA1493" s="187" t="str">
        <f t="shared" si="47"/>
        <v>No</v>
      </c>
      <c r="AB1493" s="158"/>
      <c r="AC1493" s="159"/>
      <c r="AD1493" s="160"/>
    </row>
    <row r="1494" spans="1:30">
      <c r="A1494" s="155"/>
      <c r="B1494" s="112" t="str">
        <f t="shared" si="46"/>
        <v/>
      </c>
      <c r="C1494" s="183"/>
      <c r="D1494" s="152"/>
      <c r="E1494" s="152"/>
      <c r="F1494" s="151"/>
      <c r="G1494" s="153"/>
      <c r="H1494" s="151"/>
      <c r="I1494" s="151"/>
      <c r="J1494" s="151"/>
      <c r="K1494" s="151"/>
      <c r="L1494" s="151"/>
      <c r="M1494" s="151"/>
      <c r="N1494" s="151"/>
      <c r="O1494" s="151"/>
      <c r="P1494" s="151"/>
      <c r="Q1494" s="151"/>
      <c r="R1494" s="151"/>
      <c r="S1494" s="152"/>
      <c r="T1494" s="151"/>
      <c r="U1494" s="151"/>
      <c r="V1494" s="153"/>
      <c r="W1494" s="151"/>
      <c r="X1494" s="151"/>
      <c r="Y1494" s="153"/>
      <c r="Z1494" s="151"/>
      <c r="AA1494" s="187" t="str">
        <f t="shared" si="47"/>
        <v>No</v>
      </c>
      <c r="AB1494" s="158"/>
      <c r="AC1494" s="159"/>
      <c r="AD1494" s="160"/>
    </row>
    <row r="1495" spans="1:30">
      <c r="A1495" s="155"/>
      <c r="B1495" s="112" t="str">
        <f t="shared" si="46"/>
        <v/>
      </c>
      <c r="C1495" s="183"/>
      <c r="D1495" s="152"/>
      <c r="E1495" s="152"/>
      <c r="F1495" s="151"/>
      <c r="G1495" s="153"/>
      <c r="H1495" s="151"/>
      <c r="I1495" s="151"/>
      <c r="J1495" s="151"/>
      <c r="K1495" s="151"/>
      <c r="L1495" s="151"/>
      <c r="M1495" s="151"/>
      <c r="N1495" s="151"/>
      <c r="O1495" s="151"/>
      <c r="P1495" s="151"/>
      <c r="Q1495" s="151"/>
      <c r="R1495" s="151"/>
      <c r="S1495" s="152"/>
      <c r="T1495" s="151"/>
      <c r="U1495" s="151"/>
      <c r="V1495" s="153"/>
      <c r="W1495" s="151"/>
      <c r="X1495" s="151"/>
      <c r="Y1495" s="153"/>
      <c r="Z1495" s="151"/>
      <c r="AA1495" s="187" t="str">
        <f t="shared" si="47"/>
        <v>No</v>
      </c>
      <c r="AB1495" s="158"/>
      <c r="AC1495" s="159"/>
      <c r="AD1495" s="160"/>
    </row>
    <row r="1496" spans="1:30">
      <c r="A1496" s="155"/>
      <c r="B1496" s="112" t="str">
        <f t="shared" si="46"/>
        <v/>
      </c>
      <c r="C1496" s="183"/>
      <c r="D1496" s="152"/>
      <c r="E1496" s="152"/>
      <c r="F1496" s="151"/>
      <c r="G1496" s="153"/>
      <c r="H1496" s="151"/>
      <c r="I1496" s="151"/>
      <c r="J1496" s="151"/>
      <c r="K1496" s="151"/>
      <c r="L1496" s="151"/>
      <c r="M1496" s="151"/>
      <c r="N1496" s="151"/>
      <c r="O1496" s="151"/>
      <c r="P1496" s="151"/>
      <c r="Q1496" s="151"/>
      <c r="R1496" s="151"/>
      <c r="S1496" s="152"/>
      <c r="T1496" s="151"/>
      <c r="U1496" s="151"/>
      <c r="V1496" s="153"/>
      <c r="W1496" s="151"/>
      <c r="X1496" s="151"/>
      <c r="Y1496" s="153"/>
      <c r="Z1496" s="151"/>
      <c r="AA1496" s="187" t="str">
        <f t="shared" si="47"/>
        <v>No</v>
      </c>
      <c r="AB1496" s="158"/>
      <c r="AC1496" s="159"/>
      <c r="AD1496" s="160"/>
    </row>
    <row r="1497" spans="1:30">
      <c r="A1497" s="155"/>
      <c r="B1497" s="112" t="str">
        <f t="shared" si="46"/>
        <v/>
      </c>
      <c r="C1497" s="183"/>
      <c r="D1497" s="152"/>
      <c r="E1497" s="152"/>
      <c r="F1497" s="151"/>
      <c r="G1497" s="153"/>
      <c r="H1497" s="151"/>
      <c r="I1497" s="151"/>
      <c r="J1497" s="151"/>
      <c r="K1497" s="151"/>
      <c r="L1497" s="151"/>
      <c r="M1497" s="151"/>
      <c r="N1497" s="151"/>
      <c r="O1497" s="151"/>
      <c r="P1497" s="151"/>
      <c r="Q1497" s="151"/>
      <c r="R1497" s="151"/>
      <c r="S1497" s="152"/>
      <c r="T1497" s="151"/>
      <c r="U1497" s="151"/>
      <c r="V1497" s="153"/>
      <c r="W1497" s="151"/>
      <c r="X1497" s="151"/>
      <c r="Y1497" s="153"/>
      <c r="Z1497" s="151"/>
      <c r="AA1497" s="187" t="str">
        <f t="shared" si="47"/>
        <v>No</v>
      </c>
      <c r="AB1497" s="158"/>
      <c r="AC1497" s="159"/>
      <c r="AD1497" s="160"/>
    </row>
    <row r="1498" spans="1:30">
      <c r="A1498" s="155"/>
      <c r="B1498" s="112" t="str">
        <f t="shared" si="46"/>
        <v/>
      </c>
      <c r="C1498" s="183"/>
      <c r="D1498" s="152"/>
      <c r="E1498" s="152"/>
      <c r="F1498" s="151"/>
      <c r="G1498" s="153"/>
      <c r="H1498" s="151"/>
      <c r="I1498" s="151"/>
      <c r="J1498" s="151"/>
      <c r="K1498" s="151"/>
      <c r="L1498" s="151"/>
      <c r="M1498" s="151"/>
      <c r="N1498" s="151"/>
      <c r="O1498" s="151"/>
      <c r="P1498" s="151"/>
      <c r="Q1498" s="151"/>
      <c r="R1498" s="151"/>
      <c r="S1498" s="152"/>
      <c r="T1498" s="151"/>
      <c r="U1498" s="151"/>
      <c r="V1498" s="153"/>
      <c r="W1498" s="151"/>
      <c r="X1498" s="151"/>
      <c r="Y1498" s="153"/>
      <c r="Z1498" s="151"/>
      <c r="AA1498" s="187" t="str">
        <f t="shared" si="47"/>
        <v>No</v>
      </c>
      <c r="AB1498" s="158"/>
      <c r="AC1498" s="159"/>
      <c r="AD1498" s="160"/>
    </row>
    <row r="1499" spans="1:30">
      <c r="A1499" s="155"/>
      <c r="B1499" s="112" t="str">
        <f t="shared" si="46"/>
        <v/>
      </c>
      <c r="C1499" s="183"/>
      <c r="D1499" s="152"/>
      <c r="E1499" s="152"/>
      <c r="F1499" s="151"/>
      <c r="G1499" s="153"/>
      <c r="H1499" s="151"/>
      <c r="I1499" s="151"/>
      <c r="J1499" s="151"/>
      <c r="K1499" s="151"/>
      <c r="L1499" s="151"/>
      <c r="M1499" s="151"/>
      <c r="N1499" s="151"/>
      <c r="O1499" s="151"/>
      <c r="P1499" s="151"/>
      <c r="Q1499" s="151"/>
      <c r="R1499" s="151"/>
      <c r="S1499" s="152"/>
      <c r="T1499" s="151"/>
      <c r="U1499" s="151"/>
      <c r="V1499" s="153"/>
      <c r="W1499" s="151"/>
      <c r="X1499" s="151"/>
      <c r="Y1499" s="153"/>
      <c r="Z1499" s="151"/>
      <c r="AA1499" s="187" t="str">
        <f t="shared" si="47"/>
        <v>No</v>
      </c>
      <c r="AB1499" s="158"/>
      <c r="AC1499" s="159"/>
      <c r="AD1499" s="160"/>
    </row>
    <row r="1500" spans="1:30">
      <c r="A1500" s="155"/>
      <c r="B1500" s="112" t="str">
        <f t="shared" si="46"/>
        <v/>
      </c>
      <c r="C1500" s="183"/>
      <c r="D1500" s="152"/>
      <c r="E1500" s="152"/>
      <c r="F1500" s="151"/>
      <c r="G1500" s="153"/>
      <c r="H1500" s="151"/>
      <c r="I1500" s="151"/>
      <c r="J1500" s="151"/>
      <c r="K1500" s="151"/>
      <c r="L1500" s="151"/>
      <c r="M1500" s="151"/>
      <c r="N1500" s="151"/>
      <c r="O1500" s="151"/>
      <c r="P1500" s="151"/>
      <c r="Q1500" s="151"/>
      <c r="R1500" s="151"/>
      <c r="S1500" s="152"/>
      <c r="T1500" s="151"/>
      <c r="U1500" s="151"/>
      <c r="V1500" s="153"/>
      <c r="W1500" s="151"/>
      <c r="X1500" s="151"/>
      <c r="Y1500" s="153"/>
      <c r="Z1500" s="151"/>
      <c r="AA1500" s="187" t="str">
        <f t="shared" si="47"/>
        <v>No</v>
      </c>
      <c r="AB1500" s="158"/>
      <c r="AC1500" s="159"/>
      <c r="AD1500" s="160"/>
    </row>
    <row r="1501" spans="1:30">
      <c r="A1501" s="155"/>
      <c r="B1501" s="112" t="str">
        <f t="shared" si="46"/>
        <v/>
      </c>
      <c r="C1501" s="183"/>
      <c r="D1501" s="152"/>
      <c r="E1501" s="152"/>
      <c r="F1501" s="151"/>
      <c r="G1501" s="153"/>
      <c r="H1501" s="151"/>
      <c r="I1501" s="151"/>
      <c r="J1501" s="151"/>
      <c r="K1501" s="151"/>
      <c r="L1501" s="151"/>
      <c r="M1501" s="151"/>
      <c r="N1501" s="151"/>
      <c r="O1501" s="151"/>
      <c r="P1501" s="151"/>
      <c r="Q1501" s="151"/>
      <c r="R1501" s="151"/>
      <c r="S1501" s="152"/>
      <c r="T1501" s="151"/>
      <c r="U1501" s="151"/>
      <c r="V1501" s="153"/>
      <c r="W1501" s="151"/>
      <c r="X1501" s="151"/>
      <c r="Y1501" s="153"/>
      <c r="Z1501" s="151"/>
      <c r="AA1501" s="187" t="str">
        <f t="shared" si="47"/>
        <v>No</v>
      </c>
      <c r="AB1501" s="158"/>
      <c r="AC1501" s="159"/>
      <c r="AD1501" s="160"/>
    </row>
    <row r="1502" spans="1:30">
      <c r="A1502" s="155"/>
      <c r="B1502" s="112" t="str">
        <f t="shared" si="46"/>
        <v/>
      </c>
      <c r="C1502" s="183"/>
      <c r="D1502" s="152"/>
      <c r="E1502" s="152"/>
      <c r="F1502" s="151"/>
      <c r="G1502" s="153"/>
      <c r="H1502" s="151"/>
      <c r="I1502" s="151"/>
      <c r="J1502" s="151"/>
      <c r="K1502" s="151"/>
      <c r="L1502" s="151"/>
      <c r="M1502" s="151"/>
      <c r="N1502" s="151"/>
      <c r="O1502" s="151"/>
      <c r="P1502" s="151"/>
      <c r="Q1502" s="151"/>
      <c r="R1502" s="151"/>
      <c r="S1502" s="152"/>
      <c r="T1502" s="151"/>
      <c r="U1502" s="151"/>
      <c r="V1502" s="153"/>
      <c r="W1502" s="151"/>
      <c r="X1502" s="151"/>
      <c r="Y1502" s="153"/>
      <c r="Z1502" s="151"/>
      <c r="AA1502" s="187" t="str">
        <f t="shared" si="47"/>
        <v>No</v>
      </c>
      <c r="AB1502" s="158"/>
      <c r="AC1502" s="159"/>
      <c r="AD1502" s="160"/>
    </row>
    <row r="1503" spans="1:30">
      <c r="A1503" s="155"/>
      <c r="B1503" s="112" t="str">
        <f t="shared" si="46"/>
        <v/>
      </c>
      <c r="C1503" s="183"/>
      <c r="D1503" s="152"/>
      <c r="E1503" s="152"/>
      <c r="F1503" s="151"/>
      <c r="G1503" s="153"/>
      <c r="H1503" s="151"/>
      <c r="I1503" s="151"/>
      <c r="J1503" s="151"/>
      <c r="K1503" s="151"/>
      <c r="L1503" s="151"/>
      <c r="M1503" s="151"/>
      <c r="N1503" s="151"/>
      <c r="O1503" s="151"/>
      <c r="P1503" s="151"/>
      <c r="Q1503" s="151"/>
      <c r="R1503" s="151"/>
      <c r="S1503" s="152"/>
      <c r="T1503" s="151"/>
      <c r="U1503" s="151"/>
      <c r="V1503" s="153"/>
      <c r="W1503" s="151"/>
      <c r="X1503" s="151"/>
      <c r="Y1503" s="153"/>
      <c r="Z1503" s="151"/>
      <c r="AA1503" s="187" t="str">
        <f t="shared" si="47"/>
        <v>No</v>
      </c>
      <c r="AB1503" s="158"/>
      <c r="AC1503" s="159"/>
      <c r="AD1503" s="160"/>
    </row>
    <row r="1504" spans="1:30">
      <c r="A1504" s="155"/>
      <c r="B1504" s="112" t="str">
        <f t="shared" si="46"/>
        <v/>
      </c>
      <c r="C1504" s="183"/>
      <c r="D1504" s="152"/>
      <c r="E1504" s="152"/>
      <c r="F1504" s="151"/>
      <c r="G1504" s="153"/>
      <c r="H1504" s="151"/>
      <c r="I1504" s="151"/>
      <c r="J1504" s="151"/>
      <c r="K1504" s="151"/>
      <c r="L1504" s="151"/>
      <c r="M1504" s="151"/>
      <c r="N1504" s="151"/>
      <c r="O1504" s="151"/>
      <c r="P1504" s="151"/>
      <c r="Q1504" s="151"/>
      <c r="R1504" s="151"/>
      <c r="S1504" s="152"/>
      <c r="T1504" s="151"/>
      <c r="U1504" s="151"/>
      <c r="V1504" s="153"/>
      <c r="W1504" s="151"/>
      <c r="X1504" s="151"/>
      <c r="Y1504" s="153"/>
      <c r="Z1504" s="151"/>
      <c r="AA1504" s="187" t="str">
        <f t="shared" si="47"/>
        <v>No</v>
      </c>
      <c r="AB1504" s="158"/>
      <c r="AC1504" s="159"/>
      <c r="AD1504" s="160"/>
    </row>
    <row r="1505" spans="1:30">
      <c r="A1505" s="155"/>
      <c r="B1505" s="112" t="str">
        <f t="shared" si="46"/>
        <v/>
      </c>
      <c r="C1505" s="183"/>
      <c r="D1505" s="152"/>
      <c r="E1505" s="152"/>
      <c r="F1505" s="151"/>
      <c r="G1505" s="153"/>
      <c r="H1505" s="151"/>
      <c r="I1505" s="151"/>
      <c r="J1505" s="151"/>
      <c r="K1505" s="151"/>
      <c r="L1505" s="151"/>
      <c r="M1505" s="151"/>
      <c r="N1505" s="151"/>
      <c r="O1505" s="151"/>
      <c r="P1505" s="151"/>
      <c r="Q1505" s="151"/>
      <c r="R1505" s="151"/>
      <c r="S1505" s="152"/>
      <c r="T1505" s="151"/>
      <c r="U1505" s="151"/>
      <c r="V1505" s="153"/>
      <c r="W1505" s="151"/>
      <c r="X1505" s="151"/>
      <c r="Y1505" s="153"/>
      <c r="Z1505" s="151"/>
      <c r="AA1505" s="187" t="str">
        <f t="shared" si="47"/>
        <v>No</v>
      </c>
      <c r="AB1505" s="158"/>
      <c r="AC1505" s="159"/>
      <c r="AD1505" s="160"/>
    </row>
    <row r="1506" spans="1:30">
      <c r="A1506" s="155"/>
      <c r="B1506" s="112" t="str">
        <f t="shared" si="46"/>
        <v/>
      </c>
      <c r="C1506" s="183"/>
      <c r="D1506" s="152"/>
      <c r="E1506" s="152"/>
      <c r="F1506" s="151"/>
      <c r="G1506" s="153"/>
      <c r="H1506" s="151"/>
      <c r="I1506" s="151"/>
      <c r="J1506" s="151"/>
      <c r="K1506" s="151"/>
      <c r="L1506" s="151"/>
      <c r="M1506" s="151"/>
      <c r="N1506" s="151"/>
      <c r="O1506" s="151"/>
      <c r="P1506" s="151"/>
      <c r="Q1506" s="151"/>
      <c r="R1506" s="151"/>
      <c r="S1506" s="152"/>
      <c r="T1506" s="151"/>
      <c r="U1506" s="151"/>
      <c r="V1506" s="153"/>
      <c r="W1506" s="151"/>
      <c r="X1506" s="151"/>
      <c r="Y1506" s="153"/>
      <c r="Z1506" s="151"/>
      <c r="AA1506" s="187" t="str">
        <f t="shared" si="47"/>
        <v>No</v>
      </c>
      <c r="AB1506" s="158"/>
      <c r="AC1506" s="159"/>
      <c r="AD1506" s="160"/>
    </row>
    <row r="1507" spans="1:30">
      <c r="A1507" s="155"/>
      <c r="B1507" s="112" t="str">
        <f t="shared" si="46"/>
        <v/>
      </c>
      <c r="C1507" s="183"/>
      <c r="D1507" s="152"/>
      <c r="E1507" s="152"/>
      <c r="F1507" s="151"/>
      <c r="G1507" s="153"/>
      <c r="H1507" s="151"/>
      <c r="I1507" s="151"/>
      <c r="J1507" s="151"/>
      <c r="K1507" s="151"/>
      <c r="L1507" s="151"/>
      <c r="M1507" s="151"/>
      <c r="N1507" s="151"/>
      <c r="O1507" s="151"/>
      <c r="P1507" s="151"/>
      <c r="Q1507" s="151"/>
      <c r="R1507" s="151"/>
      <c r="S1507" s="152"/>
      <c r="T1507" s="151"/>
      <c r="U1507" s="151"/>
      <c r="V1507" s="153"/>
      <c r="W1507" s="151"/>
      <c r="X1507" s="151"/>
      <c r="Y1507" s="153"/>
      <c r="Z1507" s="151"/>
      <c r="AA1507" s="187" t="str">
        <f t="shared" si="47"/>
        <v>No</v>
      </c>
      <c r="AB1507" s="158"/>
      <c r="AC1507" s="159"/>
      <c r="AD1507" s="160"/>
    </row>
    <row r="1508" spans="1:30">
      <c r="A1508" s="155"/>
      <c r="B1508" s="112" t="str">
        <f t="shared" si="46"/>
        <v/>
      </c>
      <c r="C1508" s="183"/>
      <c r="D1508" s="152"/>
      <c r="E1508" s="152"/>
      <c r="F1508" s="151"/>
      <c r="G1508" s="153"/>
      <c r="H1508" s="151"/>
      <c r="I1508" s="151"/>
      <c r="J1508" s="151"/>
      <c r="K1508" s="151"/>
      <c r="L1508" s="151"/>
      <c r="M1508" s="151"/>
      <c r="N1508" s="151"/>
      <c r="O1508" s="151"/>
      <c r="P1508" s="151"/>
      <c r="Q1508" s="151"/>
      <c r="R1508" s="151"/>
      <c r="S1508" s="152"/>
      <c r="T1508" s="151"/>
      <c r="U1508" s="151"/>
      <c r="V1508" s="153"/>
      <c r="W1508" s="151"/>
      <c r="X1508" s="151"/>
      <c r="Y1508" s="153"/>
      <c r="Z1508" s="151"/>
      <c r="AA1508" s="187" t="str">
        <f t="shared" si="47"/>
        <v>No</v>
      </c>
      <c r="AB1508" s="158"/>
      <c r="AC1508" s="159"/>
      <c r="AD1508" s="160"/>
    </row>
    <row r="1509" spans="1:30">
      <c r="A1509" s="155"/>
      <c r="B1509" s="112" t="str">
        <f t="shared" si="46"/>
        <v/>
      </c>
      <c r="C1509" s="183"/>
      <c r="D1509" s="152"/>
      <c r="E1509" s="152"/>
      <c r="F1509" s="151"/>
      <c r="G1509" s="153"/>
      <c r="H1509" s="151"/>
      <c r="I1509" s="151"/>
      <c r="J1509" s="151"/>
      <c r="K1509" s="151"/>
      <c r="L1509" s="151"/>
      <c r="M1509" s="151"/>
      <c r="N1509" s="151"/>
      <c r="O1509" s="151"/>
      <c r="P1509" s="151"/>
      <c r="Q1509" s="151"/>
      <c r="R1509" s="151"/>
      <c r="S1509" s="152"/>
      <c r="T1509" s="151"/>
      <c r="U1509" s="151"/>
      <c r="V1509" s="153"/>
      <c r="W1509" s="151"/>
      <c r="X1509" s="151"/>
      <c r="Y1509" s="153"/>
      <c r="Z1509" s="151"/>
      <c r="AA1509" s="187" t="str">
        <f t="shared" si="47"/>
        <v>No</v>
      </c>
      <c r="AB1509" s="158"/>
      <c r="AC1509" s="159"/>
      <c r="AD1509" s="160"/>
    </row>
    <row r="1510" spans="1:30">
      <c r="A1510" s="155"/>
      <c r="B1510" s="112" t="str">
        <f t="shared" si="46"/>
        <v/>
      </c>
      <c r="C1510" s="183"/>
      <c r="D1510" s="152"/>
      <c r="E1510" s="152"/>
      <c r="F1510" s="151"/>
      <c r="G1510" s="153"/>
      <c r="H1510" s="151"/>
      <c r="I1510" s="151"/>
      <c r="J1510" s="151"/>
      <c r="K1510" s="151"/>
      <c r="L1510" s="151"/>
      <c r="M1510" s="151"/>
      <c r="N1510" s="151"/>
      <c r="O1510" s="151"/>
      <c r="P1510" s="151"/>
      <c r="Q1510" s="151"/>
      <c r="R1510" s="151"/>
      <c r="S1510" s="152"/>
      <c r="T1510" s="151"/>
      <c r="U1510" s="151"/>
      <c r="V1510" s="153"/>
      <c r="W1510" s="151"/>
      <c r="X1510" s="151"/>
      <c r="Y1510" s="153"/>
      <c r="Z1510" s="151"/>
      <c r="AA1510" s="187" t="str">
        <f t="shared" si="47"/>
        <v>No</v>
      </c>
      <c r="AB1510" s="158"/>
      <c r="AC1510" s="159"/>
      <c r="AD1510" s="160"/>
    </row>
    <row r="1511" spans="1:30">
      <c r="A1511" s="155"/>
      <c r="B1511" s="112" t="str">
        <f t="shared" si="46"/>
        <v/>
      </c>
      <c r="C1511" s="183"/>
      <c r="D1511" s="152"/>
      <c r="E1511" s="152"/>
      <c r="F1511" s="151"/>
      <c r="G1511" s="153"/>
      <c r="H1511" s="151"/>
      <c r="I1511" s="151"/>
      <c r="J1511" s="151"/>
      <c r="K1511" s="151"/>
      <c r="L1511" s="151"/>
      <c r="M1511" s="151"/>
      <c r="N1511" s="151"/>
      <c r="O1511" s="151"/>
      <c r="P1511" s="151"/>
      <c r="Q1511" s="151"/>
      <c r="R1511" s="151"/>
      <c r="S1511" s="152"/>
      <c r="T1511" s="151"/>
      <c r="U1511" s="151"/>
      <c r="V1511" s="153"/>
      <c r="W1511" s="151"/>
      <c r="X1511" s="151"/>
      <c r="Y1511" s="153"/>
      <c r="Z1511" s="151"/>
      <c r="AA1511" s="187" t="str">
        <f t="shared" si="47"/>
        <v>No</v>
      </c>
      <c r="AB1511" s="158"/>
      <c r="AC1511" s="159"/>
      <c r="AD1511" s="160"/>
    </row>
    <row r="1512" spans="1:30">
      <c r="A1512" s="155"/>
      <c r="B1512" s="112" t="str">
        <f t="shared" si="46"/>
        <v/>
      </c>
      <c r="C1512" s="183"/>
      <c r="D1512" s="152"/>
      <c r="E1512" s="152"/>
      <c r="F1512" s="151"/>
      <c r="G1512" s="153"/>
      <c r="H1512" s="151"/>
      <c r="I1512" s="151"/>
      <c r="J1512" s="151"/>
      <c r="K1512" s="151"/>
      <c r="L1512" s="151"/>
      <c r="M1512" s="151"/>
      <c r="N1512" s="151"/>
      <c r="O1512" s="151"/>
      <c r="P1512" s="151"/>
      <c r="Q1512" s="151"/>
      <c r="R1512" s="151"/>
      <c r="S1512" s="152"/>
      <c r="T1512" s="151"/>
      <c r="U1512" s="151"/>
      <c r="V1512" s="153"/>
      <c r="W1512" s="151"/>
      <c r="X1512" s="151"/>
      <c r="Y1512" s="153"/>
      <c r="Z1512" s="151"/>
      <c r="AA1512" s="187" t="str">
        <f t="shared" si="47"/>
        <v>No</v>
      </c>
      <c r="AB1512" s="158"/>
      <c r="AC1512" s="159"/>
      <c r="AD1512" s="160"/>
    </row>
    <row r="1513" spans="1:30">
      <c r="A1513" s="155"/>
      <c r="B1513" s="112" t="str">
        <f t="shared" si="46"/>
        <v/>
      </c>
      <c r="C1513" s="183"/>
      <c r="D1513" s="152"/>
      <c r="E1513" s="152"/>
      <c r="F1513" s="151"/>
      <c r="G1513" s="153"/>
      <c r="H1513" s="151"/>
      <c r="I1513" s="151"/>
      <c r="J1513" s="151"/>
      <c r="K1513" s="151"/>
      <c r="L1513" s="151"/>
      <c r="M1513" s="151"/>
      <c r="N1513" s="151"/>
      <c r="O1513" s="151"/>
      <c r="P1513" s="151"/>
      <c r="Q1513" s="151"/>
      <c r="R1513" s="151"/>
      <c r="S1513" s="152"/>
      <c r="T1513" s="151"/>
      <c r="U1513" s="151"/>
      <c r="V1513" s="153"/>
      <c r="W1513" s="151"/>
      <c r="X1513" s="151"/>
      <c r="Y1513" s="153"/>
      <c r="Z1513" s="151"/>
      <c r="AA1513" s="187" t="str">
        <f t="shared" si="47"/>
        <v>No</v>
      </c>
      <c r="AB1513" s="158"/>
      <c r="AC1513" s="159"/>
      <c r="AD1513" s="160"/>
    </row>
    <row r="1514" spans="1:30">
      <c r="A1514" s="155"/>
      <c r="B1514" s="112" t="str">
        <f t="shared" si="46"/>
        <v/>
      </c>
      <c r="C1514" s="183"/>
      <c r="D1514" s="152"/>
      <c r="E1514" s="152"/>
      <c r="F1514" s="151"/>
      <c r="G1514" s="153"/>
      <c r="H1514" s="151"/>
      <c r="I1514" s="151"/>
      <c r="J1514" s="151"/>
      <c r="K1514" s="151"/>
      <c r="L1514" s="151"/>
      <c r="M1514" s="151"/>
      <c r="N1514" s="151"/>
      <c r="O1514" s="151"/>
      <c r="P1514" s="151"/>
      <c r="Q1514" s="151"/>
      <c r="R1514" s="151"/>
      <c r="S1514" s="152"/>
      <c r="T1514" s="151"/>
      <c r="U1514" s="151"/>
      <c r="V1514" s="153"/>
      <c r="W1514" s="151"/>
      <c r="X1514" s="151"/>
      <c r="Y1514" s="153"/>
      <c r="Z1514" s="151"/>
      <c r="AA1514" s="187" t="str">
        <f t="shared" si="47"/>
        <v>No</v>
      </c>
      <c r="AB1514" s="158"/>
      <c r="AC1514" s="159"/>
      <c r="AD1514" s="160"/>
    </row>
    <row r="1515" spans="1:30">
      <c r="A1515" s="155"/>
      <c r="B1515" s="112" t="str">
        <f t="shared" si="46"/>
        <v/>
      </c>
      <c r="C1515" s="183"/>
      <c r="D1515" s="152"/>
      <c r="E1515" s="152"/>
      <c r="F1515" s="151"/>
      <c r="G1515" s="153"/>
      <c r="H1515" s="151"/>
      <c r="I1515" s="151"/>
      <c r="J1515" s="151"/>
      <c r="K1515" s="151"/>
      <c r="L1515" s="151"/>
      <c r="M1515" s="151"/>
      <c r="N1515" s="151"/>
      <c r="O1515" s="151"/>
      <c r="P1515" s="151"/>
      <c r="Q1515" s="151"/>
      <c r="R1515" s="151"/>
      <c r="S1515" s="152"/>
      <c r="T1515" s="151"/>
      <c r="U1515" s="151"/>
      <c r="V1515" s="153"/>
      <c r="W1515" s="151"/>
      <c r="X1515" s="151"/>
      <c r="Y1515" s="153"/>
      <c r="Z1515" s="151"/>
      <c r="AA1515" s="187" t="str">
        <f t="shared" si="47"/>
        <v>No</v>
      </c>
      <c r="AB1515" s="158"/>
      <c r="AC1515" s="159"/>
      <c r="AD1515" s="160"/>
    </row>
    <row r="1516" spans="1:30">
      <c r="A1516" s="155"/>
      <c r="B1516" s="112" t="str">
        <f t="shared" si="46"/>
        <v/>
      </c>
      <c r="C1516" s="183"/>
      <c r="D1516" s="152"/>
      <c r="E1516" s="152"/>
      <c r="F1516" s="151"/>
      <c r="G1516" s="153"/>
      <c r="H1516" s="151"/>
      <c r="I1516" s="151"/>
      <c r="J1516" s="151"/>
      <c r="K1516" s="151"/>
      <c r="L1516" s="151"/>
      <c r="M1516" s="151"/>
      <c r="N1516" s="151"/>
      <c r="O1516" s="151"/>
      <c r="P1516" s="151"/>
      <c r="Q1516" s="151"/>
      <c r="R1516" s="151"/>
      <c r="S1516" s="152"/>
      <c r="T1516" s="151"/>
      <c r="U1516" s="151"/>
      <c r="V1516" s="153"/>
      <c r="W1516" s="151"/>
      <c r="X1516" s="151"/>
      <c r="Y1516" s="153"/>
      <c r="Z1516" s="151"/>
      <c r="AA1516" s="187" t="str">
        <f t="shared" si="47"/>
        <v>No</v>
      </c>
      <c r="AB1516" s="158"/>
      <c r="AC1516" s="159"/>
      <c r="AD1516" s="160"/>
    </row>
    <row r="1517" spans="1:30">
      <c r="A1517" s="155"/>
      <c r="B1517" s="112" t="str">
        <f t="shared" si="46"/>
        <v/>
      </c>
      <c r="C1517" s="183"/>
      <c r="D1517" s="152"/>
      <c r="E1517" s="152"/>
      <c r="F1517" s="151"/>
      <c r="G1517" s="153"/>
      <c r="H1517" s="151"/>
      <c r="I1517" s="151"/>
      <c r="J1517" s="151"/>
      <c r="K1517" s="151"/>
      <c r="L1517" s="151"/>
      <c r="M1517" s="151"/>
      <c r="N1517" s="151"/>
      <c r="O1517" s="151"/>
      <c r="P1517" s="151"/>
      <c r="Q1517" s="151"/>
      <c r="R1517" s="151"/>
      <c r="S1517" s="152"/>
      <c r="T1517" s="151"/>
      <c r="U1517" s="151"/>
      <c r="V1517" s="153"/>
      <c r="W1517" s="151"/>
      <c r="X1517" s="151"/>
      <c r="Y1517" s="153"/>
      <c r="Z1517" s="151"/>
      <c r="AA1517" s="187" t="str">
        <f t="shared" si="47"/>
        <v>No</v>
      </c>
      <c r="AB1517" s="158"/>
      <c r="AC1517" s="159"/>
      <c r="AD1517" s="160"/>
    </row>
    <row r="1518" spans="1:30">
      <c r="A1518" s="155"/>
      <c r="B1518" s="112" t="str">
        <f t="shared" si="46"/>
        <v/>
      </c>
      <c r="C1518" s="183"/>
      <c r="D1518" s="152"/>
      <c r="E1518" s="152"/>
      <c r="F1518" s="151"/>
      <c r="G1518" s="153"/>
      <c r="H1518" s="151"/>
      <c r="I1518" s="151"/>
      <c r="J1518" s="151"/>
      <c r="K1518" s="151"/>
      <c r="L1518" s="151"/>
      <c r="M1518" s="151"/>
      <c r="N1518" s="151"/>
      <c r="O1518" s="151"/>
      <c r="P1518" s="151"/>
      <c r="Q1518" s="151"/>
      <c r="R1518" s="151"/>
      <c r="S1518" s="152"/>
      <c r="T1518" s="151"/>
      <c r="U1518" s="151"/>
      <c r="V1518" s="153"/>
      <c r="W1518" s="151"/>
      <c r="X1518" s="151"/>
      <c r="Y1518" s="153"/>
      <c r="Z1518" s="151"/>
      <c r="AA1518" s="187" t="str">
        <f t="shared" si="47"/>
        <v>No</v>
      </c>
      <c r="AB1518" s="158"/>
      <c r="AC1518" s="159"/>
      <c r="AD1518" s="160"/>
    </row>
    <row r="1519" spans="1:30">
      <c r="A1519" s="155"/>
      <c r="B1519" s="112" t="str">
        <f t="shared" si="46"/>
        <v/>
      </c>
      <c r="C1519" s="183"/>
      <c r="D1519" s="152"/>
      <c r="E1519" s="152"/>
      <c r="F1519" s="151"/>
      <c r="G1519" s="153"/>
      <c r="H1519" s="151"/>
      <c r="I1519" s="151"/>
      <c r="J1519" s="151"/>
      <c r="K1519" s="151"/>
      <c r="L1519" s="151"/>
      <c r="M1519" s="151"/>
      <c r="N1519" s="151"/>
      <c r="O1519" s="151"/>
      <c r="P1519" s="151"/>
      <c r="Q1519" s="151"/>
      <c r="R1519" s="151"/>
      <c r="S1519" s="152"/>
      <c r="T1519" s="151"/>
      <c r="U1519" s="151"/>
      <c r="V1519" s="153"/>
      <c r="W1519" s="151"/>
      <c r="X1519" s="151"/>
      <c r="Y1519" s="153"/>
      <c r="Z1519" s="151"/>
      <c r="AA1519" s="187" t="str">
        <f t="shared" si="47"/>
        <v>No</v>
      </c>
      <c r="AB1519" s="158"/>
      <c r="AC1519" s="159"/>
      <c r="AD1519" s="160"/>
    </row>
    <row r="1520" spans="1:30">
      <c r="A1520" s="155"/>
      <c r="B1520" s="112" t="str">
        <f t="shared" si="46"/>
        <v/>
      </c>
      <c r="C1520" s="183"/>
      <c r="D1520" s="152"/>
      <c r="E1520" s="152"/>
      <c r="F1520" s="151"/>
      <c r="G1520" s="153"/>
      <c r="H1520" s="151"/>
      <c r="I1520" s="151"/>
      <c r="J1520" s="151"/>
      <c r="K1520" s="151"/>
      <c r="L1520" s="151"/>
      <c r="M1520" s="151"/>
      <c r="N1520" s="151"/>
      <c r="O1520" s="151"/>
      <c r="P1520" s="151"/>
      <c r="Q1520" s="151"/>
      <c r="R1520" s="151"/>
      <c r="S1520" s="152"/>
      <c r="T1520" s="151"/>
      <c r="U1520" s="151"/>
      <c r="V1520" s="153"/>
      <c r="W1520" s="151"/>
      <c r="X1520" s="151"/>
      <c r="Y1520" s="153"/>
      <c r="Z1520" s="151"/>
      <c r="AA1520" s="187" t="str">
        <f t="shared" si="47"/>
        <v>No</v>
      </c>
      <c r="AB1520" s="158"/>
      <c r="AC1520" s="159"/>
      <c r="AD1520" s="160"/>
    </row>
    <row r="1521" spans="1:30">
      <c r="A1521" s="155"/>
      <c r="B1521" s="112" t="str">
        <f t="shared" si="46"/>
        <v/>
      </c>
      <c r="C1521" s="183"/>
      <c r="D1521" s="152"/>
      <c r="E1521" s="152"/>
      <c r="F1521" s="151"/>
      <c r="G1521" s="153"/>
      <c r="H1521" s="151"/>
      <c r="I1521" s="151"/>
      <c r="J1521" s="151"/>
      <c r="K1521" s="151"/>
      <c r="L1521" s="151"/>
      <c r="M1521" s="151"/>
      <c r="N1521" s="151"/>
      <c r="O1521" s="151"/>
      <c r="P1521" s="151"/>
      <c r="Q1521" s="151"/>
      <c r="R1521" s="151"/>
      <c r="S1521" s="152"/>
      <c r="T1521" s="151"/>
      <c r="U1521" s="151"/>
      <c r="V1521" s="153"/>
      <c r="W1521" s="151"/>
      <c r="X1521" s="151"/>
      <c r="Y1521" s="153"/>
      <c r="Z1521" s="151"/>
      <c r="AA1521" s="187" t="str">
        <f t="shared" si="47"/>
        <v>No</v>
      </c>
      <c r="AB1521" s="158"/>
      <c r="AC1521" s="159"/>
      <c r="AD1521" s="160"/>
    </row>
    <row r="1522" spans="1:30">
      <c r="A1522" s="155"/>
      <c r="B1522" s="112" t="str">
        <f t="shared" si="46"/>
        <v/>
      </c>
      <c r="C1522" s="183"/>
      <c r="D1522" s="152"/>
      <c r="E1522" s="152"/>
      <c r="F1522" s="151"/>
      <c r="G1522" s="153"/>
      <c r="H1522" s="151"/>
      <c r="I1522" s="151"/>
      <c r="J1522" s="151"/>
      <c r="K1522" s="151"/>
      <c r="L1522" s="151"/>
      <c r="M1522" s="151"/>
      <c r="N1522" s="151"/>
      <c r="O1522" s="151"/>
      <c r="P1522" s="151"/>
      <c r="Q1522" s="151"/>
      <c r="R1522" s="151"/>
      <c r="S1522" s="152"/>
      <c r="T1522" s="151"/>
      <c r="U1522" s="151"/>
      <c r="V1522" s="153"/>
      <c r="W1522" s="151"/>
      <c r="X1522" s="151"/>
      <c r="Y1522" s="153"/>
      <c r="Z1522" s="151"/>
      <c r="AA1522" s="187" t="str">
        <f t="shared" si="47"/>
        <v>No</v>
      </c>
      <c r="AB1522" s="158"/>
      <c r="AC1522" s="159"/>
      <c r="AD1522" s="160"/>
    </row>
    <row r="1523" spans="1:30">
      <c r="A1523" s="155"/>
      <c r="B1523" s="112" t="str">
        <f t="shared" si="46"/>
        <v/>
      </c>
      <c r="C1523" s="183"/>
      <c r="D1523" s="152"/>
      <c r="E1523" s="152"/>
      <c r="F1523" s="151"/>
      <c r="G1523" s="153"/>
      <c r="H1523" s="151"/>
      <c r="I1523" s="151"/>
      <c r="J1523" s="151"/>
      <c r="K1523" s="151"/>
      <c r="L1523" s="151"/>
      <c r="M1523" s="151"/>
      <c r="N1523" s="151"/>
      <c r="O1523" s="151"/>
      <c r="P1523" s="151"/>
      <c r="Q1523" s="151"/>
      <c r="R1523" s="151"/>
      <c r="S1523" s="152"/>
      <c r="T1523" s="151"/>
      <c r="U1523" s="151"/>
      <c r="V1523" s="153"/>
      <c r="W1523" s="151"/>
      <c r="X1523" s="151"/>
      <c r="Y1523" s="153"/>
      <c r="Z1523" s="151"/>
      <c r="AA1523" s="187" t="str">
        <f t="shared" si="47"/>
        <v>No</v>
      </c>
      <c r="AB1523" s="158"/>
      <c r="AC1523" s="159"/>
      <c r="AD1523" s="160"/>
    </row>
    <row r="1524" spans="1:30">
      <c r="A1524" s="155"/>
      <c r="B1524" s="112" t="str">
        <f t="shared" si="46"/>
        <v/>
      </c>
      <c r="C1524" s="183"/>
      <c r="D1524" s="152"/>
      <c r="E1524" s="152"/>
      <c r="F1524" s="151"/>
      <c r="G1524" s="153"/>
      <c r="H1524" s="151"/>
      <c r="I1524" s="151"/>
      <c r="J1524" s="151"/>
      <c r="K1524" s="151"/>
      <c r="L1524" s="151"/>
      <c r="M1524" s="151"/>
      <c r="N1524" s="151"/>
      <c r="O1524" s="151"/>
      <c r="P1524" s="151"/>
      <c r="Q1524" s="151"/>
      <c r="R1524" s="151"/>
      <c r="S1524" s="152"/>
      <c r="T1524" s="151"/>
      <c r="U1524" s="151"/>
      <c r="V1524" s="153"/>
      <c r="W1524" s="151"/>
      <c r="X1524" s="151"/>
      <c r="Y1524" s="153"/>
      <c r="Z1524" s="151"/>
      <c r="AA1524" s="187" t="str">
        <f t="shared" si="47"/>
        <v>No</v>
      </c>
      <c r="AB1524" s="158"/>
      <c r="AC1524" s="159"/>
      <c r="AD1524" s="160"/>
    </row>
    <row r="1525" spans="1:30">
      <c r="A1525" s="155"/>
      <c r="B1525" s="112" t="str">
        <f t="shared" si="46"/>
        <v/>
      </c>
      <c r="C1525" s="183"/>
      <c r="D1525" s="152"/>
      <c r="E1525" s="152"/>
      <c r="F1525" s="151"/>
      <c r="G1525" s="153"/>
      <c r="H1525" s="151"/>
      <c r="I1525" s="151"/>
      <c r="J1525" s="151"/>
      <c r="K1525" s="151"/>
      <c r="L1525" s="151"/>
      <c r="M1525" s="151"/>
      <c r="N1525" s="151"/>
      <c r="O1525" s="151"/>
      <c r="P1525" s="151"/>
      <c r="Q1525" s="151"/>
      <c r="R1525" s="151"/>
      <c r="S1525" s="152"/>
      <c r="T1525" s="151"/>
      <c r="U1525" s="151"/>
      <c r="V1525" s="153"/>
      <c r="W1525" s="151"/>
      <c r="X1525" s="151"/>
      <c r="Y1525" s="153"/>
      <c r="Z1525" s="151"/>
      <c r="AA1525" s="187" t="str">
        <f t="shared" si="47"/>
        <v>No</v>
      </c>
      <c r="AB1525" s="158"/>
      <c r="AC1525" s="159"/>
      <c r="AD1525" s="160"/>
    </row>
    <row r="1526" spans="1:30">
      <c r="A1526" s="155"/>
      <c r="B1526" s="112" t="str">
        <f t="shared" si="46"/>
        <v/>
      </c>
      <c r="C1526" s="183"/>
      <c r="D1526" s="152"/>
      <c r="E1526" s="152"/>
      <c r="F1526" s="151"/>
      <c r="G1526" s="153"/>
      <c r="H1526" s="151"/>
      <c r="I1526" s="151"/>
      <c r="J1526" s="151"/>
      <c r="K1526" s="151"/>
      <c r="L1526" s="151"/>
      <c r="M1526" s="151"/>
      <c r="N1526" s="151"/>
      <c r="O1526" s="151"/>
      <c r="P1526" s="151"/>
      <c r="Q1526" s="151"/>
      <c r="R1526" s="151"/>
      <c r="S1526" s="152"/>
      <c r="T1526" s="151"/>
      <c r="U1526" s="151"/>
      <c r="V1526" s="153"/>
      <c r="W1526" s="151"/>
      <c r="X1526" s="151"/>
      <c r="Y1526" s="153"/>
      <c r="Z1526" s="151"/>
      <c r="AA1526" s="187" t="str">
        <f t="shared" si="47"/>
        <v>No</v>
      </c>
      <c r="AB1526" s="158"/>
      <c r="AC1526" s="159"/>
      <c r="AD1526" s="160"/>
    </row>
    <row r="1527" spans="1:30">
      <c r="A1527" s="155"/>
      <c r="B1527" s="112" t="str">
        <f t="shared" si="46"/>
        <v/>
      </c>
      <c r="C1527" s="183"/>
      <c r="D1527" s="152"/>
      <c r="E1527" s="152"/>
      <c r="F1527" s="151"/>
      <c r="G1527" s="153"/>
      <c r="H1527" s="151"/>
      <c r="I1527" s="151"/>
      <c r="J1527" s="151"/>
      <c r="K1527" s="151"/>
      <c r="L1527" s="151"/>
      <c r="M1527" s="151"/>
      <c r="N1527" s="151"/>
      <c r="O1527" s="151"/>
      <c r="P1527" s="151"/>
      <c r="Q1527" s="151"/>
      <c r="R1527" s="151"/>
      <c r="S1527" s="152"/>
      <c r="T1527" s="151"/>
      <c r="U1527" s="151"/>
      <c r="V1527" s="153"/>
      <c r="W1527" s="151"/>
      <c r="X1527" s="151"/>
      <c r="Y1527" s="153"/>
      <c r="Z1527" s="151"/>
      <c r="AA1527" s="187" t="str">
        <f t="shared" si="47"/>
        <v>No</v>
      </c>
      <c r="AB1527" s="158"/>
      <c r="AC1527" s="159"/>
      <c r="AD1527" s="160"/>
    </row>
    <row r="1528" spans="1:30">
      <c r="A1528" s="155"/>
      <c r="B1528" s="112" t="str">
        <f t="shared" si="46"/>
        <v/>
      </c>
      <c r="C1528" s="183"/>
      <c r="D1528" s="152"/>
      <c r="E1528" s="152"/>
      <c r="F1528" s="151"/>
      <c r="G1528" s="153"/>
      <c r="H1528" s="151"/>
      <c r="I1528" s="151"/>
      <c r="J1528" s="151"/>
      <c r="K1528" s="151"/>
      <c r="L1528" s="151"/>
      <c r="M1528" s="151"/>
      <c r="N1528" s="151"/>
      <c r="O1528" s="151"/>
      <c r="P1528" s="151"/>
      <c r="Q1528" s="151"/>
      <c r="R1528" s="151"/>
      <c r="S1528" s="152"/>
      <c r="T1528" s="151"/>
      <c r="U1528" s="151"/>
      <c r="V1528" s="153"/>
      <c r="W1528" s="151"/>
      <c r="X1528" s="151"/>
      <c r="Y1528" s="153"/>
      <c r="Z1528" s="151"/>
      <c r="AA1528" s="187" t="str">
        <f t="shared" si="47"/>
        <v>No</v>
      </c>
      <c r="AB1528" s="158"/>
      <c r="AC1528" s="159"/>
      <c r="AD1528" s="160"/>
    </row>
    <row r="1529" spans="1:30">
      <c r="A1529" s="155"/>
      <c r="B1529" s="112" t="str">
        <f t="shared" si="46"/>
        <v/>
      </c>
      <c r="C1529" s="183"/>
      <c r="D1529" s="152"/>
      <c r="E1529" s="152"/>
      <c r="F1529" s="151"/>
      <c r="G1529" s="153"/>
      <c r="H1529" s="151"/>
      <c r="I1529" s="151"/>
      <c r="J1529" s="151"/>
      <c r="K1529" s="151"/>
      <c r="L1529" s="151"/>
      <c r="M1529" s="151"/>
      <c r="N1529" s="151"/>
      <c r="O1529" s="151"/>
      <c r="P1529" s="151"/>
      <c r="Q1529" s="151"/>
      <c r="R1529" s="151"/>
      <c r="S1529" s="152"/>
      <c r="T1529" s="151"/>
      <c r="U1529" s="151"/>
      <c r="V1529" s="153"/>
      <c r="W1529" s="151"/>
      <c r="X1529" s="151"/>
      <c r="Y1529" s="153"/>
      <c r="Z1529" s="151"/>
      <c r="AA1529" s="187" t="str">
        <f t="shared" si="47"/>
        <v>No</v>
      </c>
      <c r="AB1529" s="158"/>
      <c r="AC1529" s="159"/>
      <c r="AD1529" s="160"/>
    </row>
    <row r="1530" spans="1:30">
      <c r="A1530" s="155"/>
      <c r="B1530" s="112" t="str">
        <f t="shared" si="46"/>
        <v/>
      </c>
      <c r="C1530" s="183"/>
      <c r="D1530" s="152"/>
      <c r="E1530" s="152"/>
      <c r="F1530" s="151"/>
      <c r="G1530" s="153"/>
      <c r="H1530" s="151"/>
      <c r="I1530" s="151"/>
      <c r="J1530" s="151"/>
      <c r="K1530" s="151"/>
      <c r="L1530" s="151"/>
      <c r="M1530" s="151"/>
      <c r="N1530" s="151"/>
      <c r="O1530" s="151"/>
      <c r="P1530" s="151"/>
      <c r="Q1530" s="151"/>
      <c r="R1530" s="151"/>
      <c r="S1530" s="152"/>
      <c r="T1530" s="151"/>
      <c r="U1530" s="151"/>
      <c r="V1530" s="153"/>
      <c r="W1530" s="151"/>
      <c r="X1530" s="151"/>
      <c r="Y1530" s="153"/>
      <c r="Z1530" s="151"/>
      <c r="AA1530" s="187" t="str">
        <f t="shared" si="47"/>
        <v>No</v>
      </c>
      <c r="AB1530" s="158"/>
      <c r="AC1530" s="159"/>
      <c r="AD1530" s="160"/>
    </row>
    <row r="1531" spans="1:30">
      <c r="A1531" s="155"/>
      <c r="B1531" s="112" t="str">
        <f t="shared" si="46"/>
        <v/>
      </c>
      <c r="C1531" s="183"/>
      <c r="D1531" s="152"/>
      <c r="E1531" s="152"/>
      <c r="F1531" s="151"/>
      <c r="G1531" s="153"/>
      <c r="H1531" s="151"/>
      <c r="I1531" s="151"/>
      <c r="J1531" s="151"/>
      <c r="K1531" s="151"/>
      <c r="L1531" s="151"/>
      <c r="M1531" s="151"/>
      <c r="N1531" s="151"/>
      <c r="O1531" s="151"/>
      <c r="P1531" s="151"/>
      <c r="Q1531" s="151"/>
      <c r="R1531" s="151"/>
      <c r="S1531" s="152"/>
      <c r="T1531" s="151"/>
      <c r="U1531" s="151"/>
      <c r="V1531" s="153"/>
      <c r="W1531" s="151"/>
      <c r="X1531" s="151"/>
      <c r="Y1531" s="153"/>
      <c r="Z1531" s="151"/>
      <c r="AA1531" s="187" t="str">
        <f t="shared" si="47"/>
        <v>No</v>
      </c>
      <c r="AB1531" s="158"/>
      <c r="AC1531" s="159"/>
      <c r="AD1531" s="160"/>
    </row>
    <row r="1532" spans="1:30">
      <c r="A1532" s="155"/>
      <c r="B1532" s="112" t="str">
        <f t="shared" si="46"/>
        <v/>
      </c>
      <c r="C1532" s="183"/>
      <c r="D1532" s="152"/>
      <c r="E1532" s="152"/>
      <c r="F1532" s="151"/>
      <c r="G1532" s="153"/>
      <c r="H1532" s="151"/>
      <c r="I1532" s="151"/>
      <c r="J1532" s="151"/>
      <c r="K1532" s="151"/>
      <c r="L1532" s="151"/>
      <c r="M1532" s="151"/>
      <c r="N1532" s="151"/>
      <c r="O1532" s="151"/>
      <c r="P1532" s="151"/>
      <c r="Q1532" s="151"/>
      <c r="R1532" s="151"/>
      <c r="S1532" s="152"/>
      <c r="T1532" s="151"/>
      <c r="U1532" s="151"/>
      <c r="V1532" s="153"/>
      <c r="W1532" s="151"/>
      <c r="X1532" s="151"/>
      <c r="Y1532" s="153"/>
      <c r="Z1532" s="151"/>
      <c r="AA1532" s="187" t="str">
        <f t="shared" si="47"/>
        <v>No</v>
      </c>
      <c r="AB1532" s="158"/>
      <c r="AC1532" s="159"/>
      <c r="AD1532" s="160"/>
    </row>
    <row r="1533" spans="1:30">
      <c r="A1533" s="155"/>
      <c r="B1533" s="112" t="str">
        <f t="shared" si="46"/>
        <v/>
      </c>
      <c r="C1533" s="183"/>
      <c r="D1533" s="152"/>
      <c r="E1533" s="152"/>
      <c r="F1533" s="151"/>
      <c r="G1533" s="153"/>
      <c r="H1533" s="151"/>
      <c r="I1533" s="151"/>
      <c r="J1533" s="151"/>
      <c r="K1533" s="151"/>
      <c r="L1533" s="151"/>
      <c r="M1533" s="151"/>
      <c r="N1533" s="151"/>
      <c r="O1533" s="151"/>
      <c r="P1533" s="151"/>
      <c r="Q1533" s="151"/>
      <c r="R1533" s="151"/>
      <c r="S1533" s="152"/>
      <c r="T1533" s="151"/>
      <c r="U1533" s="151"/>
      <c r="V1533" s="153"/>
      <c r="W1533" s="151"/>
      <c r="X1533" s="151"/>
      <c r="Y1533" s="153"/>
      <c r="Z1533" s="151"/>
      <c r="AA1533" s="187" t="str">
        <f t="shared" si="47"/>
        <v>No</v>
      </c>
      <c r="AB1533" s="158"/>
      <c r="AC1533" s="159"/>
      <c r="AD1533" s="160"/>
    </row>
    <row r="1534" spans="1:30">
      <c r="A1534" s="155"/>
      <c r="B1534" s="112" t="str">
        <f t="shared" si="46"/>
        <v/>
      </c>
      <c r="C1534" s="183"/>
      <c r="D1534" s="152"/>
      <c r="E1534" s="152"/>
      <c r="F1534" s="151"/>
      <c r="G1534" s="153"/>
      <c r="H1534" s="151"/>
      <c r="I1534" s="151"/>
      <c r="J1534" s="151"/>
      <c r="K1534" s="151"/>
      <c r="L1534" s="151"/>
      <c r="M1534" s="151"/>
      <c r="N1534" s="151"/>
      <c r="O1534" s="151"/>
      <c r="P1534" s="151"/>
      <c r="Q1534" s="151"/>
      <c r="R1534" s="151"/>
      <c r="S1534" s="152"/>
      <c r="T1534" s="151"/>
      <c r="U1534" s="151"/>
      <c r="V1534" s="153"/>
      <c r="W1534" s="151"/>
      <c r="X1534" s="151"/>
      <c r="Y1534" s="153"/>
      <c r="Z1534" s="151"/>
      <c r="AA1534" s="187" t="str">
        <f t="shared" si="47"/>
        <v>No</v>
      </c>
      <c r="AB1534" s="158"/>
      <c r="AC1534" s="159"/>
      <c r="AD1534" s="160"/>
    </row>
    <row r="1535" spans="1:30">
      <c r="A1535" s="155"/>
      <c r="B1535" s="112" t="str">
        <f t="shared" si="46"/>
        <v/>
      </c>
      <c r="C1535" s="183"/>
      <c r="D1535" s="152"/>
      <c r="E1535" s="152"/>
      <c r="F1535" s="151"/>
      <c r="G1535" s="153"/>
      <c r="H1535" s="151"/>
      <c r="I1535" s="151"/>
      <c r="J1535" s="151"/>
      <c r="K1535" s="151"/>
      <c r="L1535" s="151"/>
      <c r="M1535" s="151"/>
      <c r="N1535" s="151"/>
      <c r="O1535" s="151"/>
      <c r="P1535" s="151"/>
      <c r="Q1535" s="151"/>
      <c r="R1535" s="151"/>
      <c r="S1535" s="152"/>
      <c r="T1535" s="151"/>
      <c r="U1535" s="151"/>
      <c r="V1535" s="153"/>
      <c r="W1535" s="151"/>
      <c r="X1535" s="151"/>
      <c r="Y1535" s="153"/>
      <c r="Z1535" s="151"/>
      <c r="AA1535" s="187" t="str">
        <f t="shared" si="47"/>
        <v>No</v>
      </c>
      <c r="AB1535" s="158"/>
      <c r="AC1535" s="159"/>
      <c r="AD1535" s="160"/>
    </row>
    <row r="1536" spans="1:30">
      <c r="A1536" s="155"/>
      <c r="B1536" s="112" t="str">
        <f t="shared" si="46"/>
        <v/>
      </c>
      <c r="C1536" s="183"/>
      <c r="D1536" s="152"/>
      <c r="E1536" s="152"/>
      <c r="F1536" s="151"/>
      <c r="G1536" s="153"/>
      <c r="H1536" s="151"/>
      <c r="I1536" s="151"/>
      <c r="J1536" s="151"/>
      <c r="K1536" s="151"/>
      <c r="L1536" s="151"/>
      <c r="M1536" s="151"/>
      <c r="N1536" s="151"/>
      <c r="O1536" s="151"/>
      <c r="P1536" s="151"/>
      <c r="Q1536" s="151"/>
      <c r="R1536" s="151"/>
      <c r="S1536" s="152"/>
      <c r="T1536" s="151"/>
      <c r="U1536" s="151"/>
      <c r="V1536" s="153"/>
      <c r="W1536" s="151"/>
      <c r="X1536" s="151"/>
      <c r="Y1536" s="153"/>
      <c r="Z1536" s="151"/>
      <c r="AA1536" s="187" t="str">
        <f t="shared" si="47"/>
        <v>No</v>
      </c>
      <c r="AB1536" s="158"/>
      <c r="AC1536" s="159"/>
      <c r="AD1536" s="160"/>
    </row>
    <row r="1537" spans="1:30">
      <c r="A1537" s="155"/>
      <c r="B1537" s="112" t="str">
        <f t="shared" si="46"/>
        <v/>
      </c>
      <c r="C1537" s="183"/>
      <c r="D1537" s="152"/>
      <c r="E1537" s="152"/>
      <c r="F1537" s="151"/>
      <c r="G1537" s="153"/>
      <c r="H1537" s="151"/>
      <c r="I1537" s="151"/>
      <c r="J1537" s="151"/>
      <c r="K1537" s="151"/>
      <c r="L1537" s="151"/>
      <c r="M1537" s="151"/>
      <c r="N1537" s="151"/>
      <c r="O1537" s="151"/>
      <c r="P1537" s="151"/>
      <c r="Q1537" s="151"/>
      <c r="R1537" s="151"/>
      <c r="S1537" s="152"/>
      <c r="T1537" s="151"/>
      <c r="U1537" s="151"/>
      <c r="V1537" s="153"/>
      <c r="W1537" s="151"/>
      <c r="X1537" s="151"/>
      <c r="Y1537" s="153"/>
      <c r="Z1537" s="151"/>
      <c r="AA1537" s="187" t="str">
        <f t="shared" si="47"/>
        <v>No</v>
      </c>
      <c r="AB1537" s="158"/>
      <c r="AC1537" s="159"/>
      <c r="AD1537" s="160"/>
    </row>
    <row r="1538" spans="1:30">
      <c r="A1538" s="155"/>
      <c r="B1538" s="112" t="str">
        <f t="shared" si="46"/>
        <v/>
      </c>
      <c r="C1538" s="183"/>
      <c r="D1538" s="152"/>
      <c r="E1538" s="152"/>
      <c r="F1538" s="151"/>
      <c r="G1538" s="153"/>
      <c r="H1538" s="151"/>
      <c r="I1538" s="151"/>
      <c r="J1538" s="151"/>
      <c r="K1538" s="151"/>
      <c r="L1538" s="151"/>
      <c r="M1538" s="151"/>
      <c r="N1538" s="151"/>
      <c r="O1538" s="151"/>
      <c r="P1538" s="151"/>
      <c r="Q1538" s="151"/>
      <c r="R1538" s="151"/>
      <c r="S1538" s="152"/>
      <c r="T1538" s="151"/>
      <c r="U1538" s="151"/>
      <c r="V1538" s="153"/>
      <c r="W1538" s="151"/>
      <c r="X1538" s="151"/>
      <c r="Y1538" s="153"/>
      <c r="Z1538" s="151"/>
      <c r="AA1538" s="187" t="str">
        <f t="shared" si="47"/>
        <v>No</v>
      </c>
      <c r="AB1538" s="158"/>
      <c r="AC1538" s="159"/>
      <c r="AD1538" s="160"/>
    </row>
    <row r="1539" spans="1:30">
      <c r="A1539" s="155"/>
      <c r="B1539" s="112" t="str">
        <f t="shared" si="46"/>
        <v/>
      </c>
      <c r="C1539" s="183"/>
      <c r="D1539" s="152"/>
      <c r="E1539" s="152"/>
      <c r="F1539" s="151"/>
      <c r="G1539" s="153"/>
      <c r="H1539" s="151"/>
      <c r="I1539" s="151"/>
      <c r="J1539" s="151"/>
      <c r="K1539" s="151"/>
      <c r="L1539" s="151"/>
      <c r="M1539" s="151"/>
      <c r="N1539" s="151"/>
      <c r="O1539" s="151"/>
      <c r="P1539" s="151"/>
      <c r="Q1539" s="151"/>
      <c r="R1539" s="151"/>
      <c r="S1539" s="152"/>
      <c r="T1539" s="151"/>
      <c r="U1539" s="151"/>
      <c r="V1539" s="153"/>
      <c r="W1539" s="151"/>
      <c r="X1539" s="151"/>
      <c r="Y1539" s="153"/>
      <c r="Z1539" s="151"/>
      <c r="AA1539" s="187" t="str">
        <f t="shared" si="47"/>
        <v>No</v>
      </c>
      <c r="AB1539" s="158"/>
      <c r="AC1539" s="159"/>
      <c r="AD1539" s="160"/>
    </row>
    <row r="1540" spans="1:30">
      <c r="A1540" s="155"/>
      <c r="B1540" s="112" t="str">
        <f t="shared" si="46"/>
        <v/>
      </c>
      <c r="C1540" s="183"/>
      <c r="D1540" s="152"/>
      <c r="E1540" s="152"/>
      <c r="F1540" s="151"/>
      <c r="G1540" s="153"/>
      <c r="H1540" s="151"/>
      <c r="I1540" s="151"/>
      <c r="J1540" s="151"/>
      <c r="K1540" s="151"/>
      <c r="L1540" s="151"/>
      <c r="M1540" s="151"/>
      <c r="N1540" s="151"/>
      <c r="O1540" s="151"/>
      <c r="P1540" s="151"/>
      <c r="Q1540" s="151"/>
      <c r="R1540" s="151"/>
      <c r="S1540" s="152"/>
      <c r="T1540" s="151"/>
      <c r="U1540" s="151"/>
      <c r="V1540" s="153"/>
      <c r="W1540" s="151"/>
      <c r="X1540" s="151"/>
      <c r="Y1540" s="153"/>
      <c r="Z1540" s="151"/>
      <c r="AA1540" s="187" t="str">
        <f t="shared" si="47"/>
        <v>No</v>
      </c>
      <c r="AB1540" s="158"/>
      <c r="AC1540" s="159"/>
      <c r="AD1540" s="160"/>
    </row>
    <row r="1541" spans="1:30">
      <c r="A1541" s="155"/>
      <c r="B1541" s="112" t="str">
        <f t="shared" ref="B1541:B1604" si="48">IF(AND(A1541&lt;&gt;"",D1541&lt;&gt;"",J1541&lt;&gt;"",N1541&lt;&gt;""),TEXT(D1541,"YY")&amp;"-"&amp;TEXT(D1541,"MMM")&amp;"-"&amp;UPPER(LEFT(TRIM(N1541),2))&amp;"-"&amp;UPPER(LEFT(TRIM(J1541),3))&amp;"-"&amp;A1541,"")</f>
        <v/>
      </c>
      <c r="C1541" s="183"/>
      <c r="D1541" s="152"/>
      <c r="E1541" s="152"/>
      <c r="F1541" s="151"/>
      <c r="G1541" s="153"/>
      <c r="H1541" s="151"/>
      <c r="I1541" s="151"/>
      <c r="J1541" s="151"/>
      <c r="K1541" s="151"/>
      <c r="L1541" s="151"/>
      <c r="M1541" s="151"/>
      <c r="N1541" s="151"/>
      <c r="O1541" s="151"/>
      <c r="P1541" s="151"/>
      <c r="Q1541" s="151"/>
      <c r="R1541" s="151"/>
      <c r="S1541" s="152"/>
      <c r="T1541" s="151"/>
      <c r="U1541" s="151"/>
      <c r="V1541" s="153"/>
      <c r="W1541" s="151"/>
      <c r="X1541" s="151"/>
      <c r="Y1541" s="153"/>
      <c r="Z1541" s="151"/>
      <c r="AA1541" s="187" t="str">
        <f t="shared" ref="AA1541:AA1604" si="49">IF(E1541="","No","Yes")</f>
        <v>No</v>
      </c>
      <c r="AB1541" s="158"/>
      <c r="AC1541" s="159"/>
      <c r="AD1541" s="160"/>
    </row>
    <row r="1542" spans="1:30">
      <c r="A1542" s="155"/>
      <c r="B1542" s="112" t="str">
        <f t="shared" si="48"/>
        <v/>
      </c>
      <c r="C1542" s="183"/>
      <c r="D1542" s="152"/>
      <c r="E1542" s="152"/>
      <c r="F1542" s="151"/>
      <c r="G1542" s="153"/>
      <c r="H1542" s="151"/>
      <c r="I1542" s="151"/>
      <c r="J1542" s="151"/>
      <c r="K1542" s="151"/>
      <c r="L1542" s="151"/>
      <c r="M1542" s="151"/>
      <c r="N1542" s="151"/>
      <c r="O1542" s="151"/>
      <c r="P1542" s="151"/>
      <c r="Q1542" s="151"/>
      <c r="R1542" s="151"/>
      <c r="S1542" s="152"/>
      <c r="T1542" s="151"/>
      <c r="U1542" s="151"/>
      <c r="V1542" s="153"/>
      <c r="W1542" s="151"/>
      <c r="X1542" s="151"/>
      <c r="Y1542" s="153"/>
      <c r="Z1542" s="151"/>
      <c r="AA1542" s="187" t="str">
        <f t="shared" si="49"/>
        <v>No</v>
      </c>
      <c r="AB1542" s="158"/>
      <c r="AC1542" s="159"/>
      <c r="AD1542" s="160"/>
    </row>
    <row r="1543" spans="1:30">
      <c r="A1543" s="155"/>
      <c r="B1543" s="112" t="str">
        <f t="shared" si="48"/>
        <v/>
      </c>
      <c r="C1543" s="183"/>
      <c r="D1543" s="152"/>
      <c r="E1543" s="152"/>
      <c r="F1543" s="151"/>
      <c r="G1543" s="153"/>
      <c r="H1543" s="151"/>
      <c r="I1543" s="151"/>
      <c r="J1543" s="151"/>
      <c r="K1543" s="151"/>
      <c r="L1543" s="151"/>
      <c r="M1543" s="151"/>
      <c r="N1543" s="151"/>
      <c r="O1543" s="151"/>
      <c r="P1543" s="151"/>
      <c r="Q1543" s="151"/>
      <c r="R1543" s="151"/>
      <c r="S1543" s="152"/>
      <c r="T1543" s="151"/>
      <c r="U1543" s="151"/>
      <c r="V1543" s="153"/>
      <c r="W1543" s="151"/>
      <c r="X1543" s="151"/>
      <c r="Y1543" s="153"/>
      <c r="Z1543" s="151"/>
      <c r="AA1543" s="187" t="str">
        <f t="shared" si="49"/>
        <v>No</v>
      </c>
      <c r="AB1543" s="158"/>
      <c r="AC1543" s="159"/>
      <c r="AD1543" s="160"/>
    </row>
    <row r="1544" spans="1:30">
      <c r="A1544" s="155"/>
      <c r="B1544" s="112" t="str">
        <f t="shared" si="48"/>
        <v/>
      </c>
      <c r="C1544" s="183"/>
      <c r="D1544" s="152"/>
      <c r="E1544" s="152"/>
      <c r="F1544" s="151"/>
      <c r="G1544" s="153"/>
      <c r="H1544" s="151"/>
      <c r="I1544" s="151"/>
      <c r="J1544" s="151"/>
      <c r="K1544" s="151"/>
      <c r="L1544" s="151"/>
      <c r="M1544" s="151"/>
      <c r="N1544" s="151"/>
      <c r="O1544" s="151"/>
      <c r="P1544" s="151"/>
      <c r="Q1544" s="151"/>
      <c r="R1544" s="151"/>
      <c r="S1544" s="152"/>
      <c r="T1544" s="151"/>
      <c r="U1544" s="151"/>
      <c r="V1544" s="153"/>
      <c r="W1544" s="151"/>
      <c r="X1544" s="151"/>
      <c r="Y1544" s="153"/>
      <c r="Z1544" s="151"/>
      <c r="AA1544" s="187" t="str">
        <f t="shared" si="49"/>
        <v>No</v>
      </c>
      <c r="AB1544" s="158"/>
      <c r="AC1544" s="159"/>
      <c r="AD1544" s="160"/>
    </row>
    <row r="1545" spans="1:30">
      <c r="A1545" s="155"/>
      <c r="B1545" s="112" t="str">
        <f t="shared" si="48"/>
        <v/>
      </c>
      <c r="C1545" s="183"/>
      <c r="D1545" s="152"/>
      <c r="E1545" s="152"/>
      <c r="F1545" s="151"/>
      <c r="G1545" s="153"/>
      <c r="H1545" s="151"/>
      <c r="I1545" s="151"/>
      <c r="J1545" s="151"/>
      <c r="K1545" s="151"/>
      <c r="L1545" s="151"/>
      <c r="M1545" s="151"/>
      <c r="N1545" s="151"/>
      <c r="O1545" s="151"/>
      <c r="P1545" s="151"/>
      <c r="Q1545" s="151"/>
      <c r="R1545" s="151"/>
      <c r="S1545" s="152"/>
      <c r="T1545" s="151"/>
      <c r="U1545" s="151"/>
      <c r="V1545" s="153"/>
      <c r="W1545" s="151"/>
      <c r="X1545" s="151"/>
      <c r="Y1545" s="153"/>
      <c r="Z1545" s="151"/>
      <c r="AA1545" s="187" t="str">
        <f t="shared" si="49"/>
        <v>No</v>
      </c>
      <c r="AB1545" s="158"/>
      <c r="AC1545" s="159"/>
      <c r="AD1545" s="160"/>
    </row>
    <row r="1546" spans="1:30">
      <c r="A1546" s="155"/>
      <c r="B1546" s="112" t="str">
        <f t="shared" si="48"/>
        <v/>
      </c>
      <c r="C1546" s="183"/>
      <c r="D1546" s="152"/>
      <c r="E1546" s="152"/>
      <c r="F1546" s="151"/>
      <c r="G1546" s="153"/>
      <c r="H1546" s="151"/>
      <c r="I1546" s="151"/>
      <c r="J1546" s="151"/>
      <c r="K1546" s="151"/>
      <c r="L1546" s="151"/>
      <c r="M1546" s="151"/>
      <c r="N1546" s="151"/>
      <c r="O1546" s="151"/>
      <c r="P1546" s="151"/>
      <c r="Q1546" s="151"/>
      <c r="R1546" s="151"/>
      <c r="S1546" s="152"/>
      <c r="T1546" s="151"/>
      <c r="U1546" s="151"/>
      <c r="V1546" s="153"/>
      <c r="W1546" s="151"/>
      <c r="X1546" s="151"/>
      <c r="Y1546" s="153"/>
      <c r="Z1546" s="151"/>
      <c r="AA1546" s="187" t="str">
        <f t="shared" si="49"/>
        <v>No</v>
      </c>
      <c r="AB1546" s="158"/>
      <c r="AC1546" s="159"/>
      <c r="AD1546" s="160"/>
    </row>
    <row r="1547" spans="1:30">
      <c r="A1547" s="155"/>
      <c r="B1547" s="112" t="str">
        <f t="shared" si="48"/>
        <v/>
      </c>
      <c r="C1547" s="183"/>
      <c r="D1547" s="152"/>
      <c r="E1547" s="152"/>
      <c r="F1547" s="151"/>
      <c r="G1547" s="153"/>
      <c r="H1547" s="151"/>
      <c r="I1547" s="151"/>
      <c r="J1547" s="151"/>
      <c r="K1547" s="151"/>
      <c r="L1547" s="151"/>
      <c r="M1547" s="151"/>
      <c r="N1547" s="151"/>
      <c r="O1547" s="151"/>
      <c r="P1547" s="151"/>
      <c r="Q1547" s="151"/>
      <c r="R1547" s="151"/>
      <c r="S1547" s="152"/>
      <c r="T1547" s="151"/>
      <c r="U1547" s="151"/>
      <c r="V1547" s="153"/>
      <c r="W1547" s="151"/>
      <c r="X1547" s="151"/>
      <c r="Y1547" s="153"/>
      <c r="Z1547" s="151"/>
      <c r="AA1547" s="187" t="str">
        <f t="shared" si="49"/>
        <v>No</v>
      </c>
      <c r="AB1547" s="158"/>
      <c r="AC1547" s="159"/>
      <c r="AD1547" s="160"/>
    </row>
    <row r="1548" spans="1:30">
      <c r="A1548" s="155"/>
      <c r="B1548" s="112" t="str">
        <f t="shared" si="48"/>
        <v/>
      </c>
      <c r="C1548" s="183"/>
      <c r="D1548" s="152"/>
      <c r="E1548" s="152"/>
      <c r="F1548" s="151"/>
      <c r="G1548" s="153"/>
      <c r="H1548" s="151"/>
      <c r="I1548" s="151"/>
      <c r="J1548" s="151"/>
      <c r="K1548" s="151"/>
      <c r="L1548" s="151"/>
      <c r="M1548" s="151"/>
      <c r="N1548" s="151"/>
      <c r="O1548" s="151"/>
      <c r="P1548" s="151"/>
      <c r="Q1548" s="151"/>
      <c r="R1548" s="151"/>
      <c r="S1548" s="152"/>
      <c r="T1548" s="151"/>
      <c r="U1548" s="151"/>
      <c r="V1548" s="153"/>
      <c r="W1548" s="151"/>
      <c r="X1548" s="151"/>
      <c r="Y1548" s="153"/>
      <c r="Z1548" s="151"/>
      <c r="AA1548" s="187" t="str">
        <f t="shared" si="49"/>
        <v>No</v>
      </c>
      <c r="AB1548" s="158"/>
      <c r="AC1548" s="159"/>
      <c r="AD1548" s="160"/>
    </row>
    <row r="1549" spans="1:30">
      <c r="A1549" s="155"/>
      <c r="B1549" s="112" t="str">
        <f t="shared" si="48"/>
        <v/>
      </c>
      <c r="C1549" s="183"/>
      <c r="D1549" s="152"/>
      <c r="E1549" s="152"/>
      <c r="F1549" s="151"/>
      <c r="G1549" s="153"/>
      <c r="H1549" s="151"/>
      <c r="I1549" s="151"/>
      <c r="J1549" s="151"/>
      <c r="K1549" s="151"/>
      <c r="L1549" s="151"/>
      <c r="M1549" s="151"/>
      <c r="N1549" s="151"/>
      <c r="O1549" s="151"/>
      <c r="P1549" s="151"/>
      <c r="Q1549" s="151"/>
      <c r="R1549" s="151"/>
      <c r="S1549" s="152"/>
      <c r="T1549" s="151"/>
      <c r="U1549" s="151"/>
      <c r="V1549" s="153"/>
      <c r="W1549" s="151"/>
      <c r="X1549" s="151"/>
      <c r="Y1549" s="153"/>
      <c r="Z1549" s="151"/>
      <c r="AA1549" s="187" t="str">
        <f t="shared" si="49"/>
        <v>No</v>
      </c>
      <c r="AB1549" s="158"/>
      <c r="AC1549" s="159"/>
      <c r="AD1549" s="160"/>
    </row>
    <row r="1550" spans="1:30">
      <c r="A1550" s="155"/>
      <c r="B1550" s="112" t="str">
        <f t="shared" si="48"/>
        <v/>
      </c>
      <c r="C1550" s="183"/>
      <c r="D1550" s="152"/>
      <c r="E1550" s="152"/>
      <c r="F1550" s="151"/>
      <c r="G1550" s="153"/>
      <c r="H1550" s="151"/>
      <c r="I1550" s="151"/>
      <c r="J1550" s="151"/>
      <c r="K1550" s="151"/>
      <c r="L1550" s="151"/>
      <c r="M1550" s="151"/>
      <c r="N1550" s="151"/>
      <c r="O1550" s="151"/>
      <c r="P1550" s="151"/>
      <c r="Q1550" s="151"/>
      <c r="R1550" s="151"/>
      <c r="S1550" s="152"/>
      <c r="T1550" s="151"/>
      <c r="U1550" s="151"/>
      <c r="V1550" s="153"/>
      <c r="W1550" s="151"/>
      <c r="X1550" s="151"/>
      <c r="Y1550" s="153"/>
      <c r="Z1550" s="151"/>
      <c r="AA1550" s="187" t="str">
        <f t="shared" si="49"/>
        <v>No</v>
      </c>
      <c r="AB1550" s="158"/>
      <c r="AC1550" s="159"/>
      <c r="AD1550" s="160"/>
    </row>
    <row r="1551" spans="1:30">
      <c r="A1551" s="155"/>
      <c r="B1551" s="112" t="str">
        <f t="shared" si="48"/>
        <v/>
      </c>
      <c r="C1551" s="183"/>
      <c r="D1551" s="152"/>
      <c r="E1551" s="152"/>
      <c r="F1551" s="151"/>
      <c r="G1551" s="153"/>
      <c r="H1551" s="151"/>
      <c r="I1551" s="151"/>
      <c r="J1551" s="151"/>
      <c r="K1551" s="151"/>
      <c r="L1551" s="151"/>
      <c r="M1551" s="151"/>
      <c r="N1551" s="151"/>
      <c r="O1551" s="151"/>
      <c r="P1551" s="151"/>
      <c r="Q1551" s="151"/>
      <c r="R1551" s="151"/>
      <c r="S1551" s="152"/>
      <c r="T1551" s="151"/>
      <c r="U1551" s="151"/>
      <c r="V1551" s="153"/>
      <c r="W1551" s="151"/>
      <c r="X1551" s="151"/>
      <c r="Y1551" s="153"/>
      <c r="Z1551" s="151"/>
      <c r="AA1551" s="187" t="str">
        <f t="shared" si="49"/>
        <v>No</v>
      </c>
      <c r="AB1551" s="158"/>
      <c r="AC1551" s="159"/>
      <c r="AD1551" s="160"/>
    </row>
    <row r="1552" spans="1:30">
      <c r="A1552" s="155"/>
      <c r="B1552" s="112" t="str">
        <f t="shared" si="48"/>
        <v/>
      </c>
      <c r="C1552" s="183"/>
      <c r="D1552" s="152"/>
      <c r="E1552" s="152"/>
      <c r="F1552" s="151"/>
      <c r="G1552" s="153"/>
      <c r="H1552" s="151"/>
      <c r="I1552" s="151"/>
      <c r="J1552" s="151"/>
      <c r="K1552" s="151"/>
      <c r="L1552" s="151"/>
      <c r="M1552" s="151"/>
      <c r="N1552" s="151"/>
      <c r="O1552" s="151"/>
      <c r="P1552" s="151"/>
      <c r="Q1552" s="151"/>
      <c r="R1552" s="151"/>
      <c r="S1552" s="152"/>
      <c r="T1552" s="151"/>
      <c r="U1552" s="151"/>
      <c r="V1552" s="153"/>
      <c r="W1552" s="151"/>
      <c r="X1552" s="151"/>
      <c r="Y1552" s="153"/>
      <c r="Z1552" s="151"/>
      <c r="AA1552" s="187" t="str">
        <f t="shared" si="49"/>
        <v>No</v>
      </c>
      <c r="AB1552" s="158"/>
      <c r="AC1552" s="159"/>
      <c r="AD1552" s="160"/>
    </row>
    <row r="1553" spans="1:30">
      <c r="A1553" s="155"/>
      <c r="B1553" s="112" t="str">
        <f t="shared" si="48"/>
        <v/>
      </c>
      <c r="C1553" s="183"/>
      <c r="D1553" s="152"/>
      <c r="E1553" s="152"/>
      <c r="F1553" s="151"/>
      <c r="G1553" s="153"/>
      <c r="H1553" s="151"/>
      <c r="I1553" s="151"/>
      <c r="J1553" s="151"/>
      <c r="K1553" s="151"/>
      <c r="L1553" s="151"/>
      <c r="M1553" s="151"/>
      <c r="N1553" s="151"/>
      <c r="O1553" s="151"/>
      <c r="P1553" s="151"/>
      <c r="Q1553" s="151"/>
      <c r="R1553" s="151"/>
      <c r="S1553" s="152"/>
      <c r="T1553" s="151"/>
      <c r="U1553" s="151"/>
      <c r="V1553" s="153"/>
      <c r="W1553" s="151"/>
      <c r="X1553" s="151"/>
      <c r="Y1553" s="153"/>
      <c r="Z1553" s="151"/>
      <c r="AA1553" s="187" t="str">
        <f t="shared" si="49"/>
        <v>No</v>
      </c>
      <c r="AB1553" s="158"/>
      <c r="AC1553" s="159"/>
      <c r="AD1553" s="160"/>
    </row>
    <row r="1554" spans="1:30">
      <c r="A1554" s="155"/>
      <c r="B1554" s="112" t="str">
        <f t="shared" si="48"/>
        <v/>
      </c>
      <c r="C1554" s="183"/>
      <c r="D1554" s="152"/>
      <c r="E1554" s="152"/>
      <c r="F1554" s="151"/>
      <c r="G1554" s="153"/>
      <c r="H1554" s="151"/>
      <c r="I1554" s="151"/>
      <c r="J1554" s="151"/>
      <c r="K1554" s="151"/>
      <c r="L1554" s="151"/>
      <c r="M1554" s="151"/>
      <c r="N1554" s="151"/>
      <c r="O1554" s="151"/>
      <c r="P1554" s="151"/>
      <c r="Q1554" s="151"/>
      <c r="R1554" s="151"/>
      <c r="S1554" s="152"/>
      <c r="T1554" s="151"/>
      <c r="U1554" s="151"/>
      <c r="V1554" s="153"/>
      <c r="W1554" s="151"/>
      <c r="X1554" s="151"/>
      <c r="Y1554" s="153"/>
      <c r="Z1554" s="151"/>
      <c r="AA1554" s="187" t="str">
        <f t="shared" si="49"/>
        <v>No</v>
      </c>
      <c r="AB1554" s="158"/>
      <c r="AC1554" s="159"/>
      <c r="AD1554" s="160"/>
    </row>
    <row r="1555" spans="1:30">
      <c r="A1555" s="155"/>
      <c r="B1555" s="112" t="str">
        <f t="shared" si="48"/>
        <v/>
      </c>
      <c r="C1555" s="183"/>
      <c r="D1555" s="152"/>
      <c r="E1555" s="152"/>
      <c r="F1555" s="151"/>
      <c r="G1555" s="153"/>
      <c r="H1555" s="151"/>
      <c r="I1555" s="151"/>
      <c r="J1555" s="151"/>
      <c r="K1555" s="151"/>
      <c r="L1555" s="151"/>
      <c r="M1555" s="151"/>
      <c r="N1555" s="151"/>
      <c r="O1555" s="151"/>
      <c r="P1555" s="151"/>
      <c r="Q1555" s="151"/>
      <c r="R1555" s="151"/>
      <c r="S1555" s="152"/>
      <c r="T1555" s="151"/>
      <c r="U1555" s="151"/>
      <c r="V1555" s="153"/>
      <c r="W1555" s="151"/>
      <c r="X1555" s="151"/>
      <c r="Y1555" s="153"/>
      <c r="Z1555" s="151"/>
      <c r="AA1555" s="187" t="str">
        <f t="shared" si="49"/>
        <v>No</v>
      </c>
      <c r="AB1555" s="158"/>
      <c r="AC1555" s="159"/>
      <c r="AD1555" s="160"/>
    </row>
    <row r="1556" spans="1:30">
      <c r="A1556" s="155"/>
      <c r="B1556" s="112" t="str">
        <f t="shared" si="48"/>
        <v/>
      </c>
      <c r="C1556" s="183"/>
      <c r="D1556" s="152"/>
      <c r="E1556" s="152"/>
      <c r="F1556" s="151"/>
      <c r="G1556" s="153"/>
      <c r="H1556" s="151"/>
      <c r="I1556" s="151"/>
      <c r="J1556" s="151"/>
      <c r="K1556" s="151"/>
      <c r="L1556" s="151"/>
      <c r="M1556" s="151"/>
      <c r="N1556" s="151"/>
      <c r="O1556" s="151"/>
      <c r="P1556" s="151"/>
      <c r="Q1556" s="151"/>
      <c r="R1556" s="151"/>
      <c r="S1556" s="152"/>
      <c r="T1556" s="151"/>
      <c r="U1556" s="151"/>
      <c r="V1556" s="153"/>
      <c r="W1556" s="151"/>
      <c r="X1556" s="151"/>
      <c r="Y1556" s="153"/>
      <c r="Z1556" s="151"/>
      <c r="AA1556" s="187" t="str">
        <f t="shared" si="49"/>
        <v>No</v>
      </c>
      <c r="AB1556" s="158"/>
      <c r="AC1556" s="159"/>
      <c r="AD1556" s="160"/>
    </row>
    <row r="1557" spans="1:30">
      <c r="A1557" s="155"/>
      <c r="B1557" s="112" t="str">
        <f t="shared" si="48"/>
        <v/>
      </c>
      <c r="C1557" s="183"/>
      <c r="D1557" s="152"/>
      <c r="E1557" s="152"/>
      <c r="F1557" s="151"/>
      <c r="G1557" s="153"/>
      <c r="H1557" s="151"/>
      <c r="I1557" s="151"/>
      <c r="J1557" s="151"/>
      <c r="K1557" s="151"/>
      <c r="L1557" s="151"/>
      <c r="M1557" s="151"/>
      <c r="N1557" s="151"/>
      <c r="O1557" s="151"/>
      <c r="P1557" s="151"/>
      <c r="Q1557" s="151"/>
      <c r="R1557" s="151"/>
      <c r="S1557" s="152"/>
      <c r="T1557" s="151"/>
      <c r="U1557" s="151"/>
      <c r="V1557" s="153"/>
      <c r="W1557" s="151"/>
      <c r="X1557" s="151"/>
      <c r="Y1557" s="153"/>
      <c r="Z1557" s="151"/>
      <c r="AA1557" s="187" t="str">
        <f t="shared" si="49"/>
        <v>No</v>
      </c>
      <c r="AB1557" s="158"/>
      <c r="AC1557" s="159"/>
      <c r="AD1557" s="160"/>
    </row>
    <row r="1558" spans="1:30">
      <c r="A1558" s="155"/>
      <c r="B1558" s="112" t="str">
        <f t="shared" si="48"/>
        <v/>
      </c>
      <c r="C1558" s="183"/>
      <c r="D1558" s="152"/>
      <c r="E1558" s="152"/>
      <c r="F1558" s="151"/>
      <c r="G1558" s="153"/>
      <c r="H1558" s="151"/>
      <c r="I1558" s="151"/>
      <c r="J1558" s="151"/>
      <c r="K1558" s="151"/>
      <c r="L1558" s="151"/>
      <c r="M1558" s="151"/>
      <c r="N1558" s="151"/>
      <c r="O1558" s="151"/>
      <c r="P1558" s="151"/>
      <c r="Q1558" s="151"/>
      <c r="R1558" s="151"/>
      <c r="S1558" s="152"/>
      <c r="T1558" s="151"/>
      <c r="U1558" s="151"/>
      <c r="V1558" s="153"/>
      <c r="W1558" s="151"/>
      <c r="X1558" s="151"/>
      <c r="Y1558" s="153"/>
      <c r="Z1558" s="151"/>
      <c r="AA1558" s="187" t="str">
        <f t="shared" si="49"/>
        <v>No</v>
      </c>
      <c r="AB1558" s="158"/>
      <c r="AC1558" s="159"/>
      <c r="AD1558" s="160"/>
    </row>
    <row r="1559" spans="1:30">
      <c r="A1559" s="155"/>
      <c r="B1559" s="112" t="str">
        <f t="shared" si="48"/>
        <v/>
      </c>
      <c r="C1559" s="183"/>
      <c r="D1559" s="152"/>
      <c r="E1559" s="152"/>
      <c r="F1559" s="151"/>
      <c r="G1559" s="153"/>
      <c r="H1559" s="151"/>
      <c r="I1559" s="151"/>
      <c r="J1559" s="151"/>
      <c r="K1559" s="151"/>
      <c r="L1559" s="151"/>
      <c r="M1559" s="151"/>
      <c r="N1559" s="151"/>
      <c r="O1559" s="151"/>
      <c r="P1559" s="151"/>
      <c r="Q1559" s="151"/>
      <c r="R1559" s="151"/>
      <c r="S1559" s="152"/>
      <c r="T1559" s="151"/>
      <c r="U1559" s="151"/>
      <c r="V1559" s="153"/>
      <c r="W1559" s="151"/>
      <c r="X1559" s="151"/>
      <c r="Y1559" s="153"/>
      <c r="Z1559" s="151"/>
      <c r="AA1559" s="187" t="str">
        <f t="shared" si="49"/>
        <v>No</v>
      </c>
      <c r="AB1559" s="158"/>
      <c r="AC1559" s="159"/>
      <c r="AD1559" s="160"/>
    </row>
    <row r="1560" spans="1:30">
      <c r="A1560" s="155"/>
      <c r="B1560" s="112" t="str">
        <f t="shared" si="48"/>
        <v/>
      </c>
      <c r="C1560" s="183"/>
      <c r="D1560" s="152"/>
      <c r="E1560" s="152"/>
      <c r="F1560" s="151"/>
      <c r="G1560" s="153"/>
      <c r="H1560" s="151"/>
      <c r="I1560" s="151"/>
      <c r="J1560" s="151"/>
      <c r="K1560" s="151"/>
      <c r="L1560" s="151"/>
      <c r="M1560" s="151"/>
      <c r="N1560" s="151"/>
      <c r="O1560" s="151"/>
      <c r="P1560" s="151"/>
      <c r="Q1560" s="151"/>
      <c r="R1560" s="151"/>
      <c r="S1560" s="152"/>
      <c r="T1560" s="151"/>
      <c r="U1560" s="151"/>
      <c r="V1560" s="153"/>
      <c r="W1560" s="151"/>
      <c r="X1560" s="151"/>
      <c r="Y1560" s="153"/>
      <c r="Z1560" s="151"/>
      <c r="AA1560" s="187" t="str">
        <f t="shared" si="49"/>
        <v>No</v>
      </c>
      <c r="AB1560" s="158"/>
      <c r="AC1560" s="159"/>
      <c r="AD1560" s="160"/>
    </row>
    <row r="1561" spans="1:30">
      <c r="A1561" s="155"/>
      <c r="B1561" s="112" t="str">
        <f t="shared" si="48"/>
        <v/>
      </c>
      <c r="C1561" s="183"/>
      <c r="D1561" s="152"/>
      <c r="E1561" s="152"/>
      <c r="F1561" s="151"/>
      <c r="G1561" s="153"/>
      <c r="H1561" s="151"/>
      <c r="I1561" s="151"/>
      <c r="J1561" s="151"/>
      <c r="K1561" s="151"/>
      <c r="L1561" s="151"/>
      <c r="M1561" s="151"/>
      <c r="N1561" s="151"/>
      <c r="O1561" s="151"/>
      <c r="P1561" s="151"/>
      <c r="Q1561" s="151"/>
      <c r="R1561" s="151"/>
      <c r="S1561" s="152"/>
      <c r="T1561" s="151"/>
      <c r="U1561" s="151"/>
      <c r="V1561" s="153"/>
      <c r="W1561" s="151"/>
      <c r="X1561" s="151"/>
      <c r="Y1561" s="153"/>
      <c r="Z1561" s="151"/>
      <c r="AA1561" s="187" t="str">
        <f t="shared" si="49"/>
        <v>No</v>
      </c>
      <c r="AB1561" s="158"/>
      <c r="AC1561" s="159"/>
      <c r="AD1561" s="160"/>
    </row>
    <row r="1562" spans="1:30">
      <c r="A1562" s="155"/>
      <c r="B1562" s="112" t="str">
        <f t="shared" si="48"/>
        <v/>
      </c>
      <c r="C1562" s="183"/>
      <c r="D1562" s="152"/>
      <c r="E1562" s="152"/>
      <c r="F1562" s="151"/>
      <c r="G1562" s="153"/>
      <c r="H1562" s="151"/>
      <c r="I1562" s="151"/>
      <c r="J1562" s="151"/>
      <c r="K1562" s="151"/>
      <c r="L1562" s="151"/>
      <c r="M1562" s="151"/>
      <c r="N1562" s="151"/>
      <c r="O1562" s="151"/>
      <c r="P1562" s="151"/>
      <c r="Q1562" s="151"/>
      <c r="R1562" s="151"/>
      <c r="S1562" s="152"/>
      <c r="T1562" s="151"/>
      <c r="U1562" s="151"/>
      <c r="V1562" s="153"/>
      <c r="W1562" s="151"/>
      <c r="X1562" s="151"/>
      <c r="Y1562" s="153"/>
      <c r="Z1562" s="151"/>
      <c r="AA1562" s="187" t="str">
        <f t="shared" si="49"/>
        <v>No</v>
      </c>
      <c r="AB1562" s="158"/>
      <c r="AC1562" s="159"/>
      <c r="AD1562" s="160"/>
    </row>
    <row r="1563" spans="1:30">
      <c r="A1563" s="155"/>
      <c r="B1563" s="112" t="str">
        <f t="shared" si="48"/>
        <v/>
      </c>
      <c r="C1563" s="183"/>
      <c r="D1563" s="152"/>
      <c r="E1563" s="152"/>
      <c r="F1563" s="151"/>
      <c r="G1563" s="153"/>
      <c r="H1563" s="151"/>
      <c r="I1563" s="151"/>
      <c r="J1563" s="151"/>
      <c r="K1563" s="151"/>
      <c r="L1563" s="151"/>
      <c r="M1563" s="151"/>
      <c r="N1563" s="151"/>
      <c r="O1563" s="151"/>
      <c r="P1563" s="151"/>
      <c r="Q1563" s="151"/>
      <c r="R1563" s="151"/>
      <c r="S1563" s="152"/>
      <c r="T1563" s="151"/>
      <c r="U1563" s="151"/>
      <c r="V1563" s="153"/>
      <c r="W1563" s="151"/>
      <c r="X1563" s="151"/>
      <c r="Y1563" s="153"/>
      <c r="Z1563" s="151"/>
      <c r="AA1563" s="187" t="str">
        <f t="shared" si="49"/>
        <v>No</v>
      </c>
      <c r="AB1563" s="158"/>
      <c r="AC1563" s="159"/>
      <c r="AD1563" s="160"/>
    </row>
    <row r="1564" spans="1:30">
      <c r="A1564" s="155"/>
      <c r="B1564" s="112" t="str">
        <f t="shared" si="48"/>
        <v/>
      </c>
      <c r="C1564" s="183"/>
      <c r="D1564" s="152"/>
      <c r="E1564" s="152"/>
      <c r="F1564" s="151"/>
      <c r="G1564" s="153"/>
      <c r="H1564" s="151"/>
      <c r="I1564" s="151"/>
      <c r="J1564" s="151"/>
      <c r="K1564" s="151"/>
      <c r="L1564" s="151"/>
      <c r="M1564" s="151"/>
      <c r="N1564" s="151"/>
      <c r="O1564" s="151"/>
      <c r="P1564" s="151"/>
      <c r="Q1564" s="151"/>
      <c r="R1564" s="151"/>
      <c r="S1564" s="152"/>
      <c r="T1564" s="151"/>
      <c r="U1564" s="151"/>
      <c r="V1564" s="153"/>
      <c r="W1564" s="151"/>
      <c r="X1564" s="151"/>
      <c r="Y1564" s="153"/>
      <c r="Z1564" s="151"/>
      <c r="AA1564" s="187" t="str">
        <f t="shared" si="49"/>
        <v>No</v>
      </c>
      <c r="AB1564" s="158"/>
      <c r="AC1564" s="159"/>
      <c r="AD1564" s="160"/>
    </row>
    <row r="1565" spans="1:30">
      <c r="A1565" s="155"/>
      <c r="B1565" s="112" t="str">
        <f t="shared" si="48"/>
        <v/>
      </c>
      <c r="C1565" s="183"/>
      <c r="D1565" s="152"/>
      <c r="E1565" s="152"/>
      <c r="F1565" s="151"/>
      <c r="G1565" s="153"/>
      <c r="H1565" s="151"/>
      <c r="I1565" s="151"/>
      <c r="J1565" s="151"/>
      <c r="K1565" s="151"/>
      <c r="L1565" s="151"/>
      <c r="M1565" s="151"/>
      <c r="N1565" s="151"/>
      <c r="O1565" s="151"/>
      <c r="P1565" s="151"/>
      <c r="Q1565" s="151"/>
      <c r="R1565" s="151"/>
      <c r="S1565" s="152"/>
      <c r="T1565" s="151"/>
      <c r="U1565" s="151"/>
      <c r="V1565" s="153"/>
      <c r="W1565" s="151"/>
      <c r="X1565" s="151"/>
      <c r="Y1565" s="153"/>
      <c r="Z1565" s="151"/>
      <c r="AA1565" s="187" t="str">
        <f t="shared" si="49"/>
        <v>No</v>
      </c>
      <c r="AB1565" s="158"/>
      <c r="AC1565" s="159"/>
      <c r="AD1565" s="160"/>
    </row>
    <row r="1566" spans="1:30">
      <c r="A1566" s="155"/>
      <c r="B1566" s="112" t="str">
        <f t="shared" si="48"/>
        <v/>
      </c>
      <c r="C1566" s="183"/>
      <c r="D1566" s="152"/>
      <c r="E1566" s="152"/>
      <c r="F1566" s="151"/>
      <c r="G1566" s="153"/>
      <c r="H1566" s="151"/>
      <c r="I1566" s="151"/>
      <c r="J1566" s="151"/>
      <c r="K1566" s="151"/>
      <c r="L1566" s="151"/>
      <c r="M1566" s="151"/>
      <c r="N1566" s="151"/>
      <c r="O1566" s="151"/>
      <c r="P1566" s="151"/>
      <c r="Q1566" s="151"/>
      <c r="R1566" s="151"/>
      <c r="S1566" s="152"/>
      <c r="T1566" s="151"/>
      <c r="U1566" s="151"/>
      <c r="V1566" s="153"/>
      <c r="W1566" s="151"/>
      <c r="X1566" s="151"/>
      <c r="Y1566" s="153"/>
      <c r="Z1566" s="151"/>
      <c r="AA1566" s="187" t="str">
        <f t="shared" si="49"/>
        <v>No</v>
      </c>
      <c r="AB1566" s="158"/>
      <c r="AC1566" s="159"/>
      <c r="AD1566" s="160"/>
    </row>
    <row r="1567" spans="1:30">
      <c r="A1567" s="155"/>
      <c r="B1567" s="112" t="str">
        <f t="shared" si="48"/>
        <v/>
      </c>
      <c r="C1567" s="183"/>
      <c r="D1567" s="152"/>
      <c r="E1567" s="152"/>
      <c r="F1567" s="151"/>
      <c r="G1567" s="153"/>
      <c r="H1567" s="151"/>
      <c r="I1567" s="151"/>
      <c r="J1567" s="151"/>
      <c r="K1567" s="151"/>
      <c r="L1567" s="151"/>
      <c r="M1567" s="151"/>
      <c r="N1567" s="151"/>
      <c r="O1567" s="151"/>
      <c r="P1567" s="151"/>
      <c r="Q1567" s="151"/>
      <c r="R1567" s="151"/>
      <c r="S1567" s="152"/>
      <c r="T1567" s="151"/>
      <c r="U1567" s="151"/>
      <c r="V1567" s="153"/>
      <c r="W1567" s="151"/>
      <c r="X1567" s="151"/>
      <c r="Y1567" s="153"/>
      <c r="Z1567" s="151"/>
      <c r="AA1567" s="187" t="str">
        <f t="shared" si="49"/>
        <v>No</v>
      </c>
      <c r="AB1567" s="158"/>
      <c r="AC1567" s="159"/>
      <c r="AD1567" s="160"/>
    </row>
    <row r="1568" spans="1:30">
      <c r="A1568" s="155"/>
      <c r="B1568" s="112" t="str">
        <f t="shared" si="48"/>
        <v/>
      </c>
      <c r="C1568" s="183"/>
      <c r="D1568" s="152"/>
      <c r="E1568" s="152"/>
      <c r="F1568" s="151"/>
      <c r="G1568" s="153"/>
      <c r="H1568" s="151"/>
      <c r="I1568" s="151"/>
      <c r="J1568" s="151"/>
      <c r="K1568" s="151"/>
      <c r="L1568" s="151"/>
      <c r="M1568" s="151"/>
      <c r="N1568" s="151"/>
      <c r="O1568" s="151"/>
      <c r="P1568" s="151"/>
      <c r="Q1568" s="151"/>
      <c r="R1568" s="151"/>
      <c r="S1568" s="152"/>
      <c r="T1568" s="151"/>
      <c r="U1568" s="151"/>
      <c r="V1568" s="153"/>
      <c r="W1568" s="151"/>
      <c r="X1568" s="151"/>
      <c r="Y1568" s="153"/>
      <c r="Z1568" s="151"/>
      <c r="AA1568" s="187" t="str">
        <f t="shared" si="49"/>
        <v>No</v>
      </c>
      <c r="AB1568" s="158"/>
      <c r="AC1568" s="159"/>
      <c r="AD1568" s="160"/>
    </row>
    <row r="1569" spans="1:30">
      <c r="A1569" s="155"/>
      <c r="B1569" s="112" t="str">
        <f t="shared" si="48"/>
        <v/>
      </c>
      <c r="C1569" s="183"/>
      <c r="D1569" s="152"/>
      <c r="E1569" s="152"/>
      <c r="F1569" s="151"/>
      <c r="G1569" s="153"/>
      <c r="H1569" s="151"/>
      <c r="I1569" s="151"/>
      <c r="J1569" s="151"/>
      <c r="K1569" s="151"/>
      <c r="L1569" s="151"/>
      <c r="M1569" s="151"/>
      <c r="N1569" s="151"/>
      <c r="O1569" s="151"/>
      <c r="P1569" s="151"/>
      <c r="Q1569" s="151"/>
      <c r="R1569" s="151"/>
      <c r="S1569" s="152"/>
      <c r="T1569" s="151"/>
      <c r="U1569" s="151"/>
      <c r="V1569" s="153"/>
      <c r="W1569" s="151"/>
      <c r="X1569" s="151"/>
      <c r="Y1569" s="153"/>
      <c r="Z1569" s="151"/>
      <c r="AA1569" s="187" t="str">
        <f t="shared" si="49"/>
        <v>No</v>
      </c>
      <c r="AB1569" s="158"/>
      <c r="AC1569" s="159"/>
      <c r="AD1569" s="160"/>
    </row>
    <row r="1570" spans="1:30">
      <c r="A1570" s="155"/>
      <c r="B1570" s="112" t="str">
        <f t="shared" si="48"/>
        <v/>
      </c>
      <c r="C1570" s="183"/>
      <c r="D1570" s="152"/>
      <c r="E1570" s="152"/>
      <c r="F1570" s="151"/>
      <c r="G1570" s="153"/>
      <c r="H1570" s="151"/>
      <c r="I1570" s="151"/>
      <c r="J1570" s="151"/>
      <c r="K1570" s="151"/>
      <c r="L1570" s="151"/>
      <c r="M1570" s="151"/>
      <c r="N1570" s="151"/>
      <c r="O1570" s="151"/>
      <c r="P1570" s="151"/>
      <c r="Q1570" s="151"/>
      <c r="R1570" s="151"/>
      <c r="S1570" s="152"/>
      <c r="T1570" s="151"/>
      <c r="U1570" s="151"/>
      <c r="V1570" s="153"/>
      <c r="W1570" s="151"/>
      <c r="X1570" s="151"/>
      <c r="Y1570" s="153"/>
      <c r="Z1570" s="151"/>
      <c r="AA1570" s="187" t="str">
        <f t="shared" si="49"/>
        <v>No</v>
      </c>
      <c r="AB1570" s="158"/>
      <c r="AC1570" s="159"/>
      <c r="AD1570" s="160"/>
    </row>
    <row r="1571" spans="1:30">
      <c r="A1571" s="155"/>
      <c r="B1571" s="112" t="str">
        <f t="shared" si="48"/>
        <v/>
      </c>
      <c r="C1571" s="183"/>
      <c r="D1571" s="152"/>
      <c r="E1571" s="152"/>
      <c r="F1571" s="151"/>
      <c r="G1571" s="153"/>
      <c r="H1571" s="151"/>
      <c r="I1571" s="151"/>
      <c r="J1571" s="151"/>
      <c r="K1571" s="151"/>
      <c r="L1571" s="151"/>
      <c r="M1571" s="151"/>
      <c r="N1571" s="151"/>
      <c r="O1571" s="151"/>
      <c r="P1571" s="151"/>
      <c r="Q1571" s="151"/>
      <c r="R1571" s="151"/>
      <c r="S1571" s="152"/>
      <c r="T1571" s="151"/>
      <c r="U1571" s="151"/>
      <c r="V1571" s="153"/>
      <c r="W1571" s="151"/>
      <c r="X1571" s="151"/>
      <c r="Y1571" s="153"/>
      <c r="Z1571" s="151"/>
      <c r="AA1571" s="187" t="str">
        <f t="shared" si="49"/>
        <v>No</v>
      </c>
      <c r="AB1571" s="158"/>
      <c r="AC1571" s="159"/>
      <c r="AD1571" s="160"/>
    </row>
    <row r="1572" spans="1:30">
      <c r="A1572" s="155"/>
      <c r="B1572" s="112" t="str">
        <f t="shared" si="48"/>
        <v/>
      </c>
      <c r="C1572" s="183"/>
      <c r="D1572" s="152"/>
      <c r="E1572" s="152"/>
      <c r="F1572" s="151"/>
      <c r="G1572" s="153"/>
      <c r="H1572" s="151"/>
      <c r="I1572" s="151"/>
      <c r="J1572" s="151"/>
      <c r="K1572" s="151"/>
      <c r="L1572" s="151"/>
      <c r="M1572" s="151"/>
      <c r="N1572" s="151"/>
      <c r="O1572" s="151"/>
      <c r="P1572" s="151"/>
      <c r="Q1572" s="151"/>
      <c r="R1572" s="151"/>
      <c r="S1572" s="152"/>
      <c r="T1572" s="151"/>
      <c r="U1572" s="151"/>
      <c r="V1572" s="153"/>
      <c r="W1572" s="151"/>
      <c r="X1572" s="151"/>
      <c r="Y1572" s="153"/>
      <c r="Z1572" s="151"/>
      <c r="AA1572" s="187" t="str">
        <f t="shared" si="49"/>
        <v>No</v>
      </c>
      <c r="AB1572" s="158"/>
      <c r="AC1572" s="159"/>
      <c r="AD1572" s="160"/>
    </row>
    <row r="1573" spans="1:30">
      <c r="A1573" s="155"/>
      <c r="B1573" s="112" t="str">
        <f t="shared" si="48"/>
        <v/>
      </c>
      <c r="C1573" s="183"/>
      <c r="D1573" s="152"/>
      <c r="E1573" s="152"/>
      <c r="F1573" s="151"/>
      <c r="G1573" s="153"/>
      <c r="H1573" s="151"/>
      <c r="I1573" s="151"/>
      <c r="J1573" s="151"/>
      <c r="K1573" s="151"/>
      <c r="L1573" s="151"/>
      <c r="M1573" s="151"/>
      <c r="N1573" s="151"/>
      <c r="O1573" s="151"/>
      <c r="P1573" s="151"/>
      <c r="Q1573" s="151"/>
      <c r="R1573" s="151"/>
      <c r="S1573" s="152"/>
      <c r="T1573" s="151"/>
      <c r="U1573" s="151"/>
      <c r="V1573" s="153"/>
      <c r="W1573" s="151"/>
      <c r="X1573" s="151"/>
      <c r="Y1573" s="153"/>
      <c r="Z1573" s="151"/>
      <c r="AA1573" s="187" t="str">
        <f t="shared" si="49"/>
        <v>No</v>
      </c>
      <c r="AB1573" s="158"/>
      <c r="AC1573" s="159"/>
      <c r="AD1573" s="160"/>
    </row>
    <row r="1574" spans="1:30">
      <c r="A1574" s="155"/>
      <c r="B1574" s="112" t="str">
        <f t="shared" si="48"/>
        <v/>
      </c>
      <c r="C1574" s="183"/>
      <c r="D1574" s="152"/>
      <c r="E1574" s="152"/>
      <c r="F1574" s="151"/>
      <c r="G1574" s="153"/>
      <c r="H1574" s="151"/>
      <c r="I1574" s="151"/>
      <c r="J1574" s="151"/>
      <c r="K1574" s="151"/>
      <c r="L1574" s="151"/>
      <c r="M1574" s="151"/>
      <c r="N1574" s="151"/>
      <c r="O1574" s="151"/>
      <c r="P1574" s="151"/>
      <c r="Q1574" s="151"/>
      <c r="R1574" s="151"/>
      <c r="S1574" s="152"/>
      <c r="T1574" s="151"/>
      <c r="U1574" s="151"/>
      <c r="V1574" s="153"/>
      <c r="W1574" s="151"/>
      <c r="X1574" s="151"/>
      <c r="Y1574" s="153"/>
      <c r="Z1574" s="151"/>
      <c r="AA1574" s="187" t="str">
        <f t="shared" si="49"/>
        <v>No</v>
      </c>
      <c r="AB1574" s="158"/>
      <c r="AC1574" s="159"/>
      <c r="AD1574" s="160"/>
    </row>
    <row r="1575" spans="1:30">
      <c r="A1575" s="155"/>
      <c r="B1575" s="112" t="str">
        <f t="shared" si="48"/>
        <v/>
      </c>
      <c r="C1575" s="183"/>
      <c r="D1575" s="152"/>
      <c r="E1575" s="152"/>
      <c r="F1575" s="151"/>
      <c r="G1575" s="153"/>
      <c r="H1575" s="151"/>
      <c r="I1575" s="151"/>
      <c r="J1575" s="151"/>
      <c r="K1575" s="151"/>
      <c r="L1575" s="151"/>
      <c r="M1575" s="151"/>
      <c r="N1575" s="151"/>
      <c r="O1575" s="151"/>
      <c r="P1575" s="151"/>
      <c r="Q1575" s="151"/>
      <c r="R1575" s="151"/>
      <c r="S1575" s="152"/>
      <c r="T1575" s="151"/>
      <c r="U1575" s="151"/>
      <c r="V1575" s="153"/>
      <c r="W1575" s="151"/>
      <c r="X1575" s="151"/>
      <c r="Y1575" s="153"/>
      <c r="Z1575" s="151"/>
      <c r="AA1575" s="187" t="str">
        <f t="shared" si="49"/>
        <v>No</v>
      </c>
      <c r="AB1575" s="158"/>
      <c r="AC1575" s="159"/>
      <c r="AD1575" s="160"/>
    </row>
    <row r="1576" spans="1:30">
      <c r="A1576" s="155"/>
      <c r="B1576" s="112" t="str">
        <f t="shared" si="48"/>
        <v/>
      </c>
      <c r="C1576" s="183"/>
      <c r="D1576" s="152"/>
      <c r="E1576" s="152"/>
      <c r="F1576" s="151"/>
      <c r="G1576" s="153"/>
      <c r="H1576" s="151"/>
      <c r="I1576" s="151"/>
      <c r="J1576" s="151"/>
      <c r="K1576" s="151"/>
      <c r="L1576" s="151"/>
      <c r="M1576" s="151"/>
      <c r="N1576" s="151"/>
      <c r="O1576" s="151"/>
      <c r="P1576" s="151"/>
      <c r="Q1576" s="151"/>
      <c r="R1576" s="151"/>
      <c r="S1576" s="152"/>
      <c r="T1576" s="151"/>
      <c r="U1576" s="151"/>
      <c r="V1576" s="153"/>
      <c r="W1576" s="151"/>
      <c r="X1576" s="151"/>
      <c r="Y1576" s="153"/>
      <c r="Z1576" s="151"/>
      <c r="AA1576" s="187" t="str">
        <f t="shared" si="49"/>
        <v>No</v>
      </c>
      <c r="AB1576" s="158"/>
      <c r="AC1576" s="159"/>
      <c r="AD1576" s="160"/>
    </row>
    <row r="1577" spans="1:30">
      <c r="A1577" s="155"/>
      <c r="B1577" s="112" t="str">
        <f t="shared" si="48"/>
        <v/>
      </c>
      <c r="C1577" s="183"/>
      <c r="D1577" s="152"/>
      <c r="E1577" s="152"/>
      <c r="F1577" s="151"/>
      <c r="G1577" s="153"/>
      <c r="H1577" s="151"/>
      <c r="I1577" s="151"/>
      <c r="J1577" s="151"/>
      <c r="K1577" s="151"/>
      <c r="L1577" s="151"/>
      <c r="M1577" s="151"/>
      <c r="N1577" s="151"/>
      <c r="O1577" s="151"/>
      <c r="P1577" s="151"/>
      <c r="Q1577" s="151"/>
      <c r="R1577" s="151"/>
      <c r="S1577" s="152"/>
      <c r="T1577" s="151"/>
      <c r="U1577" s="151"/>
      <c r="V1577" s="153"/>
      <c r="W1577" s="151"/>
      <c r="X1577" s="151"/>
      <c r="Y1577" s="153"/>
      <c r="Z1577" s="151"/>
      <c r="AA1577" s="187" t="str">
        <f t="shared" si="49"/>
        <v>No</v>
      </c>
      <c r="AB1577" s="158"/>
      <c r="AC1577" s="159"/>
      <c r="AD1577" s="160"/>
    </row>
    <row r="1578" spans="1:30">
      <c r="A1578" s="155"/>
      <c r="B1578" s="112" t="str">
        <f t="shared" si="48"/>
        <v/>
      </c>
      <c r="C1578" s="183"/>
      <c r="D1578" s="152"/>
      <c r="E1578" s="152"/>
      <c r="F1578" s="151"/>
      <c r="G1578" s="153"/>
      <c r="H1578" s="151"/>
      <c r="I1578" s="151"/>
      <c r="J1578" s="151"/>
      <c r="K1578" s="151"/>
      <c r="L1578" s="151"/>
      <c r="M1578" s="151"/>
      <c r="N1578" s="151"/>
      <c r="O1578" s="151"/>
      <c r="P1578" s="151"/>
      <c r="Q1578" s="151"/>
      <c r="R1578" s="151"/>
      <c r="S1578" s="152"/>
      <c r="T1578" s="151"/>
      <c r="U1578" s="151"/>
      <c r="V1578" s="153"/>
      <c r="W1578" s="151"/>
      <c r="X1578" s="151"/>
      <c r="Y1578" s="153"/>
      <c r="Z1578" s="151"/>
      <c r="AA1578" s="187" t="str">
        <f t="shared" si="49"/>
        <v>No</v>
      </c>
      <c r="AB1578" s="158"/>
      <c r="AC1578" s="159"/>
      <c r="AD1578" s="160"/>
    </row>
    <row r="1579" spans="1:30">
      <c r="A1579" s="155"/>
      <c r="B1579" s="112" t="str">
        <f t="shared" si="48"/>
        <v/>
      </c>
      <c r="C1579" s="183"/>
      <c r="D1579" s="152"/>
      <c r="E1579" s="152"/>
      <c r="F1579" s="151"/>
      <c r="G1579" s="153"/>
      <c r="H1579" s="151"/>
      <c r="I1579" s="151"/>
      <c r="J1579" s="151"/>
      <c r="K1579" s="151"/>
      <c r="L1579" s="151"/>
      <c r="M1579" s="151"/>
      <c r="N1579" s="151"/>
      <c r="O1579" s="151"/>
      <c r="P1579" s="151"/>
      <c r="Q1579" s="151"/>
      <c r="R1579" s="151"/>
      <c r="S1579" s="152"/>
      <c r="T1579" s="151"/>
      <c r="U1579" s="151"/>
      <c r="V1579" s="153"/>
      <c r="W1579" s="151"/>
      <c r="X1579" s="151"/>
      <c r="Y1579" s="153"/>
      <c r="Z1579" s="151"/>
      <c r="AA1579" s="187" t="str">
        <f t="shared" si="49"/>
        <v>No</v>
      </c>
      <c r="AB1579" s="158"/>
      <c r="AC1579" s="159"/>
      <c r="AD1579" s="160"/>
    </row>
    <row r="1580" spans="1:30">
      <c r="A1580" s="155"/>
      <c r="B1580" s="112" t="str">
        <f t="shared" si="48"/>
        <v/>
      </c>
      <c r="C1580" s="183"/>
      <c r="D1580" s="152"/>
      <c r="E1580" s="152"/>
      <c r="F1580" s="151"/>
      <c r="G1580" s="153"/>
      <c r="H1580" s="151"/>
      <c r="I1580" s="151"/>
      <c r="J1580" s="151"/>
      <c r="K1580" s="151"/>
      <c r="L1580" s="151"/>
      <c r="M1580" s="151"/>
      <c r="N1580" s="151"/>
      <c r="O1580" s="151"/>
      <c r="P1580" s="151"/>
      <c r="Q1580" s="151"/>
      <c r="R1580" s="151"/>
      <c r="S1580" s="152"/>
      <c r="T1580" s="151"/>
      <c r="U1580" s="151"/>
      <c r="V1580" s="153"/>
      <c r="W1580" s="151"/>
      <c r="X1580" s="151"/>
      <c r="Y1580" s="153"/>
      <c r="Z1580" s="151"/>
      <c r="AA1580" s="187" t="str">
        <f t="shared" si="49"/>
        <v>No</v>
      </c>
      <c r="AB1580" s="158"/>
      <c r="AC1580" s="159"/>
      <c r="AD1580" s="160"/>
    </row>
    <row r="1581" spans="1:30">
      <c r="A1581" s="155"/>
      <c r="B1581" s="112" t="str">
        <f t="shared" si="48"/>
        <v/>
      </c>
      <c r="C1581" s="183"/>
      <c r="D1581" s="152"/>
      <c r="E1581" s="152"/>
      <c r="F1581" s="151"/>
      <c r="G1581" s="153"/>
      <c r="H1581" s="151"/>
      <c r="I1581" s="151"/>
      <c r="J1581" s="151"/>
      <c r="K1581" s="151"/>
      <c r="L1581" s="151"/>
      <c r="M1581" s="151"/>
      <c r="N1581" s="151"/>
      <c r="O1581" s="151"/>
      <c r="P1581" s="151"/>
      <c r="Q1581" s="151"/>
      <c r="R1581" s="151"/>
      <c r="S1581" s="152"/>
      <c r="T1581" s="151"/>
      <c r="U1581" s="151"/>
      <c r="V1581" s="153"/>
      <c r="W1581" s="151"/>
      <c r="X1581" s="151"/>
      <c r="Y1581" s="153"/>
      <c r="Z1581" s="151"/>
      <c r="AA1581" s="187" t="str">
        <f t="shared" si="49"/>
        <v>No</v>
      </c>
      <c r="AB1581" s="158"/>
      <c r="AC1581" s="159"/>
      <c r="AD1581" s="160"/>
    </row>
    <row r="1582" spans="1:30">
      <c r="A1582" s="155"/>
      <c r="B1582" s="112" t="str">
        <f t="shared" si="48"/>
        <v/>
      </c>
      <c r="C1582" s="183"/>
      <c r="D1582" s="152"/>
      <c r="E1582" s="152"/>
      <c r="F1582" s="151"/>
      <c r="G1582" s="153"/>
      <c r="H1582" s="151"/>
      <c r="I1582" s="151"/>
      <c r="J1582" s="151"/>
      <c r="K1582" s="151"/>
      <c r="L1582" s="151"/>
      <c r="M1582" s="151"/>
      <c r="N1582" s="151"/>
      <c r="O1582" s="151"/>
      <c r="P1582" s="151"/>
      <c r="Q1582" s="151"/>
      <c r="R1582" s="151"/>
      <c r="S1582" s="152"/>
      <c r="T1582" s="151"/>
      <c r="U1582" s="151"/>
      <c r="V1582" s="153"/>
      <c r="W1582" s="151"/>
      <c r="X1582" s="151"/>
      <c r="Y1582" s="153"/>
      <c r="Z1582" s="151"/>
      <c r="AA1582" s="187" t="str">
        <f t="shared" si="49"/>
        <v>No</v>
      </c>
      <c r="AB1582" s="158"/>
      <c r="AC1582" s="159"/>
      <c r="AD1582" s="160"/>
    </row>
    <row r="1583" spans="1:30">
      <c r="A1583" s="155"/>
      <c r="B1583" s="112" t="str">
        <f t="shared" si="48"/>
        <v/>
      </c>
      <c r="C1583" s="183"/>
      <c r="D1583" s="152"/>
      <c r="E1583" s="152"/>
      <c r="F1583" s="151"/>
      <c r="G1583" s="153"/>
      <c r="H1583" s="151"/>
      <c r="I1583" s="151"/>
      <c r="J1583" s="151"/>
      <c r="K1583" s="151"/>
      <c r="L1583" s="151"/>
      <c r="M1583" s="151"/>
      <c r="N1583" s="151"/>
      <c r="O1583" s="151"/>
      <c r="P1583" s="151"/>
      <c r="Q1583" s="151"/>
      <c r="R1583" s="151"/>
      <c r="S1583" s="152"/>
      <c r="T1583" s="151"/>
      <c r="U1583" s="151"/>
      <c r="V1583" s="153"/>
      <c r="W1583" s="151"/>
      <c r="X1583" s="151"/>
      <c r="Y1583" s="153"/>
      <c r="Z1583" s="151"/>
      <c r="AA1583" s="187" t="str">
        <f t="shared" si="49"/>
        <v>No</v>
      </c>
      <c r="AB1583" s="158"/>
      <c r="AC1583" s="159"/>
      <c r="AD1583" s="160"/>
    </row>
    <row r="1584" spans="1:30">
      <c r="A1584" s="155"/>
      <c r="B1584" s="112" t="str">
        <f t="shared" si="48"/>
        <v/>
      </c>
      <c r="C1584" s="183"/>
      <c r="D1584" s="152"/>
      <c r="E1584" s="152"/>
      <c r="F1584" s="151"/>
      <c r="G1584" s="153"/>
      <c r="H1584" s="151"/>
      <c r="I1584" s="151"/>
      <c r="J1584" s="151"/>
      <c r="K1584" s="151"/>
      <c r="L1584" s="151"/>
      <c r="M1584" s="151"/>
      <c r="N1584" s="151"/>
      <c r="O1584" s="151"/>
      <c r="P1584" s="151"/>
      <c r="Q1584" s="151"/>
      <c r="R1584" s="151"/>
      <c r="S1584" s="152"/>
      <c r="T1584" s="151"/>
      <c r="U1584" s="151"/>
      <c r="V1584" s="153"/>
      <c r="W1584" s="151"/>
      <c r="X1584" s="151"/>
      <c r="Y1584" s="153"/>
      <c r="Z1584" s="151"/>
      <c r="AA1584" s="187" t="str">
        <f t="shared" si="49"/>
        <v>No</v>
      </c>
      <c r="AB1584" s="158"/>
      <c r="AC1584" s="159"/>
      <c r="AD1584" s="160"/>
    </row>
    <row r="1585" spans="1:30">
      <c r="A1585" s="155"/>
      <c r="B1585" s="112" t="str">
        <f t="shared" si="48"/>
        <v/>
      </c>
      <c r="C1585" s="183"/>
      <c r="D1585" s="152"/>
      <c r="E1585" s="152"/>
      <c r="F1585" s="151"/>
      <c r="G1585" s="153"/>
      <c r="H1585" s="151"/>
      <c r="I1585" s="151"/>
      <c r="J1585" s="151"/>
      <c r="K1585" s="151"/>
      <c r="L1585" s="151"/>
      <c r="M1585" s="151"/>
      <c r="N1585" s="151"/>
      <c r="O1585" s="151"/>
      <c r="P1585" s="151"/>
      <c r="Q1585" s="151"/>
      <c r="R1585" s="151"/>
      <c r="S1585" s="152"/>
      <c r="T1585" s="151"/>
      <c r="U1585" s="151"/>
      <c r="V1585" s="153"/>
      <c r="W1585" s="151"/>
      <c r="X1585" s="151"/>
      <c r="Y1585" s="153"/>
      <c r="Z1585" s="151"/>
      <c r="AA1585" s="187" t="str">
        <f t="shared" si="49"/>
        <v>No</v>
      </c>
      <c r="AB1585" s="158"/>
      <c r="AC1585" s="159"/>
      <c r="AD1585" s="160"/>
    </row>
    <row r="1586" spans="1:30">
      <c r="A1586" s="155"/>
      <c r="B1586" s="112" t="str">
        <f t="shared" si="48"/>
        <v/>
      </c>
      <c r="C1586" s="183"/>
      <c r="D1586" s="152"/>
      <c r="E1586" s="152"/>
      <c r="F1586" s="151"/>
      <c r="G1586" s="153"/>
      <c r="H1586" s="151"/>
      <c r="I1586" s="151"/>
      <c r="J1586" s="151"/>
      <c r="K1586" s="151"/>
      <c r="L1586" s="151"/>
      <c r="M1586" s="151"/>
      <c r="N1586" s="151"/>
      <c r="O1586" s="151"/>
      <c r="P1586" s="151"/>
      <c r="Q1586" s="151"/>
      <c r="R1586" s="151"/>
      <c r="S1586" s="152"/>
      <c r="T1586" s="151"/>
      <c r="U1586" s="151"/>
      <c r="V1586" s="153"/>
      <c r="W1586" s="151"/>
      <c r="X1586" s="151"/>
      <c r="Y1586" s="153"/>
      <c r="Z1586" s="151"/>
      <c r="AA1586" s="187" t="str">
        <f t="shared" si="49"/>
        <v>No</v>
      </c>
      <c r="AB1586" s="158"/>
      <c r="AC1586" s="159"/>
      <c r="AD1586" s="160"/>
    </row>
    <row r="1587" spans="1:30">
      <c r="A1587" s="155"/>
      <c r="B1587" s="112" t="str">
        <f t="shared" si="48"/>
        <v/>
      </c>
      <c r="C1587" s="183"/>
      <c r="D1587" s="152"/>
      <c r="E1587" s="152"/>
      <c r="F1587" s="151"/>
      <c r="G1587" s="153"/>
      <c r="H1587" s="151"/>
      <c r="I1587" s="151"/>
      <c r="J1587" s="151"/>
      <c r="K1587" s="151"/>
      <c r="L1587" s="151"/>
      <c r="M1587" s="151"/>
      <c r="N1587" s="151"/>
      <c r="O1587" s="151"/>
      <c r="P1587" s="151"/>
      <c r="Q1587" s="151"/>
      <c r="R1587" s="151"/>
      <c r="S1587" s="152"/>
      <c r="T1587" s="151"/>
      <c r="U1587" s="151"/>
      <c r="V1587" s="153"/>
      <c r="W1587" s="151"/>
      <c r="X1587" s="151"/>
      <c r="Y1587" s="153"/>
      <c r="Z1587" s="151"/>
      <c r="AA1587" s="187" t="str">
        <f t="shared" si="49"/>
        <v>No</v>
      </c>
      <c r="AB1587" s="158"/>
      <c r="AC1587" s="159"/>
      <c r="AD1587" s="160"/>
    </row>
    <row r="1588" spans="1:30">
      <c r="A1588" s="155"/>
      <c r="B1588" s="112" t="str">
        <f t="shared" si="48"/>
        <v/>
      </c>
      <c r="C1588" s="183"/>
      <c r="D1588" s="152"/>
      <c r="E1588" s="152"/>
      <c r="F1588" s="151"/>
      <c r="G1588" s="153"/>
      <c r="H1588" s="151"/>
      <c r="I1588" s="151"/>
      <c r="J1588" s="151"/>
      <c r="K1588" s="151"/>
      <c r="L1588" s="151"/>
      <c r="M1588" s="151"/>
      <c r="N1588" s="151"/>
      <c r="O1588" s="151"/>
      <c r="P1588" s="151"/>
      <c r="Q1588" s="151"/>
      <c r="R1588" s="151"/>
      <c r="S1588" s="152"/>
      <c r="T1588" s="151"/>
      <c r="U1588" s="151"/>
      <c r="V1588" s="153"/>
      <c r="W1588" s="151"/>
      <c r="X1588" s="151"/>
      <c r="Y1588" s="153"/>
      <c r="Z1588" s="151"/>
      <c r="AA1588" s="187" t="str">
        <f t="shared" si="49"/>
        <v>No</v>
      </c>
      <c r="AB1588" s="158"/>
      <c r="AC1588" s="159"/>
      <c r="AD1588" s="160"/>
    </row>
    <row r="1589" spans="1:30">
      <c r="A1589" s="155"/>
      <c r="B1589" s="112" t="str">
        <f t="shared" si="48"/>
        <v/>
      </c>
      <c r="C1589" s="183"/>
      <c r="D1589" s="152"/>
      <c r="E1589" s="152"/>
      <c r="F1589" s="151"/>
      <c r="G1589" s="153"/>
      <c r="H1589" s="151"/>
      <c r="I1589" s="151"/>
      <c r="J1589" s="151"/>
      <c r="K1589" s="151"/>
      <c r="L1589" s="151"/>
      <c r="M1589" s="151"/>
      <c r="N1589" s="151"/>
      <c r="O1589" s="151"/>
      <c r="P1589" s="151"/>
      <c r="Q1589" s="151"/>
      <c r="R1589" s="151"/>
      <c r="S1589" s="152"/>
      <c r="T1589" s="151"/>
      <c r="U1589" s="151"/>
      <c r="V1589" s="153"/>
      <c r="W1589" s="151"/>
      <c r="X1589" s="151"/>
      <c r="Y1589" s="153"/>
      <c r="Z1589" s="151"/>
      <c r="AA1589" s="187" t="str">
        <f t="shared" si="49"/>
        <v>No</v>
      </c>
      <c r="AB1589" s="158"/>
      <c r="AC1589" s="159"/>
      <c r="AD1589" s="160"/>
    </row>
    <row r="1590" spans="1:30">
      <c r="A1590" s="155"/>
      <c r="B1590" s="112" t="str">
        <f t="shared" si="48"/>
        <v/>
      </c>
      <c r="C1590" s="183"/>
      <c r="D1590" s="152"/>
      <c r="E1590" s="152"/>
      <c r="F1590" s="151"/>
      <c r="G1590" s="153"/>
      <c r="H1590" s="151"/>
      <c r="I1590" s="151"/>
      <c r="J1590" s="151"/>
      <c r="K1590" s="151"/>
      <c r="L1590" s="151"/>
      <c r="M1590" s="151"/>
      <c r="N1590" s="151"/>
      <c r="O1590" s="151"/>
      <c r="P1590" s="151"/>
      <c r="Q1590" s="151"/>
      <c r="R1590" s="151"/>
      <c r="S1590" s="152"/>
      <c r="T1590" s="151"/>
      <c r="U1590" s="151"/>
      <c r="V1590" s="153"/>
      <c r="W1590" s="151"/>
      <c r="X1590" s="151"/>
      <c r="Y1590" s="153"/>
      <c r="Z1590" s="151"/>
      <c r="AA1590" s="187" t="str">
        <f t="shared" si="49"/>
        <v>No</v>
      </c>
      <c r="AB1590" s="158"/>
      <c r="AC1590" s="159"/>
      <c r="AD1590" s="160"/>
    </row>
    <row r="1591" spans="1:30">
      <c r="A1591" s="155"/>
      <c r="B1591" s="112" t="str">
        <f t="shared" si="48"/>
        <v/>
      </c>
      <c r="C1591" s="183"/>
      <c r="D1591" s="152"/>
      <c r="E1591" s="152"/>
      <c r="F1591" s="151"/>
      <c r="G1591" s="153"/>
      <c r="H1591" s="151"/>
      <c r="I1591" s="151"/>
      <c r="J1591" s="151"/>
      <c r="K1591" s="151"/>
      <c r="L1591" s="151"/>
      <c r="M1591" s="151"/>
      <c r="N1591" s="151"/>
      <c r="O1591" s="151"/>
      <c r="P1591" s="151"/>
      <c r="Q1591" s="151"/>
      <c r="R1591" s="151"/>
      <c r="S1591" s="152"/>
      <c r="T1591" s="151"/>
      <c r="U1591" s="151"/>
      <c r="V1591" s="153"/>
      <c r="W1591" s="151"/>
      <c r="X1591" s="151"/>
      <c r="Y1591" s="153"/>
      <c r="Z1591" s="151"/>
      <c r="AA1591" s="187" t="str">
        <f t="shared" si="49"/>
        <v>No</v>
      </c>
      <c r="AB1591" s="158"/>
      <c r="AC1591" s="159"/>
      <c r="AD1591" s="160"/>
    </row>
    <row r="1592" spans="1:30">
      <c r="A1592" s="155"/>
      <c r="B1592" s="112" t="str">
        <f t="shared" si="48"/>
        <v/>
      </c>
      <c r="C1592" s="183"/>
      <c r="D1592" s="152"/>
      <c r="E1592" s="152"/>
      <c r="F1592" s="151"/>
      <c r="G1592" s="153"/>
      <c r="H1592" s="151"/>
      <c r="I1592" s="151"/>
      <c r="J1592" s="151"/>
      <c r="K1592" s="151"/>
      <c r="L1592" s="151"/>
      <c r="M1592" s="151"/>
      <c r="N1592" s="151"/>
      <c r="O1592" s="151"/>
      <c r="P1592" s="151"/>
      <c r="Q1592" s="151"/>
      <c r="R1592" s="151"/>
      <c r="S1592" s="152"/>
      <c r="T1592" s="151"/>
      <c r="U1592" s="151"/>
      <c r="V1592" s="153"/>
      <c r="W1592" s="151"/>
      <c r="X1592" s="151"/>
      <c r="Y1592" s="153"/>
      <c r="Z1592" s="151"/>
      <c r="AA1592" s="187" t="str">
        <f t="shared" si="49"/>
        <v>No</v>
      </c>
      <c r="AB1592" s="158"/>
      <c r="AC1592" s="159"/>
      <c r="AD1592" s="160"/>
    </row>
    <row r="1593" spans="1:30">
      <c r="A1593" s="155"/>
      <c r="B1593" s="112" t="str">
        <f t="shared" si="48"/>
        <v/>
      </c>
      <c r="C1593" s="183"/>
      <c r="D1593" s="152"/>
      <c r="E1593" s="152"/>
      <c r="F1593" s="151"/>
      <c r="G1593" s="153"/>
      <c r="H1593" s="151"/>
      <c r="I1593" s="151"/>
      <c r="J1593" s="151"/>
      <c r="K1593" s="151"/>
      <c r="L1593" s="151"/>
      <c r="M1593" s="151"/>
      <c r="N1593" s="151"/>
      <c r="O1593" s="151"/>
      <c r="P1593" s="151"/>
      <c r="Q1593" s="151"/>
      <c r="R1593" s="151"/>
      <c r="S1593" s="152"/>
      <c r="T1593" s="151"/>
      <c r="U1593" s="151"/>
      <c r="V1593" s="153"/>
      <c r="W1593" s="151"/>
      <c r="X1593" s="151"/>
      <c r="Y1593" s="153"/>
      <c r="Z1593" s="151"/>
      <c r="AA1593" s="187" t="str">
        <f t="shared" si="49"/>
        <v>No</v>
      </c>
      <c r="AB1593" s="158"/>
      <c r="AC1593" s="159"/>
      <c r="AD1593" s="160"/>
    </row>
    <row r="1594" spans="1:30">
      <c r="A1594" s="155"/>
      <c r="B1594" s="112" t="str">
        <f t="shared" si="48"/>
        <v/>
      </c>
      <c r="C1594" s="183"/>
      <c r="D1594" s="152"/>
      <c r="E1594" s="152"/>
      <c r="F1594" s="151"/>
      <c r="G1594" s="153"/>
      <c r="H1594" s="151"/>
      <c r="I1594" s="151"/>
      <c r="J1594" s="151"/>
      <c r="K1594" s="151"/>
      <c r="L1594" s="151"/>
      <c r="M1594" s="151"/>
      <c r="N1594" s="151"/>
      <c r="O1594" s="151"/>
      <c r="P1594" s="151"/>
      <c r="Q1594" s="151"/>
      <c r="R1594" s="151"/>
      <c r="S1594" s="152"/>
      <c r="T1594" s="151"/>
      <c r="U1594" s="151"/>
      <c r="V1594" s="153"/>
      <c r="W1594" s="151"/>
      <c r="X1594" s="151"/>
      <c r="Y1594" s="153"/>
      <c r="Z1594" s="151"/>
      <c r="AA1594" s="187" t="str">
        <f t="shared" si="49"/>
        <v>No</v>
      </c>
      <c r="AB1594" s="158"/>
      <c r="AC1594" s="159"/>
      <c r="AD1594" s="160"/>
    </row>
    <row r="1595" spans="1:30">
      <c r="A1595" s="155"/>
      <c r="B1595" s="112" t="str">
        <f t="shared" si="48"/>
        <v/>
      </c>
      <c r="C1595" s="183"/>
      <c r="D1595" s="152"/>
      <c r="E1595" s="152"/>
      <c r="F1595" s="151"/>
      <c r="G1595" s="153"/>
      <c r="H1595" s="151"/>
      <c r="I1595" s="151"/>
      <c r="J1595" s="151"/>
      <c r="K1595" s="151"/>
      <c r="L1595" s="151"/>
      <c r="M1595" s="151"/>
      <c r="N1595" s="151"/>
      <c r="O1595" s="151"/>
      <c r="P1595" s="151"/>
      <c r="Q1595" s="151"/>
      <c r="R1595" s="151"/>
      <c r="S1595" s="152"/>
      <c r="T1595" s="151"/>
      <c r="U1595" s="151"/>
      <c r="V1595" s="153"/>
      <c r="W1595" s="151"/>
      <c r="X1595" s="151"/>
      <c r="Y1595" s="153"/>
      <c r="Z1595" s="151"/>
      <c r="AA1595" s="187" t="str">
        <f t="shared" si="49"/>
        <v>No</v>
      </c>
      <c r="AB1595" s="158"/>
      <c r="AC1595" s="159"/>
      <c r="AD1595" s="160"/>
    </row>
    <row r="1596" spans="1:30">
      <c r="A1596" s="155"/>
      <c r="B1596" s="112" t="str">
        <f t="shared" si="48"/>
        <v/>
      </c>
      <c r="C1596" s="183"/>
      <c r="D1596" s="152"/>
      <c r="E1596" s="152"/>
      <c r="F1596" s="151"/>
      <c r="G1596" s="153"/>
      <c r="H1596" s="151"/>
      <c r="I1596" s="151"/>
      <c r="J1596" s="151"/>
      <c r="K1596" s="151"/>
      <c r="L1596" s="151"/>
      <c r="M1596" s="151"/>
      <c r="N1596" s="151"/>
      <c r="O1596" s="151"/>
      <c r="P1596" s="151"/>
      <c r="Q1596" s="151"/>
      <c r="R1596" s="151"/>
      <c r="S1596" s="152"/>
      <c r="T1596" s="151"/>
      <c r="U1596" s="151"/>
      <c r="V1596" s="153"/>
      <c r="W1596" s="151"/>
      <c r="X1596" s="151"/>
      <c r="Y1596" s="153"/>
      <c r="Z1596" s="151"/>
      <c r="AA1596" s="187" t="str">
        <f t="shared" si="49"/>
        <v>No</v>
      </c>
      <c r="AB1596" s="158"/>
      <c r="AC1596" s="159"/>
      <c r="AD1596" s="160"/>
    </row>
    <row r="1597" spans="1:30">
      <c r="A1597" s="155"/>
      <c r="B1597" s="112" t="str">
        <f t="shared" si="48"/>
        <v/>
      </c>
      <c r="C1597" s="183"/>
      <c r="D1597" s="152"/>
      <c r="E1597" s="152"/>
      <c r="F1597" s="151"/>
      <c r="G1597" s="153"/>
      <c r="H1597" s="151"/>
      <c r="I1597" s="151"/>
      <c r="J1597" s="151"/>
      <c r="K1597" s="151"/>
      <c r="L1597" s="151"/>
      <c r="M1597" s="151"/>
      <c r="N1597" s="151"/>
      <c r="O1597" s="151"/>
      <c r="P1597" s="151"/>
      <c r="Q1597" s="151"/>
      <c r="R1597" s="151"/>
      <c r="S1597" s="152"/>
      <c r="T1597" s="151"/>
      <c r="U1597" s="151"/>
      <c r="V1597" s="153"/>
      <c r="W1597" s="151"/>
      <c r="X1597" s="151"/>
      <c r="Y1597" s="153"/>
      <c r="Z1597" s="151"/>
      <c r="AA1597" s="187" t="str">
        <f t="shared" si="49"/>
        <v>No</v>
      </c>
      <c r="AB1597" s="158"/>
      <c r="AC1597" s="159"/>
      <c r="AD1597" s="160"/>
    </row>
    <row r="1598" spans="1:30">
      <c r="A1598" s="155"/>
      <c r="B1598" s="112" t="str">
        <f t="shared" si="48"/>
        <v/>
      </c>
      <c r="C1598" s="183"/>
      <c r="D1598" s="152"/>
      <c r="E1598" s="152"/>
      <c r="F1598" s="151"/>
      <c r="G1598" s="153"/>
      <c r="H1598" s="151"/>
      <c r="I1598" s="151"/>
      <c r="J1598" s="151"/>
      <c r="K1598" s="151"/>
      <c r="L1598" s="151"/>
      <c r="M1598" s="151"/>
      <c r="N1598" s="151"/>
      <c r="O1598" s="151"/>
      <c r="P1598" s="151"/>
      <c r="Q1598" s="151"/>
      <c r="R1598" s="151"/>
      <c r="S1598" s="152"/>
      <c r="T1598" s="151"/>
      <c r="U1598" s="151"/>
      <c r="V1598" s="153"/>
      <c r="W1598" s="151"/>
      <c r="X1598" s="151"/>
      <c r="Y1598" s="153"/>
      <c r="Z1598" s="151"/>
      <c r="AA1598" s="187" t="str">
        <f t="shared" si="49"/>
        <v>No</v>
      </c>
      <c r="AB1598" s="158"/>
      <c r="AC1598" s="159"/>
      <c r="AD1598" s="160"/>
    </row>
    <row r="1599" spans="1:30">
      <c r="A1599" s="155"/>
      <c r="B1599" s="112" t="str">
        <f t="shared" si="48"/>
        <v/>
      </c>
      <c r="C1599" s="183"/>
      <c r="D1599" s="152"/>
      <c r="E1599" s="152"/>
      <c r="F1599" s="151"/>
      <c r="G1599" s="153"/>
      <c r="H1599" s="151"/>
      <c r="I1599" s="151"/>
      <c r="J1599" s="151"/>
      <c r="K1599" s="151"/>
      <c r="L1599" s="151"/>
      <c r="M1599" s="151"/>
      <c r="N1599" s="151"/>
      <c r="O1599" s="151"/>
      <c r="P1599" s="151"/>
      <c r="Q1599" s="151"/>
      <c r="R1599" s="151"/>
      <c r="S1599" s="152"/>
      <c r="T1599" s="151"/>
      <c r="U1599" s="151"/>
      <c r="V1599" s="153"/>
      <c r="W1599" s="151"/>
      <c r="X1599" s="151"/>
      <c r="Y1599" s="153"/>
      <c r="Z1599" s="151"/>
      <c r="AA1599" s="187" t="str">
        <f t="shared" si="49"/>
        <v>No</v>
      </c>
      <c r="AB1599" s="158"/>
      <c r="AC1599" s="159"/>
      <c r="AD1599" s="160"/>
    </row>
    <row r="1600" spans="1:30">
      <c r="A1600" s="155"/>
      <c r="B1600" s="112" t="str">
        <f t="shared" si="48"/>
        <v/>
      </c>
      <c r="C1600" s="183"/>
      <c r="D1600" s="152"/>
      <c r="E1600" s="152"/>
      <c r="F1600" s="151"/>
      <c r="G1600" s="153"/>
      <c r="H1600" s="151"/>
      <c r="I1600" s="151"/>
      <c r="J1600" s="151"/>
      <c r="K1600" s="151"/>
      <c r="L1600" s="151"/>
      <c r="M1600" s="151"/>
      <c r="N1600" s="151"/>
      <c r="O1600" s="151"/>
      <c r="P1600" s="151"/>
      <c r="Q1600" s="151"/>
      <c r="R1600" s="151"/>
      <c r="S1600" s="152"/>
      <c r="T1600" s="151"/>
      <c r="U1600" s="151"/>
      <c r="V1600" s="153"/>
      <c r="W1600" s="151"/>
      <c r="X1600" s="151"/>
      <c r="Y1600" s="153"/>
      <c r="Z1600" s="151"/>
      <c r="AA1600" s="187" t="str">
        <f t="shared" si="49"/>
        <v>No</v>
      </c>
      <c r="AB1600" s="158"/>
      <c r="AC1600" s="159"/>
      <c r="AD1600" s="160"/>
    </row>
    <row r="1601" spans="1:30">
      <c r="A1601" s="155"/>
      <c r="B1601" s="112" t="str">
        <f t="shared" si="48"/>
        <v/>
      </c>
      <c r="C1601" s="183"/>
      <c r="D1601" s="152"/>
      <c r="E1601" s="152"/>
      <c r="F1601" s="151"/>
      <c r="G1601" s="153"/>
      <c r="H1601" s="151"/>
      <c r="I1601" s="151"/>
      <c r="J1601" s="151"/>
      <c r="K1601" s="151"/>
      <c r="L1601" s="151"/>
      <c r="M1601" s="151"/>
      <c r="N1601" s="151"/>
      <c r="O1601" s="151"/>
      <c r="P1601" s="151"/>
      <c r="Q1601" s="151"/>
      <c r="R1601" s="151"/>
      <c r="S1601" s="152"/>
      <c r="T1601" s="151"/>
      <c r="U1601" s="151"/>
      <c r="V1601" s="153"/>
      <c r="W1601" s="151"/>
      <c r="X1601" s="151"/>
      <c r="Y1601" s="153"/>
      <c r="Z1601" s="151"/>
      <c r="AA1601" s="187" t="str">
        <f t="shared" si="49"/>
        <v>No</v>
      </c>
      <c r="AB1601" s="158"/>
      <c r="AC1601" s="159"/>
      <c r="AD1601" s="160"/>
    </row>
    <row r="1602" spans="1:30">
      <c r="A1602" s="155"/>
      <c r="B1602" s="112" t="str">
        <f t="shared" si="48"/>
        <v/>
      </c>
      <c r="C1602" s="183"/>
      <c r="D1602" s="152"/>
      <c r="E1602" s="152"/>
      <c r="F1602" s="151"/>
      <c r="G1602" s="153"/>
      <c r="H1602" s="151"/>
      <c r="I1602" s="151"/>
      <c r="J1602" s="151"/>
      <c r="K1602" s="151"/>
      <c r="L1602" s="151"/>
      <c r="M1602" s="151"/>
      <c r="N1602" s="151"/>
      <c r="O1602" s="151"/>
      <c r="P1602" s="151"/>
      <c r="Q1602" s="151"/>
      <c r="R1602" s="151"/>
      <c r="S1602" s="152"/>
      <c r="T1602" s="151"/>
      <c r="U1602" s="151"/>
      <c r="V1602" s="153"/>
      <c r="W1602" s="151"/>
      <c r="X1602" s="151"/>
      <c r="Y1602" s="153"/>
      <c r="Z1602" s="151"/>
      <c r="AA1602" s="187" t="str">
        <f t="shared" si="49"/>
        <v>No</v>
      </c>
      <c r="AB1602" s="158"/>
      <c r="AC1602" s="159"/>
      <c r="AD1602" s="160"/>
    </row>
    <row r="1603" spans="1:30">
      <c r="A1603" s="155"/>
      <c r="B1603" s="112" t="str">
        <f t="shared" si="48"/>
        <v/>
      </c>
      <c r="C1603" s="183"/>
      <c r="D1603" s="152"/>
      <c r="E1603" s="152"/>
      <c r="F1603" s="151"/>
      <c r="G1603" s="153"/>
      <c r="H1603" s="151"/>
      <c r="I1603" s="151"/>
      <c r="J1603" s="151"/>
      <c r="K1603" s="151"/>
      <c r="L1603" s="151"/>
      <c r="M1603" s="151"/>
      <c r="N1603" s="151"/>
      <c r="O1603" s="151"/>
      <c r="P1603" s="151"/>
      <c r="Q1603" s="151"/>
      <c r="R1603" s="151"/>
      <c r="S1603" s="152"/>
      <c r="T1603" s="151"/>
      <c r="U1603" s="151"/>
      <c r="V1603" s="153"/>
      <c r="W1603" s="151"/>
      <c r="X1603" s="151"/>
      <c r="Y1603" s="153"/>
      <c r="Z1603" s="151"/>
      <c r="AA1603" s="187" t="str">
        <f t="shared" si="49"/>
        <v>No</v>
      </c>
      <c r="AB1603" s="158"/>
      <c r="AC1603" s="159"/>
      <c r="AD1603" s="160"/>
    </row>
    <row r="1604" spans="1:30">
      <c r="A1604" s="155"/>
      <c r="B1604" s="112" t="str">
        <f t="shared" si="48"/>
        <v/>
      </c>
      <c r="C1604" s="183"/>
      <c r="D1604" s="152"/>
      <c r="E1604" s="152"/>
      <c r="F1604" s="151"/>
      <c r="G1604" s="153"/>
      <c r="H1604" s="151"/>
      <c r="I1604" s="151"/>
      <c r="J1604" s="151"/>
      <c r="K1604" s="151"/>
      <c r="L1604" s="151"/>
      <c r="M1604" s="151"/>
      <c r="N1604" s="151"/>
      <c r="O1604" s="151"/>
      <c r="P1604" s="151"/>
      <c r="Q1604" s="151"/>
      <c r="R1604" s="151"/>
      <c r="S1604" s="152"/>
      <c r="T1604" s="151"/>
      <c r="U1604" s="151"/>
      <c r="V1604" s="153"/>
      <c r="W1604" s="151"/>
      <c r="X1604" s="151"/>
      <c r="Y1604" s="153"/>
      <c r="Z1604" s="151"/>
      <c r="AA1604" s="187" t="str">
        <f t="shared" si="49"/>
        <v>No</v>
      </c>
      <c r="AB1604" s="158"/>
      <c r="AC1604" s="159"/>
      <c r="AD1604" s="160"/>
    </row>
    <row r="1605" spans="1:30">
      <c r="A1605" s="155"/>
      <c r="B1605" s="112" t="str">
        <f t="shared" ref="B1605:B1668" si="50">IF(AND(A1605&lt;&gt;"",D1605&lt;&gt;"",J1605&lt;&gt;"",N1605&lt;&gt;""),TEXT(D1605,"YY")&amp;"-"&amp;TEXT(D1605,"MMM")&amp;"-"&amp;UPPER(LEFT(TRIM(N1605),2))&amp;"-"&amp;UPPER(LEFT(TRIM(J1605),3))&amp;"-"&amp;A1605,"")</f>
        <v/>
      </c>
      <c r="C1605" s="183"/>
      <c r="D1605" s="152"/>
      <c r="E1605" s="152"/>
      <c r="F1605" s="151"/>
      <c r="G1605" s="153"/>
      <c r="H1605" s="151"/>
      <c r="I1605" s="151"/>
      <c r="J1605" s="151"/>
      <c r="K1605" s="151"/>
      <c r="L1605" s="151"/>
      <c r="M1605" s="151"/>
      <c r="N1605" s="151"/>
      <c r="O1605" s="151"/>
      <c r="P1605" s="151"/>
      <c r="Q1605" s="151"/>
      <c r="R1605" s="151"/>
      <c r="S1605" s="152"/>
      <c r="T1605" s="151"/>
      <c r="U1605" s="151"/>
      <c r="V1605" s="153"/>
      <c r="W1605" s="151"/>
      <c r="X1605" s="151"/>
      <c r="Y1605" s="153"/>
      <c r="Z1605" s="151"/>
      <c r="AA1605" s="187" t="str">
        <f t="shared" ref="AA1605:AA1668" si="51">IF(E1605="","No","Yes")</f>
        <v>No</v>
      </c>
      <c r="AB1605" s="158"/>
      <c r="AC1605" s="159"/>
      <c r="AD1605" s="160"/>
    </row>
    <row r="1606" spans="1:30">
      <c r="A1606" s="155"/>
      <c r="B1606" s="112" t="str">
        <f t="shared" si="50"/>
        <v/>
      </c>
      <c r="C1606" s="183"/>
      <c r="D1606" s="152"/>
      <c r="E1606" s="152"/>
      <c r="F1606" s="151"/>
      <c r="G1606" s="153"/>
      <c r="H1606" s="151"/>
      <c r="I1606" s="151"/>
      <c r="J1606" s="151"/>
      <c r="K1606" s="151"/>
      <c r="L1606" s="151"/>
      <c r="M1606" s="151"/>
      <c r="N1606" s="151"/>
      <c r="O1606" s="151"/>
      <c r="P1606" s="151"/>
      <c r="Q1606" s="151"/>
      <c r="R1606" s="151"/>
      <c r="S1606" s="152"/>
      <c r="T1606" s="151"/>
      <c r="U1606" s="151"/>
      <c r="V1606" s="153"/>
      <c r="W1606" s="151"/>
      <c r="X1606" s="151"/>
      <c r="Y1606" s="153"/>
      <c r="Z1606" s="151"/>
      <c r="AA1606" s="187" t="str">
        <f t="shared" si="51"/>
        <v>No</v>
      </c>
      <c r="AB1606" s="158"/>
      <c r="AC1606" s="159"/>
      <c r="AD1606" s="160"/>
    </row>
    <row r="1607" spans="1:30">
      <c r="A1607" s="155"/>
      <c r="B1607" s="112" t="str">
        <f t="shared" si="50"/>
        <v/>
      </c>
      <c r="C1607" s="183"/>
      <c r="D1607" s="152"/>
      <c r="E1607" s="152"/>
      <c r="F1607" s="151"/>
      <c r="G1607" s="153"/>
      <c r="H1607" s="151"/>
      <c r="I1607" s="151"/>
      <c r="J1607" s="151"/>
      <c r="K1607" s="151"/>
      <c r="L1607" s="151"/>
      <c r="M1607" s="151"/>
      <c r="N1607" s="151"/>
      <c r="O1607" s="151"/>
      <c r="P1607" s="151"/>
      <c r="Q1607" s="151"/>
      <c r="R1607" s="151"/>
      <c r="S1607" s="152"/>
      <c r="T1607" s="151"/>
      <c r="U1607" s="151"/>
      <c r="V1607" s="153"/>
      <c r="W1607" s="151"/>
      <c r="X1607" s="151"/>
      <c r="Y1607" s="153"/>
      <c r="Z1607" s="151"/>
      <c r="AA1607" s="187" t="str">
        <f t="shared" si="51"/>
        <v>No</v>
      </c>
      <c r="AB1607" s="158"/>
      <c r="AC1607" s="159"/>
      <c r="AD1607" s="160"/>
    </row>
    <row r="1608" spans="1:30">
      <c r="A1608" s="155"/>
      <c r="B1608" s="112" t="str">
        <f t="shared" si="50"/>
        <v/>
      </c>
      <c r="C1608" s="183"/>
      <c r="D1608" s="152"/>
      <c r="E1608" s="152"/>
      <c r="F1608" s="151"/>
      <c r="G1608" s="153"/>
      <c r="H1608" s="151"/>
      <c r="I1608" s="151"/>
      <c r="J1608" s="151"/>
      <c r="K1608" s="151"/>
      <c r="L1608" s="151"/>
      <c r="M1608" s="151"/>
      <c r="N1608" s="151"/>
      <c r="O1608" s="151"/>
      <c r="P1608" s="151"/>
      <c r="Q1608" s="151"/>
      <c r="R1608" s="151"/>
      <c r="S1608" s="152"/>
      <c r="T1608" s="151"/>
      <c r="U1608" s="151"/>
      <c r="V1608" s="153"/>
      <c r="W1608" s="151"/>
      <c r="X1608" s="151"/>
      <c r="Y1608" s="153"/>
      <c r="Z1608" s="151"/>
      <c r="AA1608" s="187" t="str">
        <f t="shared" si="51"/>
        <v>No</v>
      </c>
      <c r="AB1608" s="158"/>
      <c r="AC1608" s="159"/>
      <c r="AD1608" s="160"/>
    </row>
    <row r="1609" spans="1:30">
      <c r="A1609" s="155"/>
      <c r="B1609" s="112" t="str">
        <f t="shared" si="50"/>
        <v/>
      </c>
      <c r="C1609" s="183"/>
      <c r="D1609" s="152"/>
      <c r="E1609" s="152"/>
      <c r="F1609" s="151"/>
      <c r="G1609" s="153"/>
      <c r="H1609" s="151"/>
      <c r="I1609" s="151"/>
      <c r="J1609" s="151"/>
      <c r="K1609" s="151"/>
      <c r="L1609" s="151"/>
      <c r="M1609" s="151"/>
      <c r="N1609" s="151"/>
      <c r="O1609" s="151"/>
      <c r="P1609" s="151"/>
      <c r="Q1609" s="151"/>
      <c r="R1609" s="151"/>
      <c r="S1609" s="152"/>
      <c r="T1609" s="151"/>
      <c r="U1609" s="151"/>
      <c r="V1609" s="153"/>
      <c r="W1609" s="151"/>
      <c r="X1609" s="151"/>
      <c r="Y1609" s="153"/>
      <c r="Z1609" s="151"/>
      <c r="AA1609" s="187" t="str">
        <f t="shared" si="51"/>
        <v>No</v>
      </c>
      <c r="AB1609" s="158"/>
      <c r="AC1609" s="159"/>
      <c r="AD1609" s="160"/>
    </row>
    <row r="1610" spans="1:30">
      <c r="A1610" s="155"/>
      <c r="B1610" s="112" t="str">
        <f t="shared" si="50"/>
        <v/>
      </c>
      <c r="C1610" s="183"/>
      <c r="D1610" s="152"/>
      <c r="E1610" s="152"/>
      <c r="F1610" s="151"/>
      <c r="G1610" s="153"/>
      <c r="H1610" s="151"/>
      <c r="I1610" s="151"/>
      <c r="J1610" s="151"/>
      <c r="K1610" s="151"/>
      <c r="L1610" s="151"/>
      <c r="M1610" s="151"/>
      <c r="N1610" s="151"/>
      <c r="O1610" s="151"/>
      <c r="P1610" s="151"/>
      <c r="Q1610" s="151"/>
      <c r="R1610" s="151"/>
      <c r="S1610" s="152"/>
      <c r="T1610" s="151"/>
      <c r="U1610" s="151"/>
      <c r="V1610" s="153"/>
      <c r="W1610" s="151"/>
      <c r="X1610" s="151"/>
      <c r="Y1610" s="153"/>
      <c r="Z1610" s="151"/>
      <c r="AA1610" s="187" t="str">
        <f t="shared" si="51"/>
        <v>No</v>
      </c>
      <c r="AB1610" s="158"/>
      <c r="AC1610" s="159"/>
      <c r="AD1610" s="160"/>
    </row>
    <row r="1611" spans="1:30">
      <c r="A1611" s="155"/>
      <c r="B1611" s="112" t="str">
        <f t="shared" si="50"/>
        <v/>
      </c>
      <c r="C1611" s="183"/>
      <c r="D1611" s="152"/>
      <c r="E1611" s="152"/>
      <c r="F1611" s="151"/>
      <c r="G1611" s="153"/>
      <c r="H1611" s="151"/>
      <c r="I1611" s="151"/>
      <c r="J1611" s="151"/>
      <c r="K1611" s="151"/>
      <c r="L1611" s="151"/>
      <c r="M1611" s="151"/>
      <c r="N1611" s="151"/>
      <c r="O1611" s="151"/>
      <c r="P1611" s="151"/>
      <c r="Q1611" s="151"/>
      <c r="R1611" s="151"/>
      <c r="S1611" s="152"/>
      <c r="T1611" s="151"/>
      <c r="U1611" s="151"/>
      <c r="V1611" s="153"/>
      <c r="W1611" s="151"/>
      <c r="X1611" s="151"/>
      <c r="Y1611" s="153"/>
      <c r="Z1611" s="151"/>
      <c r="AA1611" s="187" t="str">
        <f t="shared" si="51"/>
        <v>No</v>
      </c>
      <c r="AB1611" s="158"/>
      <c r="AC1611" s="159"/>
      <c r="AD1611" s="160"/>
    </row>
    <row r="1612" spans="1:30">
      <c r="A1612" s="155"/>
      <c r="B1612" s="112" t="str">
        <f t="shared" si="50"/>
        <v/>
      </c>
      <c r="C1612" s="183"/>
      <c r="D1612" s="152"/>
      <c r="E1612" s="152"/>
      <c r="F1612" s="151"/>
      <c r="G1612" s="153"/>
      <c r="H1612" s="151"/>
      <c r="I1612" s="151"/>
      <c r="J1612" s="151"/>
      <c r="K1612" s="151"/>
      <c r="L1612" s="151"/>
      <c r="M1612" s="151"/>
      <c r="N1612" s="151"/>
      <c r="O1612" s="151"/>
      <c r="P1612" s="151"/>
      <c r="Q1612" s="151"/>
      <c r="R1612" s="151"/>
      <c r="S1612" s="152"/>
      <c r="T1612" s="151"/>
      <c r="U1612" s="151"/>
      <c r="V1612" s="153"/>
      <c r="W1612" s="151"/>
      <c r="X1612" s="151"/>
      <c r="Y1612" s="153"/>
      <c r="Z1612" s="151"/>
      <c r="AA1612" s="187" t="str">
        <f t="shared" si="51"/>
        <v>No</v>
      </c>
      <c r="AB1612" s="158"/>
      <c r="AC1612" s="159"/>
      <c r="AD1612" s="160"/>
    </row>
    <row r="1613" spans="1:30">
      <c r="A1613" s="155"/>
      <c r="B1613" s="112" t="str">
        <f t="shared" si="50"/>
        <v/>
      </c>
      <c r="C1613" s="183"/>
      <c r="D1613" s="152"/>
      <c r="E1613" s="152"/>
      <c r="F1613" s="151"/>
      <c r="G1613" s="153"/>
      <c r="H1613" s="151"/>
      <c r="I1613" s="151"/>
      <c r="J1613" s="151"/>
      <c r="K1613" s="151"/>
      <c r="L1613" s="151"/>
      <c r="M1613" s="151"/>
      <c r="N1613" s="151"/>
      <c r="O1613" s="151"/>
      <c r="P1613" s="151"/>
      <c r="Q1613" s="151"/>
      <c r="R1613" s="151"/>
      <c r="S1613" s="152"/>
      <c r="T1613" s="151"/>
      <c r="U1613" s="151"/>
      <c r="V1613" s="153"/>
      <c r="W1613" s="151"/>
      <c r="X1613" s="151"/>
      <c r="Y1613" s="153"/>
      <c r="Z1613" s="151"/>
      <c r="AA1613" s="187" t="str">
        <f t="shared" si="51"/>
        <v>No</v>
      </c>
      <c r="AB1613" s="158"/>
      <c r="AC1613" s="159"/>
      <c r="AD1613" s="160"/>
    </row>
    <row r="1614" spans="1:30">
      <c r="A1614" s="155"/>
      <c r="B1614" s="112" t="str">
        <f t="shared" si="50"/>
        <v/>
      </c>
      <c r="C1614" s="183"/>
      <c r="D1614" s="152"/>
      <c r="E1614" s="152"/>
      <c r="F1614" s="151"/>
      <c r="G1614" s="153"/>
      <c r="H1614" s="151"/>
      <c r="I1614" s="151"/>
      <c r="J1614" s="151"/>
      <c r="K1614" s="151"/>
      <c r="L1614" s="151"/>
      <c r="M1614" s="151"/>
      <c r="N1614" s="151"/>
      <c r="O1614" s="151"/>
      <c r="P1614" s="151"/>
      <c r="Q1614" s="151"/>
      <c r="R1614" s="151"/>
      <c r="S1614" s="152"/>
      <c r="T1614" s="151"/>
      <c r="U1614" s="151"/>
      <c r="V1614" s="153"/>
      <c r="W1614" s="151"/>
      <c r="X1614" s="151"/>
      <c r="Y1614" s="153"/>
      <c r="Z1614" s="151"/>
      <c r="AA1614" s="187" t="str">
        <f t="shared" si="51"/>
        <v>No</v>
      </c>
      <c r="AB1614" s="158"/>
      <c r="AC1614" s="159"/>
      <c r="AD1614" s="160"/>
    </row>
    <row r="1615" spans="1:30">
      <c r="A1615" s="155"/>
      <c r="B1615" s="112" t="str">
        <f t="shared" si="50"/>
        <v/>
      </c>
      <c r="C1615" s="183"/>
      <c r="D1615" s="152"/>
      <c r="E1615" s="152"/>
      <c r="F1615" s="151"/>
      <c r="G1615" s="153"/>
      <c r="H1615" s="151"/>
      <c r="I1615" s="151"/>
      <c r="J1615" s="151"/>
      <c r="K1615" s="151"/>
      <c r="L1615" s="151"/>
      <c r="M1615" s="151"/>
      <c r="N1615" s="151"/>
      <c r="O1615" s="151"/>
      <c r="P1615" s="151"/>
      <c r="Q1615" s="151"/>
      <c r="R1615" s="151"/>
      <c r="S1615" s="152"/>
      <c r="T1615" s="151"/>
      <c r="U1615" s="151"/>
      <c r="V1615" s="153"/>
      <c r="W1615" s="151"/>
      <c r="X1615" s="151"/>
      <c r="Y1615" s="153"/>
      <c r="Z1615" s="151"/>
      <c r="AA1615" s="187" t="str">
        <f t="shared" si="51"/>
        <v>No</v>
      </c>
      <c r="AB1615" s="158"/>
      <c r="AC1615" s="159"/>
      <c r="AD1615" s="160"/>
    </row>
    <row r="1616" spans="1:30">
      <c r="A1616" s="155"/>
      <c r="B1616" s="112" t="str">
        <f t="shared" si="50"/>
        <v/>
      </c>
      <c r="C1616" s="183"/>
      <c r="D1616" s="152"/>
      <c r="E1616" s="152"/>
      <c r="F1616" s="151"/>
      <c r="G1616" s="153"/>
      <c r="H1616" s="151"/>
      <c r="I1616" s="151"/>
      <c r="J1616" s="151"/>
      <c r="K1616" s="151"/>
      <c r="L1616" s="151"/>
      <c r="M1616" s="151"/>
      <c r="N1616" s="151"/>
      <c r="O1616" s="151"/>
      <c r="P1616" s="151"/>
      <c r="Q1616" s="151"/>
      <c r="R1616" s="151"/>
      <c r="S1616" s="152"/>
      <c r="T1616" s="151"/>
      <c r="U1616" s="151"/>
      <c r="V1616" s="153"/>
      <c r="W1616" s="151"/>
      <c r="X1616" s="151"/>
      <c r="Y1616" s="153"/>
      <c r="Z1616" s="151"/>
      <c r="AA1616" s="187" t="str">
        <f t="shared" si="51"/>
        <v>No</v>
      </c>
      <c r="AB1616" s="158"/>
      <c r="AC1616" s="159"/>
      <c r="AD1616" s="160"/>
    </row>
    <row r="1617" spans="1:30">
      <c r="A1617" s="155"/>
      <c r="B1617" s="112" t="str">
        <f t="shared" si="50"/>
        <v/>
      </c>
      <c r="C1617" s="183"/>
      <c r="D1617" s="152"/>
      <c r="E1617" s="152"/>
      <c r="F1617" s="151"/>
      <c r="G1617" s="153"/>
      <c r="H1617" s="151"/>
      <c r="I1617" s="151"/>
      <c r="J1617" s="151"/>
      <c r="K1617" s="151"/>
      <c r="L1617" s="151"/>
      <c r="M1617" s="151"/>
      <c r="N1617" s="151"/>
      <c r="O1617" s="151"/>
      <c r="P1617" s="151"/>
      <c r="Q1617" s="151"/>
      <c r="R1617" s="151"/>
      <c r="S1617" s="152"/>
      <c r="T1617" s="151"/>
      <c r="U1617" s="151"/>
      <c r="V1617" s="153"/>
      <c r="W1617" s="151"/>
      <c r="X1617" s="151"/>
      <c r="Y1617" s="153"/>
      <c r="Z1617" s="151"/>
      <c r="AA1617" s="187" t="str">
        <f t="shared" si="51"/>
        <v>No</v>
      </c>
      <c r="AB1617" s="158"/>
      <c r="AC1617" s="159"/>
      <c r="AD1617" s="160"/>
    </row>
    <row r="1618" spans="1:30">
      <c r="A1618" s="155"/>
      <c r="B1618" s="112" t="str">
        <f t="shared" si="50"/>
        <v/>
      </c>
      <c r="C1618" s="183"/>
      <c r="D1618" s="152"/>
      <c r="E1618" s="152"/>
      <c r="F1618" s="151"/>
      <c r="G1618" s="153"/>
      <c r="H1618" s="151"/>
      <c r="I1618" s="151"/>
      <c r="J1618" s="151"/>
      <c r="K1618" s="151"/>
      <c r="L1618" s="151"/>
      <c r="M1618" s="151"/>
      <c r="N1618" s="151"/>
      <c r="O1618" s="151"/>
      <c r="P1618" s="151"/>
      <c r="Q1618" s="151"/>
      <c r="R1618" s="151"/>
      <c r="S1618" s="152"/>
      <c r="T1618" s="151"/>
      <c r="U1618" s="151"/>
      <c r="V1618" s="153"/>
      <c r="W1618" s="151"/>
      <c r="X1618" s="151"/>
      <c r="Y1618" s="153"/>
      <c r="Z1618" s="151"/>
      <c r="AA1618" s="187" t="str">
        <f t="shared" si="51"/>
        <v>No</v>
      </c>
      <c r="AB1618" s="158"/>
      <c r="AC1618" s="159"/>
      <c r="AD1618" s="160"/>
    </row>
    <row r="1619" spans="1:30">
      <c r="A1619" s="155"/>
      <c r="B1619" s="112" t="str">
        <f t="shared" si="50"/>
        <v/>
      </c>
      <c r="C1619" s="183"/>
      <c r="D1619" s="152"/>
      <c r="E1619" s="152"/>
      <c r="F1619" s="151"/>
      <c r="G1619" s="153"/>
      <c r="H1619" s="151"/>
      <c r="I1619" s="151"/>
      <c r="J1619" s="151"/>
      <c r="K1619" s="151"/>
      <c r="L1619" s="151"/>
      <c r="M1619" s="151"/>
      <c r="N1619" s="151"/>
      <c r="O1619" s="151"/>
      <c r="P1619" s="151"/>
      <c r="Q1619" s="151"/>
      <c r="R1619" s="151"/>
      <c r="S1619" s="152"/>
      <c r="T1619" s="151"/>
      <c r="U1619" s="151"/>
      <c r="V1619" s="153"/>
      <c r="W1619" s="151"/>
      <c r="X1619" s="151"/>
      <c r="Y1619" s="153"/>
      <c r="Z1619" s="151"/>
      <c r="AA1619" s="187" t="str">
        <f t="shared" si="51"/>
        <v>No</v>
      </c>
      <c r="AB1619" s="158"/>
      <c r="AC1619" s="159"/>
      <c r="AD1619" s="160"/>
    </row>
    <row r="1620" spans="1:30">
      <c r="A1620" s="155"/>
      <c r="B1620" s="112" t="str">
        <f t="shared" si="50"/>
        <v/>
      </c>
      <c r="C1620" s="183"/>
      <c r="D1620" s="152"/>
      <c r="E1620" s="152"/>
      <c r="F1620" s="151"/>
      <c r="G1620" s="153"/>
      <c r="H1620" s="151"/>
      <c r="I1620" s="151"/>
      <c r="J1620" s="151"/>
      <c r="K1620" s="151"/>
      <c r="L1620" s="151"/>
      <c r="M1620" s="151"/>
      <c r="N1620" s="151"/>
      <c r="O1620" s="151"/>
      <c r="P1620" s="151"/>
      <c r="Q1620" s="151"/>
      <c r="R1620" s="151"/>
      <c r="S1620" s="152"/>
      <c r="T1620" s="151"/>
      <c r="U1620" s="151"/>
      <c r="V1620" s="153"/>
      <c r="W1620" s="151"/>
      <c r="X1620" s="151"/>
      <c r="Y1620" s="153"/>
      <c r="Z1620" s="151"/>
      <c r="AA1620" s="187" t="str">
        <f t="shared" si="51"/>
        <v>No</v>
      </c>
      <c r="AB1620" s="158"/>
      <c r="AC1620" s="159"/>
      <c r="AD1620" s="160"/>
    </row>
    <row r="1621" spans="1:30">
      <c r="A1621" s="155"/>
      <c r="B1621" s="112" t="str">
        <f t="shared" si="50"/>
        <v/>
      </c>
      <c r="C1621" s="183"/>
      <c r="D1621" s="152"/>
      <c r="E1621" s="152"/>
      <c r="F1621" s="151"/>
      <c r="G1621" s="153"/>
      <c r="H1621" s="151"/>
      <c r="I1621" s="151"/>
      <c r="J1621" s="151"/>
      <c r="K1621" s="151"/>
      <c r="L1621" s="151"/>
      <c r="M1621" s="151"/>
      <c r="N1621" s="151"/>
      <c r="O1621" s="151"/>
      <c r="P1621" s="151"/>
      <c r="Q1621" s="151"/>
      <c r="R1621" s="151"/>
      <c r="S1621" s="152"/>
      <c r="T1621" s="151"/>
      <c r="U1621" s="151"/>
      <c r="V1621" s="153"/>
      <c r="W1621" s="151"/>
      <c r="X1621" s="151"/>
      <c r="Y1621" s="153"/>
      <c r="Z1621" s="151"/>
      <c r="AA1621" s="187" t="str">
        <f t="shared" si="51"/>
        <v>No</v>
      </c>
      <c r="AB1621" s="158"/>
      <c r="AC1621" s="159"/>
      <c r="AD1621" s="160"/>
    </row>
    <row r="1622" spans="1:30">
      <c r="A1622" s="155"/>
      <c r="B1622" s="112" t="str">
        <f t="shared" si="50"/>
        <v/>
      </c>
      <c r="C1622" s="183"/>
      <c r="D1622" s="152"/>
      <c r="E1622" s="152"/>
      <c r="F1622" s="151"/>
      <c r="G1622" s="153"/>
      <c r="H1622" s="151"/>
      <c r="I1622" s="151"/>
      <c r="J1622" s="151"/>
      <c r="K1622" s="151"/>
      <c r="L1622" s="151"/>
      <c r="M1622" s="151"/>
      <c r="N1622" s="151"/>
      <c r="O1622" s="151"/>
      <c r="P1622" s="151"/>
      <c r="Q1622" s="151"/>
      <c r="R1622" s="151"/>
      <c r="S1622" s="152"/>
      <c r="T1622" s="151"/>
      <c r="U1622" s="151"/>
      <c r="V1622" s="153"/>
      <c r="W1622" s="151"/>
      <c r="X1622" s="151"/>
      <c r="Y1622" s="153"/>
      <c r="Z1622" s="151"/>
      <c r="AA1622" s="187" t="str">
        <f t="shared" si="51"/>
        <v>No</v>
      </c>
      <c r="AB1622" s="158"/>
      <c r="AC1622" s="159"/>
      <c r="AD1622" s="160"/>
    </row>
    <row r="1623" spans="1:30">
      <c r="A1623" s="155"/>
      <c r="B1623" s="112" t="str">
        <f t="shared" si="50"/>
        <v/>
      </c>
      <c r="C1623" s="183"/>
      <c r="D1623" s="152"/>
      <c r="E1623" s="152"/>
      <c r="F1623" s="151"/>
      <c r="G1623" s="153"/>
      <c r="H1623" s="151"/>
      <c r="I1623" s="151"/>
      <c r="J1623" s="151"/>
      <c r="K1623" s="151"/>
      <c r="L1623" s="151"/>
      <c r="M1623" s="151"/>
      <c r="N1623" s="151"/>
      <c r="O1623" s="151"/>
      <c r="P1623" s="151"/>
      <c r="Q1623" s="151"/>
      <c r="R1623" s="151"/>
      <c r="S1623" s="152"/>
      <c r="T1623" s="151"/>
      <c r="U1623" s="151"/>
      <c r="V1623" s="153"/>
      <c r="W1623" s="151"/>
      <c r="X1623" s="151"/>
      <c r="Y1623" s="153"/>
      <c r="Z1623" s="151"/>
      <c r="AA1623" s="187" t="str">
        <f t="shared" si="51"/>
        <v>No</v>
      </c>
      <c r="AB1623" s="158"/>
      <c r="AC1623" s="159"/>
      <c r="AD1623" s="160"/>
    </row>
    <row r="1624" spans="1:30">
      <c r="A1624" s="155"/>
      <c r="B1624" s="112" t="str">
        <f t="shared" si="50"/>
        <v/>
      </c>
      <c r="C1624" s="183"/>
      <c r="D1624" s="152"/>
      <c r="E1624" s="152"/>
      <c r="F1624" s="151"/>
      <c r="G1624" s="153"/>
      <c r="H1624" s="151"/>
      <c r="I1624" s="151"/>
      <c r="J1624" s="151"/>
      <c r="K1624" s="151"/>
      <c r="L1624" s="151"/>
      <c r="M1624" s="151"/>
      <c r="N1624" s="151"/>
      <c r="O1624" s="151"/>
      <c r="P1624" s="151"/>
      <c r="Q1624" s="151"/>
      <c r="R1624" s="151"/>
      <c r="S1624" s="152"/>
      <c r="T1624" s="151"/>
      <c r="U1624" s="151"/>
      <c r="V1624" s="153"/>
      <c r="W1624" s="151"/>
      <c r="X1624" s="151"/>
      <c r="Y1624" s="153"/>
      <c r="Z1624" s="151"/>
      <c r="AA1624" s="187" t="str">
        <f t="shared" si="51"/>
        <v>No</v>
      </c>
      <c r="AB1624" s="158"/>
      <c r="AC1624" s="159"/>
      <c r="AD1624" s="160"/>
    </row>
    <row r="1625" spans="1:30">
      <c r="A1625" s="155"/>
      <c r="B1625" s="112" t="str">
        <f t="shared" si="50"/>
        <v/>
      </c>
      <c r="C1625" s="183"/>
      <c r="D1625" s="152"/>
      <c r="E1625" s="152"/>
      <c r="F1625" s="151"/>
      <c r="G1625" s="153"/>
      <c r="H1625" s="151"/>
      <c r="I1625" s="151"/>
      <c r="J1625" s="151"/>
      <c r="K1625" s="151"/>
      <c r="L1625" s="151"/>
      <c r="M1625" s="151"/>
      <c r="N1625" s="151"/>
      <c r="O1625" s="151"/>
      <c r="P1625" s="151"/>
      <c r="Q1625" s="151"/>
      <c r="R1625" s="151"/>
      <c r="S1625" s="152"/>
      <c r="T1625" s="151"/>
      <c r="U1625" s="151"/>
      <c r="V1625" s="153"/>
      <c r="W1625" s="151"/>
      <c r="X1625" s="151"/>
      <c r="Y1625" s="153"/>
      <c r="Z1625" s="151"/>
      <c r="AA1625" s="187" t="str">
        <f t="shared" si="51"/>
        <v>No</v>
      </c>
      <c r="AB1625" s="158"/>
      <c r="AC1625" s="159"/>
      <c r="AD1625" s="160"/>
    </row>
    <row r="1626" spans="1:30">
      <c r="A1626" s="155"/>
      <c r="B1626" s="112" t="str">
        <f t="shared" si="50"/>
        <v/>
      </c>
      <c r="C1626" s="183"/>
      <c r="D1626" s="152"/>
      <c r="E1626" s="152"/>
      <c r="F1626" s="151"/>
      <c r="G1626" s="153"/>
      <c r="H1626" s="151"/>
      <c r="I1626" s="151"/>
      <c r="J1626" s="151"/>
      <c r="K1626" s="151"/>
      <c r="L1626" s="151"/>
      <c r="M1626" s="151"/>
      <c r="N1626" s="151"/>
      <c r="O1626" s="151"/>
      <c r="P1626" s="151"/>
      <c r="Q1626" s="151"/>
      <c r="R1626" s="151"/>
      <c r="S1626" s="152"/>
      <c r="T1626" s="151"/>
      <c r="U1626" s="151"/>
      <c r="V1626" s="153"/>
      <c r="W1626" s="151"/>
      <c r="X1626" s="151"/>
      <c r="Y1626" s="153"/>
      <c r="Z1626" s="151"/>
      <c r="AA1626" s="187" t="str">
        <f t="shared" si="51"/>
        <v>No</v>
      </c>
      <c r="AB1626" s="158"/>
      <c r="AC1626" s="159"/>
      <c r="AD1626" s="160"/>
    </row>
    <row r="1627" spans="1:30">
      <c r="A1627" s="155"/>
      <c r="B1627" s="112" t="str">
        <f t="shared" si="50"/>
        <v/>
      </c>
      <c r="C1627" s="183"/>
      <c r="D1627" s="152"/>
      <c r="E1627" s="152"/>
      <c r="F1627" s="151"/>
      <c r="G1627" s="153"/>
      <c r="H1627" s="151"/>
      <c r="I1627" s="151"/>
      <c r="J1627" s="151"/>
      <c r="K1627" s="151"/>
      <c r="L1627" s="151"/>
      <c r="M1627" s="151"/>
      <c r="N1627" s="151"/>
      <c r="O1627" s="151"/>
      <c r="P1627" s="151"/>
      <c r="Q1627" s="151"/>
      <c r="R1627" s="151"/>
      <c r="S1627" s="152"/>
      <c r="T1627" s="151"/>
      <c r="U1627" s="151"/>
      <c r="V1627" s="153"/>
      <c r="W1627" s="151"/>
      <c r="X1627" s="151"/>
      <c r="Y1627" s="153"/>
      <c r="Z1627" s="151"/>
      <c r="AA1627" s="187" t="str">
        <f t="shared" si="51"/>
        <v>No</v>
      </c>
      <c r="AB1627" s="158"/>
      <c r="AC1627" s="159"/>
      <c r="AD1627" s="160"/>
    </row>
    <row r="1628" spans="1:30">
      <c r="A1628" s="155"/>
      <c r="B1628" s="112" t="str">
        <f t="shared" si="50"/>
        <v/>
      </c>
      <c r="C1628" s="183"/>
      <c r="D1628" s="152"/>
      <c r="E1628" s="152"/>
      <c r="F1628" s="151"/>
      <c r="G1628" s="153"/>
      <c r="H1628" s="151"/>
      <c r="I1628" s="151"/>
      <c r="J1628" s="151"/>
      <c r="K1628" s="151"/>
      <c r="L1628" s="151"/>
      <c r="M1628" s="151"/>
      <c r="N1628" s="151"/>
      <c r="O1628" s="151"/>
      <c r="P1628" s="151"/>
      <c r="Q1628" s="151"/>
      <c r="R1628" s="151"/>
      <c r="S1628" s="152"/>
      <c r="T1628" s="151"/>
      <c r="U1628" s="151"/>
      <c r="V1628" s="153"/>
      <c r="W1628" s="151"/>
      <c r="X1628" s="151"/>
      <c r="Y1628" s="153"/>
      <c r="Z1628" s="151"/>
      <c r="AA1628" s="187" t="str">
        <f t="shared" si="51"/>
        <v>No</v>
      </c>
      <c r="AB1628" s="158"/>
      <c r="AC1628" s="159"/>
      <c r="AD1628" s="160"/>
    </row>
    <row r="1629" spans="1:30">
      <c r="A1629" s="155"/>
      <c r="B1629" s="112" t="str">
        <f t="shared" si="50"/>
        <v/>
      </c>
      <c r="C1629" s="183"/>
      <c r="D1629" s="152"/>
      <c r="E1629" s="152"/>
      <c r="F1629" s="151"/>
      <c r="G1629" s="153"/>
      <c r="H1629" s="151"/>
      <c r="I1629" s="151"/>
      <c r="J1629" s="151"/>
      <c r="K1629" s="151"/>
      <c r="L1629" s="151"/>
      <c r="M1629" s="151"/>
      <c r="N1629" s="151"/>
      <c r="O1629" s="151"/>
      <c r="P1629" s="151"/>
      <c r="Q1629" s="151"/>
      <c r="R1629" s="151"/>
      <c r="S1629" s="152"/>
      <c r="T1629" s="151"/>
      <c r="U1629" s="151"/>
      <c r="V1629" s="153"/>
      <c r="W1629" s="151"/>
      <c r="X1629" s="151"/>
      <c r="Y1629" s="153"/>
      <c r="Z1629" s="151"/>
      <c r="AA1629" s="187" t="str">
        <f t="shared" si="51"/>
        <v>No</v>
      </c>
      <c r="AB1629" s="158"/>
      <c r="AC1629" s="159"/>
      <c r="AD1629" s="160"/>
    </row>
    <row r="1630" spans="1:30">
      <c r="A1630" s="155"/>
      <c r="B1630" s="112" t="str">
        <f t="shared" si="50"/>
        <v/>
      </c>
      <c r="C1630" s="183"/>
      <c r="D1630" s="152"/>
      <c r="E1630" s="152"/>
      <c r="F1630" s="151"/>
      <c r="G1630" s="153"/>
      <c r="H1630" s="151"/>
      <c r="I1630" s="151"/>
      <c r="J1630" s="151"/>
      <c r="K1630" s="151"/>
      <c r="L1630" s="151"/>
      <c r="M1630" s="151"/>
      <c r="N1630" s="151"/>
      <c r="O1630" s="151"/>
      <c r="P1630" s="151"/>
      <c r="Q1630" s="151"/>
      <c r="R1630" s="151"/>
      <c r="S1630" s="152"/>
      <c r="T1630" s="151"/>
      <c r="U1630" s="151"/>
      <c r="V1630" s="153"/>
      <c r="W1630" s="151"/>
      <c r="X1630" s="151"/>
      <c r="Y1630" s="153"/>
      <c r="Z1630" s="151"/>
      <c r="AA1630" s="187" t="str">
        <f t="shared" si="51"/>
        <v>No</v>
      </c>
      <c r="AB1630" s="158"/>
      <c r="AC1630" s="159"/>
      <c r="AD1630" s="160"/>
    </row>
    <row r="1631" spans="1:30">
      <c r="A1631" s="155"/>
      <c r="B1631" s="112" t="str">
        <f t="shared" si="50"/>
        <v/>
      </c>
      <c r="C1631" s="183"/>
      <c r="D1631" s="152"/>
      <c r="E1631" s="152"/>
      <c r="F1631" s="151"/>
      <c r="G1631" s="153"/>
      <c r="H1631" s="151"/>
      <c r="I1631" s="151"/>
      <c r="J1631" s="151"/>
      <c r="K1631" s="151"/>
      <c r="L1631" s="151"/>
      <c r="M1631" s="151"/>
      <c r="N1631" s="151"/>
      <c r="O1631" s="151"/>
      <c r="P1631" s="151"/>
      <c r="Q1631" s="151"/>
      <c r="R1631" s="151"/>
      <c r="S1631" s="152"/>
      <c r="T1631" s="151"/>
      <c r="U1631" s="151"/>
      <c r="V1631" s="153"/>
      <c r="W1631" s="151"/>
      <c r="X1631" s="151"/>
      <c r="Y1631" s="153"/>
      <c r="Z1631" s="151"/>
      <c r="AA1631" s="187" t="str">
        <f t="shared" si="51"/>
        <v>No</v>
      </c>
      <c r="AB1631" s="158"/>
      <c r="AC1631" s="159"/>
      <c r="AD1631" s="160"/>
    </row>
    <row r="1632" spans="1:30">
      <c r="A1632" s="155"/>
      <c r="B1632" s="112" t="str">
        <f t="shared" si="50"/>
        <v/>
      </c>
      <c r="C1632" s="183"/>
      <c r="D1632" s="152"/>
      <c r="E1632" s="152"/>
      <c r="F1632" s="151"/>
      <c r="G1632" s="153"/>
      <c r="H1632" s="151"/>
      <c r="I1632" s="151"/>
      <c r="J1632" s="151"/>
      <c r="K1632" s="151"/>
      <c r="L1632" s="151"/>
      <c r="M1632" s="151"/>
      <c r="N1632" s="151"/>
      <c r="O1632" s="151"/>
      <c r="P1632" s="151"/>
      <c r="Q1632" s="151"/>
      <c r="R1632" s="151"/>
      <c r="S1632" s="152"/>
      <c r="T1632" s="151"/>
      <c r="U1632" s="151"/>
      <c r="V1632" s="153"/>
      <c r="W1632" s="151"/>
      <c r="X1632" s="151"/>
      <c r="Y1632" s="153"/>
      <c r="Z1632" s="151"/>
      <c r="AA1632" s="187" t="str">
        <f t="shared" si="51"/>
        <v>No</v>
      </c>
      <c r="AB1632" s="158"/>
      <c r="AC1632" s="159"/>
      <c r="AD1632" s="160"/>
    </row>
    <row r="1633" spans="1:30">
      <c r="A1633" s="155"/>
      <c r="B1633" s="112" t="str">
        <f t="shared" si="50"/>
        <v/>
      </c>
      <c r="C1633" s="183"/>
      <c r="D1633" s="152"/>
      <c r="E1633" s="152"/>
      <c r="F1633" s="151"/>
      <c r="G1633" s="153"/>
      <c r="H1633" s="151"/>
      <c r="I1633" s="151"/>
      <c r="J1633" s="151"/>
      <c r="K1633" s="151"/>
      <c r="L1633" s="151"/>
      <c r="M1633" s="151"/>
      <c r="N1633" s="151"/>
      <c r="O1633" s="151"/>
      <c r="P1633" s="151"/>
      <c r="Q1633" s="151"/>
      <c r="R1633" s="151"/>
      <c r="S1633" s="152"/>
      <c r="T1633" s="151"/>
      <c r="U1633" s="151"/>
      <c r="V1633" s="153"/>
      <c r="W1633" s="151"/>
      <c r="X1633" s="151"/>
      <c r="Y1633" s="153"/>
      <c r="Z1633" s="151"/>
      <c r="AA1633" s="187" t="str">
        <f t="shared" si="51"/>
        <v>No</v>
      </c>
      <c r="AB1633" s="158"/>
      <c r="AC1633" s="159"/>
      <c r="AD1633" s="160"/>
    </row>
    <row r="1634" spans="1:30">
      <c r="A1634" s="155"/>
      <c r="B1634" s="112" t="str">
        <f t="shared" si="50"/>
        <v/>
      </c>
      <c r="C1634" s="183"/>
      <c r="D1634" s="152"/>
      <c r="E1634" s="152"/>
      <c r="F1634" s="151"/>
      <c r="G1634" s="153"/>
      <c r="H1634" s="151"/>
      <c r="I1634" s="151"/>
      <c r="J1634" s="151"/>
      <c r="K1634" s="151"/>
      <c r="L1634" s="151"/>
      <c r="M1634" s="151"/>
      <c r="N1634" s="151"/>
      <c r="O1634" s="151"/>
      <c r="P1634" s="151"/>
      <c r="Q1634" s="151"/>
      <c r="R1634" s="151"/>
      <c r="S1634" s="152"/>
      <c r="T1634" s="151"/>
      <c r="U1634" s="151"/>
      <c r="V1634" s="153"/>
      <c r="W1634" s="151"/>
      <c r="X1634" s="151"/>
      <c r="Y1634" s="153"/>
      <c r="Z1634" s="151"/>
      <c r="AA1634" s="187" t="str">
        <f t="shared" si="51"/>
        <v>No</v>
      </c>
      <c r="AB1634" s="158"/>
      <c r="AC1634" s="159"/>
      <c r="AD1634" s="160"/>
    </row>
    <row r="1635" spans="1:30">
      <c r="A1635" s="155"/>
      <c r="B1635" s="112" t="str">
        <f t="shared" si="50"/>
        <v/>
      </c>
      <c r="C1635" s="183"/>
      <c r="D1635" s="152"/>
      <c r="E1635" s="152"/>
      <c r="F1635" s="151"/>
      <c r="G1635" s="153"/>
      <c r="H1635" s="151"/>
      <c r="I1635" s="151"/>
      <c r="J1635" s="151"/>
      <c r="K1635" s="151"/>
      <c r="L1635" s="151"/>
      <c r="M1635" s="151"/>
      <c r="N1635" s="151"/>
      <c r="O1635" s="151"/>
      <c r="P1635" s="151"/>
      <c r="Q1635" s="151"/>
      <c r="R1635" s="151"/>
      <c r="S1635" s="152"/>
      <c r="T1635" s="151"/>
      <c r="U1635" s="151"/>
      <c r="V1635" s="153"/>
      <c r="W1635" s="151"/>
      <c r="X1635" s="151"/>
      <c r="Y1635" s="153"/>
      <c r="Z1635" s="151"/>
      <c r="AA1635" s="187" t="str">
        <f t="shared" si="51"/>
        <v>No</v>
      </c>
      <c r="AB1635" s="158"/>
      <c r="AC1635" s="159"/>
      <c r="AD1635" s="160"/>
    </row>
    <row r="1636" spans="1:30">
      <c r="A1636" s="155"/>
      <c r="B1636" s="112" t="str">
        <f t="shared" si="50"/>
        <v/>
      </c>
      <c r="C1636" s="183"/>
      <c r="D1636" s="152"/>
      <c r="E1636" s="152"/>
      <c r="F1636" s="151"/>
      <c r="G1636" s="153"/>
      <c r="H1636" s="151"/>
      <c r="I1636" s="151"/>
      <c r="J1636" s="151"/>
      <c r="K1636" s="151"/>
      <c r="L1636" s="151"/>
      <c r="M1636" s="151"/>
      <c r="N1636" s="151"/>
      <c r="O1636" s="151"/>
      <c r="P1636" s="151"/>
      <c r="Q1636" s="151"/>
      <c r="R1636" s="151"/>
      <c r="S1636" s="152"/>
      <c r="T1636" s="151"/>
      <c r="U1636" s="151"/>
      <c r="V1636" s="153"/>
      <c r="W1636" s="151"/>
      <c r="X1636" s="151"/>
      <c r="Y1636" s="153"/>
      <c r="Z1636" s="151"/>
      <c r="AA1636" s="187" t="str">
        <f t="shared" si="51"/>
        <v>No</v>
      </c>
      <c r="AB1636" s="158"/>
      <c r="AC1636" s="159"/>
      <c r="AD1636" s="160"/>
    </row>
    <row r="1637" spans="1:30">
      <c r="A1637" s="155"/>
      <c r="B1637" s="112" t="str">
        <f t="shared" si="50"/>
        <v/>
      </c>
      <c r="C1637" s="183"/>
      <c r="D1637" s="152"/>
      <c r="E1637" s="152"/>
      <c r="F1637" s="151"/>
      <c r="G1637" s="153"/>
      <c r="H1637" s="151"/>
      <c r="I1637" s="151"/>
      <c r="J1637" s="151"/>
      <c r="K1637" s="151"/>
      <c r="L1637" s="151"/>
      <c r="M1637" s="151"/>
      <c r="N1637" s="151"/>
      <c r="O1637" s="151"/>
      <c r="P1637" s="151"/>
      <c r="Q1637" s="151"/>
      <c r="R1637" s="151"/>
      <c r="S1637" s="152"/>
      <c r="T1637" s="151"/>
      <c r="U1637" s="151"/>
      <c r="V1637" s="153"/>
      <c r="W1637" s="151"/>
      <c r="X1637" s="151"/>
      <c r="Y1637" s="153"/>
      <c r="Z1637" s="151"/>
      <c r="AA1637" s="187" t="str">
        <f t="shared" si="51"/>
        <v>No</v>
      </c>
      <c r="AB1637" s="158"/>
      <c r="AC1637" s="159"/>
      <c r="AD1637" s="160"/>
    </row>
    <row r="1638" spans="1:30">
      <c r="A1638" s="155"/>
      <c r="B1638" s="112" t="str">
        <f t="shared" si="50"/>
        <v/>
      </c>
      <c r="C1638" s="183"/>
      <c r="D1638" s="152"/>
      <c r="E1638" s="152"/>
      <c r="F1638" s="151"/>
      <c r="G1638" s="153"/>
      <c r="H1638" s="151"/>
      <c r="I1638" s="151"/>
      <c r="J1638" s="151"/>
      <c r="K1638" s="151"/>
      <c r="L1638" s="151"/>
      <c r="M1638" s="151"/>
      <c r="N1638" s="151"/>
      <c r="O1638" s="151"/>
      <c r="P1638" s="151"/>
      <c r="Q1638" s="151"/>
      <c r="R1638" s="151"/>
      <c r="S1638" s="152"/>
      <c r="T1638" s="151"/>
      <c r="U1638" s="151"/>
      <c r="V1638" s="153"/>
      <c r="W1638" s="151"/>
      <c r="X1638" s="151"/>
      <c r="Y1638" s="153"/>
      <c r="Z1638" s="151"/>
      <c r="AA1638" s="187" t="str">
        <f t="shared" si="51"/>
        <v>No</v>
      </c>
      <c r="AB1638" s="158"/>
      <c r="AC1638" s="159"/>
      <c r="AD1638" s="160"/>
    </row>
    <row r="1639" spans="1:30">
      <c r="A1639" s="155"/>
      <c r="B1639" s="112" t="str">
        <f t="shared" si="50"/>
        <v/>
      </c>
      <c r="C1639" s="183"/>
      <c r="D1639" s="152"/>
      <c r="E1639" s="152"/>
      <c r="F1639" s="151"/>
      <c r="G1639" s="153"/>
      <c r="H1639" s="151"/>
      <c r="I1639" s="151"/>
      <c r="J1639" s="151"/>
      <c r="K1639" s="151"/>
      <c r="L1639" s="151"/>
      <c r="M1639" s="151"/>
      <c r="N1639" s="151"/>
      <c r="O1639" s="151"/>
      <c r="P1639" s="151"/>
      <c r="Q1639" s="151"/>
      <c r="R1639" s="151"/>
      <c r="S1639" s="152"/>
      <c r="T1639" s="151"/>
      <c r="U1639" s="151"/>
      <c r="V1639" s="153"/>
      <c r="W1639" s="151"/>
      <c r="X1639" s="151"/>
      <c r="Y1639" s="153"/>
      <c r="Z1639" s="151"/>
      <c r="AA1639" s="187" t="str">
        <f t="shared" si="51"/>
        <v>No</v>
      </c>
      <c r="AB1639" s="158"/>
      <c r="AC1639" s="159"/>
      <c r="AD1639" s="160"/>
    </row>
    <row r="1640" spans="1:30">
      <c r="A1640" s="155"/>
      <c r="B1640" s="112" t="str">
        <f t="shared" si="50"/>
        <v/>
      </c>
      <c r="C1640" s="183"/>
      <c r="D1640" s="152"/>
      <c r="E1640" s="152"/>
      <c r="F1640" s="151"/>
      <c r="G1640" s="153"/>
      <c r="H1640" s="151"/>
      <c r="I1640" s="151"/>
      <c r="J1640" s="151"/>
      <c r="K1640" s="151"/>
      <c r="L1640" s="151"/>
      <c r="M1640" s="151"/>
      <c r="N1640" s="151"/>
      <c r="O1640" s="151"/>
      <c r="P1640" s="151"/>
      <c r="Q1640" s="151"/>
      <c r="R1640" s="151"/>
      <c r="S1640" s="152"/>
      <c r="T1640" s="151"/>
      <c r="U1640" s="151"/>
      <c r="V1640" s="153"/>
      <c r="W1640" s="151"/>
      <c r="X1640" s="151"/>
      <c r="Y1640" s="153"/>
      <c r="Z1640" s="151"/>
      <c r="AA1640" s="187" t="str">
        <f t="shared" si="51"/>
        <v>No</v>
      </c>
      <c r="AB1640" s="158"/>
      <c r="AC1640" s="159"/>
      <c r="AD1640" s="160"/>
    </row>
    <row r="1641" spans="1:30">
      <c r="A1641" s="155"/>
      <c r="B1641" s="112" t="str">
        <f t="shared" si="50"/>
        <v/>
      </c>
      <c r="C1641" s="183"/>
      <c r="D1641" s="152"/>
      <c r="E1641" s="152"/>
      <c r="F1641" s="151"/>
      <c r="G1641" s="153"/>
      <c r="H1641" s="151"/>
      <c r="I1641" s="151"/>
      <c r="J1641" s="151"/>
      <c r="K1641" s="151"/>
      <c r="L1641" s="151"/>
      <c r="M1641" s="151"/>
      <c r="N1641" s="151"/>
      <c r="O1641" s="151"/>
      <c r="P1641" s="151"/>
      <c r="Q1641" s="151"/>
      <c r="R1641" s="151"/>
      <c r="S1641" s="152"/>
      <c r="T1641" s="151"/>
      <c r="U1641" s="151"/>
      <c r="V1641" s="153"/>
      <c r="W1641" s="151"/>
      <c r="X1641" s="151"/>
      <c r="Y1641" s="153"/>
      <c r="Z1641" s="151"/>
      <c r="AA1641" s="187" t="str">
        <f t="shared" si="51"/>
        <v>No</v>
      </c>
      <c r="AB1641" s="158"/>
      <c r="AC1641" s="159"/>
      <c r="AD1641" s="160"/>
    </row>
    <row r="1642" spans="1:30">
      <c r="A1642" s="155"/>
      <c r="B1642" s="112" t="str">
        <f t="shared" si="50"/>
        <v/>
      </c>
      <c r="C1642" s="183"/>
      <c r="D1642" s="152"/>
      <c r="E1642" s="152"/>
      <c r="F1642" s="151"/>
      <c r="G1642" s="153"/>
      <c r="H1642" s="151"/>
      <c r="I1642" s="151"/>
      <c r="J1642" s="151"/>
      <c r="K1642" s="151"/>
      <c r="L1642" s="151"/>
      <c r="M1642" s="151"/>
      <c r="N1642" s="151"/>
      <c r="O1642" s="151"/>
      <c r="P1642" s="151"/>
      <c r="Q1642" s="151"/>
      <c r="R1642" s="151"/>
      <c r="S1642" s="152"/>
      <c r="T1642" s="151"/>
      <c r="U1642" s="151"/>
      <c r="V1642" s="153"/>
      <c r="W1642" s="151"/>
      <c r="X1642" s="151"/>
      <c r="Y1642" s="153"/>
      <c r="Z1642" s="151"/>
      <c r="AA1642" s="187" t="str">
        <f t="shared" si="51"/>
        <v>No</v>
      </c>
      <c r="AB1642" s="158"/>
      <c r="AC1642" s="159"/>
      <c r="AD1642" s="160"/>
    </row>
    <row r="1643" spans="1:30">
      <c r="A1643" s="155"/>
      <c r="B1643" s="112" t="str">
        <f t="shared" si="50"/>
        <v/>
      </c>
      <c r="C1643" s="183"/>
      <c r="D1643" s="152"/>
      <c r="E1643" s="152"/>
      <c r="F1643" s="151"/>
      <c r="G1643" s="153"/>
      <c r="H1643" s="151"/>
      <c r="I1643" s="151"/>
      <c r="J1643" s="151"/>
      <c r="K1643" s="151"/>
      <c r="L1643" s="151"/>
      <c r="M1643" s="151"/>
      <c r="N1643" s="151"/>
      <c r="O1643" s="151"/>
      <c r="P1643" s="151"/>
      <c r="Q1643" s="151"/>
      <c r="R1643" s="151"/>
      <c r="S1643" s="152"/>
      <c r="T1643" s="151"/>
      <c r="U1643" s="151"/>
      <c r="V1643" s="153"/>
      <c r="W1643" s="151"/>
      <c r="X1643" s="151"/>
      <c r="Y1643" s="153"/>
      <c r="Z1643" s="151"/>
      <c r="AA1643" s="187" t="str">
        <f t="shared" si="51"/>
        <v>No</v>
      </c>
      <c r="AB1643" s="158"/>
      <c r="AC1643" s="159"/>
      <c r="AD1643" s="160"/>
    </row>
    <row r="1644" spans="1:30">
      <c r="A1644" s="155"/>
      <c r="B1644" s="112" t="str">
        <f t="shared" si="50"/>
        <v/>
      </c>
      <c r="C1644" s="183"/>
      <c r="D1644" s="152"/>
      <c r="E1644" s="152"/>
      <c r="F1644" s="151"/>
      <c r="G1644" s="153"/>
      <c r="H1644" s="151"/>
      <c r="I1644" s="151"/>
      <c r="J1644" s="151"/>
      <c r="K1644" s="151"/>
      <c r="L1644" s="151"/>
      <c r="M1644" s="151"/>
      <c r="N1644" s="151"/>
      <c r="O1644" s="151"/>
      <c r="P1644" s="151"/>
      <c r="Q1644" s="151"/>
      <c r="R1644" s="151"/>
      <c r="S1644" s="152"/>
      <c r="T1644" s="151"/>
      <c r="U1644" s="151"/>
      <c r="V1644" s="153"/>
      <c r="W1644" s="151"/>
      <c r="X1644" s="151"/>
      <c r="Y1644" s="153"/>
      <c r="Z1644" s="151"/>
      <c r="AA1644" s="187" t="str">
        <f t="shared" si="51"/>
        <v>No</v>
      </c>
      <c r="AB1644" s="158"/>
      <c r="AC1644" s="159"/>
      <c r="AD1644" s="160"/>
    </row>
    <row r="1645" spans="1:30">
      <c r="A1645" s="155"/>
      <c r="B1645" s="112" t="str">
        <f t="shared" si="50"/>
        <v/>
      </c>
      <c r="C1645" s="183"/>
      <c r="D1645" s="152"/>
      <c r="E1645" s="152"/>
      <c r="F1645" s="151"/>
      <c r="G1645" s="153"/>
      <c r="H1645" s="151"/>
      <c r="I1645" s="151"/>
      <c r="J1645" s="151"/>
      <c r="K1645" s="151"/>
      <c r="L1645" s="151"/>
      <c r="M1645" s="151"/>
      <c r="N1645" s="151"/>
      <c r="O1645" s="151"/>
      <c r="P1645" s="151"/>
      <c r="Q1645" s="151"/>
      <c r="R1645" s="151"/>
      <c r="S1645" s="152"/>
      <c r="T1645" s="151"/>
      <c r="U1645" s="151"/>
      <c r="V1645" s="153"/>
      <c r="W1645" s="151"/>
      <c r="X1645" s="151"/>
      <c r="Y1645" s="153"/>
      <c r="Z1645" s="151"/>
      <c r="AA1645" s="187" t="str">
        <f t="shared" si="51"/>
        <v>No</v>
      </c>
      <c r="AB1645" s="158"/>
      <c r="AC1645" s="159"/>
      <c r="AD1645" s="160"/>
    </row>
    <row r="1646" spans="1:30">
      <c r="A1646" s="155"/>
      <c r="B1646" s="112" t="str">
        <f t="shared" si="50"/>
        <v/>
      </c>
      <c r="C1646" s="183"/>
      <c r="D1646" s="152"/>
      <c r="E1646" s="152"/>
      <c r="F1646" s="151"/>
      <c r="G1646" s="153"/>
      <c r="H1646" s="151"/>
      <c r="I1646" s="151"/>
      <c r="J1646" s="151"/>
      <c r="K1646" s="151"/>
      <c r="L1646" s="151"/>
      <c r="M1646" s="151"/>
      <c r="N1646" s="151"/>
      <c r="O1646" s="151"/>
      <c r="P1646" s="151"/>
      <c r="Q1646" s="151"/>
      <c r="R1646" s="151"/>
      <c r="S1646" s="152"/>
      <c r="T1646" s="151"/>
      <c r="U1646" s="151"/>
      <c r="V1646" s="153"/>
      <c r="W1646" s="151"/>
      <c r="X1646" s="151"/>
      <c r="Y1646" s="153"/>
      <c r="Z1646" s="151"/>
      <c r="AA1646" s="187" t="str">
        <f t="shared" si="51"/>
        <v>No</v>
      </c>
      <c r="AB1646" s="158"/>
      <c r="AC1646" s="159"/>
      <c r="AD1646" s="160"/>
    </row>
    <row r="1647" spans="1:30">
      <c r="A1647" s="155"/>
      <c r="B1647" s="112" t="str">
        <f t="shared" si="50"/>
        <v/>
      </c>
      <c r="C1647" s="183"/>
      <c r="D1647" s="152"/>
      <c r="E1647" s="152"/>
      <c r="F1647" s="151"/>
      <c r="G1647" s="153"/>
      <c r="H1647" s="151"/>
      <c r="I1647" s="151"/>
      <c r="J1647" s="151"/>
      <c r="K1647" s="151"/>
      <c r="L1647" s="151"/>
      <c r="M1647" s="151"/>
      <c r="N1647" s="151"/>
      <c r="O1647" s="151"/>
      <c r="P1647" s="151"/>
      <c r="Q1647" s="151"/>
      <c r="R1647" s="151"/>
      <c r="S1647" s="152"/>
      <c r="T1647" s="151"/>
      <c r="U1647" s="151"/>
      <c r="V1647" s="153"/>
      <c r="W1647" s="151"/>
      <c r="X1647" s="151"/>
      <c r="Y1647" s="153"/>
      <c r="Z1647" s="151"/>
      <c r="AA1647" s="187" t="str">
        <f t="shared" si="51"/>
        <v>No</v>
      </c>
      <c r="AB1647" s="158"/>
      <c r="AC1647" s="159"/>
      <c r="AD1647" s="160"/>
    </row>
    <row r="1648" spans="1:30">
      <c r="A1648" s="155"/>
      <c r="B1648" s="112" t="str">
        <f t="shared" si="50"/>
        <v/>
      </c>
      <c r="C1648" s="183"/>
      <c r="D1648" s="152"/>
      <c r="E1648" s="152"/>
      <c r="F1648" s="151"/>
      <c r="G1648" s="153"/>
      <c r="H1648" s="151"/>
      <c r="I1648" s="151"/>
      <c r="J1648" s="151"/>
      <c r="K1648" s="151"/>
      <c r="L1648" s="151"/>
      <c r="M1648" s="151"/>
      <c r="N1648" s="151"/>
      <c r="O1648" s="151"/>
      <c r="P1648" s="151"/>
      <c r="Q1648" s="151"/>
      <c r="R1648" s="151"/>
      <c r="S1648" s="152"/>
      <c r="T1648" s="151"/>
      <c r="U1648" s="151"/>
      <c r="V1648" s="153"/>
      <c r="W1648" s="151"/>
      <c r="X1648" s="151"/>
      <c r="Y1648" s="153"/>
      <c r="Z1648" s="151"/>
      <c r="AA1648" s="187" t="str">
        <f t="shared" si="51"/>
        <v>No</v>
      </c>
      <c r="AB1648" s="158"/>
      <c r="AC1648" s="159"/>
      <c r="AD1648" s="160"/>
    </row>
    <row r="1649" spans="1:30">
      <c r="A1649" s="155"/>
      <c r="B1649" s="112" t="str">
        <f t="shared" si="50"/>
        <v/>
      </c>
      <c r="C1649" s="183"/>
      <c r="D1649" s="152"/>
      <c r="E1649" s="152"/>
      <c r="F1649" s="151"/>
      <c r="G1649" s="153"/>
      <c r="H1649" s="151"/>
      <c r="I1649" s="151"/>
      <c r="J1649" s="151"/>
      <c r="K1649" s="151"/>
      <c r="L1649" s="151"/>
      <c r="M1649" s="151"/>
      <c r="N1649" s="151"/>
      <c r="O1649" s="151"/>
      <c r="P1649" s="151"/>
      <c r="Q1649" s="151"/>
      <c r="R1649" s="151"/>
      <c r="S1649" s="152"/>
      <c r="T1649" s="151"/>
      <c r="U1649" s="151"/>
      <c r="V1649" s="153"/>
      <c r="W1649" s="151"/>
      <c r="X1649" s="151"/>
      <c r="Y1649" s="153"/>
      <c r="Z1649" s="151"/>
      <c r="AA1649" s="187" t="str">
        <f t="shared" si="51"/>
        <v>No</v>
      </c>
      <c r="AB1649" s="158"/>
      <c r="AC1649" s="159"/>
      <c r="AD1649" s="160"/>
    </row>
    <row r="1650" spans="1:30">
      <c r="A1650" s="155"/>
      <c r="B1650" s="112" t="str">
        <f t="shared" si="50"/>
        <v/>
      </c>
      <c r="C1650" s="183"/>
      <c r="D1650" s="152"/>
      <c r="E1650" s="152"/>
      <c r="F1650" s="151"/>
      <c r="G1650" s="153"/>
      <c r="H1650" s="151"/>
      <c r="I1650" s="151"/>
      <c r="J1650" s="151"/>
      <c r="K1650" s="151"/>
      <c r="L1650" s="151"/>
      <c r="M1650" s="151"/>
      <c r="N1650" s="151"/>
      <c r="O1650" s="151"/>
      <c r="P1650" s="151"/>
      <c r="Q1650" s="151"/>
      <c r="R1650" s="151"/>
      <c r="S1650" s="152"/>
      <c r="T1650" s="151"/>
      <c r="U1650" s="151"/>
      <c r="V1650" s="153"/>
      <c r="W1650" s="151"/>
      <c r="X1650" s="151"/>
      <c r="Y1650" s="153"/>
      <c r="Z1650" s="151"/>
      <c r="AA1650" s="187" t="str">
        <f t="shared" si="51"/>
        <v>No</v>
      </c>
      <c r="AB1650" s="158"/>
      <c r="AC1650" s="159"/>
      <c r="AD1650" s="160"/>
    </row>
    <row r="1651" spans="1:30">
      <c r="A1651" s="155"/>
      <c r="B1651" s="112" t="str">
        <f t="shared" si="50"/>
        <v/>
      </c>
      <c r="C1651" s="183"/>
      <c r="D1651" s="152"/>
      <c r="E1651" s="152"/>
      <c r="F1651" s="151"/>
      <c r="G1651" s="153"/>
      <c r="H1651" s="151"/>
      <c r="I1651" s="151"/>
      <c r="J1651" s="151"/>
      <c r="K1651" s="151"/>
      <c r="L1651" s="151"/>
      <c r="M1651" s="151"/>
      <c r="N1651" s="151"/>
      <c r="O1651" s="151"/>
      <c r="P1651" s="151"/>
      <c r="Q1651" s="151"/>
      <c r="R1651" s="151"/>
      <c r="S1651" s="152"/>
      <c r="T1651" s="151"/>
      <c r="U1651" s="151"/>
      <c r="V1651" s="153"/>
      <c r="W1651" s="151"/>
      <c r="X1651" s="151"/>
      <c r="Y1651" s="153"/>
      <c r="Z1651" s="151"/>
      <c r="AA1651" s="187" t="str">
        <f t="shared" si="51"/>
        <v>No</v>
      </c>
      <c r="AB1651" s="158"/>
      <c r="AC1651" s="159"/>
      <c r="AD1651" s="160"/>
    </row>
    <row r="1652" spans="1:30">
      <c r="A1652" s="155"/>
      <c r="B1652" s="112" t="str">
        <f t="shared" si="50"/>
        <v/>
      </c>
      <c r="C1652" s="183"/>
      <c r="D1652" s="152"/>
      <c r="E1652" s="152"/>
      <c r="F1652" s="151"/>
      <c r="G1652" s="153"/>
      <c r="H1652" s="151"/>
      <c r="I1652" s="151"/>
      <c r="J1652" s="151"/>
      <c r="K1652" s="151"/>
      <c r="L1652" s="151"/>
      <c r="M1652" s="151"/>
      <c r="N1652" s="151"/>
      <c r="O1652" s="151"/>
      <c r="P1652" s="151"/>
      <c r="Q1652" s="151"/>
      <c r="R1652" s="151"/>
      <c r="S1652" s="152"/>
      <c r="T1652" s="151"/>
      <c r="U1652" s="151"/>
      <c r="V1652" s="153"/>
      <c r="W1652" s="151"/>
      <c r="X1652" s="151"/>
      <c r="Y1652" s="153"/>
      <c r="Z1652" s="151"/>
      <c r="AA1652" s="187" t="str">
        <f t="shared" si="51"/>
        <v>No</v>
      </c>
      <c r="AB1652" s="158"/>
      <c r="AC1652" s="159"/>
      <c r="AD1652" s="160"/>
    </row>
    <row r="1653" spans="1:30">
      <c r="A1653" s="155"/>
      <c r="B1653" s="112" t="str">
        <f t="shared" si="50"/>
        <v/>
      </c>
      <c r="C1653" s="183"/>
      <c r="D1653" s="152"/>
      <c r="E1653" s="152"/>
      <c r="F1653" s="151"/>
      <c r="G1653" s="153"/>
      <c r="H1653" s="151"/>
      <c r="I1653" s="151"/>
      <c r="J1653" s="151"/>
      <c r="K1653" s="151"/>
      <c r="L1653" s="151"/>
      <c r="M1653" s="151"/>
      <c r="N1653" s="151"/>
      <c r="O1653" s="151"/>
      <c r="P1653" s="151"/>
      <c r="Q1653" s="151"/>
      <c r="R1653" s="151"/>
      <c r="S1653" s="152"/>
      <c r="T1653" s="151"/>
      <c r="U1653" s="151"/>
      <c r="V1653" s="153"/>
      <c r="W1653" s="151"/>
      <c r="X1653" s="151"/>
      <c r="Y1653" s="153"/>
      <c r="Z1653" s="151"/>
      <c r="AA1653" s="187" t="str">
        <f t="shared" si="51"/>
        <v>No</v>
      </c>
      <c r="AB1653" s="158"/>
      <c r="AC1653" s="159"/>
      <c r="AD1653" s="160"/>
    </row>
    <row r="1654" spans="1:30">
      <c r="A1654" s="155"/>
      <c r="B1654" s="112" t="str">
        <f t="shared" si="50"/>
        <v/>
      </c>
      <c r="C1654" s="183"/>
      <c r="D1654" s="152"/>
      <c r="E1654" s="152"/>
      <c r="F1654" s="151"/>
      <c r="G1654" s="153"/>
      <c r="H1654" s="151"/>
      <c r="I1654" s="151"/>
      <c r="J1654" s="151"/>
      <c r="K1654" s="151"/>
      <c r="L1654" s="151"/>
      <c r="M1654" s="151"/>
      <c r="N1654" s="151"/>
      <c r="O1654" s="151"/>
      <c r="P1654" s="151"/>
      <c r="Q1654" s="151"/>
      <c r="R1654" s="151"/>
      <c r="S1654" s="152"/>
      <c r="T1654" s="151"/>
      <c r="U1654" s="151"/>
      <c r="V1654" s="153"/>
      <c r="W1654" s="151"/>
      <c r="X1654" s="151"/>
      <c r="Y1654" s="153"/>
      <c r="Z1654" s="151"/>
      <c r="AA1654" s="187" t="str">
        <f t="shared" si="51"/>
        <v>No</v>
      </c>
      <c r="AB1654" s="158"/>
      <c r="AC1654" s="159"/>
      <c r="AD1654" s="160"/>
    </row>
    <row r="1655" spans="1:30">
      <c r="A1655" s="155"/>
      <c r="B1655" s="112" t="str">
        <f t="shared" si="50"/>
        <v/>
      </c>
      <c r="C1655" s="183"/>
      <c r="D1655" s="152"/>
      <c r="E1655" s="152"/>
      <c r="F1655" s="151"/>
      <c r="G1655" s="153"/>
      <c r="H1655" s="151"/>
      <c r="I1655" s="151"/>
      <c r="J1655" s="151"/>
      <c r="K1655" s="151"/>
      <c r="L1655" s="151"/>
      <c r="M1655" s="151"/>
      <c r="N1655" s="151"/>
      <c r="O1655" s="151"/>
      <c r="P1655" s="151"/>
      <c r="Q1655" s="151"/>
      <c r="R1655" s="151"/>
      <c r="S1655" s="152"/>
      <c r="T1655" s="151"/>
      <c r="U1655" s="151"/>
      <c r="V1655" s="153"/>
      <c r="W1655" s="151"/>
      <c r="X1655" s="151"/>
      <c r="Y1655" s="153"/>
      <c r="Z1655" s="151"/>
      <c r="AA1655" s="187" t="str">
        <f t="shared" si="51"/>
        <v>No</v>
      </c>
      <c r="AB1655" s="158"/>
      <c r="AC1655" s="159"/>
      <c r="AD1655" s="160"/>
    </row>
    <row r="1656" spans="1:30">
      <c r="A1656" s="155"/>
      <c r="B1656" s="112" t="str">
        <f t="shared" si="50"/>
        <v/>
      </c>
      <c r="C1656" s="183"/>
      <c r="D1656" s="152"/>
      <c r="E1656" s="152"/>
      <c r="F1656" s="151"/>
      <c r="G1656" s="153"/>
      <c r="H1656" s="151"/>
      <c r="I1656" s="151"/>
      <c r="J1656" s="151"/>
      <c r="K1656" s="151"/>
      <c r="L1656" s="151"/>
      <c r="M1656" s="151"/>
      <c r="N1656" s="151"/>
      <c r="O1656" s="151"/>
      <c r="P1656" s="151"/>
      <c r="Q1656" s="151"/>
      <c r="R1656" s="151"/>
      <c r="S1656" s="152"/>
      <c r="T1656" s="151"/>
      <c r="U1656" s="151"/>
      <c r="V1656" s="153"/>
      <c r="W1656" s="151"/>
      <c r="X1656" s="151"/>
      <c r="Y1656" s="153"/>
      <c r="Z1656" s="151"/>
      <c r="AA1656" s="187" t="str">
        <f t="shared" si="51"/>
        <v>No</v>
      </c>
      <c r="AB1656" s="158"/>
      <c r="AC1656" s="159"/>
      <c r="AD1656" s="160"/>
    </row>
    <row r="1657" spans="1:30">
      <c r="A1657" s="155"/>
      <c r="B1657" s="112" t="str">
        <f t="shared" si="50"/>
        <v/>
      </c>
      <c r="C1657" s="183"/>
      <c r="D1657" s="152"/>
      <c r="E1657" s="152"/>
      <c r="F1657" s="151"/>
      <c r="G1657" s="153"/>
      <c r="H1657" s="151"/>
      <c r="I1657" s="151"/>
      <c r="J1657" s="151"/>
      <c r="K1657" s="151"/>
      <c r="L1657" s="151"/>
      <c r="M1657" s="151"/>
      <c r="N1657" s="151"/>
      <c r="O1657" s="151"/>
      <c r="P1657" s="151"/>
      <c r="Q1657" s="151"/>
      <c r="R1657" s="151"/>
      <c r="S1657" s="152"/>
      <c r="T1657" s="151"/>
      <c r="U1657" s="151"/>
      <c r="V1657" s="153"/>
      <c r="W1657" s="151"/>
      <c r="X1657" s="151"/>
      <c r="Y1657" s="153"/>
      <c r="Z1657" s="151"/>
      <c r="AA1657" s="187" t="str">
        <f t="shared" si="51"/>
        <v>No</v>
      </c>
      <c r="AB1657" s="158"/>
      <c r="AC1657" s="159"/>
      <c r="AD1657" s="160"/>
    </row>
    <row r="1658" spans="1:30">
      <c r="A1658" s="155"/>
      <c r="B1658" s="112" t="str">
        <f t="shared" si="50"/>
        <v/>
      </c>
      <c r="C1658" s="183"/>
      <c r="D1658" s="152"/>
      <c r="E1658" s="152"/>
      <c r="F1658" s="151"/>
      <c r="G1658" s="153"/>
      <c r="H1658" s="151"/>
      <c r="I1658" s="151"/>
      <c r="J1658" s="151"/>
      <c r="K1658" s="151"/>
      <c r="L1658" s="151"/>
      <c r="M1658" s="151"/>
      <c r="N1658" s="151"/>
      <c r="O1658" s="151"/>
      <c r="P1658" s="151"/>
      <c r="Q1658" s="151"/>
      <c r="R1658" s="151"/>
      <c r="S1658" s="152"/>
      <c r="T1658" s="151"/>
      <c r="U1658" s="151"/>
      <c r="V1658" s="153"/>
      <c r="W1658" s="151"/>
      <c r="X1658" s="151"/>
      <c r="Y1658" s="153"/>
      <c r="Z1658" s="151"/>
      <c r="AA1658" s="187" t="str">
        <f t="shared" si="51"/>
        <v>No</v>
      </c>
      <c r="AB1658" s="158"/>
      <c r="AC1658" s="159"/>
      <c r="AD1658" s="160"/>
    </row>
    <row r="1659" spans="1:30">
      <c r="A1659" s="155"/>
      <c r="B1659" s="112" t="str">
        <f t="shared" si="50"/>
        <v/>
      </c>
      <c r="C1659" s="183"/>
      <c r="D1659" s="152"/>
      <c r="E1659" s="152"/>
      <c r="F1659" s="151"/>
      <c r="G1659" s="153"/>
      <c r="H1659" s="151"/>
      <c r="I1659" s="151"/>
      <c r="J1659" s="151"/>
      <c r="K1659" s="151"/>
      <c r="L1659" s="151"/>
      <c r="M1659" s="151"/>
      <c r="N1659" s="151"/>
      <c r="O1659" s="151"/>
      <c r="P1659" s="151"/>
      <c r="Q1659" s="151"/>
      <c r="R1659" s="151"/>
      <c r="S1659" s="152"/>
      <c r="T1659" s="151"/>
      <c r="U1659" s="151"/>
      <c r="V1659" s="153"/>
      <c r="W1659" s="151"/>
      <c r="X1659" s="151"/>
      <c r="Y1659" s="153"/>
      <c r="Z1659" s="151"/>
      <c r="AA1659" s="187" t="str">
        <f t="shared" si="51"/>
        <v>No</v>
      </c>
      <c r="AB1659" s="158"/>
      <c r="AC1659" s="159"/>
      <c r="AD1659" s="160"/>
    </row>
    <row r="1660" spans="1:30">
      <c r="A1660" s="155"/>
      <c r="B1660" s="112" t="str">
        <f t="shared" si="50"/>
        <v/>
      </c>
      <c r="C1660" s="183"/>
      <c r="D1660" s="152"/>
      <c r="E1660" s="152"/>
      <c r="F1660" s="151"/>
      <c r="G1660" s="153"/>
      <c r="H1660" s="151"/>
      <c r="I1660" s="151"/>
      <c r="J1660" s="151"/>
      <c r="K1660" s="151"/>
      <c r="L1660" s="151"/>
      <c r="M1660" s="151"/>
      <c r="N1660" s="151"/>
      <c r="O1660" s="151"/>
      <c r="P1660" s="151"/>
      <c r="Q1660" s="151"/>
      <c r="R1660" s="151"/>
      <c r="S1660" s="152"/>
      <c r="T1660" s="151"/>
      <c r="U1660" s="151"/>
      <c r="V1660" s="153"/>
      <c r="W1660" s="151"/>
      <c r="X1660" s="151"/>
      <c r="Y1660" s="153"/>
      <c r="Z1660" s="151"/>
      <c r="AA1660" s="187" t="str">
        <f t="shared" si="51"/>
        <v>No</v>
      </c>
      <c r="AB1660" s="158"/>
      <c r="AC1660" s="159"/>
      <c r="AD1660" s="160"/>
    </row>
    <row r="1661" spans="1:30">
      <c r="A1661" s="155"/>
      <c r="B1661" s="112" t="str">
        <f t="shared" si="50"/>
        <v/>
      </c>
      <c r="C1661" s="183"/>
      <c r="D1661" s="152"/>
      <c r="E1661" s="152"/>
      <c r="F1661" s="151"/>
      <c r="G1661" s="153"/>
      <c r="H1661" s="151"/>
      <c r="I1661" s="151"/>
      <c r="J1661" s="151"/>
      <c r="K1661" s="151"/>
      <c r="L1661" s="151"/>
      <c r="M1661" s="151"/>
      <c r="N1661" s="151"/>
      <c r="O1661" s="151"/>
      <c r="P1661" s="151"/>
      <c r="Q1661" s="151"/>
      <c r="R1661" s="151"/>
      <c r="S1661" s="152"/>
      <c r="T1661" s="151"/>
      <c r="U1661" s="151"/>
      <c r="V1661" s="153"/>
      <c r="W1661" s="151"/>
      <c r="X1661" s="151"/>
      <c r="Y1661" s="153"/>
      <c r="Z1661" s="151"/>
      <c r="AA1661" s="187" t="str">
        <f t="shared" si="51"/>
        <v>No</v>
      </c>
      <c r="AB1661" s="158"/>
      <c r="AC1661" s="159"/>
      <c r="AD1661" s="160"/>
    </row>
    <row r="1662" spans="1:30">
      <c r="A1662" s="155"/>
      <c r="B1662" s="112" t="str">
        <f t="shared" si="50"/>
        <v/>
      </c>
      <c r="C1662" s="183"/>
      <c r="D1662" s="152"/>
      <c r="E1662" s="152"/>
      <c r="F1662" s="151"/>
      <c r="G1662" s="153"/>
      <c r="H1662" s="151"/>
      <c r="I1662" s="151"/>
      <c r="J1662" s="151"/>
      <c r="K1662" s="151"/>
      <c r="L1662" s="151"/>
      <c r="M1662" s="151"/>
      <c r="N1662" s="151"/>
      <c r="O1662" s="151"/>
      <c r="P1662" s="151"/>
      <c r="Q1662" s="151"/>
      <c r="R1662" s="151"/>
      <c r="S1662" s="152"/>
      <c r="T1662" s="151"/>
      <c r="U1662" s="151"/>
      <c r="V1662" s="153"/>
      <c r="W1662" s="151"/>
      <c r="X1662" s="151"/>
      <c r="Y1662" s="153"/>
      <c r="Z1662" s="151"/>
      <c r="AA1662" s="187" t="str">
        <f t="shared" si="51"/>
        <v>No</v>
      </c>
      <c r="AB1662" s="158"/>
      <c r="AC1662" s="159"/>
      <c r="AD1662" s="160"/>
    </row>
    <row r="1663" spans="1:30">
      <c r="A1663" s="155"/>
      <c r="B1663" s="112" t="str">
        <f t="shared" si="50"/>
        <v/>
      </c>
      <c r="C1663" s="183"/>
      <c r="D1663" s="152"/>
      <c r="E1663" s="152"/>
      <c r="F1663" s="151"/>
      <c r="G1663" s="153"/>
      <c r="H1663" s="151"/>
      <c r="I1663" s="151"/>
      <c r="J1663" s="151"/>
      <c r="K1663" s="151"/>
      <c r="L1663" s="151"/>
      <c r="M1663" s="151"/>
      <c r="N1663" s="151"/>
      <c r="O1663" s="151"/>
      <c r="P1663" s="151"/>
      <c r="Q1663" s="151"/>
      <c r="R1663" s="151"/>
      <c r="S1663" s="152"/>
      <c r="T1663" s="151"/>
      <c r="U1663" s="151"/>
      <c r="V1663" s="153"/>
      <c r="W1663" s="151"/>
      <c r="X1663" s="151"/>
      <c r="Y1663" s="153"/>
      <c r="Z1663" s="151"/>
      <c r="AA1663" s="187" t="str">
        <f t="shared" si="51"/>
        <v>No</v>
      </c>
      <c r="AB1663" s="158"/>
      <c r="AC1663" s="159"/>
      <c r="AD1663" s="160"/>
    </row>
    <row r="1664" spans="1:30">
      <c r="A1664" s="155"/>
      <c r="B1664" s="112" t="str">
        <f t="shared" si="50"/>
        <v/>
      </c>
      <c r="C1664" s="183"/>
      <c r="D1664" s="152"/>
      <c r="E1664" s="152"/>
      <c r="F1664" s="151"/>
      <c r="G1664" s="153"/>
      <c r="H1664" s="151"/>
      <c r="I1664" s="151"/>
      <c r="J1664" s="151"/>
      <c r="K1664" s="151"/>
      <c r="L1664" s="151"/>
      <c r="M1664" s="151"/>
      <c r="N1664" s="151"/>
      <c r="O1664" s="151"/>
      <c r="P1664" s="151"/>
      <c r="Q1664" s="151"/>
      <c r="R1664" s="151"/>
      <c r="S1664" s="152"/>
      <c r="T1664" s="151"/>
      <c r="U1664" s="151"/>
      <c r="V1664" s="153"/>
      <c r="W1664" s="151"/>
      <c r="X1664" s="151"/>
      <c r="Y1664" s="153"/>
      <c r="Z1664" s="151"/>
      <c r="AA1664" s="187" t="str">
        <f t="shared" si="51"/>
        <v>No</v>
      </c>
      <c r="AB1664" s="158"/>
      <c r="AC1664" s="159"/>
      <c r="AD1664" s="160"/>
    </row>
    <row r="1665" spans="1:30">
      <c r="A1665" s="155"/>
      <c r="B1665" s="112" t="str">
        <f t="shared" si="50"/>
        <v/>
      </c>
      <c r="C1665" s="183"/>
      <c r="D1665" s="152"/>
      <c r="E1665" s="152"/>
      <c r="F1665" s="151"/>
      <c r="G1665" s="153"/>
      <c r="H1665" s="151"/>
      <c r="I1665" s="151"/>
      <c r="J1665" s="151"/>
      <c r="K1665" s="151"/>
      <c r="L1665" s="151"/>
      <c r="M1665" s="151"/>
      <c r="N1665" s="151"/>
      <c r="O1665" s="151"/>
      <c r="P1665" s="151"/>
      <c r="Q1665" s="151"/>
      <c r="R1665" s="151"/>
      <c r="S1665" s="152"/>
      <c r="T1665" s="151"/>
      <c r="U1665" s="151"/>
      <c r="V1665" s="153"/>
      <c r="W1665" s="151"/>
      <c r="X1665" s="151"/>
      <c r="Y1665" s="153"/>
      <c r="Z1665" s="151"/>
      <c r="AA1665" s="187" t="str">
        <f t="shared" si="51"/>
        <v>No</v>
      </c>
      <c r="AB1665" s="158"/>
      <c r="AC1665" s="159"/>
      <c r="AD1665" s="160"/>
    </row>
    <row r="1666" spans="1:30">
      <c r="A1666" s="155"/>
      <c r="B1666" s="112" t="str">
        <f t="shared" si="50"/>
        <v/>
      </c>
      <c r="C1666" s="183"/>
      <c r="D1666" s="152"/>
      <c r="E1666" s="152"/>
      <c r="F1666" s="151"/>
      <c r="G1666" s="153"/>
      <c r="H1666" s="151"/>
      <c r="I1666" s="151"/>
      <c r="J1666" s="151"/>
      <c r="K1666" s="151"/>
      <c r="L1666" s="151"/>
      <c r="M1666" s="151"/>
      <c r="N1666" s="151"/>
      <c r="O1666" s="151"/>
      <c r="P1666" s="151"/>
      <c r="Q1666" s="151"/>
      <c r="R1666" s="151"/>
      <c r="S1666" s="152"/>
      <c r="T1666" s="151"/>
      <c r="U1666" s="151"/>
      <c r="V1666" s="153"/>
      <c r="W1666" s="151"/>
      <c r="X1666" s="151"/>
      <c r="Y1666" s="153"/>
      <c r="Z1666" s="151"/>
      <c r="AA1666" s="187" t="str">
        <f t="shared" si="51"/>
        <v>No</v>
      </c>
      <c r="AB1666" s="158"/>
      <c r="AC1666" s="159"/>
      <c r="AD1666" s="160"/>
    </row>
    <row r="1667" spans="1:30">
      <c r="A1667" s="155"/>
      <c r="B1667" s="112" t="str">
        <f t="shared" si="50"/>
        <v/>
      </c>
      <c r="C1667" s="183"/>
      <c r="D1667" s="152"/>
      <c r="E1667" s="152"/>
      <c r="F1667" s="151"/>
      <c r="G1667" s="153"/>
      <c r="H1667" s="151"/>
      <c r="I1667" s="151"/>
      <c r="J1667" s="151"/>
      <c r="K1667" s="151"/>
      <c r="L1667" s="151"/>
      <c r="M1667" s="151"/>
      <c r="N1667" s="151"/>
      <c r="O1667" s="151"/>
      <c r="P1667" s="151"/>
      <c r="Q1667" s="151"/>
      <c r="R1667" s="151"/>
      <c r="S1667" s="152"/>
      <c r="T1667" s="151"/>
      <c r="U1667" s="151"/>
      <c r="V1667" s="153"/>
      <c r="W1667" s="151"/>
      <c r="X1667" s="151"/>
      <c r="Y1667" s="153"/>
      <c r="Z1667" s="151"/>
      <c r="AA1667" s="187" t="str">
        <f t="shared" si="51"/>
        <v>No</v>
      </c>
      <c r="AB1667" s="158"/>
      <c r="AC1667" s="159"/>
      <c r="AD1667" s="160"/>
    </row>
    <row r="1668" spans="1:30">
      <c r="A1668" s="155"/>
      <c r="B1668" s="112" t="str">
        <f t="shared" si="50"/>
        <v/>
      </c>
      <c r="C1668" s="183"/>
      <c r="D1668" s="152"/>
      <c r="E1668" s="152"/>
      <c r="F1668" s="151"/>
      <c r="G1668" s="153"/>
      <c r="H1668" s="151"/>
      <c r="I1668" s="151"/>
      <c r="J1668" s="151"/>
      <c r="K1668" s="151"/>
      <c r="L1668" s="151"/>
      <c r="M1668" s="151"/>
      <c r="N1668" s="151"/>
      <c r="O1668" s="151"/>
      <c r="P1668" s="151"/>
      <c r="Q1668" s="151"/>
      <c r="R1668" s="151"/>
      <c r="S1668" s="152"/>
      <c r="T1668" s="151"/>
      <c r="U1668" s="151"/>
      <c r="V1668" s="153"/>
      <c r="W1668" s="151"/>
      <c r="X1668" s="151"/>
      <c r="Y1668" s="153"/>
      <c r="Z1668" s="151"/>
      <c r="AA1668" s="187" t="str">
        <f t="shared" si="51"/>
        <v>No</v>
      </c>
      <c r="AB1668" s="158"/>
      <c r="AC1668" s="159"/>
      <c r="AD1668" s="160"/>
    </row>
    <row r="1669" spans="1:30">
      <c r="A1669" s="155"/>
      <c r="B1669" s="112" t="str">
        <f t="shared" ref="B1669:B1732" si="52">IF(AND(A1669&lt;&gt;"",D1669&lt;&gt;"",J1669&lt;&gt;"",N1669&lt;&gt;""),TEXT(D1669,"YY")&amp;"-"&amp;TEXT(D1669,"MMM")&amp;"-"&amp;UPPER(LEFT(TRIM(N1669),2))&amp;"-"&amp;UPPER(LEFT(TRIM(J1669),3))&amp;"-"&amp;A1669,"")</f>
        <v/>
      </c>
      <c r="C1669" s="183"/>
      <c r="D1669" s="152"/>
      <c r="E1669" s="152"/>
      <c r="F1669" s="151"/>
      <c r="G1669" s="153"/>
      <c r="H1669" s="151"/>
      <c r="I1669" s="151"/>
      <c r="J1669" s="151"/>
      <c r="K1669" s="151"/>
      <c r="L1669" s="151"/>
      <c r="M1669" s="151"/>
      <c r="N1669" s="151"/>
      <c r="O1669" s="151"/>
      <c r="P1669" s="151"/>
      <c r="Q1669" s="151"/>
      <c r="R1669" s="151"/>
      <c r="S1669" s="152"/>
      <c r="T1669" s="151"/>
      <c r="U1669" s="151"/>
      <c r="V1669" s="153"/>
      <c r="W1669" s="151"/>
      <c r="X1669" s="151"/>
      <c r="Y1669" s="153"/>
      <c r="Z1669" s="151"/>
      <c r="AA1669" s="187" t="str">
        <f t="shared" ref="AA1669:AA1732" si="53">IF(E1669="","No","Yes")</f>
        <v>No</v>
      </c>
      <c r="AB1669" s="158"/>
      <c r="AC1669" s="159"/>
      <c r="AD1669" s="160"/>
    </row>
    <row r="1670" spans="1:30">
      <c r="A1670" s="155"/>
      <c r="B1670" s="112" t="str">
        <f t="shared" si="52"/>
        <v/>
      </c>
      <c r="C1670" s="183"/>
      <c r="D1670" s="152"/>
      <c r="E1670" s="152"/>
      <c r="F1670" s="151"/>
      <c r="G1670" s="153"/>
      <c r="H1670" s="151"/>
      <c r="I1670" s="151"/>
      <c r="J1670" s="151"/>
      <c r="K1670" s="151"/>
      <c r="L1670" s="151"/>
      <c r="M1670" s="151"/>
      <c r="N1670" s="151"/>
      <c r="O1670" s="151"/>
      <c r="P1670" s="151"/>
      <c r="Q1670" s="151"/>
      <c r="R1670" s="151"/>
      <c r="S1670" s="152"/>
      <c r="T1670" s="151"/>
      <c r="U1670" s="151"/>
      <c r="V1670" s="153"/>
      <c r="W1670" s="151"/>
      <c r="X1670" s="151"/>
      <c r="Y1670" s="153"/>
      <c r="Z1670" s="151"/>
      <c r="AA1670" s="187" t="str">
        <f t="shared" si="53"/>
        <v>No</v>
      </c>
      <c r="AB1670" s="158"/>
      <c r="AC1670" s="159"/>
      <c r="AD1670" s="160"/>
    </row>
    <row r="1671" spans="1:30">
      <c r="A1671" s="155"/>
      <c r="B1671" s="112" t="str">
        <f t="shared" si="52"/>
        <v/>
      </c>
      <c r="C1671" s="183"/>
      <c r="D1671" s="152"/>
      <c r="E1671" s="152"/>
      <c r="F1671" s="151"/>
      <c r="G1671" s="153"/>
      <c r="H1671" s="151"/>
      <c r="I1671" s="151"/>
      <c r="J1671" s="151"/>
      <c r="K1671" s="151"/>
      <c r="L1671" s="151"/>
      <c r="M1671" s="151"/>
      <c r="N1671" s="151"/>
      <c r="O1671" s="151"/>
      <c r="P1671" s="151"/>
      <c r="Q1671" s="151"/>
      <c r="R1671" s="151"/>
      <c r="S1671" s="152"/>
      <c r="T1671" s="151"/>
      <c r="U1671" s="151"/>
      <c r="V1671" s="153"/>
      <c r="W1671" s="151"/>
      <c r="X1671" s="151"/>
      <c r="Y1671" s="153"/>
      <c r="Z1671" s="151"/>
      <c r="AA1671" s="187" t="str">
        <f t="shared" si="53"/>
        <v>No</v>
      </c>
      <c r="AB1671" s="158"/>
      <c r="AC1671" s="159"/>
      <c r="AD1671" s="160"/>
    </row>
    <row r="1672" spans="1:30">
      <c r="A1672" s="155"/>
      <c r="B1672" s="112" t="str">
        <f t="shared" si="52"/>
        <v/>
      </c>
      <c r="C1672" s="183"/>
      <c r="D1672" s="152"/>
      <c r="E1672" s="152"/>
      <c r="F1672" s="151"/>
      <c r="G1672" s="153"/>
      <c r="H1672" s="151"/>
      <c r="I1672" s="151"/>
      <c r="J1672" s="151"/>
      <c r="K1672" s="151"/>
      <c r="L1672" s="151"/>
      <c r="M1672" s="151"/>
      <c r="N1672" s="151"/>
      <c r="O1672" s="151"/>
      <c r="P1672" s="151"/>
      <c r="Q1672" s="151"/>
      <c r="R1672" s="151"/>
      <c r="S1672" s="152"/>
      <c r="T1672" s="151"/>
      <c r="U1672" s="151"/>
      <c r="V1672" s="153"/>
      <c r="W1672" s="151"/>
      <c r="X1672" s="151"/>
      <c r="Y1672" s="153"/>
      <c r="Z1672" s="151"/>
      <c r="AA1672" s="187" t="str">
        <f t="shared" si="53"/>
        <v>No</v>
      </c>
      <c r="AB1672" s="158"/>
      <c r="AC1672" s="159"/>
      <c r="AD1672" s="160"/>
    </row>
    <row r="1673" spans="1:30">
      <c r="A1673" s="155"/>
      <c r="B1673" s="112" t="str">
        <f t="shared" si="52"/>
        <v/>
      </c>
      <c r="C1673" s="183"/>
      <c r="D1673" s="152"/>
      <c r="E1673" s="152"/>
      <c r="F1673" s="151"/>
      <c r="G1673" s="153"/>
      <c r="H1673" s="151"/>
      <c r="I1673" s="151"/>
      <c r="J1673" s="151"/>
      <c r="K1673" s="151"/>
      <c r="L1673" s="151"/>
      <c r="M1673" s="151"/>
      <c r="N1673" s="151"/>
      <c r="O1673" s="151"/>
      <c r="P1673" s="151"/>
      <c r="Q1673" s="151"/>
      <c r="R1673" s="151"/>
      <c r="S1673" s="152"/>
      <c r="T1673" s="151"/>
      <c r="U1673" s="151"/>
      <c r="V1673" s="153"/>
      <c r="W1673" s="151"/>
      <c r="X1673" s="151"/>
      <c r="Y1673" s="153"/>
      <c r="Z1673" s="151"/>
      <c r="AA1673" s="187" t="str">
        <f t="shared" si="53"/>
        <v>No</v>
      </c>
      <c r="AB1673" s="158"/>
      <c r="AC1673" s="159"/>
      <c r="AD1673" s="160"/>
    </row>
    <row r="1674" spans="1:30">
      <c r="A1674" s="155"/>
      <c r="B1674" s="112" t="str">
        <f t="shared" si="52"/>
        <v/>
      </c>
      <c r="C1674" s="183"/>
      <c r="D1674" s="152"/>
      <c r="E1674" s="152"/>
      <c r="F1674" s="151"/>
      <c r="G1674" s="153"/>
      <c r="H1674" s="151"/>
      <c r="I1674" s="151"/>
      <c r="J1674" s="151"/>
      <c r="K1674" s="151"/>
      <c r="L1674" s="151"/>
      <c r="M1674" s="151"/>
      <c r="N1674" s="151"/>
      <c r="O1674" s="151"/>
      <c r="P1674" s="151"/>
      <c r="Q1674" s="151"/>
      <c r="R1674" s="151"/>
      <c r="S1674" s="152"/>
      <c r="T1674" s="151"/>
      <c r="U1674" s="151"/>
      <c r="V1674" s="153"/>
      <c r="W1674" s="151"/>
      <c r="X1674" s="151"/>
      <c r="Y1674" s="153"/>
      <c r="Z1674" s="151"/>
      <c r="AA1674" s="187" t="str">
        <f t="shared" si="53"/>
        <v>No</v>
      </c>
      <c r="AB1674" s="158"/>
      <c r="AC1674" s="159"/>
      <c r="AD1674" s="160"/>
    </row>
    <row r="1675" spans="1:30">
      <c r="A1675" s="155"/>
      <c r="B1675" s="112" t="str">
        <f t="shared" si="52"/>
        <v/>
      </c>
      <c r="C1675" s="183"/>
      <c r="D1675" s="152"/>
      <c r="E1675" s="152"/>
      <c r="F1675" s="151"/>
      <c r="G1675" s="153"/>
      <c r="H1675" s="151"/>
      <c r="I1675" s="151"/>
      <c r="J1675" s="151"/>
      <c r="K1675" s="151"/>
      <c r="L1675" s="151"/>
      <c r="M1675" s="151"/>
      <c r="N1675" s="151"/>
      <c r="O1675" s="151"/>
      <c r="P1675" s="151"/>
      <c r="Q1675" s="151"/>
      <c r="R1675" s="151"/>
      <c r="S1675" s="152"/>
      <c r="T1675" s="151"/>
      <c r="U1675" s="151"/>
      <c r="V1675" s="153"/>
      <c r="W1675" s="151"/>
      <c r="X1675" s="151"/>
      <c r="Y1675" s="153"/>
      <c r="Z1675" s="151"/>
      <c r="AA1675" s="187" t="str">
        <f t="shared" si="53"/>
        <v>No</v>
      </c>
      <c r="AB1675" s="158"/>
      <c r="AC1675" s="159"/>
      <c r="AD1675" s="160"/>
    </row>
    <row r="1676" spans="1:30">
      <c r="A1676" s="155"/>
      <c r="B1676" s="112" t="str">
        <f t="shared" si="52"/>
        <v/>
      </c>
      <c r="C1676" s="183"/>
      <c r="D1676" s="152"/>
      <c r="E1676" s="152"/>
      <c r="F1676" s="151"/>
      <c r="G1676" s="153"/>
      <c r="H1676" s="151"/>
      <c r="I1676" s="151"/>
      <c r="J1676" s="151"/>
      <c r="K1676" s="151"/>
      <c r="L1676" s="151"/>
      <c r="M1676" s="151"/>
      <c r="N1676" s="151"/>
      <c r="O1676" s="151"/>
      <c r="P1676" s="151"/>
      <c r="Q1676" s="151"/>
      <c r="R1676" s="151"/>
      <c r="S1676" s="152"/>
      <c r="T1676" s="151"/>
      <c r="U1676" s="151"/>
      <c r="V1676" s="153"/>
      <c r="W1676" s="151"/>
      <c r="X1676" s="151"/>
      <c r="Y1676" s="153"/>
      <c r="Z1676" s="151"/>
      <c r="AA1676" s="187" t="str">
        <f t="shared" si="53"/>
        <v>No</v>
      </c>
      <c r="AB1676" s="158"/>
      <c r="AC1676" s="159"/>
      <c r="AD1676" s="160"/>
    </row>
    <row r="1677" spans="1:30">
      <c r="A1677" s="155"/>
      <c r="B1677" s="112" t="str">
        <f t="shared" si="52"/>
        <v/>
      </c>
      <c r="C1677" s="183"/>
      <c r="D1677" s="152"/>
      <c r="E1677" s="152"/>
      <c r="F1677" s="151"/>
      <c r="G1677" s="153"/>
      <c r="H1677" s="151"/>
      <c r="I1677" s="151"/>
      <c r="J1677" s="151"/>
      <c r="K1677" s="151"/>
      <c r="L1677" s="151"/>
      <c r="M1677" s="151"/>
      <c r="N1677" s="151"/>
      <c r="O1677" s="151"/>
      <c r="P1677" s="151"/>
      <c r="Q1677" s="151"/>
      <c r="R1677" s="151"/>
      <c r="S1677" s="152"/>
      <c r="T1677" s="151"/>
      <c r="U1677" s="151"/>
      <c r="V1677" s="153"/>
      <c r="W1677" s="151"/>
      <c r="X1677" s="151"/>
      <c r="Y1677" s="153"/>
      <c r="Z1677" s="151"/>
      <c r="AA1677" s="187" t="str">
        <f t="shared" si="53"/>
        <v>No</v>
      </c>
      <c r="AB1677" s="158"/>
      <c r="AC1677" s="159"/>
      <c r="AD1677" s="160"/>
    </row>
    <row r="1678" spans="1:30">
      <c r="A1678" s="155"/>
      <c r="B1678" s="112" t="str">
        <f t="shared" si="52"/>
        <v/>
      </c>
      <c r="C1678" s="183"/>
      <c r="D1678" s="152"/>
      <c r="E1678" s="152"/>
      <c r="F1678" s="151"/>
      <c r="G1678" s="153"/>
      <c r="H1678" s="151"/>
      <c r="I1678" s="151"/>
      <c r="J1678" s="151"/>
      <c r="K1678" s="151"/>
      <c r="L1678" s="151"/>
      <c r="M1678" s="151"/>
      <c r="N1678" s="151"/>
      <c r="O1678" s="151"/>
      <c r="P1678" s="151"/>
      <c r="Q1678" s="151"/>
      <c r="R1678" s="151"/>
      <c r="S1678" s="152"/>
      <c r="T1678" s="151"/>
      <c r="U1678" s="151"/>
      <c r="V1678" s="153"/>
      <c r="W1678" s="151"/>
      <c r="X1678" s="151"/>
      <c r="Y1678" s="153"/>
      <c r="Z1678" s="151"/>
      <c r="AA1678" s="187" t="str">
        <f t="shared" si="53"/>
        <v>No</v>
      </c>
      <c r="AB1678" s="158"/>
      <c r="AC1678" s="159"/>
      <c r="AD1678" s="160"/>
    </row>
    <row r="1679" spans="1:30">
      <c r="A1679" s="155"/>
      <c r="B1679" s="112" t="str">
        <f t="shared" si="52"/>
        <v/>
      </c>
      <c r="C1679" s="183"/>
      <c r="D1679" s="152"/>
      <c r="E1679" s="152"/>
      <c r="F1679" s="151"/>
      <c r="G1679" s="153"/>
      <c r="H1679" s="151"/>
      <c r="I1679" s="151"/>
      <c r="J1679" s="151"/>
      <c r="K1679" s="151"/>
      <c r="L1679" s="151"/>
      <c r="M1679" s="151"/>
      <c r="N1679" s="151"/>
      <c r="O1679" s="151"/>
      <c r="P1679" s="151"/>
      <c r="Q1679" s="151"/>
      <c r="R1679" s="151"/>
      <c r="S1679" s="152"/>
      <c r="T1679" s="151"/>
      <c r="U1679" s="151"/>
      <c r="V1679" s="153"/>
      <c r="W1679" s="151"/>
      <c r="X1679" s="151"/>
      <c r="Y1679" s="153"/>
      <c r="Z1679" s="151"/>
      <c r="AA1679" s="187" t="str">
        <f t="shared" si="53"/>
        <v>No</v>
      </c>
      <c r="AB1679" s="158"/>
      <c r="AC1679" s="159"/>
      <c r="AD1679" s="160"/>
    </row>
    <row r="1680" spans="1:30">
      <c r="A1680" s="155"/>
      <c r="B1680" s="112" t="str">
        <f t="shared" si="52"/>
        <v/>
      </c>
      <c r="C1680" s="183"/>
      <c r="D1680" s="152"/>
      <c r="E1680" s="152"/>
      <c r="F1680" s="151"/>
      <c r="G1680" s="153"/>
      <c r="H1680" s="151"/>
      <c r="I1680" s="151"/>
      <c r="J1680" s="151"/>
      <c r="K1680" s="151"/>
      <c r="L1680" s="151"/>
      <c r="M1680" s="151"/>
      <c r="N1680" s="151"/>
      <c r="O1680" s="151"/>
      <c r="P1680" s="151"/>
      <c r="Q1680" s="151"/>
      <c r="R1680" s="151"/>
      <c r="S1680" s="152"/>
      <c r="T1680" s="151"/>
      <c r="U1680" s="151"/>
      <c r="V1680" s="153"/>
      <c r="W1680" s="151"/>
      <c r="X1680" s="151"/>
      <c r="Y1680" s="153"/>
      <c r="Z1680" s="151"/>
      <c r="AA1680" s="187" t="str">
        <f t="shared" si="53"/>
        <v>No</v>
      </c>
      <c r="AB1680" s="158"/>
      <c r="AC1680" s="159"/>
      <c r="AD1680" s="160"/>
    </row>
    <row r="1681" spans="1:30">
      <c r="A1681" s="155"/>
      <c r="B1681" s="112" t="str">
        <f t="shared" si="52"/>
        <v/>
      </c>
      <c r="C1681" s="183"/>
      <c r="D1681" s="152"/>
      <c r="E1681" s="152"/>
      <c r="F1681" s="151"/>
      <c r="G1681" s="153"/>
      <c r="H1681" s="151"/>
      <c r="I1681" s="151"/>
      <c r="J1681" s="151"/>
      <c r="K1681" s="151"/>
      <c r="L1681" s="151"/>
      <c r="M1681" s="151"/>
      <c r="N1681" s="151"/>
      <c r="O1681" s="151"/>
      <c r="P1681" s="151"/>
      <c r="Q1681" s="151"/>
      <c r="R1681" s="151"/>
      <c r="S1681" s="152"/>
      <c r="T1681" s="151"/>
      <c r="U1681" s="151"/>
      <c r="V1681" s="153"/>
      <c r="W1681" s="151"/>
      <c r="X1681" s="151"/>
      <c r="Y1681" s="153"/>
      <c r="Z1681" s="151"/>
      <c r="AA1681" s="187" t="str">
        <f t="shared" si="53"/>
        <v>No</v>
      </c>
      <c r="AB1681" s="158"/>
      <c r="AC1681" s="159"/>
      <c r="AD1681" s="160"/>
    </row>
    <row r="1682" spans="1:30">
      <c r="A1682" s="155"/>
      <c r="B1682" s="112" t="str">
        <f t="shared" si="52"/>
        <v/>
      </c>
      <c r="C1682" s="183"/>
      <c r="D1682" s="152"/>
      <c r="E1682" s="152"/>
      <c r="F1682" s="151"/>
      <c r="G1682" s="153"/>
      <c r="H1682" s="151"/>
      <c r="I1682" s="151"/>
      <c r="J1682" s="151"/>
      <c r="K1682" s="151"/>
      <c r="L1682" s="151"/>
      <c r="M1682" s="151"/>
      <c r="N1682" s="151"/>
      <c r="O1682" s="151"/>
      <c r="P1682" s="151"/>
      <c r="Q1682" s="151"/>
      <c r="R1682" s="151"/>
      <c r="S1682" s="152"/>
      <c r="T1682" s="151"/>
      <c r="U1682" s="151"/>
      <c r="V1682" s="153"/>
      <c r="W1682" s="151"/>
      <c r="X1682" s="151"/>
      <c r="Y1682" s="153"/>
      <c r="Z1682" s="151"/>
      <c r="AA1682" s="187" t="str">
        <f t="shared" si="53"/>
        <v>No</v>
      </c>
      <c r="AB1682" s="158"/>
      <c r="AC1682" s="159"/>
      <c r="AD1682" s="160"/>
    </row>
    <row r="1683" spans="1:30">
      <c r="A1683" s="155"/>
      <c r="B1683" s="112" t="str">
        <f t="shared" si="52"/>
        <v/>
      </c>
      <c r="C1683" s="183"/>
      <c r="D1683" s="152"/>
      <c r="E1683" s="152"/>
      <c r="F1683" s="151"/>
      <c r="G1683" s="153"/>
      <c r="H1683" s="151"/>
      <c r="I1683" s="151"/>
      <c r="J1683" s="151"/>
      <c r="K1683" s="151"/>
      <c r="L1683" s="151"/>
      <c r="M1683" s="151"/>
      <c r="N1683" s="151"/>
      <c r="O1683" s="151"/>
      <c r="P1683" s="151"/>
      <c r="Q1683" s="151"/>
      <c r="R1683" s="151"/>
      <c r="S1683" s="152"/>
      <c r="T1683" s="151"/>
      <c r="U1683" s="151"/>
      <c r="V1683" s="153"/>
      <c r="W1683" s="151"/>
      <c r="X1683" s="151"/>
      <c r="Y1683" s="153"/>
      <c r="Z1683" s="151"/>
      <c r="AA1683" s="187" t="str">
        <f t="shared" si="53"/>
        <v>No</v>
      </c>
      <c r="AB1683" s="158"/>
      <c r="AC1683" s="159"/>
      <c r="AD1683" s="160"/>
    </row>
    <row r="1684" spans="1:30">
      <c r="A1684" s="155"/>
      <c r="B1684" s="112" t="str">
        <f t="shared" si="52"/>
        <v/>
      </c>
      <c r="C1684" s="183"/>
      <c r="D1684" s="152"/>
      <c r="E1684" s="152"/>
      <c r="F1684" s="151"/>
      <c r="G1684" s="153"/>
      <c r="H1684" s="151"/>
      <c r="I1684" s="151"/>
      <c r="J1684" s="151"/>
      <c r="K1684" s="151"/>
      <c r="L1684" s="151"/>
      <c r="M1684" s="151"/>
      <c r="N1684" s="151"/>
      <c r="O1684" s="151"/>
      <c r="P1684" s="151"/>
      <c r="Q1684" s="151"/>
      <c r="R1684" s="151"/>
      <c r="S1684" s="152"/>
      <c r="T1684" s="151"/>
      <c r="U1684" s="151"/>
      <c r="V1684" s="153"/>
      <c r="W1684" s="151"/>
      <c r="X1684" s="151"/>
      <c r="Y1684" s="153"/>
      <c r="Z1684" s="151"/>
      <c r="AA1684" s="187" t="str">
        <f t="shared" si="53"/>
        <v>No</v>
      </c>
      <c r="AB1684" s="158"/>
      <c r="AC1684" s="159"/>
      <c r="AD1684" s="160"/>
    </row>
    <row r="1685" spans="1:30">
      <c r="A1685" s="155"/>
      <c r="B1685" s="112" t="str">
        <f t="shared" si="52"/>
        <v/>
      </c>
      <c r="C1685" s="183"/>
      <c r="D1685" s="152"/>
      <c r="E1685" s="152"/>
      <c r="F1685" s="151"/>
      <c r="G1685" s="153"/>
      <c r="H1685" s="151"/>
      <c r="I1685" s="151"/>
      <c r="J1685" s="151"/>
      <c r="K1685" s="151"/>
      <c r="L1685" s="151"/>
      <c r="M1685" s="151"/>
      <c r="N1685" s="151"/>
      <c r="O1685" s="151"/>
      <c r="P1685" s="151"/>
      <c r="Q1685" s="151"/>
      <c r="R1685" s="151"/>
      <c r="S1685" s="152"/>
      <c r="T1685" s="151"/>
      <c r="U1685" s="151"/>
      <c r="V1685" s="153"/>
      <c r="W1685" s="151"/>
      <c r="X1685" s="151"/>
      <c r="Y1685" s="153"/>
      <c r="Z1685" s="151"/>
      <c r="AA1685" s="187" t="str">
        <f t="shared" si="53"/>
        <v>No</v>
      </c>
      <c r="AB1685" s="158"/>
      <c r="AC1685" s="159"/>
      <c r="AD1685" s="160"/>
    </row>
    <row r="1686" spans="1:30">
      <c r="A1686" s="155"/>
      <c r="B1686" s="112" t="str">
        <f t="shared" si="52"/>
        <v/>
      </c>
      <c r="C1686" s="183"/>
      <c r="D1686" s="152"/>
      <c r="E1686" s="152"/>
      <c r="F1686" s="151"/>
      <c r="G1686" s="153"/>
      <c r="H1686" s="151"/>
      <c r="I1686" s="151"/>
      <c r="J1686" s="151"/>
      <c r="K1686" s="151"/>
      <c r="L1686" s="151"/>
      <c r="M1686" s="151"/>
      <c r="N1686" s="151"/>
      <c r="O1686" s="151"/>
      <c r="P1686" s="151"/>
      <c r="Q1686" s="151"/>
      <c r="R1686" s="151"/>
      <c r="S1686" s="152"/>
      <c r="T1686" s="151"/>
      <c r="U1686" s="151"/>
      <c r="V1686" s="153"/>
      <c r="W1686" s="151"/>
      <c r="X1686" s="151"/>
      <c r="Y1686" s="153"/>
      <c r="Z1686" s="151"/>
      <c r="AA1686" s="187" t="str">
        <f t="shared" si="53"/>
        <v>No</v>
      </c>
      <c r="AB1686" s="158"/>
      <c r="AC1686" s="159"/>
      <c r="AD1686" s="160"/>
    </row>
    <row r="1687" spans="1:30">
      <c r="A1687" s="155"/>
      <c r="B1687" s="112" t="str">
        <f t="shared" si="52"/>
        <v/>
      </c>
      <c r="C1687" s="183"/>
      <c r="D1687" s="152"/>
      <c r="E1687" s="152"/>
      <c r="F1687" s="151"/>
      <c r="G1687" s="153"/>
      <c r="H1687" s="151"/>
      <c r="I1687" s="151"/>
      <c r="J1687" s="151"/>
      <c r="K1687" s="151"/>
      <c r="L1687" s="151"/>
      <c r="M1687" s="151"/>
      <c r="N1687" s="151"/>
      <c r="O1687" s="151"/>
      <c r="P1687" s="151"/>
      <c r="Q1687" s="151"/>
      <c r="R1687" s="151"/>
      <c r="S1687" s="152"/>
      <c r="T1687" s="151"/>
      <c r="U1687" s="151"/>
      <c r="V1687" s="153"/>
      <c r="W1687" s="151"/>
      <c r="X1687" s="151"/>
      <c r="Y1687" s="153"/>
      <c r="Z1687" s="151"/>
      <c r="AA1687" s="187" t="str">
        <f t="shared" si="53"/>
        <v>No</v>
      </c>
      <c r="AB1687" s="158"/>
      <c r="AC1687" s="159"/>
      <c r="AD1687" s="160"/>
    </row>
    <row r="1688" spans="1:30">
      <c r="A1688" s="155"/>
      <c r="B1688" s="112" t="str">
        <f t="shared" si="52"/>
        <v/>
      </c>
      <c r="C1688" s="183"/>
      <c r="D1688" s="152"/>
      <c r="E1688" s="152"/>
      <c r="F1688" s="151"/>
      <c r="G1688" s="153"/>
      <c r="H1688" s="151"/>
      <c r="I1688" s="151"/>
      <c r="J1688" s="151"/>
      <c r="K1688" s="151"/>
      <c r="L1688" s="151"/>
      <c r="M1688" s="151"/>
      <c r="N1688" s="151"/>
      <c r="O1688" s="151"/>
      <c r="P1688" s="151"/>
      <c r="Q1688" s="151"/>
      <c r="R1688" s="151"/>
      <c r="S1688" s="152"/>
      <c r="T1688" s="151"/>
      <c r="U1688" s="151"/>
      <c r="V1688" s="153"/>
      <c r="W1688" s="151"/>
      <c r="X1688" s="151"/>
      <c r="Y1688" s="153"/>
      <c r="Z1688" s="151"/>
      <c r="AA1688" s="187" t="str">
        <f t="shared" si="53"/>
        <v>No</v>
      </c>
      <c r="AB1688" s="158"/>
      <c r="AC1688" s="159"/>
      <c r="AD1688" s="160"/>
    </row>
    <row r="1689" spans="1:30">
      <c r="A1689" s="155"/>
      <c r="B1689" s="112" t="str">
        <f t="shared" si="52"/>
        <v/>
      </c>
      <c r="C1689" s="183"/>
      <c r="D1689" s="152"/>
      <c r="E1689" s="152"/>
      <c r="F1689" s="151"/>
      <c r="G1689" s="153"/>
      <c r="H1689" s="151"/>
      <c r="I1689" s="151"/>
      <c r="J1689" s="151"/>
      <c r="K1689" s="151"/>
      <c r="L1689" s="151"/>
      <c r="M1689" s="151"/>
      <c r="N1689" s="151"/>
      <c r="O1689" s="151"/>
      <c r="P1689" s="151"/>
      <c r="Q1689" s="151"/>
      <c r="R1689" s="151"/>
      <c r="S1689" s="152"/>
      <c r="T1689" s="151"/>
      <c r="U1689" s="151"/>
      <c r="V1689" s="153"/>
      <c r="W1689" s="151"/>
      <c r="X1689" s="151"/>
      <c r="Y1689" s="153"/>
      <c r="Z1689" s="151"/>
      <c r="AA1689" s="187" t="str">
        <f t="shared" si="53"/>
        <v>No</v>
      </c>
      <c r="AB1689" s="158"/>
      <c r="AC1689" s="159"/>
      <c r="AD1689" s="160"/>
    </row>
    <row r="1690" spans="1:30">
      <c r="A1690" s="155"/>
      <c r="B1690" s="112" t="str">
        <f t="shared" si="52"/>
        <v/>
      </c>
      <c r="C1690" s="183"/>
      <c r="D1690" s="152"/>
      <c r="E1690" s="152"/>
      <c r="F1690" s="151"/>
      <c r="G1690" s="153"/>
      <c r="H1690" s="151"/>
      <c r="I1690" s="151"/>
      <c r="J1690" s="151"/>
      <c r="K1690" s="151"/>
      <c r="L1690" s="151"/>
      <c r="M1690" s="151"/>
      <c r="N1690" s="151"/>
      <c r="O1690" s="151"/>
      <c r="P1690" s="151"/>
      <c r="Q1690" s="151"/>
      <c r="R1690" s="151"/>
      <c r="S1690" s="152"/>
      <c r="T1690" s="151"/>
      <c r="U1690" s="151"/>
      <c r="V1690" s="153"/>
      <c r="W1690" s="151"/>
      <c r="X1690" s="151"/>
      <c r="Y1690" s="153"/>
      <c r="Z1690" s="151"/>
      <c r="AA1690" s="187" t="str">
        <f t="shared" si="53"/>
        <v>No</v>
      </c>
      <c r="AB1690" s="158"/>
      <c r="AC1690" s="159"/>
      <c r="AD1690" s="160"/>
    </row>
    <row r="1691" spans="1:30">
      <c r="A1691" s="155"/>
      <c r="B1691" s="112" t="str">
        <f t="shared" si="52"/>
        <v/>
      </c>
      <c r="C1691" s="183"/>
      <c r="D1691" s="152"/>
      <c r="E1691" s="152"/>
      <c r="F1691" s="151"/>
      <c r="G1691" s="153"/>
      <c r="H1691" s="151"/>
      <c r="I1691" s="151"/>
      <c r="J1691" s="151"/>
      <c r="K1691" s="151"/>
      <c r="L1691" s="151"/>
      <c r="M1691" s="151"/>
      <c r="N1691" s="151"/>
      <c r="O1691" s="151"/>
      <c r="P1691" s="151"/>
      <c r="Q1691" s="151"/>
      <c r="R1691" s="151"/>
      <c r="S1691" s="152"/>
      <c r="T1691" s="151"/>
      <c r="U1691" s="151"/>
      <c r="V1691" s="153"/>
      <c r="W1691" s="151"/>
      <c r="X1691" s="151"/>
      <c r="Y1691" s="153"/>
      <c r="Z1691" s="151"/>
      <c r="AA1691" s="187" t="str">
        <f t="shared" si="53"/>
        <v>No</v>
      </c>
      <c r="AB1691" s="158"/>
      <c r="AC1691" s="159"/>
      <c r="AD1691" s="160"/>
    </row>
    <row r="1692" spans="1:30">
      <c r="A1692" s="155"/>
      <c r="B1692" s="112" t="str">
        <f t="shared" si="52"/>
        <v/>
      </c>
      <c r="C1692" s="183"/>
      <c r="D1692" s="152"/>
      <c r="E1692" s="152"/>
      <c r="F1692" s="151"/>
      <c r="G1692" s="153"/>
      <c r="H1692" s="151"/>
      <c r="I1692" s="151"/>
      <c r="J1692" s="151"/>
      <c r="K1692" s="151"/>
      <c r="L1692" s="151"/>
      <c r="M1692" s="151"/>
      <c r="N1692" s="151"/>
      <c r="O1692" s="151"/>
      <c r="P1692" s="151"/>
      <c r="Q1692" s="151"/>
      <c r="R1692" s="151"/>
      <c r="S1692" s="152"/>
      <c r="T1692" s="151"/>
      <c r="U1692" s="151"/>
      <c r="V1692" s="153"/>
      <c r="W1692" s="151"/>
      <c r="X1692" s="151"/>
      <c r="Y1692" s="153"/>
      <c r="Z1692" s="151"/>
      <c r="AA1692" s="187" t="str">
        <f t="shared" si="53"/>
        <v>No</v>
      </c>
      <c r="AB1692" s="158"/>
      <c r="AC1692" s="159"/>
      <c r="AD1692" s="160"/>
    </row>
    <row r="1693" spans="1:30">
      <c r="A1693" s="155"/>
      <c r="B1693" s="112" t="str">
        <f t="shared" si="52"/>
        <v/>
      </c>
      <c r="C1693" s="183"/>
      <c r="D1693" s="152"/>
      <c r="E1693" s="152"/>
      <c r="F1693" s="151"/>
      <c r="G1693" s="153"/>
      <c r="H1693" s="151"/>
      <c r="I1693" s="151"/>
      <c r="J1693" s="151"/>
      <c r="K1693" s="151"/>
      <c r="L1693" s="151"/>
      <c r="M1693" s="151"/>
      <c r="N1693" s="151"/>
      <c r="O1693" s="151"/>
      <c r="P1693" s="151"/>
      <c r="Q1693" s="151"/>
      <c r="R1693" s="151"/>
      <c r="S1693" s="152"/>
      <c r="T1693" s="151"/>
      <c r="U1693" s="151"/>
      <c r="V1693" s="153"/>
      <c r="W1693" s="151"/>
      <c r="X1693" s="151"/>
      <c r="Y1693" s="153"/>
      <c r="Z1693" s="151"/>
      <c r="AA1693" s="187" t="str">
        <f t="shared" si="53"/>
        <v>No</v>
      </c>
      <c r="AB1693" s="158"/>
      <c r="AC1693" s="159"/>
      <c r="AD1693" s="160"/>
    </row>
    <row r="1694" spans="1:30">
      <c r="A1694" s="155"/>
      <c r="B1694" s="112" t="str">
        <f t="shared" si="52"/>
        <v/>
      </c>
      <c r="C1694" s="183"/>
      <c r="D1694" s="152"/>
      <c r="E1694" s="152"/>
      <c r="F1694" s="151"/>
      <c r="G1694" s="153"/>
      <c r="H1694" s="151"/>
      <c r="I1694" s="151"/>
      <c r="J1694" s="151"/>
      <c r="K1694" s="151"/>
      <c r="L1694" s="151"/>
      <c r="M1694" s="151"/>
      <c r="N1694" s="151"/>
      <c r="O1694" s="151"/>
      <c r="P1694" s="151"/>
      <c r="Q1694" s="151"/>
      <c r="R1694" s="151"/>
      <c r="S1694" s="152"/>
      <c r="T1694" s="151"/>
      <c r="U1694" s="151"/>
      <c r="V1694" s="153"/>
      <c r="W1694" s="151"/>
      <c r="X1694" s="151"/>
      <c r="Y1694" s="153"/>
      <c r="Z1694" s="151"/>
      <c r="AA1694" s="187" t="str">
        <f t="shared" si="53"/>
        <v>No</v>
      </c>
      <c r="AB1694" s="158"/>
      <c r="AC1694" s="159"/>
      <c r="AD1694" s="160"/>
    </row>
    <row r="1695" spans="1:30">
      <c r="A1695" s="155"/>
      <c r="B1695" s="112" t="str">
        <f t="shared" si="52"/>
        <v/>
      </c>
      <c r="C1695" s="183"/>
      <c r="D1695" s="152"/>
      <c r="E1695" s="152"/>
      <c r="F1695" s="151"/>
      <c r="G1695" s="153"/>
      <c r="H1695" s="151"/>
      <c r="I1695" s="151"/>
      <c r="J1695" s="151"/>
      <c r="K1695" s="151"/>
      <c r="L1695" s="151"/>
      <c r="M1695" s="151"/>
      <c r="N1695" s="151"/>
      <c r="O1695" s="151"/>
      <c r="P1695" s="151"/>
      <c r="Q1695" s="151"/>
      <c r="R1695" s="151"/>
      <c r="S1695" s="152"/>
      <c r="T1695" s="151"/>
      <c r="U1695" s="151"/>
      <c r="V1695" s="153"/>
      <c r="W1695" s="151"/>
      <c r="X1695" s="151"/>
      <c r="Y1695" s="153"/>
      <c r="Z1695" s="151"/>
      <c r="AA1695" s="187" t="str">
        <f t="shared" si="53"/>
        <v>No</v>
      </c>
      <c r="AB1695" s="158"/>
      <c r="AC1695" s="159"/>
      <c r="AD1695" s="160"/>
    </row>
    <row r="1696" spans="1:30">
      <c r="A1696" s="155"/>
      <c r="B1696" s="112" t="str">
        <f t="shared" si="52"/>
        <v/>
      </c>
      <c r="C1696" s="183"/>
      <c r="D1696" s="152"/>
      <c r="E1696" s="152"/>
      <c r="F1696" s="151"/>
      <c r="G1696" s="153"/>
      <c r="H1696" s="151"/>
      <c r="I1696" s="151"/>
      <c r="J1696" s="151"/>
      <c r="K1696" s="151"/>
      <c r="L1696" s="151"/>
      <c r="M1696" s="151"/>
      <c r="N1696" s="151"/>
      <c r="O1696" s="151"/>
      <c r="P1696" s="151"/>
      <c r="Q1696" s="151"/>
      <c r="R1696" s="151"/>
      <c r="S1696" s="152"/>
      <c r="T1696" s="151"/>
      <c r="U1696" s="151"/>
      <c r="V1696" s="153"/>
      <c r="W1696" s="151"/>
      <c r="X1696" s="151"/>
      <c r="Y1696" s="153"/>
      <c r="Z1696" s="151"/>
      <c r="AA1696" s="187" t="str">
        <f t="shared" si="53"/>
        <v>No</v>
      </c>
      <c r="AB1696" s="158"/>
      <c r="AC1696" s="159"/>
      <c r="AD1696" s="160"/>
    </row>
    <row r="1697" spans="1:30">
      <c r="A1697" s="155"/>
      <c r="B1697" s="112" t="str">
        <f t="shared" si="52"/>
        <v/>
      </c>
      <c r="C1697" s="183"/>
      <c r="D1697" s="152"/>
      <c r="E1697" s="152"/>
      <c r="F1697" s="151"/>
      <c r="G1697" s="153"/>
      <c r="H1697" s="151"/>
      <c r="I1697" s="151"/>
      <c r="J1697" s="151"/>
      <c r="K1697" s="151"/>
      <c r="L1697" s="151"/>
      <c r="M1697" s="151"/>
      <c r="N1697" s="151"/>
      <c r="O1697" s="151"/>
      <c r="P1697" s="151"/>
      <c r="Q1697" s="151"/>
      <c r="R1697" s="151"/>
      <c r="S1697" s="152"/>
      <c r="T1697" s="151"/>
      <c r="U1697" s="151"/>
      <c r="V1697" s="153"/>
      <c r="W1697" s="151"/>
      <c r="X1697" s="151"/>
      <c r="Y1697" s="153"/>
      <c r="Z1697" s="151"/>
      <c r="AA1697" s="187" t="str">
        <f t="shared" si="53"/>
        <v>No</v>
      </c>
      <c r="AB1697" s="158"/>
      <c r="AC1697" s="159"/>
      <c r="AD1697" s="160"/>
    </row>
    <row r="1698" spans="1:30">
      <c r="A1698" s="155"/>
      <c r="B1698" s="112" t="str">
        <f t="shared" si="52"/>
        <v/>
      </c>
      <c r="C1698" s="183"/>
      <c r="D1698" s="152"/>
      <c r="E1698" s="152"/>
      <c r="F1698" s="151"/>
      <c r="G1698" s="153"/>
      <c r="H1698" s="151"/>
      <c r="I1698" s="151"/>
      <c r="J1698" s="151"/>
      <c r="K1698" s="151"/>
      <c r="L1698" s="151"/>
      <c r="M1698" s="151"/>
      <c r="N1698" s="151"/>
      <c r="O1698" s="151"/>
      <c r="P1698" s="151"/>
      <c r="Q1698" s="151"/>
      <c r="R1698" s="151"/>
      <c r="S1698" s="152"/>
      <c r="T1698" s="151"/>
      <c r="U1698" s="151"/>
      <c r="V1698" s="153"/>
      <c r="W1698" s="151"/>
      <c r="X1698" s="151"/>
      <c r="Y1698" s="153"/>
      <c r="Z1698" s="151"/>
      <c r="AA1698" s="187" t="str">
        <f t="shared" si="53"/>
        <v>No</v>
      </c>
      <c r="AB1698" s="158"/>
      <c r="AC1698" s="159"/>
      <c r="AD1698" s="160"/>
    </row>
    <row r="1699" spans="1:30">
      <c r="A1699" s="155"/>
      <c r="B1699" s="112" t="str">
        <f t="shared" si="52"/>
        <v/>
      </c>
      <c r="C1699" s="183"/>
      <c r="D1699" s="152"/>
      <c r="E1699" s="152"/>
      <c r="F1699" s="151"/>
      <c r="G1699" s="153"/>
      <c r="H1699" s="151"/>
      <c r="I1699" s="151"/>
      <c r="J1699" s="151"/>
      <c r="K1699" s="151"/>
      <c r="L1699" s="151"/>
      <c r="M1699" s="151"/>
      <c r="N1699" s="151"/>
      <c r="O1699" s="151"/>
      <c r="P1699" s="151"/>
      <c r="Q1699" s="151"/>
      <c r="R1699" s="151"/>
      <c r="S1699" s="152"/>
      <c r="T1699" s="151"/>
      <c r="U1699" s="151"/>
      <c r="V1699" s="153"/>
      <c r="W1699" s="151"/>
      <c r="X1699" s="151"/>
      <c r="Y1699" s="153"/>
      <c r="Z1699" s="151"/>
      <c r="AA1699" s="187" t="str">
        <f t="shared" si="53"/>
        <v>No</v>
      </c>
      <c r="AB1699" s="158"/>
      <c r="AC1699" s="159"/>
      <c r="AD1699" s="160"/>
    </row>
    <row r="1700" spans="1:30">
      <c r="A1700" s="155"/>
      <c r="B1700" s="112" t="str">
        <f t="shared" si="52"/>
        <v/>
      </c>
      <c r="C1700" s="183"/>
      <c r="D1700" s="152"/>
      <c r="E1700" s="152"/>
      <c r="F1700" s="151"/>
      <c r="G1700" s="153"/>
      <c r="H1700" s="151"/>
      <c r="I1700" s="151"/>
      <c r="J1700" s="151"/>
      <c r="K1700" s="151"/>
      <c r="L1700" s="151"/>
      <c r="M1700" s="151"/>
      <c r="N1700" s="151"/>
      <c r="O1700" s="151"/>
      <c r="P1700" s="151"/>
      <c r="Q1700" s="151"/>
      <c r="R1700" s="151"/>
      <c r="S1700" s="152"/>
      <c r="T1700" s="151"/>
      <c r="U1700" s="151"/>
      <c r="V1700" s="153"/>
      <c r="W1700" s="151"/>
      <c r="X1700" s="151"/>
      <c r="Y1700" s="153"/>
      <c r="Z1700" s="151"/>
      <c r="AA1700" s="187" t="str">
        <f t="shared" si="53"/>
        <v>No</v>
      </c>
      <c r="AB1700" s="158"/>
      <c r="AC1700" s="159"/>
      <c r="AD1700" s="160"/>
    </row>
    <row r="1701" spans="1:30">
      <c r="A1701" s="155"/>
      <c r="B1701" s="112" t="str">
        <f t="shared" si="52"/>
        <v/>
      </c>
      <c r="C1701" s="183"/>
      <c r="D1701" s="152"/>
      <c r="E1701" s="152"/>
      <c r="F1701" s="151"/>
      <c r="G1701" s="153"/>
      <c r="H1701" s="151"/>
      <c r="I1701" s="151"/>
      <c r="J1701" s="151"/>
      <c r="K1701" s="151"/>
      <c r="L1701" s="151"/>
      <c r="M1701" s="151"/>
      <c r="N1701" s="151"/>
      <c r="O1701" s="151"/>
      <c r="P1701" s="151"/>
      <c r="Q1701" s="151"/>
      <c r="R1701" s="151"/>
      <c r="S1701" s="152"/>
      <c r="T1701" s="151"/>
      <c r="U1701" s="151"/>
      <c r="V1701" s="153"/>
      <c r="W1701" s="151"/>
      <c r="X1701" s="151"/>
      <c r="Y1701" s="153"/>
      <c r="Z1701" s="151"/>
      <c r="AA1701" s="187" t="str">
        <f t="shared" si="53"/>
        <v>No</v>
      </c>
      <c r="AB1701" s="158"/>
      <c r="AC1701" s="159"/>
      <c r="AD1701" s="160"/>
    </row>
    <row r="1702" spans="1:30">
      <c r="A1702" s="155"/>
      <c r="B1702" s="112" t="str">
        <f t="shared" si="52"/>
        <v/>
      </c>
      <c r="C1702" s="183"/>
      <c r="D1702" s="152"/>
      <c r="E1702" s="152"/>
      <c r="F1702" s="151"/>
      <c r="G1702" s="153"/>
      <c r="H1702" s="151"/>
      <c r="I1702" s="151"/>
      <c r="J1702" s="151"/>
      <c r="K1702" s="151"/>
      <c r="L1702" s="151"/>
      <c r="M1702" s="151"/>
      <c r="N1702" s="151"/>
      <c r="O1702" s="151"/>
      <c r="P1702" s="151"/>
      <c r="Q1702" s="151"/>
      <c r="R1702" s="151"/>
      <c r="S1702" s="152"/>
      <c r="T1702" s="151"/>
      <c r="U1702" s="151"/>
      <c r="V1702" s="153"/>
      <c r="W1702" s="151"/>
      <c r="X1702" s="151"/>
      <c r="Y1702" s="153"/>
      <c r="Z1702" s="151"/>
      <c r="AA1702" s="187" t="str">
        <f t="shared" si="53"/>
        <v>No</v>
      </c>
      <c r="AB1702" s="158"/>
      <c r="AC1702" s="159"/>
      <c r="AD1702" s="160"/>
    </row>
    <row r="1703" spans="1:30">
      <c r="A1703" s="155"/>
      <c r="B1703" s="112" t="str">
        <f t="shared" si="52"/>
        <v/>
      </c>
      <c r="C1703" s="183"/>
      <c r="D1703" s="152"/>
      <c r="E1703" s="152"/>
      <c r="F1703" s="151"/>
      <c r="G1703" s="153"/>
      <c r="H1703" s="151"/>
      <c r="I1703" s="151"/>
      <c r="J1703" s="151"/>
      <c r="K1703" s="151"/>
      <c r="L1703" s="151"/>
      <c r="M1703" s="151"/>
      <c r="N1703" s="151"/>
      <c r="O1703" s="151"/>
      <c r="P1703" s="151"/>
      <c r="Q1703" s="151"/>
      <c r="R1703" s="151"/>
      <c r="S1703" s="152"/>
      <c r="T1703" s="151"/>
      <c r="U1703" s="151"/>
      <c r="V1703" s="153"/>
      <c r="W1703" s="151"/>
      <c r="X1703" s="151"/>
      <c r="Y1703" s="153"/>
      <c r="Z1703" s="151"/>
      <c r="AA1703" s="187" t="str">
        <f t="shared" si="53"/>
        <v>No</v>
      </c>
      <c r="AB1703" s="158"/>
      <c r="AC1703" s="159"/>
      <c r="AD1703" s="160"/>
    </row>
    <row r="1704" spans="1:30">
      <c r="A1704" s="155"/>
      <c r="B1704" s="112" t="str">
        <f t="shared" si="52"/>
        <v/>
      </c>
      <c r="C1704" s="183"/>
      <c r="D1704" s="152"/>
      <c r="E1704" s="152"/>
      <c r="F1704" s="151"/>
      <c r="G1704" s="153"/>
      <c r="H1704" s="151"/>
      <c r="I1704" s="151"/>
      <c r="J1704" s="151"/>
      <c r="K1704" s="151"/>
      <c r="L1704" s="151"/>
      <c r="M1704" s="151"/>
      <c r="N1704" s="151"/>
      <c r="O1704" s="151"/>
      <c r="P1704" s="151"/>
      <c r="Q1704" s="151"/>
      <c r="R1704" s="151"/>
      <c r="S1704" s="152"/>
      <c r="T1704" s="151"/>
      <c r="U1704" s="151"/>
      <c r="V1704" s="153"/>
      <c r="W1704" s="151"/>
      <c r="X1704" s="151"/>
      <c r="Y1704" s="153"/>
      <c r="Z1704" s="151"/>
      <c r="AA1704" s="187" t="str">
        <f t="shared" si="53"/>
        <v>No</v>
      </c>
      <c r="AB1704" s="158"/>
      <c r="AC1704" s="159"/>
      <c r="AD1704" s="160"/>
    </row>
    <row r="1705" spans="1:30">
      <c r="A1705" s="155"/>
      <c r="B1705" s="112" t="str">
        <f t="shared" si="52"/>
        <v/>
      </c>
      <c r="C1705" s="183"/>
      <c r="D1705" s="152"/>
      <c r="E1705" s="152"/>
      <c r="F1705" s="151"/>
      <c r="G1705" s="153"/>
      <c r="H1705" s="151"/>
      <c r="I1705" s="151"/>
      <c r="J1705" s="151"/>
      <c r="K1705" s="151"/>
      <c r="L1705" s="151"/>
      <c r="M1705" s="151"/>
      <c r="N1705" s="151"/>
      <c r="O1705" s="151"/>
      <c r="P1705" s="151"/>
      <c r="Q1705" s="151"/>
      <c r="R1705" s="151"/>
      <c r="S1705" s="152"/>
      <c r="T1705" s="151"/>
      <c r="U1705" s="151"/>
      <c r="V1705" s="153"/>
      <c r="W1705" s="151"/>
      <c r="X1705" s="151"/>
      <c r="Y1705" s="153"/>
      <c r="Z1705" s="151"/>
      <c r="AA1705" s="187" t="str">
        <f t="shared" si="53"/>
        <v>No</v>
      </c>
      <c r="AB1705" s="158"/>
      <c r="AC1705" s="159"/>
      <c r="AD1705" s="160"/>
    </row>
    <row r="1706" spans="1:30">
      <c r="A1706" s="155"/>
      <c r="B1706" s="112" t="str">
        <f t="shared" si="52"/>
        <v/>
      </c>
      <c r="C1706" s="183"/>
      <c r="D1706" s="152"/>
      <c r="E1706" s="152"/>
      <c r="F1706" s="151"/>
      <c r="G1706" s="153"/>
      <c r="H1706" s="151"/>
      <c r="I1706" s="151"/>
      <c r="J1706" s="151"/>
      <c r="K1706" s="151"/>
      <c r="L1706" s="151"/>
      <c r="M1706" s="151"/>
      <c r="N1706" s="151"/>
      <c r="O1706" s="151"/>
      <c r="P1706" s="151"/>
      <c r="Q1706" s="151"/>
      <c r="R1706" s="151"/>
      <c r="S1706" s="152"/>
      <c r="T1706" s="151"/>
      <c r="U1706" s="151"/>
      <c r="V1706" s="153"/>
      <c r="W1706" s="151"/>
      <c r="X1706" s="151"/>
      <c r="Y1706" s="153"/>
      <c r="Z1706" s="151"/>
      <c r="AA1706" s="187" t="str">
        <f t="shared" si="53"/>
        <v>No</v>
      </c>
      <c r="AB1706" s="158"/>
      <c r="AC1706" s="159"/>
      <c r="AD1706" s="160"/>
    </row>
    <row r="1707" spans="1:30">
      <c r="A1707" s="155"/>
      <c r="B1707" s="112" t="str">
        <f t="shared" si="52"/>
        <v/>
      </c>
      <c r="C1707" s="183"/>
      <c r="D1707" s="152"/>
      <c r="E1707" s="152"/>
      <c r="F1707" s="151"/>
      <c r="G1707" s="153"/>
      <c r="H1707" s="151"/>
      <c r="I1707" s="151"/>
      <c r="J1707" s="151"/>
      <c r="K1707" s="151"/>
      <c r="L1707" s="151"/>
      <c r="M1707" s="151"/>
      <c r="N1707" s="151"/>
      <c r="O1707" s="151"/>
      <c r="P1707" s="151"/>
      <c r="Q1707" s="151"/>
      <c r="R1707" s="151"/>
      <c r="S1707" s="152"/>
      <c r="T1707" s="151"/>
      <c r="U1707" s="151"/>
      <c r="V1707" s="153"/>
      <c r="W1707" s="151"/>
      <c r="X1707" s="151"/>
      <c r="Y1707" s="153"/>
      <c r="Z1707" s="151"/>
      <c r="AA1707" s="187" t="str">
        <f t="shared" si="53"/>
        <v>No</v>
      </c>
      <c r="AB1707" s="158"/>
      <c r="AC1707" s="159"/>
      <c r="AD1707" s="160"/>
    </row>
    <row r="1708" spans="1:30">
      <c r="A1708" s="155"/>
      <c r="B1708" s="112" t="str">
        <f t="shared" si="52"/>
        <v/>
      </c>
      <c r="C1708" s="183"/>
      <c r="D1708" s="152"/>
      <c r="E1708" s="152"/>
      <c r="F1708" s="151"/>
      <c r="G1708" s="153"/>
      <c r="H1708" s="151"/>
      <c r="I1708" s="151"/>
      <c r="J1708" s="151"/>
      <c r="K1708" s="151"/>
      <c r="L1708" s="151"/>
      <c r="M1708" s="151"/>
      <c r="N1708" s="151"/>
      <c r="O1708" s="151"/>
      <c r="P1708" s="151"/>
      <c r="Q1708" s="151"/>
      <c r="R1708" s="151"/>
      <c r="S1708" s="152"/>
      <c r="T1708" s="151"/>
      <c r="U1708" s="151"/>
      <c r="V1708" s="153"/>
      <c r="W1708" s="151"/>
      <c r="X1708" s="151"/>
      <c r="Y1708" s="153"/>
      <c r="Z1708" s="151"/>
      <c r="AA1708" s="187" t="str">
        <f t="shared" si="53"/>
        <v>No</v>
      </c>
      <c r="AB1708" s="158"/>
      <c r="AC1708" s="159"/>
      <c r="AD1708" s="160"/>
    </row>
    <row r="1709" spans="1:30">
      <c r="A1709" s="155"/>
      <c r="B1709" s="112" t="str">
        <f t="shared" si="52"/>
        <v/>
      </c>
      <c r="C1709" s="183"/>
      <c r="D1709" s="152"/>
      <c r="E1709" s="152"/>
      <c r="F1709" s="151"/>
      <c r="G1709" s="153"/>
      <c r="H1709" s="151"/>
      <c r="I1709" s="151"/>
      <c r="J1709" s="151"/>
      <c r="K1709" s="151"/>
      <c r="L1709" s="151"/>
      <c r="M1709" s="151"/>
      <c r="N1709" s="151"/>
      <c r="O1709" s="151"/>
      <c r="P1709" s="151"/>
      <c r="Q1709" s="151"/>
      <c r="R1709" s="151"/>
      <c r="S1709" s="152"/>
      <c r="T1709" s="151"/>
      <c r="U1709" s="151"/>
      <c r="V1709" s="153"/>
      <c r="W1709" s="151"/>
      <c r="X1709" s="151"/>
      <c r="Y1709" s="153"/>
      <c r="Z1709" s="151"/>
      <c r="AA1709" s="187" t="str">
        <f t="shared" si="53"/>
        <v>No</v>
      </c>
      <c r="AB1709" s="158"/>
      <c r="AC1709" s="159"/>
      <c r="AD1709" s="160"/>
    </row>
    <row r="1710" spans="1:30">
      <c r="A1710" s="155"/>
      <c r="B1710" s="112" t="str">
        <f t="shared" si="52"/>
        <v/>
      </c>
      <c r="C1710" s="183"/>
      <c r="D1710" s="152"/>
      <c r="E1710" s="152"/>
      <c r="F1710" s="151"/>
      <c r="G1710" s="153"/>
      <c r="H1710" s="151"/>
      <c r="I1710" s="151"/>
      <c r="J1710" s="151"/>
      <c r="K1710" s="151"/>
      <c r="L1710" s="151"/>
      <c r="M1710" s="151"/>
      <c r="N1710" s="151"/>
      <c r="O1710" s="151"/>
      <c r="P1710" s="151"/>
      <c r="Q1710" s="151"/>
      <c r="R1710" s="151"/>
      <c r="S1710" s="152"/>
      <c r="T1710" s="151"/>
      <c r="U1710" s="151"/>
      <c r="V1710" s="153"/>
      <c r="W1710" s="151"/>
      <c r="X1710" s="151"/>
      <c r="Y1710" s="153"/>
      <c r="Z1710" s="151"/>
      <c r="AA1710" s="187" t="str">
        <f t="shared" si="53"/>
        <v>No</v>
      </c>
      <c r="AB1710" s="158"/>
      <c r="AC1710" s="159"/>
      <c r="AD1710" s="160"/>
    </row>
    <row r="1711" spans="1:30">
      <c r="A1711" s="155"/>
      <c r="B1711" s="112" t="str">
        <f t="shared" si="52"/>
        <v/>
      </c>
      <c r="C1711" s="183"/>
      <c r="D1711" s="152"/>
      <c r="E1711" s="152"/>
      <c r="F1711" s="151"/>
      <c r="G1711" s="153"/>
      <c r="H1711" s="151"/>
      <c r="I1711" s="151"/>
      <c r="J1711" s="151"/>
      <c r="K1711" s="151"/>
      <c r="L1711" s="151"/>
      <c r="M1711" s="151"/>
      <c r="N1711" s="151"/>
      <c r="O1711" s="151"/>
      <c r="P1711" s="151"/>
      <c r="Q1711" s="151"/>
      <c r="R1711" s="151"/>
      <c r="S1711" s="152"/>
      <c r="T1711" s="151"/>
      <c r="U1711" s="151"/>
      <c r="V1711" s="153"/>
      <c r="W1711" s="151"/>
      <c r="X1711" s="151"/>
      <c r="Y1711" s="153"/>
      <c r="Z1711" s="151"/>
      <c r="AA1711" s="187" t="str">
        <f t="shared" si="53"/>
        <v>No</v>
      </c>
      <c r="AB1711" s="158"/>
      <c r="AC1711" s="159"/>
      <c r="AD1711" s="160"/>
    </row>
    <row r="1712" spans="1:30">
      <c r="A1712" s="155"/>
      <c r="B1712" s="112" t="str">
        <f t="shared" si="52"/>
        <v/>
      </c>
      <c r="C1712" s="183"/>
      <c r="D1712" s="152"/>
      <c r="E1712" s="152"/>
      <c r="F1712" s="151"/>
      <c r="G1712" s="153"/>
      <c r="H1712" s="151"/>
      <c r="I1712" s="151"/>
      <c r="J1712" s="151"/>
      <c r="K1712" s="151"/>
      <c r="L1712" s="151"/>
      <c r="M1712" s="151"/>
      <c r="N1712" s="151"/>
      <c r="O1712" s="151"/>
      <c r="P1712" s="151"/>
      <c r="Q1712" s="151"/>
      <c r="R1712" s="151"/>
      <c r="S1712" s="152"/>
      <c r="T1712" s="151"/>
      <c r="U1712" s="151"/>
      <c r="V1712" s="153"/>
      <c r="W1712" s="151"/>
      <c r="X1712" s="151"/>
      <c r="Y1712" s="153"/>
      <c r="Z1712" s="151"/>
      <c r="AA1712" s="187" t="str">
        <f t="shared" si="53"/>
        <v>No</v>
      </c>
      <c r="AB1712" s="158"/>
      <c r="AC1712" s="159"/>
      <c r="AD1712" s="160"/>
    </row>
    <row r="1713" spans="1:30">
      <c r="A1713" s="155"/>
      <c r="B1713" s="112" t="str">
        <f t="shared" si="52"/>
        <v/>
      </c>
      <c r="C1713" s="183"/>
      <c r="D1713" s="152"/>
      <c r="E1713" s="152"/>
      <c r="F1713" s="151"/>
      <c r="G1713" s="153"/>
      <c r="H1713" s="151"/>
      <c r="I1713" s="151"/>
      <c r="J1713" s="151"/>
      <c r="K1713" s="151"/>
      <c r="L1713" s="151"/>
      <c r="M1713" s="151"/>
      <c r="N1713" s="151"/>
      <c r="O1713" s="151"/>
      <c r="P1713" s="151"/>
      <c r="Q1713" s="151"/>
      <c r="R1713" s="151"/>
      <c r="S1713" s="152"/>
      <c r="T1713" s="151"/>
      <c r="U1713" s="151"/>
      <c r="V1713" s="153"/>
      <c r="W1713" s="151"/>
      <c r="X1713" s="151"/>
      <c r="Y1713" s="153"/>
      <c r="Z1713" s="151"/>
      <c r="AA1713" s="187" t="str">
        <f t="shared" si="53"/>
        <v>No</v>
      </c>
      <c r="AB1713" s="158"/>
      <c r="AC1713" s="159"/>
      <c r="AD1713" s="160"/>
    </row>
    <row r="1714" spans="1:30">
      <c r="A1714" s="155"/>
      <c r="B1714" s="112" t="str">
        <f t="shared" si="52"/>
        <v/>
      </c>
      <c r="C1714" s="183"/>
      <c r="D1714" s="152"/>
      <c r="E1714" s="152"/>
      <c r="F1714" s="151"/>
      <c r="G1714" s="153"/>
      <c r="H1714" s="151"/>
      <c r="I1714" s="151"/>
      <c r="J1714" s="151"/>
      <c r="K1714" s="151"/>
      <c r="L1714" s="151"/>
      <c r="M1714" s="151"/>
      <c r="N1714" s="151"/>
      <c r="O1714" s="151"/>
      <c r="P1714" s="151"/>
      <c r="Q1714" s="151"/>
      <c r="R1714" s="151"/>
      <c r="S1714" s="152"/>
      <c r="T1714" s="151"/>
      <c r="U1714" s="151"/>
      <c r="V1714" s="153"/>
      <c r="W1714" s="151"/>
      <c r="X1714" s="151"/>
      <c r="Y1714" s="153"/>
      <c r="Z1714" s="151"/>
      <c r="AA1714" s="187" t="str">
        <f t="shared" si="53"/>
        <v>No</v>
      </c>
      <c r="AB1714" s="158"/>
      <c r="AC1714" s="159"/>
      <c r="AD1714" s="160"/>
    </row>
    <row r="1715" spans="1:30">
      <c r="A1715" s="155"/>
      <c r="B1715" s="112" t="str">
        <f t="shared" si="52"/>
        <v/>
      </c>
      <c r="C1715" s="183"/>
      <c r="D1715" s="152"/>
      <c r="E1715" s="152"/>
      <c r="F1715" s="151"/>
      <c r="G1715" s="153"/>
      <c r="H1715" s="151"/>
      <c r="I1715" s="151"/>
      <c r="J1715" s="151"/>
      <c r="K1715" s="151"/>
      <c r="L1715" s="151"/>
      <c r="M1715" s="151"/>
      <c r="N1715" s="151"/>
      <c r="O1715" s="151"/>
      <c r="P1715" s="151"/>
      <c r="Q1715" s="151"/>
      <c r="R1715" s="151"/>
      <c r="S1715" s="152"/>
      <c r="T1715" s="151"/>
      <c r="U1715" s="151"/>
      <c r="V1715" s="153"/>
      <c r="W1715" s="151"/>
      <c r="X1715" s="151"/>
      <c r="Y1715" s="153"/>
      <c r="Z1715" s="151"/>
      <c r="AA1715" s="187" t="str">
        <f t="shared" si="53"/>
        <v>No</v>
      </c>
      <c r="AB1715" s="158"/>
      <c r="AC1715" s="159"/>
      <c r="AD1715" s="160"/>
    </row>
    <row r="1716" spans="1:30">
      <c r="A1716" s="155"/>
      <c r="B1716" s="112" t="str">
        <f t="shared" si="52"/>
        <v/>
      </c>
      <c r="C1716" s="183"/>
      <c r="D1716" s="152"/>
      <c r="E1716" s="152"/>
      <c r="F1716" s="151"/>
      <c r="G1716" s="153"/>
      <c r="H1716" s="151"/>
      <c r="I1716" s="151"/>
      <c r="J1716" s="151"/>
      <c r="K1716" s="151"/>
      <c r="L1716" s="151"/>
      <c r="M1716" s="151"/>
      <c r="N1716" s="151"/>
      <c r="O1716" s="151"/>
      <c r="P1716" s="151"/>
      <c r="Q1716" s="151"/>
      <c r="R1716" s="151"/>
      <c r="S1716" s="152"/>
      <c r="T1716" s="151"/>
      <c r="U1716" s="151"/>
      <c r="V1716" s="153"/>
      <c r="W1716" s="151"/>
      <c r="X1716" s="151"/>
      <c r="Y1716" s="153"/>
      <c r="Z1716" s="151"/>
      <c r="AA1716" s="187" t="str">
        <f t="shared" si="53"/>
        <v>No</v>
      </c>
      <c r="AB1716" s="158"/>
      <c r="AC1716" s="159"/>
      <c r="AD1716" s="160"/>
    </row>
    <row r="1717" spans="1:30">
      <c r="A1717" s="155"/>
      <c r="B1717" s="112" t="str">
        <f t="shared" si="52"/>
        <v/>
      </c>
      <c r="C1717" s="183"/>
      <c r="D1717" s="152"/>
      <c r="E1717" s="152"/>
      <c r="F1717" s="151"/>
      <c r="G1717" s="153"/>
      <c r="H1717" s="151"/>
      <c r="I1717" s="151"/>
      <c r="J1717" s="151"/>
      <c r="K1717" s="151"/>
      <c r="L1717" s="151"/>
      <c r="M1717" s="151"/>
      <c r="N1717" s="151"/>
      <c r="O1717" s="151"/>
      <c r="P1717" s="151"/>
      <c r="Q1717" s="151"/>
      <c r="R1717" s="151"/>
      <c r="S1717" s="152"/>
      <c r="T1717" s="151"/>
      <c r="U1717" s="151"/>
      <c r="V1717" s="153"/>
      <c r="W1717" s="151"/>
      <c r="X1717" s="151"/>
      <c r="Y1717" s="153"/>
      <c r="Z1717" s="151"/>
      <c r="AA1717" s="187" t="str">
        <f t="shared" si="53"/>
        <v>No</v>
      </c>
      <c r="AB1717" s="158"/>
      <c r="AC1717" s="159"/>
      <c r="AD1717" s="160"/>
    </row>
    <row r="1718" spans="1:30">
      <c r="A1718" s="155"/>
      <c r="B1718" s="112" t="str">
        <f t="shared" si="52"/>
        <v/>
      </c>
      <c r="C1718" s="183"/>
      <c r="D1718" s="152"/>
      <c r="E1718" s="152"/>
      <c r="F1718" s="151"/>
      <c r="G1718" s="153"/>
      <c r="H1718" s="151"/>
      <c r="I1718" s="151"/>
      <c r="J1718" s="151"/>
      <c r="K1718" s="151"/>
      <c r="L1718" s="151"/>
      <c r="M1718" s="151"/>
      <c r="N1718" s="151"/>
      <c r="O1718" s="151"/>
      <c r="P1718" s="151"/>
      <c r="Q1718" s="151"/>
      <c r="R1718" s="151"/>
      <c r="S1718" s="152"/>
      <c r="T1718" s="151"/>
      <c r="U1718" s="151"/>
      <c r="V1718" s="153"/>
      <c r="W1718" s="151"/>
      <c r="X1718" s="151"/>
      <c r="Y1718" s="153"/>
      <c r="Z1718" s="151"/>
      <c r="AA1718" s="187" t="str">
        <f t="shared" si="53"/>
        <v>No</v>
      </c>
      <c r="AB1718" s="158"/>
      <c r="AC1718" s="159"/>
      <c r="AD1718" s="160"/>
    </row>
    <row r="1719" spans="1:30">
      <c r="A1719" s="155"/>
      <c r="B1719" s="112" t="str">
        <f t="shared" si="52"/>
        <v/>
      </c>
      <c r="C1719" s="183"/>
      <c r="D1719" s="152"/>
      <c r="E1719" s="152"/>
      <c r="F1719" s="151"/>
      <c r="G1719" s="153"/>
      <c r="H1719" s="151"/>
      <c r="I1719" s="151"/>
      <c r="J1719" s="151"/>
      <c r="K1719" s="151"/>
      <c r="L1719" s="151"/>
      <c r="M1719" s="151"/>
      <c r="N1719" s="151"/>
      <c r="O1719" s="151"/>
      <c r="P1719" s="151"/>
      <c r="Q1719" s="151"/>
      <c r="R1719" s="151"/>
      <c r="S1719" s="152"/>
      <c r="T1719" s="151"/>
      <c r="U1719" s="151"/>
      <c r="V1719" s="153"/>
      <c r="W1719" s="151"/>
      <c r="X1719" s="151"/>
      <c r="Y1719" s="153"/>
      <c r="Z1719" s="151"/>
      <c r="AA1719" s="187" t="str">
        <f t="shared" si="53"/>
        <v>No</v>
      </c>
      <c r="AB1719" s="158"/>
      <c r="AC1719" s="159"/>
      <c r="AD1719" s="160"/>
    </row>
    <row r="1720" spans="1:30">
      <c r="A1720" s="155"/>
      <c r="B1720" s="112" t="str">
        <f t="shared" si="52"/>
        <v/>
      </c>
      <c r="C1720" s="183"/>
      <c r="D1720" s="152"/>
      <c r="E1720" s="152"/>
      <c r="F1720" s="151"/>
      <c r="G1720" s="153"/>
      <c r="H1720" s="151"/>
      <c r="I1720" s="151"/>
      <c r="J1720" s="151"/>
      <c r="K1720" s="151"/>
      <c r="L1720" s="151"/>
      <c r="M1720" s="151"/>
      <c r="N1720" s="151"/>
      <c r="O1720" s="151"/>
      <c r="P1720" s="151"/>
      <c r="Q1720" s="151"/>
      <c r="R1720" s="151"/>
      <c r="S1720" s="152"/>
      <c r="T1720" s="151"/>
      <c r="U1720" s="151"/>
      <c r="V1720" s="153"/>
      <c r="W1720" s="151"/>
      <c r="X1720" s="151"/>
      <c r="Y1720" s="153"/>
      <c r="Z1720" s="151"/>
      <c r="AA1720" s="187" t="str">
        <f t="shared" si="53"/>
        <v>No</v>
      </c>
      <c r="AB1720" s="158"/>
      <c r="AC1720" s="159"/>
      <c r="AD1720" s="160"/>
    </row>
    <row r="1721" spans="1:30">
      <c r="A1721" s="155"/>
      <c r="B1721" s="112" t="str">
        <f t="shared" si="52"/>
        <v/>
      </c>
      <c r="C1721" s="183"/>
      <c r="D1721" s="152"/>
      <c r="E1721" s="152"/>
      <c r="F1721" s="151"/>
      <c r="G1721" s="153"/>
      <c r="H1721" s="151"/>
      <c r="I1721" s="151"/>
      <c r="J1721" s="151"/>
      <c r="K1721" s="151"/>
      <c r="L1721" s="151"/>
      <c r="M1721" s="151"/>
      <c r="N1721" s="151"/>
      <c r="O1721" s="151"/>
      <c r="P1721" s="151"/>
      <c r="Q1721" s="151"/>
      <c r="R1721" s="151"/>
      <c r="S1721" s="152"/>
      <c r="T1721" s="151"/>
      <c r="U1721" s="151"/>
      <c r="V1721" s="153"/>
      <c r="W1721" s="151"/>
      <c r="X1721" s="151"/>
      <c r="Y1721" s="153"/>
      <c r="Z1721" s="151"/>
      <c r="AA1721" s="187" t="str">
        <f t="shared" si="53"/>
        <v>No</v>
      </c>
      <c r="AB1721" s="158"/>
      <c r="AC1721" s="159"/>
      <c r="AD1721" s="160"/>
    </row>
    <row r="1722" spans="1:30">
      <c r="A1722" s="155"/>
      <c r="B1722" s="112" t="str">
        <f t="shared" si="52"/>
        <v/>
      </c>
      <c r="C1722" s="183"/>
      <c r="D1722" s="152"/>
      <c r="E1722" s="152"/>
      <c r="F1722" s="151"/>
      <c r="G1722" s="153"/>
      <c r="H1722" s="151"/>
      <c r="I1722" s="151"/>
      <c r="J1722" s="151"/>
      <c r="K1722" s="151"/>
      <c r="L1722" s="151"/>
      <c r="M1722" s="151"/>
      <c r="N1722" s="151"/>
      <c r="O1722" s="151"/>
      <c r="P1722" s="151"/>
      <c r="Q1722" s="151"/>
      <c r="R1722" s="151"/>
      <c r="S1722" s="152"/>
      <c r="T1722" s="151"/>
      <c r="U1722" s="151"/>
      <c r="V1722" s="153"/>
      <c r="W1722" s="151"/>
      <c r="X1722" s="151"/>
      <c r="Y1722" s="153"/>
      <c r="Z1722" s="151"/>
      <c r="AA1722" s="187" t="str">
        <f t="shared" si="53"/>
        <v>No</v>
      </c>
      <c r="AB1722" s="158"/>
      <c r="AC1722" s="159"/>
      <c r="AD1722" s="160"/>
    </row>
    <row r="1723" spans="1:30">
      <c r="A1723" s="155"/>
      <c r="B1723" s="112" t="str">
        <f t="shared" si="52"/>
        <v/>
      </c>
      <c r="C1723" s="183"/>
      <c r="D1723" s="152"/>
      <c r="E1723" s="152"/>
      <c r="F1723" s="151"/>
      <c r="G1723" s="153"/>
      <c r="H1723" s="151"/>
      <c r="I1723" s="151"/>
      <c r="J1723" s="151"/>
      <c r="K1723" s="151"/>
      <c r="L1723" s="151"/>
      <c r="M1723" s="151"/>
      <c r="N1723" s="151"/>
      <c r="O1723" s="151"/>
      <c r="P1723" s="151"/>
      <c r="Q1723" s="151"/>
      <c r="R1723" s="151"/>
      <c r="S1723" s="152"/>
      <c r="T1723" s="151"/>
      <c r="U1723" s="151"/>
      <c r="V1723" s="153"/>
      <c r="W1723" s="151"/>
      <c r="X1723" s="151"/>
      <c r="Y1723" s="153"/>
      <c r="Z1723" s="151"/>
      <c r="AA1723" s="187" t="str">
        <f t="shared" si="53"/>
        <v>No</v>
      </c>
      <c r="AB1723" s="158"/>
      <c r="AC1723" s="159"/>
      <c r="AD1723" s="160"/>
    </row>
    <row r="1724" spans="1:30">
      <c r="A1724" s="155"/>
      <c r="B1724" s="112" t="str">
        <f t="shared" si="52"/>
        <v/>
      </c>
      <c r="C1724" s="183"/>
      <c r="D1724" s="152"/>
      <c r="E1724" s="152"/>
      <c r="F1724" s="151"/>
      <c r="G1724" s="153"/>
      <c r="H1724" s="151"/>
      <c r="I1724" s="151"/>
      <c r="J1724" s="151"/>
      <c r="K1724" s="151"/>
      <c r="L1724" s="151"/>
      <c r="M1724" s="151"/>
      <c r="N1724" s="151"/>
      <c r="O1724" s="151"/>
      <c r="P1724" s="151"/>
      <c r="Q1724" s="151"/>
      <c r="R1724" s="151"/>
      <c r="S1724" s="152"/>
      <c r="T1724" s="151"/>
      <c r="U1724" s="151"/>
      <c r="V1724" s="153"/>
      <c r="W1724" s="151"/>
      <c r="X1724" s="151"/>
      <c r="Y1724" s="153"/>
      <c r="Z1724" s="151"/>
      <c r="AA1724" s="187" t="str">
        <f t="shared" si="53"/>
        <v>No</v>
      </c>
      <c r="AB1724" s="158"/>
      <c r="AC1724" s="159"/>
      <c r="AD1724" s="160"/>
    </row>
    <row r="1725" spans="1:30">
      <c r="A1725" s="155"/>
      <c r="B1725" s="112" t="str">
        <f t="shared" si="52"/>
        <v/>
      </c>
      <c r="C1725" s="183"/>
      <c r="D1725" s="152"/>
      <c r="E1725" s="152"/>
      <c r="F1725" s="151"/>
      <c r="G1725" s="153"/>
      <c r="H1725" s="151"/>
      <c r="I1725" s="151"/>
      <c r="J1725" s="151"/>
      <c r="K1725" s="151"/>
      <c r="L1725" s="151"/>
      <c r="M1725" s="151"/>
      <c r="N1725" s="151"/>
      <c r="O1725" s="151"/>
      <c r="P1725" s="151"/>
      <c r="Q1725" s="151"/>
      <c r="R1725" s="151"/>
      <c r="S1725" s="152"/>
      <c r="T1725" s="151"/>
      <c r="U1725" s="151"/>
      <c r="V1725" s="153"/>
      <c r="W1725" s="151"/>
      <c r="X1725" s="151"/>
      <c r="Y1725" s="153"/>
      <c r="Z1725" s="151"/>
      <c r="AA1725" s="187" t="str">
        <f t="shared" si="53"/>
        <v>No</v>
      </c>
      <c r="AB1725" s="158"/>
      <c r="AC1725" s="159"/>
      <c r="AD1725" s="160"/>
    </row>
    <row r="1726" spans="1:30">
      <c r="A1726" s="155"/>
      <c r="B1726" s="112" t="str">
        <f t="shared" si="52"/>
        <v/>
      </c>
      <c r="C1726" s="183"/>
      <c r="D1726" s="152"/>
      <c r="E1726" s="152"/>
      <c r="F1726" s="151"/>
      <c r="G1726" s="153"/>
      <c r="H1726" s="151"/>
      <c r="I1726" s="151"/>
      <c r="J1726" s="151"/>
      <c r="K1726" s="151"/>
      <c r="L1726" s="151"/>
      <c r="M1726" s="151"/>
      <c r="N1726" s="151"/>
      <c r="O1726" s="151"/>
      <c r="P1726" s="151"/>
      <c r="Q1726" s="151"/>
      <c r="R1726" s="151"/>
      <c r="S1726" s="152"/>
      <c r="T1726" s="151"/>
      <c r="U1726" s="151"/>
      <c r="V1726" s="153"/>
      <c r="W1726" s="151"/>
      <c r="X1726" s="151"/>
      <c r="Y1726" s="153"/>
      <c r="Z1726" s="151"/>
      <c r="AA1726" s="187" t="str">
        <f t="shared" si="53"/>
        <v>No</v>
      </c>
      <c r="AB1726" s="158"/>
      <c r="AC1726" s="159"/>
      <c r="AD1726" s="160"/>
    </row>
    <row r="1727" spans="1:30">
      <c r="A1727" s="155"/>
      <c r="B1727" s="112" t="str">
        <f t="shared" si="52"/>
        <v/>
      </c>
      <c r="C1727" s="183"/>
      <c r="D1727" s="152"/>
      <c r="E1727" s="152"/>
      <c r="F1727" s="151"/>
      <c r="G1727" s="153"/>
      <c r="H1727" s="151"/>
      <c r="I1727" s="151"/>
      <c r="J1727" s="151"/>
      <c r="K1727" s="151"/>
      <c r="L1727" s="151"/>
      <c r="M1727" s="151"/>
      <c r="N1727" s="151"/>
      <c r="O1727" s="151"/>
      <c r="P1727" s="151"/>
      <c r="Q1727" s="151"/>
      <c r="R1727" s="151"/>
      <c r="S1727" s="152"/>
      <c r="T1727" s="151"/>
      <c r="U1727" s="151"/>
      <c r="V1727" s="153"/>
      <c r="W1727" s="151"/>
      <c r="X1727" s="151"/>
      <c r="Y1727" s="153"/>
      <c r="Z1727" s="151"/>
      <c r="AA1727" s="187" t="str">
        <f t="shared" si="53"/>
        <v>No</v>
      </c>
      <c r="AB1727" s="158"/>
      <c r="AC1727" s="159"/>
      <c r="AD1727" s="160"/>
    </row>
    <row r="1728" spans="1:30">
      <c r="A1728" s="155"/>
      <c r="B1728" s="112" t="str">
        <f t="shared" si="52"/>
        <v/>
      </c>
      <c r="C1728" s="183"/>
      <c r="D1728" s="152"/>
      <c r="E1728" s="152"/>
      <c r="F1728" s="151"/>
      <c r="G1728" s="153"/>
      <c r="H1728" s="151"/>
      <c r="I1728" s="151"/>
      <c r="J1728" s="151"/>
      <c r="K1728" s="151"/>
      <c r="L1728" s="151"/>
      <c r="M1728" s="151"/>
      <c r="N1728" s="151"/>
      <c r="O1728" s="151"/>
      <c r="P1728" s="151"/>
      <c r="Q1728" s="151"/>
      <c r="R1728" s="151"/>
      <c r="S1728" s="152"/>
      <c r="T1728" s="151"/>
      <c r="U1728" s="151"/>
      <c r="V1728" s="153"/>
      <c r="W1728" s="151"/>
      <c r="X1728" s="151"/>
      <c r="Y1728" s="153"/>
      <c r="Z1728" s="151"/>
      <c r="AA1728" s="187" t="str">
        <f t="shared" si="53"/>
        <v>No</v>
      </c>
      <c r="AB1728" s="158"/>
      <c r="AC1728" s="159"/>
      <c r="AD1728" s="160"/>
    </row>
    <row r="1729" spans="1:30">
      <c r="A1729" s="155"/>
      <c r="B1729" s="112" t="str">
        <f t="shared" si="52"/>
        <v/>
      </c>
      <c r="C1729" s="183"/>
      <c r="D1729" s="152"/>
      <c r="E1729" s="152"/>
      <c r="F1729" s="151"/>
      <c r="G1729" s="153"/>
      <c r="H1729" s="151"/>
      <c r="I1729" s="151"/>
      <c r="J1729" s="151"/>
      <c r="K1729" s="151"/>
      <c r="L1729" s="151"/>
      <c r="M1729" s="151"/>
      <c r="N1729" s="151"/>
      <c r="O1729" s="151"/>
      <c r="P1729" s="151"/>
      <c r="Q1729" s="151"/>
      <c r="R1729" s="151"/>
      <c r="S1729" s="152"/>
      <c r="T1729" s="151"/>
      <c r="U1729" s="151"/>
      <c r="V1729" s="153"/>
      <c r="W1729" s="151"/>
      <c r="X1729" s="151"/>
      <c r="Y1729" s="153"/>
      <c r="Z1729" s="151"/>
      <c r="AA1729" s="187" t="str">
        <f t="shared" si="53"/>
        <v>No</v>
      </c>
      <c r="AB1729" s="158"/>
      <c r="AC1729" s="159"/>
      <c r="AD1729" s="160"/>
    </row>
    <row r="1730" spans="1:30">
      <c r="A1730" s="155"/>
      <c r="B1730" s="112" t="str">
        <f t="shared" si="52"/>
        <v/>
      </c>
      <c r="C1730" s="183"/>
      <c r="D1730" s="152"/>
      <c r="E1730" s="152"/>
      <c r="F1730" s="151"/>
      <c r="G1730" s="153"/>
      <c r="H1730" s="151"/>
      <c r="I1730" s="151"/>
      <c r="J1730" s="151"/>
      <c r="K1730" s="151"/>
      <c r="L1730" s="151"/>
      <c r="M1730" s="151"/>
      <c r="N1730" s="151"/>
      <c r="O1730" s="151"/>
      <c r="P1730" s="151"/>
      <c r="Q1730" s="151"/>
      <c r="R1730" s="151"/>
      <c r="S1730" s="152"/>
      <c r="T1730" s="151"/>
      <c r="U1730" s="151"/>
      <c r="V1730" s="153"/>
      <c r="W1730" s="151"/>
      <c r="X1730" s="151"/>
      <c r="Y1730" s="153"/>
      <c r="Z1730" s="151"/>
      <c r="AA1730" s="187" t="str">
        <f t="shared" si="53"/>
        <v>No</v>
      </c>
      <c r="AB1730" s="158"/>
      <c r="AC1730" s="159"/>
      <c r="AD1730" s="160"/>
    </row>
    <row r="1731" spans="1:30">
      <c r="A1731" s="155"/>
      <c r="B1731" s="112" t="str">
        <f t="shared" si="52"/>
        <v/>
      </c>
      <c r="C1731" s="183"/>
      <c r="D1731" s="152"/>
      <c r="E1731" s="152"/>
      <c r="F1731" s="151"/>
      <c r="G1731" s="153"/>
      <c r="H1731" s="151"/>
      <c r="I1731" s="151"/>
      <c r="J1731" s="151"/>
      <c r="K1731" s="151"/>
      <c r="L1731" s="151"/>
      <c r="M1731" s="151"/>
      <c r="N1731" s="151"/>
      <c r="O1731" s="151"/>
      <c r="P1731" s="151"/>
      <c r="Q1731" s="151"/>
      <c r="R1731" s="151"/>
      <c r="S1731" s="152"/>
      <c r="T1731" s="151"/>
      <c r="U1731" s="151"/>
      <c r="V1731" s="153"/>
      <c r="W1731" s="151"/>
      <c r="X1731" s="151"/>
      <c r="Y1731" s="153"/>
      <c r="Z1731" s="151"/>
      <c r="AA1731" s="187" t="str">
        <f t="shared" si="53"/>
        <v>No</v>
      </c>
      <c r="AB1731" s="158"/>
      <c r="AC1731" s="159"/>
      <c r="AD1731" s="160"/>
    </row>
    <row r="1732" spans="1:30">
      <c r="A1732" s="155"/>
      <c r="B1732" s="112" t="str">
        <f t="shared" si="52"/>
        <v/>
      </c>
      <c r="C1732" s="183"/>
      <c r="D1732" s="152"/>
      <c r="E1732" s="152"/>
      <c r="F1732" s="151"/>
      <c r="G1732" s="153"/>
      <c r="H1732" s="151"/>
      <c r="I1732" s="151"/>
      <c r="J1732" s="151"/>
      <c r="K1732" s="151"/>
      <c r="L1732" s="151"/>
      <c r="M1732" s="151"/>
      <c r="N1732" s="151"/>
      <c r="O1732" s="151"/>
      <c r="P1732" s="151"/>
      <c r="Q1732" s="151"/>
      <c r="R1732" s="151"/>
      <c r="S1732" s="152"/>
      <c r="T1732" s="151"/>
      <c r="U1732" s="151"/>
      <c r="V1732" s="153"/>
      <c r="W1732" s="151"/>
      <c r="X1732" s="151"/>
      <c r="Y1732" s="153"/>
      <c r="Z1732" s="151"/>
      <c r="AA1732" s="187" t="str">
        <f t="shared" si="53"/>
        <v>No</v>
      </c>
      <c r="AB1732" s="158"/>
      <c r="AC1732" s="159"/>
      <c r="AD1732" s="160"/>
    </row>
    <row r="1733" spans="1:30">
      <c r="A1733" s="155"/>
      <c r="B1733" s="112" t="str">
        <f t="shared" ref="B1733:B1796" si="54">IF(AND(A1733&lt;&gt;"",D1733&lt;&gt;"",J1733&lt;&gt;"",N1733&lt;&gt;""),TEXT(D1733,"YY")&amp;"-"&amp;TEXT(D1733,"MMM")&amp;"-"&amp;UPPER(LEFT(TRIM(N1733),2))&amp;"-"&amp;UPPER(LEFT(TRIM(J1733),3))&amp;"-"&amp;A1733,"")</f>
        <v/>
      </c>
      <c r="C1733" s="183"/>
      <c r="D1733" s="152"/>
      <c r="E1733" s="152"/>
      <c r="F1733" s="151"/>
      <c r="G1733" s="153"/>
      <c r="H1733" s="151"/>
      <c r="I1733" s="151"/>
      <c r="J1733" s="151"/>
      <c r="K1733" s="151"/>
      <c r="L1733" s="151"/>
      <c r="M1733" s="151"/>
      <c r="N1733" s="151"/>
      <c r="O1733" s="151"/>
      <c r="P1733" s="151"/>
      <c r="Q1733" s="151"/>
      <c r="R1733" s="151"/>
      <c r="S1733" s="152"/>
      <c r="T1733" s="151"/>
      <c r="U1733" s="151"/>
      <c r="V1733" s="153"/>
      <c r="W1733" s="151"/>
      <c r="X1733" s="151"/>
      <c r="Y1733" s="153"/>
      <c r="Z1733" s="151"/>
      <c r="AA1733" s="187" t="str">
        <f t="shared" ref="AA1733:AA1796" si="55">IF(E1733="","No","Yes")</f>
        <v>No</v>
      </c>
      <c r="AB1733" s="158"/>
      <c r="AC1733" s="159"/>
      <c r="AD1733" s="160"/>
    </row>
    <row r="1734" spans="1:30">
      <c r="A1734" s="155"/>
      <c r="B1734" s="112" t="str">
        <f t="shared" si="54"/>
        <v/>
      </c>
      <c r="C1734" s="183"/>
      <c r="D1734" s="152"/>
      <c r="E1734" s="152"/>
      <c r="F1734" s="151"/>
      <c r="G1734" s="153"/>
      <c r="H1734" s="151"/>
      <c r="I1734" s="151"/>
      <c r="J1734" s="151"/>
      <c r="K1734" s="151"/>
      <c r="L1734" s="151"/>
      <c r="M1734" s="151"/>
      <c r="N1734" s="151"/>
      <c r="O1734" s="151"/>
      <c r="P1734" s="151"/>
      <c r="Q1734" s="151"/>
      <c r="R1734" s="151"/>
      <c r="S1734" s="152"/>
      <c r="T1734" s="151"/>
      <c r="U1734" s="151"/>
      <c r="V1734" s="153"/>
      <c r="W1734" s="151"/>
      <c r="X1734" s="151"/>
      <c r="Y1734" s="153"/>
      <c r="Z1734" s="151"/>
      <c r="AA1734" s="187" t="str">
        <f t="shared" si="55"/>
        <v>No</v>
      </c>
      <c r="AB1734" s="158"/>
      <c r="AC1734" s="159"/>
      <c r="AD1734" s="160"/>
    </row>
    <row r="1735" spans="1:30">
      <c r="A1735" s="155"/>
      <c r="B1735" s="112" t="str">
        <f t="shared" si="54"/>
        <v/>
      </c>
      <c r="C1735" s="183"/>
      <c r="D1735" s="152"/>
      <c r="E1735" s="152"/>
      <c r="F1735" s="151"/>
      <c r="G1735" s="153"/>
      <c r="H1735" s="151"/>
      <c r="I1735" s="151"/>
      <c r="J1735" s="151"/>
      <c r="K1735" s="151"/>
      <c r="L1735" s="151"/>
      <c r="M1735" s="151"/>
      <c r="N1735" s="151"/>
      <c r="O1735" s="151"/>
      <c r="P1735" s="151"/>
      <c r="Q1735" s="151"/>
      <c r="R1735" s="151"/>
      <c r="S1735" s="152"/>
      <c r="T1735" s="151"/>
      <c r="U1735" s="151"/>
      <c r="V1735" s="153"/>
      <c r="W1735" s="151"/>
      <c r="X1735" s="151"/>
      <c r="Y1735" s="153"/>
      <c r="Z1735" s="151"/>
      <c r="AA1735" s="187" t="str">
        <f t="shared" si="55"/>
        <v>No</v>
      </c>
      <c r="AB1735" s="158"/>
      <c r="AC1735" s="159"/>
      <c r="AD1735" s="160"/>
    </row>
    <row r="1736" spans="1:30">
      <c r="A1736" s="155"/>
      <c r="B1736" s="112" t="str">
        <f t="shared" si="54"/>
        <v/>
      </c>
      <c r="C1736" s="183"/>
      <c r="D1736" s="152"/>
      <c r="E1736" s="152"/>
      <c r="F1736" s="151"/>
      <c r="G1736" s="153"/>
      <c r="H1736" s="151"/>
      <c r="I1736" s="151"/>
      <c r="J1736" s="151"/>
      <c r="K1736" s="151"/>
      <c r="L1736" s="151"/>
      <c r="M1736" s="151"/>
      <c r="N1736" s="151"/>
      <c r="O1736" s="151"/>
      <c r="P1736" s="151"/>
      <c r="Q1736" s="151"/>
      <c r="R1736" s="151"/>
      <c r="S1736" s="152"/>
      <c r="T1736" s="151"/>
      <c r="U1736" s="151"/>
      <c r="V1736" s="153"/>
      <c r="W1736" s="151"/>
      <c r="X1736" s="151"/>
      <c r="Y1736" s="153"/>
      <c r="Z1736" s="151"/>
      <c r="AA1736" s="187" t="str">
        <f t="shared" si="55"/>
        <v>No</v>
      </c>
      <c r="AB1736" s="158"/>
      <c r="AC1736" s="159"/>
      <c r="AD1736" s="160"/>
    </row>
    <row r="1737" spans="1:30">
      <c r="A1737" s="155"/>
      <c r="B1737" s="112" t="str">
        <f t="shared" si="54"/>
        <v/>
      </c>
      <c r="C1737" s="183"/>
      <c r="D1737" s="152"/>
      <c r="E1737" s="152"/>
      <c r="F1737" s="151"/>
      <c r="G1737" s="153"/>
      <c r="H1737" s="151"/>
      <c r="I1737" s="151"/>
      <c r="J1737" s="151"/>
      <c r="K1737" s="151"/>
      <c r="L1737" s="151"/>
      <c r="M1737" s="151"/>
      <c r="N1737" s="151"/>
      <c r="O1737" s="151"/>
      <c r="P1737" s="151"/>
      <c r="Q1737" s="151"/>
      <c r="R1737" s="151"/>
      <c r="S1737" s="152"/>
      <c r="T1737" s="151"/>
      <c r="U1737" s="151"/>
      <c r="V1737" s="153"/>
      <c r="W1737" s="151"/>
      <c r="X1737" s="151"/>
      <c r="Y1737" s="153"/>
      <c r="Z1737" s="151"/>
      <c r="AA1737" s="187" t="str">
        <f t="shared" si="55"/>
        <v>No</v>
      </c>
      <c r="AB1737" s="158"/>
      <c r="AC1737" s="159"/>
      <c r="AD1737" s="160"/>
    </row>
    <row r="1738" spans="1:30">
      <c r="A1738" s="155"/>
      <c r="B1738" s="112" t="str">
        <f t="shared" si="54"/>
        <v/>
      </c>
      <c r="C1738" s="183"/>
      <c r="D1738" s="152"/>
      <c r="E1738" s="152"/>
      <c r="F1738" s="151"/>
      <c r="G1738" s="153"/>
      <c r="H1738" s="151"/>
      <c r="I1738" s="151"/>
      <c r="J1738" s="151"/>
      <c r="K1738" s="151"/>
      <c r="L1738" s="151"/>
      <c r="M1738" s="151"/>
      <c r="N1738" s="151"/>
      <c r="O1738" s="151"/>
      <c r="P1738" s="151"/>
      <c r="Q1738" s="151"/>
      <c r="R1738" s="151"/>
      <c r="S1738" s="152"/>
      <c r="T1738" s="151"/>
      <c r="U1738" s="151"/>
      <c r="V1738" s="153"/>
      <c r="W1738" s="151"/>
      <c r="X1738" s="151"/>
      <c r="Y1738" s="153"/>
      <c r="Z1738" s="151"/>
      <c r="AA1738" s="187" t="str">
        <f t="shared" si="55"/>
        <v>No</v>
      </c>
      <c r="AB1738" s="158"/>
      <c r="AC1738" s="159"/>
      <c r="AD1738" s="160"/>
    </row>
    <row r="1739" spans="1:30">
      <c r="A1739" s="155"/>
      <c r="B1739" s="112" t="str">
        <f t="shared" si="54"/>
        <v/>
      </c>
      <c r="C1739" s="183"/>
      <c r="D1739" s="152"/>
      <c r="E1739" s="152"/>
      <c r="F1739" s="151"/>
      <c r="G1739" s="153"/>
      <c r="H1739" s="151"/>
      <c r="I1739" s="151"/>
      <c r="J1739" s="151"/>
      <c r="K1739" s="151"/>
      <c r="L1739" s="151"/>
      <c r="M1739" s="151"/>
      <c r="N1739" s="151"/>
      <c r="O1739" s="151"/>
      <c r="P1739" s="151"/>
      <c r="Q1739" s="151"/>
      <c r="R1739" s="151"/>
      <c r="S1739" s="152"/>
      <c r="T1739" s="151"/>
      <c r="U1739" s="151"/>
      <c r="V1739" s="153"/>
      <c r="W1739" s="151"/>
      <c r="X1739" s="151"/>
      <c r="Y1739" s="153"/>
      <c r="Z1739" s="151"/>
      <c r="AA1739" s="187" t="str">
        <f t="shared" si="55"/>
        <v>No</v>
      </c>
      <c r="AB1739" s="158"/>
      <c r="AC1739" s="159"/>
      <c r="AD1739" s="160"/>
    </row>
    <row r="1740" spans="1:30">
      <c r="A1740" s="155"/>
      <c r="B1740" s="112" t="str">
        <f t="shared" si="54"/>
        <v/>
      </c>
      <c r="C1740" s="183"/>
      <c r="D1740" s="152"/>
      <c r="E1740" s="152"/>
      <c r="F1740" s="151"/>
      <c r="G1740" s="153"/>
      <c r="H1740" s="151"/>
      <c r="I1740" s="151"/>
      <c r="J1740" s="151"/>
      <c r="K1740" s="151"/>
      <c r="L1740" s="151"/>
      <c r="M1740" s="151"/>
      <c r="N1740" s="151"/>
      <c r="O1740" s="151"/>
      <c r="P1740" s="151"/>
      <c r="Q1740" s="151"/>
      <c r="R1740" s="151"/>
      <c r="S1740" s="152"/>
      <c r="T1740" s="151"/>
      <c r="U1740" s="151"/>
      <c r="V1740" s="153"/>
      <c r="W1740" s="151"/>
      <c r="X1740" s="151"/>
      <c r="Y1740" s="153"/>
      <c r="Z1740" s="151"/>
      <c r="AA1740" s="187" t="str">
        <f t="shared" si="55"/>
        <v>No</v>
      </c>
      <c r="AB1740" s="158"/>
      <c r="AC1740" s="159"/>
      <c r="AD1740" s="160"/>
    </row>
    <row r="1741" spans="1:30">
      <c r="A1741" s="155"/>
      <c r="B1741" s="112" t="str">
        <f t="shared" si="54"/>
        <v/>
      </c>
      <c r="C1741" s="183"/>
      <c r="D1741" s="152"/>
      <c r="E1741" s="152"/>
      <c r="F1741" s="151"/>
      <c r="G1741" s="153"/>
      <c r="H1741" s="151"/>
      <c r="I1741" s="151"/>
      <c r="J1741" s="151"/>
      <c r="K1741" s="151"/>
      <c r="L1741" s="151"/>
      <c r="M1741" s="151"/>
      <c r="N1741" s="151"/>
      <c r="O1741" s="151"/>
      <c r="P1741" s="151"/>
      <c r="Q1741" s="151"/>
      <c r="R1741" s="151"/>
      <c r="S1741" s="152"/>
      <c r="T1741" s="151"/>
      <c r="U1741" s="151"/>
      <c r="V1741" s="153"/>
      <c r="W1741" s="151"/>
      <c r="X1741" s="151"/>
      <c r="Y1741" s="153"/>
      <c r="Z1741" s="151"/>
      <c r="AA1741" s="187" t="str">
        <f t="shared" si="55"/>
        <v>No</v>
      </c>
      <c r="AB1741" s="158"/>
      <c r="AC1741" s="159"/>
      <c r="AD1741" s="160"/>
    </row>
    <row r="1742" spans="1:30">
      <c r="A1742" s="155"/>
      <c r="B1742" s="112" t="str">
        <f t="shared" si="54"/>
        <v/>
      </c>
      <c r="C1742" s="183"/>
      <c r="D1742" s="152"/>
      <c r="E1742" s="152"/>
      <c r="F1742" s="151"/>
      <c r="G1742" s="153"/>
      <c r="H1742" s="151"/>
      <c r="I1742" s="151"/>
      <c r="J1742" s="151"/>
      <c r="K1742" s="151"/>
      <c r="L1742" s="151"/>
      <c r="M1742" s="151"/>
      <c r="N1742" s="151"/>
      <c r="O1742" s="151"/>
      <c r="P1742" s="151"/>
      <c r="Q1742" s="151"/>
      <c r="R1742" s="151"/>
      <c r="S1742" s="152"/>
      <c r="T1742" s="151"/>
      <c r="U1742" s="151"/>
      <c r="V1742" s="153"/>
      <c r="W1742" s="151"/>
      <c r="X1742" s="151"/>
      <c r="Y1742" s="153"/>
      <c r="Z1742" s="151"/>
      <c r="AA1742" s="187" t="str">
        <f t="shared" si="55"/>
        <v>No</v>
      </c>
      <c r="AB1742" s="158"/>
      <c r="AC1742" s="159"/>
      <c r="AD1742" s="160"/>
    </row>
    <row r="1743" spans="1:30">
      <c r="A1743" s="155"/>
      <c r="B1743" s="112" t="str">
        <f t="shared" si="54"/>
        <v/>
      </c>
      <c r="C1743" s="183"/>
      <c r="D1743" s="152"/>
      <c r="E1743" s="152"/>
      <c r="F1743" s="151"/>
      <c r="G1743" s="153"/>
      <c r="H1743" s="151"/>
      <c r="I1743" s="151"/>
      <c r="J1743" s="151"/>
      <c r="K1743" s="151"/>
      <c r="L1743" s="151"/>
      <c r="M1743" s="151"/>
      <c r="N1743" s="151"/>
      <c r="O1743" s="151"/>
      <c r="P1743" s="151"/>
      <c r="Q1743" s="151"/>
      <c r="R1743" s="151"/>
      <c r="S1743" s="152"/>
      <c r="T1743" s="151"/>
      <c r="U1743" s="151"/>
      <c r="V1743" s="153"/>
      <c r="W1743" s="151"/>
      <c r="X1743" s="151"/>
      <c r="Y1743" s="153"/>
      <c r="Z1743" s="151"/>
      <c r="AA1743" s="187" t="str">
        <f t="shared" si="55"/>
        <v>No</v>
      </c>
      <c r="AB1743" s="158"/>
      <c r="AC1743" s="159"/>
      <c r="AD1743" s="160"/>
    </row>
    <row r="1744" spans="1:30">
      <c r="A1744" s="155"/>
      <c r="B1744" s="112" t="str">
        <f t="shared" si="54"/>
        <v/>
      </c>
      <c r="C1744" s="183"/>
      <c r="D1744" s="152"/>
      <c r="E1744" s="152"/>
      <c r="F1744" s="151"/>
      <c r="G1744" s="153"/>
      <c r="H1744" s="151"/>
      <c r="I1744" s="151"/>
      <c r="J1744" s="151"/>
      <c r="K1744" s="151"/>
      <c r="L1744" s="151"/>
      <c r="M1744" s="151"/>
      <c r="N1744" s="151"/>
      <c r="O1744" s="151"/>
      <c r="P1744" s="151"/>
      <c r="Q1744" s="151"/>
      <c r="R1744" s="151"/>
      <c r="S1744" s="152"/>
      <c r="T1744" s="151"/>
      <c r="U1744" s="151"/>
      <c r="V1744" s="153"/>
      <c r="W1744" s="151"/>
      <c r="X1744" s="151"/>
      <c r="Y1744" s="153"/>
      <c r="Z1744" s="151"/>
      <c r="AA1744" s="187" t="str">
        <f t="shared" si="55"/>
        <v>No</v>
      </c>
      <c r="AB1744" s="158"/>
      <c r="AC1744" s="159"/>
      <c r="AD1744" s="160"/>
    </row>
    <row r="1745" spans="1:30">
      <c r="A1745" s="155"/>
      <c r="B1745" s="112" t="str">
        <f t="shared" si="54"/>
        <v/>
      </c>
      <c r="C1745" s="183"/>
      <c r="D1745" s="152"/>
      <c r="E1745" s="152"/>
      <c r="F1745" s="151"/>
      <c r="G1745" s="153"/>
      <c r="H1745" s="151"/>
      <c r="I1745" s="151"/>
      <c r="J1745" s="151"/>
      <c r="K1745" s="151"/>
      <c r="L1745" s="151"/>
      <c r="M1745" s="151"/>
      <c r="N1745" s="151"/>
      <c r="O1745" s="151"/>
      <c r="P1745" s="151"/>
      <c r="Q1745" s="151"/>
      <c r="R1745" s="151"/>
      <c r="S1745" s="152"/>
      <c r="T1745" s="151"/>
      <c r="U1745" s="151"/>
      <c r="V1745" s="153"/>
      <c r="W1745" s="151"/>
      <c r="X1745" s="151"/>
      <c r="Y1745" s="153"/>
      <c r="Z1745" s="151"/>
      <c r="AA1745" s="187" t="str">
        <f t="shared" si="55"/>
        <v>No</v>
      </c>
      <c r="AB1745" s="158"/>
      <c r="AC1745" s="159"/>
      <c r="AD1745" s="160"/>
    </row>
    <row r="1746" spans="1:30">
      <c r="A1746" s="155"/>
      <c r="B1746" s="112" t="str">
        <f t="shared" si="54"/>
        <v/>
      </c>
      <c r="C1746" s="183"/>
      <c r="D1746" s="152"/>
      <c r="E1746" s="152"/>
      <c r="F1746" s="151"/>
      <c r="G1746" s="153"/>
      <c r="H1746" s="151"/>
      <c r="I1746" s="151"/>
      <c r="J1746" s="151"/>
      <c r="K1746" s="151"/>
      <c r="L1746" s="151"/>
      <c r="M1746" s="151"/>
      <c r="N1746" s="151"/>
      <c r="O1746" s="151"/>
      <c r="P1746" s="151"/>
      <c r="Q1746" s="151"/>
      <c r="R1746" s="151"/>
      <c r="S1746" s="152"/>
      <c r="T1746" s="151"/>
      <c r="U1746" s="151"/>
      <c r="V1746" s="153"/>
      <c r="W1746" s="151"/>
      <c r="X1746" s="151"/>
      <c r="Y1746" s="153"/>
      <c r="Z1746" s="151"/>
      <c r="AA1746" s="187" t="str">
        <f t="shared" si="55"/>
        <v>No</v>
      </c>
      <c r="AB1746" s="158"/>
      <c r="AC1746" s="159"/>
      <c r="AD1746" s="160"/>
    </row>
    <row r="1747" spans="1:30">
      <c r="A1747" s="155"/>
      <c r="B1747" s="112" t="str">
        <f t="shared" si="54"/>
        <v/>
      </c>
      <c r="C1747" s="183"/>
      <c r="D1747" s="152"/>
      <c r="E1747" s="152"/>
      <c r="F1747" s="151"/>
      <c r="G1747" s="153"/>
      <c r="H1747" s="151"/>
      <c r="I1747" s="151"/>
      <c r="J1747" s="151"/>
      <c r="K1747" s="151"/>
      <c r="L1747" s="151"/>
      <c r="M1747" s="151"/>
      <c r="N1747" s="151"/>
      <c r="O1747" s="151"/>
      <c r="P1747" s="151"/>
      <c r="Q1747" s="151"/>
      <c r="R1747" s="151"/>
      <c r="S1747" s="152"/>
      <c r="T1747" s="151"/>
      <c r="U1747" s="151"/>
      <c r="V1747" s="153"/>
      <c r="W1747" s="151"/>
      <c r="X1747" s="151"/>
      <c r="Y1747" s="153"/>
      <c r="Z1747" s="151"/>
      <c r="AA1747" s="187" t="str">
        <f t="shared" si="55"/>
        <v>No</v>
      </c>
      <c r="AB1747" s="158"/>
      <c r="AC1747" s="159"/>
      <c r="AD1747" s="160"/>
    </row>
    <row r="1748" spans="1:30">
      <c r="A1748" s="155"/>
      <c r="B1748" s="112" t="str">
        <f t="shared" si="54"/>
        <v/>
      </c>
      <c r="C1748" s="183"/>
      <c r="D1748" s="152"/>
      <c r="E1748" s="152"/>
      <c r="F1748" s="151"/>
      <c r="G1748" s="153"/>
      <c r="H1748" s="151"/>
      <c r="I1748" s="151"/>
      <c r="J1748" s="151"/>
      <c r="K1748" s="151"/>
      <c r="L1748" s="151"/>
      <c r="M1748" s="151"/>
      <c r="N1748" s="151"/>
      <c r="O1748" s="151"/>
      <c r="P1748" s="151"/>
      <c r="Q1748" s="151"/>
      <c r="R1748" s="151"/>
      <c r="S1748" s="152"/>
      <c r="T1748" s="151"/>
      <c r="U1748" s="151"/>
      <c r="V1748" s="153"/>
      <c r="W1748" s="151"/>
      <c r="X1748" s="151"/>
      <c r="Y1748" s="153"/>
      <c r="Z1748" s="151"/>
      <c r="AA1748" s="187" t="str">
        <f t="shared" si="55"/>
        <v>No</v>
      </c>
      <c r="AB1748" s="158"/>
      <c r="AC1748" s="159"/>
      <c r="AD1748" s="160"/>
    </row>
    <row r="1749" spans="1:30">
      <c r="A1749" s="155"/>
      <c r="B1749" s="112" t="str">
        <f t="shared" si="54"/>
        <v/>
      </c>
      <c r="C1749" s="183"/>
      <c r="D1749" s="152"/>
      <c r="E1749" s="152"/>
      <c r="F1749" s="151"/>
      <c r="G1749" s="153"/>
      <c r="H1749" s="151"/>
      <c r="I1749" s="151"/>
      <c r="J1749" s="151"/>
      <c r="K1749" s="151"/>
      <c r="L1749" s="151"/>
      <c r="M1749" s="151"/>
      <c r="N1749" s="151"/>
      <c r="O1749" s="151"/>
      <c r="P1749" s="151"/>
      <c r="Q1749" s="151"/>
      <c r="R1749" s="151"/>
      <c r="S1749" s="152"/>
      <c r="T1749" s="151"/>
      <c r="U1749" s="151"/>
      <c r="V1749" s="153"/>
      <c r="W1749" s="151"/>
      <c r="X1749" s="151"/>
      <c r="Y1749" s="153"/>
      <c r="Z1749" s="151"/>
      <c r="AA1749" s="187" t="str">
        <f t="shared" si="55"/>
        <v>No</v>
      </c>
      <c r="AB1749" s="158"/>
      <c r="AC1749" s="159"/>
      <c r="AD1749" s="160"/>
    </row>
    <row r="1750" spans="1:30">
      <c r="A1750" s="155"/>
      <c r="B1750" s="112" t="str">
        <f t="shared" si="54"/>
        <v/>
      </c>
      <c r="C1750" s="183"/>
      <c r="D1750" s="152"/>
      <c r="E1750" s="152"/>
      <c r="F1750" s="151"/>
      <c r="G1750" s="153"/>
      <c r="H1750" s="151"/>
      <c r="I1750" s="151"/>
      <c r="J1750" s="151"/>
      <c r="K1750" s="151"/>
      <c r="L1750" s="151"/>
      <c r="M1750" s="151"/>
      <c r="N1750" s="151"/>
      <c r="O1750" s="151"/>
      <c r="P1750" s="151"/>
      <c r="Q1750" s="151"/>
      <c r="R1750" s="151"/>
      <c r="S1750" s="152"/>
      <c r="T1750" s="151"/>
      <c r="U1750" s="151"/>
      <c r="V1750" s="153"/>
      <c r="W1750" s="151"/>
      <c r="X1750" s="151"/>
      <c r="Y1750" s="153"/>
      <c r="Z1750" s="151"/>
      <c r="AA1750" s="187" t="str">
        <f t="shared" si="55"/>
        <v>No</v>
      </c>
      <c r="AB1750" s="158"/>
      <c r="AC1750" s="159"/>
      <c r="AD1750" s="160"/>
    </row>
    <row r="1751" spans="1:30">
      <c r="A1751" s="155"/>
      <c r="B1751" s="112" t="str">
        <f t="shared" si="54"/>
        <v/>
      </c>
      <c r="C1751" s="183"/>
      <c r="D1751" s="152"/>
      <c r="E1751" s="152"/>
      <c r="F1751" s="151"/>
      <c r="G1751" s="153"/>
      <c r="H1751" s="151"/>
      <c r="I1751" s="151"/>
      <c r="J1751" s="151"/>
      <c r="K1751" s="151"/>
      <c r="L1751" s="151"/>
      <c r="M1751" s="151"/>
      <c r="N1751" s="151"/>
      <c r="O1751" s="151"/>
      <c r="P1751" s="151"/>
      <c r="Q1751" s="151"/>
      <c r="R1751" s="151"/>
      <c r="S1751" s="152"/>
      <c r="T1751" s="151"/>
      <c r="U1751" s="151"/>
      <c r="V1751" s="153"/>
      <c r="W1751" s="151"/>
      <c r="X1751" s="151"/>
      <c r="Y1751" s="153"/>
      <c r="Z1751" s="151"/>
      <c r="AA1751" s="187" t="str">
        <f t="shared" si="55"/>
        <v>No</v>
      </c>
      <c r="AB1751" s="158"/>
      <c r="AC1751" s="159"/>
      <c r="AD1751" s="160"/>
    </row>
    <row r="1752" spans="1:30">
      <c r="A1752" s="155"/>
      <c r="B1752" s="112" t="str">
        <f t="shared" si="54"/>
        <v/>
      </c>
      <c r="C1752" s="183"/>
      <c r="D1752" s="152"/>
      <c r="E1752" s="152"/>
      <c r="F1752" s="151"/>
      <c r="G1752" s="153"/>
      <c r="H1752" s="151"/>
      <c r="I1752" s="151"/>
      <c r="J1752" s="151"/>
      <c r="K1752" s="151"/>
      <c r="L1752" s="151"/>
      <c r="M1752" s="151"/>
      <c r="N1752" s="151"/>
      <c r="O1752" s="151"/>
      <c r="P1752" s="151"/>
      <c r="Q1752" s="151"/>
      <c r="R1752" s="151"/>
      <c r="S1752" s="152"/>
      <c r="T1752" s="151"/>
      <c r="U1752" s="151"/>
      <c r="V1752" s="153"/>
      <c r="W1752" s="151"/>
      <c r="X1752" s="151"/>
      <c r="Y1752" s="153"/>
      <c r="Z1752" s="151"/>
      <c r="AA1752" s="187" t="str">
        <f t="shared" si="55"/>
        <v>No</v>
      </c>
      <c r="AB1752" s="158"/>
      <c r="AC1752" s="159"/>
      <c r="AD1752" s="160"/>
    </row>
    <row r="1753" spans="1:30">
      <c r="A1753" s="155"/>
      <c r="B1753" s="112" t="str">
        <f t="shared" si="54"/>
        <v/>
      </c>
      <c r="C1753" s="183"/>
      <c r="D1753" s="152"/>
      <c r="E1753" s="152"/>
      <c r="F1753" s="151"/>
      <c r="G1753" s="153"/>
      <c r="H1753" s="151"/>
      <c r="I1753" s="151"/>
      <c r="J1753" s="151"/>
      <c r="K1753" s="151"/>
      <c r="L1753" s="151"/>
      <c r="M1753" s="151"/>
      <c r="N1753" s="151"/>
      <c r="O1753" s="151"/>
      <c r="P1753" s="151"/>
      <c r="Q1753" s="151"/>
      <c r="R1753" s="151"/>
      <c r="S1753" s="152"/>
      <c r="T1753" s="151"/>
      <c r="U1753" s="151"/>
      <c r="V1753" s="153"/>
      <c r="W1753" s="151"/>
      <c r="X1753" s="151"/>
      <c r="Y1753" s="153"/>
      <c r="Z1753" s="151"/>
      <c r="AA1753" s="187" t="str">
        <f t="shared" si="55"/>
        <v>No</v>
      </c>
      <c r="AB1753" s="158"/>
      <c r="AC1753" s="159"/>
      <c r="AD1753" s="160"/>
    </row>
    <row r="1754" spans="1:30">
      <c r="A1754" s="155"/>
      <c r="B1754" s="112" t="str">
        <f t="shared" si="54"/>
        <v/>
      </c>
      <c r="C1754" s="183"/>
      <c r="D1754" s="152"/>
      <c r="E1754" s="152"/>
      <c r="F1754" s="151"/>
      <c r="G1754" s="153"/>
      <c r="H1754" s="151"/>
      <c r="I1754" s="151"/>
      <c r="J1754" s="151"/>
      <c r="K1754" s="151"/>
      <c r="L1754" s="151"/>
      <c r="M1754" s="151"/>
      <c r="N1754" s="151"/>
      <c r="O1754" s="151"/>
      <c r="P1754" s="151"/>
      <c r="Q1754" s="151"/>
      <c r="R1754" s="151"/>
      <c r="S1754" s="152"/>
      <c r="T1754" s="151"/>
      <c r="U1754" s="151"/>
      <c r="V1754" s="153"/>
      <c r="W1754" s="151"/>
      <c r="X1754" s="151"/>
      <c r="Y1754" s="153"/>
      <c r="Z1754" s="151"/>
      <c r="AA1754" s="187" t="str">
        <f t="shared" si="55"/>
        <v>No</v>
      </c>
      <c r="AB1754" s="158"/>
      <c r="AC1754" s="159"/>
      <c r="AD1754" s="160"/>
    </row>
    <row r="1755" spans="1:30">
      <c r="A1755" s="155"/>
      <c r="B1755" s="112" t="str">
        <f t="shared" si="54"/>
        <v/>
      </c>
      <c r="C1755" s="183"/>
      <c r="D1755" s="152"/>
      <c r="E1755" s="152"/>
      <c r="F1755" s="151"/>
      <c r="G1755" s="153"/>
      <c r="H1755" s="151"/>
      <c r="I1755" s="151"/>
      <c r="J1755" s="151"/>
      <c r="K1755" s="151"/>
      <c r="L1755" s="151"/>
      <c r="M1755" s="151"/>
      <c r="N1755" s="151"/>
      <c r="O1755" s="151"/>
      <c r="P1755" s="151"/>
      <c r="Q1755" s="151"/>
      <c r="R1755" s="151"/>
      <c r="S1755" s="152"/>
      <c r="T1755" s="151"/>
      <c r="U1755" s="151"/>
      <c r="V1755" s="153"/>
      <c r="W1755" s="151"/>
      <c r="X1755" s="151"/>
      <c r="Y1755" s="153"/>
      <c r="Z1755" s="151"/>
      <c r="AA1755" s="187" t="str">
        <f t="shared" si="55"/>
        <v>No</v>
      </c>
      <c r="AB1755" s="158"/>
      <c r="AC1755" s="159"/>
      <c r="AD1755" s="160"/>
    </row>
    <row r="1756" spans="1:30">
      <c r="A1756" s="155"/>
      <c r="B1756" s="112" t="str">
        <f t="shared" si="54"/>
        <v/>
      </c>
      <c r="C1756" s="183"/>
      <c r="D1756" s="152"/>
      <c r="E1756" s="152"/>
      <c r="F1756" s="151"/>
      <c r="G1756" s="153"/>
      <c r="H1756" s="151"/>
      <c r="I1756" s="151"/>
      <c r="J1756" s="151"/>
      <c r="K1756" s="151"/>
      <c r="L1756" s="151"/>
      <c r="M1756" s="151"/>
      <c r="N1756" s="151"/>
      <c r="O1756" s="151"/>
      <c r="P1756" s="151"/>
      <c r="Q1756" s="151"/>
      <c r="R1756" s="151"/>
      <c r="S1756" s="152"/>
      <c r="T1756" s="151"/>
      <c r="U1756" s="151"/>
      <c r="V1756" s="153"/>
      <c r="W1756" s="151"/>
      <c r="X1756" s="151"/>
      <c r="Y1756" s="153"/>
      <c r="Z1756" s="151"/>
      <c r="AA1756" s="187" t="str">
        <f t="shared" si="55"/>
        <v>No</v>
      </c>
      <c r="AB1756" s="158"/>
      <c r="AC1756" s="159"/>
      <c r="AD1756" s="160"/>
    </row>
    <row r="1757" spans="1:30">
      <c r="A1757" s="155"/>
      <c r="B1757" s="112" t="str">
        <f t="shared" si="54"/>
        <v/>
      </c>
      <c r="C1757" s="183"/>
      <c r="D1757" s="152"/>
      <c r="E1757" s="152"/>
      <c r="F1757" s="151"/>
      <c r="G1757" s="153"/>
      <c r="H1757" s="151"/>
      <c r="I1757" s="151"/>
      <c r="J1757" s="151"/>
      <c r="K1757" s="151"/>
      <c r="L1757" s="151"/>
      <c r="M1757" s="151"/>
      <c r="N1757" s="151"/>
      <c r="O1757" s="151"/>
      <c r="P1757" s="151"/>
      <c r="Q1757" s="151"/>
      <c r="R1757" s="151"/>
      <c r="S1757" s="152"/>
      <c r="T1757" s="151"/>
      <c r="U1757" s="151"/>
      <c r="V1757" s="153"/>
      <c r="W1757" s="151"/>
      <c r="X1757" s="151"/>
      <c r="Y1757" s="153"/>
      <c r="Z1757" s="151"/>
      <c r="AA1757" s="187" t="str">
        <f t="shared" si="55"/>
        <v>No</v>
      </c>
      <c r="AB1757" s="158"/>
      <c r="AC1757" s="159"/>
      <c r="AD1757" s="160"/>
    </row>
    <row r="1758" spans="1:30">
      <c r="A1758" s="155"/>
      <c r="B1758" s="112" t="str">
        <f t="shared" si="54"/>
        <v/>
      </c>
      <c r="C1758" s="183"/>
      <c r="D1758" s="152"/>
      <c r="E1758" s="152"/>
      <c r="F1758" s="151"/>
      <c r="G1758" s="153"/>
      <c r="H1758" s="151"/>
      <c r="I1758" s="151"/>
      <c r="J1758" s="151"/>
      <c r="K1758" s="151"/>
      <c r="L1758" s="151"/>
      <c r="M1758" s="151"/>
      <c r="N1758" s="151"/>
      <c r="O1758" s="151"/>
      <c r="P1758" s="151"/>
      <c r="Q1758" s="151"/>
      <c r="R1758" s="151"/>
      <c r="S1758" s="152"/>
      <c r="T1758" s="151"/>
      <c r="U1758" s="151"/>
      <c r="V1758" s="153"/>
      <c r="W1758" s="151"/>
      <c r="X1758" s="151"/>
      <c r="Y1758" s="153"/>
      <c r="Z1758" s="151"/>
      <c r="AA1758" s="187" t="str">
        <f t="shared" si="55"/>
        <v>No</v>
      </c>
      <c r="AB1758" s="158"/>
      <c r="AC1758" s="159"/>
      <c r="AD1758" s="160"/>
    </row>
    <row r="1759" spans="1:30">
      <c r="A1759" s="155"/>
      <c r="B1759" s="112" t="str">
        <f t="shared" si="54"/>
        <v/>
      </c>
      <c r="C1759" s="183"/>
      <c r="D1759" s="152"/>
      <c r="E1759" s="152"/>
      <c r="F1759" s="151"/>
      <c r="G1759" s="153"/>
      <c r="H1759" s="151"/>
      <c r="I1759" s="151"/>
      <c r="J1759" s="151"/>
      <c r="K1759" s="151"/>
      <c r="L1759" s="151"/>
      <c r="M1759" s="151"/>
      <c r="N1759" s="151"/>
      <c r="O1759" s="151"/>
      <c r="P1759" s="151"/>
      <c r="Q1759" s="151"/>
      <c r="R1759" s="151"/>
      <c r="S1759" s="152"/>
      <c r="T1759" s="151"/>
      <c r="U1759" s="151"/>
      <c r="V1759" s="153"/>
      <c r="W1759" s="151"/>
      <c r="X1759" s="151"/>
      <c r="Y1759" s="153"/>
      <c r="Z1759" s="151"/>
      <c r="AA1759" s="187" t="str">
        <f t="shared" si="55"/>
        <v>No</v>
      </c>
      <c r="AB1759" s="158"/>
      <c r="AC1759" s="159"/>
      <c r="AD1759" s="160"/>
    </row>
    <row r="1760" spans="1:30">
      <c r="A1760" s="155"/>
      <c r="B1760" s="112" t="str">
        <f t="shared" si="54"/>
        <v/>
      </c>
      <c r="C1760" s="183"/>
      <c r="D1760" s="152"/>
      <c r="E1760" s="152"/>
      <c r="F1760" s="151"/>
      <c r="G1760" s="153"/>
      <c r="H1760" s="151"/>
      <c r="I1760" s="151"/>
      <c r="J1760" s="151"/>
      <c r="K1760" s="151"/>
      <c r="L1760" s="151"/>
      <c r="M1760" s="151"/>
      <c r="N1760" s="151"/>
      <c r="O1760" s="151"/>
      <c r="P1760" s="151"/>
      <c r="Q1760" s="151"/>
      <c r="R1760" s="151"/>
      <c r="S1760" s="152"/>
      <c r="T1760" s="151"/>
      <c r="U1760" s="151"/>
      <c r="V1760" s="153"/>
      <c r="W1760" s="151"/>
      <c r="X1760" s="151"/>
      <c r="Y1760" s="153"/>
      <c r="Z1760" s="151"/>
      <c r="AA1760" s="187" t="str">
        <f t="shared" si="55"/>
        <v>No</v>
      </c>
      <c r="AB1760" s="158"/>
      <c r="AC1760" s="159"/>
      <c r="AD1760" s="160"/>
    </row>
    <row r="1761" spans="1:30">
      <c r="A1761" s="155"/>
      <c r="B1761" s="112" t="str">
        <f t="shared" si="54"/>
        <v/>
      </c>
      <c r="C1761" s="183"/>
      <c r="D1761" s="152"/>
      <c r="E1761" s="152"/>
      <c r="F1761" s="151"/>
      <c r="G1761" s="153"/>
      <c r="H1761" s="151"/>
      <c r="I1761" s="151"/>
      <c r="J1761" s="151"/>
      <c r="K1761" s="151"/>
      <c r="L1761" s="151"/>
      <c r="M1761" s="151"/>
      <c r="N1761" s="151"/>
      <c r="O1761" s="151"/>
      <c r="P1761" s="151"/>
      <c r="Q1761" s="151"/>
      <c r="R1761" s="151"/>
      <c r="S1761" s="152"/>
      <c r="T1761" s="151"/>
      <c r="U1761" s="151"/>
      <c r="V1761" s="153"/>
      <c r="W1761" s="151"/>
      <c r="X1761" s="151"/>
      <c r="Y1761" s="153"/>
      <c r="Z1761" s="151"/>
      <c r="AA1761" s="187" t="str">
        <f t="shared" si="55"/>
        <v>No</v>
      </c>
      <c r="AB1761" s="158"/>
      <c r="AC1761" s="159"/>
      <c r="AD1761" s="160"/>
    </row>
    <row r="1762" spans="1:30">
      <c r="A1762" s="155"/>
      <c r="B1762" s="112" t="str">
        <f t="shared" si="54"/>
        <v/>
      </c>
      <c r="C1762" s="183"/>
      <c r="D1762" s="152"/>
      <c r="E1762" s="152"/>
      <c r="F1762" s="151"/>
      <c r="G1762" s="153"/>
      <c r="H1762" s="151"/>
      <c r="I1762" s="151"/>
      <c r="J1762" s="151"/>
      <c r="K1762" s="151"/>
      <c r="L1762" s="151"/>
      <c r="M1762" s="151"/>
      <c r="N1762" s="151"/>
      <c r="O1762" s="151"/>
      <c r="P1762" s="151"/>
      <c r="Q1762" s="151"/>
      <c r="R1762" s="151"/>
      <c r="S1762" s="152"/>
      <c r="T1762" s="151"/>
      <c r="U1762" s="151"/>
      <c r="V1762" s="153"/>
      <c r="W1762" s="151"/>
      <c r="X1762" s="151"/>
      <c r="Y1762" s="153"/>
      <c r="Z1762" s="151"/>
      <c r="AA1762" s="187" t="str">
        <f t="shared" si="55"/>
        <v>No</v>
      </c>
      <c r="AB1762" s="158"/>
      <c r="AC1762" s="159"/>
      <c r="AD1762" s="160"/>
    </row>
    <row r="1763" spans="1:30">
      <c r="A1763" s="155"/>
      <c r="B1763" s="112" t="str">
        <f t="shared" si="54"/>
        <v/>
      </c>
      <c r="C1763" s="183"/>
      <c r="D1763" s="152"/>
      <c r="E1763" s="152"/>
      <c r="F1763" s="151"/>
      <c r="G1763" s="153"/>
      <c r="H1763" s="151"/>
      <c r="I1763" s="151"/>
      <c r="J1763" s="151"/>
      <c r="K1763" s="151"/>
      <c r="L1763" s="151"/>
      <c r="M1763" s="151"/>
      <c r="N1763" s="151"/>
      <c r="O1763" s="151"/>
      <c r="P1763" s="151"/>
      <c r="Q1763" s="151"/>
      <c r="R1763" s="151"/>
      <c r="S1763" s="152"/>
      <c r="T1763" s="151"/>
      <c r="U1763" s="151"/>
      <c r="V1763" s="153"/>
      <c r="W1763" s="151"/>
      <c r="X1763" s="151"/>
      <c r="Y1763" s="153"/>
      <c r="Z1763" s="151"/>
      <c r="AA1763" s="187" t="str">
        <f t="shared" si="55"/>
        <v>No</v>
      </c>
      <c r="AB1763" s="158"/>
      <c r="AC1763" s="159"/>
      <c r="AD1763" s="160"/>
    </row>
    <row r="1764" spans="1:30">
      <c r="A1764" s="155"/>
      <c r="B1764" s="112" t="str">
        <f t="shared" si="54"/>
        <v/>
      </c>
      <c r="C1764" s="183"/>
      <c r="D1764" s="152"/>
      <c r="E1764" s="152"/>
      <c r="F1764" s="151"/>
      <c r="G1764" s="153"/>
      <c r="H1764" s="151"/>
      <c r="I1764" s="151"/>
      <c r="J1764" s="151"/>
      <c r="K1764" s="151"/>
      <c r="L1764" s="151"/>
      <c r="M1764" s="151"/>
      <c r="N1764" s="151"/>
      <c r="O1764" s="151"/>
      <c r="P1764" s="151"/>
      <c r="Q1764" s="151"/>
      <c r="R1764" s="151"/>
      <c r="S1764" s="152"/>
      <c r="T1764" s="151"/>
      <c r="U1764" s="151"/>
      <c r="V1764" s="153"/>
      <c r="W1764" s="151"/>
      <c r="X1764" s="151"/>
      <c r="Y1764" s="153"/>
      <c r="Z1764" s="151"/>
      <c r="AA1764" s="187" t="str">
        <f t="shared" si="55"/>
        <v>No</v>
      </c>
      <c r="AB1764" s="158"/>
      <c r="AC1764" s="159"/>
      <c r="AD1764" s="160"/>
    </row>
    <row r="1765" spans="1:30">
      <c r="A1765" s="155"/>
      <c r="B1765" s="112" t="str">
        <f t="shared" si="54"/>
        <v/>
      </c>
      <c r="C1765" s="183"/>
      <c r="D1765" s="152"/>
      <c r="E1765" s="152"/>
      <c r="F1765" s="151"/>
      <c r="G1765" s="153"/>
      <c r="H1765" s="151"/>
      <c r="I1765" s="151"/>
      <c r="J1765" s="151"/>
      <c r="K1765" s="151"/>
      <c r="L1765" s="151"/>
      <c r="M1765" s="151"/>
      <c r="N1765" s="151"/>
      <c r="O1765" s="151"/>
      <c r="P1765" s="151"/>
      <c r="Q1765" s="151"/>
      <c r="R1765" s="151"/>
      <c r="S1765" s="152"/>
      <c r="T1765" s="151"/>
      <c r="U1765" s="151"/>
      <c r="V1765" s="153"/>
      <c r="W1765" s="151"/>
      <c r="X1765" s="151"/>
      <c r="Y1765" s="153"/>
      <c r="Z1765" s="151"/>
      <c r="AA1765" s="187" t="str">
        <f t="shared" si="55"/>
        <v>No</v>
      </c>
      <c r="AB1765" s="158"/>
      <c r="AC1765" s="159"/>
      <c r="AD1765" s="160"/>
    </row>
    <row r="1766" spans="1:30">
      <c r="A1766" s="155"/>
      <c r="B1766" s="112" t="str">
        <f t="shared" si="54"/>
        <v/>
      </c>
      <c r="C1766" s="183"/>
      <c r="D1766" s="152"/>
      <c r="E1766" s="152"/>
      <c r="F1766" s="151"/>
      <c r="G1766" s="153"/>
      <c r="H1766" s="151"/>
      <c r="I1766" s="151"/>
      <c r="J1766" s="151"/>
      <c r="K1766" s="151"/>
      <c r="L1766" s="151"/>
      <c r="M1766" s="151"/>
      <c r="N1766" s="151"/>
      <c r="O1766" s="151"/>
      <c r="P1766" s="151"/>
      <c r="Q1766" s="151"/>
      <c r="R1766" s="151"/>
      <c r="S1766" s="152"/>
      <c r="T1766" s="151"/>
      <c r="U1766" s="151"/>
      <c r="V1766" s="153"/>
      <c r="W1766" s="151"/>
      <c r="X1766" s="151"/>
      <c r="Y1766" s="153"/>
      <c r="Z1766" s="151"/>
      <c r="AA1766" s="187" t="str">
        <f t="shared" si="55"/>
        <v>No</v>
      </c>
      <c r="AB1766" s="158"/>
      <c r="AC1766" s="159"/>
      <c r="AD1766" s="160"/>
    </row>
    <row r="1767" spans="1:30">
      <c r="A1767" s="155"/>
      <c r="B1767" s="112" t="str">
        <f t="shared" si="54"/>
        <v/>
      </c>
      <c r="C1767" s="183"/>
      <c r="D1767" s="152"/>
      <c r="E1767" s="152"/>
      <c r="F1767" s="151"/>
      <c r="G1767" s="153"/>
      <c r="H1767" s="151"/>
      <c r="I1767" s="151"/>
      <c r="J1767" s="151"/>
      <c r="K1767" s="151"/>
      <c r="L1767" s="151"/>
      <c r="M1767" s="151"/>
      <c r="N1767" s="151"/>
      <c r="O1767" s="151"/>
      <c r="P1767" s="151"/>
      <c r="Q1767" s="151"/>
      <c r="R1767" s="151"/>
      <c r="S1767" s="152"/>
      <c r="T1767" s="151"/>
      <c r="U1767" s="151"/>
      <c r="V1767" s="153"/>
      <c r="W1767" s="151"/>
      <c r="X1767" s="151"/>
      <c r="Y1767" s="153"/>
      <c r="Z1767" s="151"/>
      <c r="AA1767" s="187" t="str">
        <f t="shared" si="55"/>
        <v>No</v>
      </c>
      <c r="AB1767" s="158"/>
      <c r="AC1767" s="159"/>
      <c r="AD1767" s="160"/>
    </row>
    <row r="1768" spans="1:30">
      <c r="A1768" s="155"/>
      <c r="B1768" s="112" t="str">
        <f t="shared" si="54"/>
        <v/>
      </c>
      <c r="C1768" s="183"/>
      <c r="D1768" s="152"/>
      <c r="E1768" s="152"/>
      <c r="F1768" s="151"/>
      <c r="G1768" s="153"/>
      <c r="H1768" s="151"/>
      <c r="I1768" s="151"/>
      <c r="J1768" s="151"/>
      <c r="K1768" s="151"/>
      <c r="L1768" s="151"/>
      <c r="M1768" s="151"/>
      <c r="N1768" s="151"/>
      <c r="O1768" s="151"/>
      <c r="P1768" s="151"/>
      <c r="Q1768" s="151"/>
      <c r="R1768" s="151"/>
      <c r="S1768" s="152"/>
      <c r="T1768" s="151"/>
      <c r="U1768" s="151"/>
      <c r="V1768" s="153"/>
      <c r="W1768" s="151"/>
      <c r="X1768" s="151"/>
      <c r="Y1768" s="153"/>
      <c r="Z1768" s="151"/>
      <c r="AA1768" s="187" t="str">
        <f t="shared" si="55"/>
        <v>No</v>
      </c>
      <c r="AB1768" s="158"/>
      <c r="AC1768" s="159"/>
      <c r="AD1768" s="160"/>
    </row>
    <row r="1769" spans="1:30">
      <c r="A1769" s="155"/>
      <c r="B1769" s="112" t="str">
        <f t="shared" si="54"/>
        <v/>
      </c>
      <c r="C1769" s="183"/>
      <c r="D1769" s="152"/>
      <c r="E1769" s="152"/>
      <c r="F1769" s="151"/>
      <c r="G1769" s="153"/>
      <c r="H1769" s="151"/>
      <c r="I1769" s="151"/>
      <c r="J1769" s="151"/>
      <c r="K1769" s="151"/>
      <c r="L1769" s="151"/>
      <c r="M1769" s="151"/>
      <c r="N1769" s="151"/>
      <c r="O1769" s="151"/>
      <c r="P1769" s="151"/>
      <c r="Q1769" s="151"/>
      <c r="R1769" s="151"/>
      <c r="S1769" s="152"/>
      <c r="T1769" s="151"/>
      <c r="U1769" s="151"/>
      <c r="V1769" s="153"/>
      <c r="W1769" s="151"/>
      <c r="X1769" s="151"/>
      <c r="Y1769" s="153"/>
      <c r="Z1769" s="151"/>
      <c r="AA1769" s="187" t="str">
        <f t="shared" si="55"/>
        <v>No</v>
      </c>
      <c r="AB1769" s="158"/>
      <c r="AC1769" s="159"/>
      <c r="AD1769" s="160"/>
    </row>
    <row r="1770" spans="1:30">
      <c r="A1770" s="155"/>
      <c r="B1770" s="112" t="str">
        <f t="shared" si="54"/>
        <v/>
      </c>
      <c r="C1770" s="183"/>
      <c r="D1770" s="152"/>
      <c r="E1770" s="152"/>
      <c r="F1770" s="151"/>
      <c r="G1770" s="153"/>
      <c r="H1770" s="151"/>
      <c r="I1770" s="151"/>
      <c r="J1770" s="151"/>
      <c r="K1770" s="151"/>
      <c r="L1770" s="151"/>
      <c r="M1770" s="151"/>
      <c r="N1770" s="151"/>
      <c r="O1770" s="151"/>
      <c r="P1770" s="151"/>
      <c r="Q1770" s="151"/>
      <c r="R1770" s="151"/>
      <c r="S1770" s="152"/>
      <c r="T1770" s="151"/>
      <c r="U1770" s="151"/>
      <c r="V1770" s="153"/>
      <c r="W1770" s="151"/>
      <c r="X1770" s="151"/>
      <c r="Y1770" s="153"/>
      <c r="Z1770" s="151"/>
      <c r="AA1770" s="187" t="str">
        <f t="shared" si="55"/>
        <v>No</v>
      </c>
      <c r="AB1770" s="158"/>
      <c r="AC1770" s="159"/>
      <c r="AD1770" s="160"/>
    </row>
    <row r="1771" spans="1:30">
      <c r="A1771" s="155"/>
      <c r="B1771" s="112" t="str">
        <f t="shared" si="54"/>
        <v/>
      </c>
      <c r="C1771" s="183"/>
      <c r="D1771" s="152"/>
      <c r="E1771" s="152"/>
      <c r="F1771" s="151"/>
      <c r="G1771" s="153"/>
      <c r="H1771" s="151"/>
      <c r="I1771" s="151"/>
      <c r="J1771" s="151"/>
      <c r="K1771" s="151"/>
      <c r="L1771" s="151"/>
      <c r="M1771" s="151"/>
      <c r="N1771" s="151"/>
      <c r="O1771" s="151"/>
      <c r="P1771" s="151"/>
      <c r="Q1771" s="151"/>
      <c r="R1771" s="151"/>
      <c r="S1771" s="152"/>
      <c r="T1771" s="151"/>
      <c r="U1771" s="151"/>
      <c r="V1771" s="153"/>
      <c r="W1771" s="151"/>
      <c r="X1771" s="151"/>
      <c r="Y1771" s="153"/>
      <c r="Z1771" s="151"/>
      <c r="AA1771" s="187" t="str">
        <f t="shared" si="55"/>
        <v>No</v>
      </c>
      <c r="AB1771" s="158"/>
      <c r="AC1771" s="159"/>
      <c r="AD1771" s="160"/>
    </row>
    <row r="1772" spans="1:30">
      <c r="A1772" s="155"/>
      <c r="B1772" s="112" t="str">
        <f t="shared" si="54"/>
        <v/>
      </c>
      <c r="C1772" s="183"/>
      <c r="D1772" s="152"/>
      <c r="E1772" s="152"/>
      <c r="F1772" s="151"/>
      <c r="G1772" s="153"/>
      <c r="H1772" s="151"/>
      <c r="I1772" s="151"/>
      <c r="J1772" s="151"/>
      <c r="K1772" s="151"/>
      <c r="L1772" s="151"/>
      <c r="M1772" s="151"/>
      <c r="N1772" s="151"/>
      <c r="O1772" s="151"/>
      <c r="P1772" s="151"/>
      <c r="Q1772" s="151"/>
      <c r="R1772" s="151"/>
      <c r="S1772" s="152"/>
      <c r="T1772" s="151"/>
      <c r="U1772" s="151"/>
      <c r="V1772" s="153"/>
      <c r="W1772" s="151"/>
      <c r="X1772" s="151"/>
      <c r="Y1772" s="153"/>
      <c r="Z1772" s="151"/>
      <c r="AA1772" s="187" t="str">
        <f t="shared" si="55"/>
        <v>No</v>
      </c>
      <c r="AB1772" s="158"/>
      <c r="AC1772" s="159"/>
      <c r="AD1772" s="160"/>
    </row>
    <row r="1773" spans="1:30">
      <c r="A1773" s="155"/>
      <c r="B1773" s="112" t="str">
        <f t="shared" si="54"/>
        <v/>
      </c>
      <c r="C1773" s="183"/>
      <c r="D1773" s="152"/>
      <c r="E1773" s="152"/>
      <c r="F1773" s="151"/>
      <c r="G1773" s="153"/>
      <c r="H1773" s="151"/>
      <c r="I1773" s="151"/>
      <c r="J1773" s="151"/>
      <c r="K1773" s="151"/>
      <c r="L1773" s="151"/>
      <c r="M1773" s="151"/>
      <c r="N1773" s="151"/>
      <c r="O1773" s="151"/>
      <c r="P1773" s="151"/>
      <c r="Q1773" s="151"/>
      <c r="R1773" s="151"/>
      <c r="S1773" s="152"/>
      <c r="T1773" s="151"/>
      <c r="U1773" s="151"/>
      <c r="V1773" s="153"/>
      <c r="W1773" s="151"/>
      <c r="X1773" s="151"/>
      <c r="Y1773" s="153"/>
      <c r="Z1773" s="151"/>
      <c r="AA1773" s="187" t="str">
        <f t="shared" si="55"/>
        <v>No</v>
      </c>
      <c r="AB1773" s="158"/>
      <c r="AC1773" s="159"/>
      <c r="AD1773" s="160"/>
    </row>
    <row r="1774" spans="1:30">
      <c r="A1774" s="155"/>
      <c r="B1774" s="112" t="str">
        <f t="shared" si="54"/>
        <v/>
      </c>
      <c r="C1774" s="183"/>
      <c r="D1774" s="152"/>
      <c r="E1774" s="152"/>
      <c r="F1774" s="151"/>
      <c r="G1774" s="153"/>
      <c r="H1774" s="151"/>
      <c r="I1774" s="151"/>
      <c r="J1774" s="151"/>
      <c r="K1774" s="151"/>
      <c r="L1774" s="151"/>
      <c r="M1774" s="151"/>
      <c r="N1774" s="151"/>
      <c r="O1774" s="151"/>
      <c r="P1774" s="151"/>
      <c r="Q1774" s="151"/>
      <c r="R1774" s="151"/>
      <c r="S1774" s="152"/>
      <c r="T1774" s="151"/>
      <c r="U1774" s="151"/>
      <c r="V1774" s="153"/>
      <c r="W1774" s="151"/>
      <c r="X1774" s="151"/>
      <c r="Y1774" s="153"/>
      <c r="Z1774" s="151"/>
      <c r="AA1774" s="187" t="str">
        <f t="shared" si="55"/>
        <v>No</v>
      </c>
      <c r="AB1774" s="158"/>
      <c r="AC1774" s="159"/>
      <c r="AD1774" s="160"/>
    </row>
    <row r="1775" spans="1:30">
      <c r="A1775" s="155"/>
      <c r="B1775" s="112" t="str">
        <f t="shared" si="54"/>
        <v/>
      </c>
      <c r="C1775" s="183"/>
      <c r="D1775" s="152"/>
      <c r="E1775" s="152"/>
      <c r="F1775" s="151"/>
      <c r="G1775" s="153"/>
      <c r="H1775" s="151"/>
      <c r="I1775" s="151"/>
      <c r="J1775" s="151"/>
      <c r="K1775" s="151"/>
      <c r="L1775" s="151"/>
      <c r="M1775" s="151"/>
      <c r="N1775" s="151"/>
      <c r="O1775" s="151"/>
      <c r="P1775" s="151"/>
      <c r="Q1775" s="151"/>
      <c r="R1775" s="151"/>
      <c r="S1775" s="152"/>
      <c r="T1775" s="151"/>
      <c r="U1775" s="151"/>
      <c r="V1775" s="153"/>
      <c r="W1775" s="151"/>
      <c r="X1775" s="151"/>
      <c r="Y1775" s="153"/>
      <c r="Z1775" s="151"/>
      <c r="AA1775" s="187" t="str">
        <f t="shared" si="55"/>
        <v>No</v>
      </c>
      <c r="AB1775" s="158"/>
      <c r="AC1775" s="159"/>
      <c r="AD1775" s="160"/>
    </row>
    <row r="1776" spans="1:30">
      <c r="A1776" s="155"/>
      <c r="B1776" s="112" t="str">
        <f t="shared" si="54"/>
        <v/>
      </c>
      <c r="C1776" s="183"/>
      <c r="D1776" s="152"/>
      <c r="E1776" s="152"/>
      <c r="F1776" s="151"/>
      <c r="G1776" s="153"/>
      <c r="H1776" s="151"/>
      <c r="I1776" s="151"/>
      <c r="J1776" s="151"/>
      <c r="K1776" s="151"/>
      <c r="L1776" s="151"/>
      <c r="M1776" s="151"/>
      <c r="N1776" s="151"/>
      <c r="O1776" s="151"/>
      <c r="P1776" s="151"/>
      <c r="Q1776" s="151"/>
      <c r="R1776" s="151"/>
      <c r="S1776" s="152"/>
      <c r="T1776" s="151"/>
      <c r="U1776" s="151"/>
      <c r="V1776" s="153"/>
      <c r="W1776" s="151"/>
      <c r="X1776" s="151"/>
      <c r="Y1776" s="153"/>
      <c r="Z1776" s="151"/>
      <c r="AA1776" s="187" t="str">
        <f t="shared" si="55"/>
        <v>No</v>
      </c>
      <c r="AB1776" s="158"/>
      <c r="AC1776" s="159"/>
      <c r="AD1776" s="160"/>
    </row>
    <row r="1777" spans="1:30">
      <c r="A1777" s="155"/>
      <c r="B1777" s="112" t="str">
        <f t="shared" si="54"/>
        <v/>
      </c>
      <c r="C1777" s="183"/>
      <c r="D1777" s="152"/>
      <c r="E1777" s="152"/>
      <c r="F1777" s="151"/>
      <c r="G1777" s="153"/>
      <c r="H1777" s="151"/>
      <c r="I1777" s="151"/>
      <c r="J1777" s="151"/>
      <c r="K1777" s="151"/>
      <c r="L1777" s="151"/>
      <c r="M1777" s="151"/>
      <c r="N1777" s="151"/>
      <c r="O1777" s="151"/>
      <c r="P1777" s="151"/>
      <c r="Q1777" s="151"/>
      <c r="R1777" s="151"/>
      <c r="S1777" s="152"/>
      <c r="T1777" s="151"/>
      <c r="U1777" s="151"/>
      <c r="V1777" s="153"/>
      <c r="W1777" s="151"/>
      <c r="X1777" s="151"/>
      <c r="Y1777" s="153"/>
      <c r="Z1777" s="151"/>
      <c r="AA1777" s="187" t="str">
        <f t="shared" si="55"/>
        <v>No</v>
      </c>
      <c r="AB1777" s="158"/>
      <c r="AC1777" s="159"/>
      <c r="AD1777" s="160"/>
    </row>
    <row r="1778" spans="1:30">
      <c r="A1778" s="155"/>
      <c r="B1778" s="112" t="str">
        <f t="shared" si="54"/>
        <v/>
      </c>
      <c r="C1778" s="183"/>
      <c r="D1778" s="152"/>
      <c r="E1778" s="152"/>
      <c r="F1778" s="151"/>
      <c r="G1778" s="153"/>
      <c r="H1778" s="151"/>
      <c r="I1778" s="151"/>
      <c r="J1778" s="151"/>
      <c r="K1778" s="151"/>
      <c r="L1778" s="151"/>
      <c r="M1778" s="151"/>
      <c r="N1778" s="151"/>
      <c r="O1778" s="151"/>
      <c r="P1778" s="151"/>
      <c r="Q1778" s="151"/>
      <c r="R1778" s="151"/>
      <c r="S1778" s="152"/>
      <c r="T1778" s="151"/>
      <c r="U1778" s="151"/>
      <c r="V1778" s="153"/>
      <c r="W1778" s="151"/>
      <c r="X1778" s="151"/>
      <c r="Y1778" s="153"/>
      <c r="Z1778" s="151"/>
      <c r="AA1778" s="187" t="str">
        <f t="shared" si="55"/>
        <v>No</v>
      </c>
      <c r="AB1778" s="158"/>
      <c r="AC1778" s="159"/>
      <c r="AD1778" s="160"/>
    </row>
    <row r="1779" spans="1:30">
      <c r="A1779" s="155"/>
      <c r="B1779" s="112" t="str">
        <f t="shared" si="54"/>
        <v/>
      </c>
      <c r="C1779" s="183"/>
      <c r="D1779" s="152"/>
      <c r="E1779" s="152"/>
      <c r="F1779" s="151"/>
      <c r="G1779" s="153"/>
      <c r="H1779" s="151"/>
      <c r="I1779" s="151"/>
      <c r="J1779" s="151"/>
      <c r="K1779" s="151"/>
      <c r="L1779" s="151"/>
      <c r="M1779" s="151"/>
      <c r="N1779" s="151"/>
      <c r="O1779" s="151"/>
      <c r="P1779" s="151"/>
      <c r="Q1779" s="151"/>
      <c r="R1779" s="151"/>
      <c r="S1779" s="152"/>
      <c r="T1779" s="151"/>
      <c r="U1779" s="151"/>
      <c r="V1779" s="153"/>
      <c r="W1779" s="151"/>
      <c r="X1779" s="151"/>
      <c r="Y1779" s="153"/>
      <c r="Z1779" s="151"/>
      <c r="AA1779" s="187" t="str">
        <f t="shared" si="55"/>
        <v>No</v>
      </c>
      <c r="AB1779" s="158"/>
      <c r="AC1779" s="159"/>
      <c r="AD1779" s="160"/>
    </row>
    <row r="1780" spans="1:30">
      <c r="A1780" s="155"/>
      <c r="B1780" s="112" t="str">
        <f t="shared" si="54"/>
        <v/>
      </c>
      <c r="C1780" s="183"/>
      <c r="D1780" s="152"/>
      <c r="E1780" s="152"/>
      <c r="F1780" s="151"/>
      <c r="G1780" s="153"/>
      <c r="H1780" s="151"/>
      <c r="I1780" s="151"/>
      <c r="J1780" s="151"/>
      <c r="K1780" s="151"/>
      <c r="L1780" s="151"/>
      <c r="M1780" s="151"/>
      <c r="N1780" s="151"/>
      <c r="O1780" s="151"/>
      <c r="P1780" s="151"/>
      <c r="Q1780" s="151"/>
      <c r="R1780" s="151"/>
      <c r="S1780" s="152"/>
      <c r="T1780" s="151"/>
      <c r="U1780" s="151"/>
      <c r="V1780" s="153"/>
      <c r="W1780" s="151"/>
      <c r="X1780" s="151"/>
      <c r="Y1780" s="153"/>
      <c r="Z1780" s="151"/>
      <c r="AA1780" s="187" t="str">
        <f t="shared" si="55"/>
        <v>No</v>
      </c>
      <c r="AB1780" s="158"/>
      <c r="AC1780" s="159"/>
      <c r="AD1780" s="160"/>
    </row>
    <row r="1781" spans="1:30">
      <c r="A1781" s="155"/>
      <c r="B1781" s="112" t="str">
        <f t="shared" si="54"/>
        <v/>
      </c>
      <c r="C1781" s="183"/>
      <c r="D1781" s="152"/>
      <c r="E1781" s="152"/>
      <c r="F1781" s="151"/>
      <c r="G1781" s="153"/>
      <c r="H1781" s="151"/>
      <c r="I1781" s="151"/>
      <c r="J1781" s="151"/>
      <c r="K1781" s="151"/>
      <c r="L1781" s="151"/>
      <c r="M1781" s="151"/>
      <c r="N1781" s="151"/>
      <c r="O1781" s="151"/>
      <c r="P1781" s="151"/>
      <c r="Q1781" s="151"/>
      <c r="R1781" s="151"/>
      <c r="S1781" s="152"/>
      <c r="T1781" s="151"/>
      <c r="U1781" s="151"/>
      <c r="V1781" s="153"/>
      <c r="W1781" s="151"/>
      <c r="X1781" s="151"/>
      <c r="Y1781" s="153"/>
      <c r="Z1781" s="151"/>
      <c r="AA1781" s="187" t="str">
        <f t="shared" si="55"/>
        <v>No</v>
      </c>
      <c r="AB1781" s="158"/>
      <c r="AC1781" s="159"/>
      <c r="AD1781" s="160"/>
    </row>
    <row r="1782" spans="1:30">
      <c r="A1782" s="155"/>
      <c r="B1782" s="112" t="str">
        <f t="shared" si="54"/>
        <v/>
      </c>
      <c r="C1782" s="183"/>
      <c r="D1782" s="152"/>
      <c r="E1782" s="152"/>
      <c r="F1782" s="151"/>
      <c r="G1782" s="153"/>
      <c r="H1782" s="151"/>
      <c r="I1782" s="151"/>
      <c r="J1782" s="151"/>
      <c r="K1782" s="151"/>
      <c r="L1782" s="151"/>
      <c r="M1782" s="151"/>
      <c r="N1782" s="151"/>
      <c r="O1782" s="151"/>
      <c r="P1782" s="151"/>
      <c r="Q1782" s="151"/>
      <c r="R1782" s="151"/>
      <c r="S1782" s="152"/>
      <c r="T1782" s="151"/>
      <c r="U1782" s="151"/>
      <c r="V1782" s="153"/>
      <c r="W1782" s="151"/>
      <c r="X1782" s="151"/>
      <c r="Y1782" s="153"/>
      <c r="Z1782" s="151"/>
      <c r="AA1782" s="187" t="str">
        <f t="shared" si="55"/>
        <v>No</v>
      </c>
      <c r="AB1782" s="158"/>
      <c r="AC1782" s="159"/>
      <c r="AD1782" s="160"/>
    </row>
    <row r="1783" spans="1:30">
      <c r="A1783" s="155"/>
      <c r="B1783" s="112" t="str">
        <f t="shared" si="54"/>
        <v/>
      </c>
      <c r="C1783" s="183"/>
      <c r="D1783" s="152"/>
      <c r="E1783" s="152"/>
      <c r="F1783" s="151"/>
      <c r="G1783" s="153"/>
      <c r="H1783" s="151"/>
      <c r="I1783" s="151"/>
      <c r="J1783" s="151"/>
      <c r="K1783" s="151"/>
      <c r="L1783" s="151"/>
      <c r="M1783" s="151"/>
      <c r="N1783" s="151"/>
      <c r="O1783" s="151"/>
      <c r="P1783" s="151"/>
      <c r="Q1783" s="151"/>
      <c r="R1783" s="151"/>
      <c r="S1783" s="152"/>
      <c r="T1783" s="151"/>
      <c r="U1783" s="151"/>
      <c r="V1783" s="153"/>
      <c r="W1783" s="151"/>
      <c r="X1783" s="151"/>
      <c r="Y1783" s="153"/>
      <c r="Z1783" s="151"/>
      <c r="AA1783" s="187" t="str">
        <f t="shared" si="55"/>
        <v>No</v>
      </c>
      <c r="AB1783" s="158"/>
      <c r="AC1783" s="159"/>
      <c r="AD1783" s="160"/>
    </row>
    <row r="1784" spans="1:30">
      <c r="A1784" s="155"/>
      <c r="B1784" s="112" t="str">
        <f t="shared" si="54"/>
        <v/>
      </c>
      <c r="C1784" s="183"/>
      <c r="D1784" s="152"/>
      <c r="E1784" s="152"/>
      <c r="F1784" s="151"/>
      <c r="G1784" s="153"/>
      <c r="H1784" s="151"/>
      <c r="I1784" s="151"/>
      <c r="J1784" s="151"/>
      <c r="K1784" s="151"/>
      <c r="L1784" s="151"/>
      <c r="M1784" s="151"/>
      <c r="N1784" s="151"/>
      <c r="O1784" s="151"/>
      <c r="P1784" s="151"/>
      <c r="Q1784" s="151"/>
      <c r="R1784" s="151"/>
      <c r="S1784" s="152"/>
      <c r="T1784" s="151"/>
      <c r="U1784" s="151"/>
      <c r="V1784" s="153"/>
      <c r="W1784" s="151"/>
      <c r="X1784" s="151"/>
      <c r="Y1784" s="153"/>
      <c r="Z1784" s="151"/>
      <c r="AA1784" s="187" t="str">
        <f t="shared" si="55"/>
        <v>No</v>
      </c>
      <c r="AB1784" s="158"/>
      <c r="AC1784" s="159"/>
      <c r="AD1784" s="160"/>
    </row>
    <row r="1785" spans="1:30">
      <c r="A1785" s="155"/>
      <c r="B1785" s="112" t="str">
        <f t="shared" si="54"/>
        <v/>
      </c>
      <c r="C1785" s="183"/>
      <c r="D1785" s="152"/>
      <c r="E1785" s="152"/>
      <c r="F1785" s="151"/>
      <c r="G1785" s="153"/>
      <c r="H1785" s="151"/>
      <c r="I1785" s="151"/>
      <c r="J1785" s="151"/>
      <c r="K1785" s="151"/>
      <c r="L1785" s="151"/>
      <c r="M1785" s="151"/>
      <c r="N1785" s="151"/>
      <c r="O1785" s="151"/>
      <c r="P1785" s="151"/>
      <c r="Q1785" s="151"/>
      <c r="R1785" s="151"/>
      <c r="S1785" s="152"/>
      <c r="T1785" s="151"/>
      <c r="U1785" s="151"/>
      <c r="V1785" s="153"/>
      <c r="W1785" s="151"/>
      <c r="X1785" s="151"/>
      <c r="Y1785" s="153"/>
      <c r="Z1785" s="151"/>
      <c r="AA1785" s="187" t="str">
        <f t="shared" si="55"/>
        <v>No</v>
      </c>
      <c r="AB1785" s="158"/>
      <c r="AC1785" s="159"/>
      <c r="AD1785" s="160"/>
    </row>
    <row r="1786" spans="1:30">
      <c r="A1786" s="155"/>
      <c r="B1786" s="112" t="str">
        <f t="shared" si="54"/>
        <v/>
      </c>
      <c r="C1786" s="183"/>
      <c r="D1786" s="152"/>
      <c r="E1786" s="152"/>
      <c r="F1786" s="151"/>
      <c r="G1786" s="153"/>
      <c r="H1786" s="151"/>
      <c r="I1786" s="151"/>
      <c r="J1786" s="151"/>
      <c r="K1786" s="151"/>
      <c r="L1786" s="151"/>
      <c r="M1786" s="151"/>
      <c r="N1786" s="151"/>
      <c r="O1786" s="151"/>
      <c r="P1786" s="151"/>
      <c r="Q1786" s="151"/>
      <c r="R1786" s="151"/>
      <c r="S1786" s="152"/>
      <c r="T1786" s="151"/>
      <c r="U1786" s="151"/>
      <c r="V1786" s="153"/>
      <c r="W1786" s="151"/>
      <c r="X1786" s="151"/>
      <c r="Y1786" s="153"/>
      <c r="Z1786" s="151"/>
      <c r="AA1786" s="187" t="str">
        <f t="shared" si="55"/>
        <v>No</v>
      </c>
      <c r="AB1786" s="158"/>
      <c r="AC1786" s="159"/>
      <c r="AD1786" s="160"/>
    </row>
    <row r="1787" spans="1:30">
      <c r="A1787" s="155"/>
      <c r="B1787" s="112" t="str">
        <f t="shared" si="54"/>
        <v/>
      </c>
      <c r="C1787" s="183"/>
      <c r="D1787" s="152"/>
      <c r="E1787" s="152"/>
      <c r="F1787" s="151"/>
      <c r="G1787" s="153"/>
      <c r="H1787" s="151"/>
      <c r="I1787" s="151"/>
      <c r="J1787" s="151"/>
      <c r="K1787" s="151"/>
      <c r="L1787" s="151"/>
      <c r="M1787" s="151"/>
      <c r="N1787" s="151"/>
      <c r="O1787" s="151"/>
      <c r="P1787" s="151"/>
      <c r="Q1787" s="151"/>
      <c r="R1787" s="151"/>
      <c r="S1787" s="152"/>
      <c r="T1787" s="151"/>
      <c r="U1787" s="151"/>
      <c r="V1787" s="153"/>
      <c r="W1787" s="151"/>
      <c r="X1787" s="151"/>
      <c r="Y1787" s="153"/>
      <c r="Z1787" s="151"/>
      <c r="AA1787" s="187" t="str">
        <f t="shared" si="55"/>
        <v>No</v>
      </c>
      <c r="AB1787" s="158"/>
      <c r="AC1787" s="159"/>
      <c r="AD1787" s="160"/>
    </row>
    <row r="1788" spans="1:30">
      <c r="A1788" s="155"/>
      <c r="B1788" s="112" t="str">
        <f t="shared" si="54"/>
        <v/>
      </c>
      <c r="C1788" s="183"/>
      <c r="D1788" s="152"/>
      <c r="E1788" s="152"/>
      <c r="F1788" s="151"/>
      <c r="G1788" s="153"/>
      <c r="H1788" s="151"/>
      <c r="I1788" s="151"/>
      <c r="J1788" s="151"/>
      <c r="K1788" s="151"/>
      <c r="L1788" s="151"/>
      <c r="M1788" s="151"/>
      <c r="N1788" s="151"/>
      <c r="O1788" s="151"/>
      <c r="P1788" s="151"/>
      <c r="Q1788" s="151"/>
      <c r="R1788" s="151"/>
      <c r="S1788" s="152"/>
      <c r="T1788" s="151"/>
      <c r="U1788" s="151"/>
      <c r="V1788" s="153"/>
      <c r="W1788" s="151"/>
      <c r="X1788" s="151"/>
      <c r="Y1788" s="153"/>
      <c r="Z1788" s="151"/>
      <c r="AA1788" s="187" t="str">
        <f t="shared" si="55"/>
        <v>No</v>
      </c>
      <c r="AB1788" s="158"/>
      <c r="AC1788" s="159"/>
      <c r="AD1788" s="160"/>
    </row>
    <row r="1789" spans="1:30">
      <c r="A1789" s="155"/>
      <c r="B1789" s="112" t="str">
        <f t="shared" si="54"/>
        <v/>
      </c>
      <c r="C1789" s="183"/>
      <c r="D1789" s="152"/>
      <c r="E1789" s="152"/>
      <c r="F1789" s="151"/>
      <c r="G1789" s="153"/>
      <c r="H1789" s="151"/>
      <c r="I1789" s="151"/>
      <c r="J1789" s="151"/>
      <c r="K1789" s="151"/>
      <c r="L1789" s="151"/>
      <c r="M1789" s="151"/>
      <c r="N1789" s="151"/>
      <c r="O1789" s="151"/>
      <c r="P1789" s="151"/>
      <c r="Q1789" s="151"/>
      <c r="R1789" s="151"/>
      <c r="S1789" s="152"/>
      <c r="T1789" s="151"/>
      <c r="U1789" s="151"/>
      <c r="V1789" s="153"/>
      <c r="W1789" s="151"/>
      <c r="X1789" s="151"/>
      <c r="Y1789" s="153"/>
      <c r="Z1789" s="151"/>
      <c r="AA1789" s="187" t="str">
        <f t="shared" si="55"/>
        <v>No</v>
      </c>
      <c r="AB1789" s="158"/>
      <c r="AC1789" s="159"/>
      <c r="AD1789" s="160"/>
    </row>
    <row r="1790" spans="1:30">
      <c r="A1790" s="155"/>
      <c r="B1790" s="112" t="str">
        <f t="shared" si="54"/>
        <v/>
      </c>
      <c r="C1790" s="183"/>
      <c r="D1790" s="152"/>
      <c r="E1790" s="152"/>
      <c r="F1790" s="151"/>
      <c r="G1790" s="153"/>
      <c r="H1790" s="151"/>
      <c r="I1790" s="151"/>
      <c r="J1790" s="151"/>
      <c r="K1790" s="151"/>
      <c r="L1790" s="151"/>
      <c r="M1790" s="151"/>
      <c r="N1790" s="151"/>
      <c r="O1790" s="151"/>
      <c r="P1790" s="151"/>
      <c r="Q1790" s="151"/>
      <c r="R1790" s="151"/>
      <c r="S1790" s="152"/>
      <c r="T1790" s="151"/>
      <c r="U1790" s="151"/>
      <c r="V1790" s="153"/>
      <c r="W1790" s="151"/>
      <c r="X1790" s="151"/>
      <c r="Y1790" s="153"/>
      <c r="Z1790" s="151"/>
      <c r="AA1790" s="187" t="str">
        <f t="shared" si="55"/>
        <v>No</v>
      </c>
      <c r="AB1790" s="158"/>
      <c r="AC1790" s="159"/>
      <c r="AD1790" s="160"/>
    </row>
    <row r="1791" spans="1:30">
      <c r="A1791" s="155"/>
      <c r="B1791" s="112" t="str">
        <f t="shared" si="54"/>
        <v/>
      </c>
      <c r="C1791" s="183"/>
      <c r="D1791" s="152"/>
      <c r="E1791" s="152"/>
      <c r="F1791" s="151"/>
      <c r="G1791" s="153"/>
      <c r="H1791" s="151"/>
      <c r="I1791" s="151"/>
      <c r="J1791" s="151"/>
      <c r="K1791" s="151"/>
      <c r="L1791" s="151"/>
      <c r="M1791" s="151"/>
      <c r="N1791" s="151"/>
      <c r="O1791" s="151"/>
      <c r="P1791" s="151"/>
      <c r="Q1791" s="151"/>
      <c r="R1791" s="151"/>
      <c r="S1791" s="152"/>
      <c r="T1791" s="151"/>
      <c r="U1791" s="151"/>
      <c r="V1791" s="153"/>
      <c r="W1791" s="151"/>
      <c r="X1791" s="151"/>
      <c r="Y1791" s="153"/>
      <c r="Z1791" s="151"/>
      <c r="AA1791" s="187" t="str">
        <f t="shared" si="55"/>
        <v>No</v>
      </c>
      <c r="AB1791" s="158"/>
      <c r="AC1791" s="159"/>
      <c r="AD1791" s="160"/>
    </row>
    <row r="1792" spans="1:30">
      <c r="A1792" s="155"/>
      <c r="B1792" s="112" t="str">
        <f t="shared" si="54"/>
        <v/>
      </c>
      <c r="C1792" s="183"/>
      <c r="D1792" s="152"/>
      <c r="E1792" s="152"/>
      <c r="F1792" s="151"/>
      <c r="G1792" s="153"/>
      <c r="H1792" s="151"/>
      <c r="I1792" s="151"/>
      <c r="J1792" s="151"/>
      <c r="K1792" s="151"/>
      <c r="L1792" s="151"/>
      <c r="M1792" s="151"/>
      <c r="N1792" s="151"/>
      <c r="O1792" s="151"/>
      <c r="P1792" s="151"/>
      <c r="Q1792" s="151"/>
      <c r="R1792" s="151"/>
      <c r="S1792" s="152"/>
      <c r="T1792" s="151"/>
      <c r="U1792" s="151"/>
      <c r="V1792" s="153"/>
      <c r="W1792" s="151"/>
      <c r="X1792" s="151"/>
      <c r="Y1792" s="153"/>
      <c r="Z1792" s="151"/>
      <c r="AA1792" s="187" t="str">
        <f t="shared" si="55"/>
        <v>No</v>
      </c>
      <c r="AB1792" s="158"/>
      <c r="AC1792" s="159"/>
      <c r="AD1792" s="160"/>
    </row>
    <row r="1793" spans="1:30">
      <c r="A1793" s="155"/>
      <c r="B1793" s="112" t="str">
        <f t="shared" si="54"/>
        <v/>
      </c>
      <c r="C1793" s="183"/>
      <c r="D1793" s="152"/>
      <c r="E1793" s="152"/>
      <c r="F1793" s="151"/>
      <c r="G1793" s="153"/>
      <c r="H1793" s="151"/>
      <c r="I1793" s="151"/>
      <c r="J1793" s="151"/>
      <c r="K1793" s="151"/>
      <c r="L1793" s="151"/>
      <c r="M1793" s="151"/>
      <c r="N1793" s="151"/>
      <c r="O1793" s="151"/>
      <c r="P1793" s="151"/>
      <c r="Q1793" s="151"/>
      <c r="R1793" s="151"/>
      <c r="S1793" s="152"/>
      <c r="T1793" s="151"/>
      <c r="U1793" s="151"/>
      <c r="V1793" s="153"/>
      <c r="W1793" s="151"/>
      <c r="X1793" s="151"/>
      <c r="Y1793" s="153"/>
      <c r="Z1793" s="151"/>
      <c r="AA1793" s="187" t="str">
        <f t="shared" si="55"/>
        <v>No</v>
      </c>
      <c r="AB1793" s="158"/>
      <c r="AC1793" s="159"/>
      <c r="AD1793" s="160"/>
    </row>
    <row r="1794" spans="1:30">
      <c r="A1794" s="155"/>
      <c r="B1794" s="112" t="str">
        <f t="shared" si="54"/>
        <v/>
      </c>
      <c r="C1794" s="183"/>
      <c r="D1794" s="152"/>
      <c r="E1794" s="152"/>
      <c r="F1794" s="151"/>
      <c r="G1794" s="153"/>
      <c r="H1794" s="151"/>
      <c r="I1794" s="151"/>
      <c r="J1794" s="151"/>
      <c r="K1794" s="151"/>
      <c r="L1794" s="151"/>
      <c r="M1794" s="151"/>
      <c r="N1794" s="151"/>
      <c r="O1794" s="151"/>
      <c r="P1794" s="151"/>
      <c r="Q1794" s="151"/>
      <c r="R1794" s="151"/>
      <c r="S1794" s="152"/>
      <c r="T1794" s="151"/>
      <c r="U1794" s="151"/>
      <c r="V1794" s="153"/>
      <c r="W1794" s="151"/>
      <c r="X1794" s="151"/>
      <c r="Y1794" s="153"/>
      <c r="Z1794" s="151"/>
      <c r="AA1794" s="187" t="str">
        <f t="shared" si="55"/>
        <v>No</v>
      </c>
      <c r="AB1794" s="158"/>
      <c r="AC1794" s="159"/>
      <c r="AD1794" s="160"/>
    </row>
    <row r="1795" spans="1:30">
      <c r="A1795" s="155"/>
      <c r="B1795" s="112" t="str">
        <f t="shared" si="54"/>
        <v/>
      </c>
      <c r="C1795" s="183"/>
      <c r="D1795" s="152"/>
      <c r="E1795" s="152"/>
      <c r="F1795" s="151"/>
      <c r="G1795" s="153"/>
      <c r="H1795" s="151"/>
      <c r="I1795" s="151"/>
      <c r="J1795" s="151"/>
      <c r="K1795" s="151"/>
      <c r="L1795" s="151"/>
      <c r="M1795" s="151"/>
      <c r="N1795" s="151"/>
      <c r="O1795" s="151"/>
      <c r="P1795" s="151"/>
      <c r="Q1795" s="151"/>
      <c r="R1795" s="151"/>
      <c r="S1795" s="152"/>
      <c r="T1795" s="151"/>
      <c r="U1795" s="151"/>
      <c r="V1795" s="153"/>
      <c r="W1795" s="151"/>
      <c r="X1795" s="151"/>
      <c r="Y1795" s="153"/>
      <c r="Z1795" s="151"/>
      <c r="AA1795" s="187" t="str">
        <f t="shared" si="55"/>
        <v>No</v>
      </c>
      <c r="AB1795" s="158"/>
      <c r="AC1795" s="159"/>
      <c r="AD1795" s="160"/>
    </row>
    <row r="1796" spans="1:30">
      <c r="A1796" s="155"/>
      <c r="B1796" s="112" t="str">
        <f t="shared" si="54"/>
        <v/>
      </c>
      <c r="C1796" s="183"/>
      <c r="D1796" s="152"/>
      <c r="E1796" s="152"/>
      <c r="F1796" s="151"/>
      <c r="G1796" s="153"/>
      <c r="H1796" s="151"/>
      <c r="I1796" s="151"/>
      <c r="J1796" s="151"/>
      <c r="K1796" s="151"/>
      <c r="L1796" s="151"/>
      <c r="M1796" s="151"/>
      <c r="N1796" s="151"/>
      <c r="O1796" s="151"/>
      <c r="P1796" s="151"/>
      <c r="Q1796" s="151"/>
      <c r="R1796" s="151"/>
      <c r="S1796" s="152"/>
      <c r="T1796" s="151"/>
      <c r="U1796" s="151"/>
      <c r="V1796" s="153"/>
      <c r="W1796" s="151"/>
      <c r="X1796" s="151"/>
      <c r="Y1796" s="153"/>
      <c r="Z1796" s="151"/>
      <c r="AA1796" s="187" t="str">
        <f t="shared" si="55"/>
        <v>No</v>
      </c>
      <c r="AB1796" s="158"/>
      <c r="AC1796" s="159"/>
      <c r="AD1796" s="160"/>
    </row>
    <row r="1797" spans="1:30">
      <c r="A1797" s="155"/>
      <c r="B1797" s="112" t="str">
        <f t="shared" ref="B1797:B1860" si="56">IF(AND(A1797&lt;&gt;"",D1797&lt;&gt;"",J1797&lt;&gt;"",N1797&lt;&gt;""),TEXT(D1797,"YY")&amp;"-"&amp;TEXT(D1797,"MMM")&amp;"-"&amp;UPPER(LEFT(TRIM(N1797),2))&amp;"-"&amp;UPPER(LEFT(TRIM(J1797),3))&amp;"-"&amp;A1797,"")</f>
        <v/>
      </c>
      <c r="C1797" s="183"/>
      <c r="D1797" s="152"/>
      <c r="E1797" s="152"/>
      <c r="F1797" s="151"/>
      <c r="G1797" s="153"/>
      <c r="H1797" s="151"/>
      <c r="I1797" s="151"/>
      <c r="J1797" s="151"/>
      <c r="K1797" s="151"/>
      <c r="L1797" s="151"/>
      <c r="M1797" s="151"/>
      <c r="N1797" s="151"/>
      <c r="O1797" s="151"/>
      <c r="P1797" s="151"/>
      <c r="Q1797" s="151"/>
      <c r="R1797" s="151"/>
      <c r="S1797" s="152"/>
      <c r="T1797" s="151"/>
      <c r="U1797" s="151"/>
      <c r="V1797" s="153"/>
      <c r="W1797" s="151"/>
      <c r="X1797" s="151"/>
      <c r="Y1797" s="153"/>
      <c r="Z1797" s="151"/>
      <c r="AA1797" s="187" t="str">
        <f t="shared" ref="AA1797:AA1860" si="57">IF(E1797="","No","Yes")</f>
        <v>No</v>
      </c>
      <c r="AB1797" s="158"/>
      <c r="AC1797" s="159"/>
      <c r="AD1797" s="160"/>
    </row>
    <row r="1798" spans="1:30">
      <c r="A1798" s="155"/>
      <c r="B1798" s="112" t="str">
        <f t="shared" si="56"/>
        <v/>
      </c>
      <c r="C1798" s="183"/>
      <c r="D1798" s="152"/>
      <c r="E1798" s="152"/>
      <c r="F1798" s="151"/>
      <c r="G1798" s="153"/>
      <c r="H1798" s="151"/>
      <c r="I1798" s="151"/>
      <c r="J1798" s="151"/>
      <c r="K1798" s="151"/>
      <c r="L1798" s="151"/>
      <c r="M1798" s="151"/>
      <c r="N1798" s="151"/>
      <c r="O1798" s="151"/>
      <c r="P1798" s="151"/>
      <c r="Q1798" s="151"/>
      <c r="R1798" s="151"/>
      <c r="S1798" s="152"/>
      <c r="T1798" s="151"/>
      <c r="U1798" s="151"/>
      <c r="V1798" s="153"/>
      <c r="W1798" s="151"/>
      <c r="X1798" s="151"/>
      <c r="Y1798" s="153"/>
      <c r="Z1798" s="151"/>
      <c r="AA1798" s="187" t="str">
        <f t="shared" si="57"/>
        <v>No</v>
      </c>
      <c r="AB1798" s="158"/>
      <c r="AC1798" s="159"/>
      <c r="AD1798" s="160"/>
    </row>
    <row r="1799" spans="1:30">
      <c r="A1799" s="155"/>
      <c r="B1799" s="112" t="str">
        <f t="shared" si="56"/>
        <v/>
      </c>
      <c r="C1799" s="183"/>
      <c r="D1799" s="152"/>
      <c r="E1799" s="152"/>
      <c r="F1799" s="151"/>
      <c r="G1799" s="153"/>
      <c r="H1799" s="151"/>
      <c r="I1799" s="151"/>
      <c r="J1799" s="151"/>
      <c r="K1799" s="151"/>
      <c r="L1799" s="151"/>
      <c r="M1799" s="151"/>
      <c r="N1799" s="151"/>
      <c r="O1799" s="151"/>
      <c r="P1799" s="151"/>
      <c r="Q1799" s="151"/>
      <c r="R1799" s="151"/>
      <c r="S1799" s="152"/>
      <c r="T1799" s="151"/>
      <c r="U1799" s="151"/>
      <c r="V1799" s="153"/>
      <c r="W1799" s="151"/>
      <c r="X1799" s="151"/>
      <c r="Y1799" s="153"/>
      <c r="Z1799" s="151"/>
      <c r="AA1799" s="187" t="str">
        <f t="shared" si="57"/>
        <v>No</v>
      </c>
      <c r="AB1799" s="158"/>
      <c r="AC1799" s="159"/>
      <c r="AD1799" s="160"/>
    </row>
    <row r="1800" spans="1:30">
      <c r="A1800" s="155"/>
      <c r="B1800" s="112" t="str">
        <f t="shared" si="56"/>
        <v/>
      </c>
      <c r="C1800" s="183"/>
      <c r="D1800" s="152"/>
      <c r="E1800" s="152"/>
      <c r="F1800" s="151"/>
      <c r="G1800" s="153"/>
      <c r="H1800" s="151"/>
      <c r="I1800" s="151"/>
      <c r="J1800" s="151"/>
      <c r="K1800" s="151"/>
      <c r="L1800" s="151"/>
      <c r="M1800" s="151"/>
      <c r="N1800" s="151"/>
      <c r="O1800" s="151"/>
      <c r="P1800" s="151"/>
      <c r="Q1800" s="151"/>
      <c r="R1800" s="151"/>
      <c r="S1800" s="152"/>
      <c r="T1800" s="151"/>
      <c r="U1800" s="151"/>
      <c r="V1800" s="153"/>
      <c r="W1800" s="151"/>
      <c r="X1800" s="151"/>
      <c r="Y1800" s="153"/>
      <c r="Z1800" s="151"/>
      <c r="AA1800" s="187" t="str">
        <f t="shared" si="57"/>
        <v>No</v>
      </c>
      <c r="AB1800" s="158"/>
      <c r="AC1800" s="159"/>
      <c r="AD1800" s="160"/>
    </row>
    <row r="1801" spans="1:30">
      <c r="A1801" s="155"/>
      <c r="B1801" s="112" t="str">
        <f t="shared" si="56"/>
        <v/>
      </c>
      <c r="C1801" s="183"/>
      <c r="D1801" s="152"/>
      <c r="E1801" s="152"/>
      <c r="F1801" s="151"/>
      <c r="G1801" s="153"/>
      <c r="H1801" s="151"/>
      <c r="I1801" s="151"/>
      <c r="J1801" s="151"/>
      <c r="K1801" s="151"/>
      <c r="L1801" s="151"/>
      <c r="M1801" s="151"/>
      <c r="N1801" s="151"/>
      <c r="O1801" s="151"/>
      <c r="P1801" s="151"/>
      <c r="Q1801" s="151"/>
      <c r="R1801" s="151"/>
      <c r="S1801" s="152"/>
      <c r="T1801" s="151"/>
      <c r="U1801" s="151"/>
      <c r="V1801" s="153"/>
      <c r="W1801" s="151"/>
      <c r="X1801" s="151"/>
      <c r="Y1801" s="153"/>
      <c r="Z1801" s="151"/>
      <c r="AA1801" s="187" t="str">
        <f t="shared" si="57"/>
        <v>No</v>
      </c>
      <c r="AB1801" s="158"/>
      <c r="AC1801" s="159"/>
      <c r="AD1801" s="160"/>
    </row>
    <row r="1802" spans="1:30">
      <c r="A1802" s="155"/>
      <c r="B1802" s="112" t="str">
        <f t="shared" si="56"/>
        <v/>
      </c>
      <c r="C1802" s="183"/>
      <c r="D1802" s="152"/>
      <c r="E1802" s="152"/>
      <c r="F1802" s="151"/>
      <c r="G1802" s="153"/>
      <c r="H1802" s="151"/>
      <c r="I1802" s="151"/>
      <c r="J1802" s="151"/>
      <c r="K1802" s="151"/>
      <c r="L1802" s="151"/>
      <c r="M1802" s="151"/>
      <c r="N1802" s="151"/>
      <c r="O1802" s="151"/>
      <c r="P1802" s="151"/>
      <c r="Q1802" s="151"/>
      <c r="R1802" s="151"/>
      <c r="S1802" s="152"/>
      <c r="T1802" s="151"/>
      <c r="U1802" s="151"/>
      <c r="V1802" s="153"/>
      <c r="W1802" s="151"/>
      <c r="X1802" s="151"/>
      <c r="Y1802" s="153"/>
      <c r="Z1802" s="151"/>
      <c r="AA1802" s="187" t="str">
        <f t="shared" si="57"/>
        <v>No</v>
      </c>
      <c r="AB1802" s="158"/>
      <c r="AC1802" s="159"/>
      <c r="AD1802" s="160"/>
    </row>
    <row r="1803" spans="1:30">
      <c r="A1803" s="155"/>
      <c r="B1803" s="112" t="str">
        <f t="shared" si="56"/>
        <v/>
      </c>
      <c r="C1803" s="183"/>
      <c r="D1803" s="152"/>
      <c r="E1803" s="152"/>
      <c r="F1803" s="151"/>
      <c r="G1803" s="153"/>
      <c r="H1803" s="151"/>
      <c r="I1803" s="151"/>
      <c r="J1803" s="151"/>
      <c r="K1803" s="151"/>
      <c r="L1803" s="151"/>
      <c r="M1803" s="151"/>
      <c r="N1803" s="151"/>
      <c r="O1803" s="151"/>
      <c r="P1803" s="151"/>
      <c r="Q1803" s="151"/>
      <c r="R1803" s="151"/>
      <c r="S1803" s="152"/>
      <c r="T1803" s="151"/>
      <c r="U1803" s="151"/>
      <c r="V1803" s="153"/>
      <c r="W1803" s="151"/>
      <c r="X1803" s="151"/>
      <c r="Y1803" s="153"/>
      <c r="Z1803" s="151"/>
      <c r="AA1803" s="187" t="str">
        <f t="shared" si="57"/>
        <v>No</v>
      </c>
      <c r="AB1803" s="158"/>
      <c r="AC1803" s="159"/>
      <c r="AD1803" s="160"/>
    </row>
    <row r="1804" spans="1:30">
      <c r="A1804" s="155"/>
      <c r="B1804" s="112" t="str">
        <f t="shared" si="56"/>
        <v/>
      </c>
      <c r="C1804" s="183"/>
      <c r="D1804" s="152"/>
      <c r="E1804" s="152"/>
      <c r="F1804" s="151"/>
      <c r="G1804" s="153"/>
      <c r="H1804" s="151"/>
      <c r="I1804" s="151"/>
      <c r="J1804" s="151"/>
      <c r="K1804" s="151"/>
      <c r="L1804" s="151"/>
      <c r="M1804" s="151"/>
      <c r="N1804" s="151"/>
      <c r="O1804" s="151"/>
      <c r="P1804" s="151"/>
      <c r="Q1804" s="151"/>
      <c r="R1804" s="151"/>
      <c r="S1804" s="152"/>
      <c r="T1804" s="151"/>
      <c r="U1804" s="151"/>
      <c r="V1804" s="153"/>
      <c r="W1804" s="151"/>
      <c r="X1804" s="151"/>
      <c r="Y1804" s="153"/>
      <c r="Z1804" s="151"/>
      <c r="AA1804" s="187" t="str">
        <f t="shared" si="57"/>
        <v>No</v>
      </c>
      <c r="AB1804" s="158"/>
      <c r="AC1804" s="159"/>
      <c r="AD1804" s="160"/>
    </row>
    <row r="1805" spans="1:30">
      <c r="A1805" s="155"/>
      <c r="B1805" s="112" t="str">
        <f t="shared" si="56"/>
        <v/>
      </c>
      <c r="C1805" s="183"/>
      <c r="D1805" s="152"/>
      <c r="E1805" s="152"/>
      <c r="F1805" s="151"/>
      <c r="G1805" s="153"/>
      <c r="H1805" s="151"/>
      <c r="I1805" s="151"/>
      <c r="J1805" s="151"/>
      <c r="K1805" s="151"/>
      <c r="L1805" s="151"/>
      <c r="M1805" s="151"/>
      <c r="N1805" s="151"/>
      <c r="O1805" s="151"/>
      <c r="P1805" s="151"/>
      <c r="Q1805" s="151"/>
      <c r="R1805" s="151"/>
      <c r="S1805" s="152"/>
      <c r="T1805" s="151"/>
      <c r="U1805" s="151"/>
      <c r="V1805" s="153"/>
      <c r="W1805" s="151"/>
      <c r="X1805" s="151"/>
      <c r="Y1805" s="153"/>
      <c r="Z1805" s="151"/>
      <c r="AA1805" s="187" t="str">
        <f t="shared" si="57"/>
        <v>No</v>
      </c>
      <c r="AB1805" s="158"/>
      <c r="AC1805" s="159"/>
      <c r="AD1805" s="160"/>
    </row>
    <row r="1806" spans="1:30">
      <c r="A1806" s="155"/>
      <c r="B1806" s="112" t="str">
        <f t="shared" si="56"/>
        <v/>
      </c>
      <c r="C1806" s="183"/>
      <c r="D1806" s="152"/>
      <c r="E1806" s="152"/>
      <c r="F1806" s="151"/>
      <c r="G1806" s="153"/>
      <c r="H1806" s="151"/>
      <c r="I1806" s="151"/>
      <c r="J1806" s="151"/>
      <c r="K1806" s="151"/>
      <c r="L1806" s="151"/>
      <c r="M1806" s="151"/>
      <c r="N1806" s="151"/>
      <c r="O1806" s="151"/>
      <c r="P1806" s="151"/>
      <c r="Q1806" s="151"/>
      <c r="R1806" s="151"/>
      <c r="S1806" s="152"/>
      <c r="T1806" s="151"/>
      <c r="U1806" s="151"/>
      <c r="V1806" s="153"/>
      <c r="W1806" s="151"/>
      <c r="X1806" s="151"/>
      <c r="Y1806" s="153"/>
      <c r="Z1806" s="151"/>
      <c r="AA1806" s="187" t="str">
        <f t="shared" si="57"/>
        <v>No</v>
      </c>
      <c r="AB1806" s="158"/>
      <c r="AC1806" s="159"/>
      <c r="AD1806" s="160"/>
    </row>
    <row r="1807" spans="1:30">
      <c r="A1807" s="155"/>
      <c r="B1807" s="112" t="str">
        <f t="shared" si="56"/>
        <v/>
      </c>
      <c r="C1807" s="183"/>
      <c r="D1807" s="152"/>
      <c r="E1807" s="152"/>
      <c r="F1807" s="151"/>
      <c r="G1807" s="153"/>
      <c r="H1807" s="151"/>
      <c r="I1807" s="151"/>
      <c r="J1807" s="151"/>
      <c r="K1807" s="151"/>
      <c r="L1807" s="151"/>
      <c r="M1807" s="151"/>
      <c r="N1807" s="151"/>
      <c r="O1807" s="151"/>
      <c r="P1807" s="151"/>
      <c r="Q1807" s="151"/>
      <c r="R1807" s="151"/>
      <c r="S1807" s="152"/>
      <c r="T1807" s="151"/>
      <c r="U1807" s="151"/>
      <c r="V1807" s="153"/>
      <c r="W1807" s="151"/>
      <c r="X1807" s="151"/>
      <c r="Y1807" s="153"/>
      <c r="Z1807" s="151"/>
      <c r="AA1807" s="187" t="str">
        <f t="shared" si="57"/>
        <v>No</v>
      </c>
      <c r="AB1807" s="158"/>
      <c r="AC1807" s="159"/>
      <c r="AD1807" s="160"/>
    </row>
    <row r="1808" spans="1:30">
      <c r="A1808" s="155"/>
      <c r="B1808" s="112" t="str">
        <f t="shared" si="56"/>
        <v/>
      </c>
      <c r="C1808" s="183"/>
      <c r="D1808" s="152"/>
      <c r="E1808" s="152"/>
      <c r="F1808" s="151"/>
      <c r="G1808" s="153"/>
      <c r="H1808" s="151"/>
      <c r="I1808" s="151"/>
      <c r="J1808" s="151"/>
      <c r="K1808" s="151"/>
      <c r="L1808" s="151"/>
      <c r="M1808" s="151"/>
      <c r="N1808" s="151"/>
      <c r="O1808" s="151"/>
      <c r="P1808" s="151"/>
      <c r="Q1808" s="151"/>
      <c r="R1808" s="151"/>
      <c r="S1808" s="152"/>
      <c r="T1808" s="151"/>
      <c r="U1808" s="151"/>
      <c r="V1808" s="153"/>
      <c r="W1808" s="151"/>
      <c r="X1808" s="151"/>
      <c r="Y1808" s="153"/>
      <c r="Z1808" s="151"/>
      <c r="AA1808" s="187" t="str">
        <f t="shared" si="57"/>
        <v>No</v>
      </c>
      <c r="AB1808" s="158"/>
      <c r="AC1808" s="159"/>
      <c r="AD1808" s="160"/>
    </row>
    <row r="1809" spans="1:30">
      <c r="A1809" s="155"/>
      <c r="B1809" s="112" t="str">
        <f t="shared" si="56"/>
        <v/>
      </c>
      <c r="C1809" s="183"/>
      <c r="D1809" s="152"/>
      <c r="E1809" s="152"/>
      <c r="F1809" s="151"/>
      <c r="G1809" s="153"/>
      <c r="H1809" s="151"/>
      <c r="I1809" s="151"/>
      <c r="J1809" s="151"/>
      <c r="K1809" s="151"/>
      <c r="L1809" s="151"/>
      <c r="M1809" s="151"/>
      <c r="N1809" s="151"/>
      <c r="O1809" s="151"/>
      <c r="P1809" s="151"/>
      <c r="Q1809" s="151"/>
      <c r="R1809" s="151"/>
      <c r="S1809" s="152"/>
      <c r="T1809" s="151"/>
      <c r="U1809" s="151"/>
      <c r="V1809" s="153"/>
      <c r="W1809" s="151"/>
      <c r="X1809" s="151"/>
      <c r="Y1809" s="153"/>
      <c r="Z1809" s="151"/>
      <c r="AA1809" s="187" t="str">
        <f t="shared" si="57"/>
        <v>No</v>
      </c>
      <c r="AB1809" s="158"/>
      <c r="AC1809" s="159"/>
      <c r="AD1809" s="160"/>
    </row>
    <row r="1810" spans="1:30">
      <c r="A1810" s="155"/>
      <c r="B1810" s="112" t="str">
        <f t="shared" si="56"/>
        <v/>
      </c>
      <c r="C1810" s="183"/>
      <c r="D1810" s="152"/>
      <c r="E1810" s="152"/>
      <c r="F1810" s="151"/>
      <c r="G1810" s="153"/>
      <c r="H1810" s="151"/>
      <c r="I1810" s="151"/>
      <c r="J1810" s="151"/>
      <c r="K1810" s="151"/>
      <c r="L1810" s="151"/>
      <c r="M1810" s="151"/>
      <c r="N1810" s="151"/>
      <c r="O1810" s="151"/>
      <c r="P1810" s="151"/>
      <c r="Q1810" s="151"/>
      <c r="R1810" s="151"/>
      <c r="S1810" s="152"/>
      <c r="T1810" s="151"/>
      <c r="U1810" s="151"/>
      <c r="V1810" s="153"/>
      <c r="W1810" s="151"/>
      <c r="X1810" s="151"/>
      <c r="Y1810" s="153"/>
      <c r="Z1810" s="151"/>
      <c r="AA1810" s="187" t="str">
        <f t="shared" si="57"/>
        <v>No</v>
      </c>
      <c r="AB1810" s="158"/>
      <c r="AC1810" s="159"/>
      <c r="AD1810" s="160"/>
    </row>
    <row r="1811" spans="1:30">
      <c r="A1811" s="155"/>
      <c r="B1811" s="112" t="str">
        <f t="shared" si="56"/>
        <v/>
      </c>
      <c r="C1811" s="183"/>
      <c r="D1811" s="152"/>
      <c r="E1811" s="152"/>
      <c r="F1811" s="151"/>
      <c r="G1811" s="153"/>
      <c r="H1811" s="151"/>
      <c r="I1811" s="151"/>
      <c r="J1811" s="151"/>
      <c r="K1811" s="151"/>
      <c r="L1811" s="151"/>
      <c r="M1811" s="151"/>
      <c r="N1811" s="151"/>
      <c r="O1811" s="151"/>
      <c r="P1811" s="151"/>
      <c r="Q1811" s="151"/>
      <c r="R1811" s="151"/>
      <c r="S1811" s="152"/>
      <c r="T1811" s="151"/>
      <c r="U1811" s="151"/>
      <c r="V1811" s="153"/>
      <c r="W1811" s="151"/>
      <c r="X1811" s="151"/>
      <c r="Y1811" s="153"/>
      <c r="Z1811" s="151"/>
      <c r="AA1811" s="187" t="str">
        <f t="shared" si="57"/>
        <v>No</v>
      </c>
      <c r="AB1811" s="158"/>
      <c r="AC1811" s="159"/>
      <c r="AD1811" s="160"/>
    </row>
    <row r="1812" spans="1:30">
      <c r="A1812" s="155"/>
      <c r="B1812" s="112" t="str">
        <f t="shared" si="56"/>
        <v/>
      </c>
      <c r="C1812" s="183"/>
      <c r="D1812" s="152"/>
      <c r="E1812" s="152"/>
      <c r="F1812" s="151"/>
      <c r="G1812" s="153"/>
      <c r="H1812" s="151"/>
      <c r="I1812" s="151"/>
      <c r="J1812" s="151"/>
      <c r="K1812" s="151"/>
      <c r="L1812" s="151"/>
      <c r="M1812" s="151"/>
      <c r="N1812" s="151"/>
      <c r="O1812" s="151"/>
      <c r="P1812" s="151"/>
      <c r="Q1812" s="151"/>
      <c r="R1812" s="151"/>
      <c r="S1812" s="152"/>
      <c r="T1812" s="151"/>
      <c r="U1812" s="151"/>
      <c r="V1812" s="153"/>
      <c r="W1812" s="151"/>
      <c r="X1812" s="151"/>
      <c r="Y1812" s="153"/>
      <c r="Z1812" s="151"/>
      <c r="AA1812" s="187" t="str">
        <f t="shared" si="57"/>
        <v>No</v>
      </c>
      <c r="AB1812" s="158"/>
      <c r="AC1812" s="159"/>
      <c r="AD1812" s="160"/>
    </row>
    <row r="1813" spans="1:30">
      <c r="A1813" s="155"/>
      <c r="B1813" s="112" t="str">
        <f t="shared" si="56"/>
        <v/>
      </c>
      <c r="C1813" s="183"/>
      <c r="D1813" s="152"/>
      <c r="E1813" s="152"/>
      <c r="F1813" s="151"/>
      <c r="G1813" s="153"/>
      <c r="H1813" s="151"/>
      <c r="I1813" s="151"/>
      <c r="J1813" s="151"/>
      <c r="K1813" s="151"/>
      <c r="L1813" s="151"/>
      <c r="M1813" s="151"/>
      <c r="N1813" s="151"/>
      <c r="O1813" s="151"/>
      <c r="P1813" s="151"/>
      <c r="Q1813" s="151"/>
      <c r="R1813" s="151"/>
      <c r="S1813" s="152"/>
      <c r="T1813" s="151"/>
      <c r="U1813" s="151"/>
      <c r="V1813" s="153"/>
      <c r="W1813" s="151"/>
      <c r="X1813" s="151"/>
      <c r="Y1813" s="153"/>
      <c r="Z1813" s="151"/>
      <c r="AA1813" s="187" t="str">
        <f t="shared" si="57"/>
        <v>No</v>
      </c>
      <c r="AB1813" s="158"/>
      <c r="AC1813" s="159"/>
      <c r="AD1813" s="160"/>
    </row>
    <row r="1814" spans="1:30">
      <c r="A1814" s="155"/>
      <c r="B1814" s="112" t="str">
        <f t="shared" si="56"/>
        <v/>
      </c>
      <c r="C1814" s="183"/>
      <c r="D1814" s="152"/>
      <c r="E1814" s="152"/>
      <c r="F1814" s="151"/>
      <c r="G1814" s="153"/>
      <c r="H1814" s="151"/>
      <c r="I1814" s="151"/>
      <c r="J1814" s="151"/>
      <c r="K1814" s="151"/>
      <c r="L1814" s="151"/>
      <c r="M1814" s="151"/>
      <c r="N1814" s="151"/>
      <c r="O1814" s="151"/>
      <c r="P1814" s="151"/>
      <c r="Q1814" s="151"/>
      <c r="R1814" s="151"/>
      <c r="S1814" s="152"/>
      <c r="T1814" s="151"/>
      <c r="U1814" s="151"/>
      <c r="V1814" s="153"/>
      <c r="W1814" s="151"/>
      <c r="X1814" s="151"/>
      <c r="Y1814" s="153"/>
      <c r="Z1814" s="151"/>
      <c r="AA1814" s="187" t="str">
        <f t="shared" si="57"/>
        <v>No</v>
      </c>
      <c r="AB1814" s="158"/>
      <c r="AC1814" s="159"/>
      <c r="AD1814" s="160"/>
    </row>
    <row r="1815" spans="1:30">
      <c r="A1815" s="155"/>
      <c r="B1815" s="112" t="str">
        <f t="shared" si="56"/>
        <v/>
      </c>
      <c r="C1815" s="183"/>
      <c r="D1815" s="152"/>
      <c r="E1815" s="152"/>
      <c r="F1815" s="151"/>
      <c r="G1815" s="153"/>
      <c r="H1815" s="151"/>
      <c r="I1815" s="151"/>
      <c r="J1815" s="151"/>
      <c r="K1815" s="151"/>
      <c r="L1815" s="151"/>
      <c r="M1815" s="151"/>
      <c r="N1815" s="151"/>
      <c r="O1815" s="151"/>
      <c r="P1815" s="151"/>
      <c r="Q1815" s="151"/>
      <c r="R1815" s="151"/>
      <c r="S1815" s="152"/>
      <c r="T1815" s="151"/>
      <c r="U1815" s="151"/>
      <c r="V1815" s="153"/>
      <c r="W1815" s="151"/>
      <c r="X1815" s="151"/>
      <c r="Y1815" s="153"/>
      <c r="Z1815" s="151"/>
      <c r="AA1815" s="187" t="str">
        <f t="shared" si="57"/>
        <v>No</v>
      </c>
      <c r="AB1815" s="158"/>
      <c r="AC1815" s="159"/>
      <c r="AD1815" s="160"/>
    </row>
    <row r="1816" spans="1:30">
      <c r="A1816" s="155"/>
      <c r="B1816" s="112" t="str">
        <f t="shared" si="56"/>
        <v/>
      </c>
      <c r="C1816" s="183"/>
      <c r="D1816" s="152"/>
      <c r="E1816" s="152"/>
      <c r="F1816" s="151"/>
      <c r="G1816" s="153"/>
      <c r="H1816" s="151"/>
      <c r="I1816" s="151"/>
      <c r="J1816" s="151"/>
      <c r="K1816" s="151"/>
      <c r="L1816" s="151"/>
      <c r="M1816" s="151"/>
      <c r="N1816" s="151"/>
      <c r="O1816" s="151"/>
      <c r="P1816" s="151"/>
      <c r="Q1816" s="151"/>
      <c r="R1816" s="151"/>
      <c r="S1816" s="152"/>
      <c r="T1816" s="151"/>
      <c r="U1816" s="151"/>
      <c r="V1816" s="153"/>
      <c r="W1816" s="151"/>
      <c r="X1816" s="151"/>
      <c r="Y1816" s="153"/>
      <c r="Z1816" s="151"/>
      <c r="AA1816" s="187" t="str">
        <f t="shared" si="57"/>
        <v>No</v>
      </c>
      <c r="AB1816" s="158"/>
      <c r="AC1816" s="159"/>
      <c r="AD1816" s="160"/>
    </row>
    <row r="1817" spans="1:30">
      <c r="A1817" s="155"/>
      <c r="B1817" s="112" t="str">
        <f t="shared" si="56"/>
        <v/>
      </c>
      <c r="C1817" s="183"/>
      <c r="D1817" s="152"/>
      <c r="E1817" s="152"/>
      <c r="F1817" s="151"/>
      <c r="G1817" s="153"/>
      <c r="H1817" s="151"/>
      <c r="I1817" s="151"/>
      <c r="J1817" s="151"/>
      <c r="K1817" s="151"/>
      <c r="L1817" s="151"/>
      <c r="M1817" s="151"/>
      <c r="N1817" s="151"/>
      <c r="O1817" s="151"/>
      <c r="P1817" s="151"/>
      <c r="Q1817" s="151"/>
      <c r="R1817" s="151"/>
      <c r="S1817" s="152"/>
      <c r="T1817" s="151"/>
      <c r="U1817" s="151"/>
      <c r="V1817" s="153"/>
      <c r="W1817" s="151"/>
      <c r="X1817" s="151"/>
      <c r="Y1817" s="153"/>
      <c r="Z1817" s="151"/>
      <c r="AA1817" s="187" t="str">
        <f t="shared" si="57"/>
        <v>No</v>
      </c>
      <c r="AB1817" s="158"/>
      <c r="AC1817" s="159"/>
      <c r="AD1817" s="160"/>
    </row>
    <row r="1818" spans="1:30">
      <c r="A1818" s="155"/>
      <c r="B1818" s="112" t="str">
        <f t="shared" si="56"/>
        <v/>
      </c>
      <c r="C1818" s="183"/>
      <c r="D1818" s="152"/>
      <c r="E1818" s="152"/>
      <c r="F1818" s="151"/>
      <c r="G1818" s="153"/>
      <c r="H1818" s="151"/>
      <c r="I1818" s="151"/>
      <c r="J1818" s="151"/>
      <c r="K1818" s="151"/>
      <c r="L1818" s="151"/>
      <c r="M1818" s="151"/>
      <c r="N1818" s="151"/>
      <c r="O1818" s="151"/>
      <c r="P1818" s="151"/>
      <c r="Q1818" s="151"/>
      <c r="R1818" s="151"/>
      <c r="S1818" s="152"/>
      <c r="T1818" s="151"/>
      <c r="U1818" s="151"/>
      <c r="V1818" s="153"/>
      <c r="W1818" s="151"/>
      <c r="X1818" s="151"/>
      <c r="Y1818" s="153"/>
      <c r="Z1818" s="151"/>
      <c r="AA1818" s="187" t="str">
        <f t="shared" si="57"/>
        <v>No</v>
      </c>
      <c r="AB1818" s="158"/>
      <c r="AC1818" s="159"/>
      <c r="AD1818" s="160"/>
    </row>
    <row r="1819" spans="1:30">
      <c r="A1819" s="155"/>
      <c r="B1819" s="112" t="str">
        <f t="shared" si="56"/>
        <v/>
      </c>
      <c r="C1819" s="183"/>
      <c r="D1819" s="152"/>
      <c r="E1819" s="152"/>
      <c r="F1819" s="151"/>
      <c r="G1819" s="153"/>
      <c r="H1819" s="151"/>
      <c r="I1819" s="151"/>
      <c r="J1819" s="151"/>
      <c r="K1819" s="151"/>
      <c r="L1819" s="151"/>
      <c r="M1819" s="151"/>
      <c r="N1819" s="151"/>
      <c r="O1819" s="151"/>
      <c r="P1819" s="151"/>
      <c r="Q1819" s="151"/>
      <c r="R1819" s="151"/>
      <c r="S1819" s="152"/>
      <c r="T1819" s="151"/>
      <c r="U1819" s="151"/>
      <c r="V1819" s="153"/>
      <c r="W1819" s="151"/>
      <c r="X1819" s="151"/>
      <c r="Y1819" s="153"/>
      <c r="Z1819" s="151"/>
      <c r="AA1819" s="187" t="str">
        <f t="shared" si="57"/>
        <v>No</v>
      </c>
      <c r="AB1819" s="158"/>
      <c r="AC1819" s="159"/>
      <c r="AD1819" s="160"/>
    </row>
    <row r="1820" spans="1:30">
      <c r="A1820" s="155"/>
      <c r="B1820" s="112" t="str">
        <f t="shared" si="56"/>
        <v/>
      </c>
      <c r="C1820" s="183"/>
      <c r="D1820" s="152"/>
      <c r="E1820" s="152"/>
      <c r="F1820" s="151"/>
      <c r="G1820" s="153"/>
      <c r="H1820" s="151"/>
      <c r="I1820" s="151"/>
      <c r="J1820" s="151"/>
      <c r="K1820" s="151"/>
      <c r="L1820" s="151"/>
      <c r="M1820" s="151"/>
      <c r="N1820" s="151"/>
      <c r="O1820" s="151"/>
      <c r="P1820" s="151"/>
      <c r="Q1820" s="151"/>
      <c r="R1820" s="151"/>
      <c r="S1820" s="152"/>
      <c r="T1820" s="151"/>
      <c r="U1820" s="151"/>
      <c r="V1820" s="153"/>
      <c r="W1820" s="151"/>
      <c r="X1820" s="151"/>
      <c r="Y1820" s="153"/>
      <c r="Z1820" s="151"/>
      <c r="AA1820" s="187" t="str">
        <f t="shared" si="57"/>
        <v>No</v>
      </c>
      <c r="AB1820" s="158"/>
      <c r="AC1820" s="159"/>
      <c r="AD1820" s="160"/>
    </row>
    <row r="1821" spans="1:30">
      <c r="A1821" s="155"/>
      <c r="B1821" s="112" t="str">
        <f t="shared" si="56"/>
        <v/>
      </c>
      <c r="C1821" s="183"/>
      <c r="D1821" s="152"/>
      <c r="E1821" s="152"/>
      <c r="F1821" s="151"/>
      <c r="G1821" s="153"/>
      <c r="H1821" s="151"/>
      <c r="I1821" s="151"/>
      <c r="J1821" s="151"/>
      <c r="K1821" s="151"/>
      <c r="L1821" s="151"/>
      <c r="M1821" s="151"/>
      <c r="N1821" s="151"/>
      <c r="O1821" s="151"/>
      <c r="P1821" s="151"/>
      <c r="Q1821" s="151"/>
      <c r="R1821" s="151"/>
      <c r="S1821" s="152"/>
      <c r="T1821" s="151"/>
      <c r="U1821" s="151"/>
      <c r="V1821" s="153"/>
      <c r="W1821" s="151"/>
      <c r="X1821" s="151"/>
      <c r="Y1821" s="153"/>
      <c r="Z1821" s="151"/>
      <c r="AA1821" s="187" t="str">
        <f t="shared" si="57"/>
        <v>No</v>
      </c>
      <c r="AB1821" s="158"/>
      <c r="AC1821" s="159"/>
      <c r="AD1821" s="160"/>
    </row>
    <row r="1822" spans="1:30">
      <c r="A1822" s="155"/>
      <c r="B1822" s="112" t="str">
        <f t="shared" si="56"/>
        <v/>
      </c>
      <c r="C1822" s="183"/>
      <c r="D1822" s="152"/>
      <c r="E1822" s="152"/>
      <c r="F1822" s="151"/>
      <c r="G1822" s="153"/>
      <c r="H1822" s="151"/>
      <c r="I1822" s="151"/>
      <c r="J1822" s="151"/>
      <c r="K1822" s="151"/>
      <c r="L1822" s="151"/>
      <c r="M1822" s="151"/>
      <c r="N1822" s="151"/>
      <c r="O1822" s="151"/>
      <c r="P1822" s="151"/>
      <c r="Q1822" s="151"/>
      <c r="R1822" s="151"/>
      <c r="S1822" s="152"/>
      <c r="T1822" s="151"/>
      <c r="U1822" s="151"/>
      <c r="V1822" s="153"/>
      <c r="W1822" s="151"/>
      <c r="X1822" s="151"/>
      <c r="Y1822" s="153"/>
      <c r="Z1822" s="151"/>
      <c r="AA1822" s="187" t="str">
        <f t="shared" si="57"/>
        <v>No</v>
      </c>
      <c r="AB1822" s="158"/>
      <c r="AC1822" s="159"/>
      <c r="AD1822" s="160"/>
    </row>
    <row r="1823" spans="1:30">
      <c r="A1823" s="155"/>
      <c r="B1823" s="112" t="str">
        <f t="shared" si="56"/>
        <v/>
      </c>
      <c r="C1823" s="183"/>
      <c r="D1823" s="152"/>
      <c r="E1823" s="152"/>
      <c r="F1823" s="151"/>
      <c r="G1823" s="153"/>
      <c r="H1823" s="151"/>
      <c r="I1823" s="151"/>
      <c r="J1823" s="151"/>
      <c r="K1823" s="151"/>
      <c r="L1823" s="151"/>
      <c r="M1823" s="151"/>
      <c r="N1823" s="151"/>
      <c r="O1823" s="151"/>
      <c r="P1823" s="151"/>
      <c r="Q1823" s="151"/>
      <c r="R1823" s="151"/>
      <c r="S1823" s="152"/>
      <c r="T1823" s="151"/>
      <c r="U1823" s="151"/>
      <c r="V1823" s="153"/>
      <c r="W1823" s="151"/>
      <c r="X1823" s="151"/>
      <c r="Y1823" s="153"/>
      <c r="Z1823" s="151"/>
      <c r="AA1823" s="187" t="str">
        <f t="shared" si="57"/>
        <v>No</v>
      </c>
      <c r="AB1823" s="158"/>
      <c r="AC1823" s="159"/>
      <c r="AD1823" s="160"/>
    </row>
    <row r="1824" spans="1:30">
      <c r="A1824" s="155"/>
      <c r="B1824" s="112" t="str">
        <f t="shared" si="56"/>
        <v/>
      </c>
      <c r="C1824" s="183"/>
      <c r="D1824" s="152"/>
      <c r="E1824" s="152"/>
      <c r="F1824" s="151"/>
      <c r="G1824" s="153"/>
      <c r="H1824" s="151"/>
      <c r="I1824" s="151"/>
      <c r="J1824" s="151"/>
      <c r="K1824" s="151"/>
      <c r="L1824" s="151"/>
      <c r="M1824" s="151"/>
      <c r="N1824" s="151"/>
      <c r="O1824" s="151"/>
      <c r="P1824" s="151"/>
      <c r="Q1824" s="151"/>
      <c r="R1824" s="151"/>
      <c r="S1824" s="152"/>
      <c r="T1824" s="151"/>
      <c r="U1824" s="151"/>
      <c r="V1824" s="153"/>
      <c r="W1824" s="151"/>
      <c r="X1824" s="151"/>
      <c r="Y1824" s="153"/>
      <c r="Z1824" s="151"/>
      <c r="AA1824" s="187" t="str">
        <f t="shared" si="57"/>
        <v>No</v>
      </c>
      <c r="AB1824" s="158"/>
      <c r="AC1824" s="159"/>
      <c r="AD1824" s="160"/>
    </row>
    <row r="1825" spans="1:30">
      <c r="A1825" s="155"/>
      <c r="B1825" s="112" t="str">
        <f t="shared" si="56"/>
        <v/>
      </c>
      <c r="C1825" s="183"/>
      <c r="D1825" s="152"/>
      <c r="E1825" s="152"/>
      <c r="F1825" s="151"/>
      <c r="G1825" s="153"/>
      <c r="H1825" s="151"/>
      <c r="I1825" s="151"/>
      <c r="J1825" s="151"/>
      <c r="K1825" s="151"/>
      <c r="L1825" s="151"/>
      <c r="M1825" s="151"/>
      <c r="N1825" s="151"/>
      <c r="O1825" s="151"/>
      <c r="P1825" s="151"/>
      <c r="Q1825" s="151"/>
      <c r="R1825" s="151"/>
      <c r="S1825" s="152"/>
      <c r="T1825" s="151"/>
      <c r="U1825" s="151"/>
      <c r="V1825" s="153"/>
      <c r="W1825" s="151"/>
      <c r="X1825" s="151"/>
      <c r="Y1825" s="153"/>
      <c r="Z1825" s="151"/>
      <c r="AA1825" s="187" t="str">
        <f t="shared" si="57"/>
        <v>No</v>
      </c>
      <c r="AB1825" s="158"/>
      <c r="AC1825" s="159"/>
      <c r="AD1825" s="160"/>
    </row>
    <row r="1826" spans="1:30">
      <c r="A1826" s="155"/>
      <c r="B1826" s="112" t="str">
        <f t="shared" si="56"/>
        <v/>
      </c>
      <c r="C1826" s="183"/>
      <c r="D1826" s="152"/>
      <c r="E1826" s="152"/>
      <c r="F1826" s="151"/>
      <c r="G1826" s="153"/>
      <c r="H1826" s="151"/>
      <c r="I1826" s="151"/>
      <c r="J1826" s="151"/>
      <c r="K1826" s="151"/>
      <c r="L1826" s="151"/>
      <c r="M1826" s="151"/>
      <c r="N1826" s="151"/>
      <c r="O1826" s="151"/>
      <c r="P1826" s="151"/>
      <c r="Q1826" s="151"/>
      <c r="R1826" s="151"/>
      <c r="S1826" s="152"/>
      <c r="T1826" s="151"/>
      <c r="U1826" s="151"/>
      <c r="V1826" s="153"/>
      <c r="W1826" s="151"/>
      <c r="X1826" s="151"/>
      <c r="Y1826" s="153"/>
      <c r="Z1826" s="151"/>
      <c r="AA1826" s="187" t="str">
        <f t="shared" si="57"/>
        <v>No</v>
      </c>
      <c r="AB1826" s="158"/>
      <c r="AC1826" s="159"/>
      <c r="AD1826" s="160"/>
    </row>
    <row r="1827" spans="1:30">
      <c r="A1827" s="155"/>
      <c r="B1827" s="112" t="str">
        <f t="shared" si="56"/>
        <v/>
      </c>
      <c r="C1827" s="183"/>
      <c r="D1827" s="152"/>
      <c r="E1827" s="152"/>
      <c r="F1827" s="151"/>
      <c r="G1827" s="153"/>
      <c r="H1827" s="151"/>
      <c r="I1827" s="151"/>
      <c r="J1827" s="151"/>
      <c r="K1827" s="151"/>
      <c r="L1827" s="151"/>
      <c r="M1827" s="151"/>
      <c r="N1827" s="151"/>
      <c r="O1827" s="151"/>
      <c r="P1827" s="151"/>
      <c r="Q1827" s="151"/>
      <c r="R1827" s="151"/>
      <c r="S1827" s="152"/>
      <c r="T1827" s="151"/>
      <c r="U1827" s="151"/>
      <c r="V1827" s="153"/>
      <c r="W1827" s="151"/>
      <c r="X1827" s="151"/>
      <c r="Y1827" s="153"/>
      <c r="Z1827" s="151"/>
      <c r="AA1827" s="187" t="str">
        <f t="shared" si="57"/>
        <v>No</v>
      </c>
      <c r="AB1827" s="158"/>
      <c r="AC1827" s="159"/>
      <c r="AD1827" s="160"/>
    </row>
    <row r="1828" spans="1:30">
      <c r="A1828" s="155"/>
      <c r="B1828" s="112" t="str">
        <f t="shared" si="56"/>
        <v/>
      </c>
      <c r="C1828" s="183"/>
      <c r="D1828" s="152"/>
      <c r="E1828" s="152"/>
      <c r="F1828" s="151"/>
      <c r="G1828" s="153"/>
      <c r="H1828" s="151"/>
      <c r="I1828" s="151"/>
      <c r="J1828" s="151"/>
      <c r="K1828" s="151"/>
      <c r="L1828" s="151"/>
      <c r="M1828" s="151"/>
      <c r="N1828" s="151"/>
      <c r="O1828" s="151"/>
      <c r="P1828" s="151"/>
      <c r="Q1828" s="151"/>
      <c r="R1828" s="151"/>
      <c r="S1828" s="152"/>
      <c r="T1828" s="151"/>
      <c r="U1828" s="151"/>
      <c r="V1828" s="153"/>
      <c r="W1828" s="151"/>
      <c r="X1828" s="151"/>
      <c r="Y1828" s="153"/>
      <c r="Z1828" s="151"/>
      <c r="AA1828" s="187" t="str">
        <f t="shared" si="57"/>
        <v>No</v>
      </c>
      <c r="AB1828" s="158"/>
      <c r="AC1828" s="159"/>
      <c r="AD1828" s="160"/>
    </row>
    <row r="1829" spans="1:30">
      <c r="A1829" s="155"/>
      <c r="B1829" s="112" t="str">
        <f t="shared" si="56"/>
        <v/>
      </c>
      <c r="C1829" s="183"/>
      <c r="D1829" s="152"/>
      <c r="E1829" s="152"/>
      <c r="F1829" s="151"/>
      <c r="G1829" s="153"/>
      <c r="H1829" s="151"/>
      <c r="I1829" s="151"/>
      <c r="J1829" s="151"/>
      <c r="K1829" s="151"/>
      <c r="L1829" s="151"/>
      <c r="M1829" s="151"/>
      <c r="N1829" s="151"/>
      <c r="O1829" s="151"/>
      <c r="P1829" s="151"/>
      <c r="Q1829" s="151"/>
      <c r="R1829" s="151"/>
      <c r="S1829" s="152"/>
      <c r="T1829" s="151"/>
      <c r="U1829" s="151"/>
      <c r="V1829" s="153"/>
      <c r="W1829" s="151"/>
      <c r="X1829" s="151"/>
      <c r="Y1829" s="153"/>
      <c r="Z1829" s="151"/>
      <c r="AA1829" s="187" t="str">
        <f t="shared" si="57"/>
        <v>No</v>
      </c>
      <c r="AB1829" s="158"/>
      <c r="AC1829" s="159"/>
      <c r="AD1829" s="160"/>
    </row>
    <row r="1830" spans="1:30">
      <c r="A1830" s="155"/>
      <c r="B1830" s="112" t="str">
        <f t="shared" si="56"/>
        <v/>
      </c>
      <c r="C1830" s="183"/>
      <c r="D1830" s="152"/>
      <c r="E1830" s="152"/>
      <c r="F1830" s="151"/>
      <c r="G1830" s="153"/>
      <c r="H1830" s="151"/>
      <c r="I1830" s="151"/>
      <c r="J1830" s="151"/>
      <c r="K1830" s="151"/>
      <c r="L1830" s="151"/>
      <c r="M1830" s="151"/>
      <c r="N1830" s="151"/>
      <c r="O1830" s="151"/>
      <c r="P1830" s="151"/>
      <c r="Q1830" s="151"/>
      <c r="R1830" s="151"/>
      <c r="S1830" s="152"/>
      <c r="T1830" s="151"/>
      <c r="U1830" s="151"/>
      <c r="V1830" s="153"/>
      <c r="W1830" s="151"/>
      <c r="X1830" s="151"/>
      <c r="Y1830" s="153"/>
      <c r="Z1830" s="151"/>
      <c r="AA1830" s="187" t="str">
        <f t="shared" si="57"/>
        <v>No</v>
      </c>
      <c r="AB1830" s="158"/>
      <c r="AC1830" s="159"/>
      <c r="AD1830" s="160"/>
    </row>
    <row r="1831" spans="1:30">
      <c r="A1831" s="155"/>
      <c r="B1831" s="112" t="str">
        <f t="shared" si="56"/>
        <v/>
      </c>
      <c r="C1831" s="183"/>
      <c r="D1831" s="152"/>
      <c r="E1831" s="152"/>
      <c r="F1831" s="151"/>
      <c r="G1831" s="153"/>
      <c r="H1831" s="151"/>
      <c r="I1831" s="151"/>
      <c r="J1831" s="151"/>
      <c r="K1831" s="151"/>
      <c r="L1831" s="151"/>
      <c r="M1831" s="151"/>
      <c r="N1831" s="151"/>
      <c r="O1831" s="151"/>
      <c r="P1831" s="151"/>
      <c r="Q1831" s="151"/>
      <c r="R1831" s="151"/>
      <c r="S1831" s="152"/>
      <c r="T1831" s="151"/>
      <c r="U1831" s="151"/>
      <c r="V1831" s="153"/>
      <c r="W1831" s="151"/>
      <c r="X1831" s="151"/>
      <c r="Y1831" s="153"/>
      <c r="Z1831" s="151"/>
      <c r="AA1831" s="187" t="str">
        <f t="shared" si="57"/>
        <v>No</v>
      </c>
      <c r="AB1831" s="158"/>
      <c r="AC1831" s="159"/>
      <c r="AD1831" s="160"/>
    </row>
    <row r="1832" spans="1:30">
      <c r="A1832" s="155"/>
      <c r="B1832" s="112" t="str">
        <f t="shared" si="56"/>
        <v/>
      </c>
      <c r="C1832" s="183"/>
      <c r="D1832" s="152"/>
      <c r="E1832" s="152"/>
      <c r="F1832" s="151"/>
      <c r="G1832" s="153"/>
      <c r="H1832" s="151"/>
      <c r="I1832" s="151"/>
      <c r="J1832" s="151"/>
      <c r="K1832" s="151"/>
      <c r="L1832" s="151"/>
      <c r="M1832" s="151"/>
      <c r="N1832" s="151"/>
      <c r="O1832" s="151"/>
      <c r="P1832" s="151"/>
      <c r="Q1832" s="151"/>
      <c r="R1832" s="151"/>
      <c r="S1832" s="152"/>
      <c r="T1832" s="151"/>
      <c r="U1832" s="151"/>
      <c r="V1832" s="153"/>
      <c r="W1832" s="151"/>
      <c r="X1832" s="151"/>
      <c r="Y1832" s="153"/>
      <c r="Z1832" s="151"/>
      <c r="AA1832" s="187" t="str">
        <f t="shared" si="57"/>
        <v>No</v>
      </c>
      <c r="AB1832" s="158"/>
      <c r="AC1832" s="159"/>
      <c r="AD1832" s="160"/>
    </row>
    <row r="1833" spans="1:30">
      <c r="A1833" s="155"/>
      <c r="B1833" s="112" t="str">
        <f t="shared" si="56"/>
        <v/>
      </c>
      <c r="C1833" s="183"/>
      <c r="D1833" s="152"/>
      <c r="E1833" s="152"/>
      <c r="F1833" s="151"/>
      <c r="G1833" s="153"/>
      <c r="H1833" s="151"/>
      <c r="I1833" s="151"/>
      <c r="J1833" s="151"/>
      <c r="K1833" s="151"/>
      <c r="L1833" s="151"/>
      <c r="M1833" s="151"/>
      <c r="N1833" s="151"/>
      <c r="O1833" s="151"/>
      <c r="P1833" s="151"/>
      <c r="Q1833" s="151"/>
      <c r="R1833" s="151"/>
      <c r="S1833" s="152"/>
      <c r="T1833" s="151"/>
      <c r="U1833" s="151"/>
      <c r="V1833" s="153"/>
      <c r="W1833" s="151"/>
      <c r="X1833" s="151"/>
      <c r="Y1833" s="153"/>
      <c r="Z1833" s="151"/>
      <c r="AA1833" s="187" t="str">
        <f t="shared" si="57"/>
        <v>No</v>
      </c>
      <c r="AB1833" s="158"/>
      <c r="AC1833" s="159"/>
      <c r="AD1833" s="160"/>
    </row>
    <row r="1834" spans="1:30">
      <c r="A1834" s="155"/>
      <c r="B1834" s="112" t="str">
        <f t="shared" si="56"/>
        <v/>
      </c>
      <c r="C1834" s="183"/>
      <c r="D1834" s="152"/>
      <c r="E1834" s="152"/>
      <c r="F1834" s="151"/>
      <c r="G1834" s="153"/>
      <c r="H1834" s="151"/>
      <c r="I1834" s="151"/>
      <c r="J1834" s="151"/>
      <c r="K1834" s="151"/>
      <c r="L1834" s="151"/>
      <c r="M1834" s="151"/>
      <c r="N1834" s="151"/>
      <c r="O1834" s="151"/>
      <c r="P1834" s="151"/>
      <c r="Q1834" s="151"/>
      <c r="R1834" s="151"/>
      <c r="S1834" s="152"/>
      <c r="T1834" s="151"/>
      <c r="U1834" s="151"/>
      <c r="V1834" s="153"/>
      <c r="W1834" s="151"/>
      <c r="X1834" s="151"/>
      <c r="Y1834" s="153"/>
      <c r="Z1834" s="151"/>
      <c r="AA1834" s="187" t="str">
        <f t="shared" si="57"/>
        <v>No</v>
      </c>
      <c r="AB1834" s="158"/>
      <c r="AC1834" s="159"/>
      <c r="AD1834" s="160"/>
    </row>
    <row r="1835" spans="1:30">
      <c r="A1835" s="155"/>
      <c r="B1835" s="112" t="str">
        <f t="shared" si="56"/>
        <v/>
      </c>
      <c r="C1835" s="183"/>
      <c r="D1835" s="152"/>
      <c r="E1835" s="152"/>
      <c r="F1835" s="151"/>
      <c r="G1835" s="153"/>
      <c r="H1835" s="151"/>
      <c r="I1835" s="151"/>
      <c r="J1835" s="151"/>
      <c r="K1835" s="151"/>
      <c r="L1835" s="151"/>
      <c r="M1835" s="151"/>
      <c r="N1835" s="151"/>
      <c r="O1835" s="151"/>
      <c r="P1835" s="151"/>
      <c r="Q1835" s="151"/>
      <c r="R1835" s="151"/>
      <c r="S1835" s="152"/>
      <c r="T1835" s="151"/>
      <c r="U1835" s="151"/>
      <c r="V1835" s="153"/>
      <c r="W1835" s="151"/>
      <c r="X1835" s="151"/>
      <c r="Y1835" s="153"/>
      <c r="Z1835" s="151"/>
      <c r="AA1835" s="187" t="str">
        <f t="shared" si="57"/>
        <v>No</v>
      </c>
      <c r="AB1835" s="158"/>
      <c r="AC1835" s="159"/>
      <c r="AD1835" s="160"/>
    </row>
    <row r="1836" spans="1:30">
      <c r="A1836" s="155"/>
      <c r="B1836" s="112" t="str">
        <f t="shared" si="56"/>
        <v/>
      </c>
      <c r="C1836" s="183"/>
      <c r="D1836" s="152"/>
      <c r="E1836" s="152"/>
      <c r="F1836" s="151"/>
      <c r="G1836" s="153"/>
      <c r="H1836" s="151"/>
      <c r="I1836" s="151"/>
      <c r="J1836" s="151"/>
      <c r="K1836" s="151"/>
      <c r="L1836" s="151"/>
      <c r="M1836" s="151"/>
      <c r="N1836" s="151"/>
      <c r="O1836" s="151"/>
      <c r="P1836" s="151"/>
      <c r="Q1836" s="151"/>
      <c r="R1836" s="151"/>
      <c r="S1836" s="152"/>
      <c r="T1836" s="151"/>
      <c r="U1836" s="151"/>
      <c r="V1836" s="153"/>
      <c r="W1836" s="151"/>
      <c r="X1836" s="151"/>
      <c r="Y1836" s="153"/>
      <c r="Z1836" s="151"/>
      <c r="AA1836" s="187" t="str">
        <f t="shared" si="57"/>
        <v>No</v>
      </c>
      <c r="AB1836" s="158"/>
      <c r="AC1836" s="159"/>
      <c r="AD1836" s="160"/>
    </row>
    <row r="1837" spans="1:30">
      <c r="A1837" s="155"/>
      <c r="B1837" s="112" t="str">
        <f t="shared" si="56"/>
        <v/>
      </c>
      <c r="C1837" s="183"/>
      <c r="D1837" s="152"/>
      <c r="E1837" s="152"/>
      <c r="F1837" s="151"/>
      <c r="G1837" s="153"/>
      <c r="H1837" s="151"/>
      <c r="I1837" s="151"/>
      <c r="J1837" s="151"/>
      <c r="K1837" s="151"/>
      <c r="L1837" s="151"/>
      <c r="M1837" s="151"/>
      <c r="N1837" s="151"/>
      <c r="O1837" s="151"/>
      <c r="P1837" s="151"/>
      <c r="Q1837" s="151"/>
      <c r="R1837" s="151"/>
      <c r="S1837" s="152"/>
      <c r="T1837" s="151"/>
      <c r="U1837" s="151"/>
      <c r="V1837" s="153"/>
      <c r="W1837" s="151"/>
      <c r="X1837" s="151"/>
      <c r="Y1837" s="153"/>
      <c r="Z1837" s="151"/>
      <c r="AA1837" s="187" t="str">
        <f t="shared" si="57"/>
        <v>No</v>
      </c>
      <c r="AB1837" s="158"/>
      <c r="AC1837" s="159"/>
      <c r="AD1837" s="160"/>
    </row>
    <row r="1838" spans="1:30">
      <c r="A1838" s="155"/>
      <c r="B1838" s="112" t="str">
        <f t="shared" si="56"/>
        <v/>
      </c>
      <c r="C1838" s="183"/>
      <c r="D1838" s="152"/>
      <c r="E1838" s="152"/>
      <c r="F1838" s="151"/>
      <c r="G1838" s="153"/>
      <c r="H1838" s="151"/>
      <c r="I1838" s="151"/>
      <c r="J1838" s="151"/>
      <c r="K1838" s="151"/>
      <c r="L1838" s="151"/>
      <c r="M1838" s="151"/>
      <c r="N1838" s="151"/>
      <c r="O1838" s="151"/>
      <c r="P1838" s="151"/>
      <c r="Q1838" s="151"/>
      <c r="R1838" s="151"/>
      <c r="S1838" s="152"/>
      <c r="T1838" s="151"/>
      <c r="U1838" s="151"/>
      <c r="V1838" s="153"/>
      <c r="W1838" s="151"/>
      <c r="X1838" s="151"/>
      <c r="Y1838" s="153"/>
      <c r="Z1838" s="151"/>
      <c r="AA1838" s="187" t="str">
        <f t="shared" si="57"/>
        <v>No</v>
      </c>
      <c r="AB1838" s="158"/>
      <c r="AC1838" s="159"/>
      <c r="AD1838" s="160"/>
    </row>
    <row r="1839" spans="1:30">
      <c r="A1839" s="155"/>
      <c r="B1839" s="112" t="str">
        <f t="shared" si="56"/>
        <v/>
      </c>
      <c r="C1839" s="183"/>
      <c r="D1839" s="152"/>
      <c r="E1839" s="152"/>
      <c r="F1839" s="151"/>
      <c r="G1839" s="153"/>
      <c r="H1839" s="151"/>
      <c r="I1839" s="151"/>
      <c r="J1839" s="151"/>
      <c r="K1839" s="151"/>
      <c r="L1839" s="151"/>
      <c r="M1839" s="151"/>
      <c r="N1839" s="151"/>
      <c r="O1839" s="151"/>
      <c r="P1839" s="151"/>
      <c r="Q1839" s="151"/>
      <c r="R1839" s="151"/>
      <c r="S1839" s="152"/>
      <c r="T1839" s="151"/>
      <c r="U1839" s="151"/>
      <c r="V1839" s="153"/>
      <c r="W1839" s="151"/>
      <c r="X1839" s="151"/>
      <c r="Y1839" s="153"/>
      <c r="Z1839" s="151"/>
      <c r="AA1839" s="187" t="str">
        <f t="shared" si="57"/>
        <v>No</v>
      </c>
      <c r="AB1839" s="158"/>
      <c r="AC1839" s="159"/>
      <c r="AD1839" s="160"/>
    </row>
    <row r="1840" spans="1:30">
      <c r="A1840" s="155"/>
      <c r="B1840" s="112" t="str">
        <f t="shared" si="56"/>
        <v/>
      </c>
      <c r="C1840" s="183"/>
      <c r="D1840" s="152"/>
      <c r="E1840" s="152"/>
      <c r="F1840" s="151"/>
      <c r="G1840" s="153"/>
      <c r="H1840" s="151"/>
      <c r="I1840" s="151"/>
      <c r="J1840" s="151"/>
      <c r="K1840" s="151"/>
      <c r="L1840" s="151"/>
      <c r="M1840" s="151"/>
      <c r="N1840" s="151"/>
      <c r="O1840" s="151"/>
      <c r="P1840" s="151"/>
      <c r="Q1840" s="151"/>
      <c r="R1840" s="151"/>
      <c r="S1840" s="152"/>
      <c r="T1840" s="151"/>
      <c r="U1840" s="151"/>
      <c r="V1840" s="153"/>
      <c r="W1840" s="151"/>
      <c r="X1840" s="151"/>
      <c r="Y1840" s="153"/>
      <c r="Z1840" s="151"/>
      <c r="AA1840" s="187" t="str">
        <f t="shared" si="57"/>
        <v>No</v>
      </c>
      <c r="AB1840" s="158"/>
      <c r="AC1840" s="159"/>
      <c r="AD1840" s="160"/>
    </row>
    <row r="1841" spans="1:30">
      <c r="A1841" s="155"/>
      <c r="B1841" s="112" t="str">
        <f t="shared" si="56"/>
        <v/>
      </c>
      <c r="C1841" s="183"/>
      <c r="D1841" s="152"/>
      <c r="E1841" s="152"/>
      <c r="F1841" s="151"/>
      <c r="G1841" s="153"/>
      <c r="H1841" s="151"/>
      <c r="I1841" s="151"/>
      <c r="J1841" s="151"/>
      <c r="K1841" s="151"/>
      <c r="L1841" s="151"/>
      <c r="M1841" s="151"/>
      <c r="N1841" s="151"/>
      <c r="O1841" s="151"/>
      <c r="P1841" s="151"/>
      <c r="Q1841" s="151"/>
      <c r="R1841" s="151"/>
      <c r="S1841" s="152"/>
      <c r="T1841" s="151"/>
      <c r="U1841" s="151"/>
      <c r="V1841" s="153"/>
      <c r="W1841" s="151"/>
      <c r="X1841" s="151"/>
      <c r="Y1841" s="153"/>
      <c r="Z1841" s="151"/>
      <c r="AA1841" s="187" t="str">
        <f t="shared" si="57"/>
        <v>No</v>
      </c>
      <c r="AB1841" s="158"/>
      <c r="AC1841" s="159"/>
      <c r="AD1841" s="160"/>
    </row>
    <row r="1842" spans="1:30">
      <c r="A1842" s="155"/>
      <c r="B1842" s="112" t="str">
        <f t="shared" si="56"/>
        <v/>
      </c>
      <c r="C1842" s="183"/>
      <c r="D1842" s="152"/>
      <c r="E1842" s="152"/>
      <c r="F1842" s="151"/>
      <c r="G1842" s="153"/>
      <c r="H1842" s="151"/>
      <c r="I1842" s="151"/>
      <c r="J1842" s="151"/>
      <c r="K1842" s="151"/>
      <c r="L1842" s="151"/>
      <c r="M1842" s="151"/>
      <c r="N1842" s="151"/>
      <c r="O1842" s="151"/>
      <c r="P1842" s="151"/>
      <c r="Q1842" s="151"/>
      <c r="R1842" s="151"/>
      <c r="S1842" s="152"/>
      <c r="T1842" s="151"/>
      <c r="U1842" s="151"/>
      <c r="V1842" s="153"/>
      <c r="W1842" s="151"/>
      <c r="X1842" s="151"/>
      <c r="Y1842" s="153"/>
      <c r="Z1842" s="151"/>
      <c r="AA1842" s="187" t="str">
        <f t="shared" si="57"/>
        <v>No</v>
      </c>
      <c r="AB1842" s="158"/>
      <c r="AC1842" s="159"/>
      <c r="AD1842" s="160"/>
    </row>
    <row r="1843" spans="1:30">
      <c r="A1843" s="155"/>
      <c r="B1843" s="112" t="str">
        <f t="shared" si="56"/>
        <v/>
      </c>
      <c r="C1843" s="183"/>
      <c r="D1843" s="152"/>
      <c r="E1843" s="152"/>
      <c r="F1843" s="151"/>
      <c r="G1843" s="153"/>
      <c r="H1843" s="151"/>
      <c r="I1843" s="151"/>
      <c r="J1843" s="151"/>
      <c r="K1843" s="151"/>
      <c r="L1843" s="151"/>
      <c r="M1843" s="151"/>
      <c r="N1843" s="151"/>
      <c r="O1843" s="151"/>
      <c r="P1843" s="151"/>
      <c r="Q1843" s="151"/>
      <c r="R1843" s="151"/>
      <c r="S1843" s="152"/>
      <c r="T1843" s="151"/>
      <c r="U1843" s="151"/>
      <c r="V1843" s="153"/>
      <c r="W1843" s="151"/>
      <c r="X1843" s="151"/>
      <c r="Y1843" s="153"/>
      <c r="Z1843" s="151"/>
      <c r="AA1843" s="187" t="str">
        <f t="shared" si="57"/>
        <v>No</v>
      </c>
      <c r="AB1843" s="158"/>
      <c r="AC1843" s="159"/>
      <c r="AD1843" s="160"/>
    </row>
    <row r="1844" spans="1:30">
      <c r="A1844" s="155"/>
      <c r="B1844" s="112" t="str">
        <f t="shared" si="56"/>
        <v/>
      </c>
      <c r="C1844" s="183"/>
      <c r="D1844" s="152"/>
      <c r="E1844" s="152"/>
      <c r="F1844" s="151"/>
      <c r="G1844" s="153"/>
      <c r="H1844" s="151"/>
      <c r="I1844" s="151"/>
      <c r="J1844" s="151"/>
      <c r="K1844" s="151"/>
      <c r="L1844" s="151"/>
      <c r="M1844" s="151"/>
      <c r="N1844" s="151"/>
      <c r="O1844" s="151"/>
      <c r="P1844" s="151"/>
      <c r="Q1844" s="151"/>
      <c r="R1844" s="151"/>
      <c r="S1844" s="152"/>
      <c r="T1844" s="151"/>
      <c r="U1844" s="151"/>
      <c r="V1844" s="153"/>
      <c r="W1844" s="151"/>
      <c r="X1844" s="151"/>
      <c r="Y1844" s="153"/>
      <c r="Z1844" s="151"/>
      <c r="AA1844" s="187" t="str">
        <f t="shared" si="57"/>
        <v>No</v>
      </c>
      <c r="AB1844" s="158"/>
      <c r="AC1844" s="159"/>
      <c r="AD1844" s="160"/>
    </row>
    <row r="1845" spans="1:30">
      <c r="A1845" s="155"/>
      <c r="B1845" s="112" t="str">
        <f t="shared" si="56"/>
        <v/>
      </c>
      <c r="C1845" s="183"/>
      <c r="D1845" s="152"/>
      <c r="E1845" s="152"/>
      <c r="F1845" s="151"/>
      <c r="G1845" s="153"/>
      <c r="H1845" s="151"/>
      <c r="I1845" s="151"/>
      <c r="J1845" s="151"/>
      <c r="K1845" s="151"/>
      <c r="L1845" s="151"/>
      <c r="M1845" s="151"/>
      <c r="N1845" s="151"/>
      <c r="O1845" s="151"/>
      <c r="P1845" s="151"/>
      <c r="Q1845" s="151"/>
      <c r="R1845" s="151"/>
      <c r="S1845" s="152"/>
      <c r="T1845" s="151"/>
      <c r="U1845" s="151"/>
      <c r="V1845" s="153"/>
      <c r="W1845" s="151"/>
      <c r="X1845" s="151"/>
      <c r="Y1845" s="153"/>
      <c r="Z1845" s="151"/>
      <c r="AA1845" s="187" t="str">
        <f t="shared" si="57"/>
        <v>No</v>
      </c>
      <c r="AB1845" s="158"/>
      <c r="AC1845" s="159"/>
      <c r="AD1845" s="160"/>
    </row>
    <row r="1846" spans="1:30">
      <c r="A1846" s="155"/>
      <c r="B1846" s="112" t="str">
        <f t="shared" si="56"/>
        <v/>
      </c>
      <c r="C1846" s="183"/>
      <c r="D1846" s="152"/>
      <c r="E1846" s="152"/>
      <c r="F1846" s="151"/>
      <c r="G1846" s="153"/>
      <c r="H1846" s="151"/>
      <c r="I1846" s="151"/>
      <c r="J1846" s="151"/>
      <c r="K1846" s="151"/>
      <c r="L1846" s="151"/>
      <c r="M1846" s="151"/>
      <c r="N1846" s="151"/>
      <c r="O1846" s="151"/>
      <c r="P1846" s="151"/>
      <c r="Q1846" s="151"/>
      <c r="R1846" s="151"/>
      <c r="S1846" s="152"/>
      <c r="T1846" s="151"/>
      <c r="U1846" s="151"/>
      <c r="V1846" s="153"/>
      <c r="W1846" s="151"/>
      <c r="X1846" s="151"/>
      <c r="Y1846" s="153"/>
      <c r="Z1846" s="151"/>
      <c r="AA1846" s="187" t="str">
        <f t="shared" si="57"/>
        <v>No</v>
      </c>
      <c r="AB1846" s="158"/>
      <c r="AC1846" s="159"/>
      <c r="AD1846" s="160"/>
    </row>
    <row r="1847" spans="1:30">
      <c r="A1847" s="155"/>
      <c r="B1847" s="112" t="str">
        <f t="shared" si="56"/>
        <v/>
      </c>
      <c r="C1847" s="183"/>
      <c r="D1847" s="152"/>
      <c r="E1847" s="152"/>
      <c r="F1847" s="151"/>
      <c r="G1847" s="153"/>
      <c r="H1847" s="151"/>
      <c r="I1847" s="151"/>
      <c r="J1847" s="151"/>
      <c r="K1847" s="151"/>
      <c r="L1847" s="151"/>
      <c r="M1847" s="151"/>
      <c r="N1847" s="151"/>
      <c r="O1847" s="151"/>
      <c r="P1847" s="151"/>
      <c r="Q1847" s="151"/>
      <c r="R1847" s="151"/>
      <c r="S1847" s="152"/>
      <c r="T1847" s="151"/>
      <c r="U1847" s="151"/>
      <c r="V1847" s="153"/>
      <c r="W1847" s="151"/>
      <c r="X1847" s="151"/>
      <c r="Y1847" s="153"/>
      <c r="Z1847" s="151"/>
      <c r="AA1847" s="187" t="str">
        <f t="shared" si="57"/>
        <v>No</v>
      </c>
      <c r="AB1847" s="158"/>
      <c r="AC1847" s="159"/>
      <c r="AD1847" s="160"/>
    </row>
    <row r="1848" spans="1:30">
      <c r="A1848" s="155"/>
      <c r="B1848" s="112" t="str">
        <f t="shared" si="56"/>
        <v/>
      </c>
      <c r="C1848" s="183"/>
      <c r="D1848" s="152"/>
      <c r="E1848" s="152"/>
      <c r="F1848" s="151"/>
      <c r="G1848" s="153"/>
      <c r="H1848" s="151"/>
      <c r="I1848" s="151"/>
      <c r="J1848" s="151"/>
      <c r="K1848" s="151"/>
      <c r="L1848" s="151"/>
      <c r="M1848" s="151"/>
      <c r="N1848" s="151"/>
      <c r="O1848" s="151"/>
      <c r="P1848" s="151"/>
      <c r="Q1848" s="151"/>
      <c r="R1848" s="151"/>
      <c r="S1848" s="152"/>
      <c r="T1848" s="151"/>
      <c r="U1848" s="151"/>
      <c r="V1848" s="153"/>
      <c r="W1848" s="151"/>
      <c r="X1848" s="151"/>
      <c r="Y1848" s="153"/>
      <c r="Z1848" s="151"/>
      <c r="AA1848" s="187" t="str">
        <f t="shared" si="57"/>
        <v>No</v>
      </c>
      <c r="AB1848" s="158"/>
      <c r="AC1848" s="159"/>
      <c r="AD1848" s="160"/>
    </row>
    <row r="1849" spans="1:30">
      <c r="A1849" s="155"/>
      <c r="B1849" s="112" t="str">
        <f t="shared" si="56"/>
        <v/>
      </c>
      <c r="C1849" s="183"/>
      <c r="D1849" s="152"/>
      <c r="E1849" s="152"/>
      <c r="F1849" s="151"/>
      <c r="G1849" s="153"/>
      <c r="H1849" s="151"/>
      <c r="I1849" s="151"/>
      <c r="J1849" s="151"/>
      <c r="K1849" s="151"/>
      <c r="L1849" s="151"/>
      <c r="M1849" s="151"/>
      <c r="N1849" s="151"/>
      <c r="O1849" s="151"/>
      <c r="P1849" s="151"/>
      <c r="Q1849" s="151"/>
      <c r="R1849" s="151"/>
      <c r="S1849" s="152"/>
      <c r="T1849" s="151"/>
      <c r="U1849" s="151"/>
      <c r="V1849" s="153"/>
      <c r="W1849" s="151"/>
      <c r="X1849" s="151"/>
      <c r="Y1849" s="153"/>
      <c r="Z1849" s="151"/>
      <c r="AA1849" s="187" t="str">
        <f t="shared" si="57"/>
        <v>No</v>
      </c>
      <c r="AB1849" s="158"/>
      <c r="AC1849" s="159"/>
      <c r="AD1849" s="160"/>
    </row>
    <row r="1850" spans="1:30">
      <c r="A1850" s="155"/>
      <c r="B1850" s="112" t="str">
        <f t="shared" si="56"/>
        <v/>
      </c>
      <c r="C1850" s="183"/>
      <c r="D1850" s="152"/>
      <c r="E1850" s="152"/>
      <c r="F1850" s="151"/>
      <c r="G1850" s="153"/>
      <c r="H1850" s="151"/>
      <c r="I1850" s="151"/>
      <c r="J1850" s="151"/>
      <c r="K1850" s="151"/>
      <c r="L1850" s="151"/>
      <c r="M1850" s="151"/>
      <c r="N1850" s="151"/>
      <c r="O1850" s="151"/>
      <c r="P1850" s="151"/>
      <c r="Q1850" s="151"/>
      <c r="R1850" s="151"/>
      <c r="S1850" s="152"/>
      <c r="T1850" s="151"/>
      <c r="U1850" s="151"/>
      <c r="V1850" s="153"/>
      <c r="W1850" s="151"/>
      <c r="X1850" s="151"/>
      <c r="Y1850" s="153"/>
      <c r="Z1850" s="151"/>
      <c r="AA1850" s="187" t="str">
        <f t="shared" si="57"/>
        <v>No</v>
      </c>
      <c r="AB1850" s="158"/>
      <c r="AC1850" s="159"/>
      <c r="AD1850" s="160"/>
    </row>
    <row r="1851" spans="1:30">
      <c r="A1851" s="155"/>
      <c r="B1851" s="112" t="str">
        <f t="shared" si="56"/>
        <v/>
      </c>
      <c r="C1851" s="183"/>
      <c r="D1851" s="152"/>
      <c r="E1851" s="152"/>
      <c r="F1851" s="151"/>
      <c r="G1851" s="153"/>
      <c r="H1851" s="151"/>
      <c r="I1851" s="151"/>
      <c r="J1851" s="151"/>
      <c r="K1851" s="151"/>
      <c r="L1851" s="151"/>
      <c r="M1851" s="151"/>
      <c r="N1851" s="151"/>
      <c r="O1851" s="151"/>
      <c r="P1851" s="151"/>
      <c r="Q1851" s="151"/>
      <c r="R1851" s="151"/>
      <c r="S1851" s="152"/>
      <c r="T1851" s="151"/>
      <c r="U1851" s="151"/>
      <c r="V1851" s="153"/>
      <c r="W1851" s="151"/>
      <c r="X1851" s="151"/>
      <c r="Y1851" s="153"/>
      <c r="Z1851" s="151"/>
      <c r="AA1851" s="187" t="str">
        <f t="shared" si="57"/>
        <v>No</v>
      </c>
      <c r="AB1851" s="158"/>
      <c r="AC1851" s="159"/>
      <c r="AD1851" s="160"/>
    </row>
    <row r="1852" spans="1:30">
      <c r="A1852" s="155"/>
      <c r="B1852" s="112" t="str">
        <f t="shared" si="56"/>
        <v/>
      </c>
      <c r="C1852" s="183"/>
      <c r="D1852" s="152"/>
      <c r="E1852" s="152"/>
      <c r="F1852" s="151"/>
      <c r="G1852" s="153"/>
      <c r="H1852" s="151"/>
      <c r="I1852" s="151"/>
      <c r="J1852" s="151"/>
      <c r="K1852" s="151"/>
      <c r="L1852" s="151"/>
      <c r="M1852" s="151"/>
      <c r="N1852" s="151"/>
      <c r="O1852" s="151"/>
      <c r="P1852" s="151"/>
      <c r="Q1852" s="151"/>
      <c r="R1852" s="151"/>
      <c r="S1852" s="152"/>
      <c r="T1852" s="151"/>
      <c r="U1852" s="151"/>
      <c r="V1852" s="153"/>
      <c r="W1852" s="151"/>
      <c r="X1852" s="151"/>
      <c r="Y1852" s="153"/>
      <c r="Z1852" s="151"/>
      <c r="AA1852" s="187" t="str">
        <f t="shared" si="57"/>
        <v>No</v>
      </c>
      <c r="AB1852" s="158"/>
      <c r="AC1852" s="159"/>
      <c r="AD1852" s="160"/>
    </row>
    <row r="1853" spans="1:30">
      <c r="A1853" s="155"/>
      <c r="B1853" s="112" t="str">
        <f t="shared" si="56"/>
        <v/>
      </c>
      <c r="C1853" s="183"/>
      <c r="D1853" s="152"/>
      <c r="E1853" s="152"/>
      <c r="F1853" s="151"/>
      <c r="G1853" s="153"/>
      <c r="H1853" s="151"/>
      <c r="I1853" s="151"/>
      <c r="J1853" s="151"/>
      <c r="K1853" s="151"/>
      <c r="L1853" s="151"/>
      <c r="M1853" s="151"/>
      <c r="N1853" s="151"/>
      <c r="O1853" s="151"/>
      <c r="P1853" s="151"/>
      <c r="Q1853" s="151"/>
      <c r="R1853" s="151"/>
      <c r="S1853" s="152"/>
      <c r="T1853" s="151"/>
      <c r="U1853" s="151"/>
      <c r="V1853" s="153"/>
      <c r="W1853" s="151"/>
      <c r="X1853" s="151"/>
      <c r="Y1853" s="153"/>
      <c r="Z1853" s="151"/>
      <c r="AA1853" s="187" t="str">
        <f t="shared" si="57"/>
        <v>No</v>
      </c>
      <c r="AB1853" s="158"/>
      <c r="AC1853" s="159"/>
      <c r="AD1853" s="160"/>
    </row>
    <row r="1854" spans="1:30">
      <c r="A1854" s="155"/>
      <c r="B1854" s="112" t="str">
        <f t="shared" si="56"/>
        <v/>
      </c>
      <c r="C1854" s="183"/>
      <c r="D1854" s="152"/>
      <c r="E1854" s="152"/>
      <c r="F1854" s="151"/>
      <c r="G1854" s="153"/>
      <c r="H1854" s="151"/>
      <c r="I1854" s="151"/>
      <c r="J1854" s="151"/>
      <c r="K1854" s="151"/>
      <c r="L1854" s="151"/>
      <c r="M1854" s="151"/>
      <c r="N1854" s="151"/>
      <c r="O1854" s="151"/>
      <c r="P1854" s="151"/>
      <c r="Q1854" s="151"/>
      <c r="R1854" s="151"/>
      <c r="S1854" s="152"/>
      <c r="T1854" s="151"/>
      <c r="U1854" s="151"/>
      <c r="V1854" s="153"/>
      <c r="W1854" s="151"/>
      <c r="X1854" s="151"/>
      <c r="Y1854" s="153"/>
      <c r="Z1854" s="151"/>
      <c r="AA1854" s="187" t="str">
        <f t="shared" si="57"/>
        <v>No</v>
      </c>
      <c r="AB1854" s="158"/>
      <c r="AC1854" s="159"/>
      <c r="AD1854" s="160"/>
    </row>
    <row r="1855" spans="1:30">
      <c r="A1855" s="155"/>
      <c r="B1855" s="112" t="str">
        <f t="shared" si="56"/>
        <v/>
      </c>
      <c r="C1855" s="183"/>
      <c r="D1855" s="152"/>
      <c r="E1855" s="152"/>
      <c r="F1855" s="151"/>
      <c r="G1855" s="153"/>
      <c r="H1855" s="151"/>
      <c r="I1855" s="151"/>
      <c r="J1855" s="151"/>
      <c r="K1855" s="151"/>
      <c r="L1855" s="151"/>
      <c r="M1855" s="151"/>
      <c r="N1855" s="151"/>
      <c r="O1855" s="151"/>
      <c r="P1855" s="151"/>
      <c r="Q1855" s="151"/>
      <c r="R1855" s="151"/>
      <c r="S1855" s="152"/>
      <c r="T1855" s="151"/>
      <c r="U1855" s="151"/>
      <c r="V1855" s="153"/>
      <c r="W1855" s="151"/>
      <c r="X1855" s="151"/>
      <c r="Y1855" s="153"/>
      <c r="Z1855" s="151"/>
      <c r="AA1855" s="187" t="str">
        <f t="shared" si="57"/>
        <v>No</v>
      </c>
      <c r="AB1855" s="158"/>
      <c r="AC1855" s="159"/>
      <c r="AD1855" s="160"/>
    </row>
    <row r="1856" spans="1:30">
      <c r="A1856" s="155"/>
      <c r="B1856" s="112" t="str">
        <f t="shared" si="56"/>
        <v/>
      </c>
      <c r="C1856" s="183"/>
      <c r="D1856" s="152"/>
      <c r="E1856" s="152"/>
      <c r="F1856" s="151"/>
      <c r="G1856" s="153"/>
      <c r="H1856" s="151"/>
      <c r="I1856" s="151"/>
      <c r="J1856" s="151"/>
      <c r="K1856" s="151"/>
      <c r="L1856" s="151"/>
      <c r="M1856" s="151"/>
      <c r="N1856" s="151"/>
      <c r="O1856" s="151"/>
      <c r="P1856" s="151"/>
      <c r="Q1856" s="151"/>
      <c r="R1856" s="151"/>
      <c r="S1856" s="152"/>
      <c r="T1856" s="151"/>
      <c r="U1856" s="151"/>
      <c r="V1856" s="153"/>
      <c r="W1856" s="151"/>
      <c r="X1856" s="151"/>
      <c r="Y1856" s="153"/>
      <c r="Z1856" s="151"/>
      <c r="AA1856" s="187" t="str">
        <f t="shared" si="57"/>
        <v>No</v>
      </c>
      <c r="AB1856" s="158"/>
      <c r="AC1856" s="159"/>
      <c r="AD1856" s="160"/>
    </row>
    <row r="1857" spans="1:30">
      <c r="A1857" s="155"/>
      <c r="B1857" s="112" t="str">
        <f t="shared" si="56"/>
        <v/>
      </c>
      <c r="C1857" s="183"/>
      <c r="D1857" s="152"/>
      <c r="E1857" s="152"/>
      <c r="F1857" s="151"/>
      <c r="G1857" s="153"/>
      <c r="H1857" s="151"/>
      <c r="I1857" s="151"/>
      <c r="J1857" s="151"/>
      <c r="K1857" s="151"/>
      <c r="L1857" s="151"/>
      <c r="M1857" s="151"/>
      <c r="N1857" s="151"/>
      <c r="O1857" s="151"/>
      <c r="P1857" s="151"/>
      <c r="Q1857" s="151"/>
      <c r="R1857" s="151"/>
      <c r="S1857" s="152"/>
      <c r="T1857" s="151"/>
      <c r="U1857" s="151"/>
      <c r="V1857" s="153"/>
      <c r="W1857" s="151"/>
      <c r="X1857" s="151"/>
      <c r="Y1857" s="153"/>
      <c r="Z1857" s="151"/>
      <c r="AA1857" s="187" t="str">
        <f t="shared" si="57"/>
        <v>No</v>
      </c>
      <c r="AB1857" s="158"/>
      <c r="AC1857" s="159"/>
      <c r="AD1857" s="160"/>
    </row>
    <row r="1858" spans="1:30">
      <c r="A1858" s="155"/>
      <c r="B1858" s="112" t="str">
        <f t="shared" si="56"/>
        <v/>
      </c>
      <c r="C1858" s="183"/>
      <c r="D1858" s="152"/>
      <c r="E1858" s="152"/>
      <c r="F1858" s="151"/>
      <c r="G1858" s="153"/>
      <c r="H1858" s="151"/>
      <c r="I1858" s="151"/>
      <c r="J1858" s="151"/>
      <c r="K1858" s="151"/>
      <c r="L1858" s="151"/>
      <c r="M1858" s="151"/>
      <c r="N1858" s="151"/>
      <c r="O1858" s="151"/>
      <c r="P1858" s="151"/>
      <c r="Q1858" s="151"/>
      <c r="R1858" s="151"/>
      <c r="S1858" s="152"/>
      <c r="T1858" s="151"/>
      <c r="U1858" s="151"/>
      <c r="V1858" s="153"/>
      <c r="W1858" s="151"/>
      <c r="X1858" s="151"/>
      <c r="Y1858" s="153"/>
      <c r="Z1858" s="151"/>
      <c r="AA1858" s="187" t="str">
        <f t="shared" si="57"/>
        <v>No</v>
      </c>
      <c r="AB1858" s="158"/>
      <c r="AC1858" s="159"/>
      <c r="AD1858" s="160"/>
    </row>
    <row r="1859" spans="1:30">
      <c r="A1859" s="155"/>
      <c r="B1859" s="112" t="str">
        <f t="shared" si="56"/>
        <v/>
      </c>
      <c r="C1859" s="183"/>
      <c r="D1859" s="152"/>
      <c r="E1859" s="152"/>
      <c r="F1859" s="151"/>
      <c r="G1859" s="153"/>
      <c r="H1859" s="151"/>
      <c r="I1859" s="151"/>
      <c r="J1859" s="151"/>
      <c r="K1859" s="151"/>
      <c r="L1859" s="151"/>
      <c r="M1859" s="151"/>
      <c r="N1859" s="151"/>
      <c r="O1859" s="151"/>
      <c r="P1859" s="151"/>
      <c r="Q1859" s="151"/>
      <c r="R1859" s="151"/>
      <c r="S1859" s="152"/>
      <c r="T1859" s="151"/>
      <c r="U1859" s="151"/>
      <c r="V1859" s="153"/>
      <c r="W1859" s="151"/>
      <c r="X1859" s="151"/>
      <c r="Y1859" s="153"/>
      <c r="Z1859" s="151"/>
      <c r="AA1859" s="187" t="str">
        <f t="shared" si="57"/>
        <v>No</v>
      </c>
      <c r="AB1859" s="158"/>
      <c r="AC1859" s="159"/>
      <c r="AD1859" s="160"/>
    </row>
    <row r="1860" spans="1:30">
      <c r="A1860" s="155"/>
      <c r="B1860" s="112" t="str">
        <f t="shared" si="56"/>
        <v/>
      </c>
      <c r="C1860" s="183"/>
      <c r="D1860" s="152"/>
      <c r="E1860" s="152"/>
      <c r="F1860" s="151"/>
      <c r="G1860" s="153"/>
      <c r="H1860" s="151"/>
      <c r="I1860" s="151"/>
      <c r="J1860" s="151"/>
      <c r="K1860" s="151"/>
      <c r="L1860" s="151"/>
      <c r="M1860" s="151"/>
      <c r="N1860" s="151"/>
      <c r="O1860" s="151"/>
      <c r="P1860" s="151"/>
      <c r="Q1860" s="151"/>
      <c r="R1860" s="151"/>
      <c r="S1860" s="152"/>
      <c r="T1860" s="151"/>
      <c r="U1860" s="151"/>
      <c r="V1860" s="153"/>
      <c r="W1860" s="151"/>
      <c r="X1860" s="151"/>
      <c r="Y1860" s="153"/>
      <c r="Z1860" s="151"/>
      <c r="AA1860" s="187" t="str">
        <f t="shared" si="57"/>
        <v>No</v>
      </c>
      <c r="AB1860" s="158"/>
      <c r="AC1860" s="159"/>
      <c r="AD1860" s="160"/>
    </row>
    <row r="1861" spans="1:30">
      <c r="A1861" s="155"/>
      <c r="B1861" s="112" t="str">
        <f t="shared" ref="B1861:B1924" si="58">IF(AND(A1861&lt;&gt;"",D1861&lt;&gt;"",J1861&lt;&gt;"",N1861&lt;&gt;""),TEXT(D1861,"YY")&amp;"-"&amp;TEXT(D1861,"MMM")&amp;"-"&amp;UPPER(LEFT(TRIM(N1861),2))&amp;"-"&amp;UPPER(LEFT(TRIM(J1861),3))&amp;"-"&amp;A1861,"")</f>
        <v/>
      </c>
      <c r="C1861" s="183"/>
      <c r="D1861" s="152"/>
      <c r="E1861" s="152"/>
      <c r="F1861" s="151"/>
      <c r="G1861" s="153"/>
      <c r="H1861" s="151"/>
      <c r="I1861" s="151"/>
      <c r="J1861" s="151"/>
      <c r="K1861" s="151"/>
      <c r="L1861" s="151"/>
      <c r="M1861" s="151"/>
      <c r="N1861" s="151"/>
      <c r="O1861" s="151"/>
      <c r="P1861" s="151"/>
      <c r="Q1861" s="151"/>
      <c r="R1861" s="151"/>
      <c r="S1861" s="152"/>
      <c r="T1861" s="151"/>
      <c r="U1861" s="151"/>
      <c r="V1861" s="153"/>
      <c r="W1861" s="151"/>
      <c r="X1861" s="151"/>
      <c r="Y1861" s="153"/>
      <c r="Z1861" s="151"/>
      <c r="AA1861" s="187" t="str">
        <f t="shared" ref="AA1861:AA1924" si="59">IF(E1861="","No","Yes")</f>
        <v>No</v>
      </c>
      <c r="AB1861" s="158"/>
      <c r="AC1861" s="159"/>
      <c r="AD1861" s="160"/>
    </row>
    <row r="1862" spans="1:30">
      <c r="A1862" s="155"/>
      <c r="B1862" s="112" t="str">
        <f t="shared" si="58"/>
        <v/>
      </c>
      <c r="C1862" s="183"/>
      <c r="D1862" s="152"/>
      <c r="E1862" s="152"/>
      <c r="F1862" s="151"/>
      <c r="G1862" s="153"/>
      <c r="H1862" s="151"/>
      <c r="I1862" s="151"/>
      <c r="J1862" s="151"/>
      <c r="K1862" s="151"/>
      <c r="L1862" s="151"/>
      <c r="M1862" s="151"/>
      <c r="N1862" s="151"/>
      <c r="O1862" s="151"/>
      <c r="P1862" s="151"/>
      <c r="Q1862" s="151"/>
      <c r="R1862" s="151"/>
      <c r="S1862" s="152"/>
      <c r="T1862" s="151"/>
      <c r="U1862" s="151"/>
      <c r="V1862" s="153"/>
      <c r="W1862" s="151"/>
      <c r="X1862" s="151"/>
      <c r="Y1862" s="153"/>
      <c r="Z1862" s="151"/>
      <c r="AA1862" s="187" t="str">
        <f t="shared" si="59"/>
        <v>No</v>
      </c>
      <c r="AB1862" s="158"/>
      <c r="AC1862" s="159"/>
      <c r="AD1862" s="160"/>
    </row>
    <row r="1863" spans="1:30">
      <c r="A1863" s="155"/>
      <c r="B1863" s="112" t="str">
        <f t="shared" si="58"/>
        <v/>
      </c>
      <c r="C1863" s="183"/>
      <c r="D1863" s="152"/>
      <c r="E1863" s="152"/>
      <c r="F1863" s="151"/>
      <c r="G1863" s="153"/>
      <c r="H1863" s="151"/>
      <c r="I1863" s="151"/>
      <c r="J1863" s="151"/>
      <c r="K1863" s="151"/>
      <c r="L1863" s="151"/>
      <c r="M1863" s="151"/>
      <c r="N1863" s="151"/>
      <c r="O1863" s="151"/>
      <c r="P1863" s="151"/>
      <c r="Q1863" s="151"/>
      <c r="R1863" s="151"/>
      <c r="S1863" s="152"/>
      <c r="T1863" s="151"/>
      <c r="U1863" s="151"/>
      <c r="V1863" s="153"/>
      <c r="W1863" s="151"/>
      <c r="X1863" s="151"/>
      <c r="Y1863" s="153"/>
      <c r="Z1863" s="151"/>
      <c r="AA1863" s="187" t="str">
        <f t="shared" si="59"/>
        <v>No</v>
      </c>
      <c r="AB1863" s="158"/>
      <c r="AC1863" s="159"/>
      <c r="AD1863" s="160"/>
    </row>
    <row r="1864" spans="1:30">
      <c r="A1864" s="155"/>
      <c r="B1864" s="112" t="str">
        <f t="shared" si="58"/>
        <v/>
      </c>
      <c r="C1864" s="183"/>
      <c r="D1864" s="152"/>
      <c r="E1864" s="152"/>
      <c r="F1864" s="151"/>
      <c r="G1864" s="153"/>
      <c r="H1864" s="151"/>
      <c r="I1864" s="151"/>
      <c r="J1864" s="151"/>
      <c r="K1864" s="151"/>
      <c r="L1864" s="151"/>
      <c r="M1864" s="151"/>
      <c r="N1864" s="151"/>
      <c r="O1864" s="151"/>
      <c r="P1864" s="151"/>
      <c r="Q1864" s="151"/>
      <c r="R1864" s="151"/>
      <c r="S1864" s="152"/>
      <c r="T1864" s="151"/>
      <c r="U1864" s="151"/>
      <c r="V1864" s="153"/>
      <c r="W1864" s="151"/>
      <c r="X1864" s="151"/>
      <c r="Y1864" s="153"/>
      <c r="Z1864" s="151"/>
      <c r="AA1864" s="187" t="str">
        <f t="shared" si="59"/>
        <v>No</v>
      </c>
      <c r="AB1864" s="158"/>
      <c r="AC1864" s="159"/>
      <c r="AD1864" s="160"/>
    </row>
    <row r="1865" spans="1:30">
      <c r="A1865" s="155"/>
      <c r="B1865" s="112" t="str">
        <f t="shared" si="58"/>
        <v/>
      </c>
      <c r="C1865" s="183"/>
      <c r="D1865" s="152"/>
      <c r="E1865" s="152"/>
      <c r="F1865" s="151"/>
      <c r="G1865" s="153"/>
      <c r="H1865" s="151"/>
      <c r="I1865" s="151"/>
      <c r="J1865" s="151"/>
      <c r="K1865" s="151"/>
      <c r="L1865" s="151"/>
      <c r="M1865" s="151"/>
      <c r="N1865" s="151"/>
      <c r="O1865" s="151"/>
      <c r="P1865" s="151"/>
      <c r="Q1865" s="151"/>
      <c r="R1865" s="151"/>
      <c r="S1865" s="152"/>
      <c r="T1865" s="151"/>
      <c r="U1865" s="151"/>
      <c r="V1865" s="153"/>
      <c r="W1865" s="151"/>
      <c r="X1865" s="151"/>
      <c r="Y1865" s="153"/>
      <c r="Z1865" s="151"/>
      <c r="AA1865" s="187" t="str">
        <f t="shared" si="59"/>
        <v>No</v>
      </c>
      <c r="AB1865" s="158"/>
      <c r="AC1865" s="159"/>
      <c r="AD1865" s="160"/>
    </row>
    <row r="1866" spans="1:30">
      <c r="A1866" s="155"/>
      <c r="B1866" s="112" t="str">
        <f t="shared" si="58"/>
        <v/>
      </c>
      <c r="C1866" s="183"/>
      <c r="D1866" s="152"/>
      <c r="E1866" s="152"/>
      <c r="F1866" s="151"/>
      <c r="G1866" s="153"/>
      <c r="H1866" s="151"/>
      <c r="I1866" s="151"/>
      <c r="J1866" s="151"/>
      <c r="K1866" s="151"/>
      <c r="L1866" s="151"/>
      <c r="M1866" s="151"/>
      <c r="N1866" s="151"/>
      <c r="O1866" s="151"/>
      <c r="P1866" s="151"/>
      <c r="Q1866" s="151"/>
      <c r="R1866" s="151"/>
      <c r="S1866" s="152"/>
      <c r="T1866" s="151"/>
      <c r="U1866" s="151"/>
      <c r="V1866" s="153"/>
      <c r="W1866" s="151"/>
      <c r="X1866" s="151"/>
      <c r="Y1866" s="153"/>
      <c r="Z1866" s="151"/>
      <c r="AA1866" s="187" t="str">
        <f t="shared" si="59"/>
        <v>No</v>
      </c>
      <c r="AB1866" s="158"/>
      <c r="AC1866" s="159"/>
      <c r="AD1866" s="160"/>
    </row>
    <row r="1867" spans="1:30">
      <c r="A1867" s="155"/>
      <c r="B1867" s="112" t="str">
        <f t="shared" si="58"/>
        <v/>
      </c>
      <c r="C1867" s="183"/>
      <c r="D1867" s="152"/>
      <c r="E1867" s="152"/>
      <c r="F1867" s="151"/>
      <c r="G1867" s="153"/>
      <c r="H1867" s="151"/>
      <c r="I1867" s="151"/>
      <c r="J1867" s="151"/>
      <c r="K1867" s="151"/>
      <c r="L1867" s="151"/>
      <c r="M1867" s="151"/>
      <c r="N1867" s="151"/>
      <c r="O1867" s="151"/>
      <c r="P1867" s="151"/>
      <c r="Q1867" s="151"/>
      <c r="R1867" s="151"/>
      <c r="S1867" s="152"/>
      <c r="T1867" s="151"/>
      <c r="U1867" s="151"/>
      <c r="V1867" s="153"/>
      <c r="W1867" s="151"/>
      <c r="X1867" s="151"/>
      <c r="Y1867" s="153"/>
      <c r="Z1867" s="151"/>
      <c r="AA1867" s="187" t="str">
        <f t="shared" si="59"/>
        <v>No</v>
      </c>
      <c r="AB1867" s="158"/>
      <c r="AC1867" s="159"/>
      <c r="AD1867" s="160"/>
    </row>
    <row r="1868" spans="1:30">
      <c r="A1868" s="155"/>
      <c r="B1868" s="112" t="str">
        <f t="shared" si="58"/>
        <v/>
      </c>
      <c r="C1868" s="183"/>
      <c r="D1868" s="152"/>
      <c r="E1868" s="152"/>
      <c r="F1868" s="151"/>
      <c r="G1868" s="153"/>
      <c r="H1868" s="151"/>
      <c r="I1868" s="151"/>
      <c r="J1868" s="151"/>
      <c r="K1868" s="151"/>
      <c r="L1868" s="151"/>
      <c r="M1868" s="151"/>
      <c r="N1868" s="151"/>
      <c r="O1868" s="151"/>
      <c r="P1868" s="151"/>
      <c r="Q1868" s="151"/>
      <c r="R1868" s="151"/>
      <c r="S1868" s="152"/>
      <c r="T1868" s="151"/>
      <c r="U1868" s="151"/>
      <c r="V1868" s="153"/>
      <c r="W1868" s="151"/>
      <c r="X1868" s="151"/>
      <c r="Y1868" s="153"/>
      <c r="Z1868" s="151"/>
      <c r="AA1868" s="187" t="str">
        <f t="shared" si="59"/>
        <v>No</v>
      </c>
      <c r="AB1868" s="158"/>
      <c r="AC1868" s="159"/>
      <c r="AD1868" s="160"/>
    </row>
    <row r="1869" spans="1:30">
      <c r="A1869" s="155"/>
      <c r="B1869" s="112" t="str">
        <f t="shared" si="58"/>
        <v/>
      </c>
      <c r="C1869" s="183"/>
      <c r="D1869" s="152"/>
      <c r="E1869" s="152"/>
      <c r="F1869" s="151"/>
      <c r="G1869" s="153"/>
      <c r="H1869" s="151"/>
      <c r="I1869" s="151"/>
      <c r="J1869" s="151"/>
      <c r="K1869" s="151"/>
      <c r="L1869" s="151"/>
      <c r="M1869" s="151"/>
      <c r="N1869" s="151"/>
      <c r="O1869" s="151"/>
      <c r="P1869" s="151"/>
      <c r="Q1869" s="151"/>
      <c r="R1869" s="151"/>
      <c r="S1869" s="152"/>
      <c r="T1869" s="151"/>
      <c r="U1869" s="151"/>
      <c r="V1869" s="153"/>
      <c r="W1869" s="151"/>
      <c r="X1869" s="151"/>
      <c r="Y1869" s="153"/>
      <c r="Z1869" s="151"/>
      <c r="AA1869" s="187" t="str">
        <f t="shared" si="59"/>
        <v>No</v>
      </c>
      <c r="AB1869" s="158"/>
      <c r="AC1869" s="159"/>
      <c r="AD1869" s="160"/>
    </row>
    <row r="1870" spans="1:30">
      <c r="A1870" s="155"/>
      <c r="B1870" s="112" t="str">
        <f t="shared" si="58"/>
        <v/>
      </c>
      <c r="C1870" s="183"/>
      <c r="D1870" s="152"/>
      <c r="E1870" s="152"/>
      <c r="F1870" s="151"/>
      <c r="G1870" s="153"/>
      <c r="H1870" s="151"/>
      <c r="I1870" s="151"/>
      <c r="J1870" s="151"/>
      <c r="K1870" s="151"/>
      <c r="L1870" s="151"/>
      <c r="M1870" s="151"/>
      <c r="N1870" s="151"/>
      <c r="O1870" s="151"/>
      <c r="P1870" s="151"/>
      <c r="Q1870" s="151"/>
      <c r="R1870" s="151"/>
      <c r="S1870" s="152"/>
      <c r="T1870" s="151"/>
      <c r="U1870" s="151"/>
      <c r="V1870" s="153"/>
      <c r="W1870" s="151"/>
      <c r="X1870" s="151"/>
      <c r="Y1870" s="153"/>
      <c r="Z1870" s="151"/>
      <c r="AA1870" s="187" t="str">
        <f t="shared" si="59"/>
        <v>No</v>
      </c>
      <c r="AB1870" s="158"/>
      <c r="AC1870" s="159"/>
      <c r="AD1870" s="160"/>
    </row>
    <row r="1871" spans="1:30">
      <c r="A1871" s="155"/>
      <c r="B1871" s="112" t="str">
        <f t="shared" si="58"/>
        <v/>
      </c>
      <c r="C1871" s="183"/>
      <c r="D1871" s="152"/>
      <c r="E1871" s="152"/>
      <c r="F1871" s="151"/>
      <c r="G1871" s="153"/>
      <c r="H1871" s="151"/>
      <c r="I1871" s="151"/>
      <c r="J1871" s="151"/>
      <c r="K1871" s="151"/>
      <c r="L1871" s="151"/>
      <c r="M1871" s="151"/>
      <c r="N1871" s="151"/>
      <c r="O1871" s="151"/>
      <c r="P1871" s="151"/>
      <c r="Q1871" s="151"/>
      <c r="R1871" s="151"/>
      <c r="S1871" s="152"/>
      <c r="T1871" s="151"/>
      <c r="U1871" s="151"/>
      <c r="V1871" s="153"/>
      <c r="W1871" s="151"/>
      <c r="X1871" s="151"/>
      <c r="Y1871" s="153"/>
      <c r="Z1871" s="151"/>
      <c r="AA1871" s="187" t="str">
        <f t="shared" si="59"/>
        <v>No</v>
      </c>
      <c r="AB1871" s="158"/>
      <c r="AC1871" s="159"/>
      <c r="AD1871" s="160"/>
    </row>
    <row r="1872" spans="1:30">
      <c r="A1872" s="155"/>
      <c r="B1872" s="112" t="str">
        <f t="shared" si="58"/>
        <v/>
      </c>
      <c r="C1872" s="183"/>
      <c r="D1872" s="152"/>
      <c r="E1872" s="152"/>
      <c r="F1872" s="151"/>
      <c r="G1872" s="153"/>
      <c r="H1872" s="151"/>
      <c r="I1872" s="151"/>
      <c r="J1872" s="151"/>
      <c r="K1872" s="151"/>
      <c r="L1872" s="151"/>
      <c r="M1872" s="151"/>
      <c r="N1872" s="151"/>
      <c r="O1872" s="151"/>
      <c r="P1872" s="151"/>
      <c r="Q1872" s="151"/>
      <c r="R1872" s="151"/>
      <c r="S1872" s="152"/>
      <c r="T1872" s="151"/>
      <c r="U1872" s="151"/>
      <c r="V1872" s="153"/>
      <c r="W1872" s="151"/>
      <c r="X1872" s="151"/>
      <c r="Y1872" s="153"/>
      <c r="Z1872" s="151"/>
      <c r="AA1872" s="187" t="str">
        <f t="shared" si="59"/>
        <v>No</v>
      </c>
      <c r="AB1872" s="158"/>
      <c r="AC1872" s="159"/>
      <c r="AD1872" s="160"/>
    </row>
    <row r="1873" spans="1:30">
      <c r="A1873" s="155"/>
      <c r="B1873" s="112" t="str">
        <f t="shared" si="58"/>
        <v/>
      </c>
      <c r="C1873" s="183"/>
      <c r="D1873" s="152"/>
      <c r="E1873" s="152"/>
      <c r="F1873" s="151"/>
      <c r="G1873" s="153"/>
      <c r="H1873" s="151"/>
      <c r="I1873" s="151"/>
      <c r="J1873" s="151"/>
      <c r="K1873" s="151"/>
      <c r="L1873" s="151"/>
      <c r="M1873" s="151"/>
      <c r="N1873" s="151"/>
      <c r="O1873" s="151"/>
      <c r="P1873" s="151"/>
      <c r="Q1873" s="151"/>
      <c r="R1873" s="151"/>
      <c r="S1873" s="152"/>
      <c r="T1873" s="151"/>
      <c r="U1873" s="151"/>
      <c r="V1873" s="153"/>
      <c r="W1873" s="151"/>
      <c r="X1873" s="151"/>
      <c r="Y1873" s="153"/>
      <c r="Z1873" s="151"/>
      <c r="AA1873" s="187" t="str">
        <f t="shared" si="59"/>
        <v>No</v>
      </c>
      <c r="AB1873" s="158"/>
      <c r="AC1873" s="159"/>
      <c r="AD1873" s="160"/>
    </row>
    <row r="1874" spans="1:30">
      <c r="A1874" s="155"/>
      <c r="B1874" s="112" t="str">
        <f t="shared" si="58"/>
        <v/>
      </c>
      <c r="C1874" s="183"/>
      <c r="D1874" s="152"/>
      <c r="E1874" s="152"/>
      <c r="F1874" s="151"/>
      <c r="G1874" s="153"/>
      <c r="H1874" s="151"/>
      <c r="I1874" s="151"/>
      <c r="J1874" s="151"/>
      <c r="K1874" s="151"/>
      <c r="L1874" s="151"/>
      <c r="M1874" s="151"/>
      <c r="N1874" s="151"/>
      <c r="O1874" s="151"/>
      <c r="P1874" s="151"/>
      <c r="Q1874" s="151"/>
      <c r="R1874" s="151"/>
      <c r="S1874" s="152"/>
      <c r="T1874" s="151"/>
      <c r="U1874" s="151"/>
      <c r="V1874" s="153"/>
      <c r="W1874" s="151"/>
      <c r="X1874" s="151"/>
      <c r="Y1874" s="153"/>
      <c r="Z1874" s="151"/>
      <c r="AA1874" s="187" t="str">
        <f t="shared" si="59"/>
        <v>No</v>
      </c>
      <c r="AB1874" s="158"/>
      <c r="AC1874" s="159"/>
      <c r="AD1874" s="160"/>
    </row>
    <row r="1875" spans="1:30">
      <c r="A1875" s="155"/>
      <c r="B1875" s="112" t="str">
        <f t="shared" si="58"/>
        <v/>
      </c>
      <c r="C1875" s="183"/>
      <c r="D1875" s="152"/>
      <c r="E1875" s="152"/>
      <c r="F1875" s="151"/>
      <c r="G1875" s="153"/>
      <c r="H1875" s="151"/>
      <c r="I1875" s="151"/>
      <c r="J1875" s="151"/>
      <c r="K1875" s="151"/>
      <c r="L1875" s="151"/>
      <c r="M1875" s="151"/>
      <c r="N1875" s="151"/>
      <c r="O1875" s="151"/>
      <c r="P1875" s="151"/>
      <c r="Q1875" s="151"/>
      <c r="R1875" s="151"/>
      <c r="S1875" s="152"/>
      <c r="T1875" s="151"/>
      <c r="U1875" s="151"/>
      <c r="V1875" s="153"/>
      <c r="W1875" s="151"/>
      <c r="X1875" s="151"/>
      <c r="Y1875" s="153"/>
      <c r="Z1875" s="151"/>
      <c r="AA1875" s="187" t="str">
        <f t="shared" si="59"/>
        <v>No</v>
      </c>
      <c r="AB1875" s="158"/>
      <c r="AC1875" s="159"/>
      <c r="AD1875" s="160"/>
    </row>
    <row r="1876" spans="1:30">
      <c r="A1876" s="155"/>
      <c r="B1876" s="112" t="str">
        <f t="shared" si="58"/>
        <v/>
      </c>
      <c r="C1876" s="183"/>
      <c r="D1876" s="152"/>
      <c r="E1876" s="152"/>
      <c r="F1876" s="151"/>
      <c r="G1876" s="153"/>
      <c r="H1876" s="151"/>
      <c r="I1876" s="151"/>
      <c r="J1876" s="151"/>
      <c r="K1876" s="151"/>
      <c r="L1876" s="151"/>
      <c r="M1876" s="151"/>
      <c r="N1876" s="151"/>
      <c r="O1876" s="151"/>
      <c r="P1876" s="151"/>
      <c r="Q1876" s="151"/>
      <c r="R1876" s="151"/>
      <c r="S1876" s="152"/>
      <c r="T1876" s="151"/>
      <c r="U1876" s="151"/>
      <c r="V1876" s="153"/>
      <c r="W1876" s="151"/>
      <c r="X1876" s="151"/>
      <c r="Y1876" s="153"/>
      <c r="Z1876" s="151"/>
      <c r="AA1876" s="187" t="str">
        <f t="shared" si="59"/>
        <v>No</v>
      </c>
      <c r="AB1876" s="158"/>
      <c r="AC1876" s="159"/>
      <c r="AD1876" s="160"/>
    </row>
    <row r="1877" spans="1:30">
      <c r="A1877" s="155"/>
      <c r="B1877" s="112" t="str">
        <f t="shared" si="58"/>
        <v/>
      </c>
      <c r="C1877" s="183"/>
      <c r="D1877" s="152"/>
      <c r="E1877" s="152"/>
      <c r="F1877" s="151"/>
      <c r="G1877" s="153"/>
      <c r="H1877" s="151"/>
      <c r="I1877" s="151"/>
      <c r="J1877" s="151"/>
      <c r="K1877" s="151"/>
      <c r="L1877" s="151"/>
      <c r="M1877" s="151"/>
      <c r="N1877" s="151"/>
      <c r="O1877" s="151"/>
      <c r="P1877" s="151"/>
      <c r="Q1877" s="151"/>
      <c r="R1877" s="151"/>
      <c r="S1877" s="152"/>
      <c r="T1877" s="151"/>
      <c r="U1877" s="151"/>
      <c r="V1877" s="153"/>
      <c r="W1877" s="151"/>
      <c r="X1877" s="151"/>
      <c r="Y1877" s="153"/>
      <c r="Z1877" s="151"/>
      <c r="AA1877" s="187" t="str">
        <f t="shared" si="59"/>
        <v>No</v>
      </c>
      <c r="AB1877" s="158"/>
      <c r="AC1877" s="159"/>
      <c r="AD1877" s="160"/>
    </row>
    <row r="1878" spans="1:30">
      <c r="A1878" s="155"/>
      <c r="B1878" s="112" t="str">
        <f t="shared" si="58"/>
        <v/>
      </c>
      <c r="C1878" s="183"/>
      <c r="D1878" s="152"/>
      <c r="E1878" s="152"/>
      <c r="F1878" s="151"/>
      <c r="G1878" s="153"/>
      <c r="H1878" s="151"/>
      <c r="I1878" s="151"/>
      <c r="J1878" s="151"/>
      <c r="K1878" s="151"/>
      <c r="L1878" s="151"/>
      <c r="M1878" s="151"/>
      <c r="N1878" s="151"/>
      <c r="O1878" s="151"/>
      <c r="P1878" s="151"/>
      <c r="Q1878" s="151"/>
      <c r="R1878" s="151"/>
      <c r="S1878" s="152"/>
      <c r="T1878" s="151"/>
      <c r="U1878" s="151"/>
      <c r="V1878" s="153"/>
      <c r="W1878" s="151"/>
      <c r="X1878" s="151"/>
      <c r="Y1878" s="153"/>
      <c r="Z1878" s="151"/>
      <c r="AA1878" s="187" t="str">
        <f t="shared" si="59"/>
        <v>No</v>
      </c>
      <c r="AB1878" s="158"/>
      <c r="AC1878" s="159"/>
      <c r="AD1878" s="160"/>
    </row>
    <row r="1879" spans="1:30">
      <c r="A1879" s="155"/>
      <c r="B1879" s="112" t="str">
        <f t="shared" si="58"/>
        <v/>
      </c>
      <c r="C1879" s="183"/>
      <c r="D1879" s="152"/>
      <c r="E1879" s="152"/>
      <c r="F1879" s="151"/>
      <c r="G1879" s="153"/>
      <c r="H1879" s="151"/>
      <c r="I1879" s="151"/>
      <c r="J1879" s="151"/>
      <c r="K1879" s="151"/>
      <c r="L1879" s="151"/>
      <c r="M1879" s="151"/>
      <c r="N1879" s="151"/>
      <c r="O1879" s="151"/>
      <c r="P1879" s="151"/>
      <c r="Q1879" s="151"/>
      <c r="R1879" s="151"/>
      <c r="S1879" s="152"/>
      <c r="T1879" s="151"/>
      <c r="U1879" s="151"/>
      <c r="V1879" s="153"/>
      <c r="W1879" s="151"/>
      <c r="X1879" s="151"/>
      <c r="Y1879" s="153"/>
      <c r="Z1879" s="151"/>
      <c r="AA1879" s="187" t="str">
        <f t="shared" si="59"/>
        <v>No</v>
      </c>
      <c r="AB1879" s="158"/>
      <c r="AC1879" s="159"/>
      <c r="AD1879" s="160"/>
    </row>
    <row r="1880" spans="1:30">
      <c r="A1880" s="155"/>
      <c r="B1880" s="112" t="str">
        <f t="shared" si="58"/>
        <v/>
      </c>
      <c r="C1880" s="183"/>
      <c r="D1880" s="152"/>
      <c r="E1880" s="152"/>
      <c r="F1880" s="151"/>
      <c r="G1880" s="153"/>
      <c r="H1880" s="151"/>
      <c r="I1880" s="151"/>
      <c r="J1880" s="151"/>
      <c r="K1880" s="151"/>
      <c r="L1880" s="151"/>
      <c r="M1880" s="151"/>
      <c r="N1880" s="151"/>
      <c r="O1880" s="151"/>
      <c r="P1880" s="151"/>
      <c r="Q1880" s="151"/>
      <c r="R1880" s="151"/>
      <c r="S1880" s="152"/>
      <c r="T1880" s="151"/>
      <c r="U1880" s="151"/>
      <c r="V1880" s="153"/>
      <c r="W1880" s="151"/>
      <c r="X1880" s="151"/>
      <c r="Y1880" s="153"/>
      <c r="Z1880" s="151"/>
      <c r="AA1880" s="187" t="str">
        <f t="shared" si="59"/>
        <v>No</v>
      </c>
      <c r="AB1880" s="158"/>
      <c r="AC1880" s="159"/>
      <c r="AD1880" s="160"/>
    </row>
    <row r="1881" spans="1:30">
      <c r="A1881" s="155"/>
      <c r="B1881" s="112" t="str">
        <f t="shared" si="58"/>
        <v/>
      </c>
      <c r="C1881" s="183"/>
      <c r="D1881" s="152"/>
      <c r="E1881" s="152"/>
      <c r="F1881" s="151"/>
      <c r="G1881" s="153"/>
      <c r="H1881" s="151"/>
      <c r="I1881" s="151"/>
      <c r="J1881" s="151"/>
      <c r="K1881" s="151"/>
      <c r="L1881" s="151"/>
      <c r="M1881" s="151"/>
      <c r="N1881" s="151"/>
      <c r="O1881" s="151"/>
      <c r="P1881" s="151"/>
      <c r="Q1881" s="151"/>
      <c r="R1881" s="151"/>
      <c r="S1881" s="152"/>
      <c r="T1881" s="151"/>
      <c r="U1881" s="151"/>
      <c r="V1881" s="153"/>
      <c r="W1881" s="151"/>
      <c r="X1881" s="151"/>
      <c r="Y1881" s="153"/>
      <c r="Z1881" s="151"/>
      <c r="AA1881" s="187" t="str">
        <f t="shared" si="59"/>
        <v>No</v>
      </c>
      <c r="AB1881" s="158"/>
      <c r="AC1881" s="159"/>
      <c r="AD1881" s="160"/>
    </row>
    <row r="1882" spans="1:30">
      <c r="A1882" s="155"/>
      <c r="B1882" s="112" t="str">
        <f t="shared" si="58"/>
        <v/>
      </c>
      <c r="C1882" s="183"/>
      <c r="D1882" s="152"/>
      <c r="E1882" s="152"/>
      <c r="F1882" s="151"/>
      <c r="G1882" s="153"/>
      <c r="H1882" s="151"/>
      <c r="I1882" s="151"/>
      <c r="J1882" s="151"/>
      <c r="K1882" s="151"/>
      <c r="L1882" s="151"/>
      <c r="M1882" s="151"/>
      <c r="N1882" s="151"/>
      <c r="O1882" s="151"/>
      <c r="P1882" s="151"/>
      <c r="Q1882" s="151"/>
      <c r="R1882" s="151"/>
      <c r="S1882" s="152"/>
      <c r="T1882" s="151"/>
      <c r="U1882" s="151"/>
      <c r="V1882" s="153"/>
      <c r="W1882" s="151"/>
      <c r="X1882" s="151"/>
      <c r="Y1882" s="153"/>
      <c r="Z1882" s="151"/>
      <c r="AA1882" s="187" t="str">
        <f t="shared" si="59"/>
        <v>No</v>
      </c>
      <c r="AB1882" s="158"/>
      <c r="AC1882" s="159"/>
      <c r="AD1882" s="160"/>
    </row>
    <row r="1883" spans="1:30">
      <c r="A1883" s="155"/>
      <c r="B1883" s="112" t="str">
        <f t="shared" si="58"/>
        <v/>
      </c>
      <c r="C1883" s="183"/>
      <c r="D1883" s="152"/>
      <c r="E1883" s="152"/>
      <c r="F1883" s="151"/>
      <c r="G1883" s="153"/>
      <c r="H1883" s="151"/>
      <c r="I1883" s="151"/>
      <c r="J1883" s="151"/>
      <c r="K1883" s="151"/>
      <c r="L1883" s="151"/>
      <c r="M1883" s="151"/>
      <c r="N1883" s="151"/>
      <c r="O1883" s="151"/>
      <c r="P1883" s="151"/>
      <c r="Q1883" s="151"/>
      <c r="R1883" s="151"/>
      <c r="S1883" s="152"/>
      <c r="T1883" s="151"/>
      <c r="U1883" s="151"/>
      <c r="V1883" s="153"/>
      <c r="W1883" s="151"/>
      <c r="X1883" s="151"/>
      <c r="Y1883" s="153"/>
      <c r="Z1883" s="151"/>
      <c r="AA1883" s="187" t="str">
        <f t="shared" si="59"/>
        <v>No</v>
      </c>
      <c r="AB1883" s="158"/>
      <c r="AC1883" s="159"/>
      <c r="AD1883" s="160"/>
    </row>
    <row r="1884" spans="1:30">
      <c r="A1884" s="155"/>
      <c r="B1884" s="112" t="str">
        <f t="shared" si="58"/>
        <v/>
      </c>
      <c r="C1884" s="183"/>
      <c r="D1884" s="152"/>
      <c r="E1884" s="152"/>
      <c r="F1884" s="151"/>
      <c r="G1884" s="153"/>
      <c r="H1884" s="151"/>
      <c r="I1884" s="151"/>
      <c r="J1884" s="151"/>
      <c r="K1884" s="151"/>
      <c r="L1884" s="151"/>
      <c r="M1884" s="151"/>
      <c r="N1884" s="151"/>
      <c r="O1884" s="151"/>
      <c r="P1884" s="151"/>
      <c r="Q1884" s="151"/>
      <c r="R1884" s="151"/>
      <c r="S1884" s="152"/>
      <c r="T1884" s="151"/>
      <c r="U1884" s="151"/>
      <c r="V1884" s="153"/>
      <c r="W1884" s="151"/>
      <c r="X1884" s="151"/>
      <c r="Y1884" s="153"/>
      <c r="Z1884" s="151"/>
      <c r="AA1884" s="187" t="str">
        <f t="shared" si="59"/>
        <v>No</v>
      </c>
      <c r="AB1884" s="158"/>
      <c r="AC1884" s="159"/>
      <c r="AD1884" s="160"/>
    </row>
    <row r="1885" spans="1:30">
      <c r="A1885" s="155"/>
      <c r="B1885" s="112" t="str">
        <f t="shared" si="58"/>
        <v/>
      </c>
      <c r="C1885" s="183"/>
      <c r="D1885" s="152"/>
      <c r="E1885" s="152"/>
      <c r="F1885" s="151"/>
      <c r="G1885" s="153"/>
      <c r="H1885" s="151"/>
      <c r="I1885" s="151"/>
      <c r="J1885" s="151"/>
      <c r="K1885" s="151"/>
      <c r="L1885" s="151"/>
      <c r="M1885" s="151"/>
      <c r="N1885" s="151"/>
      <c r="O1885" s="151"/>
      <c r="P1885" s="151"/>
      <c r="Q1885" s="151"/>
      <c r="R1885" s="151"/>
      <c r="S1885" s="152"/>
      <c r="T1885" s="151"/>
      <c r="U1885" s="151"/>
      <c r="V1885" s="153"/>
      <c r="W1885" s="151"/>
      <c r="X1885" s="151"/>
      <c r="Y1885" s="153"/>
      <c r="Z1885" s="151"/>
      <c r="AA1885" s="187" t="str">
        <f t="shared" si="59"/>
        <v>No</v>
      </c>
      <c r="AB1885" s="158"/>
      <c r="AC1885" s="159"/>
      <c r="AD1885" s="160"/>
    </row>
    <row r="1886" spans="1:30">
      <c r="A1886" s="155"/>
      <c r="B1886" s="112" t="str">
        <f t="shared" si="58"/>
        <v/>
      </c>
      <c r="C1886" s="183"/>
      <c r="D1886" s="152"/>
      <c r="E1886" s="152"/>
      <c r="F1886" s="151"/>
      <c r="G1886" s="153"/>
      <c r="H1886" s="151"/>
      <c r="I1886" s="151"/>
      <c r="J1886" s="151"/>
      <c r="K1886" s="151"/>
      <c r="L1886" s="151"/>
      <c r="M1886" s="151"/>
      <c r="N1886" s="151"/>
      <c r="O1886" s="151"/>
      <c r="P1886" s="151"/>
      <c r="Q1886" s="151"/>
      <c r="R1886" s="151"/>
      <c r="S1886" s="152"/>
      <c r="T1886" s="151"/>
      <c r="U1886" s="151"/>
      <c r="V1886" s="153"/>
      <c r="W1886" s="151"/>
      <c r="X1886" s="151"/>
      <c r="Y1886" s="153"/>
      <c r="Z1886" s="151"/>
      <c r="AA1886" s="187" t="str">
        <f t="shared" si="59"/>
        <v>No</v>
      </c>
      <c r="AB1886" s="158"/>
      <c r="AC1886" s="159"/>
      <c r="AD1886" s="160"/>
    </row>
    <row r="1887" spans="1:30">
      <c r="A1887" s="155"/>
      <c r="B1887" s="112" t="str">
        <f t="shared" si="58"/>
        <v/>
      </c>
      <c r="C1887" s="183"/>
      <c r="D1887" s="152"/>
      <c r="E1887" s="152"/>
      <c r="F1887" s="151"/>
      <c r="G1887" s="153"/>
      <c r="H1887" s="151"/>
      <c r="I1887" s="151"/>
      <c r="J1887" s="151"/>
      <c r="K1887" s="151"/>
      <c r="L1887" s="151"/>
      <c r="M1887" s="151"/>
      <c r="N1887" s="151"/>
      <c r="O1887" s="151"/>
      <c r="P1887" s="151"/>
      <c r="Q1887" s="151"/>
      <c r="R1887" s="151"/>
      <c r="S1887" s="152"/>
      <c r="T1887" s="151"/>
      <c r="U1887" s="151"/>
      <c r="V1887" s="153"/>
      <c r="W1887" s="151"/>
      <c r="X1887" s="151"/>
      <c r="Y1887" s="153"/>
      <c r="Z1887" s="151"/>
      <c r="AA1887" s="187" t="str">
        <f t="shared" si="59"/>
        <v>No</v>
      </c>
      <c r="AB1887" s="158"/>
      <c r="AC1887" s="159"/>
      <c r="AD1887" s="160"/>
    </row>
    <row r="1888" spans="1:30">
      <c r="A1888" s="155"/>
      <c r="B1888" s="112" t="str">
        <f t="shared" si="58"/>
        <v/>
      </c>
      <c r="C1888" s="183"/>
      <c r="D1888" s="152"/>
      <c r="E1888" s="152"/>
      <c r="F1888" s="151"/>
      <c r="G1888" s="153"/>
      <c r="H1888" s="151"/>
      <c r="I1888" s="151"/>
      <c r="J1888" s="151"/>
      <c r="K1888" s="151"/>
      <c r="L1888" s="151"/>
      <c r="M1888" s="151"/>
      <c r="N1888" s="151"/>
      <c r="O1888" s="151"/>
      <c r="P1888" s="151"/>
      <c r="Q1888" s="151"/>
      <c r="R1888" s="151"/>
      <c r="S1888" s="152"/>
      <c r="T1888" s="151"/>
      <c r="U1888" s="151"/>
      <c r="V1888" s="153"/>
      <c r="W1888" s="151"/>
      <c r="X1888" s="151"/>
      <c r="Y1888" s="153"/>
      <c r="Z1888" s="151"/>
      <c r="AA1888" s="187" t="str">
        <f t="shared" si="59"/>
        <v>No</v>
      </c>
      <c r="AB1888" s="158"/>
      <c r="AC1888" s="159"/>
      <c r="AD1888" s="160"/>
    </row>
    <row r="1889" spans="1:30">
      <c r="A1889" s="155"/>
      <c r="B1889" s="112" t="str">
        <f t="shared" si="58"/>
        <v/>
      </c>
      <c r="C1889" s="183"/>
      <c r="D1889" s="152"/>
      <c r="E1889" s="152"/>
      <c r="F1889" s="151"/>
      <c r="G1889" s="153"/>
      <c r="H1889" s="151"/>
      <c r="I1889" s="151"/>
      <c r="J1889" s="151"/>
      <c r="K1889" s="151"/>
      <c r="L1889" s="151"/>
      <c r="M1889" s="151"/>
      <c r="N1889" s="151"/>
      <c r="O1889" s="151"/>
      <c r="P1889" s="151"/>
      <c r="Q1889" s="151"/>
      <c r="R1889" s="151"/>
      <c r="S1889" s="152"/>
      <c r="T1889" s="151"/>
      <c r="U1889" s="151"/>
      <c r="V1889" s="153"/>
      <c r="W1889" s="151"/>
      <c r="X1889" s="151"/>
      <c r="Y1889" s="153"/>
      <c r="Z1889" s="151"/>
      <c r="AA1889" s="187" t="str">
        <f t="shared" si="59"/>
        <v>No</v>
      </c>
      <c r="AB1889" s="158"/>
      <c r="AC1889" s="159"/>
      <c r="AD1889" s="160"/>
    </row>
    <row r="1890" spans="1:30">
      <c r="A1890" s="155"/>
      <c r="B1890" s="112" t="str">
        <f t="shared" si="58"/>
        <v/>
      </c>
      <c r="C1890" s="183"/>
      <c r="D1890" s="152"/>
      <c r="E1890" s="152"/>
      <c r="F1890" s="151"/>
      <c r="G1890" s="153"/>
      <c r="H1890" s="151"/>
      <c r="I1890" s="151"/>
      <c r="J1890" s="151"/>
      <c r="K1890" s="151"/>
      <c r="L1890" s="151"/>
      <c r="M1890" s="151"/>
      <c r="N1890" s="151"/>
      <c r="O1890" s="151"/>
      <c r="P1890" s="151"/>
      <c r="Q1890" s="151"/>
      <c r="R1890" s="151"/>
      <c r="S1890" s="152"/>
      <c r="T1890" s="151"/>
      <c r="U1890" s="151"/>
      <c r="V1890" s="153"/>
      <c r="W1890" s="151"/>
      <c r="X1890" s="151"/>
      <c r="Y1890" s="153"/>
      <c r="Z1890" s="151"/>
      <c r="AA1890" s="187" t="str">
        <f t="shared" si="59"/>
        <v>No</v>
      </c>
      <c r="AB1890" s="158"/>
      <c r="AC1890" s="159"/>
      <c r="AD1890" s="160"/>
    </row>
    <row r="1891" spans="1:30">
      <c r="A1891" s="155"/>
      <c r="B1891" s="112" t="str">
        <f t="shared" si="58"/>
        <v/>
      </c>
      <c r="C1891" s="183"/>
      <c r="D1891" s="152"/>
      <c r="E1891" s="152"/>
      <c r="F1891" s="151"/>
      <c r="G1891" s="153"/>
      <c r="H1891" s="151"/>
      <c r="I1891" s="151"/>
      <c r="J1891" s="151"/>
      <c r="K1891" s="151"/>
      <c r="L1891" s="151"/>
      <c r="M1891" s="151"/>
      <c r="N1891" s="151"/>
      <c r="O1891" s="151"/>
      <c r="P1891" s="151"/>
      <c r="Q1891" s="151"/>
      <c r="R1891" s="151"/>
      <c r="S1891" s="152"/>
      <c r="T1891" s="151"/>
      <c r="U1891" s="151"/>
      <c r="V1891" s="153"/>
      <c r="W1891" s="151"/>
      <c r="X1891" s="151"/>
      <c r="Y1891" s="153"/>
      <c r="Z1891" s="151"/>
      <c r="AA1891" s="187" t="str">
        <f t="shared" si="59"/>
        <v>No</v>
      </c>
      <c r="AB1891" s="158"/>
      <c r="AC1891" s="159"/>
      <c r="AD1891" s="160"/>
    </row>
    <row r="1892" spans="1:30">
      <c r="A1892" s="155"/>
      <c r="B1892" s="112" t="str">
        <f t="shared" si="58"/>
        <v/>
      </c>
      <c r="C1892" s="183"/>
      <c r="D1892" s="152"/>
      <c r="E1892" s="152"/>
      <c r="F1892" s="151"/>
      <c r="G1892" s="153"/>
      <c r="H1892" s="151"/>
      <c r="I1892" s="151"/>
      <c r="J1892" s="151"/>
      <c r="K1892" s="151"/>
      <c r="L1892" s="151"/>
      <c r="M1892" s="151"/>
      <c r="N1892" s="151"/>
      <c r="O1892" s="151"/>
      <c r="P1892" s="151"/>
      <c r="Q1892" s="151"/>
      <c r="R1892" s="151"/>
      <c r="S1892" s="152"/>
      <c r="T1892" s="151"/>
      <c r="U1892" s="151"/>
      <c r="V1892" s="153"/>
      <c r="W1892" s="151"/>
      <c r="X1892" s="151"/>
      <c r="Y1892" s="153"/>
      <c r="Z1892" s="151"/>
      <c r="AA1892" s="187" t="str">
        <f t="shared" si="59"/>
        <v>No</v>
      </c>
      <c r="AB1892" s="158"/>
      <c r="AC1892" s="159"/>
      <c r="AD1892" s="160"/>
    </row>
    <row r="1893" spans="1:30">
      <c r="A1893" s="155"/>
      <c r="B1893" s="112" t="str">
        <f t="shared" si="58"/>
        <v/>
      </c>
      <c r="C1893" s="183"/>
      <c r="D1893" s="152"/>
      <c r="E1893" s="152"/>
      <c r="F1893" s="151"/>
      <c r="G1893" s="153"/>
      <c r="H1893" s="151"/>
      <c r="I1893" s="151"/>
      <c r="J1893" s="151"/>
      <c r="K1893" s="151"/>
      <c r="L1893" s="151"/>
      <c r="M1893" s="151"/>
      <c r="N1893" s="151"/>
      <c r="O1893" s="151"/>
      <c r="P1893" s="151"/>
      <c r="Q1893" s="151"/>
      <c r="R1893" s="151"/>
      <c r="S1893" s="152"/>
      <c r="T1893" s="151"/>
      <c r="U1893" s="151"/>
      <c r="V1893" s="153"/>
      <c r="W1893" s="151"/>
      <c r="X1893" s="151"/>
      <c r="Y1893" s="153"/>
      <c r="Z1893" s="151"/>
      <c r="AA1893" s="187" t="str">
        <f t="shared" si="59"/>
        <v>No</v>
      </c>
      <c r="AB1893" s="158"/>
      <c r="AC1893" s="159"/>
      <c r="AD1893" s="160"/>
    </row>
    <row r="1894" spans="1:30">
      <c r="A1894" s="155"/>
      <c r="B1894" s="112" t="str">
        <f t="shared" si="58"/>
        <v/>
      </c>
      <c r="C1894" s="183"/>
      <c r="D1894" s="152"/>
      <c r="E1894" s="152"/>
      <c r="F1894" s="151"/>
      <c r="G1894" s="153"/>
      <c r="H1894" s="151"/>
      <c r="I1894" s="151"/>
      <c r="J1894" s="151"/>
      <c r="K1894" s="151"/>
      <c r="L1894" s="151"/>
      <c r="M1894" s="151"/>
      <c r="N1894" s="151"/>
      <c r="O1894" s="151"/>
      <c r="P1894" s="151"/>
      <c r="Q1894" s="151"/>
      <c r="R1894" s="151"/>
      <c r="S1894" s="152"/>
      <c r="T1894" s="151"/>
      <c r="U1894" s="151"/>
      <c r="V1894" s="153"/>
      <c r="W1894" s="151"/>
      <c r="X1894" s="151"/>
      <c r="Y1894" s="153"/>
      <c r="Z1894" s="151"/>
      <c r="AA1894" s="187" t="str">
        <f t="shared" si="59"/>
        <v>No</v>
      </c>
      <c r="AB1894" s="158"/>
      <c r="AC1894" s="159"/>
      <c r="AD1894" s="160"/>
    </row>
    <row r="1895" spans="1:30">
      <c r="A1895" s="155"/>
      <c r="B1895" s="112" t="str">
        <f t="shared" si="58"/>
        <v/>
      </c>
      <c r="C1895" s="183"/>
      <c r="D1895" s="152"/>
      <c r="E1895" s="152"/>
      <c r="F1895" s="151"/>
      <c r="G1895" s="153"/>
      <c r="H1895" s="151"/>
      <c r="I1895" s="151"/>
      <c r="J1895" s="151"/>
      <c r="K1895" s="151"/>
      <c r="L1895" s="151"/>
      <c r="M1895" s="151"/>
      <c r="N1895" s="151"/>
      <c r="O1895" s="151"/>
      <c r="P1895" s="151"/>
      <c r="Q1895" s="151"/>
      <c r="R1895" s="151"/>
      <c r="S1895" s="152"/>
      <c r="T1895" s="151"/>
      <c r="U1895" s="151"/>
      <c r="V1895" s="153"/>
      <c r="W1895" s="151"/>
      <c r="X1895" s="151"/>
      <c r="Y1895" s="153"/>
      <c r="Z1895" s="151"/>
      <c r="AA1895" s="187" t="str">
        <f t="shared" si="59"/>
        <v>No</v>
      </c>
      <c r="AB1895" s="158"/>
      <c r="AC1895" s="159"/>
      <c r="AD1895" s="160"/>
    </row>
    <row r="1896" spans="1:30">
      <c r="A1896" s="155"/>
      <c r="B1896" s="112" t="str">
        <f t="shared" si="58"/>
        <v/>
      </c>
      <c r="C1896" s="183"/>
      <c r="D1896" s="152"/>
      <c r="E1896" s="152"/>
      <c r="F1896" s="151"/>
      <c r="G1896" s="153"/>
      <c r="H1896" s="151"/>
      <c r="I1896" s="151"/>
      <c r="J1896" s="151"/>
      <c r="K1896" s="151"/>
      <c r="L1896" s="151"/>
      <c r="M1896" s="151"/>
      <c r="N1896" s="151"/>
      <c r="O1896" s="151"/>
      <c r="P1896" s="151"/>
      <c r="Q1896" s="151"/>
      <c r="R1896" s="151"/>
      <c r="S1896" s="152"/>
      <c r="T1896" s="151"/>
      <c r="U1896" s="151"/>
      <c r="V1896" s="153"/>
      <c r="W1896" s="151"/>
      <c r="X1896" s="151"/>
      <c r="Y1896" s="153"/>
      <c r="Z1896" s="151"/>
      <c r="AA1896" s="187" t="str">
        <f t="shared" si="59"/>
        <v>No</v>
      </c>
      <c r="AB1896" s="158"/>
      <c r="AC1896" s="159"/>
      <c r="AD1896" s="160"/>
    </row>
    <row r="1897" spans="1:30">
      <c r="A1897" s="155"/>
      <c r="B1897" s="112" t="str">
        <f t="shared" si="58"/>
        <v/>
      </c>
      <c r="C1897" s="183"/>
      <c r="D1897" s="152"/>
      <c r="E1897" s="152"/>
      <c r="F1897" s="151"/>
      <c r="G1897" s="153"/>
      <c r="H1897" s="151"/>
      <c r="I1897" s="151"/>
      <c r="J1897" s="151"/>
      <c r="K1897" s="151"/>
      <c r="L1897" s="151"/>
      <c r="M1897" s="151"/>
      <c r="N1897" s="151"/>
      <c r="O1897" s="151"/>
      <c r="P1897" s="151"/>
      <c r="Q1897" s="151"/>
      <c r="R1897" s="151"/>
      <c r="S1897" s="152"/>
      <c r="T1897" s="151"/>
      <c r="U1897" s="151"/>
      <c r="V1897" s="153"/>
      <c r="W1897" s="151"/>
      <c r="X1897" s="151"/>
      <c r="Y1897" s="153"/>
      <c r="Z1897" s="151"/>
      <c r="AA1897" s="187" t="str">
        <f t="shared" si="59"/>
        <v>No</v>
      </c>
      <c r="AB1897" s="158"/>
      <c r="AC1897" s="159"/>
      <c r="AD1897" s="160"/>
    </row>
    <row r="1898" spans="1:30">
      <c r="A1898" s="155"/>
      <c r="B1898" s="112" t="str">
        <f t="shared" si="58"/>
        <v/>
      </c>
      <c r="C1898" s="183"/>
      <c r="D1898" s="152"/>
      <c r="E1898" s="152"/>
      <c r="F1898" s="151"/>
      <c r="G1898" s="153"/>
      <c r="H1898" s="151"/>
      <c r="I1898" s="151"/>
      <c r="J1898" s="151"/>
      <c r="K1898" s="151"/>
      <c r="L1898" s="151"/>
      <c r="M1898" s="151"/>
      <c r="N1898" s="151"/>
      <c r="O1898" s="151"/>
      <c r="P1898" s="151"/>
      <c r="Q1898" s="151"/>
      <c r="R1898" s="151"/>
      <c r="S1898" s="152"/>
      <c r="T1898" s="151"/>
      <c r="U1898" s="151"/>
      <c r="V1898" s="153"/>
      <c r="W1898" s="151"/>
      <c r="X1898" s="151"/>
      <c r="Y1898" s="153"/>
      <c r="Z1898" s="151"/>
      <c r="AA1898" s="187" t="str">
        <f t="shared" si="59"/>
        <v>No</v>
      </c>
      <c r="AB1898" s="158"/>
      <c r="AC1898" s="159"/>
      <c r="AD1898" s="160"/>
    </row>
    <row r="1899" spans="1:30">
      <c r="A1899" s="155"/>
      <c r="B1899" s="112" t="str">
        <f t="shared" si="58"/>
        <v/>
      </c>
      <c r="C1899" s="183"/>
      <c r="D1899" s="152"/>
      <c r="E1899" s="152"/>
      <c r="F1899" s="151"/>
      <c r="G1899" s="153"/>
      <c r="H1899" s="151"/>
      <c r="I1899" s="151"/>
      <c r="J1899" s="151"/>
      <c r="K1899" s="151"/>
      <c r="L1899" s="151"/>
      <c r="M1899" s="151"/>
      <c r="N1899" s="151"/>
      <c r="O1899" s="151"/>
      <c r="P1899" s="151"/>
      <c r="Q1899" s="151"/>
      <c r="R1899" s="151"/>
      <c r="S1899" s="152"/>
      <c r="T1899" s="151"/>
      <c r="U1899" s="151"/>
      <c r="V1899" s="153"/>
      <c r="W1899" s="151"/>
      <c r="X1899" s="151"/>
      <c r="Y1899" s="153"/>
      <c r="Z1899" s="151"/>
      <c r="AA1899" s="187" t="str">
        <f t="shared" si="59"/>
        <v>No</v>
      </c>
      <c r="AB1899" s="158"/>
      <c r="AC1899" s="159"/>
      <c r="AD1899" s="160"/>
    </row>
    <row r="1900" spans="1:30">
      <c r="A1900" s="155"/>
      <c r="B1900" s="112" t="str">
        <f t="shared" si="58"/>
        <v/>
      </c>
      <c r="C1900" s="183"/>
      <c r="D1900" s="152"/>
      <c r="E1900" s="152"/>
      <c r="F1900" s="151"/>
      <c r="G1900" s="153"/>
      <c r="H1900" s="151"/>
      <c r="I1900" s="151"/>
      <c r="J1900" s="151"/>
      <c r="K1900" s="151"/>
      <c r="L1900" s="151"/>
      <c r="M1900" s="151"/>
      <c r="N1900" s="151"/>
      <c r="O1900" s="151"/>
      <c r="P1900" s="151"/>
      <c r="Q1900" s="151"/>
      <c r="R1900" s="151"/>
      <c r="S1900" s="152"/>
      <c r="T1900" s="151"/>
      <c r="U1900" s="151"/>
      <c r="V1900" s="153"/>
      <c r="W1900" s="151"/>
      <c r="X1900" s="151"/>
      <c r="Y1900" s="153"/>
      <c r="Z1900" s="151"/>
      <c r="AA1900" s="187" t="str">
        <f t="shared" si="59"/>
        <v>No</v>
      </c>
      <c r="AB1900" s="158"/>
      <c r="AC1900" s="159"/>
      <c r="AD1900" s="160"/>
    </row>
    <row r="1901" spans="1:30">
      <c r="A1901" s="155"/>
      <c r="B1901" s="112" t="str">
        <f t="shared" si="58"/>
        <v/>
      </c>
      <c r="C1901" s="183"/>
      <c r="D1901" s="152"/>
      <c r="E1901" s="152"/>
      <c r="F1901" s="151"/>
      <c r="G1901" s="153"/>
      <c r="H1901" s="151"/>
      <c r="I1901" s="151"/>
      <c r="J1901" s="151"/>
      <c r="K1901" s="151"/>
      <c r="L1901" s="151"/>
      <c r="M1901" s="151"/>
      <c r="N1901" s="151"/>
      <c r="O1901" s="151"/>
      <c r="P1901" s="151"/>
      <c r="Q1901" s="151"/>
      <c r="R1901" s="151"/>
      <c r="S1901" s="152"/>
      <c r="T1901" s="151"/>
      <c r="U1901" s="151"/>
      <c r="V1901" s="153"/>
      <c r="W1901" s="151"/>
      <c r="X1901" s="151"/>
      <c r="Y1901" s="153"/>
      <c r="Z1901" s="151"/>
      <c r="AA1901" s="187" t="str">
        <f t="shared" si="59"/>
        <v>No</v>
      </c>
      <c r="AB1901" s="158"/>
      <c r="AC1901" s="159"/>
      <c r="AD1901" s="160"/>
    </row>
    <row r="1902" spans="1:30">
      <c r="A1902" s="155"/>
      <c r="B1902" s="112" t="str">
        <f t="shared" si="58"/>
        <v/>
      </c>
      <c r="C1902" s="183"/>
      <c r="D1902" s="152"/>
      <c r="E1902" s="152"/>
      <c r="F1902" s="151"/>
      <c r="G1902" s="153"/>
      <c r="H1902" s="151"/>
      <c r="I1902" s="151"/>
      <c r="J1902" s="151"/>
      <c r="K1902" s="151"/>
      <c r="L1902" s="151"/>
      <c r="M1902" s="151"/>
      <c r="N1902" s="151"/>
      <c r="O1902" s="151"/>
      <c r="P1902" s="151"/>
      <c r="Q1902" s="151"/>
      <c r="R1902" s="151"/>
      <c r="S1902" s="152"/>
      <c r="T1902" s="151"/>
      <c r="U1902" s="151"/>
      <c r="V1902" s="153"/>
      <c r="W1902" s="151"/>
      <c r="X1902" s="151"/>
      <c r="Y1902" s="153"/>
      <c r="Z1902" s="151"/>
      <c r="AA1902" s="187" t="str">
        <f t="shared" si="59"/>
        <v>No</v>
      </c>
      <c r="AB1902" s="158"/>
      <c r="AC1902" s="159"/>
      <c r="AD1902" s="160"/>
    </row>
    <row r="1903" spans="1:30">
      <c r="A1903" s="155"/>
      <c r="B1903" s="112" t="str">
        <f t="shared" si="58"/>
        <v/>
      </c>
      <c r="C1903" s="183"/>
      <c r="D1903" s="152"/>
      <c r="E1903" s="152"/>
      <c r="F1903" s="151"/>
      <c r="G1903" s="153"/>
      <c r="H1903" s="151"/>
      <c r="I1903" s="151"/>
      <c r="J1903" s="151"/>
      <c r="K1903" s="151"/>
      <c r="L1903" s="151"/>
      <c r="M1903" s="151"/>
      <c r="N1903" s="151"/>
      <c r="O1903" s="151"/>
      <c r="P1903" s="151"/>
      <c r="Q1903" s="151"/>
      <c r="R1903" s="151"/>
      <c r="S1903" s="152"/>
      <c r="T1903" s="151"/>
      <c r="U1903" s="151"/>
      <c r="V1903" s="153"/>
      <c r="W1903" s="151"/>
      <c r="X1903" s="151"/>
      <c r="Y1903" s="153"/>
      <c r="Z1903" s="151"/>
      <c r="AA1903" s="187" t="str">
        <f t="shared" si="59"/>
        <v>No</v>
      </c>
      <c r="AB1903" s="158"/>
      <c r="AC1903" s="159"/>
      <c r="AD1903" s="160"/>
    </row>
    <row r="1904" spans="1:30">
      <c r="A1904" s="155"/>
      <c r="B1904" s="112" t="str">
        <f t="shared" si="58"/>
        <v/>
      </c>
      <c r="C1904" s="183"/>
      <c r="D1904" s="152"/>
      <c r="E1904" s="152"/>
      <c r="F1904" s="151"/>
      <c r="G1904" s="153"/>
      <c r="H1904" s="151"/>
      <c r="I1904" s="151"/>
      <c r="J1904" s="151"/>
      <c r="K1904" s="151"/>
      <c r="L1904" s="151"/>
      <c r="M1904" s="151"/>
      <c r="N1904" s="151"/>
      <c r="O1904" s="151"/>
      <c r="P1904" s="151"/>
      <c r="Q1904" s="151"/>
      <c r="R1904" s="151"/>
      <c r="S1904" s="152"/>
      <c r="T1904" s="151"/>
      <c r="U1904" s="151"/>
      <c r="V1904" s="153"/>
      <c r="W1904" s="151"/>
      <c r="X1904" s="151"/>
      <c r="Y1904" s="153"/>
      <c r="Z1904" s="151"/>
      <c r="AA1904" s="187" t="str">
        <f t="shared" si="59"/>
        <v>No</v>
      </c>
      <c r="AB1904" s="158"/>
      <c r="AC1904" s="159"/>
      <c r="AD1904" s="160"/>
    </row>
    <row r="1905" spans="1:30">
      <c r="A1905" s="155"/>
      <c r="B1905" s="112" t="str">
        <f t="shared" si="58"/>
        <v/>
      </c>
      <c r="C1905" s="183"/>
      <c r="D1905" s="152"/>
      <c r="E1905" s="152"/>
      <c r="F1905" s="151"/>
      <c r="G1905" s="153"/>
      <c r="H1905" s="151"/>
      <c r="I1905" s="151"/>
      <c r="J1905" s="151"/>
      <c r="K1905" s="151"/>
      <c r="L1905" s="151"/>
      <c r="M1905" s="151"/>
      <c r="N1905" s="151"/>
      <c r="O1905" s="151"/>
      <c r="P1905" s="151"/>
      <c r="Q1905" s="151"/>
      <c r="R1905" s="151"/>
      <c r="S1905" s="152"/>
      <c r="T1905" s="151"/>
      <c r="U1905" s="151"/>
      <c r="V1905" s="153"/>
      <c r="W1905" s="151"/>
      <c r="X1905" s="151"/>
      <c r="Y1905" s="153"/>
      <c r="Z1905" s="151"/>
      <c r="AA1905" s="187" t="str">
        <f t="shared" si="59"/>
        <v>No</v>
      </c>
      <c r="AB1905" s="158"/>
      <c r="AC1905" s="159"/>
      <c r="AD1905" s="160"/>
    </row>
    <row r="1906" spans="1:30">
      <c r="A1906" s="155"/>
      <c r="B1906" s="112" t="str">
        <f t="shared" si="58"/>
        <v/>
      </c>
      <c r="C1906" s="183"/>
      <c r="D1906" s="152"/>
      <c r="E1906" s="152"/>
      <c r="F1906" s="151"/>
      <c r="G1906" s="153"/>
      <c r="H1906" s="151"/>
      <c r="I1906" s="151"/>
      <c r="J1906" s="151"/>
      <c r="K1906" s="151"/>
      <c r="L1906" s="151"/>
      <c r="M1906" s="151"/>
      <c r="N1906" s="151"/>
      <c r="O1906" s="151"/>
      <c r="P1906" s="151"/>
      <c r="Q1906" s="151"/>
      <c r="R1906" s="151"/>
      <c r="S1906" s="152"/>
      <c r="T1906" s="151"/>
      <c r="U1906" s="151"/>
      <c r="V1906" s="153"/>
      <c r="W1906" s="151"/>
      <c r="X1906" s="151"/>
      <c r="Y1906" s="153"/>
      <c r="Z1906" s="151"/>
      <c r="AA1906" s="187" t="str">
        <f t="shared" si="59"/>
        <v>No</v>
      </c>
      <c r="AB1906" s="158"/>
      <c r="AC1906" s="159"/>
      <c r="AD1906" s="160"/>
    </row>
    <row r="1907" spans="1:30">
      <c r="A1907" s="155"/>
      <c r="B1907" s="112" t="str">
        <f t="shared" si="58"/>
        <v/>
      </c>
      <c r="C1907" s="183"/>
      <c r="D1907" s="152"/>
      <c r="E1907" s="152"/>
      <c r="F1907" s="151"/>
      <c r="G1907" s="153"/>
      <c r="H1907" s="151"/>
      <c r="I1907" s="151"/>
      <c r="J1907" s="151"/>
      <c r="K1907" s="151"/>
      <c r="L1907" s="151"/>
      <c r="M1907" s="151"/>
      <c r="N1907" s="151"/>
      <c r="O1907" s="151"/>
      <c r="P1907" s="151"/>
      <c r="Q1907" s="151"/>
      <c r="R1907" s="151"/>
      <c r="S1907" s="152"/>
      <c r="T1907" s="151"/>
      <c r="U1907" s="151"/>
      <c r="V1907" s="153"/>
      <c r="W1907" s="151"/>
      <c r="X1907" s="151"/>
      <c r="Y1907" s="153"/>
      <c r="Z1907" s="151"/>
      <c r="AA1907" s="187" t="str">
        <f t="shared" si="59"/>
        <v>No</v>
      </c>
      <c r="AB1907" s="158"/>
      <c r="AC1907" s="159"/>
      <c r="AD1907" s="160"/>
    </row>
    <row r="1908" spans="1:30">
      <c r="A1908" s="155"/>
      <c r="B1908" s="112" t="str">
        <f t="shared" si="58"/>
        <v/>
      </c>
      <c r="C1908" s="183"/>
      <c r="D1908" s="152"/>
      <c r="E1908" s="152"/>
      <c r="F1908" s="151"/>
      <c r="G1908" s="153"/>
      <c r="H1908" s="151"/>
      <c r="I1908" s="151"/>
      <c r="J1908" s="151"/>
      <c r="K1908" s="151"/>
      <c r="L1908" s="151"/>
      <c r="M1908" s="151"/>
      <c r="N1908" s="151"/>
      <c r="O1908" s="151"/>
      <c r="P1908" s="151"/>
      <c r="Q1908" s="151"/>
      <c r="R1908" s="151"/>
      <c r="S1908" s="152"/>
      <c r="T1908" s="151"/>
      <c r="U1908" s="151"/>
      <c r="V1908" s="153"/>
      <c r="W1908" s="151"/>
      <c r="X1908" s="151"/>
      <c r="Y1908" s="153"/>
      <c r="Z1908" s="151"/>
      <c r="AA1908" s="187" t="str">
        <f t="shared" si="59"/>
        <v>No</v>
      </c>
      <c r="AB1908" s="158"/>
      <c r="AC1908" s="159"/>
      <c r="AD1908" s="160"/>
    </row>
    <row r="1909" spans="1:30">
      <c r="A1909" s="155"/>
      <c r="B1909" s="112" t="str">
        <f t="shared" si="58"/>
        <v/>
      </c>
      <c r="C1909" s="183"/>
      <c r="D1909" s="152"/>
      <c r="E1909" s="152"/>
      <c r="F1909" s="151"/>
      <c r="G1909" s="153"/>
      <c r="H1909" s="151"/>
      <c r="I1909" s="151"/>
      <c r="J1909" s="151"/>
      <c r="K1909" s="151"/>
      <c r="L1909" s="151"/>
      <c r="M1909" s="151"/>
      <c r="N1909" s="151"/>
      <c r="O1909" s="151"/>
      <c r="P1909" s="151"/>
      <c r="Q1909" s="151"/>
      <c r="R1909" s="151"/>
      <c r="S1909" s="152"/>
      <c r="T1909" s="151"/>
      <c r="U1909" s="151"/>
      <c r="V1909" s="153"/>
      <c r="W1909" s="151"/>
      <c r="X1909" s="151"/>
      <c r="Y1909" s="153"/>
      <c r="Z1909" s="151"/>
      <c r="AA1909" s="187" t="str">
        <f t="shared" si="59"/>
        <v>No</v>
      </c>
      <c r="AB1909" s="158"/>
      <c r="AC1909" s="159"/>
      <c r="AD1909" s="160"/>
    </row>
    <row r="1910" spans="1:30">
      <c r="A1910" s="155"/>
      <c r="B1910" s="112" t="str">
        <f t="shared" si="58"/>
        <v/>
      </c>
      <c r="C1910" s="183"/>
      <c r="D1910" s="152"/>
      <c r="E1910" s="152"/>
      <c r="F1910" s="151"/>
      <c r="G1910" s="153"/>
      <c r="H1910" s="151"/>
      <c r="I1910" s="151"/>
      <c r="J1910" s="151"/>
      <c r="K1910" s="151"/>
      <c r="L1910" s="151"/>
      <c r="M1910" s="151"/>
      <c r="N1910" s="151"/>
      <c r="O1910" s="151"/>
      <c r="P1910" s="151"/>
      <c r="Q1910" s="151"/>
      <c r="R1910" s="151"/>
      <c r="S1910" s="152"/>
      <c r="T1910" s="151"/>
      <c r="U1910" s="151"/>
      <c r="V1910" s="153"/>
      <c r="W1910" s="151"/>
      <c r="X1910" s="151"/>
      <c r="Y1910" s="153"/>
      <c r="Z1910" s="151"/>
      <c r="AA1910" s="187" t="str">
        <f t="shared" si="59"/>
        <v>No</v>
      </c>
      <c r="AB1910" s="158"/>
      <c r="AC1910" s="159"/>
      <c r="AD1910" s="160"/>
    </row>
    <row r="1911" spans="1:30">
      <c r="A1911" s="155"/>
      <c r="B1911" s="112" t="str">
        <f t="shared" si="58"/>
        <v/>
      </c>
      <c r="C1911" s="183"/>
      <c r="D1911" s="152"/>
      <c r="E1911" s="152"/>
      <c r="F1911" s="151"/>
      <c r="G1911" s="153"/>
      <c r="H1911" s="151"/>
      <c r="I1911" s="151"/>
      <c r="J1911" s="151"/>
      <c r="K1911" s="151"/>
      <c r="L1911" s="151"/>
      <c r="M1911" s="151"/>
      <c r="N1911" s="151"/>
      <c r="O1911" s="151"/>
      <c r="P1911" s="151"/>
      <c r="Q1911" s="151"/>
      <c r="R1911" s="151"/>
      <c r="S1911" s="152"/>
      <c r="T1911" s="151"/>
      <c r="U1911" s="151"/>
      <c r="V1911" s="153"/>
      <c r="W1911" s="151"/>
      <c r="X1911" s="151"/>
      <c r="Y1911" s="153"/>
      <c r="Z1911" s="151"/>
      <c r="AA1911" s="187" t="str">
        <f t="shared" si="59"/>
        <v>No</v>
      </c>
      <c r="AB1911" s="158"/>
      <c r="AC1911" s="159"/>
      <c r="AD1911" s="160"/>
    </row>
    <row r="1912" spans="1:30">
      <c r="A1912" s="155"/>
      <c r="B1912" s="112" t="str">
        <f t="shared" si="58"/>
        <v/>
      </c>
      <c r="C1912" s="183"/>
      <c r="D1912" s="152"/>
      <c r="E1912" s="152"/>
      <c r="F1912" s="151"/>
      <c r="G1912" s="153"/>
      <c r="H1912" s="151"/>
      <c r="I1912" s="151"/>
      <c r="J1912" s="151"/>
      <c r="K1912" s="151"/>
      <c r="L1912" s="151"/>
      <c r="M1912" s="151"/>
      <c r="N1912" s="151"/>
      <c r="O1912" s="151"/>
      <c r="P1912" s="151"/>
      <c r="Q1912" s="151"/>
      <c r="R1912" s="151"/>
      <c r="S1912" s="152"/>
      <c r="T1912" s="151"/>
      <c r="U1912" s="151"/>
      <c r="V1912" s="153"/>
      <c r="W1912" s="151"/>
      <c r="X1912" s="151"/>
      <c r="Y1912" s="153"/>
      <c r="Z1912" s="151"/>
      <c r="AA1912" s="187" t="str">
        <f t="shared" si="59"/>
        <v>No</v>
      </c>
      <c r="AB1912" s="158"/>
      <c r="AC1912" s="159"/>
      <c r="AD1912" s="160"/>
    </row>
    <row r="1913" spans="1:30">
      <c r="A1913" s="155"/>
      <c r="B1913" s="112" t="str">
        <f t="shared" si="58"/>
        <v/>
      </c>
      <c r="C1913" s="183"/>
      <c r="D1913" s="152"/>
      <c r="E1913" s="152"/>
      <c r="F1913" s="151"/>
      <c r="G1913" s="153"/>
      <c r="H1913" s="151"/>
      <c r="I1913" s="151"/>
      <c r="J1913" s="151"/>
      <c r="K1913" s="151"/>
      <c r="L1913" s="151"/>
      <c r="M1913" s="151"/>
      <c r="N1913" s="151"/>
      <c r="O1913" s="151"/>
      <c r="P1913" s="151"/>
      <c r="Q1913" s="151"/>
      <c r="R1913" s="151"/>
      <c r="S1913" s="152"/>
      <c r="T1913" s="151"/>
      <c r="U1913" s="151"/>
      <c r="V1913" s="153"/>
      <c r="W1913" s="151"/>
      <c r="X1913" s="151"/>
      <c r="Y1913" s="153"/>
      <c r="Z1913" s="151"/>
      <c r="AA1913" s="187" t="str">
        <f t="shared" si="59"/>
        <v>No</v>
      </c>
      <c r="AB1913" s="158"/>
      <c r="AC1913" s="159"/>
      <c r="AD1913" s="160"/>
    </row>
    <row r="1914" spans="1:30">
      <c r="A1914" s="155"/>
      <c r="B1914" s="112" t="str">
        <f t="shared" si="58"/>
        <v/>
      </c>
      <c r="C1914" s="183"/>
      <c r="D1914" s="152"/>
      <c r="E1914" s="152"/>
      <c r="F1914" s="151"/>
      <c r="G1914" s="153"/>
      <c r="H1914" s="151"/>
      <c r="I1914" s="151"/>
      <c r="J1914" s="151"/>
      <c r="K1914" s="151"/>
      <c r="L1914" s="151"/>
      <c r="M1914" s="151"/>
      <c r="N1914" s="151"/>
      <c r="O1914" s="151"/>
      <c r="P1914" s="151"/>
      <c r="Q1914" s="151"/>
      <c r="R1914" s="151"/>
      <c r="S1914" s="152"/>
      <c r="T1914" s="151"/>
      <c r="U1914" s="151"/>
      <c r="V1914" s="153"/>
      <c r="W1914" s="151"/>
      <c r="X1914" s="151"/>
      <c r="Y1914" s="153"/>
      <c r="Z1914" s="151"/>
      <c r="AA1914" s="187" t="str">
        <f t="shared" si="59"/>
        <v>No</v>
      </c>
      <c r="AB1914" s="158"/>
      <c r="AC1914" s="159"/>
      <c r="AD1914" s="160"/>
    </row>
    <row r="1915" spans="1:30">
      <c r="A1915" s="155"/>
      <c r="B1915" s="112" t="str">
        <f t="shared" si="58"/>
        <v/>
      </c>
      <c r="C1915" s="183"/>
      <c r="D1915" s="152"/>
      <c r="E1915" s="152"/>
      <c r="F1915" s="151"/>
      <c r="G1915" s="153"/>
      <c r="H1915" s="151"/>
      <c r="I1915" s="151"/>
      <c r="J1915" s="151"/>
      <c r="K1915" s="151"/>
      <c r="L1915" s="151"/>
      <c r="M1915" s="151"/>
      <c r="N1915" s="151"/>
      <c r="O1915" s="151"/>
      <c r="P1915" s="151"/>
      <c r="Q1915" s="151"/>
      <c r="R1915" s="151"/>
      <c r="S1915" s="152"/>
      <c r="T1915" s="151"/>
      <c r="U1915" s="151"/>
      <c r="V1915" s="153"/>
      <c r="W1915" s="151"/>
      <c r="X1915" s="151"/>
      <c r="Y1915" s="153"/>
      <c r="Z1915" s="151"/>
      <c r="AA1915" s="187" t="str">
        <f t="shared" si="59"/>
        <v>No</v>
      </c>
      <c r="AB1915" s="158"/>
      <c r="AC1915" s="159"/>
      <c r="AD1915" s="160"/>
    </row>
    <row r="1916" spans="1:30">
      <c r="A1916" s="155"/>
      <c r="B1916" s="112" t="str">
        <f t="shared" si="58"/>
        <v/>
      </c>
      <c r="C1916" s="183"/>
      <c r="D1916" s="152"/>
      <c r="E1916" s="152"/>
      <c r="F1916" s="151"/>
      <c r="G1916" s="153"/>
      <c r="H1916" s="151"/>
      <c r="I1916" s="151"/>
      <c r="J1916" s="151"/>
      <c r="K1916" s="151"/>
      <c r="L1916" s="151"/>
      <c r="M1916" s="151"/>
      <c r="N1916" s="151"/>
      <c r="O1916" s="151"/>
      <c r="P1916" s="151"/>
      <c r="Q1916" s="151"/>
      <c r="R1916" s="151"/>
      <c r="S1916" s="152"/>
      <c r="T1916" s="151"/>
      <c r="U1916" s="151"/>
      <c r="V1916" s="153"/>
      <c r="W1916" s="151"/>
      <c r="X1916" s="151"/>
      <c r="Y1916" s="153"/>
      <c r="Z1916" s="151"/>
      <c r="AA1916" s="187" t="str">
        <f t="shared" si="59"/>
        <v>No</v>
      </c>
      <c r="AB1916" s="158"/>
      <c r="AC1916" s="159"/>
      <c r="AD1916" s="160"/>
    </row>
    <row r="1917" spans="1:30">
      <c r="A1917" s="155"/>
      <c r="B1917" s="112" t="str">
        <f t="shared" si="58"/>
        <v/>
      </c>
      <c r="C1917" s="183"/>
      <c r="D1917" s="152"/>
      <c r="E1917" s="152"/>
      <c r="F1917" s="151"/>
      <c r="G1917" s="153"/>
      <c r="H1917" s="151"/>
      <c r="I1917" s="151"/>
      <c r="J1917" s="151"/>
      <c r="K1917" s="151"/>
      <c r="L1917" s="151"/>
      <c r="M1917" s="151"/>
      <c r="N1917" s="151"/>
      <c r="O1917" s="151"/>
      <c r="P1917" s="151"/>
      <c r="Q1917" s="151"/>
      <c r="R1917" s="151"/>
      <c r="S1917" s="152"/>
      <c r="T1917" s="151"/>
      <c r="U1917" s="151"/>
      <c r="V1917" s="153"/>
      <c r="W1917" s="151"/>
      <c r="X1917" s="151"/>
      <c r="Y1917" s="153"/>
      <c r="Z1917" s="151"/>
      <c r="AA1917" s="187" t="str">
        <f t="shared" si="59"/>
        <v>No</v>
      </c>
      <c r="AB1917" s="158"/>
      <c r="AC1917" s="159"/>
      <c r="AD1917" s="160"/>
    </row>
    <row r="1918" spans="1:30">
      <c r="A1918" s="155"/>
      <c r="B1918" s="112" t="str">
        <f t="shared" si="58"/>
        <v/>
      </c>
      <c r="C1918" s="183"/>
      <c r="D1918" s="152"/>
      <c r="E1918" s="152"/>
      <c r="F1918" s="151"/>
      <c r="G1918" s="153"/>
      <c r="H1918" s="151"/>
      <c r="I1918" s="151"/>
      <c r="J1918" s="151"/>
      <c r="K1918" s="151"/>
      <c r="L1918" s="151"/>
      <c r="M1918" s="151"/>
      <c r="N1918" s="151"/>
      <c r="O1918" s="151"/>
      <c r="P1918" s="151"/>
      <c r="Q1918" s="151"/>
      <c r="R1918" s="151"/>
      <c r="S1918" s="152"/>
      <c r="T1918" s="151"/>
      <c r="U1918" s="151"/>
      <c r="V1918" s="153"/>
      <c r="W1918" s="151"/>
      <c r="X1918" s="151"/>
      <c r="Y1918" s="153"/>
      <c r="Z1918" s="151"/>
      <c r="AA1918" s="187" t="str">
        <f t="shared" si="59"/>
        <v>No</v>
      </c>
      <c r="AB1918" s="158"/>
      <c r="AC1918" s="159"/>
      <c r="AD1918" s="160"/>
    </row>
    <row r="1919" spans="1:30">
      <c r="A1919" s="155"/>
      <c r="B1919" s="112" t="str">
        <f t="shared" si="58"/>
        <v/>
      </c>
      <c r="C1919" s="183"/>
      <c r="D1919" s="152"/>
      <c r="E1919" s="152"/>
      <c r="F1919" s="151"/>
      <c r="G1919" s="153"/>
      <c r="H1919" s="151"/>
      <c r="I1919" s="151"/>
      <c r="J1919" s="151"/>
      <c r="K1919" s="151"/>
      <c r="L1919" s="151"/>
      <c r="M1919" s="151"/>
      <c r="N1919" s="151"/>
      <c r="O1919" s="151"/>
      <c r="P1919" s="151"/>
      <c r="Q1919" s="151"/>
      <c r="R1919" s="151"/>
      <c r="S1919" s="152"/>
      <c r="T1919" s="151"/>
      <c r="U1919" s="151"/>
      <c r="V1919" s="153"/>
      <c r="W1919" s="151"/>
      <c r="X1919" s="151"/>
      <c r="Y1919" s="153"/>
      <c r="Z1919" s="151"/>
      <c r="AA1919" s="187" t="str">
        <f t="shared" si="59"/>
        <v>No</v>
      </c>
      <c r="AB1919" s="158"/>
      <c r="AC1919" s="159"/>
      <c r="AD1919" s="160"/>
    </row>
    <row r="1920" spans="1:30">
      <c r="A1920" s="155"/>
      <c r="B1920" s="112" t="str">
        <f t="shared" si="58"/>
        <v/>
      </c>
      <c r="C1920" s="183"/>
      <c r="D1920" s="152"/>
      <c r="E1920" s="152"/>
      <c r="F1920" s="151"/>
      <c r="G1920" s="153"/>
      <c r="H1920" s="151"/>
      <c r="I1920" s="151"/>
      <c r="J1920" s="151"/>
      <c r="K1920" s="151"/>
      <c r="L1920" s="151"/>
      <c r="M1920" s="151"/>
      <c r="N1920" s="151"/>
      <c r="O1920" s="151"/>
      <c r="P1920" s="151"/>
      <c r="Q1920" s="151"/>
      <c r="R1920" s="151"/>
      <c r="S1920" s="152"/>
      <c r="T1920" s="151"/>
      <c r="U1920" s="151"/>
      <c r="V1920" s="153"/>
      <c r="W1920" s="151"/>
      <c r="X1920" s="151"/>
      <c r="Y1920" s="153"/>
      <c r="Z1920" s="151"/>
      <c r="AA1920" s="187" t="str">
        <f t="shared" si="59"/>
        <v>No</v>
      </c>
      <c r="AB1920" s="158"/>
      <c r="AC1920" s="159"/>
      <c r="AD1920" s="160"/>
    </row>
    <row r="1921" spans="1:30">
      <c r="A1921" s="155"/>
      <c r="B1921" s="112" t="str">
        <f t="shared" si="58"/>
        <v/>
      </c>
      <c r="C1921" s="183"/>
      <c r="D1921" s="152"/>
      <c r="E1921" s="152"/>
      <c r="F1921" s="151"/>
      <c r="G1921" s="153"/>
      <c r="H1921" s="151"/>
      <c r="I1921" s="151"/>
      <c r="J1921" s="151"/>
      <c r="K1921" s="151"/>
      <c r="L1921" s="151"/>
      <c r="M1921" s="151"/>
      <c r="N1921" s="151"/>
      <c r="O1921" s="151"/>
      <c r="P1921" s="151"/>
      <c r="Q1921" s="151"/>
      <c r="R1921" s="151"/>
      <c r="S1921" s="152"/>
      <c r="T1921" s="151"/>
      <c r="U1921" s="151"/>
      <c r="V1921" s="153"/>
      <c r="W1921" s="151"/>
      <c r="X1921" s="151"/>
      <c r="Y1921" s="153"/>
      <c r="Z1921" s="151"/>
      <c r="AA1921" s="187" t="str">
        <f t="shared" si="59"/>
        <v>No</v>
      </c>
      <c r="AB1921" s="158"/>
      <c r="AC1921" s="159"/>
      <c r="AD1921" s="160"/>
    </row>
    <row r="1922" spans="1:30">
      <c r="A1922" s="155"/>
      <c r="B1922" s="112" t="str">
        <f t="shared" si="58"/>
        <v/>
      </c>
      <c r="C1922" s="183"/>
      <c r="D1922" s="152"/>
      <c r="E1922" s="152"/>
      <c r="F1922" s="151"/>
      <c r="G1922" s="153"/>
      <c r="H1922" s="151"/>
      <c r="I1922" s="151"/>
      <c r="J1922" s="151"/>
      <c r="K1922" s="151"/>
      <c r="L1922" s="151"/>
      <c r="M1922" s="151"/>
      <c r="N1922" s="151"/>
      <c r="O1922" s="151"/>
      <c r="P1922" s="151"/>
      <c r="Q1922" s="151"/>
      <c r="R1922" s="151"/>
      <c r="S1922" s="152"/>
      <c r="T1922" s="151"/>
      <c r="U1922" s="151"/>
      <c r="V1922" s="153"/>
      <c r="W1922" s="151"/>
      <c r="X1922" s="151"/>
      <c r="Y1922" s="153"/>
      <c r="Z1922" s="151"/>
      <c r="AA1922" s="187" t="str">
        <f t="shared" si="59"/>
        <v>No</v>
      </c>
      <c r="AB1922" s="158"/>
      <c r="AC1922" s="159"/>
      <c r="AD1922" s="160"/>
    </row>
    <row r="1923" spans="1:30">
      <c r="A1923" s="155"/>
      <c r="B1923" s="112" t="str">
        <f t="shared" si="58"/>
        <v/>
      </c>
      <c r="C1923" s="183"/>
      <c r="D1923" s="152"/>
      <c r="E1923" s="152"/>
      <c r="F1923" s="151"/>
      <c r="G1923" s="153"/>
      <c r="H1923" s="151"/>
      <c r="I1923" s="151"/>
      <c r="J1923" s="151"/>
      <c r="K1923" s="151"/>
      <c r="L1923" s="151"/>
      <c r="M1923" s="151"/>
      <c r="N1923" s="151"/>
      <c r="O1923" s="151"/>
      <c r="P1923" s="151"/>
      <c r="Q1923" s="151"/>
      <c r="R1923" s="151"/>
      <c r="S1923" s="152"/>
      <c r="T1923" s="151"/>
      <c r="U1923" s="151"/>
      <c r="V1923" s="153"/>
      <c r="W1923" s="151"/>
      <c r="X1923" s="151"/>
      <c r="Y1923" s="153"/>
      <c r="Z1923" s="151"/>
      <c r="AA1923" s="187" t="str">
        <f t="shared" si="59"/>
        <v>No</v>
      </c>
      <c r="AB1923" s="158"/>
      <c r="AC1923" s="159"/>
      <c r="AD1923" s="160"/>
    </row>
    <row r="1924" spans="1:30">
      <c r="A1924" s="155"/>
      <c r="B1924" s="112" t="str">
        <f t="shared" si="58"/>
        <v/>
      </c>
      <c r="C1924" s="183"/>
      <c r="D1924" s="152"/>
      <c r="E1924" s="152"/>
      <c r="F1924" s="151"/>
      <c r="G1924" s="153"/>
      <c r="H1924" s="151"/>
      <c r="I1924" s="151"/>
      <c r="J1924" s="151"/>
      <c r="K1924" s="151"/>
      <c r="L1924" s="151"/>
      <c r="M1924" s="151"/>
      <c r="N1924" s="151"/>
      <c r="O1924" s="151"/>
      <c r="P1924" s="151"/>
      <c r="Q1924" s="151"/>
      <c r="R1924" s="151"/>
      <c r="S1924" s="152"/>
      <c r="T1924" s="151"/>
      <c r="U1924" s="151"/>
      <c r="V1924" s="153"/>
      <c r="W1924" s="151"/>
      <c r="X1924" s="151"/>
      <c r="Y1924" s="153"/>
      <c r="Z1924" s="151"/>
      <c r="AA1924" s="187" t="str">
        <f t="shared" si="59"/>
        <v>No</v>
      </c>
      <c r="AB1924" s="158"/>
      <c r="AC1924" s="159"/>
      <c r="AD1924" s="160"/>
    </row>
    <row r="1925" spans="1:30">
      <c r="A1925" s="155"/>
      <c r="B1925" s="112" t="str">
        <f t="shared" ref="B1925:B1988" si="60">IF(AND(A1925&lt;&gt;"",D1925&lt;&gt;"",J1925&lt;&gt;"",N1925&lt;&gt;""),TEXT(D1925,"YY")&amp;"-"&amp;TEXT(D1925,"MMM")&amp;"-"&amp;UPPER(LEFT(TRIM(N1925),2))&amp;"-"&amp;UPPER(LEFT(TRIM(J1925),3))&amp;"-"&amp;A1925,"")</f>
        <v/>
      </c>
      <c r="C1925" s="183"/>
      <c r="D1925" s="152"/>
      <c r="E1925" s="152"/>
      <c r="F1925" s="151"/>
      <c r="G1925" s="153"/>
      <c r="H1925" s="151"/>
      <c r="I1925" s="151"/>
      <c r="J1925" s="151"/>
      <c r="K1925" s="151"/>
      <c r="L1925" s="151"/>
      <c r="M1925" s="151"/>
      <c r="N1925" s="151"/>
      <c r="O1925" s="151"/>
      <c r="P1925" s="151"/>
      <c r="Q1925" s="151"/>
      <c r="R1925" s="151"/>
      <c r="S1925" s="152"/>
      <c r="T1925" s="151"/>
      <c r="U1925" s="151"/>
      <c r="V1925" s="153"/>
      <c r="W1925" s="151"/>
      <c r="X1925" s="151"/>
      <c r="Y1925" s="153"/>
      <c r="Z1925" s="151"/>
      <c r="AA1925" s="187" t="str">
        <f t="shared" ref="AA1925:AA1988" si="61">IF(E1925="","No","Yes")</f>
        <v>No</v>
      </c>
      <c r="AB1925" s="158"/>
      <c r="AC1925" s="159"/>
      <c r="AD1925" s="160"/>
    </row>
    <row r="1926" spans="1:30">
      <c r="A1926" s="155"/>
      <c r="B1926" s="112" t="str">
        <f t="shared" si="60"/>
        <v/>
      </c>
      <c r="C1926" s="183"/>
      <c r="D1926" s="152"/>
      <c r="E1926" s="152"/>
      <c r="F1926" s="151"/>
      <c r="G1926" s="153"/>
      <c r="H1926" s="151"/>
      <c r="I1926" s="151"/>
      <c r="J1926" s="151"/>
      <c r="K1926" s="151"/>
      <c r="L1926" s="151"/>
      <c r="M1926" s="151"/>
      <c r="N1926" s="151"/>
      <c r="O1926" s="151"/>
      <c r="P1926" s="151"/>
      <c r="Q1926" s="151"/>
      <c r="R1926" s="151"/>
      <c r="S1926" s="152"/>
      <c r="T1926" s="151"/>
      <c r="U1926" s="151"/>
      <c r="V1926" s="153"/>
      <c r="W1926" s="151"/>
      <c r="X1926" s="151"/>
      <c r="Y1926" s="153"/>
      <c r="Z1926" s="151"/>
      <c r="AA1926" s="187" t="str">
        <f t="shared" si="61"/>
        <v>No</v>
      </c>
      <c r="AB1926" s="158"/>
      <c r="AC1926" s="159"/>
      <c r="AD1926" s="160"/>
    </row>
    <row r="1927" spans="1:30">
      <c r="A1927" s="155"/>
      <c r="B1927" s="112" t="str">
        <f t="shared" si="60"/>
        <v/>
      </c>
      <c r="C1927" s="183"/>
      <c r="D1927" s="152"/>
      <c r="E1927" s="152"/>
      <c r="F1927" s="151"/>
      <c r="G1927" s="153"/>
      <c r="H1927" s="151"/>
      <c r="I1927" s="151"/>
      <c r="J1927" s="151"/>
      <c r="K1927" s="151"/>
      <c r="L1927" s="151"/>
      <c r="M1927" s="151"/>
      <c r="N1927" s="151"/>
      <c r="O1927" s="151"/>
      <c r="P1927" s="151"/>
      <c r="Q1927" s="151"/>
      <c r="R1927" s="151"/>
      <c r="S1927" s="152"/>
      <c r="T1927" s="151"/>
      <c r="U1927" s="151"/>
      <c r="V1927" s="153"/>
      <c r="W1927" s="151"/>
      <c r="X1927" s="151"/>
      <c r="Y1927" s="153"/>
      <c r="Z1927" s="151"/>
      <c r="AA1927" s="187" t="str">
        <f t="shared" si="61"/>
        <v>No</v>
      </c>
      <c r="AB1927" s="158"/>
      <c r="AC1927" s="159"/>
      <c r="AD1927" s="160"/>
    </row>
    <row r="1928" spans="1:30">
      <c r="A1928" s="155"/>
      <c r="B1928" s="112" t="str">
        <f t="shared" si="60"/>
        <v/>
      </c>
      <c r="C1928" s="183"/>
      <c r="D1928" s="152"/>
      <c r="E1928" s="152"/>
      <c r="F1928" s="151"/>
      <c r="G1928" s="153"/>
      <c r="H1928" s="151"/>
      <c r="I1928" s="151"/>
      <c r="J1928" s="151"/>
      <c r="K1928" s="151"/>
      <c r="L1928" s="151"/>
      <c r="M1928" s="151"/>
      <c r="N1928" s="151"/>
      <c r="O1928" s="151"/>
      <c r="P1928" s="151"/>
      <c r="Q1928" s="151"/>
      <c r="R1928" s="151"/>
      <c r="S1928" s="152"/>
      <c r="T1928" s="151"/>
      <c r="U1928" s="151"/>
      <c r="V1928" s="153"/>
      <c r="W1928" s="151"/>
      <c r="X1928" s="151"/>
      <c r="Y1928" s="153"/>
      <c r="Z1928" s="151"/>
      <c r="AA1928" s="187" t="str">
        <f t="shared" si="61"/>
        <v>No</v>
      </c>
      <c r="AB1928" s="158"/>
      <c r="AC1928" s="159"/>
      <c r="AD1928" s="160"/>
    </row>
    <row r="1929" spans="1:30">
      <c r="A1929" s="155"/>
      <c r="B1929" s="112" t="str">
        <f t="shared" si="60"/>
        <v/>
      </c>
      <c r="C1929" s="183"/>
      <c r="D1929" s="152"/>
      <c r="E1929" s="152"/>
      <c r="F1929" s="151"/>
      <c r="G1929" s="153"/>
      <c r="H1929" s="151"/>
      <c r="I1929" s="151"/>
      <c r="J1929" s="151"/>
      <c r="K1929" s="151"/>
      <c r="L1929" s="151"/>
      <c r="M1929" s="151"/>
      <c r="N1929" s="151"/>
      <c r="O1929" s="151"/>
      <c r="P1929" s="151"/>
      <c r="Q1929" s="151"/>
      <c r="R1929" s="151"/>
      <c r="S1929" s="152"/>
      <c r="T1929" s="151"/>
      <c r="U1929" s="151"/>
      <c r="V1929" s="153"/>
      <c r="W1929" s="151"/>
      <c r="X1929" s="151"/>
      <c r="Y1929" s="153"/>
      <c r="Z1929" s="151"/>
      <c r="AA1929" s="187" t="str">
        <f t="shared" si="61"/>
        <v>No</v>
      </c>
      <c r="AB1929" s="158"/>
      <c r="AC1929" s="159"/>
      <c r="AD1929" s="160"/>
    </row>
    <row r="1930" spans="1:30">
      <c r="A1930" s="155"/>
      <c r="B1930" s="112" t="str">
        <f t="shared" si="60"/>
        <v/>
      </c>
      <c r="C1930" s="183"/>
      <c r="D1930" s="152"/>
      <c r="E1930" s="152"/>
      <c r="F1930" s="151"/>
      <c r="G1930" s="153"/>
      <c r="H1930" s="151"/>
      <c r="I1930" s="151"/>
      <c r="J1930" s="151"/>
      <c r="K1930" s="151"/>
      <c r="L1930" s="151"/>
      <c r="M1930" s="151"/>
      <c r="N1930" s="151"/>
      <c r="O1930" s="151"/>
      <c r="P1930" s="151"/>
      <c r="Q1930" s="151"/>
      <c r="R1930" s="151"/>
      <c r="S1930" s="152"/>
      <c r="T1930" s="151"/>
      <c r="U1930" s="151"/>
      <c r="V1930" s="153"/>
      <c r="W1930" s="151"/>
      <c r="X1930" s="151"/>
      <c r="Y1930" s="153"/>
      <c r="Z1930" s="151"/>
      <c r="AA1930" s="187" t="str">
        <f t="shared" si="61"/>
        <v>No</v>
      </c>
      <c r="AB1930" s="158"/>
      <c r="AC1930" s="159"/>
      <c r="AD1930" s="160"/>
    </row>
    <row r="1931" spans="1:30">
      <c r="A1931" s="155"/>
      <c r="B1931" s="112" t="str">
        <f t="shared" si="60"/>
        <v/>
      </c>
      <c r="C1931" s="183"/>
      <c r="D1931" s="152"/>
      <c r="E1931" s="152"/>
      <c r="F1931" s="151"/>
      <c r="G1931" s="153"/>
      <c r="H1931" s="151"/>
      <c r="I1931" s="151"/>
      <c r="J1931" s="151"/>
      <c r="K1931" s="151"/>
      <c r="L1931" s="151"/>
      <c r="M1931" s="151"/>
      <c r="N1931" s="151"/>
      <c r="O1931" s="151"/>
      <c r="P1931" s="151"/>
      <c r="Q1931" s="151"/>
      <c r="R1931" s="151"/>
      <c r="S1931" s="152"/>
      <c r="T1931" s="151"/>
      <c r="U1931" s="151"/>
      <c r="V1931" s="153"/>
      <c r="W1931" s="151"/>
      <c r="X1931" s="151"/>
      <c r="Y1931" s="153"/>
      <c r="Z1931" s="151"/>
      <c r="AA1931" s="187" t="str">
        <f t="shared" si="61"/>
        <v>No</v>
      </c>
      <c r="AB1931" s="158"/>
      <c r="AC1931" s="159"/>
      <c r="AD1931" s="160"/>
    </row>
    <row r="1932" spans="1:30">
      <c r="A1932" s="155"/>
      <c r="B1932" s="112" t="str">
        <f t="shared" si="60"/>
        <v/>
      </c>
      <c r="C1932" s="183"/>
      <c r="D1932" s="152"/>
      <c r="E1932" s="152"/>
      <c r="F1932" s="151"/>
      <c r="G1932" s="153"/>
      <c r="H1932" s="151"/>
      <c r="I1932" s="151"/>
      <c r="J1932" s="151"/>
      <c r="K1932" s="151"/>
      <c r="L1932" s="151"/>
      <c r="M1932" s="151"/>
      <c r="N1932" s="151"/>
      <c r="O1932" s="151"/>
      <c r="P1932" s="151"/>
      <c r="Q1932" s="151"/>
      <c r="R1932" s="151"/>
      <c r="S1932" s="152"/>
      <c r="T1932" s="151"/>
      <c r="U1932" s="151"/>
      <c r="V1932" s="153"/>
      <c r="W1932" s="151"/>
      <c r="X1932" s="151"/>
      <c r="Y1932" s="153"/>
      <c r="Z1932" s="151"/>
      <c r="AA1932" s="187" t="str">
        <f t="shared" si="61"/>
        <v>No</v>
      </c>
      <c r="AB1932" s="158"/>
      <c r="AC1932" s="159"/>
      <c r="AD1932" s="160"/>
    </row>
    <row r="1933" spans="1:30">
      <c r="A1933" s="155"/>
      <c r="B1933" s="112" t="str">
        <f t="shared" si="60"/>
        <v/>
      </c>
      <c r="C1933" s="183"/>
      <c r="D1933" s="152"/>
      <c r="E1933" s="152"/>
      <c r="F1933" s="151"/>
      <c r="G1933" s="153"/>
      <c r="H1933" s="151"/>
      <c r="I1933" s="151"/>
      <c r="J1933" s="151"/>
      <c r="K1933" s="151"/>
      <c r="L1933" s="151"/>
      <c r="M1933" s="151"/>
      <c r="N1933" s="151"/>
      <c r="O1933" s="151"/>
      <c r="P1933" s="151"/>
      <c r="Q1933" s="151"/>
      <c r="R1933" s="151"/>
      <c r="S1933" s="152"/>
      <c r="T1933" s="151"/>
      <c r="U1933" s="151"/>
      <c r="V1933" s="153"/>
      <c r="W1933" s="151"/>
      <c r="X1933" s="151"/>
      <c r="Y1933" s="153"/>
      <c r="Z1933" s="151"/>
      <c r="AA1933" s="187" t="str">
        <f t="shared" si="61"/>
        <v>No</v>
      </c>
      <c r="AB1933" s="158"/>
      <c r="AC1933" s="159"/>
      <c r="AD1933" s="160"/>
    </row>
    <row r="1934" spans="1:30">
      <c r="A1934" s="155"/>
      <c r="B1934" s="112" t="str">
        <f t="shared" si="60"/>
        <v/>
      </c>
      <c r="C1934" s="183"/>
      <c r="D1934" s="152"/>
      <c r="E1934" s="152"/>
      <c r="F1934" s="151"/>
      <c r="G1934" s="153"/>
      <c r="H1934" s="151"/>
      <c r="I1934" s="151"/>
      <c r="J1934" s="151"/>
      <c r="K1934" s="151"/>
      <c r="L1934" s="151"/>
      <c r="M1934" s="151"/>
      <c r="N1934" s="151"/>
      <c r="O1934" s="151"/>
      <c r="P1934" s="151"/>
      <c r="Q1934" s="151"/>
      <c r="R1934" s="151"/>
      <c r="S1934" s="152"/>
      <c r="T1934" s="151"/>
      <c r="U1934" s="151"/>
      <c r="V1934" s="153"/>
      <c r="W1934" s="151"/>
      <c r="X1934" s="151"/>
      <c r="Y1934" s="153"/>
      <c r="Z1934" s="151"/>
      <c r="AA1934" s="187" t="str">
        <f t="shared" si="61"/>
        <v>No</v>
      </c>
      <c r="AB1934" s="158"/>
      <c r="AC1934" s="159"/>
      <c r="AD1934" s="160"/>
    </row>
    <row r="1935" spans="1:30">
      <c r="A1935" s="155"/>
      <c r="B1935" s="112" t="str">
        <f t="shared" si="60"/>
        <v/>
      </c>
      <c r="C1935" s="183"/>
      <c r="D1935" s="152"/>
      <c r="E1935" s="152"/>
      <c r="F1935" s="151"/>
      <c r="G1935" s="153"/>
      <c r="H1935" s="151"/>
      <c r="I1935" s="151"/>
      <c r="J1935" s="151"/>
      <c r="K1935" s="151"/>
      <c r="L1935" s="151"/>
      <c r="M1935" s="151"/>
      <c r="N1935" s="151"/>
      <c r="O1935" s="151"/>
      <c r="P1935" s="151"/>
      <c r="Q1935" s="151"/>
      <c r="R1935" s="151"/>
      <c r="S1935" s="152"/>
      <c r="T1935" s="151"/>
      <c r="U1935" s="151"/>
      <c r="V1935" s="153"/>
      <c r="W1935" s="151"/>
      <c r="X1935" s="151"/>
      <c r="Y1935" s="153"/>
      <c r="Z1935" s="151"/>
      <c r="AA1935" s="187" t="str">
        <f t="shared" si="61"/>
        <v>No</v>
      </c>
      <c r="AB1935" s="158"/>
      <c r="AC1935" s="159"/>
      <c r="AD1935" s="160"/>
    </row>
    <row r="1936" spans="1:30">
      <c r="A1936" s="155"/>
      <c r="B1936" s="112" t="str">
        <f t="shared" si="60"/>
        <v/>
      </c>
      <c r="C1936" s="183"/>
      <c r="D1936" s="152"/>
      <c r="E1936" s="152"/>
      <c r="F1936" s="151"/>
      <c r="G1936" s="153"/>
      <c r="H1936" s="151"/>
      <c r="I1936" s="151"/>
      <c r="J1936" s="151"/>
      <c r="K1936" s="151"/>
      <c r="L1936" s="151"/>
      <c r="M1936" s="151"/>
      <c r="N1936" s="151"/>
      <c r="O1936" s="151"/>
      <c r="P1936" s="151"/>
      <c r="Q1936" s="151"/>
      <c r="R1936" s="151"/>
      <c r="S1936" s="152"/>
      <c r="T1936" s="151"/>
      <c r="U1936" s="151"/>
      <c r="V1936" s="153"/>
      <c r="W1936" s="151"/>
      <c r="X1936" s="151"/>
      <c r="Y1936" s="153"/>
      <c r="Z1936" s="151"/>
      <c r="AA1936" s="187" t="str">
        <f t="shared" si="61"/>
        <v>No</v>
      </c>
      <c r="AB1936" s="158"/>
      <c r="AC1936" s="159"/>
      <c r="AD1936" s="160"/>
    </row>
    <row r="1937" spans="1:30">
      <c r="A1937" s="155"/>
      <c r="B1937" s="112" t="str">
        <f t="shared" si="60"/>
        <v/>
      </c>
      <c r="C1937" s="183"/>
      <c r="D1937" s="152"/>
      <c r="E1937" s="152"/>
      <c r="F1937" s="151"/>
      <c r="G1937" s="153"/>
      <c r="H1937" s="151"/>
      <c r="I1937" s="151"/>
      <c r="J1937" s="151"/>
      <c r="K1937" s="151"/>
      <c r="L1937" s="151"/>
      <c r="M1937" s="151"/>
      <c r="N1937" s="151"/>
      <c r="O1937" s="151"/>
      <c r="P1937" s="151"/>
      <c r="Q1937" s="151"/>
      <c r="R1937" s="151"/>
      <c r="S1937" s="152"/>
      <c r="T1937" s="151"/>
      <c r="U1937" s="151"/>
      <c r="V1937" s="153"/>
      <c r="W1937" s="151"/>
      <c r="X1937" s="151"/>
      <c r="Y1937" s="153"/>
      <c r="Z1937" s="151"/>
      <c r="AA1937" s="187" t="str">
        <f t="shared" si="61"/>
        <v>No</v>
      </c>
      <c r="AB1937" s="158"/>
      <c r="AC1937" s="159"/>
      <c r="AD1937" s="160"/>
    </row>
    <row r="1938" spans="1:30">
      <c r="A1938" s="155"/>
      <c r="B1938" s="112" t="str">
        <f t="shared" si="60"/>
        <v/>
      </c>
      <c r="C1938" s="183"/>
      <c r="D1938" s="152"/>
      <c r="E1938" s="152"/>
      <c r="F1938" s="151"/>
      <c r="G1938" s="153"/>
      <c r="H1938" s="151"/>
      <c r="I1938" s="151"/>
      <c r="J1938" s="151"/>
      <c r="K1938" s="151"/>
      <c r="L1938" s="151"/>
      <c r="M1938" s="151"/>
      <c r="N1938" s="151"/>
      <c r="O1938" s="151"/>
      <c r="P1938" s="151"/>
      <c r="Q1938" s="151"/>
      <c r="R1938" s="151"/>
      <c r="S1938" s="152"/>
      <c r="T1938" s="151"/>
      <c r="U1938" s="151"/>
      <c r="V1938" s="153"/>
      <c r="W1938" s="151"/>
      <c r="X1938" s="151"/>
      <c r="Y1938" s="153"/>
      <c r="Z1938" s="151"/>
      <c r="AA1938" s="187" t="str">
        <f t="shared" si="61"/>
        <v>No</v>
      </c>
      <c r="AB1938" s="158"/>
      <c r="AC1938" s="159"/>
      <c r="AD1938" s="160"/>
    </row>
    <row r="1939" spans="1:30">
      <c r="A1939" s="155"/>
      <c r="B1939" s="112" t="str">
        <f t="shared" si="60"/>
        <v/>
      </c>
      <c r="C1939" s="183"/>
      <c r="D1939" s="152"/>
      <c r="E1939" s="152"/>
      <c r="F1939" s="151"/>
      <c r="G1939" s="153"/>
      <c r="H1939" s="151"/>
      <c r="I1939" s="151"/>
      <c r="J1939" s="151"/>
      <c r="K1939" s="151"/>
      <c r="L1939" s="151"/>
      <c r="M1939" s="151"/>
      <c r="N1939" s="151"/>
      <c r="O1939" s="151"/>
      <c r="P1939" s="151"/>
      <c r="Q1939" s="151"/>
      <c r="R1939" s="151"/>
      <c r="S1939" s="152"/>
      <c r="T1939" s="151"/>
      <c r="U1939" s="151"/>
      <c r="V1939" s="153"/>
      <c r="W1939" s="151"/>
      <c r="X1939" s="151"/>
      <c r="Y1939" s="153"/>
      <c r="Z1939" s="151"/>
      <c r="AA1939" s="187" t="str">
        <f t="shared" si="61"/>
        <v>No</v>
      </c>
      <c r="AB1939" s="158"/>
      <c r="AC1939" s="159"/>
      <c r="AD1939" s="160"/>
    </row>
    <row r="1940" spans="1:30">
      <c r="A1940" s="155"/>
      <c r="B1940" s="112" t="str">
        <f t="shared" si="60"/>
        <v/>
      </c>
      <c r="C1940" s="183"/>
      <c r="D1940" s="152"/>
      <c r="E1940" s="152"/>
      <c r="F1940" s="151"/>
      <c r="G1940" s="153"/>
      <c r="H1940" s="151"/>
      <c r="I1940" s="151"/>
      <c r="J1940" s="151"/>
      <c r="K1940" s="151"/>
      <c r="L1940" s="151"/>
      <c r="M1940" s="151"/>
      <c r="N1940" s="151"/>
      <c r="O1940" s="151"/>
      <c r="P1940" s="151"/>
      <c r="Q1940" s="151"/>
      <c r="R1940" s="151"/>
      <c r="S1940" s="152"/>
      <c r="T1940" s="151"/>
      <c r="U1940" s="151"/>
      <c r="V1940" s="153"/>
      <c r="W1940" s="151"/>
      <c r="X1940" s="151"/>
      <c r="Y1940" s="153"/>
      <c r="Z1940" s="151"/>
      <c r="AA1940" s="187" t="str">
        <f t="shared" si="61"/>
        <v>No</v>
      </c>
      <c r="AB1940" s="158"/>
      <c r="AC1940" s="159"/>
      <c r="AD1940" s="160"/>
    </row>
    <row r="1941" spans="1:30">
      <c r="A1941" s="155"/>
      <c r="B1941" s="112" t="str">
        <f t="shared" si="60"/>
        <v/>
      </c>
      <c r="C1941" s="183"/>
      <c r="D1941" s="152"/>
      <c r="E1941" s="152"/>
      <c r="F1941" s="151"/>
      <c r="G1941" s="153"/>
      <c r="H1941" s="151"/>
      <c r="I1941" s="151"/>
      <c r="J1941" s="151"/>
      <c r="K1941" s="151"/>
      <c r="L1941" s="151"/>
      <c r="M1941" s="151"/>
      <c r="N1941" s="151"/>
      <c r="O1941" s="151"/>
      <c r="P1941" s="151"/>
      <c r="Q1941" s="151"/>
      <c r="R1941" s="151"/>
      <c r="S1941" s="152"/>
      <c r="T1941" s="151"/>
      <c r="U1941" s="151"/>
      <c r="V1941" s="153"/>
      <c r="W1941" s="151"/>
      <c r="X1941" s="151"/>
      <c r="Y1941" s="153"/>
      <c r="Z1941" s="151"/>
      <c r="AA1941" s="187" t="str">
        <f t="shared" si="61"/>
        <v>No</v>
      </c>
      <c r="AB1941" s="158"/>
      <c r="AC1941" s="159"/>
      <c r="AD1941" s="160"/>
    </row>
    <row r="1942" spans="1:30">
      <c r="A1942" s="155"/>
      <c r="B1942" s="112" t="str">
        <f t="shared" si="60"/>
        <v/>
      </c>
      <c r="C1942" s="183"/>
      <c r="D1942" s="152"/>
      <c r="E1942" s="152"/>
      <c r="F1942" s="151"/>
      <c r="G1942" s="153"/>
      <c r="H1942" s="151"/>
      <c r="I1942" s="151"/>
      <c r="J1942" s="151"/>
      <c r="K1942" s="151"/>
      <c r="L1942" s="151"/>
      <c r="M1942" s="151"/>
      <c r="N1942" s="151"/>
      <c r="O1942" s="151"/>
      <c r="P1942" s="151"/>
      <c r="Q1942" s="151"/>
      <c r="R1942" s="151"/>
      <c r="S1942" s="152"/>
      <c r="T1942" s="151"/>
      <c r="U1942" s="151"/>
      <c r="V1942" s="153"/>
      <c r="W1942" s="151"/>
      <c r="X1942" s="151"/>
      <c r="Y1942" s="153"/>
      <c r="Z1942" s="151"/>
      <c r="AA1942" s="187" t="str">
        <f t="shared" si="61"/>
        <v>No</v>
      </c>
      <c r="AB1942" s="158"/>
      <c r="AC1942" s="159"/>
      <c r="AD1942" s="160"/>
    </row>
    <row r="1943" spans="1:30">
      <c r="A1943" s="155"/>
      <c r="B1943" s="112" t="str">
        <f t="shared" si="60"/>
        <v/>
      </c>
      <c r="C1943" s="183"/>
      <c r="D1943" s="152"/>
      <c r="E1943" s="152"/>
      <c r="F1943" s="151"/>
      <c r="G1943" s="153"/>
      <c r="H1943" s="151"/>
      <c r="I1943" s="151"/>
      <c r="J1943" s="151"/>
      <c r="K1943" s="151"/>
      <c r="L1943" s="151"/>
      <c r="M1943" s="151"/>
      <c r="N1943" s="151"/>
      <c r="O1943" s="151"/>
      <c r="P1943" s="151"/>
      <c r="Q1943" s="151"/>
      <c r="R1943" s="151"/>
      <c r="S1943" s="152"/>
      <c r="T1943" s="151"/>
      <c r="U1943" s="151"/>
      <c r="V1943" s="153"/>
      <c r="W1943" s="151"/>
      <c r="X1943" s="151"/>
      <c r="Y1943" s="153"/>
      <c r="Z1943" s="151"/>
      <c r="AA1943" s="187" t="str">
        <f t="shared" si="61"/>
        <v>No</v>
      </c>
      <c r="AB1943" s="158"/>
      <c r="AC1943" s="159"/>
      <c r="AD1943" s="160"/>
    </row>
    <row r="1944" spans="1:30">
      <c r="A1944" s="155"/>
      <c r="B1944" s="112" t="str">
        <f t="shared" si="60"/>
        <v/>
      </c>
      <c r="C1944" s="183"/>
      <c r="D1944" s="152"/>
      <c r="E1944" s="152"/>
      <c r="F1944" s="151"/>
      <c r="G1944" s="153"/>
      <c r="H1944" s="151"/>
      <c r="I1944" s="151"/>
      <c r="J1944" s="151"/>
      <c r="K1944" s="151"/>
      <c r="L1944" s="151"/>
      <c r="M1944" s="151"/>
      <c r="N1944" s="151"/>
      <c r="O1944" s="151"/>
      <c r="P1944" s="151"/>
      <c r="Q1944" s="151"/>
      <c r="R1944" s="151"/>
      <c r="S1944" s="152"/>
      <c r="T1944" s="151"/>
      <c r="U1944" s="151"/>
      <c r="V1944" s="153"/>
      <c r="W1944" s="151"/>
      <c r="X1944" s="151"/>
      <c r="Y1944" s="153"/>
      <c r="Z1944" s="151"/>
      <c r="AA1944" s="187" t="str">
        <f t="shared" si="61"/>
        <v>No</v>
      </c>
      <c r="AB1944" s="158"/>
      <c r="AC1944" s="159"/>
      <c r="AD1944" s="160"/>
    </row>
    <row r="1945" spans="1:30">
      <c r="A1945" s="155"/>
      <c r="B1945" s="112" t="str">
        <f t="shared" si="60"/>
        <v/>
      </c>
      <c r="C1945" s="183"/>
      <c r="D1945" s="152"/>
      <c r="E1945" s="152"/>
      <c r="F1945" s="151"/>
      <c r="G1945" s="153"/>
      <c r="H1945" s="151"/>
      <c r="I1945" s="151"/>
      <c r="J1945" s="151"/>
      <c r="K1945" s="151"/>
      <c r="L1945" s="151"/>
      <c r="M1945" s="151"/>
      <c r="N1945" s="151"/>
      <c r="O1945" s="151"/>
      <c r="P1945" s="151"/>
      <c r="Q1945" s="151"/>
      <c r="R1945" s="151"/>
      <c r="S1945" s="152"/>
      <c r="T1945" s="151"/>
      <c r="U1945" s="151"/>
      <c r="V1945" s="153"/>
      <c r="W1945" s="151"/>
      <c r="X1945" s="151"/>
      <c r="Y1945" s="153"/>
      <c r="Z1945" s="151"/>
      <c r="AA1945" s="187" t="str">
        <f t="shared" si="61"/>
        <v>No</v>
      </c>
      <c r="AB1945" s="158"/>
      <c r="AC1945" s="159"/>
      <c r="AD1945" s="160"/>
    </row>
    <row r="1946" spans="1:30">
      <c r="A1946" s="155"/>
      <c r="B1946" s="112" t="str">
        <f t="shared" si="60"/>
        <v/>
      </c>
      <c r="C1946" s="183"/>
      <c r="D1946" s="152"/>
      <c r="E1946" s="152"/>
      <c r="F1946" s="151"/>
      <c r="G1946" s="153"/>
      <c r="H1946" s="151"/>
      <c r="I1946" s="151"/>
      <c r="J1946" s="151"/>
      <c r="K1946" s="151"/>
      <c r="L1946" s="151"/>
      <c r="M1946" s="151"/>
      <c r="N1946" s="151"/>
      <c r="O1946" s="151"/>
      <c r="P1946" s="151"/>
      <c r="Q1946" s="151"/>
      <c r="R1946" s="151"/>
      <c r="S1946" s="152"/>
      <c r="T1946" s="151"/>
      <c r="U1946" s="151"/>
      <c r="V1946" s="153"/>
      <c r="W1946" s="151"/>
      <c r="X1946" s="151"/>
      <c r="Y1946" s="153"/>
      <c r="Z1946" s="151"/>
      <c r="AA1946" s="187" t="str">
        <f t="shared" si="61"/>
        <v>No</v>
      </c>
      <c r="AB1946" s="158"/>
      <c r="AC1946" s="159"/>
      <c r="AD1946" s="160"/>
    </row>
    <row r="1947" spans="1:30">
      <c r="A1947" s="155"/>
      <c r="B1947" s="112" t="str">
        <f t="shared" si="60"/>
        <v/>
      </c>
      <c r="C1947" s="183"/>
      <c r="D1947" s="152"/>
      <c r="E1947" s="152"/>
      <c r="F1947" s="151"/>
      <c r="G1947" s="153"/>
      <c r="H1947" s="151"/>
      <c r="I1947" s="151"/>
      <c r="J1947" s="151"/>
      <c r="K1947" s="151"/>
      <c r="L1947" s="151"/>
      <c r="M1947" s="151"/>
      <c r="N1947" s="151"/>
      <c r="O1947" s="151"/>
      <c r="P1947" s="151"/>
      <c r="Q1947" s="151"/>
      <c r="R1947" s="151"/>
      <c r="S1947" s="152"/>
      <c r="T1947" s="151"/>
      <c r="U1947" s="151"/>
      <c r="V1947" s="153"/>
      <c r="W1947" s="151"/>
      <c r="X1947" s="151"/>
      <c r="Y1947" s="153"/>
      <c r="Z1947" s="151"/>
      <c r="AA1947" s="187" t="str">
        <f t="shared" si="61"/>
        <v>No</v>
      </c>
      <c r="AB1947" s="158"/>
      <c r="AC1947" s="159"/>
      <c r="AD1947" s="160"/>
    </row>
    <row r="1948" spans="1:30">
      <c r="A1948" s="155"/>
      <c r="B1948" s="112" t="str">
        <f t="shared" si="60"/>
        <v/>
      </c>
      <c r="C1948" s="183"/>
      <c r="D1948" s="152"/>
      <c r="E1948" s="152"/>
      <c r="F1948" s="151"/>
      <c r="G1948" s="153"/>
      <c r="H1948" s="151"/>
      <c r="I1948" s="151"/>
      <c r="J1948" s="151"/>
      <c r="K1948" s="151"/>
      <c r="L1948" s="151"/>
      <c r="M1948" s="151"/>
      <c r="N1948" s="151"/>
      <c r="O1948" s="151"/>
      <c r="P1948" s="151"/>
      <c r="Q1948" s="151"/>
      <c r="R1948" s="151"/>
      <c r="S1948" s="152"/>
      <c r="T1948" s="151"/>
      <c r="U1948" s="151"/>
      <c r="V1948" s="153"/>
      <c r="W1948" s="151"/>
      <c r="X1948" s="151"/>
      <c r="Y1948" s="153"/>
      <c r="Z1948" s="151"/>
      <c r="AA1948" s="187" t="str">
        <f t="shared" si="61"/>
        <v>No</v>
      </c>
      <c r="AB1948" s="158"/>
      <c r="AC1948" s="159"/>
      <c r="AD1948" s="160"/>
    </row>
    <row r="1949" spans="1:30">
      <c r="A1949" s="155"/>
      <c r="B1949" s="112" t="str">
        <f t="shared" si="60"/>
        <v/>
      </c>
      <c r="C1949" s="183"/>
      <c r="D1949" s="152"/>
      <c r="E1949" s="152"/>
      <c r="F1949" s="151"/>
      <c r="G1949" s="153"/>
      <c r="H1949" s="151"/>
      <c r="I1949" s="151"/>
      <c r="J1949" s="151"/>
      <c r="K1949" s="151"/>
      <c r="L1949" s="151"/>
      <c r="M1949" s="151"/>
      <c r="N1949" s="151"/>
      <c r="O1949" s="151"/>
      <c r="P1949" s="151"/>
      <c r="Q1949" s="151"/>
      <c r="R1949" s="151"/>
      <c r="S1949" s="152"/>
      <c r="T1949" s="151"/>
      <c r="U1949" s="151"/>
      <c r="V1949" s="153"/>
      <c r="W1949" s="151"/>
      <c r="X1949" s="151"/>
      <c r="Y1949" s="153"/>
      <c r="Z1949" s="151"/>
      <c r="AA1949" s="187" t="str">
        <f t="shared" si="61"/>
        <v>No</v>
      </c>
      <c r="AB1949" s="158"/>
      <c r="AC1949" s="159"/>
      <c r="AD1949" s="160"/>
    </row>
    <row r="1950" spans="1:30">
      <c r="A1950" s="155"/>
      <c r="B1950" s="112" t="str">
        <f t="shared" si="60"/>
        <v/>
      </c>
      <c r="C1950" s="183"/>
      <c r="D1950" s="152"/>
      <c r="E1950" s="152"/>
      <c r="F1950" s="151"/>
      <c r="G1950" s="153"/>
      <c r="H1950" s="151"/>
      <c r="I1950" s="151"/>
      <c r="J1950" s="151"/>
      <c r="K1950" s="151"/>
      <c r="L1950" s="151"/>
      <c r="M1950" s="151"/>
      <c r="N1950" s="151"/>
      <c r="O1950" s="151"/>
      <c r="P1950" s="151"/>
      <c r="Q1950" s="151"/>
      <c r="R1950" s="151"/>
      <c r="S1950" s="152"/>
      <c r="T1950" s="151"/>
      <c r="U1950" s="151"/>
      <c r="V1950" s="153"/>
      <c r="W1950" s="151"/>
      <c r="X1950" s="151"/>
      <c r="Y1950" s="153"/>
      <c r="Z1950" s="151"/>
      <c r="AA1950" s="187" t="str">
        <f t="shared" si="61"/>
        <v>No</v>
      </c>
      <c r="AB1950" s="158"/>
      <c r="AC1950" s="159"/>
      <c r="AD1950" s="160"/>
    </row>
    <row r="1951" spans="1:30">
      <c r="A1951" s="155"/>
      <c r="B1951" s="112" t="str">
        <f t="shared" si="60"/>
        <v/>
      </c>
      <c r="C1951" s="183"/>
      <c r="D1951" s="152"/>
      <c r="E1951" s="152"/>
      <c r="F1951" s="151"/>
      <c r="G1951" s="153"/>
      <c r="H1951" s="151"/>
      <c r="I1951" s="151"/>
      <c r="J1951" s="151"/>
      <c r="K1951" s="151"/>
      <c r="L1951" s="151"/>
      <c r="M1951" s="151"/>
      <c r="N1951" s="151"/>
      <c r="O1951" s="151"/>
      <c r="P1951" s="151"/>
      <c r="Q1951" s="151"/>
      <c r="R1951" s="151"/>
      <c r="S1951" s="152"/>
      <c r="T1951" s="151"/>
      <c r="U1951" s="151"/>
      <c r="V1951" s="153"/>
      <c r="W1951" s="151"/>
      <c r="X1951" s="151"/>
      <c r="Y1951" s="153"/>
      <c r="Z1951" s="151"/>
      <c r="AA1951" s="187" t="str">
        <f t="shared" si="61"/>
        <v>No</v>
      </c>
      <c r="AB1951" s="158"/>
      <c r="AC1951" s="159"/>
      <c r="AD1951" s="160"/>
    </row>
    <row r="1952" spans="1:30">
      <c r="A1952" s="155"/>
      <c r="B1952" s="112" t="str">
        <f t="shared" si="60"/>
        <v/>
      </c>
      <c r="C1952" s="183"/>
      <c r="D1952" s="152"/>
      <c r="E1952" s="152"/>
      <c r="F1952" s="151"/>
      <c r="G1952" s="153"/>
      <c r="H1952" s="151"/>
      <c r="I1952" s="151"/>
      <c r="J1952" s="151"/>
      <c r="K1952" s="151"/>
      <c r="L1952" s="151"/>
      <c r="M1952" s="151"/>
      <c r="N1952" s="151"/>
      <c r="O1952" s="151"/>
      <c r="P1952" s="151"/>
      <c r="Q1952" s="151"/>
      <c r="R1952" s="151"/>
      <c r="S1952" s="152"/>
      <c r="T1952" s="151"/>
      <c r="U1952" s="151"/>
      <c r="V1952" s="153"/>
      <c r="W1952" s="151"/>
      <c r="X1952" s="151"/>
      <c r="Y1952" s="153"/>
      <c r="Z1952" s="151"/>
      <c r="AA1952" s="187" t="str">
        <f t="shared" si="61"/>
        <v>No</v>
      </c>
      <c r="AB1952" s="158"/>
      <c r="AC1952" s="159"/>
      <c r="AD1952" s="160"/>
    </row>
    <row r="1953" spans="1:30">
      <c r="A1953" s="155"/>
      <c r="B1953" s="112" t="str">
        <f t="shared" si="60"/>
        <v/>
      </c>
      <c r="C1953" s="183"/>
      <c r="D1953" s="152"/>
      <c r="E1953" s="152"/>
      <c r="F1953" s="151"/>
      <c r="G1953" s="153"/>
      <c r="H1953" s="151"/>
      <c r="I1953" s="151"/>
      <c r="J1953" s="151"/>
      <c r="K1953" s="151"/>
      <c r="L1953" s="151"/>
      <c r="M1953" s="151"/>
      <c r="N1953" s="151"/>
      <c r="O1953" s="151"/>
      <c r="P1953" s="151"/>
      <c r="Q1953" s="151"/>
      <c r="R1953" s="151"/>
      <c r="S1953" s="152"/>
      <c r="T1953" s="151"/>
      <c r="U1953" s="151"/>
      <c r="V1953" s="153"/>
      <c r="W1953" s="151"/>
      <c r="X1953" s="151"/>
      <c r="Y1953" s="153"/>
      <c r="Z1953" s="151"/>
      <c r="AA1953" s="187" t="str">
        <f t="shared" si="61"/>
        <v>No</v>
      </c>
      <c r="AB1953" s="158"/>
      <c r="AC1953" s="159"/>
      <c r="AD1953" s="160"/>
    </row>
    <row r="1954" spans="1:30">
      <c r="A1954" s="155"/>
      <c r="B1954" s="112" t="str">
        <f t="shared" si="60"/>
        <v/>
      </c>
      <c r="C1954" s="183"/>
      <c r="D1954" s="152"/>
      <c r="E1954" s="152"/>
      <c r="F1954" s="151"/>
      <c r="G1954" s="153"/>
      <c r="H1954" s="151"/>
      <c r="I1954" s="151"/>
      <c r="J1954" s="151"/>
      <c r="K1954" s="151"/>
      <c r="L1954" s="151"/>
      <c r="M1954" s="151"/>
      <c r="N1954" s="151"/>
      <c r="O1954" s="151"/>
      <c r="P1954" s="151"/>
      <c r="Q1954" s="151"/>
      <c r="R1954" s="151"/>
      <c r="S1954" s="152"/>
      <c r="T1954" s="151"/>
      <c r="U1954" s="151"/>
      <c r="V1954" s="153"/>
      <c r="W1954" s="151"/>
      <c r="X1954" s="151"/>
      <c r="Y1954" s="153"/>
      <c r="Z1954" s="151"/>
      <c r="AA1954" s="187" t="str">
        <f t="shared" si="61"/>
        <v>No</v>
      </c>
      <c r="AB1954" s="158"/>
      <c r="AC1954" s="159"/>
      <c r="AD1954" s="160"/>
    </row>
    <row r="1955" spans="1:30">
      <c r="A1955" s="155"/>
      <c r="B1955" s="112" t="str">
        <f t="shared" si="60"/>
        <v/>
      </c>
      <c r="C1955" s="183"/>
      <c r="D1955" s="152"/>
      <c r="E1955" s="152"/>
      <c r="F1955" s="151"/>
      <c r="G1955" s="153"/>
      <c r="H1955" s="151"/>
      <c r="I1955" s="151"/>
      <c r="J1955" s="151"/>
      <c r="K1955" s="151"/>
      <c r="L1955" s="151"/>
      <c r="M1955" s="151"/>
      <c r="N1955" s="151"/>
      <c r="O1955" s="151"/>
      <c r="P1955" s="151"/>
      <c r="Q1955" s="151"/>
      <c r="R1955" s="151"/>
      <c r="S1955" s="152"/>
      <c r="T1955" s="151"/>
      <c r="U1955" s="151"/>
      <c r="V1955" s="153"/>
      <c r="W1955" s="151"/>
      <c r="X1955" s="151"/>
      <c r="Y1955" s="153"/>
      <c r="Z1955" s="151"/>
      <c r="AA1955" s="187" t="str">
        <f t="shared" si="61"/>
        <v>No</v>
      </c>
      <c r="AB1955" s="158"/>
      <c r="AC1955" s="159"/>
      <c r="AD1955" s="160"/>
    </row>
    <row r="1956" spans="1:30">
      <c r="A1956" s="155"/>
      <c r="B1956" s="112" t="str">
        <f t="shared" si="60"/>
        <v/>
      </c>
      <c r="C1956" s="183"/>
      <c r="D1956" s="152"/>
      <c r="E1956" s="152"/>
      <c r="F1956" s="151"/>
      <c r="G1956" s="153"/>
      <c r="H1956" s="151"/>
      <c r="I1956" s="151"/>
      <c r="J1956" s="151"/>
      <c r="K1956" s="151"/>
      <c r="L1956" s="151"/>
      <c r="M1956" s="151"/>
      <c r="N1956" s="151"/>
      <c r="O1956" s="151"/>
      <c r="P1956" s="151"/>
      <c r="Q1956" s="151"/>
      <c r="R1956" s="151"/>
      <c r="S1956" s="152"/>
      <c r="T1956" s="151"/>
      <c r="U1956" s="151"/>
      <c r="V1956" s="153"/>
      <c r="W1956" s="151"/>
      <c r="X1956" s="151"/>
      <c r="Y1956" s="153"/>
      <c r="Z1956" s="151"/>
      <c r="AA1956" s="187" t="str">
        <f t="shared" si="61"/>
        <v>No</v>
      </c>
      <c r="AB1956" s="158"/>
      <c r="AC1956" s="159"/>
      <c r="AD1956" s="160"/>
    </row>
    <row r="1957" spans="1:30">
      <c r="A1957" s="155"/>
      <c r="B1957" s="112" t="str">
        <f t="shared" si="60"/>
        <v/>
      </c>
      <c r="C1957" s="183"/>
      <c r="D1957" s="152"/>
      <c r="E1957" s="152"/>
      <c r="F1957" s="151"/>
      <c r="G1957" s="153"/>
      <c r="H1957" s="151"/>
      <c r="I1957" s="151"/>
      <c r="J1957" s="151"/>
      <c r="K1957" s="151"/>
      <c r="L1957" s="151"/>
      <c r="M1957" s="151"/>
      <c r="N1957" s="151"/>
      <c r="O1957" s="151"/>
      <c r="P1957" s="151"/>
      <c r="Q1957" s="151"/>
      <c r="R1957" s="151"/>
      <c r="S1957" s="152"/>
      <c r="T1957" s="151"/>
      <c r="U1957" s="151"/>
      <c r="V1957" s="153"/>
      <c r="W1957" s="151"/>
      <c r="X1957" s="151"/>
      <c r="Y1957" s="153"/>
      <c r="Z1957" s="151"/>
      <c r="AA1957" s="187" t="str">
        <f t="shared" si="61"/>
        <v>No</v>
      </c>
      <c r="AB1957" s="158"/>
      <c r="AC1957" s="159"/>
      <c r="AD1957" s="160"/>
    </row>
    <row r="1958" spans="1:30">
      <c r="A1958" s="155"/>
      <c r="B1958" s="112" t="str">
        <f t="shared" si="60"/>
        <v/>
      </c>
      <c r="C1958" s="183"/>
      <c r="D1958" s="152"/>
      <c r="E1958" s="152"/>
      <c r="F1958" s="151"/>
      <c r="G1958" s="153"/>
      <c r="H1958" s="151"/>
      <c r="I1958" s="151"/>
      <c r="J1958" s="151"/>
      <c r="K1958" s="151"/>
      <c r="L1958" s="151"/>
      <c r="M1958" s="151"/>
      <c r="N1958" s="151"/>
      <c r="O1958" s="151"/>
      <c r="P1958" s="151"/>
      <c r="Q1958" s="151"/>
      <c r="R1958" s="151"/>
      <c r="S1958" s="152"/>
      <c r="T1958" s="151"/>
      <c r="U1958" s="151"/>
      <c r="V1958" s="153"/>
      <c r="W1958" s="151"/>
      <c r="X1958" s="151"/>
      <c r="Y1958" s="153"/>
      <c r="Z1958" s="151"/>
      <c r="AA1958" s="187" t="str">
        <f t="shared" si="61"/>
        <v>No</v>
      </c>
      <c r="AB1958" s="158"/>
      <c r="AC1958" s="159"/>
      <c r="AD1958" s="160"/>
    </row>
    <row r="1959" spans="1:30">
      <c r="A1959" s="155"/>
      <c r="B1959" s="112" t="str">
        <f t="shared" si="60"/>
        <v/>
      </c>
      <c r="C1959" s="183"/>
      <c r="D1959" s="152"/>
      <c r="E1959" s="152"/>
      <c r="F1959" s="151"/>
      <c r="G1959" s="153"/>
      <c r="H1959" s="151"/>
      <c r="I1959" s="151"/>
      <c r="J1959" s="151"/>
      <c r="K1959" s="151"/>
      <c r="L1959" s="151"/>
      <c r="M1959" s="151"/>
      <c r="N1959" s="151"/>
      <c r="O1959" s="151"/>
      <c r="P1959" s="151"/>
      <c r="Q1959" s="151"/>
      <c r="R1959" s="151"/>
      <c r="S1959" s="152"/>
      <c r="T1959" s="151"/>
      <c r="U1959" s="151"/>
      <c r="V1959" s="153"/>
      <c r="W1959" s="151"/>
      <c r="X1959" s="151"/>
      <c r="Y1959" s="153"/>
      <c r="Z1959" s="151"/>
      <c r="AA1959" s="187" t="str">
        <f t="shared" si="61"/>
        <v>No</v>
      </c>
      <c r="AB1959" s="158"/>
      <c r="AC1959" s="159"/>
      <c r="AD1959" s="160"/>
    </row>
    <row r="1960" spans="1:30">
      <c r="A1960" s="155"/>
      <c r="B1960" s="112" t="str">
        <f t="shared" si="60"/>
        <v/>
      </c>
      <c r="C1960" s="183"/>
      <c r="D1960" s="152"/>
      <c r="E1960" s="152"/>
      <c r="F1960" s="151"/>
      <c r="G1960" s="153"/>
      <c r="H1960" s="151"/>
      <c r="I1960" s="151"/>
      <c r="J1960" s="151"/>
      <c r="K1960" s="151"/>
      <c r="L1960" s="151"/>
      <c r="M1960" s="151"/>
      <c r="N1960" s="151"/>
      <c r="O1960" s="151"/>
      <c r="P1960" s="151"/>
      <c r="Q1960" s="151"/>
      <c r="R1960" s="151"/>
      <c r="S1960" s="152"/>
      <c r="T1960" s="151"/>
      <c r="U1960" s="151"/>
      <c r="V1960" s="153"/>
      <c r="W1960" s="151"/>
      <c r="X1960" s="151"/>
      <c r="Y1960" s="153"/>
      <c r="Z1960" s="151"/>
      <c r="AA1960" s="187" t="str">
        <f t="shared" si="61"/>
        <v>No</v>
      </c>
      <c r="AB1960" s="158"/>
      <c r="AC1960" s="159"/>
      <c r="AD1960" s="160"/>
    </row>
    <row r="1961" spans="1:30">
      <c r="A1961" s="155"/>
      <c r="B1961" s="112" t="str">
        <f t="shared" si="60"/>
        <v/>
      </c>
      <c r="C1961" s="183"/>
      <c r="D1961" s="152"/>
      <c r="E1961" s="152"/>
      <c r="F1961" s="151"/>
      <c r="G1961" s="153"/>
      <c r="H1961" s="151"/>
      <c r="I1961" s="151"/>
      <c r="J1961" s="151"/>
      <c r="K1961" s="151"/>
      <c r="L1961" s="151"/>
      <c r="M1961" s="151"/>
      <c r="N1961" s="151"/>
      <c r="O1961" s="151"/>
      <c r="P1961" s="151"/>
      <c r="Q1961" s="151"/>
      <c r="R1961" s="151"/>
      <c r="S1961" s="152"/>
      <c r="T1961" s="151"/>
      <c r="U1961" s="151"/>
      <c r="V1961" s="153"/>
      <c r="W1961" s="151"/>
      <c r="X1961" s="151"/>
      <c r="Y1961" s="153"/>
      <c r="Z1961" s="151"/>
      <c r="AA1961" s="187" t="str">
        <f t="shared" si="61"/>
        <v>No</v>
      </c>
      <c r="AB1961" s="158"/>
      <c r="AC1961" s="159"/>
      <c r="AD1961" s="160"/>
    </row>
    <row r="1962" spans="1:30">
      <c r="A1962" s="155"/>
      <c r="B1962" s="112" t="str">
        <f t="shared" si="60"/>
        <v/>
      </c>
      <c r="C1962" s="183"/>
      <c r="D1962" s="152"/>
      <c r="E1962" s="152"/>
      <c r="F1962" s="151"/>
      <c r="G1962" s="153"/>
      <c r="H1962" s="151"/>
      <c r="I1962" s="151"/>
      <c r="J1962" s="151"/>
      <c r="K1962" s="151"/>
      <c r="L1962" s="151"/>
      <c r="M1962" s="151"/>
      <c r="N1962" s="151"/>
      <c r="O1962" s="151"/>
      <c r="P1962" s="151"/>
      <c r="Q1962" s="151"/>
      <c r="R1962" s="151"/>
      <c r="S1962" s="152"/>
      <c r="T1962" s="151"/>
      <c r="U1962" s="151"/>
      <c r="V1962" s="153"/>
      <c r="W1962" s="151"/>
      <c r="X1962" s="151"/>
      <c r="Y1962" s="153"/>
      <c r="Z1962" s="151"/>
      <c r="AA1962" s="187" t="str">
        <f t="shared" si="61"/>
        <v>No</v>
      </c>
      <c r="AB1962" s="158"/>
      <c r="AC1962" s="159"/>
      <c r="AD1962" s="160"/>
    </row>
    <row r="1963" spans="1:30">
      <c r="A1963" s="155"/>
      <c r="B1963" s="112" t="str">
        <f t="shared" si="60"/>
        <v/>
      </c>
      <c r="C1963" s="183"/>
      <c r="D1963" s="152"/>
      <c r="E1963" s="152"/>
      <c r="F1963" s="151"/>
      <c r="G1963" s="153"/>
      <c r="H1963" s="151"/>
      <c r="I1963" s="151"/>
      <c r="J1963" s="151"/>
      <c r="K1963" s="151"/>
      <c r="L1963" s="151"/>
      <c r="M1963" s="151"/>
      <c r="N1963" s="151"/>
      <c r="O1963" s="151"/>
      <c r="P1963" s="151"/>
      <c r="Q1963" s="151"/>
      <c r="R1963" s="151"/>
      <c r="S1963" s="152"/>
      <c r="T1963" s="151"/>
      <c r="U1963" s="151"/>
      <c r="V1963" s="153"/>
      <c r="W1963" s="151"/>
      <c r="X1963" s="151"/>
      <c r="Y1963" s="153"/>
      <c r="Z1963" s="151"/>
      <c r="AA1963" s="187" t="str">
        <f t="shared" si="61"/>
        <v>No</v>
      </c>
      <c r="AB1963" s="158"/>
      <c r="AC1963" s="159"/>
      <c r="AD1963" s="160"/>
    </row>
    <row r="1964" spans="1:30">
      <c r="A1964" s="155"/>
      <c r="B1964" s="112" t="str">
        <f t="shared" si="60"/>
        <v/>
      </c>
      <c r="C1964" s="183"/>
      <c r="D1964" s="152"/>
      <c r="E1964" s="152"/>
      <c r="F1964" s="151"/>
      <c r="G1964" s="153"/>
      <c r="H1964" s="151"/>
      <c r="I1964" s="151"/>
      <c r="J1964" s="151"/>
      <c r="K1964" s="151"/>
      <c r="L1964" s="151"/>
      <c r="M1964" s="151"/>
      <c r="N1964" s="151"/>
      <c r="O1964" s="151"/>
      <c r="P1964" s="151"/>
      <c r="Q1964" s="151"/>
      <c r="R1964" s="151"/>
      <c r="S1964" s="152"/>
      <c r="T1964" s="151"/>
      <c r="U1964" s="151"/>
      <c r="V1964" s="153"/>
      <c r="W1964" s="151"/>
      <c r="X1964" s="151"/>
      <c r="Y1964" s="153"/>
      <c r="Z1964" s="151"/>
      <c r="AA1964" s="187" t="str">
        <f t="shared" si="61"/>
        <v>No</v>
      </c>
      <c r="AB1964" s="158"/>
      <c r="AC1964" s="159"/>
      <c r="AD1964" s="160"/>
    </row>
    <row r="1965" spans="1:30">
      <c r="A1965" s="155"/>
      <c r="B1965" s="112" t="str">
        <f t="shared" si="60"/>
        <v/>
      </c>
      <c r="C1965" s="183"/>
      <c r="D1965" s="152"/>
      <c r="E1965" s="152"/>
      <c r="F1965" s="151"/>
      <c r="G1965" s="153"/>
      <c r="H1965" s="151"/>
      <c r="I1965" s="151"/>
      <c r="J1965" s="151"/>
      <c r="K1965" s="151"/>
      <c r="L1965" s="151"/>
      <c r="M1965" s="151"/>
      <c r="N1965" s="151"/>
      <c r="O1965" s="151"/>
      <c r="P1965" s="151"/>
      <c r="Q1965" s="151"/>
      <c r="R1965" s="151"/>
      <c r="S1965" s="152"/>
      <c r="T1965" s="151"/>
      <c r="U1965" s="151"/>
      <c r="V1965" s="153"/>
      <c r="W1965" s="151"/>
      <c r="X1965" s="151"/>
      <c r="Y1965" s="153"/>
      <c r="Z1965" s="151"/>
      <c r="AA1965" s="187" t="str">
        <f t="shared" si="61"/>
        <v>No</v>
      </c>
      <c r="AB1965" s="158"/>
      <c r="AC1965" s="159"/>
      <c r="AD1965" s="160"/>
    </row>
    <row r="1966" spans="1:30">
      <c r="A1966" s="155"/>
      <c r="B1966" s="112" t="str">
        <f t="shared" si="60"/>
        <v/>
      </c>
      <c r="C1966" s="183"/>
      <c r="D1966" s="152"/>
      <c r="E1966" s="152"/>
      <c r="F1966" s="151"/>
      <c r="G1966" s="153"/>
      <c r="H1966" s="151"/>
      <c r="I1966" s="151"/>
      <c r="J1966" s="151"/>
      <c r="K1966" s="151"/>
      <c r="L1966" s="151"/>
      <c r="M1966" s="151"/>
      <c r="N1966" s="151"/>
      <c r="O1966" s="151"/>
      <c r="P1966" s="151"/>
      <c r="Q1966" s="151"/>
      <c r="R1966" s="151"/>
      <c r="S1966" s="152"/>
      <c r="T1966" s="151"/>
      <c r="U1966" s="151"/>
      <c r="V1966" s="153"/>
      <c r="W1966" s="151"/>
      <c r="X1966" s="151"/>
      <c r="Y1966" s="153"/>
      <c r="Z1966" s="151"/>
      <c r="AA1966" s="187" t="str">
        <f t="shared" si="61"/>
        <v>No</v>
      </c>
      <c r="AB1966" s="158"/>
      <c r="AC1966" s="159"/>
      <c r="AD1966" s="160"/>
    </row>
    <row r="1967" spans="1:30">
      <c r="A1967" s="155"/>
      <c r="B1967" s="112" t="str">
        <f t="shared" si="60"/>
        <v/>
      </c>
      <c r="C1967" s="183"/>
      <c r="D1967" s="152"/>
      <c r="E1967" s="152"/>
      <c r="F1967" s="151"/>
      <c r="G1967" s="153"/>
      <c r="H1967" s="151"/>
      <c r="I1967" s="151"/>
      <c r="J1967" s="151"/>
      <c r="K1967" s="151"/>
      <c r="L1967" s="151"/>
      <c r="M1967" s="151"/>
      <c r="N1967" s="151"/>
      <c r="O1967" s="151"/>
      <c r="P1967" s="151"/>
      <c r="Q1967" s="151"/>
      <c r="R1967" s="151"/>
      <c r="S1967" s="152"/>
      <c r="T1967" s="151"/>
      <c r="U1967" s="151"/>
      <c r="V1967" s="153"/>
      <c r="W1967" s="151"/>
      <c r="X1967" s="151"/>
      <c r="Y1967" s="153"/>
      <c r="Z1967" s="151"/>
      <c r="AA1967" s="187" t="str">
        <f t="shared" si="61"/>
        <v>No</v>
      </c>
      <c r="AB1967" s="158"/>
      <c r="AC1967" s="159"/>
      <c r="AD1967" s="160"/>
    </row>
    <row r="1968" spans="1:30">
      <c r="A1968" s="155"/>
      <c r="B1968" s="112" t="str">
        <f t="shared" si="60"/>
        <v/>
      </c>
      <c r="C1968" s="183"/>
      <c r="D1968" s="152"/>
      <c r="E1968" s="152"/>
      <c r="F1968" s="151"/>
      <c r="G1968" s="153"/>
      <c r="H1968" s="151"/>
      <c r="I1968" s="151"/>
      <c r="J1968" s="151"/>
      <c r="K1968" s="151"/>
      <c r="L1968" s="151"/>
      <c r="M1968" s="151"/>
      <c r="N1968" s="151"/>
      <c r="O1968" s="151"/>
      <c r="P1968" s="151"/>
      <c r="Q1968" s="151"/>
      <c r="R1968" s="151"/>
      <c r="S1968" s="152"/>
      <c r="T1968" s="151"/>
      <c r="U1968" s="151"/>
      <c r="V1968" s="153"/>
      <c r="W1968" s="151"/>
      <c r="X1968" s="151"/>
      <c r="Y1968" s="153"/>
      <c r="Z1968" s="151"/>
      <c r="AA1968" s="187" t="str">
        <f t="shared" si="61"/>
        <v>No</v>
      </c>
      <c r="AB1968" s="158"/>
      <c r="AC1968" s="159"/>
      <c r="AD1968" s="160"/>
    </row>
    <row r="1969" spans="1:30">
      <c r="A1969" s="155"/>
      <c r="B1969" s="112" t="str">
        <f t="shared" si="60"/>
        <v/>
      </c>
      <c r="C1969" s="183"/>
      <c r="D1969" s="152"/>
      <c r="E1969" s="152"/>
      <c r="F1969" s="151"/>
      <c r="G1969" s="153"/>
      <c r="H1969" s="151"/>
      <c r="I1969" s="151"/>
      <c r="J1969" s="151"/>
      <c r="K1969" s="151"/>
      <c r="L1969" s="151"/>
      <c r="M1969" s="151"/>
      <c r="N1969" s="151"/>
      <c r="O1969" s="151"/>
      <c r="P1969" s="151"/>
      <c r="Q1969" s="151"/>
      <c r="R1969" s="151"/>
      <c r="S1969" s="152"/>
      <c r="T1969" s="151"/>
      <c r="U1969" s="151"/>
      <c r="V1969" s="153"/>
      <c r="W1969" s="151"/>
      <c r="X1969" s="151"/>
      <c r="Y1969" s="153"/>
      <c r="Z1969" s="151"/>
      <c r="AA1969" s="187" t="str">
        <f t="shared" si="61"/>
        <v>No</v>
      </c>
      <c r="AB1969" s="158"/>
      <c r="AC1969" s="159"/>
      <c r="AD1969" s="160"/>
    </row>
    <row r="1970" spans="1:30">
      <c r="A1970" s="155"/>
      <c r="B1970" s="112" t="str">
        <f t="shared" si="60"/>
        <v/>
      </c>
      <c r="C1970" s="183"/>
      <c r="D1970" s="152"/>
      <c r="E1970" s="152"/>
      <c r="F1970" s="151"/>
      <c r="G1970" s="153"/>
      <c r="H1970" s="151"/>
      <c r="I1970" s="151"/>
      <c r="J1970" s="151"/>
      <c r="K1970" s="151"/>
      <c r="L1970" s="151"/>
      <c r="M1970" s="151"/>
      <c r="N1970" s="151"/>
      <c r="O1970" s="151"/>
      <c r="P1970" s="151"/>
      <c r="Q1970" s="151"/>
      <c r="R1970" s="151"/>
      <c r="S1970" s="152"/>
      <c r="T1970" s="151"/>
      <c r="U1970" s="151"/>
      <c r="V1970" s="153"/>
      <c r="W1970" s="151"/>
      <c r="X1970" s="151"/>
      <c r="Y1970" s="153"/>
      <c r="Z1970" s="151"/>
      <c r="AA1970" s="187" t="str">
        <f t="shared" si="61"/>
        <v>No</v>
      </c>
      <c r="AB1970" s="158"/>
      <c r="AC1970" s="159"/>
      <c r="AD1970" s="160"/>
    </row>
    <row r="1971" spans="1:30">
      <c r="A1971" s="155"/>
      <c r="B1971" s="112" t="str">
        <f t="shared" si="60"/>
        <v/>
      </c>
      <c r="C1971" s="183"/>
      <c r="D1971" s="152"/>
      <c r="E1971" s="152"/>
      <c r="F1971" s="151"/>
      <c r="G1971" s="153"/>
      <c r="H1971" s="151"/>
      <c r="I1971" s="151"/>
      <c r="J1971" s="151"/>
      <c r="K1971" s="151"/>
      <c r="L1971" s="151"/>
      <c r="M1971" s="151"/>
      <c r="N1971" s="151"/>
      <c r="O1971" s="151"/>
      <c r="P1971" s="151"/>
      <c r="Q1971" s="151"/>
      <c r="R1971" s="151"/>
      <c r="S1971" s="152"/>
      <c r="T1971" s="151"/>
      <c r="U1971" s="151"/>
      <c r="V1971" s="153"/>
      <c r="W1971" s="151"/>
      <c r="X1971" s="151"/>
      <c r="Y1971" s="153"/>
      <c r="Z1971" s="151"/>
      <c r="AA1971" s="187" t="str">
        <f t="shared" si="61"/>
        <v>No</v>
      </c>
      <c r="AB1971" s="158"/>
      <c r="AC1971" s="159"/>
      <c r="AD1971" s="160"/>
    </row>
    <row r="1972" spans="1:30">
      <c r="A1972" s="155"/>
      <c r="B1972" s="112" t="str">
        <f t="shared" si="60"/>
        <v/>
      </c>
      <c r="C1972" s="183"/>
      <c r="D1972" s="152"/>
      <c r="E1972" s="152"/>
      <c r="F1972" s="151"/>
      <c r="G1972" s="153"/>
      <c r="H1972" s="151"/>
      <c r="I1972" s="151"/>
      <c r="J1972" s="151"/>
      <c r="K1972" s="151"/>
      <c r="L1972" s="151"/>
      <c r="M1972" s="151"/>
      <c r="N1972" s="151"/>
      <c r="O1972" s="151"/>
      <c r="P1972" s="151"/>
      <c r="Q1972" s="151"/>
      <c r="R1972" s="151"/>
      <c r="S1972" s="152"/>
      <c r="T1972" s="151"/>
      <c r="U1972" s="151"/>
      <c r="V1972" s="153"/>
      <c r="W1972" s="151"/>
      <c r="X1972" s="151"/>
      <c r="Y1972" s="153"/>
      <c r="Z1972" s="151"/>
      <c r="AA1972" s="187" t="str">
        <f t="shared" si="61"/>
        <v>No</v>
      </c>
      <c r="AB1972" s="158"/>
      <c r="AC1972" s="159"/>
      <c r="AD1972" s="160"/>
    </row>
    <row r="1973" spans="1:30">
      <c r="A1973" s="155"/>
      <c r="B1973" s="112" t="str">
        <f t="shared" si="60"/>
        <v/>
      </c>
      <c r="C1973" s="183"/>
      <c r="D1973" s="152"/>
      <c r="E1973" s="152"/>
      <c r="F1973" s="151"/>
      <c r="G1973" s="153"/>
      <c r="H1973" s="151"/>
      <c r="I1973" s="151"/>
      <c r="J1973" s="151"/>
      <c r="K1973" s="151"/>
      <c r="L1973" s="151"/>
      <c r="M1973" s="151"/>
      <c r="N1973" s="151"/>
      <c r="O1973" s="151"/>
      <c r="P1973" s="151"/>
      <c r="Q1973" s="151"/>
      <c r="R1973" s="151"/>
      <c r="S1973" s="152"/>
      <c r="T1973" s="151"/>
      <c r="U1973" s="151"/>
      <c r="V1973" s="153"/>
      <c r="W1973" s="151"/>
      <c r="X1973" s="151"/>
      <c r="Y1973" s="153"/>
      <c r="Z1973" s="151"/>
      <c r="AA1973" s="187" t="str">
        <f t="shared" si="61"/>
        <v>No</v>
      </c>
      <c r="AB1973" s="158"/>
      <c r="AC1973" s="159"/>
      <c r="AD1973" s="160"/>
    </row>
    <row r="1974" spans="1:30">
      <c r="A1974" s="155"/>
      <c r="B1974" s="112" t="str">
        <f t="shared" si="60"/>
        <v/>
      </c>
      <c r="C1974" s="183"/>
      <c r="D1974" s="152"/>
      <c r="E1974" s="152"/>
      <c r="F1974" s="151"/>
      <c r="G1974" s="153"/>
      <c r="H1974" s="151"/>
      <c r="I1974" s="151"/>
      <c r="J1974" s="151"/>
      <c r="K1974" s="151"/>
      <c r="L1974" s="151"/>
      <c r="M1974" s="151"/>
      <c r="N1974" s="151"/>
      <c r="O1974" s="151"/>
      <c r="P1974" s="151"/>
      <c r="Q1974" s="151"/>
      <c r="R1974" s="151"/>
      <c r="S1974" s="152"/>
      <c r="T1974" s="151"/>
      <c r="U1974" s="151"/>
      <c r="V1974" s="153"/>
      <c r="W1974" s="151"/>
      <c r="X1974" s="151"/>
      <c r="Y1974" s="153"/>
      <c r="Z1974" s="151"/>
      <c r="AA1974" s="187" t="str">
        <f t="shared" si="61"/>
        <v>No</v>
      </c>
      <c r="AB1974" s="158"/>
      <c r="AC1974" s="159"/>
      <c r="AD1974" s="160"/>
    </row>
    <row r="1975" spans="1:30">
      <c r="A1975" s="155"/>
      <c r="B1975" s="112" t="str">
        <f t="shared" si="60"/>
        <v/>
      </c>
      <c r="C1975" s="183"/>
      <c r="D1975" s="152"/>
      <c r="E1975" s="152"/>
      <c r="F1975" s="151"/>
      <c r="G1975" s="153"/>
      <c r="H1975" s="151"/>
      <c r="I1975" s="151"/>
      <c r="J1975" s="151"/>
      <c r="K1975" s="151"/>
      <c r="L1975" s="151"/>
      <c r="M1975" s="151"/>
      <c r="N1975" s="151"/>
      <c r="O1975" s="151"/>
      <c r="P1975" s="151"/>
      <c r="Q1975" s="151"/>
      <c r="R1975" s="151"/>
      <c r="S1975" s="152"/>
      <c r="T1975" s="151"/>
      <c r="U1975" s="151"/>
      <c r="V1975" s="153"/>
      <c r="W1975" s="151"/>
      <c r="X1975" s="151"/>
      <c r="Y1975" s="153"/>
      <c r="Z1975" s="151"/>
      <c r="AA1975" s="187" t="str">
        <f t="shared" si="61"/>
        <v>No</v>
      </c>
      <c r="AB1975" s="158"/>
      <c r="AC1975" s="159"/>
      <c r="AD1975" s="160"/>
    </row>
    <row r="1976" spans="1:30">
      <c r="A1976" s="155"/>
      <c r="B1976" s="112" t="str">
        <f t="shared" si="60"/>
        <v/>
      </c>
      <c r="C1976" s="183"/>
      <c r="D1976" s="152"/>
      <c r="E1976" s="152"/>
      <c r="F1976" s="151"/>
      <c r="G1976" s="153"/>
      <c r="H1976" s="151"/>
      <c r="I1976" s="151"/>
      <c r="J1976" s="151"/>
      <c r="K1976" s="151"/>
      <c r="L1976" s="151"/>
      <c r="M1976" s="151"/>
      <c r="N1976" s="151"/>
      <c r="O1976" s="151"/>
      <c r="P1976" s="151"/>
      <c r="Q1976" s="151"/>
      <c r="R1976" s="151"/>
      <c r="S1976" s="152"/>
      <c r="T1976" s="151"/>
      <c r="U1976" s="151"/>
      <c r="V1976" s="153"/>
      <c r="W1976" s="151"/>
      <c r="X1976" s="151"/>
      <c r="Y1976" s="153"/>
      <c r="Z1976" s="151"/>
      <c r="AA1976" s="187" t="str">
        <f t="shared" si="61"/>
        <v>No</v>
      </c>
      <c r="AB1976" s="158"/>
      <c r="AC1976" s="159"/>
      <c r="AD1976" s="160"/>
    </row>
    <row r="1977" spans="1:30">
      <c r="A1977" s="155"/>
      <c r="B1977" s="112" t="str">
        <f t="shared" si="60"/>
        <v/>
      </c>
      <c r="C1977" s="183"/>
      <c r="D1977" s="152"/>
      <c r="E1977" s="152"/>
      <c r="F1977" s="151"/>
      <c r="G1977" s="153"/>
      <c r="H1977" s="151"/>
      <c r="I1977" s="151"/>
      <c r="J1977" s="151"/>
      <c r="K1977" s="151"/>
      <c r="L1977" s="151"/>
      <c r="M1977" s="151"/>
      <c r="N1977" s="151"/>
      <c r="O1977" s="151"/>
      <c r="P1977" s="151"/>
      <c r="Q1977" s="151"/>
      <c r="R1977" s="151"/>
      <c r="S1977" s="152"/>
      <c r="T1977" s="151"/>
      <c r="U1977" s="151"/>
      <c r="V1977" s="153"/>
      <c r="W1977" s="151"/>
      <c r="X1977" s="151"/>
      <c r="Y1977" s="153"/>
      <c r="Z1977" s="151"/>
      <c r="AA1977" s="187" t="str">
        <f t="shared" si="61"/>
        <v>No</v>
      </c>
      <c r="AB1977" s="158"/>
      <c r="AC1977" s="159"/>
      <c r="AD1977" s="160"/>
    </row>
    <row r="1978" spans="1:30">
      <c r="A1978" s="155"/>
      <c r="B1978" s="112" t="str">
        <f t="shared" si="60"/>
        <v/>
      </c>
      <c r="C1978" s="183"/>
      <c r="D1978" s="152"/>
      <c r="E1978" s="152"/>
      <c r="F1978" s="151"/>
      <c r="G1978" s="153"/>
      <c r="H1978" s="151"/>
      <c r="I1978" s="151"/>
      <c r="J1978" s="151"/>
      <c r="K1978" s="151"/>
      <c r="L1978" s="151"/>
      <c r="M1978" s="151"/>
      <c r="N1978" s="151"/>
      <c r="O1978" s="151"/>
      <c r="P1978" s="151"/>
      <c r="Q1978" s="151"/>
      <c r="R1978" s="151"/>
      <c r="S1978" s="152"/>
      <c r="T1978" s="151"/>
      <c r="U1978" s="151"/>
      <c r="V1978" s="153"/>
      <c r="W1978" s="151"/>
      <c r="X1978" s="151"/>
      <c r="Y1978" s="153"/>
      <c r="Z1978" s="151"/>
      <c r="AA1978" s="187" t="str">
        <f t="shared" si="61"/>
        <v>No</v>
      </c>
      <c r="AB1978" s="158"/>
      <c r="AC1978" s="159"/>
      <c r="AD1978" s="160"/>
    </row>
    <row r="1979" spans="1:30">
      <c r="A1979" s="155"/>
      <c r="B1979" s="112" t="str">
        <f t="shared" si="60"/>
        <v/>
      </c>
      <c r="C1979" s="183"/>
      <c r="D1979" s="152"/>
      <c r="E1979" s="152"/>
      <c r="F1979" s="151"/>
      <c r="G1979" s="153"/>
      <c r="H1979" s="151"/>
      <c r="I1979" s="151"/>
      <c r="J1979" s="151"/>
      <c r="K1979" s="151"/>
      <c r="L1979" s="151"/>
      <c r="M1979" s="151"/>
      <c r="N1979" s="151"/>
      <c r="O1979" s="151"/>
      <c r="P1979" s="151"/>
      <c r="Q1979" s="151"/>
      <c r="R1979" s="151"/>
      <c r="S1979" s="152"/>
      <c r="T1979" s="151"/>
      <c r="U1979" s="151"/>
      <c r="V1979" s="153"/>
      <c r="W1979" s="151"/>
      <c r="X1979" s="151"/>
      <c r="Y1979" s="153"/>
      <c r="Z1979" s="151"/>
      <c r="AA1979" s="187" t="str">
        <f t="shared" si="61"/>
        <v>No</v>
      </c>
      <c r="AB1979" s="158"/>
      <c r="AC1979" s="159"/>
      <c r="AD1979" s="160"/>
    </row>
    <row r="1980" spans="1:30">
      <c r="A1980" s="155"/>
      <c r="B1980" s="112" t="str">
        <f t="shared" si="60"/>
        <v/>
      </c>
      <c r="C1980" s="183"/>
      <c r="D1980" s="152"/>
      <c r="E1980" s="152"/>
      <c r="F1980" s="151"/>
      <c r="G1980" s="153"/>
      <c r="H1980" s="151"/>
      <c r="I1980" s="151"/>
      <c r="J1980" s="151"/>
      <c r="K1980" s="151"/>
      <c r="L1980" s="151"/>
      <c r="M1980" s="151"/>
      <c r="N1980" s="151"/>
      <c r="O1980" s="151"/>
      <c r="P1980" s="151"/>
      <c r="Q1980" s="151"/>
      <c r="R1980" s="151"/>
      <c r="S1980" s="152"/>
      <c r="T1980" s="151"/>
      <c r="U1980" s="151"/>
      <c r="V1980" s="153"/>
      <c r="W1980" s="151"/>
      <c r="X1980" s="151"/>
      <c r="Y1980" s="153"/>
      <c r="Z1980" s="151"/>
      <c r="AA1980" s="187" t="str">
        <f t="shared" si="61"/>
        <v>No</v>
      </c>
      <c r="AB1980" s="158"/>
      <c r="AC1980" s="159"/>
      <c r="AD1980" s="160"/>
    </row>
    <row r="1981" spans="1:30">
      <c r="A1981" s="155"/>
      <c r="B1981" s="112" t="str">
        <f t="shared" si="60"/>
        <v/>
      </c>
      <c r="C1981" s="183"/>
      <c r="D1981" s="152"/>
      <c r="E1981" s="152"/>
      <c r="F1981" s="151"/>
      <c r="G1981" s="153"/>
      <c r="H1981" s="151"/>
      <c r="I1981" s="151"/>
      <c r="J1981" s="151"/>
      <c r="K1981" s="151"/>
      <c r="L1981" s="151"/>
      <c r="M1981" s="151"/>
      <c r="N1981" s="151"/>
      <c r="O1981" s="151"/>
      <c r="P1981" s="151"/>
      <c r="Q1981" s="151"/>
      <c r="R1981" s="151"/>
      <c r="S1981" s="152"/>
      <c r="T1981" s="151"/>
      <c r="U1981" s="151"/>
      <c r="V1981" s="153"/>
      <c r="W1981" s="151"/>
      <c r="X1981" s="151"/>
      <c r="Y1981" s="153"/>
      <c r="Z1981" s="151"/>
      <c r="AA1981" s="187" t="str">
        <f t="shared" si="61"/>
        <v>No</v>
      </c>
      <c r="AB1981" s="158"/>
      <c r="AC1981" s="159"/>
      <c r="AD1981" s="160"/>
    </row>
    <row r="1982" spans="1:30">
      <c r="A1982" s="155"/>
      <c r="B1982" s="112" t="str">
        <f t="shared" si="60"/>
        <v/>
      </c>
      <c r="C1982" s="183"/>
      <c r="D1982" s="152"/>
      <c r="E1982" s="152"/>
      <c r="F1982" s="151"/>
      <c r="G1982" s="153"/>
      <c r="H1982" s="151"/>
      <c r="I1982" s="151"/>
      <c r="J1982" s="151"/>
      <c r="K1982" s="151"/>
      <c r="L1982" s="151"/>
      <c r="M1982" s="151"/>
      <c r="N1982" s="151"/>
      <c r="O1982" s="151"/>
      <c r="P1982" s="151"/>
      <c r="Q1982" s="151"/>
      <c r="R1982" s="151"/>
      <c r="S1982" s="152"/>
      <c r="T1982" s="151"/>
      <c r="U1982" s="151"/>
      <c r="V1982" s="153"/>
      <c r="W1982" s="151"/>
      <c r="X1982" s="151"/>
      <c r="Y1982" s="153"/>
      <c r="Z1982" s="151"/>
      <c r="AA1982" s="187" t="str">
        <f t="shared" si="61"/>
        <v>No</v>
      </c>
      <c r="AB1982" s="158"/>
      <c r="AC1982" s="159"/>
      <c r="AD1982" s="160"/>
    </row>
    <row r="1983" spans="1:30">
      <c r="A1983" s="155"/>
      <c r="B1983" s="112" t="str">
        <f t="shared" si="60"/>
        <v/>
      </c>
      <c r="C1983" s="183"/>
      <c r="D1983" s="152"/>
      <c r="E1983" s="152"/>
      <c r="F1983" s="151"/>
      <c r="G1983" s="153"/>
      <c r="H1983" s="151"/>
      <c r="I1983" s="151"/>
      <c r="J1983" s="151"/>
      <c r="K1983" s="151"/>
      <c r="L1983" s="151"/>
      <c r="M1983" s="151"/>
      <c r="N1983" s="151"/>
      <c r="O1983" s="151"/>
      <c r="P1983" s="151"/>
      <c r="Q1983" s="151"/>
      <c r="R1983" s="151"/>
      <c r="S1983" s="152"/>
      <c r="T1983" s="151"/>
      <c r="U1983" s="151"/>
      <c r="V1983" s="153"/>
      <c r="W1983" s="151"/>
      <c r="X1983" s="151"/>
      <c r="Y1983" s="153"/>
      <c r="Z1983" s="151"/>
      <c r="AA1983" s="187" t="str">
        <f t="shared" si="61"/>
        <v>No</v>
      </c>
      <c r="AB1983" s="158"/>
      <c r="AC1983" s="159"/>
      <c r="AD1983" s="160"/>
    </row>
    <row r="1984" spans="1:30">
      <c r="A1984" s="155"/>
      <c r="B1984" s="112" t="str">
        <f t="shared" si="60"/>
        <v/>
      </c>
      <c r="C1984" s="183"/>
      <c r="D1984" s="152"/>
      <c r="E1984" s="152"/>
      <c r="F1984" s="151"/>
      <c r="G1984" s="153"/>
      <c r="H1984" s="151"/>
      <c r="I1984" s="151"/>
      <c r="J1984" s="151"/>
      <c r="K1984" s="151"/>
      <c r="L1984" s="151"/>
      <c r="M1984" s="151"/>
      <c r="N1984" s="151"/>
      <c r="O1984" s="151"/>
      <c r="P1984" s="151"/>
      <c r="Q1984" s="151"/>
      <c r="R1984" s="151"/>
      <c r="S1984" s="152"/>
      <c r="T1984" s="151"/>
      <c r="U1984" s="151"/>
      <c r="V1984" s="153"/>
      <c r="W1984" s="151"/>
      <c r="X1984" s="151"/>
      <c r="Y1984" s="153"/>
      <c r="Z1984" s="151"/>
      <c r="AA1984" s="187" t="str">
        <f t="shared" si="61"/>
        <v>No</v>
      </c>
      <c r="AB1984" s="158"/>
      <c r="AC1984" s="159"/>
      <c r="AD1984" s="160"/>
    </row>
    <row r="1985" spans="1:30">
      <c r="A1985" s="155"/>
      <c r="B1985" s="112" t="str">
        <f t="shared" si="60"/>
        <v/>
      </c>
      <c r="C1985" s="183"/>
      <c r="D1985" s="152"/>
      <c r="E1985" s="152"/>
      <c r="F1985" s="151"/>
      <c r="G1985" s="153"/>
      <c r="H1985" s="151"/>
      <c r="I1985" s="151"/>
      <c r="J1985" s="151"/>
      <c r="K1985" s="151"/>
      <c r="L1985" s="151"/>
      <c r="M1985" s="151"/>
      <c r="N1985" s="151"/>
      <c r="O1985" s="151"/>
      <c r="P1985" s="151"/>
      <c r="Q1985" s="151"/>
      <c r="R1985" s="151"/>
      <c r="S1985" s="152"/>
      <c r="T1985" s="151"/>
      <c r="U1985" s="151"/>
      <c r="V1985" s="153"/>
      <c r="W1985" s="151"/>
      <c r="X1985" s="151"/>
      <c r="Y1985" s="153"/>
      <c r="Z1985" s="151"/>
      <c r="AA1985" s="187" t="str">
        <f t="shared" si="61"/>
        <v>No</v>
      </c>
      <c r="AB1985" s="158"/>
      <c r="AC1985" s="159"/>
      <c r="AD1985" s="160"/>
    </row>
    <row r="1986" spans="1:30">
      <c r="A1986" s="155"/>
      <c r="B1986" s="112" t="str">
        <f t="shared" si="60"/>
        <v/>
      </c>
      <c r="C1986" s="183"/>
      <c r="D1986" s="152"/>
      <c r="E1986" s="152"/>
      <c r="F1986" s="151"/>
      <c r="G1986" s="153"/>
      <c r="H1986" s="151"/>
      <c r="I1986" s="151"/>
      <c r="J1986" s="151"/>
      <c r="K1986" s="151"/>
      <c r="L1986" s="151"/>
      <c r="M1986" s="151"/>
      <c r="N1986" s="151"/>
      <c r="O1986" s="151"/>
      <c r="P1986" s="151"/>
      <c r="Q1986" s="151"/>
      <c r="R1986" s="151"/>
      <c r="S1986" s="152"/>
      <c r="T1986" s="151"/>
      <c r="U1986" s="151"/>
      <c r="V1986" s="153"/>
      <c r="W1986" s="151"/>
      <c r="X1986" s="151"/>
      <c r="Y1986" s="153"/>
      <c r="Z1986" s="151"/>
      <c r="AA1986" s="187" t="str">
        <f t="shared" si="61"/>
        <v>No</v>
      </c>
      <c r="AB1986" s="158"/>
      <c r="AC1986" s="159"/>
      <c r="AD1986" s="160"/>
    </row>
    <row r="1987" spans="1:30">
      <c r="A1987" s="155"/>
      <c r="B1987" s="112" t="str">
        <f t="shared" si="60"/>
        <v/>
      </c>
      <c r="C1987" s="183"/>
      <c r="D1987" s="152"/>
      <c r="E1987" s="152"/>
      <c r="F1987" s="151"/>
      <c r="G1987" s="153"/>
      <c r="H1987" s="151"/>
      <c r="I1987" s="151"/>
      <c r="J1987" s="151"/>
      <c r="K1987" s="151"/>
      <c r="L1987" s="151"/>
      <c r="M1987" s="151"/>
      <c r="N1987" s="151"/>
      <c r="O1987" s="151"/>
      <c r="P1987" s="151"/>
      <c r="Q1987" s="151"/>
      <c r="R1987" s="151"/>
      <c r="S1987" s="152"/>
      <c r="T1987" s="151"/>
      <c r="U1987" s="151"/>
      <c r="V1987" s="153"/>
      <c r="W1987" s="151"/>
      <c r="X1987" s="151"/>
      <c r="Y1987" s="153"/>
      <c r="Z1987" s="151"/>
      <c r="AA1987" s="187" t="str">
        <f t="shared" si="61"/>
        <v>No</v>
      </c>
      <c r="AB1987" s="158"/>
      <c r="AC1987" s="159"/>
      <c r="AD1987" s="160"/>
    </row>
    <row r="1988" spans="1:30">
      <c r="A1988" s="155"/>
      <c r="B1988" s="112" t="str">
        <f t="shared" si="60"/>
        <v/>
      </c>
      <c r="C1988" s="183"/>
      <c r="D1988" s="152"/>
      <c r="E1988" s="152"/>
      <c r="F1988" s="151"/>
      <c r="G1988" s="153"/>
      <c r="H1988" s="151"/>
      <c r="I1988" s="151"/>
      <c r="J1988" s="151"/>
      <c r="K1988" s="151"/>
      <c r="L1988" s="151"/>
      <c r="M1988" s="151"/>
      <c r="N1988" s="151"/>
      <c r="O1988" s="151"/>
      <c r="P1988" s="151"/>
      <c r="Q1988" s="151"/>
      <c r="R1988" s="151"/>
      <c r="S1988" s="152"/>
      <c r="T1988" s="151"/>
      <c r="U1988" s="151"/>
      <c r="V1988" s="153"/>
      <c r="W1988" s="151"/>
      <c r="X1988" s="151"/>
      <c r="Y1988" s="153"/>
      <c r="Z1988" s="151"/>
      <c r="AA1988" s="187" t="str">
        <f t="shared" si="61"/>
        <v>No</v>
      </c>
      <c r="AB1988" s="158"/>
      <c r="AC1988" s="159"/>
      <c r="AD1988" s="160"/>
    </row>
    <row r="1989" spans="1:30">
      <c r="A1989" s="155"/>
      <c r="B1989" s="112" t="str">
        <f t="shared" ref="B1989:B2000" si="62">IF(AND(A1989&lt;&gt;"",D1989&lt;&gt;"",J1989&lt;&gt;"",N1989&lt;&gt;""),TEXT(D1989,"YY")&amp;"-"&amp;TEXT(D1989,"MMM")&amp;"-"&amp;UPPER(LEFT(TRIM(N1989),2))&amp;"-"&amp;UPPER(LEFT(TRIM(J1989),3))&amp;"-"&amp;A1989,"")</f>
        <v/>
      </c>
      <c r="C1989" s="183"/>
      <c r="D1989" s="152"/>
      <c r="E1989" s="152"/>
      <c r="F1989" s="151"/>
      <c r="G1989" s="153"/>
      <c r="H1989" s="151"/>
      <c r="I1989" s="151"/>
      <c r="J1989" s="151"/>
      <c r="K1989" s="151"/>
      <c r="L1989" s="151"/>
      <c r="M1989" s="151"/>
      <c r="N1989" s="151"/>
      <c r="O1989" s="151"/>
      <c r="P1989" s="151"/>
      <c r="Q1989" s="151"/>
      <c r="R1989" s="151"/>
      <c r="S1989" s="152"/>
      <c r="T1989" s="151"/>
      <c r="U1989" s="151"/>
      <c r="V1989" s="153"/>
      <c r="W1989" s="151"/>
      <c r="X1989" s="151"/>
      <c r="Y1989" s="153"/>
      <c r="Z1989" s="151"/>
      <c r="AA1989" s="187" t="str">
        <f t="shared" ref="AA1989:AA2000" si="63">IF(E1989="","No","Yes")</f>
        <v>No</v>
      </c>
      <c r="AB1989" s="158"/>
      <c r="AC1989" s="159"/>
      <c r="AD1989" s="160"/>
    </row>
    <row r="1990" spans="1:30">
      <c r="A1990" s="155"/>
      <c r="B1990" s="112" t="str">
        <f t="shared" si="62"/>
        <v/>
      </c>
      <c r="C1990" s="183"/>
      <c r="D1990" s="152"/>
      <c r="E1990" s="152"/>
      <c r="F1990" s="151"/>
      <c r="G1990" s="153"/>
      <c r="H1990" s="151"/>
      <c r="I1990" s="151"/>
      <c r="J1990" s="151"/>
      <c r="K1990" s="151"/>
      <c r="L1990" s="151"/>
      <c r="M1990" s="151"/>
      <c r="N1990" s="151"/>
      <c r="O1990" s="151"/>
      <c r="P1990" s="151"/>
      <c r="Q1990" s="151"/>
      <c r="R1990" s="151"/>
      <c r="S1990" s="152"/>
      <c r="T1990" s="151"/>
      <c r="U1990" s="151"/>
      <c r="V1990" s="153"/>
      <c r="W1990" s="151"/>
      <c r="X1990" s="151"/>
      <c r="Y1990" s="153"/>
      <c r="Z1990" s="151"/>
      <c r="AA1990" s="187" t="str">
        <f t="shared" si="63"/>
        <v>No</v>
      </c>
      <c r="AB1990" s="158"/>
      <c r="AC1990" s="159"/>
      <c r="AD1990" s="160"/>
    </row>
    <row r="1991" spans="1:30">
      <c r="A1991" s="155"/>
      <c r="B1991" s="112" t="str">
        <f t="shared" si="62"/>
        <v/>
      </c>
      <c r="C1991" s="183"/>
      <c r="D1991" s="152"/>
      <c r="E1991" s="152"/>
      <c r="F1991" s="151"/>
      <c r="G1991" s="153"/>
      <c r="H1991" s="151"/>
      <c r="I1991" s="151"/>
      <c r="J1991" s="151"/>
      <c r="K1991" s="151"/>
      <c r="L1991" s="151"/>
      <c r="M1991" s="151"/>
      <c r="N1991" s="151"/>
      <c r="O1991" s="151"/>
      <c r="P1991" s="151"/>
      <c r="Q1991" s="151"/>
      <c r="R1991" s="151"/>
      <c r="S1991" s="152"/>
      <c r="T1991" s="151"/>
      <c r="U1991" s="151"/>
      <c r="V1991" s="153"/>
      <c r="W1991" s="151"/>
      <c r="X1991" s="151"/>
      <c r="Y1991" s="153"/>
      <c r="Z1991" s="151"/>
      <c r="AA1991" s="187" t="str">
        <f t="shared" si="63"/>
        <v>No</v>
      </c>
      <c r="AB1991" s="158"/>
      <c r="AC1991" s="159"/>
      <c r="AD1991" s="160"/>
    </row>
    <row r="1992" spans="1:30">
      <c r="A1992" s="155"/>
      <c r="B1992" s="112" t="str">
        <f t="shared" si="62"/>
        <v/>
      </c>
      <c r="C1992" s="183"/>
      <c r="D1992" s="152"/>
      <c r="E1992" s="152"/>
      <c r="F1992" s="151"/>
      <c r="G1992" s="153"/>
      <c r="H1992" s="151"/>
      <c r="I1992" s="151"/>
      <c r="J1992" s="151"/>
      <c r="K1992" s="151"/>
      <c r="L1992" s="151"/>
      <c r="M1992" s="151"/>
      <c r="N1992" s="151"/>
      <c r="O1992" s="151"/>
      <c r="P1992" s="151"/>
      <c r="Q1992" s="151"/>
      <c r="R1992" s="151"/>
      <c r="S1992" s="152"/>
      <c r="T1992" s="151"/>
      <c r="U1992" s="151"/>
      <c r="V1992" s="153"/>
      <c r="W1992" s="151"/>
      <c r="X1992" s="151"/>
      <c r="Y1992" s="153"/>
      <c r="Z1992" s="151"/>
      <c r="AA1992" s="187" t="str">
        <f t="shared" si="63"/>
        <v>No</v>
      </c>
      <c r="AB1992" s="158"/>
      <c r="AC1992" s="159"/>
      <c r="AD1992" s="160"/>
    </row>
    <row r="1993" spans="1:30">
      <c r="A1993" s="155"/>
      <c r="B1993" s="112" t="str">
        <f t="shared" si="62"/>
        <v/>
      </c>
      <c r="C1993" s="183"/>
      <c r="D1993" s="152"/>
      <c r="E1993" s="152"/>
      <c r="F1993" s="151"/>
      <c r="G1993" s="153"/>
      <c r="H1993" s="151"/>
      <c r="I1993" s="151"/>
      <c r="J1993" s="151"/>
      <c r="K1993" s="151"/>
      <c r="L1993" s="151"/>
      <c r="M1993" s="151"/>
      <c r="N1993" s="151"/>
      <c r="O1993" s="151"/>
      <c r="P1993" s="151"/>
      <c r="Q1993" s="151"/>
      <c r="R1993" s="151"/>
      <c r="S1993" s="152"/>
      <c r="T1993" s="151"/>
      <c r="U1993" s="151"/>
      <c r="V1993" s="153"/>
      <c r="W1993" s="151"/>
      <c r="X1993" s="151"/>
      <c r="Y1993" s="153"/>
      <c r="Z1993" s="151"/>
      <c r="AA1993" s="187" t="str">
        <f t="shared" si="63"/>
        <v>No</v>
      </c>
      <c r="AB1993" s="158"/>
      <c r="AC1993" s="159"/>
      <c r="AD1993" s="160"/>
    </row>
    <row r="1994" spans="1:30">
      <c r="A1994" s="155"/>
      <c r="B1994" s="112" t="str">
        <f t="shared" si="62"/>
        <v/>
      </c>
      <c r="C1994" s="183"/>
      <c r="D1994" s="152"/>
      <c r="E1994" s="152"/>
      <c r="F1994" s="151"/>
      <c r="G1994" s="153"/>
      <c r="H1994" s="151"/>
      <c r="I1994" s="151"/>
      <c r="J1994" s="151"/>
      <c r="K1994" s="151"/>
      <c r="L1994" s="151"/>
      <c r="M1994" s="151"/>
      <c r="N1994" s="151"/>
      <c r="O1994" s="151"/>
      <c r="P1994" s="151"/>
      <c r="Q1994" s="151"/>
      <c r="R1994" s="151"/>
      <c r="S1994" s="152"/>
      <c r="T1994" s="151"/>
      <c r="U1994" s="151"/>
      <c r="V1994" s="153"/>
      <c r="W1994" s="151"/>
      <c r="X1994" s="151"/>
      <c r="Y1994" s="153"/>
      <c r="Z1994" s="151"/>
      <c r="AA1994" s="187" t="str">
        <f t="shared" si="63"/>
        <v>No</v>
      </c>
      <c r="AB1994" s="158"/>
      <c r="AC1994" s="159"/>
      <c r="AD1994" s="160"/>
    </row>
    <row r="1995" spans="1:30">
      <c r="A1995" s="155"/>
      <c r="B1995" s="112" t="str">
        <f t="shared" si="62"/>
        <v/>
      </c>
      <c r="C1995" s="183"/>
      <c r="D1995" s="152"/>
      <c r="E1995" s="152"/>
      <c r="F1995" s="151"/>
      <c r="G1995" s="153"/>
      <c r="H1995" s="151"/>
      <c r="I1995" s="151"/>
      <c r="J1995" s="151"/>
      <c r="K1995" s="151"/>
      <c r="L1995" s="151"/>
      <c r="M1995" s="151"/>
      <c r="N1995" s="151"/>
      <c r="O1995" s="151"/>
      <c r="P1995" s="151"/>
      <c r="Q1995" s="151"/>
      <c r="R1995" s="151"/>
      <c r="S1995" s="152"/>
      <c r="T1995" s="151"/>
      <c r="U1995" s="151"/>
      <c r="V1995" s="153"/>
      <c r="W1995" s="151"/>
      <c r="X1995" s="151"/>
      <c r="Y1995" s="153"/>
      <c r="Z1995" s="151"/>
      <c r="AA1995" s="187" t="str">
        <f t="shared" si="63"/>
        <v>No</v>
      </c>
      <c r="AB1995" s="158"/>
      <c r="AC1995" s="159"/>
      <c r="AD1995" s="160"/>
    </row>
    <row r="1996" spans="1:30">
      <c r="A1996" s="155"/>
      <c r="B1996" s="112" t="str">
        <f t="shared" si="62"/>
        <v/>
      </c>
      <c r="C1996" s="183"/>
      <c r="D1996" s="152"/>
      <c r="E1996" s="152"/>
      <c r="F1996" s="151"/>
      <c r="G1996" s="153"/>
      <c r="H1996" s="151"/>
      <c r="I1996" s="151"/>
      <c r="J1996" s="151"/>
      <c r="K1996" s="151"/>
      <c r="L1996" s="151"/>
      <c r="M1996" s="151"/>
      <c r="N1996" s="151"/>
      <c r="O1996" s="151"/>
      <c r="P1996" s="151"/>
      <c r="Q1996" s="151"/>
      <c r="R1996" s="151"/>
      <c r="S1996" s="152"/>
      <c r="T1996" s="151"/>
      <c r="U1996" s="151"/>
      <c r="V1996" s="153"/>
      <c r="W1996" s="151"/>
      <c r="X1996" s="151"/>
      <c r="Y1996" s="153"/>
      <c r="Z1996" s="151"/>
      <c r="AA1996" s="187" t="str">
        <f t="shared" si="63"/>
        <v>No</v>
      </c>
      <c r="AB1996" s="158"/>
      <c r="AC1996" s="159"/>
      <c r="AD1996" s="160"/>
    </row>
    <row r="1997" spans="1:30">
      <c r="A1997" s="155"/>
      <c r="B1997" s="112" t="str">
        <f t="shared" si="62"/>
        <v/>
      </c>
      <c r="C1997" s="183"/>
      <c r="D1997" s="152"/>
      <c r="E1997" s="152"/>
      <c r="F1997" s="151"/>
      <c r="G1997" s="153"/>
      <c r="H1997" s="151"/>
      <c r="I1997" s="151"/>
      <c r="J1997" s="151"/>
      <c r="K1997" s="151"/>
      <c r="L1997" s="151"/>
      <c r="M1997" s="151"/>
      <c r="N1997" s="151"/>
      <c r="O1997" s="151"/>
      <c r="P1997" s="151"/>
      <c r="Q1997" s="151"/>
      <c r="R1997" s="151"/>
      <c r="S1997" s="152"/>
      <c r="T1997" s="151"/>
      <c r="U1997" s="151"/>
      <c r="V1997" s="153"/>
      <c r="W1997" s="151"/>
      <c r="X1997" s="151"/>
      <c r="Y1997" s="153"/>
      <c r="Z1997" s="151"/>
      <c r="AA1997" s="187" t="str">
        <f t="shared" si="63"/>
        <v>No</v>
      </c>
      <c r="AB1997" s="158"/>
      <c r="AC1997" s="159"/>
      <c r="AD1997" s="160"/>
    </row>
    <row r="1998" spans="1:30">
      <c r="A1998" s="155"/>
      <c r="B1998" s="112" t="str">
        <f t="shared" si="62"/>
        <v/>
      </c>
      <c r="C1998" s="183"/>
      <c r="D1998" s="152"/>
      <c r="E1998" s="152"/>
      <c r="F1998" s="151"/>
      <c r="G1998" s="153"/>
      <c r="H1998" s="151"/>
      <c r="I1998" s="151"/>
      <c r="J1998" s="151"/>
      <c r="K1998" s="151"/>
      <c r="L1998" s="151"/>
      <c r="M1998" s="151"/>
      <c r="N1998" s="151"/>
      <c r="O1998" s="151"/>
      <c r="P1998" s="151"/>
      <c r="Q1998" s="151"/>
      <c r="R1998" s="151"/>
      <c r="S1998" s="152"/>
      <c r="T1998" s="151"/>
      <c r="U1998" s="151"/>
      <c r="V1998" s="153"/>
      <c r="W1998" s="151"/>
      <c r="X1998" s="151"/>
      <c r="Y1998" s="153"/>
      <c r="Z1998" s="151"/>
      <c r="AA1998" s="187" t="str">
        <f t="shared" si="63"/>
        <v>No</v>
      </c>
      <c r="AB1998" s="158"/>
      <c r="AC1998" s="159"/>
      <c r="AD1998" s="160"/>
    </row>
    <row r="1999" spans="1:30">
      <c r="A1999" s="155"/>
      <c r="B1999" s="112" t="str">
        <f t="shared" si="62"/>
        <v/>
      </c>
      <c r="C1999" s="183"/>
      <c r="D1999" s="152"/>
      <c r="E1999" s="152"/>
      <c r="F1999" s="151"/>
      <c r="G1999" s="153"/>
      <c r="H1999" s="151"/>
      <c r="I1999" s="151"/>
      <c r="J1999" s="151"/>
      <c r="K1999" s="151"/>
      <c r="L1999" s="151"/>
      <c r="M1999" s="151"/>
      <c r="N1999" s="151"/>
      <c r="O1999" s="151"/>
      <c r="P1999" s="151"/>
      <c r="Q1999" s="151"/>
      <c r="R1999" s="151"/>
      <c r="S1999" s="152"/>
      <c r="T1999" s="151"/>
      <c r="U1999" s="151"/>
      <c r="V1999" s="153"/>
      <c r="W1999" s="151"/>
      <c r="X1999" s="151"/>
      <c r="Y1999" s="153"/>
      <c r="Z1999" s="151"/>
      <c r="AA1999" s="187" t="str">
        <f t="shared" si="63"/>
        <v>No</v>
      </c>
      <c r="AB1999" s="158"/>
      <c r="AC1999" s="159"/>
      <c r="AD1999" s="160"/>
    </row>
    <row r="2000" spans="1:30">
      <c r="A2000" s="155"/>
      <c r="B2000" s="112" t="str">
        <f t="shared" si="62"/>
        <v/>
      </c>
      <c r="C2000" s="183"/>
      <c r="D2000" s="152"/>
      <c r="E2000" s="152"/>
      <c r="F2000" s="151"/>
      <c r="G2000" s="153"/>
      <c r="H2000" s="151"/>
      <c r="I2000" s="151"/>
      <c r="J2000" s="151"/>
      <c r="K2000" s="151"/>
      <c r="L2000" s="151"/>
      <c r="M2000" s="151"/>
      <c r="N2000" s="151"/>
      <c r="O2000" s="151"/>
      <c r="P2000" s="151"/>
      <c r="Q2000" s="151"/>
      <c r="R2000" s="151"/>
      <c r="S2000" s="152"/>
      <c r="T2000" s="151"/>
      <c r="U2000" s="151"/>
      <c r="V2000" s="153"/>
      <c r="W2000" s="151"/>
      <c r="X2000" s="151"/>
      <c r="Y2000" s="153"/>
      <c r="Z2000" s="151"/>
      <c r="AA2000" s="187" t="str">
        <f t="shared" si="63"/>
        <v>No</v>
      </c>
      <c r="AB2000" s="158"/>
      <c r="AC2000" s="159"/>
      <c r="AD2000" s="160"/>
    </row>
    <row r="2001" spans="4:5" hidden="1">
      <c r="D2001" s="97"/>
      <c r="E2001" s="97"/>
    </row>
    <row r="2002" spans="4:5" hidden="1">
      <c r="D2002" s="97"/>
      <c r="E2002" s="97"/>
    </row>
    <row r="2003" spans="4:5" hidden="1">
      <c r="D2003" s="97"/>
      <c r="E2003" s="97"/>
    </row>
  </sheetData>
  <sheetProtection sheet="1" scenarios="1" selectLockedCells="1"/>
  <autoFilter ref="A4:AA4"/>
  <sortState ref="A5:AD2000">
    <sortCondition ref="AC4"/>
  </sortState>
  <dataValidations count="4">
    <dataValidation type="list" allowBlank="1" showInputMessage="1" showErrorMessage="1" sqref="P5:P2000">
      <formula1>BOperator</formula1>
    </dataValidation>
    <dataValidation type="list" allowBlank="1" showInputMessage="1" showErrorMessage="1" sqref="K5:K2000">
      <formula1>BBankBranchs</formula1>
    </dataValidation>
    <dataValidation type="list" allowBlank="1" showInputMessage="1" showErrorMessage="1" sqref="M5:M2000">
      <formula1>BMediator</formula1>
    </dataValidation>
    <dataValidation type="list" allowBlank="1" showInputMessage="1" showErrorMessage="1" sqref="O5:O2000">
      <formula1>BInspected</formula1>
    </dataValidation>
  </dataValidations>
  <pageMargins left="0.7" right="0.7" top="0.75" bottom="0.75" header="0.3" footer="0.3"/>
  <pageSetup orientation="portrait" r:id="rId1"/>
  <drawing r:id="rId2"/>
  <legacyDrawing r:id="rId3"/>
  <controls>
    <control shapeId="5125" r:id="rId4" name="TempCombo"/>
    <control shapeId="5121" r:id="rId5" name="cbExportData"/>
    <control shapeId="5122" r:id="rId6" name="cbClearData"/>
    <control shapeId="5123" r:id="rId7" name="cbFindDuplicate"/>
  </controls>
  <extLst xmlns:x14="http://schemas.microsoft.com/office/spreadsheetml/2009/9/main">
    <ext uri="{CCE6A557-97BC-4b89-ADB6-D9C93CAAB3DF}">
      <x14:dataValidations xmlns:xm="http://schemas.microsoft.com/office/excel/2006/main" count="7">
        <x14:dataValidation type="list" allowBlank="1" showInputMessage="1" showErrorMessage="1">
          <x14:formula1>
            <xm:f>OFFSET('List Boxs'!$G$1,1,0,COUNTA('List Boxs'!$G$1:$G$50),1)</xm:f>
          </x14:formula1>
          <xm:sqref>I2001:I2003</xm:sqref>
        </x14:dataValidation>
        <x14:dataValidation type="list" allowBlank="1" showInputMessage="1" showErrorMessage="1">
          <x14:formula1>
            <xm:f>'List Boxs'!$R$2:$R$4</xm:f>
          </x14:formula1>
          <xm:sqref>Q5:Q2000</xm:sqref>
        </x14:dataValidation>
        <x14:dataValidation type="list" allowBlank="1" showInputMessage="1" showErrorMessage="1">
          <x14:formula1>
            <xm:f>'List Boxs'!$T$2:$T$4</xm:f>
          </x14:formula1>
          <xm:sqref>T5:T2000</xm:sqref>
        </x14:dataValidation>
        <x14:dataValidation type="list" allowBlank="1" showInputMessage="1" showErrorMessage="1">
          <x14:formula1>
            <xm:f>'List Boxs'!$S$2:$S$16</xm:f>
          </x14:formula1>
          <xm:sqref>W5:W2000</xm:sqref>
        </x14:dataValidation>
        <x14:dataValidation type="list" allowBlank="1" showInputMessage="1" showErrorMessage="1">
          <x14:formula1>
            <xm:f>'List Boxs'!$L$2:$L$8</xm:f>
          </x14:formula1>
          <xm:sqref>N5:N2000</xm:sqref>
        </x14:dataValidation>
        <x14:dataValidation type="list" allowBlank="1" showInputMessage="1" showErrorMessage="1">
          <x14:formula1>
            <xm:f>'List Boxs'!$H$2:$H$18</xm:f>
          </x14:formula1>
          <xm:sqref>J5:J2000</xm:sqref>
        </x14:dataValidation>
        <x14:dataValidation type="list" allowBlank="1" showInputMessage="1" showErrorMessage="1">
          <x14:formula1>
            <xm:f>'List Boxs'!$G$2:$G$26</xm:f>
          </x14:formula1>
          <xm:sqref>I5:I2000</xm:sqref>
        </x14:dataValidation>
      </x14:dataValidations>
    </ext>
  </extLst>
</worksheet>
</file>

<file path=xl/worksheets/sheet10.xml><?xml version="1.0" encoding="utf-8"?>
<worksheet xmlns="http://schemas.openxmlformats.org/spreadsheetml/2006/main" xmlns:r="http://schemas.openxmlformats.org/officeDocument/2006/relationships">
  <sheetPr codeName="Sheet8"/>
  <dimension ref="B3:N1650"/>
  <sheetViews>
    <sheetView showGridLines="0" showRowColHeaders="0" zoomScale="75" zoomScaleNormal="75" workbookViewId="0"/>
  </sheetViews>
  <sheetFormatPr defaultRowHeight="15"/>
  <cols>
    <col min="2" max="2" width="13.140625" style="145" bestFit="1" customWidth="1"/>
    <col min="3" max="3" width="18.85546875" customWidth="1"/>
    <col min="4" max="4" width="29.85546875" customWidth="1"/>
    <col min="5" max="5" width="9.7109375" customWidth="1"/>
    <col min="6" max="6" width="23.140625" customWidth="1"/>
    <col min="7" max="7" width="10.7109375" customWidth="1"/>
    <col min="8" max="9" width="13.5703125" customWidth="1"/>
    <col min="10" max="10" width="14.28515625" customWidth="1"/>
    <col min="11" max="11" width="13.5703125" customWidth="1"/>
    <col min="12" max="12" width="12.85546875" style="135" customWidth="1"/>
    <col min="13" max="13" width="11.42578125" customWidth="1"/>
    <col min="14" max="14" width="11.42578125" style="135" customWidth="1"/>
    <col min="15" max="15" width="17.28515625" customWidth="1"/>
    <col min="16" max="16" width="11.140625" customWidth="1"/>
    <col min="17" max="17" width="13.5703125" customWidth="1"/>
    <col min="18" max="18" width="10.7109375" customWidth="1"/>
    <col min="19" max="19" width="11.42578125" customWidth="1"/>
    <col min="20" max="20" width="11.5703125" customWidth="1"/>
    <col min="21" max="21" width="18.140625" customWidth="1"/>
    <col min="22" max="22" width="11.5703125" customWidth="1"/>
    <col min="23" max="23" width="12.7109375" customWidth="1"/>
    <col min="24" max="24" width="15.5703125" customWidth="1"/>
    <col min="25" max="25" width="11.140625" customWidth="1"/>
    <col min="26" max="26" width="15.28515625" customWidth="1"/>
    <col min="27" max="27" width="14.85546875" customWidth="1"/>
    <col min="28" max="28" width="9.85546875" customWidth="1"/>
  </cols>
  <sheetData>
    <row r="3" ht="24" customHeight="1"/>
    <row r="4" ht="21" customHeight="1"/>
    <row r="5" ht="21" customHeight="1"/>
    <row r="6" ht="21" customHeight="1"/>
    <row r="7" ht="21" customHeight="1"/>
    <row r="8" ht="21" customHeight="1"/>
    <row r="9" ht="21" customHeight="1"/>
    <row r="17" spans="2:14" ht="13.5" customHeight="1">
      <c r="D17" s="202" t="s">
        <v>499</v>
      </c>
      <c r="E17" s="202"/>
      <c r="F17" s="202"/>
      <c r="G17" s="202"/>
    </row>
    <row r="18" spans="2:14" ht="15" customHeight="1">
      <c r="D18" s="202"/>
      <c r="E18" s="202"/>
      <c r="F18" s="202"/>
      <c r="G18" s="202"/>
    </row>
    <row r="20" spans="2:14">
      <c r="B20" s="156" t="s">
        <v>142</v>
      </c>
      <c r="C20" s="156" t="s">
        <v>140</v>
      </c>
      <c r="D20" s="156" t="s">
        <v>144</v>
      </c>
      <c r="E20" s="156" t="s">
        <v>10</v>
      </c>
      <c r="F20" s="156" t="s">
        <v>12</v>
      </c>
      <c r="G20" s="156" t="s">
        <v>16</v>
      </c>
      <c r="H20" s="156" t="s">
        <v>156</v>
      </c>
      <c r="I20" s="156" t="s">
        <v>147</v>
      </c>
      <c r="J20" s="156" t="s">
        <v>146</v>
      </c>
      <c r="K20" s="156" t="s">
        <v>13</v>
      </c>
      <c r="L20" s="156" t="s">
        <v>500</v>
      </c>
      <c r="M20" s="156" t="s">
        <v>501</v>
      </c>
      <c r="N20" s="156" t="s">
        <v>502</v>
      </c>
    </row>
    <row r="21" spans="2:14">
      <c r="B21" s="161">
        <v>42915</v>
      </c>
      <c r="C21" s="194" t="s">
        <v>1131</v>
      </c>
      <c r="D21" s="194" t="s">
        <v>1132</v>
      </c>
      <c r="E21" s="194" t="s">
        <v>102</v>
      </c>
      <c r="F21" s="194" t="s">
        <v>1113</v>
      </c>
      <c r="G21" s="194" t="s">
        <v>598</v>
      </c>
      <c r="H21" s="194" t="s">
        <v>485</v>
      </c>
      <c r="I21" s="194" t="s">
        <v>598</v>
      </c>
      <c r="J21" s="194" t="s">
        <v>598</v>
      </c>
      <c r="K21" s="194" t="s">
        <v>598</v>
      </c>
      <c r="L21" s="193">
        <v>0</v>
      </c>
      <c r="M21" s="193">
        <v>0</v>
      </c>
      <c r="N21" s="193">
        <v>0</v>
      </c>
    </row>
    <row r="22" spans="2:14">
      <c r="B22" s="161">
        <v>42913</v>
      </c>
      <c r="C22" s="194" t="s">
        <v>972</v>
      </c>
      <c r="D22" s="194" t="s">
        <v>973</v>
      </c>
      <c r="E22" s="194" t="s">
        <v>84</v>
      </c>
      <c r="F22" s="194" t="s">
        <v>227</v>
      </c>
      <c r="G22" s="194" t="s">
        <v>598</v>
      </c>
      <c r="H22" s="194" t="s">
        <v>485</v>
      </c>
      <c r="I22" s="194" t="s">
        <v>598</v>
      </c>
      <c r="J22" s="194" t="s">
        <v>598</v>
      </c>
      <c r="K22" s="194" t="s">
        <v>598</v>
      </c>
      <c r="L22" s="193">
        <v>0</v>
      </c>
      <c r="M22" s="193">
        <v>0</v>
      </c>
      <c r="N22" s="193">
        <v>0</v>
      </c>
    </row>
    <row r="23" spans="2:14">
      <c r="B23" s="161">
        <v>42912</v>
      </c>
      <c r="C23" s="194" t="s">
        <v>961</v>
      </c>
      <c r="D23" s="194" t="s">
        <v>962</v>
      </c>
      <c r="E23" s="194" t="s">
        <v>84</v>
      </c>
      <c r="F23" s="194" t="s">
        <v>191</v>
      </c>
      <c r="G23" s="194" t="s">
        <v>63</v>
      </c>
      <c r="H23" s="194" t="s">
        <v>485</v>
      </c>
      <c r="I23" s="194" t="s">
        <v>134</v>
      </c>
      <c r="J23" s="194" t="s">
        <v>598</v>
      </c>
      <c r="K23" s="194" t="s">
        <v>598</v>
      </c>
      <c r="L23" s="193">
        <v>0</v>
      </c>
      <c r="M23" s="193">
        <v>0</v>
      </c>
      <c r="N23" s="193">
        <v>0</v>
      </c>
    </row>
    <row r="24" spans="2:14">
      <c r="B24" s="161">
        <v>42912</v>
      </c>
      <c r="C24" s="194" t="s">
        <v>967</v>
      </c>
      <c r="D24" s="194" t="s">
        <v>968</v>
      </c>
      <c r="E24" s="194" t="s">
        <v>84</v>
      </c>
      <c r="F24" s="194" t="s">
        <v>226</v>
      </c>
      <c r="G24" s="194" t="s">
        <v>86</v>
      </c>
      <c r="H24" s="194" t="s">
        <v>485</v>
      </c>
      <c r="I24" s="194" t="s">
        <v>134</v>
      </c>
      <c r="J24" s="194" t="s">
        <v>598</v>
      </c>
      <c r="K24" s="194" t="s">
        <v>598</v>
      </c>
      <c r="L24" s="193">
        <v>0</v>
      </c>
      <c r="M24" s="193">
        <v>0</v>
      </c>
      <c r="N24" s="193">
        <v>0</v>
      </c>
    </row>
    <row r="25" spans="2:14">
      <c r="B25" s="161">
        <v>42909</v>
      </c>
      <c r="C25" s="194" t="s">
        <v>954</v>
      </c>
      <c r="D25" s="194" t="s">
        <v>955</v>
      </c>
      <c r="E25" s="194" t="s">
        <v>84</v>
      </c>
      <c r="F25" s="194" t="s">
        <v>223</v>
      </c>
      <c r="G25" s="194" t="s">
        <v>86</v>
      </c>
      <c r="H25" s="194" t="s">
        <v>485</v>
      </c>
      <c r="I25" s="194" t="s">
        <v>598</v>
      </c>
      <c r="J25" s="194" t="s">
        <v>598</v>
      </c>
      <c r="K25" s="194" t="s">
        <v>598</v>
      </c>
      <c r="L25" s="193">
        <v>0</v>
      </c>
      <c r="M25" s="193">
        <v>0</v>
      </c>
      <c r="N25" s="193">
        <v>0</v>
      </c>
    </row>
    <row r="26" spans="2:14">
      <c r="B26" s="161">
        <v>42907</v>
      </c>
      <c r="C26" s="194" t="s">
        <v>938</v>
      </c>
      <c r="D26" s="194" t="s">
        <v>939</v>
      </c>
      <c r="E26" s="194" t="s">
        <v>84</v>
      </c>
      <c r="F26" s="194" t="s">
        <v>219</v>
      </c>
      <c r="G26" s="194" t="s">
        <v>86</v>
      </c>
      <c r="H26" s="194" t="s">
        <v>485</v>
      </c>
      <c r="I26" s="194" t="s">
        <v>134</v>
      </c>
      <c r="J26" s="194" t="s">
        <v>598</v>
      </c>
      <c r="K26" s="194" t="s">
        <v>598</v>
      </c>
      <c r="L26" s="193">
        <v>0</v>
      </c>
      <c r="M26" s="193">
        <v>0</v>
      </c>
      <c r="N26" s="193">
        <v>0</v>
      </c>
    </row>
    <row r="27" spans="2:14">
      <c r="B27" s="161">
        <v>42906</v>
      </c>
      <c r="C27" s="194" t="s">
        <v>929</v>
      </c>
      <c r="D27" s="194" t="s">
        <v>930</v>
      </c>
      <c r="E27" s="194" t="s">
        <v>84</v>
      </c>
      <c r="F27" s="194" t="s">
        <v>162</v>
      </c>
      <c r="G27" s="194" t="s">
        <v>63</v>
      </c>
      <c r="H27" s="194" t="s">
        <v>485</v>
      </c>
      <c r="I27" s="194" t="s">
        <v>598</v>
      </c>
      <c r="J27" s="194" t="s">
        <v>598</v>
      </c>
      <c r="K27" s="194" t="s">
        <v>598</v>
      </c>
      <c r="L27" s="193">
        <v>0</v>
      </c>
      <c r="M27" s="193">
        <v>0</v>
      </c>
      <c r="N27" s="193">
        <v>0</v>
      </c>
    </row>
    <row r="28" spans="2:14">
      <c r="B28" s="161">
        <v>42905</v>
      </c>
      <c r="C28" s="194" t="s">
        <v>913</v>
      </c>
      <c r="D28" s="194" t="s">
        <v>914</v>
      </c>
      <c r="E28" s="194" t="s">
        <v>84</v>
      </c>
      <c r="F28" s="194" t="s">
        <v>189</v>
      </c>
      <c r="G28" s="194" t="s">
        <v>86</v>
      </c>
      <c r="H28" s="194" t="s">
        <v>485</v>
      </c>
      <c r="I28" s="194" t="s">
        <v>125</v>
      </c>
      <c r="J28" s="194" t="s">
        <v>598</v>
      </c>
      <c r="K28" s="194" t="s">
        <v>598</v>
      </c>
      <c r="L28" s="193">
        <v>0</v>
      </c>
      <c r="M28" s="193">
        <v>0</v>
      </c>
      <c r="N28" s="193">
        <v>0</v>
      </c>
    </row>
    <row r="29" spans="2:14">
      <c r="B29" s="161">
        <v>42905</v>
      </c>
      <c r="C29" s="194" t="s">
        <v>915</v>
      </c>
      <c r="D29" s="194" t="s">
        <v>916</v>
      </c>
      <c r="E29" s="194" t="s">
        <v>84</v>
      </c>
      <c r="F29" s="194" t="s">
        <v>199</v>
      </c>
      <c r="G29" s="194" t="s">
        <v>86</v>
      </c>
      <c r="H29" s="194" t="s">
        <v>485</v>
      </c>
      <c r="I29" s="194" t="s">
        <v>598</v>
      </c>
      <c r="J29" s="194" t="s">
        <v>598</v>
      </c>
      <c r="K29" s="194" t="s">
        <v>598</v>
      </c>
      <c r="L29" s="193">
        <v>0</v>
      </c>
      <c r="M29" s="193">
        <v>0</v>
      </c>
      <c r="N29" s="193">
        <v>0</v>
      </c>
    </row>
    <row r="30" spans="2:14">
      <c r="B30" s="161">
        <v>42905</v>
      </c>
      <c r="C30" s="194" t="s">
        <v>917</v>
      </c>
      <c r="D30" s="194" t="s">
        <v>918</v>
      </c>
      <c r="E30" s="194" t="s">
        <v>84</v>
      </c>
      <c r="F30" s="194" t="s">
        <v>199</v>
      </c>
      <c r="G30" s="194" t="s">
        <v>86</v>
      </c>
      <c r="H30" s="194" t="s">
        <v>485</v>
      </c>
      <c r="I30" s="194" t="s">
        <v>598</v>
      </c>
      <c r="J30" s="194" t="s">
        <v>598</v>
      </c>
      <c r="K30" s="194" t="s">
        <v>598</v>
      </c>
      <c r="L30" s="193">
        <v>0</v>
      </c>
      <c r="M30" s="193">
        <v>0</v>
      </c>
      <c r="N30" s="193">
        <v>0</v>
      </c>
    </row>
    <row r="31" spans="2:14">
      <c r="B31" s="161">
        <v>42905</v>
      </c>
      <c r="C31" s="194" t="s">
        <v>1065</v>
      </c>
      <c r="D31" s="194" t="s">
        <v>1066</v>
      </c>
      <c r="E31" s="194" t="s">
        <v>102</v>
      </c>
      <c r="F31" s="194" t="s">
        <v>236</v>
      </c>
      <c r="G31" s="194" t="s">
        <v>63</v>
      </c>
      <c r="H31" s="194" t="s">
        <v>485</v>
      </c>
      <c r="I31" s="194" t="s">
        <v>37</v>
      </c>
      <c r="J31" s="194" t="s">
        <v>598</v>
      </c>
      <c r="K31" s="194" t="s">
        <v>598</v>
      </c>
      <c r="L31" s="193">
        <v>0</v>
      </c>
      <c r="M31" s="193">
        <v>0</v>
      </c>
      <c r="N31" s="193">
        <v>0</v>
      </c>
    </row>
    <row r="32" spans="2:14">
      <c r="B32" s="161">
        <v>42903</v>
      </c>
      <c r="C32" s="194" t="s">
        <v>905</v>
      </c>
      <c r="D32" s="194" t="s">
        <v>906</v>
      </c>
      <c r="E32" s="194" t="s">
        <v>84</v>
      </c>
      <c r="F32" s="194" t="s">
        <v>213</v>
      </c>
      <c r="G32" s="194" t="s">
        <v>86</v>
      </c>
      <c r="H32" s="194" t="s">
        <v>485</v>
      </c>
      <c r="I32" s="194" t="s">
        <v>598</v>
      </c>
      <c r="J32" s="194" t="s">
        <v>598</v>
      </c>
      <c r="K32" s="194" t="s">
        <v>598</v>
      </c>
      <c r="L32" s="193">
        <v>0</v>
      </c>
      <c r="M32" s="193">
        <v>0</v>
      </c>
      <c r="N32" s="193">
        <v>0</v>
      </c>
    </row>
    <row r="33" spans="2:14">
      <c r="B33" s="161">
        <v>42902</v>
      </c>
      <c r="C33" s="194" t="s">
        <v>1059</v>
      </c>
      <c r="D33" s="194" t="s">
        <v>1060</v>
      </c>
      <c r="E33" s="194" t="s">
        <v>102</v>
      </c>
      <c r="F33" s="194" t="s">
        <v>233</v>
      </c>
      <c r="G33" s="194" t="s">
        <v>63</v>
      </c>
      <c r="H33" s="194" t="s">
        <v>485</v>
      </c>
      <c r="I33" s="194" t="s">
        <v>598</v>
      </c>
      <c r="J33" s="194" t="s">
        <v>598</v>
      </c>
      <c r="K33" s="194" t="s">
        <v>598</v>
      </c>
      <c r="L33" s="193">
        <v>0</v>
      </c>
      <c r="M33" s="193">
        <v>0</v>
      </c>
      <c r="N33" s="193">
        <v>0</v>
      </c>
    </row>
    <row r="34" spans="2:14">
      <c r="B34" s="161">
        <v>42902</v>
      </c>
      <c r="C34" s="194" t="s">
        <v>1063</v>
      </c>
      <c r="D34" s="194" t="s">
        <v>1064</v>
      </c>
      <c r="E34" s="194" t="s">
        <v>102</v>
      </c>
      <c r="F34" s="194" t="s">
        <v>233</v>
      </c>
      <c r="G34" s="194" t="s">
        <v>63</v>
      </c>
      <c r="H34" s="194" t="s">
        <v>485</v>
      </c>
      <c r="I34" s="194" t="s">
        <v>598</v>
      </c>
      <c r="J34" s="194" t="s">
        <v>598</v>
      </c>
      <c r="K34" s="194" t="s">
        <v>598</v>
      </c>
      <c r="L34" s="193">
        <v>0</v>
      </c>
      <c r="M34" s="193">
        <v>0</v>
      </c>
      <c r="N34" s="193">
        <v>0</v>
      </c>
    </row>
    <row r="35" spans="2:14">
      <c r="B35" s="161">
        <v>42901</v>
      </c>
      <c r="C35" s="194" t="s">
        <v>882</v>
      </c>
      <c r="D35" s="194" t="s">
        <v>883</v>
      </c>
      <c r="E35" s="194" t="s">
        <v>84</v>
      </c>
      <c r="F35" s="194" t="s">
        <v>208</v>
      </c>
      <c r="G35" s="194" t="s">
        <v>63</v>
      </c>
      <c r="H35" s="194" t="s">
        <v>485</v>
      </c>
      <c r="I35" s="194" t="s">
        <v>134</v>
      </c>
      <c r="J35" s="194" t="s">
        <v>598</v>
      </c>
      <c r="K35" s="194" t="s">
        <v>598</v>
      </c>
      <c r="L35" s="193">
        <v>0</v>
      </c>
      <c r="M35" s="193">
        <v>0</v>
      </c>
      <c r="N35" s="193">
        <v>0</v>
      </c>
    </row>
    <row r="36" spans="2:14">
      <c r="B36" s="161">
        <v>42901</v>
      </c>
      <c r="C36" s="194" t="s">
        <v>886</v>
      </c>
      <c r="D36" s="194" t="s">
        <v>881</v>
      </c>
      <c r="E36" s="194" t="s">
        <v>84</v>
      </c>
      <c r="F36" s="194" t="s">
        <v>208</v>
      </c>
      <c r="G36" s="194" t="s">
        <v>63</v>
      </c>
      <c r="H36" s="194" t="s">
        <v>485</v>
      </c>
      <c r="I36" s="194" t="s">
        <v>134</v>
      </c>
      <c r="J36" s="194" t="s">
        <v>598</v>
      </c>
      <c r="K36" s="194" t="s">
        <v>598</v>
      </c>
      <c r="L36" s="193">
        <v>0</v>
      </c>
      <c r="M36" s="193">
        <v>0</v>
      </c>
      <c r="N36" s="193">
        <v>0</v>
      </c>
    </row>
    <row r="37" spans="2:14">
      <c r="B37" s="161">
        <v>42901</v>
      </c>
      <c r="C37" s="194" t="s">
        <v>893</v>
      </c>
      <c r="D37" s="194" t="s">
        <v>894</v>
      </c>
      <c r="E37" s="194" t="s">
        <v>84</v>
      </c>
      <c r="F37" s="194" t="s">
        <v>895</v>
      </c>
      <c r="G37" s="194" t="s">
        <v>86</v>
      </c>
      <c r="H37" s="194" t="s">
        <v>485</v>
      </c>
      <c r="I37" s="194" t="s">
        <v>134</v>
      </c>
      <c r="J37" s="194" t="s">
        <v>598</v>
      </c>
      <c r="K37" s="194" t="s">
        <v>598</v>
      </c>
      <c r="L37" s="193">
        <v>0</v>
      </c>
      <c r="M37" s="193">
        <v>0</v>
      </c>
      <c r="N37" s="193">
        <v>0</v>
      </c>
    </row>
    <row r="38" spans="2:14">
      <c r="B38" s="161">
        <v>42901</v>
      </c>
      <c r="C38" s="194" t="s">
        <v>896</v>
      </c>
      <c r="D38" s="194" t="s">
        <v>897</v>
      </c>
      <c r="E38" s="194" t="s">
        <v>84</v>
      </c>
      <c r="F38" s="194" t="s">
        <v>895</v>
      </c>
      <c r="G38" s="194" t="s">
        <v>86</v>
      </c>
      <c r="H38" s="194" t="s">
        <v>485</v>
      </c>
      <c r="I38" s="194" t="s">
        <v>134</v>
      </c>
      <c r="J38" s="194" t="s">
        <v>598</v>
      </c>
      <c r="K38" s="194" t="s">
        <v>598</v>
      </c>
      <c r="L38" s="193">
        <v>0</v>
      </c>
      <c r="M38" s="193">
        <v>0</v>
      </c>
      <c r="N38" s="193">
        <v>0</v>
      </c>
    </row>
    <row r="39" spans="2:14">
      <c r="B39" s="161">
        <v>42899</v>
      </c>
      <c r="C39" s="194" t="s">
        <v>870</v>
      </c>
      <c r="D39" s="194" t="s">
        <v>871</v>
      </c>
      <c r="E39" s="194" t="s">
        <v>84</v>
      </c>
      <c r="F39" s="194" t="s">
        <v>598</v>
      </c>
      <c r="G39" s="194" t="s">
        <v>63</v>
      </c>
      <c r="H39" s="194" t="s">
        <v>485</v>
      </c>
      <c r="I39" s="194" t="s">
        <v>598</v>
      </c>
      <c r="J39" s="194" t="s">
        <v>598</v>
      </c>
      <c r="K39" s="194" t="s">
        <v>598</v>
      </c>
      <c r="L39" s="193">
        <v>0</v>
      </c>
      <c r="M39" s="193">
        <v>0</v>
      </c>
      <c r="N39" s="193">
        <v>0</v>
      </c>
    </row>
    <row r="40" spans="2:14">
      <c r="B40" s="161">
        <v>42898</v>
      </c>
      <c r="C40" s="194" t="s">
        <v>867</v>
      </c>
      <c r="D40" s="194" t="s">
        <v>824</v>
      </c>
      <c r="E40" s="194" t="s">
        <v>84</v>
      </c>
      <c r="F40" s="194" t="s">
        <v>200</v>
      </c>
      <c r="G40" s="194" t="s">
        <v>598</v>
      </c>
      <c r="H40" s="194" t="s">
        <v>485</v>
      </c>
      <c r="I40" s="194" t="s">
        <v>598</v>
      </c>
      <c r="J40" s="194" t="s">
        <v>598</v>
      </c>
      <c r="K40" s="194" t="s">
        <v>598</v>
      </c>
      <c r="L40" s="193">
        <v>0</v>
      </c>
      <c r="M40" s="193">
        <v>0</v>
      </c>
      <c r="N40" s="193">
        <v>0</v>
      </c>
    </row>
    <row r="41" spans="2:14">
      <c r="B41" s="161">
        <v>42896</v>
      </c>
      <c r="C41" s="194" t="s">
        <v>1037</v>
      </c>
      <c r="D41" s="194" t="s">
        <v>1038</v>
      </c>
      <c r="E41" s="194" t="s">
        <v>102</v>
      </c>
      <c r="F41" s="194" t="s">
        <v>236</v>
      </c>
      <c r="G41" s="194" t="s">
        <v>63</v>
      </c>
      <c r="H41" s="194" t="s">
        <v>485</v>
      </c>
      <c r="I41" s="194" t="s">
        <v>598</v>
      </c>
      <c r="J41" s="194" t="s">
        <v>598</v>
      </c>
      <c r="K41" s="194" t="s">
        <v>598</v>
      </c>
      <c r="L41" s="193">
        <v>0</v>
      </c>
      <c r="M41" s="193">
        <v>0</v>
      </c>
      <c r="N41" s="193">
        <v>0</v>
      </c>
    </row>
    <row r="42" spans="2:14">
      <c r="B42" s="161">
        <v>42894</v>
      </c>
      <c r="C42" s="194" t="s">
        <v>852</v>
      </c>
      <c r="D42" s="194" t="s">
        <v>853</v>
      </c>
      <c r="E42" s="194" t="s">
        <v>84</v>
      </c>
      <c r="F42" s="194" t="s">
        <v>201</v>
      </c>
      <c r="G42" s="194" t="s">
        <v>86</v>
      </c>
      <c r="H42" s="194" t="s">
        <v>485</v>
      </c>
      <c r="I42" s="194" t="s">
        <v>598</v>
      </c>
      <c r="J42" s="194" t="s">
        <v>598</v>
      </c>
      <c r="K42" s="194" t="s">
        <v>598</v>
      </c>
      <c r="L42" s="193">
        <v>0</v>
      </c>
      <c r="M42" s="193">
        <v>0</v>
      </c>
      <c r="N42" s="193">
        <v>0</v>
      </c>
    </row>
    <row r="43" spans="2:14">
      <c r="B43" s="161">
        <v>42894</v>
      </c>
      <c r="C43" s="194" t="s">
        <v>856</v>
      </c>
      <c r="D43" s="194" t="s">
        <v>857</v>
      </c>
      <c r="E43" s="194" t="s">
        <v>84</v>
      </c>
      <c r="F43" s="194" t="s">
        <v>203</v>
      </c>
      <c r="G43" s="194" t="s">
        <v>63</v>
      </c>
      <c r="H43" s="194" t="s">
        <v>485</v>
      </c>
      <c r="I43" s="194" t="s">
        <v>598</v>
      </c>
      <c r="J43" s="194" t="s">
        <v>598</v>
      </c>
      <c r="K43" s="194" t="s">
        <v>598</v>
      </c>
      <c r="L43" s="193">
        <v>0</v>
      </c>
      <c r="M43" s="193">
        <v>0</v>
      </c>
      <c r="N43" s="193">
        <v>0</v>
      </c>
    </row>
    <row r="44" spans="2:14">
      <c r="B44" s="161">
        <v>42894</v>
      </c>
      <c r="C44" s="194" t="s">
        <v>858</v>
      </c>
      <c r="D44" s="194" t="s">
        <v>859</v>
      </c>
      <c r="E44" s="194" t="s">
        <v>84</v>
      </c>
      <c r="F44" s="194" t="s">
        <v>598</v>
      </c>
      <c r="G44" s="194" t="s">
        <v>598</v>
      </c>
      <c r="H44" s="194" t="s">
        <v>485</v>
      </c>
      <c r="I44" s="194" t="s">
        <v>598</v>
      </c>
      <c r="J44" s="194" t="s">
        <v>598</v>
      </c>
      <c r="K44" s="194" t="s">
        <v>598</v>
      </c>
      <c r="L44" s="193">
        <v>0</v>
      </c>
      <c r="M44" s="193">
        <v>0</v>
      </c>
      <c r="N44" s="193">
        <v>0</v>
      </c>
    </row>
    <row r="45" spans="2:14">
      <c r="B45" s="161">
        <v>42891</v>
      </c>
      <c r="C45" s="194" t="s">
        <v>843</v>
      </c>
      <c r="D45" s="194" t="s">
        <v>598</v>
      </c>
      <c r="E45" s="194" t="s">
        <v>84</v>
      </c>
      <c r="F45" s="194" t="s">
        <v>197</v>
      </c>
      <c r="G45" s="194" t="s">
        <v>63</v>
      </c>
      <c r="H45" s="194" t="s">
        <v>485</v>
      </c>
      <c r="I45" s="194" t="s">
        <v>598</v>
      </c>
      <c r="J45" s="194" t="s">
        <v>598</v>
      </c>
      <c r="K45" s="194" t="s">
        <v>598</v>
      </c>
      <c r="L45" s="193">
        <v>0</v>
      </c>
      <c r="M45" s="193">
        <v>0</v>
      </c>
      <c r="N45" s="193">
        <v>0</v>
      </c>
    </row>
    <row r="46" spans="2:14">
      <c r="B46" s="161">
        <v>42889</v>
      </c>
      <c r="C46" s="194" t="s">
        <v>1014</v>
      </c>
      <c r="D46" s="194" t="s">
        <v>1015</v>
      </c>
      <c r="E46" s="194" t="s">
        <v>102</v>
      </c>
      <c r="F46" s="194" t="s">
        <v>233</v>
      </c>
      <c r="G46" s="194" t="s">
        <v>86</v>
      </c>
      <c r="H46" s="194" t="s">
        <v>485</v>
      </c>
      <c r="I46" s="194" t="s">
        <v>598</v>
      </c>
      <c r="J46" s="194" t="s">
        <v>598</v>
      </c>
      <c r="K46" s="194" t="s">
        <v>598</v>
      </c>
      <c r="L46" s="193">
        <v>0</v>
      </c>
      <c r="M46" s="193">
        <v>0</v>
      </c>
      <c r="N46" s="193">
        <v>0</v>
      </c>
    </row>
    <row r="47" spans="2:14">
      <c r="B47" s="161">
        <v>42887</v>
      </c>
      <c r="C47" s="194" t="s">
        <v>815</v>
      </c>
      <c r="D47" s="194" t="s">
        <v>816</v>
      </c>
      <c r="E47" s="194" t="s">
        <v>84</v>
      </c>
      <c r="F47" s="194" t="s">
        <v>190</v>
      </c>
      <c r="G47" s="194" t="s">
        <v>63</v>
      </c>
      <c r="H47" s="194" t="s">
        <v>485</v>
      </c>
      <c r="I47" s="194" t="s">
        <v>598</v>
      </c>
      <c r="J47" s="194" t="s">
        <v>598</v>
      </c>
      <c r="K47" s="194" t="s">
        <v>598</v>
      </c>
      <c r="L47" s="193">
        <v>0</v>
      </c>
      <c r="M47" s="193">
        <v>0</v>
      </c>
      <c r="N47" s="193">
        <v>0</v>
      </c>
    </row>
    <row r="48" spans="2:14">
      <c r="B48" s="161">
        <v>42887</v>
      </c>
      <c r="C48" s="194" t="s">
        <v>817</v>
      </c>
      <c r="D48" s="194" t="s">
        <v>818</v>
      </c>
      <c r="E48" s="194" t="s">
        <v>84</v>
      </c>
      <c r="F48" s="194" t="s">
        <v>191</v>
      </c>
      <c r="G48" s="194" t="s">
        <v>63</v>
      </c>
      <c r="H48" s="194" t="s">
        <v>485</v>
      </c>
      <c r="I48" s="194" t="s">
        <v>598</v>
      </c>
      <c r="J48" s="194" t="s">
        <v>598</v>
      </c>
      <c r="K48" s="194" t="s">
        <v>598</v>
      </c>
      <c r="L48" s="193">
        <v>0</v>
      </c>
      <c r="M48" s="193">
        <v>0</v>
      </c>
      <c r="N48" s="193">
        <v>0</v>
      </c>
    </row>
    <row r="49" spans="2:14">
      <c r="B49" s="161">
        <v>42887</v>
      </c>
      <c r="C49" s="194" t="s">
        <v>998</v>
      </c>
      <c r="D49" s="194" t="s">
        <v>999</v>
      </c>
      <c r="E49" s="194" t="s">
        <v>102</v>
      </c>
      <c r="F49" s="194" t="s">
        <v>232</v>
      </c>
      <c r="G49" s="194" t="s">
        <v>63</v>
      </c>
      <c r="H49" s="194" t="s">
        <v>485</v>
      </c>
      <c r="I49" s="194" t="s">
        <v>598</v>
      </c>
      <c r="J49" s="194" t="s">
        <v>598</v>
      </c>
      <c r="K49" s="194" t="s">
        <v>598</v>
      </c>
      <c r="L49" s="193">
        <v>0</v>
      </c>
      <c r="M49" s="193">
        <v>0</v>
      </c>
      <c r="N49" s="193">
        <v>0</v>
      </c>
    </row>
    <row r="50" spans="2:14">
      <c r="B50" s="161">
        <v>42885</v>
      </c>
      <c r="C50" s="194" t="s">
        <v>1279</v>
      </c>
      <c r="D50" s="194" t="s">
        <v>1280</v>
      </c>
      <c r="E50" s="194" t="s">
        <v>84</v>
      </c>
      <c r="F50" s="194" t="s">
        <v>189</v>
      </c>
      <c r="G50" s="194" t="s">
        <v>86</v>
      </c>
      <c r="H50" s="194" t="s">
        <v>485</v>
      </c>
      <c r="I50" s="194" t="s">
        <v>598</v>
      </c>
      <c r="J50" s="194" t="s">
        <v>598</v>
      </c>
      <c r="K50" s="194" t="s">
        <v>598</v>
      </c>
      <c r="L50" s="193">
        <v>0</v>
      </c>
      <c r="M50" s="193">
        <v>4046</v>
      </c>
      <c r="N50" s="193">
        <v>5000</v>
      </c>
    </row>
    <row r="51" spans="2:14">
      <c r="B51" s="161">
        <v>42885</v>
      </c>
      <c r="C51" s="194" t="s">
        <v>1343</v>
      </c>
      <c r="D51" s="194" t="s">
        <v>1344</v>
      </c>
      <c r="E51" s="194" t="s">
        <v>102</v>
      </c>
      <c r="F51" s="194" t="s">
        <v>245</v>
      </c>
      <c r="G51" s="194" t="s">
        <v>63</v>
      </c>
      <c r="H51" s="194" t="s">
        <v>485</v>
      </c>
      <c r="I51" s="194" t="s">
        <v>598</v>
      </c>
      <c r="J51" s="194" t="s">
        <v>598</v>
      </c>
      <c r="K51" s="194" t="s">
        <v>598</v>
      </c>
      <c r="L51" s="193">
        <v>0</v>
      </c>
      <c r="M51" s="193">
        <v>2832</v>
      </c>
      <c r="N51" s="193">
        <v>4000</v>
      </c>
    </row>
    <row r="52" spans="2:14">
      <c r="B52" s="161">
        <v>42885</v>
      </c>
      <c r="C52" s="194" t="s">
        <v>1376</v>
      </c>
      <c r="D52" s="194" t="s">
        <v>1377</v>
      </c>
      <c r="E52" s="194" t="s">
        <v>38</v>
      </c>
      <c r="F52" s="194" t="s">
        <v>354</v>
      </c>
      <c r="G52" s="194" t="s">
        <v>86</v>
      </c>
      <c r="H52" s="194" t="s">
        <v>485</v>
      </c>
      <c r="I52" s="194" t="s">
        <v>598</v>
      </c>
      <c r="J52" s="194" t="s">
        <v>598</v>
      </c>
      <c r="K52" s="194" t="s">
        <v>598</v>
      </c>
      <c r="L52" s="193">
        <v>0</v>
      </c>
      <c r="M52" s="193">
        <v>0</v>
      </c>
      <c r="N52" s="193">
        <v>0</v>
      </c>
    </row>
    <row r="53" spans="2:14">
      <c r="B53" s="161">
        <v>42879</v>
      </c>
      <c r="C53" s="194" t="s">
        <v>1252</v>
      </c>
      <c r="D53" s="194" t="s">
        <v>1253</v>
      </c>
      <c r="E53" s="194" t="s">
        <v>84</v>
      </c>
      <c r="F53" s="194" t="s">
        <v>358</v>
      </c>
      <c r="G53" s="194" t="s">
        <v>63</v>
      </c>
      <c r="H53" s="194" t="s">
        <v>485</v>
      </c>
      <c r="I53" s="194" t="s">
        <v>134</v>
      </c>
      <c r="J53" s="194" t="s">
        <v>598</v>
      </c>
      <c r="K53" s="194" t="s">
        <v>598</v>
      </c>
      <c r="L53" s="193">
        <v>5219000</v>
      </c>
      <c r="M53" s="193">
        <v>4041</v>
      </c>
      <c r="N53" s="193">
        <v>5000</v>
      </c>
    </row>
    <row r="54" spans="2:14">
      <c r="B54" s="161">
        <v>42879</v>
      </c>
      <c r="C54" s="194" t="s">
        <v>1254</v>
      </c>
      <c r="D54" s="194" t="s">
        <v>1255</v>
      </c>
      <c r="E54" s="194" t="s">
        <v>84</v>
      </c>
      <c r="F54" s="194" t="s">
        <v>358</v>
      </c>
      <c r="G54" s="194" t="s">
        <v>63</v>
      </c>
      <c r="H54" s="194" t="s">
        <v>485</v>
      </c>
      <c r="I54" s="194" t="s">
        <v>598</v>
      </c>
      <c r="J54" s="194" t="s">
        <v>598</v>
      </c>
      <c r="K54" s="194" t="s">
        <v>598</v>
      </c>
      <c r="L54" s="193">
        <v>1998000</v>
      </c>
      <c r="M54" s="193">
        <v>4038</v>
      </c>
      <c r="N54" s="193">
        <v>3000</v>
      </c>
    </row>
    <row r="55" spans="2:14">
      <c r="B55" s="161">
        <v>42879</v>
      </c>
      <c r="C55" s="194" t="s">
        <v>1365</v>
      </c>
      <c r="D55" s="194" t="s">
        <v>1366</v>
      </c>
      <c r="E55" s="194" t="s">
        <v>38</v>
      </c>
      <c r="F55" s="194" t="s">
        <v>354</v>
      </c>
      <c r="G55" s="194" t="s">
        <v>1367</v>
      </c>
      <c r="H55" s="194" t="s">
        <v>485</v>
      </c>
      <c r="I55" s="194" t="s">
        <v>598</v>
      </c>
      <c r="J55" s="194" t="s">
        <v>598</v>
      </c>
      <c r="K55" s="194" t="s">
        <v>598</v>
      </c>
      <c r="L55" s="193">
        <v>0</v>
      </c>
      <c r="M55" s="193">
        <v>0</v>
      </c>
      <c r="N55" s="193">
        <v>0</v>
      </c>
    </row>
    <row r="56" spans="2:14">
      <c r="B56" s="161">
        <v>42879</v>
      </c>
      <c r="C56" s="194" t="s">
        <v>1368</v>
      </c>
      <c r="D56" s="194" t="s">
        <v>1369</v>
      </c>
      <c r="E56" s="194" t="s">
        <v>38</v>
      </c>
      <c r="F56" s="194" t="s">
        <v>354</v>
      </c>
      <c r="G56" s="194" t="s">
        <v>1370</v>
      </c>
      <c r="H56" s="194" t="s">
        <v>485</v>
      </c>
      <c r="I56" s="194" t="s">
        <v>598</v>
      </c>
      <c r="J56" s="194" t="s">
        <v>598</v>
      </c>
      <c r="K56" s="194" t="s">
        <v>598</v>
      </c>
      <c r="L56" s="193">
        <v>0</v>
      </c>
      <c r="M56" s="193">
        <v>0</v>
      </c>
      <c r="N56" s="193">
        <v>0</v>
      </c>
    </row>
    <row r="57" spans="2:14">
      <c r="B57" s="161">
        <v>42879</v>
      </c>
      <c r="C57" s="194" t="s">
        <v>1371</v>
      </c>
      <c r="D57" s="194" t="s">
        <v>1372</v>
      </c>
      <c r="E57" s="194" t="s">
        <v>38</v>
      </c>
      <c r="F57" s="194" t="s">
        <v>354</v>
      </c>
      <c r="G57" s="194" t="s">
        <v>1367</v>
      </c>
      <c r="H57" s="194" t="s">
        <v>485</v>
      </c>
      <c r="I57" s="194" t="s">
        <v>598</v>
      </c>
      <c r="J57" s="194" t="s">
        <v>598</v>
      </c>
      <c r="K57" s="194" t="s">
        <v>598</v>
      </c>
      <c r="L57" s="193">
        <v>0</v>
      </c>
      <c r="M57" s="193">
        <v>0</v>
      </c>
      <c r="N57" s="193">
        <v>0</v>
      </c>
    </row>
    <row r="58" spans="2:14">
      <c r="B58" s="161">
        <v>42879</v>
      </c>
      <c r="C58" s="194" t="s">
        <v>1373</v>
      </c>
      <c r="D58" s="194" t="s">
        <v>1355</v>
      </c>
      <c r="E58" s="194" t="s">
        <v>38</v>
      </c>
      <c r="F58" s="194" t="s">
        <v>354</v>
      </c>
      <c r="G58" s="194" t="s">
        <v>86</v>
      </c>
      <c r="H58" s="194" t="s">
        <v>485</v>
      </c>
      <c r="I58" s="194" t="s">
        <v>598</v>
      </c>
      <c r="J58" s="194" t="s">
        <v>598</v>
      </c>
      <c r="K58" s="194" t="s">
        <v>598</v>
      </c>
      <c r="L58" s="193">
        <v>0</v>
      </c>
      <c r="M58" s="193">
        <v>0</v>
      </c>
      <c r="N58" s="193">
        <v>0</v>
      </c>
    </row>
    <row r="59" spans="2:14">
      <c r="B59" s="161">
        <v>42879</v>
      </c>
      <c r="C59" s="194" t="s">
        <v>1374</v>
      </c>
      <c r="D59" s="194" t="s">
        <v>1357</v>
      </c>
      <c r="E59" s="194" t="s">
        <v>38</v>
      </c>
      <c r="F59" s="194" t="s">
        <v>354</v>
      </c>
      <c r="G59" s="194" t="s">
        <v>598</v>
      </c>
      <c r="H59" s="194" t="s">
        <v>485</v>
      </c>
      <c r="I59" s="194" t="s">
        <v>598</v>
      </c>
      <c r="J59" s="194" t="s">
        <v>598</v>
      </c>
      <c r="K59" s="194" t="s">
        <v>598</v>
      </c>
      <c r="L59" s="193">
        <v>0</v>
      </c>
      <c r="M59" s="193">
        <v>0</v>
      </c>
      <c r="N59" s="193">
        <v>0</v>
      </c>
    </row>
    <row r="60" spans="2:14">
      <c r="B60" s="161">
        <v>42879</v>
      </c>
      <c r="C60" s="194" t="s">
        <v>1375</v>
      </c>
      <c r="D60" s="194" t="s">
        <v>1357</v>
      </c>
      <c r="E60" s="194" t="s">
        <v>38</v>
      </c>
      <c r="F60" s="194" t="s">
        <v>598</v>
      </c>
      <c r="G60" s="194" t="s">
        <v>598</v>
      </c>
      <c r="H60" s="194" t="s">
        <v>485</v>
      </c>
      <c r="I60" s="194" t="s">
        <v>598</v>
      </c>
      <c r="J60" s="194" t="s">
        <v>598</v>
      </c>
      <c r="K60" s="194" t="s">
        <v>598</v>
      </c>
      <c r="L60" s="193">
        <v>0</v>
      </c>
      <c r="M60" s="193">
        <v>0</v>
      </c>
      <c r="N60" s="193">
        <v>0</v>
      </c>
    </row>
    <row r="61" spans="2:14">
      <c r="B61" s="161">
        <v>42878</v>
      </c>
      <c r="C61" s="194" t="s">
        <v>1249</v>
      </c>
      <c r="D61" s="194" t="s">
        <v>1250</v>
      </c>
      <c r="E61" s="194" t="s">
        <v>84</v>
      </c>
      <c r="F61" s="194" t="s">
        <v>357</v>
      </c>
      <c r="G61" s="194" t="s">
        <v>598</v>
      </c>
      <c r="H61" s="194" t="s">
        <v>485</v>
      </c>
      <c r="I61" s="194" t="s">
        <v>598</v>
      </c>
      <c r="J61" s="194" t="s">
        <v>598</v>
      </c>
      <c r="K61" s="194" t="s">
        <v>598</v>
      </c>
      <c r="L61" s="193">
        <v>6795000</v>
      </c>
      <c r="M61" s="193">
        <v>0</v>
      </c>
      <c r="N61" s="193">
        <v>0</v>
      </c>
    </row>
    <row r="62" spans="2:14">
      <c r="B62" s="161">
        <v>42878</v>
      </c>
      <c r="C62" s="194" t="s">
        <v>1325</v>
      </c>
      <c r="D62" s="194" t="s">
        <v>1326</v>
      </c>
      <c r="E62" s="194" t="s">
        <v>102</v>
      </c>
      <c r="F62" s="194" t="s">
        <v>233</v>
      </c>
      <c r="G62" s="194" t="s">
        <v>63</v>
      </c>
      <c r="H62" s="194" t="s">
        <v>485</v>
      </c>
      <c r="I62" s="194" t="s">
        <v>598</v>
      </c>
      <c r="J62" s="194" t="s">
        <v>598</v>
      </c>
      <c r="K62" s="194" t="s">
        <v>598</v>
      </c>
      <c r="L62" s="193">
        <v>5904000</v>
      </c>
      <c r="M62" s="193">
        <v>2824</v>
      </c>
      <c r="N62" s="193">
        <v>4000</v>
      </c>
    </row>
    <row r="63" spans="2:14">
      <c r="B63" s="161">
        <v>42878</v>
      </c>
      <c r="C63" s="194" t="s">
        <v>1329</v>
      </c>
      <c r="D63" s="194" t="s">
        <v>1330</v>
      </c>
      <c r="E63" s="194" t="s">
        <v>102</v>
      </c>
      <c r="F63" s="194" t="s">
        <v>245</v>
      </c>
      <c r="G63" s="194" t="s">
        <v>598</v>
      </c>
      <c r="H63" s="194" t="s">
        <v>485</v>
      </c>
      <c r="I63" s="194" t="s">
        <v>598</v>
      </c>
      <c r="J63" s="194" t="s">
        <v>598</v>
      </c>
      <c r="K63" s="194" t="s">
        <v>598</v>
      </c>
      <c r="L63" s="193">
        <v>4670000</v>
      </c>
      <c r="M63" s="193">
        <v>2825</v>
      </c>
      <c r="N63" s="193">
        <v>4500</v>
      </c>
    </row>
    <row r="64" spans="2:14">
      <c r="B64" s="161">
        <v>42878</v>
      </c>
      <c r="C64" s="194" t="s">
        <v>3644</v>
      </c>
      <c r="D64" s="194" t="s">
        <v>1326</v>
      </c>
      <c r="E64" s="194" t="s">
        <v>102</v>
      </c>
      <c r="F64" s="194" t="s">
        <v>233</v>
      </c>
      <c r="G64" s="194" t="s">
        <v>63</v>
      </c>
      <c r="H64" s="194" t="s">
        <v>485</v>
      </c>
      <c r="I64" s="194" t="s">
        <v>598</v>
      </c>
      <c r="J64" s="194" t="s">
        <v>598</v>
      </c>
      <c r="K64" s="194" t="s">
        <v>598</v>
      </c>
      <c r="L64" s="193">
        <v>5904000</v>
      </c>
      <c r="M64" s="193">
        <v>2824</v>
      </c>
      <c r="N64" s="193">
        <v>4000</v>
      </c>
    </row>
    <row r="65" spans="2:14">
      <c r="B65" s="161">
        <v>42877</v>
      </c>
      <c r="C65" s="194" t="s">
        <v>1247</v>
      </c>
      <c r="D65" s="194" t="s">
        <v>1248</v>
      </c>
      <c r="E65" s="194" t="s">
        <v>84</v>
      </c>
      <c r="F65" s="194" t="s">
        <v>221</v>
      </c>
      <c r="G65" s="194" t="s">
        <v>598</v>
      </c>
      <c r="H65" s="194" t="s">
        <v>485</v>
      </c>
      <c r="I65" s="194" t="s">
        <v>598</v>
      </c>
      <c r="J65" s="194" t="s">
        <v>598</v>
      </c>
      <c r="K65" s="194" t="s">
        <v>598</v>
      </c>
      <c r="L65" s="193">
        <v>7214000</v>
      </c>
      <c r="M65" s="193">
        <v>4039</v>
      </c>
      <c r="N65" s="193">
        <v>6000</v>
      </c>
    </row>
    <row r="66" spans="2:14">
      <c r="B66" s="161">
        <v>42875</v>
      </c>
      <c r="C66" s="194" t="s">
        <v>1319</v>
      </c>
      <c r="D66" s="194" t="s">
        <v>1320</v>
      </c>
      <c r="E66" s="194" t="s">
        <v>102</v>
      </c>
      <c r="F66" s="194" t="s">
        <v>233</v>
      </c>
      <c r="G66" s="194" t="s">
        <v>63</v>
      </c>
      <c r="H66" s="194" t="s">
        <v>485</v>
      </c>
      <c r="I66" s="194" t="s">
        <v>132</v>
      </c>
      <c r="J66" s="194" t="s">
        <v>598</v>
      </c>
      <c r="K66" s="194" t="s">
        <v>598</v>
      </c>
      <c r="L66" s="193">
        <v>6880000</v>
      </c>
      <c r="M66" s="193">
        <v>2822</v>
      </c>
      <c r="N66" s="193">
        <v>4000</v>
      </c>
    </row>
    <row r="67" spans="2:14">
      <c r="B67" s="161">
        <v>42875</v>
      </c>
      <c r="C67" s="194" t="s">
        <v>1321</v>
      </c>
      <c r="D67" s="194" t="s">
        <v>1322</v>
      </c>
      <c r="E67" s="194" t="s">
        <v>102</v>
      </c>
      <c r="F67" s="194" t="s">
        <v>233</v>
      </c>
      <c r="G67" s="194" t="s">
        <v>86</v>
      </c>
      <c r="H67" s="194" t="s">
        <v>485</v>
      </c>
      <c r="I67" s="194" t="s">
        <v>598</v>
      </c>
      <c r="J67" s="194" t="s">
        <v>598</v>
      </c>
      <c r="K67" s="194" t="s">
        <v>598</v>
      </c>
      <c r="L67" s="193">
        <v>0</v>
      </c>
      <c r="M67" s="193">
        <v>2836</v>
      </c>
      <c r="N67" s="193">
        <v>5000</v>
      </c>
    </row>
    <row r="68" spans="2:14">
      <c r="B68" s="161">
        <v>42872</v>
      </c>
      <c r="C68" s="194" t="s">
        <v>1306</v>
      </c>
      <c r="D68" s="194" t="s">
        <v>1307</v>
      </c>
      <c r="E68" s="194" t="s">
        <v>102</v>
      </c>
      <c r="F68" s="194" t="s">
        <v>244</v>
      </c>
      <c r="G68" s="194" t="s">
        <v>86</v>
      </c>
      <c r="H68" s="194" t="s">
        <v>485</v>
      </c>
      <c r="I68" s="194" t="s">
        <v>598</v>
      </c>
      <c r="J68" s="194" t="s">
        <v>598</v>
      </c>
      <c r="K68" s="194" t="s">
        <v>598</v>
      </c>
      <c r="L68" s="193">
        <v>34965000</v>
      </c>
      <c r="M68" s="193">
        <v>2817</v>
      </c>
      <c r="N68" s="193">
        <v>10000</v>
      </c>
    </row>
    <row r="69" spans="2:14">
      <c r="B69" s="161">
        <v>42868</v>
      </c>
      <c r="C69" s="194" t="s">
        <v>1299</v>
      </c>
      <c r="D69" s="194" t="s">
        <v>72</v>
      </c>
      <c r="E69" s="194" t="s">
        <v>102</v>
      </c>
      <c r="F69" s="194" t="s">
        <v>169</v>
      </c>
      <c r="G69" s="194" t="s">
        <v>598</v>
      </c>
      <c r="H69" s="194" t="s">
        <v>485</v>
      </c>
      <c r="I69" s="194" t="s">
        <v>598</v>
      </c>
      <c r="J69" s="194" t="s">
        <v>598</v>
      </c>
      <c r="K69" s="194" t="s">
        <v>598</v>
      </c>
      <c r="L69" s="193">
        <v>4480000</v>
      </c>
      <c r="M69" s="193">
        <v>2026</v>
      </c>
      <c r="N69" s="193">
        <v>4000</v>
      </c>
    </row>
    <row r="70" spans="2:14">
      <c r="B70" s="161">
        <v>42867</v>
      </c>
      <c r="C70" s="194" t="s">
        <v>1233</v>
      </c>
      <c r="D70" s="194" t="s">
        <v>1234</v>
      </c>
      <c r="E70" s="194" t="s">
        <v>84</v>
      </c>
      <c r="F70" s="194" t="s">
        <v>229</v>
      </c>
      <c r="G70" s="194" t="s">
        <v>598</v>
      </c>
      <c r="H70" s="194" t="s">
        <v>485</v>
      </c>
      <c r="I70" s="194" t="s">
        <v>598</v>
      </c>
      <c r="J70" s="194" t="s">
        <v>598</v>
      </c>
      <c r="K70" s="194" t="s">
        <v>598</v>
      </c>
      <c r="L70" s="193">
        <v>6305000</v>
      </c>
      <c r="M70" s="193">
        <v>4030</v>
      </c>
      <c r="N70" s="193">
        <v>4000</v>
      </c>
    </row>
    <row r="71" spans="2:14">
      <c r="B71" s="161">
        <v>42866</v>
      </c>
      <c r="C71" s="194" t="s">
        <v>1225</v>
      </c>
      <c r="D71" s="194" t="s">
        <v>1226</v>
      </c>
      <c r="E71" s="194" t="s">
        <v>84</v>
      </c>
      <c r="F71" s="194" t="s">
        <v>221</v>
      </c>
      <c r="G71" s="194" t="s">
        <v>63</v>
      </c>
      <c r="H71" s="194" t="s">
        <v>485</v>
      </c>
      <c r="I71" s="194" t="s">
        <v>134</v>
      </c>
      <c r="J71" s="194" t="s">
        <v>598</v>
      </c>
      <c r="K71" s="194" t="s">
        <v>598</v>
      </c>
      <c r="L71" s="193">
        <v>7176000</v>
      </c>
      <c r="M71" s="193">
        <v>4021</v>
      </c>
      <c r="N71" s="193">
        <v>6000</v>
      </c>
    </row>
    <row r="72" spans="2:14">
      <c r="B72" s="161">
        <v>42866</v>
      </c>
      <c r="C72" s="194" t="s">
        <v>1229</v>
      </c>
      <c r="D72" s="194" t="s">
        <v>1230</v>
      </c>
      <c r="E72" s="194" t="s">
        <v>84</v>
      </c>
      <c r="F72" s="194" t="s">
        <v>229</v>
      </c>
      <c r="G72" s="194" t="s">
        <v>86</v>
      </c>
      <c r="H72" s="194" t="s">
        <v>485</v>
      </c>
      <c r="I72" s="194" t="s">
        <v>598</v>
      </c>
      <c r="J72" s="194" t="s">
        <v>598</v>
      </c>
      <c r="K72" s="194" t="s">
        <v>598</v>
      </c>
      <c r="L72" s="193">
        <v>1368000</v>
      </c>
      <c r="M72" s="193">
        <v>0</v>
      </c>
      <c r="N72" s="193">
        <v>0</v>
      </c>
    </row>
    <row r="73" spans="2:14">
      <c r="B73" s="161">
        <v>42866</v>
      </c>
      <c r="C73" s="194" t="s">
        <v>1231</v>
      </c>
      <c r="D73" s="194" t="s">
        <v>1232</v>
      </c>
      <c r="E73" s="194" t="s">
        <v>84</v>
      </c>
      <c r="F73" s="194" t="s">
        <v>229</v>
      </c>
      <c r="G73" s="194" t="s">
        <v>598</v>
      </c>
      <c r="H73" s="194" t="s">
        <v>485</v>
      </c>
      <c r="I73" s="194" t="s">
        <v>598</v>
      </c>
      <c r="J73" s="194" t="s">
        <v>598</v>
      </c>
      <c r="K73" s="194" t="s">
        <v>598</v>
      </c>
      <c r="L73" s="193">
        <v>1311000</v>
      </c>
      <c r="M73" s="193">
        <v>4031</v>
      </c>
      <c r="N73" s="193">
        <v>3000</v>
      </c>
    </row>
    <row r="74" spans="2:14">
      <c r="B74" s="161">
        <v>42865</v>
      </c>
      <c r="C74" s="194" t="s">
        <v>1359</v>
      </c>
      <c r="D74" s="194" t="s">
        <v>1360</v>
      </c>
      <c r="E74" s="194" t="s">
        <v>38</v>
      </c>
      <c r="F74" s="194" t="s">
        <v>354</v>
      </c>
      <c r="G74" s="194" t="s">
        <v>1353</v>
      </c>
      <c r="H74" s="194" t="s">
        <v>485</v>
      </c>
      <c r="I74" s="194" t="s">
        <v>598</v>
      </c>
      <c r="J74" s="194" t="s">
        <v>598</v>
      </c>
      <c r="K74" s="194" t="s">
        <v>598</v>
      </c>
      <c r="L74" s="193">
        <v>0</v>
      </c>
      <c r="M74" s="193">
        <v>0</v>
      </c>
      <c r="N74" s="193">
        <v>0</v>
      </c>
    </row>
    <row r="75" spans="2:14">
      <c r="B75" s="161">
        <v>42865</v>
      </c>
      <c r="C75" s="194" t="s">
        <v>1361</v>
      </c>
      <c r="D75" s="194" t="s">
        <v>1362</v>
      </c>
      <c r="E75" s="194" t="s">
        <v>38</v>
      </c>
      <c r="F75" s="194" t="s">
        <v>354</v>
      </c>
      <c r="G75" s="194" t="s">
        <v>85</v>
      </c>
      <c r="H75" s="194" t="s">
        <v>485</v>
      </c>
      <c r="I75" s="194" t="s">
        <v>598</v>
      </c>
      <c r="J75" s="194" t="s">
        <v>598</v>
      </c>
      <c r="K75" s="194" t="s">
        <v>598</v>
      </c>
      <c r="L75" s="193">
        <v>0</v>
      </c>
      <c r="M75" s="193">
        <v>0</v>
      </c>
      <c r="N75" s="193">
        <v>0</v>
      </c>
    </row>
    <row r="76" spans="2:14">
      <c r="B76" s="161">
        <v>42865</v>
      </c>
      <c r="C76" s="194" t="s">
        <v>1363</v>
      </c>
      <c r="D76" s="194" t="s">
        <v>1364</v>
      </c>
      <c r="E76" s="194" t="s">
        <v>38</v>
      </c>
      <c r="F76" s="194" t="s">
        <v>354</v>
      </c>
      <c r="G76" s="194" t="s">
        <v>85</v>
      </c>
      <c r="H76" s="194" t="s">
        <v>485</v>
      </c>
      <c r="I76" s="194" t="s">
        <v>598</v>
      </c>
      <c r="J76" s="194" t="s">
        <v>598</v>
      </c>
      <c r="K76" s="194" t="s">
        <v>598</v>
      </c>
      <c r="L76" s="193">
        <v>0</v>
      </c>
      <c r="M76" s="193">
        <v>0</v>
      </c>
      <c r="N76" s="193">
        <v>0</v>
      </c>
    </row>
    <row r="77" spans="2:14">
      <c r="B77" s="161">
        <v>42864</v>
      </c>
      <c r="C77" s="194" t="s">
        <v>1297</v>
      </c>
      <c r="D77" s="194" t="s">
        <v>1298</v>
      </c>
      <c r="E77" s="194" t="s">
        <v>102</v>
      </c>
      <c r="F77" s="194" t="s">
        <v>232</v>
      </c>
      <c r="G77" s="194" t="s">
        <v>86</v>
      </c>
      <c r="H77" s="194" t="s">
        <v>485</v>
      </c>
      <c r="I77" s="194" t="s">
        <v>598</v>
      </c>
      <c r="J77" s="194" t="s">
        <v>598</v>
      </c>
      <c r="K77" s="194" t="s">
        <v>598</v>
      </c>
      <c r="L77" s="193">
        <v>5610000</v>
      </c>
      <c r="M77" s="193">
        <v>2808</v>
      </c>
      <c r="N77" s="193">
        <v>1000</v>
      </c>
    </row>
    <row r="78" spans="2:14">
      <c r="B78" s="161">
        <v>42863</v>
      </c>
      <c r="C78" s="194" t="s">
        <v>1291</v>
      </c>
      <c r="D78" s="194" t="s">
        <v>1292</v>
      </c>
      <c r="E78" s="194" t="s">
        <v>102</v>
      </c>
      <c r="F78" s="194" t="s">
        <v>359</v>
      </c>
      <c r="G78" s="194" t="s">
        <v>86</v>
      </c>
      <c r="H78" s="194" t="s">
        <v>485</v>
      </c>
      <c r="I78" s="194" t="s">
        <v>598</v>
      </c>
      <c r="J78" s="194" t="s">
        <v>598</v>
      </c>
      <c r="K78" s="194" t="s">
        <v>598</v>
      </c>
      <c r="L78" s="193">
        <v>3600000</v>
      </c>
      <c r="M78" s="193">
        <v>4024</v>
      </c>
      <c r="N78" s="193">
        <v>3000</v>
      </c>
    </row>
    <row r="79" spans="2:14">
      <c r="B79" s="161">
        <v>42863</v>
      </c>
      <c r="C79" s="194" t="s">
        <v>1348</v>
      </c>
      <c r="D79" s="194" t="s">
        <v>1349</v>
      </c>
      <c r="E79" s="194" t="s">
        <v>38</v>
      </c>
      <c r="F79" s="194" t="s">
        <v>598</v>
      </c>
      <c r="G79" s="194" t="s">
        <v>1350</v>
      </c>
      <c r="H79" s="194" t="s">
        <v>485</v>
      </c>
      <c r="I79" s="194" t="s">
        <v>598</v>
      </c>
      <c r="J79" s="194" t="s">
        <v>598</v>
      </c>
      <c r="K79" s="194" t="s">
        <v>598</v>
      </c>
      <c r="L79" s="193">
        <v>0</v>
      </c>
      <c r="M79" s="193">
        <v>0</v>
      </c>
      <c r="N79" s="193">
        <v>0</v>
      </c>
    </row>
    <row r="80" spans="2:14">
      <c r="B80" s="161">
        <v>42863</v>
      </c>
      <c r="C80" s="194" t="s">
        <v>1351</v>
      </c>
      <c r="D80" s="194" t="s">
        <v>1352</v>
      </c>
      <c r="E80" s="194" t="s">
        <v>38</v>
      </c>
      <c r="F80" s="194" t="s">
        <v>354</v>
      </c>
      <c r="G80" s="194" t="s">
        <v>1353</v>
      </c>
      <c r="H80" s="194" t="s">
        <v>485</v>
      </c>
      <c r="I80" s="194" t="s">
        <v>598</v>
      </c>
      <c r="J80" s="194" t="s">
        <v>598</v>
      </c>
      <c r="K80" s="194" t="s">
        <v>598</v>
      </c>
      <c r="L80" s="193">
        <v>0</v>
      </c>
      <c r="M80" s="193">
        <v>0</v>
      </c>
      <c r="N80" s="193">
        <v>0</v>
      </c>
    </row>
    <row r="81" spans="2:14">
      <c r="B81" s="161">
        <v>42863</v>
      </c>
      <c r="C81" s="194" t="s">
        <v>1354</v>
      </c>
      <c r="D81" s="194" t="s">
        <v>1355</v>
      </c>
      <c r="E81" s="194" t="s">
        <v>38</v>
      </c>
      <c r="F81" s="194" t="s">
        <v>354</v>
      </c>
      <c r="G81" s="194" t="s">
        <v>86</v>
      </c>
      <c r="H81" s="194" t="s">
        <v>485</v>
      </c>
      <c r="I81" s="194" t="s">
        <v>598</v>
      </c>
      <c r="J81" s="194" t="s">
        <v>598</v>
      </c>
      <c r="K81" s="194" t="s">
        <v>598</v>
      </c>
      <c r="L81" s="193">
        <v>0</v>
      </c>
      <c r="M81" s="193">
        <v>0</v>
      </c>
      <c r="N81" s="193">
        <v>0</v>
      </c>
    </row>
    <row r="82" spans="2:14">
      <c r="B82" s="161">
        <v>42863</v>
      </c>
      <c r="C82" s="194" t="s">
        <v>1356</v>
      </c>
      <c r="D82" s="194" t="s">
        <v>1357</v>
      </c>
      <c r="E82" s="194" t="s">
        <v>38</v>
      </c>
      <c r="F82" s="194" t="s">
        <v>354</v>
      </c>
      <c r="G82" s="194" t="s">
        <v>86</v>
      </c>
      <c r="H82" s="194" t="s">
        <v>485</v>
      </c>
      <c r="I82" s="194" t="s">
        <v>598</v>
      </c>
      <c r="J82" s="194" t="s">
        <v>598</v>
      </c>
      <c r="K82" s="194" t="s">
        <v>598</v>
      </c>
      <c r="L82" s="193">
        <v>0</v>
      </c>
      <c r="M82" s="193">
        <v>0</v>
      </c>
      <c r="N82" s="193">
        <v>0</v>
      </c>
    </row>
    <row r="83" spans="2:14">
      <c r="B83" s="161">
        <v>42863</v>
      </c>
      <c r="C83" s="194" t="s">
        <v>1358</v>
      </c>
      <c r="D83" s="194" t="s">
        <v>1357</v>
      </c>
      <c r="E83" s="194" t="s">
        <v>38</v>
      </c>
      <c r="F83" s="194" t="s">
        <v>354</v>
      </c>
      <c r="G83" s="194" t="s">
        <v>86</v>
      </c>
      <c r="H83" s="194" t="s">
        <v>485</v>
      </c>
      <c r="I83" s="194" t="s">
        <v>598</v>
      </c>
      <c r="J83" s="194" t="s">
        <v>598</v>
      </c>
      <c r="K83" s="194" t="s">
        <v>598</v>
      </c>
      <c r="L83" s="193">
        <v>0</v>
      </c>
      <c r="M83" s="193">
        <v>0</v>
      </c>
      <c r="N83" s="193">
        <v>0</v>
      </c>
    </row>
    <row r="84" spans="2:14">
      <c r="B84" s="161">
        <v>42861</v>
      </c>
      <c r="C84" s="194" t="s">
        <v>1346</v>
      </c>
      <c r="D84" s="194" t="s">
        <v>1347</v>
      </c>
      <c r="E84" s="194" t="s">
        <v>38</v>
      </c>
      <c r="F84" s="194" t="s">
        <v>361</v>
      </c>
      <c r="G84" s="194" t="s">
        <v>86</v>
      </c>
      <c r="H84" s="194" t="s">
        <v>485</v>
      </c>
      <c r="I84" s="194" t="s">
        <v>598</v>
      </c>
      <c r="J84" s="194" t="s">
        <v>598</v>
      </c>
      <c r="K84" s="194" t="s">
        <v>598</v>
      </c>
      <c r="L84" s="193">
        <v>0</v>
      </c>
      <c r="M84" s="193">
        <v>0</v>
      </c>
      <c r="N84" s="193">
        <v>0</v>
      </c>
    </row>
    <row r="85" spans="2:14">
      <c r="B85" s="161">
        <v>42860</v>
      </c>
      <c r="C85" s="194" t="s">
        <v>1217</v>
      </c>
      <c r="D85" s="194" t="s">
        <v>1218</v>
      </c>
      <c r="E85" s="194" t="s">
        <v>84</v>
      </c>
      <c r="F85" s="194" t="s">
        <v>356</v>
      </c>
      <c r="G85" s="194" t="s">
        <v>63</v>
      </c>
      <c r="H85" s="194" t="s">
        <v>485</v>
      </c>
      <c r="I85" s="194" t="s">
        <v>132</v>
      </c>
      <c r="J85" s="194" t="s">
        <v>598</v>
      </c>
      <c r="K85" s="194" t="s">
        <v>598</v>
      </c>
      <c r="L85" s="193">
        <v>2170000</v>
      </c>
      <c r="M85" s="193">
        <v>0</v>
      </c>
      <c r="N85" s="193">
        <v>2000</v>
      </c>
    </row>
    <row r="86" spans="2:14">
      <c r="B86" s="161">
        <v>42857</v>
      </c>
      <c r="C86" s="194" t="s">
        <v>1287</v>
      </c>
      <c r="D86" s="194" t="s">
        <v>1288</v>
      </c>
      <c r="E86" s="194" t="s">
        <v>102</v>
      </c>
      <c r="F86" s="194" t="s">
        <v>598</v>
      </c>
      <c r="G86" s="194" t="s">
        <v>86</v>
      </c>
      <c r="H86" s="194" t="s">
        <v>485</v>
      </c>
      <c r="I86" s="194" t="s">
        <v>134</v>
      </c>
      <c r="J86" s="194" t="s">
        <v>598</v>
      </c>
      <c r="K86" s="194" t="s">
        <v>598</v>
      </c>
      <c r="L86" s="193">
        <v>9828000</v>
      </c>
      <c r="M86" s="193">
        <v>2806</v>
      </c>
      <c r="N86" s="193">
        <v>7500</v>
      </c>
    </row>
    <row r="87" spans="2:14">
      <c r="B87" s="161">
        <v>42849</v>
      </c>
      <c r="C87" s="194" t="s">
        <v>1156</v>
      </c>
      <c r="D87" s="194" t="s">
        <v>1157</v>
      </c>
      <c r="E87" s="194" t="s">
        <v>84</v>
      </c>
      <c r="F87" s="194" t="s">
        <v>349</v>
      </c>
      <c r="G87" s="194" t="s">
        <v>63</v>
      </c>
      <c r="H87" s="194" t="s">
        <v>485</v>
      </c>
      <c r="I87" s="194" t="s">
        <v>598</v>
      </c>
      <c r="J87" s="194" t="s">
        <v>598</v>
      </c>
      <c r="K87" s="194" t="s">
        <v>598</v>
      </c>
      <c r="L87" s="193">
        <v>0</v>
      </c>
      <c r="M87" s="193">
        <v>3899</v>
      </c>
      <c r="N87" s="193">
        <v>5000</v>
      </c>
    </row>
    <row r="88" spans="2:14">
      <c r="B88" s="161">
        <v>42849</v>
      </c>
      <c r="C88" s="194" t="s">
        <v>1181</v>
      </c>
      <c r="D88" s="194" t="s">
        <v>1182</v>
      </c>
      <c r="E88" s="194" t="s">
        <v>102</v>
      </c>
      <c r="F88" s="194" t="s">
        <v>351</v>
      </c>
      <c r="G88" s="194" t="s">
        <v>86</v>
      </c>
      <c r="H88" s="194" t="s">
        <v>485</v>
      </c>
      <c r="I88" s="194" t="s">
        <v>598</v>
      </c>
      <c r="J88" s="194" t="s">
        <v>598</v>
      </c>
      <c r="K88" s="194" t="s">
        <v>598</v>
      </c>
      <c r="L88" s="193">
        <v>0</v>
      </c>
      <c r="M88" s="193">
        <v>4002</v>
      </c>
      <c r="N88" s="193">
        <v>4000</v>
      </c>
    </row>
    <row r="89" spans="2:14">
      <c r="B89" s="161">
        <v>42847</v>
      </c>
      <c r="C89" s="194" t="s">
        <v>1150</v>
      </c>
      <c r="D89" s="194" t="s">
        <v>1151</v>
      </c>
      <c r="E89" s="194" t="s">
        <v>84</v>
      </c>
      <c r="F89" s="194" t="s">
        <v>348</v>
      </c>
      <c r="G89" s="194" t="s">
        <v>86</v>
      </c>
      <c r="H89" s="194" t="s">
        <v>485</v>
      </c>
      <c r="I89" s="194" t="s">
        <v>598</v>
      </c>
      <c r="J89" s="194" t="s">
        <v>598</v>
      </c>
      <c r="K89" s="194" t="s">
        <v>598</v>
      </c>
      <c r="L89" s="193">
        <v>0</v>
      </c>
      <c r="M89" s="193">
        <v>0</v>
      </c>
      <c r="N89" s="193">
        <v>0</v>
      </c>
    </row>
    <row r="90" spans="2:14">
      <c r="B90" s="161">
        <v>42847</v>
      </c>
      <c r="C90" s="194" t="s">
        <v>1179</v>
      </c>
      <c r="D90" s="194" t="s">
        <v>1180</v>
      </c>
      <c r="E90" s="194" t="s">
        <v>102</v>
      </c>
      <c r="F90" s="194" t="s">
        <v>233</v>
      </c>
      <c r="G90" s="194" t="s">
        <v>86</v>
      </c>
      <c r="H90" s="194" t="s">
        <v>485</v>
      </c>
      <c r="I90" s="194" t="s">
        <v>598</v>
      </c>
      <c r="J90" s="194" t="s">
        <v>598</v>
      </c>
      <c r="K90" s="194" t="s">
        <v>598</v>
      </c>
      <c r="L90" s="193">
        <v>0</v>
      </c>
      <c r="M90" s="193">
        <v>0</v>
      </c>
      <c r="N90" s="193">
        <v>0</v>
      </c>
    </row>
    <row r="91" spans="2:14">
      <c r="B91" s="161">
        <v>42843</v>
      </c>
      <c r="C91" s="194" t="s">
        <v>1146</v>
      </c>
      <c r="D91" s="194" t="s">
        <v>1147</v>
      </c>
      <c r="E91" s="194" t="s">
        <v>84</v>
      </c>
      <c r="F91" s="194" t="s">
        <v>195</v>
      </c>
      <c r="G91" s="194" t="s">
        <v>86</v>
      </c>
      <c r="H91" s="194" t="s">
        <v>485</v>
      </c>
      <c r="I91" s="194" t="s">
        <v>134</v>
      </c>
      <c r="J91" s="194" t="s">
        <v>598</v>
      </c>
      <c r="K91" s="194" t="s">
        <v>598</v>
      </c>
      <c r="L91" s="193">
        <v>0</v>
      </c>
      <c r="M91" s="193">
        <v>3892</v>
      </c>
      <c r="N91" s="193">
        <v>3000</v>
      </c>
    </row>
    <row r="92" spans="2:14">
      <c r="B92" s="161">
        <v>42843</v>
      </c>
      <c r="C92" s="194" t="s">
        <v>1148</v>
      </c>
      <c r="D92" s="194" t="s">
        <v>1149</v>
      </c>
      <c r="E92" s="194" t="s">
        <v>84</v>
      </c>
      <c r="F92" s="194" t="s">
        <v>347</v>
      </c>
      <c r="G92" s="194" t="s">
        <v>63</v>
      </c>
      <c r="H92" s="194" t="s">
        <v>485</v>
      </c>
      <c r="I92" s="194" t="s">
        <v>598</v>
      </c>
      <c r="J92" s="194" t="s">
        <v>598</v>
      </c>
      <c r="K92" s="194" t="s">
        <v>598</v>
      </c>
      <c r="L92" s="193">
        <v>0</v>
      </c>
      <c r="M92" s="193">
        <v>4001</v>
      </c>
      <c r="N92" s="193">
        <v>15000</v>
      </c>
    </row>
    <row r="93" spans="2:14">
      <c r="B93" s="161">
        <v>42839</v>
      </c>
      <c r="C93" s="194" t="s">
        <v>1193</v>
      </c>
      <c r="D93" s="194" t="s">
        <v>1194</v>
      </c>
      <c r="E93" s="194" t="s">
        <v>38</v>
      </c>
      <c r="F93" s="194" t="s">
        <v>239</v>
      </c>
      <c r="G93" s="194" t="s">
        <v>86</v>
      </c>
      <c r="H93" s="194" t="s">
        <v>485</v>
      </c>
      <c r="I93" s="194" t="s">
        <v>598</v>
      </c>
      <c r="J93" s="194" t="s">
        <v>598</v>
      </c>
      <c r="K93" s="194" t="s">
        <v>598</v>
      </c>
      <c r="L93" s="193">
        <v>0</v>
      </c>
      <c r="M93" s="193">
        <v>0</v>
      </c>
      <c r="N93" s="193">
        <v>0</v>
      </c>
    </row>
    <row r="94" spans="2:14">
      <c r="B94" s="161">
        <v>42838</v>
      </c>
      <c r="C94" s="194" t="s">
        <v>1144</v>
      </c>
      <c r="D94" s="194" t="s">
        <v>1145</v>
      </c>
      <c r="E94" s="194" t="s">
        <v>119</v>
      </c>
      <c r="F94" s="194" t="s">
        <v>28</v>
      </c>
      <c r="G94" s="194" t="s">
        <v>598</v>
      </c>
      <c r="H94" s="194" t="s">
        <v>485</v>
      </c>
      <c r="I94" s="194" t="s">
        <v>598</v>
      </c>
      <c r="J94" s="194" t="s">
        <v>598</v>
      </c>
      <c r="K94" s="194" t="s">
        <v>598</v>
      </c>
      <c r="L94" s="193">
        <v>0</v>
      </c>
      <c r="M94" s="193">
        <v>3882</v>
      </c>
      <c r="N94" s="193">
        <v>10000</v>
      </c>
    </row>
    <row r="95" spans="2:14">
      <c r="B95" s="161">
        <v>42836</v>
      </c>
      <c r="C95" s="194" t="s">
        <v>1171</v>
      </c>
      <c r="D95" s="194" t="s">
        <v>1172</v>
      </c>
      <c r="E95" s="194" t="s">
        <v>102</v>
      </c>
      <c r="F95" s="194" t="s">
        <v>233</v>
      </c>
      <c r="G95" s="194" t="s">
        <v>598</v>
      </c>
      <c r="H95" s="194" t="s">
        <v>485</v>
      </c>
      <c r="I95" s="194" t="s">
        <v>132</v>
      </c>
      <c r="J95" s="194" t="s">
        <v>598</v>
      </c>
      <c r="K95" s="194" t="s">
        <v>598</v>
      </c>
      <c r="L95" s="193">
        <v>0</v>
      </c>
      <c r="M95" s="193">
        <v>3887</v>
      </c>
      <c r="N95" s="193">
        <v>4000</v>
      </c>
    </row>
    <row r="96" spans="2:14">
      <c r="B96" s="161">
        <v>42836</v>
      </c>
      <c r="C96" s="194" t="s">
        <v>1173</v>
      </c>
      <c r="D96" s="194" t="s">
        <v>1174</v>
      </c>
      <c r="E96" s="194" t="s">
        <v>102</v>
      </c>
      <c r="F96" s="194" t="s">
        <v>233</v>
      </c>
      <c r="G96" s="194" t="s">
        <v>598</v>
      </c>
      <c r="H96" s="194" t="s">
        <v>485</v>
      </c>
      <c r="I96" s="194" t="s">
        <v>598</v>
      </c>
      <c r="J96" s="194" t="s">
        <v>598</v>
      </c>
      <c r="K96" s="194" t="s">
        <v>598</v>
      </c>
      <c r="L96" s="193">
        <v>0</v>
      </c>
      <c r="M96" s="193">
        <v>3886</v>
      </c>
      <c r="N96" s="193">
        <v>7500</v>
      </c>
    </row>
    <row r="97" spans="2:14">
      <c r="B97" s="161">
        <v>42833</v>
      </c>
      <c r="C97" s="194" t="s">
        <v>1143</v>
      </c>
      <c r="D97" s="194" t="s">
        <v>85</v>
      </c>
      <c r="E97" s="194" t="s">
        <v>84</v>
      </c>
      <c r="F97" s="194" t="s">
        <v>346</v>
      </c>
      <c r="G97" s="194" t="s">
        <v>86</v>
      </c>
      <c r="H97" s="194" t="s">
        <v>485</v>
      </c>
      <c r="I97" s="194" t="s">
        <v>598</v>
      </c>
      <c r="J97" s="194" t="s">
        <v>598</v>
      </c>
      <c r="K97" s="194" t="s">
        <v>598</v>
      </c>
      <c r="L97" s="193">
        <v>0</v>
      </c>
      <c r="M97" s="193">
        <v>3877</v>
      </c>
      <c r="N97" s="193">
        <v>3000</v>
      </c>
    </row>
    <row r="98" spans="2:14">
      <c r="B98" s="161">
        <v>42830</v>
      </c>
      <c r="C98" s="194" t="s">
        <v>1162</v>
      </c>
      <c r="D98" s="194" t="s">
        <v>1163</v>
      </c>
      <c r="E98" s="194" t="s">
        <v>102</v>
      </c>
      <c r="F98" s="194" t="s">
        <v>183</v>
      </c>
      <c r="G98" s="194" t="s">
        <v>63</v>
      </c>
      <c r="H98" s="194" t="s">
        <v>485</v>
      </c>
      <c r="I98" s="194" t="s">
        <v>598</v>
      </c>
      <c r="J98" s="194" t="s">
        <v>598</v>
      </c>
      <c r="K98" s="194" t="s">
        <v>598</v>
      </c>
      <c r="L98" s="193">
        <v>0</v>
      </c>
      <c r="M98" s="193">
        <v>3876</v>
      </c>
      <c r="N98" s="193">
        <v>5000</v>
      </c>
    </row>
    <row r="99" spans="2:14">
      <c r="B99" s="161">
        <v>42829</v>
      </c>
      <c r="C99" s="194" t="s">
        <v>1140</v>
      </c>
      <c r="D99" s="194" t="s">
        <v>1141</v>
      </c>
      <c r="E99" s="194" t="s">
        <v>84</v>
      </c>
      <c r="F99" s="194" t="s">
        <v>345</v>
      </c>
      <c r="G99" s="194" t="s">
        <v>1142</v>
      </c>
      <c r="H99" s="194" t="s">
        <v>485</v>
      </c>
      <c r="I99" s="194" t="s">
        <v>598</v>
      </c>
      <c r="J99" s="194" t="s">
        <v>598</v>
      </c>
      <c r="K99" s="194" t="s">
        <v>598</v>
      </c>
      <c r="L99" s="193">
        <v>0</v>
      </c>
      <c r="M99" s="193">
        <v>4028</v>
      </c>
      <c r="N99" s="193">
        <v>10000</v>
      </c>
    </row>
    <row r="100" spans="2:14">
      <c r="B100" s="161">
        <v>42829</v>
      </c>
      <c r="C100" s="194" t="s">
        <v>1160</v>
      </c>
      <c r="D100" s="194" t="s">
        <v>1161</v>
      </c>
      <c r="E100" s="194" t="s">
        <v>102</v>
      </c>
      <c r="F100" s="194" t="s">
        <v>233</v>
      </c>
      <c r="G100" s="194" t="s">
        <v>86</v>
      </c>
      <c r="H100" s="194" t="s">
        <v>485</v>
      </c>
      <c r="I100" s="194" t="s">
        <v>598</v>
      </c>
      <c r="J100" s="194" t="s">
        <v>598</v>
      </c>
      <c r="K100" s="194" t="s">
        <v>598</v>
      </c>
      <c r="L100" s="193">
        <v>0</v>
      </c>
      <c r="M100" s="193">
        <v>2809</v>
      </c>
      <c r="N100" s="193">
        <v>4000</v>
      </c>
    </row>
    <row r="101" spans="2:14">
      <c r="B101" s="161">
        <v>42825</v>
      </c>
      <c r="C101" s="194" t="s">
        <v>3015</v>
      </c>
      <c r="D101" s="194" t="s">
        <v>3016</v>
      </c>
      <c r="E101" s="194" t="s">
        <v>38</v>
      </c>
      <c r="F101" s="194" t="s">
        <v>598</v>
      </c>
      <c r="G101" s="194" t="s">
        <v>598</v>
      </c>
      <c r="H101" s="194" t="s">
        <v>485</v>
      </c>
      <c r="I101" s="194" t="s">
        <v>598</v>
      </c>
      <c r="J101" s="194" t="s">
        <v>598</v>
      </c>
      <c r="K101" s="194" t="s">
        <v>598</v>
      </c>
      <c r="L101" s="193">
        <v>0</v>
      </c>
      <c r="M101" s="193">
        <v>0</v>
      </c>
      <c r="N101" s="193">
        <v>0</v>
      </c>
    </row>
    <row r="102" spans="2:14">
      <c r="B102" s="161">
        <v>42819</v>
      </c>
      <c r="C102" s="194" t="s">
        <v>2988</v>
      </c>
      <c r="D102" s="194" t="s">
        <v>2989</v>
      </c>
      <c r="E102" s="194" t="s">
        <v>121</v>
      </c>
      <c r="F102" s="194" t="s">
        <v>440</v>
      </c>
      <c r="G102" s="194" t="s">
        <v>86</v>
      </c>
      <c r="H102" s="194" t="s">
        <v>485</v>
      </c>
      <c r="I102" s="194" t="s">
        <v>598</v>
      </c>
      <c r="J102" s="194" t="s">
        <v>598</v>
      </c>
      <c r="K102" s="194" t="s">
        <v>598</v>
      </c>
      <c r="L102" s="193">
        <v>0</v>
      </c>
      <c r="M102" s="193">
        <v>3854</v>
      </c>
      <c r="N102" s="193">
        <v>1500</v>
      </c>
    </row>
    <row r="103" spans="2:14">
      <c r="B103" s="161">
        <v>42817</v>
      </c>
      <c r="C103" s="194" t="s">
        <v>3002</v>
      </c>
      <c r="D103" s="194" t="s">
        <v>3003</v>
      </c>
      <c r="E103" s="194" t="s">
        <v>102</v>
      </c>
      <c r="F103" s="194" t="s">
        <v>441</v>
      </c>
      <c r="G103" s="194" t="s">
        <v>2984</v>
      </c>
      <c r="H103" s="194" t="s">
        <v>485</v>
      </c>
      <c r="I103" s="194" t="s">
        <v>598</v>
      </c>
      <c r="J103" s="194" t="s">
        <v>598</v>
      </c>
      <c r="K103" s="194" t="s">
        <v>598</v>
      </c>
      <c r="L103" s="193">
        <v>0</v>
      </c>
      <c r="M103" s="193">
        <v>3851</v>
      </c>
      <c r="N103" s="193">
        <v>5000</v>
      </c>
    </row>
    <row r="104" spans="2:14">
      <c r="B104" s="161">
        <v>42816</v>
      </c>
      <c r="C104" s="194" t="s">
        <v>3000</v>
      </c>
      <c r="D104" s="194" t="s">
        <v>3001</v>
      </c>
      <c r="E104" s="194" t="s">
        <v>102</v>
      </c>
      <c r="F104" s="194" t="s">
        <v>216</v>
      </c>
      <c r="G104" s="194" t="s">
        <v>86</v>
      </c>
      <c r="H104" s="194" t="s">
        <v>485</v>
      </c>
      <c r="I104" s="194" t="s">
        <v>120</v>
      </c>
      <c r="J104" s="194" t="s">
        <v>598</v>
      </c>
      <c r="K104" s="194" t="s">
        <v>598</v>
      </c>
      <c r="L104" s="193">
        <v>0</v>
      </c>
      <c r="M104" s="193">
        <v>3874</v>
      </c>
      <c r="N104" s="193">
        <v>4000</v>
      </c>
    </row>
    <row r="105" spans="2:14">
      <c r="B105" s="161">
        <v>42815</v>
      </c>
      <c r="C105" s="194" t="s">
        <v>2998</v>
      </c>
      <c r="D105" s="194" t="s">
        <v>2999</v>
      </c>
      <c r="E105" s="194" t="s">
        <v>102</v>
      </c>
      <c r="F105" s="194" t="s">
        <v>233</v>
      </c>
      <c r="G105" s="194" t="s">
        <v>86</v>
      </c>
      <c r="H105" s="194" t="s">
        <v>485</v>
      </c>
      <c r="I105" s="194" t="s">
        <v>598</v>
      </c>
      <c r="J105" s="194" t="s">
        <v>598</v>
      </c>
      <c r="K105" s="194" t="s">
        <v>598</v>
      </c>
      <c r="L105" s="193">
        <v>0</v>
      </c>
      <c r="M105" s="193">
        <v>3852</v>
      </c>
      <c r="N105" s="193">
        <v>5000</v>
      </c>
    </row>
    <row r="106" spans="2:14">
      <c r="B106" s="161">
        <v>42811</v>
      </c>
      <c r="C106" s="194" t="s">
        <v>3008</v>
      </c>
      <c r="D106" s="194" t="s">
        <v>3009</v>
      </c>
      <c r="E106" s="194" t="s">
        <v>38</v>
      </c>
      <c r="F106" s="194" t="s">
        <v>354</v>
      </c>
      <c r="G106" s="194" t="s">
        <v>86</v>
      </c>
      <c r="H106" s="194" t="s">
        <v>485</v>
      </c>
      <c r="I106" s="194" t="s">
        <v>598</v>
      </c>
      <c r="J106" s="194" t="s">
        <v>598</v>
      </c>
      <c r="K106" s="194" t="s">
        <v>598</v>
      </c>
      <c r="L106" s="193">
        <v>0</v>
      </c>
      <c r="M106" s="193">
        <v>0</v>
      </c>
      <c r="N106" s="193">
        <v>5000</v>
      </c>
    </row>
    <row r="107" spans="2:14">
      <c r="B107" s="161">
        <v>42811</v>
      </c>
      <c r="C107" s="194" t="s">
        <v>3011</v>
      </c>
      <c r="D107" s="194" t="s">
        <v>3009</v>
      </c>
      <c r="E107" s="194" t="s">
        <v>38</v>
      </c>
      <c r="F107" s="194" t="s">
        <v>354</v>
      </c>
      <c r="G107" s="194" t="s">
        <v>86</v>
      </c>
      <c r="H107" s="194" t="s">
        <v>485</v>
      </c>
      <c r="I107" s="194" t="s">
        <v>598</v>
      </c>
      <c r="J107" s="194" t="s">
        <v>598</v>
      </c>
      <c r="K107" s="194" t="s">
        <v>598</v>
      </c>
      <c r="L107" s="193">
        <v>0</v>
      </c>
      <c r="M107" s="193">
        <v>0</v>
      </c>
      <c r="N107" s="193">
        <v>8000</v>
      </c>
    </row>
    <row r="108" spans="2:14">
      <c r="B108" s="161">
        <v>42811</v>
      </c>
      <c r="C108" s="194" t="s">
        <v>3012</v>
      </c>
      <c r="D108" s="194" t="s">
        <v>3009</v>
      </c>
      <c r="E108" s="194" t="s">
        <v>38</v>
      </c>
      <c r="F108" s="194" t="s">
        <v>354</v>
      </c>
      <c r="G108" s="194" t="s">
        <v>86</v>
      </c>
      <c r="H108" s="194" t="s">
        <v>485</v>
      </c>
      <c r="I108" s="194" t="s">
        <v>598</v>
      </c>
      <c r="J108" s="194" t="s">
        <v>598</v>
      </c>
      <c r="K108" s="194" t="s">
        <v>598</v>
      </c>
      <c r="L108" s="193">
        <v>0</v>
      </c>
      <c r="M108" s="193">
        <v>0</v>
      </c>
      <c r="N108" s="193">
        <v>5000</v>
      </c>
    </row>
    <row r="109" spans="2:14">
      <c r="B109" s="161">
        <v>42810</v>
      </c>
      <c r="C109" s="194" t="s">
        <v>2996</v>
      </c>
      <c r="D109" s="194" t="s">
        <v>2997</v>
      </c>
      <c r="E109" s="194" t="s">
        <v>102</v>
      </c>
      <c r="F109" s="194" t="s">
        <v>233</v>
      </c>
      <c r="G109" s="194" t="s">
        <v>598</v>
      </c>
      <c r="H109" s="194" t="s">
        <v>485</v>
      </c>
      <c r="I109" s="194" t="s">
        <v>598</v>
      </c>
      <c r="J109" s="194" t="s">
        <v>598</v>
      </c>
      <c r="K109" s="194" t="s">
        <v>598</v>
      </c>
      <c r="L109" s="193">
        <v>0</v>
      </c>
      <c r="M109" s="193">
        <v>3844</v>
      </c>
      <c r="N109" s="193">
        <v>6000</v>
      </c>
    </row>
    <row r="110" spans="2:14">
      <c r="B110" s="161">
        <v>42808</v>
      </c>
      <c r="C110" s="194" t="s">
        <v>2985</v>
      </c>
      <c r="D110" s="194" t="s">
        <v>2986</v>
      </c>
      <c r="E110" s="194" t="s">
        <v>121</v>
      </c>
      <c r="F110" s="194" t="s">
        <v>2987</v>
      </c>
      <c r="G110" s="194" t="s">
        <v>2984</v>
      </c>
      <c r="H110" s="194" t="s">
        <v>485</v>
      </c>
      <c r="I110" s="194" t="s">
        <v>134</v>
      </c>
      <c r="J110" s="194" t="s">
        <v>598</v>
      </c>
      <c r="K110" s="194" t="s">
        <v>598</v>
      </c>
      <c r="L110" s="193">
        <v>0</v>
      </c>
      <c r="M110" s="193">
        <v>3825</v>
      </c>
      <c r="N110" s="193">
        <v>1700</v>
      </c>
    </row>
    <row r="111" spans="2:14">
      <c r="B111" s="161">
        <v>42807</v>
      </c>
      <c r="C111" s="194" t="s">
        <v>3057</v>
      </c>
      <c r="D111" s="194" t="s">
        <v>3058</v>
      </c>
      <c r="E111" s="194" t="s">
        <v>38</v>
      </c>
      <c r="F111" s="194" t="s">
        <v>354</v>
      </c>
      <c r="G111" s="194" t="s">
        <v>598</v>
      </c>
      <c r="H111" s="194" t="s">
        <v>485</v>
      </c>
      <c r="I111" s="194" t="s">
        <v>598</v>
      </c>
      <c r="J111" s="194" t="s">
        <v>598</v>
      </c>
      <c r="K111" s="194" t="s">
        <v>598</v>
      </c>
      <c r="L111" s="193">
        <v>0</v>
      </c>
      <c r="M111" s="193">
        <v>0</v>
      </c>
      <c r="N111" s="193">
        <v>0</v>
      </c>
    </row>
    <row r="112" spans="2:14">
      <c r="B112" s="161">
        <v>42806</v>
      </c>
      <c r="C112" s="194" t="s">
        <v>2982</v>
      </c>
      <c r="D112" s="194" t="s">
        <v>2983</v>
      </c>
      <c r="E112" s="194" t="s">
        <v>121</v>
      </c>
      <c r="F112" s="194" t="s">
        <v>439</v>
      </c>
      <c r="G112" s="194" t="s">
        <v>2984</v>
      </c>
      <c r="H112" s="194" t="s">
        <v>485</v>
      </c>
      <c r="I112" s="194" t="s">
        <v>598</v>
      </c>
      <c r="J112" s="194" t="s">
        <v>598</v>
      </c>
      <c r="K112" s="194" t="s">
        <v>598</v>
      </c>
      <c r="L112" s="193">
        <v>0</v>
      </c>
      <c r="M112" s="193">
        <v>3823</v>
      </c>
      <c r="N112" s="193">
        <v>2500</v>
      </c>
    </row>
    <row r="113" spans="2:14">
      <c r="B113" s="161">
        <v>42795</v>
      </c>
      <c r="C113" s="194" t="s">
        <v>3004</v>
      </c>
      <c r="D113" s="194" t="s">
        <v>3005</v>
      </c>
      <c r="E113" s="194" t="s">
        <v>38</v>
      </c>
      <c r="F113" s="194" t="s">
        <v>354</v>
      </c>
      <c r="G113" s="194" t="s">
        <v>86</v>
      </c>
      <c r="H113" s="194" t="s">
        <v>485</v>
      </c>
      <c r="I113" s="194" t="s">
        <v>598</v>
      </c>
      <c r="J113" s="194" t="s">
        <v>598</v>
      </c>
      <c r="K113" s="194" t="s">
        <v>598</v>
      </c>
      <c r="L113" s="193">
        <v>0</v>
      </c>
      <c r="M113" s="193">
        <v>0</v>
      </c>
      <c r="N113" s="193">
        <v>0</v>
      </c>
    </row>
    <row r="114" spans="2:14">
      <c r="B114" s="161">
        <v>42790</v>
      </c>
      <c r="C114" s="194" t="s">
        <v>2951</v>
      </c>
      <c r="D114" s="194" t="s">
        <v>2952</v>
      </c>
      <c r="E114" s="194" t="s">
        <v>116</v>
      </c>
      <c r="F114" s="194" t="s">
        <v>299</v>
      </c>
      <c r="G114" s="194" t="s">
        <v>63</v>
      </c>
      <c r="H114" s="194" t="s">
        <v>485</v>
      </c>
      <c r="I114" s="194" t="s">
        <v>598</v>
      </c>
      <c r="J114" s="194" t="s">
        <v>598</v>
      </c>
      <c r="K114" s="194" t="s">
        <v>598</v>
      </c>
      <c r="L114" s="193">
        <v>0</v>
      </c>
      <c r="M114" s="193">
        <v>2878</v>
      </c>
      <c r="N114" s="193">
        <v>4000</v>
      </c>
    </row>
    <row r="115" spans="2:14">
      <c r="B115" s="161">
        <v>42784</v>
      </c>
      <c r="C115" s="194" t="s">
        <v>2966</v>
      </c>
      <c r="D115" s="194" t="s">
        <v>2967</v>
      </c>
      <c r="E115" s="194" t="s">
        <v>38</v>
      </c>
      <c r="F115" s="194" t="s">
        <v>598</v>
      </c>
      <c r="G115" s="194" t="s">
        <v>86</v>
      </c>
      <c r="H115" s="194" t="s">
        <v>485</v>
      </c>
      <c r="I115" s="194" t="s">
        <v>598</v>
      </c>
      <c r="J115" s="194" t="s">
        <v>598</v>
      </c>
      <c r="K115" s="194" t="s">
        <v>598</v>
      </c>
      <c r="L115" s="193">
        <v>0</v>
      </c>
      <c r="M115" s="193">
        <v>0</v>
      </c>
      <c r="N115" s="193">
        <v>0</v>
      </c>
    </row>
    <row r="116" spans="2:14">
      <c r="B116" s="161">
        <v>42784</v>
      </c>
      <c r="C116" s="194" t="s">
        <v>2968</v>
      </c>
      <c r="D116" s="194" t="s">
        <v>2969</v>
      </c>
      <c r="E116" s="194" t="s">
        <v>38</v>
      </c>
      <c r="F116" s="194" t="s">
        <v>314</v>
      </c>
      <c r="G116" s="194" t="s">
        <v>86</v>
      </c>
      <c r="H116" s="194" t="s">
        <v>485</v>
      </c>
      <c r="I116" s="194" t="s">
        <v>598</v>
      </c>
      <c r="J116" s="194" t="s">
        <v>598</v>
      </c>
      <c r="K116" s="194" t="s">
        <v>598</v>
      </c>
      <c r="L116" s="193">
        <v>0</v>
      </c>
      <c r="M116" s="193">
        <v>0</v>
      </c>
      <c r="N116" s="193">
        <v>0</v>
      </c>
    </row>
    <row r="117" spans="2:14">
      <c r="B117" s="161">
        <v>42782</v>
      </c>
      <c r="C117" s="194" t="s">
        <v>2945</v>
      </c>
      <c r="D117" s="194" t="s">
        <v>2946</v>
      </c>
      <c r="E117" s="194" t="s">
        <v>102</v>
      </c>
      <c r="F117" s="194" t="s">
        <v>233</v>
      </c>
      <c r="G117" s="194" t="s">
        <v>598</v>
      </c>
      <c r="H117" s="194" t="s">
        <v>485</v>
      </c>
      <c r="I117" s="194" t="s">
        <v>135</v>
      </c>
      <c r="J117" s="194" t="s">
        <v>598</v>
      </c>
      <c r="K117" s="194" t="s">
        <v>598</v>
      </c>
      <c r="L117" s="193">
        <v>0</v>
      </c>
      <c r="M117" s="193">
        <v>2875</v>
      </c>
      <c r="N117" s="193">
        <v>2500</v>
      </c>
    </row>
    <row r="118" spans="2:14">
      <c r="B118" s="161">
        <v>42782</v>
      </c>
      <c r="C118" s="194" t="s">
        <v>2947</v>
      </c>
      <c r="D118" s="194" t="s">
        <v>2948</v>
      </c>
      <c r="E118" s="194" t="s">
        <v>119</v>
      </c>
      <c r="F118" s="194" t="s">
        <v>435</v>
      </c>
      <c r="G118" s="194" t="s">
        <v>63</v>
      </c>
      <c r="H118" s="194" t="s">
        <v>485</v>
      </c>
      <c r="I118" s="194" t="s">
        <v>598</v>
      </c>
      <c r="J118" s="194" t="s">
        <v>598</v>
      </c>
      <c r="K118" s="194" t="s">
        <v>598</v>
      </c>
      <c r="L118" s="193">
        <v>0</v>
      </c>
      <c r="M118" s="193">
        <v>2852</v>
      </c>
      <c r="N118" s="193">
        <v>5000</v>
      </c>
    </row>
    <row r="119" spans="2:14">
      <c r="B119" s="161">
        <v>42776</v>
      </c>
      <c r="C119" s="194" t="s">
        <v>2941</v>
      </c>
      <c r="D119" s="194" t="s">
        <v>2942</v>
      </c>
      <c r="E119" s="194" t="s">
        <v>121</v>
      </c>
      <c r="F119" s="194" t="s">
        <v>408</v>
      </c>
      <c r="G119" s="194" t="s">
        <v>598</v>
      </c>
      <c r="H119" s="194" t="s">
        <v>485</v>
      </c>
      <c r="I119" s="194" t="s">
        <v>598</v>
      </c>
      <c r="J119" s="194" t="s">
        <v>598</v>
      </c>
      <c r="K119" s="194" t="s">
        <v>598</v>
      </c>
      <c r="L119" s="193">
        <v>0</v>
      </c>
      <c r="M119" s="193">
        <v>2838</v>
      </c>
      <c r="N119" s="193">
        <v>1700</v>
      </c>
    </row>
    <row r="120" spans="2:14">
      <c r="B120" s="161">
        <v>42773</v>
      </c>
      <c r="C120" s="194" t="s">
        <v>2943</v>
      </c>
      <c r="D120" s="194" t="s">
        <v>2944</v>
      </c>
      <c r="E120" s="194" t="s">
        <v>102</v>
      </c>
      <c r="F120" s="194" t="s">
        <v>232</v>
      </c>
      <c r="G120" s="194" t="s">
        <v>86</v>
      </c>
      <c r="H120" s="194" t="s">
        <v>485</v>
      </c>
      <c r="I120" s="194" t="s">
        <v>598</v>
      </c>
      <c r="J120" s="194" t="s">
        <v>598</v>
      </c>
      <c r="K120" s="194" t="s">
        <v>598</v>
      </c>
      <c r="L120" s="193">
        <v>0</v>
      </c>
      <c r="M120" s="193">
        <v>2836</v>
      </c>
      <c r="N120" s="193">
        <v>3000</v>
      </c>
    </row>
    <row r="121" spans="2:14">
      <c r="B121" s="161">
        <v>42772</v>
      </c>
      <c r="C121" s="194" t="s">
        <v>2957</v>
      </c>
      <c r="D121" s="194" t="s">
        <v>2958</v>
      </c>
      <c r="E121" s="194" t="s">
        <v>38</v>
      </c>
      <c r="F121" s="194" t="s">
        <v>239</v>
      </c>
      <c r="G121" s="194" t="s">
        <v>598</v>
      </c>
      <c r="H121" s="194" t="s">
        <v>485</v>
      </c>
      <c r="I121" s="194" t="s">
        <v>598</v>
      </c>
      <c r="J121" s="194" t="s">
        <v>598</v>
      </c>
      <c r="K121" s="194" t="s">
        <v>598</v>
      </c>
      <c r="L121" s="193">
        <v>0</v>
      </c>
      <c r="M121" s="193">
        <v>0</v>
      </c>
      <c r="N121" s="193">
        <v>7500</v>
      </c>
    </row>
    <row r="122" spans="2:14">
      <c r="B122" s="161">
        <v>42772</v>
      </c>
      <c r="C122" s="194" t="s">
        <v>2960</v>
      </c>
      <c r="D122" s="194" t="s">
        <v>2961</v>
      </c>
      <c r="E122" s="194" t="s">
        <v>38</v>
      </c>
      <c r="F122" s="194" t="s">
        <v>239</v>
      </c>
      <c r="G122" s="194" t="s">
        <v>598</v>
      </c>
      <c r="H122" s="194" t="s">
        <v>485</v>
      </c>
      <c r="I122" s="194" t="s">
        <v>598</v>
      </c>
      <c r="J122" s="194" t="s">
        <v>598</v>
      </c>
      <c r="K122" s="194" t="s">
        <v>598</v>
      </c>
      <c r="L122" s="193">
        <v>0</v>
      </c>
      <c r="M122" s="193">
        <v>0</v>
      </c>
      <c r="N122" s="193">
        <v>2500</v>
      </c>
    </row>
    <row r="123" spans="2:14">
      <c r="B123" s="161">
        <v>42770</v>
      </c>
      <c r="C123" s="194" t="s">
        <v>2937</v>
      </c>
      <c r="D123" s="194" t="s">
        <v>2938</v>
      </c>
      <c r="E123" s="194" t="s">
        <v>121</v>
      </c>
      <c r="F123" s="194" t="s">
        <v>417</v>
      </c>
      <c r="G123" s="194" t="s">
        <v>86</v>
      </c>
      <c r="H123" s="194" t="s">
        <v>485</v>
      </c>
      <c r="I123" s="194" t="s">
        <v>598</v>
      </c>
      <c r="J123" s="194" t="s">
        <v>598</v>
      </c>
      <c r="K123" s="194" t="s">
        <v>598</v>
      </c>
      <c r="L123" s="193">
        <v>0</v>
      </c>
      <c r="M123" s="193">
        <v>2825</v>
      </c>
      <c r="N123" s="193">
        <v>3000</v>
      </c>
    </row>
    <row r="124" spans="2:14">
      <c r="B124" s="161">
        <v>42770</v>
      </c>
      <c r="C124" s="194" t="s">
        <v>2939</v>
      </c>
      <c r="D124" s="194" t="s">
        <v>2940</v>
      </c>
      <c r="E124" s="194" t="s">
        <v>121</v>
      </c>
      <c r="F124" s="194" t="s">
        <v>423</v>
      </c>
      <c r="G124" s="194" t="s">
        <v>63</v>
      </c>
      <c r="H124" s="194" t="s">
        <v>485</v>
      </c>
      <c r="I124" s="194" t="s">
        <v>598</v>
      </c>
      <c r="J124" s="194" t="s">
        <v>598</v>
      </c>
      <c r="K124" s="194" t="s">
        <v>598</v>
      </c>
      <c r="L124" s="193">
        <v>0</v>
      </c>
      <c r="M124" s="193">
        <v>2824</v>
      </c>
      <c r="N124" s="193">
        <v>2500</v>
      </c>
    </row>
    <row r="125" spans="2:14">
      <c r="B125" s="161">
        <v>42770</v>
      </c>
      <c r="C125" s="194" t="s">
        <v>2949</v>
      </c>
      <c r="D125" s="194" t="s">
        <v>2950</v>
      </c>
      <c r="E125" s="194" t="s">
        <v>116</v>
      </c>
      <c r="F125" s="194" t="s">
        <v>299</v>
      </c>
      <c r="G125" s="194" t="s">
        <v>63</v>
      </c>
      <c r="H125" s="194" t="s">
        <v>485</v>
      </c>
      <c r="I125" s="194" t="s">
        <v>598</v>
      </c>
      <c r="J125" s="194" t="s">
        <v>598</v>
      </c>
      <c r="K125" s="194" t="s">
        <v>598</v>
      </c>
      <c r="L125" s="193">
        <v>0</v>
      </c>
      <c r="M125" s="193">
        <v>2832</v>
      </c>
      <c r="N125" s="193">
        <v>4000</v>
      </c>
    </row>
    <row r="126" spans="2:14">
      <c r="B126" s="161">
        <v>42768</v>
      </c>
      <c r="C126" s="194" t="s">
        <v>2935</v>
      </c>
      <c r="D126" s="194" t="s">
        <v>2936</v>
      </c>
      <c r="E126" s="194" t="s">
        <v>121</v>
      </c>
      <c r="F126" s="194" t="s">
        <v>219</v>
      </c>
      <c r="G126" s="194" t="s">
        <v>63</v>
      </c>
      <c r="H126" s="194" t="s">
        <v>485</v>
      </c>
      <c r="I126" s="194" t="s">
        <v>48</v>
      </c>
      <c r="J126" s="194" t="s">
        <v>598</v>
      </c>
      <c r="K126" s="194" t="s">
        <v>598</v>
      </c>
      <c r="L126" s="193">
        <v>0</v>
      </c>
      <c r="M126" s="193">
        <v>2821</v>
      </c>
      <c r="N126" s="193">
        <v>4000</v>
      </c>
    </row>
    <row r="127" spans="2:14">
      <c r="B127" s="161">
        <v>42768</v>
      </c>
      <c r="C127" s="194" t="s">
        <v>2963</v>
      </c>
      <c r="D127" s="194" t="s">
        <v>2964</v>
      </c>
      <c r="E127" s="194" t="s">
        <v>38</v>
      </c>
      <c r="F127" s="194" t="s">
        <v>239</v>
      </c>
      <c r="G127" s="194" t="s">
        <v>598</v>
      </c>
      <c r="H127" s="194" t="s">
        <v>485</v>
      </c>
      <c r="I127" s="194" t="s">
        <v>598</v>
      </c>
      <c r="J127" s="194" t="s">
        <v>598</v>
      </c>
      <c r="K127" s="194" t="s">
        <v>598</v>
      </c>
      <c r="L127" s="193">
        <v>0</v>
      </c>
      <c r="M127" s="193">
        <v>0</v>
      </c>
      <c r="N127" s="193">
        <v>5000</v>
      </c>
    </row>
    <row r="128" spans="2:14">
      <c r="B128" s="161">
        <v>42765</v>
      </c>
      <c r="C128" s="194" t="s">
        <v>2930</v>
      </c>
      <c r="D128" s="194" t="s">
        <v>2931</v>
      </c>
      <c r="E128" s="194" t="s">
        <v>121</v>
      </c>
      <c r="F128" s="194" t="s">
        <v>408</v>
      </c>
      <c r="G128" s="194" t="s">
        <v>63</v>
      </c>
      <c r="H128" s="194" t="s">
        <v>485</v>
      </c>
      <c r="I128" s="194" t="s">
        <v>598</v>
      </c>
      <c r="J128" s="194" t="s">
        <v>598</v>
      </c>
      <c r="K128" s="194" t="s">
        <v>598</v>
      </c>
      <c r="L128" s="193">
        <v>0</v>
      </c>
      <c r="M128" s="193">
        <v>2813</v>
      </c>
      <c r="N128" s="193">
        <v>3500</v>
      </c>
    </row>
    <row r="129" spans="2:14">
      <c r="B129" s="161">
        <v>42760</v>
      </c>
      <c r="C129" s="194" t="s">
        <v>2933</v>
      </c>
      <c r="D129" s="194" t="s">
        <v>2934</v>
      </c>
      <c r="E129" s="194" t="s">
        <v>102</v>
      </c>
      <c r="F129" s="194" t="s">
        <v>233</v>
      </c>
      <c r="G129" s="194" t="s">
        <v>86</v>
      </c>
      <c r="H129" s="194" t="s">
        <v>485</v>
      </c>
      <c r="I129" s="194" t="s">
        <v>598</v>
      </c>
      <c r="J129" s="194" t="s">
        <v>598</v>
      </c>
      <c r="K129" s="194" t="s">
        <v>598</v>
      </c>
      <c r="L129" s="193">
        <v>0</v>
      </c>
      <c r="M129" s="193">
        <v>2810</v>
      </c>
      <c r="N129" s="193">
        <v>2000</v>
      </c>
    </row>
    <row r="130" spans="2:14">
      <c r="B130" s="161">
        <v>42752</v>
      </c>
      <c r="C130" s="194" t="s">
        <v>2932</v>
      </c>
      <c r="D130" s="194" t="s">
        <v>1313</v>
      </c>
      <c r="E130" s="194" t="s">
        <v>102</v>
      </c>
      <c r="F130" s="194" t="s">
        <v>183</v>
      </c>
      <c r="G130" s="194" t="s">
        <v>86</v>
      </c>
      <c r="H130" s="194" t="s">
        <v>485</v>
      </c>
      <c r="I130" s="194" t="s">
        <v>598</v>
      </c>
      <c r="J130" s="194" t="s">
        <v>598</v>
      </c>
      <c r="K130" s="194" t="s">
        <v>598</v>
      </c>
      <c r="L130" s="193">
        <v>0</v>
      </c>
      <c r="M130" s="193">
        <v>2298</v>
      </c>
      <c r="N130" s="193">
        <v>7000</v>
      </c>
    </row>
    <row r="131" spans="2:14">
      <c r="B131" s="161">
        <v>42739</v>
      </c>
      <c r="C131" s="194" t="s">
        <v>2929</v>
      </c>
      <c r="D131" s="194" t="s">
        <v>902</v>
      </c>
      <c r="E131" s="194" t="s">
        <v>121</v>
      </c>
      <c r="F131" s="194" t="s">
        <v>344</v>
      </c>
      <c r="G131" s="194" t="s">
        <v>63</v>
      </c>
      <c r="H131" s="194" t="s">
        <v>485</v>
      </c>
      <c r="I131" s="194" t="s">
        <v>598</v>
      </c>
      <c r="J131" s="194" t="s">
        <v>598</v>
      </c>
      <c r="K131" s="194" t="s">
        <v>598</v>
      </c>
      <c r="L131" s="193">
        <v>0</v>
      </c>
      <c r="M131" s="193">
        <v>2271</v>
      </c>
      <c r="N131" s="193">
        <v>2500</v>
      </c>
    </row>
    <row r="132" spans="2:14">
      <c r="B132" s="161">
        <v>42733</v>
      </c>
      <c r="C132" s="194" t="s">
        <v>2927</v>
      </c>
      <c r="D132" s="194" t="s">
        <v>2928</v>
      </c>
      <c r="E132" s="194" t="s">
        <v>116</v>
      </c>
      <c r="F132" s="194" t="s">
        <v>299</v>
      </c>
      <c r="G132" s="194" t="s">
        <v>598</v>
      </c>
      <c r="H132" s="194" t="s">
        <v>485</v>
      </c>
      <c r="I132" s="194" t="s">
        <v>598</v>
      </c>
      <c r="J132" s="194" t="s">
        <v>598</v>
      </c>
      <c r="K132" s="194" t="s">
        <v>598</v>
      </c>
      <c r="L132" s="193">
        <v>0</v>
      </c>
      <c r="M132" s="193">
        <v>2264</v>
      </c>
      <c r="N132" s="193">
        <v>5000</v>
      </c>
    </row>
    <row r="133" spans="2:14">
      <c r="B133" s="161">
        <v>42732</v>
      </c>
      <c r="C133" s="194" t="s">
        <v>2921</v>
      </c>
      <c r="D133" s="194" t="s">
        <v>2922</v>
      </c>
      <c r="E133" s="194" t="s">
        <v>102</v>
      </c>
      <c r="F133" s="194" t="s">
        <v>233</v>
      </c>
      <c r="G133" s="194" t="s">
        <v>63</v>
      </c>
      <c r="H133" s="194" t="s">
        <v>485</v>
      </c>
      <c r="I133" s="194" t="s">
        <v>598</v>
      </c>
      <c r="J133" s="194" t="s">
        <v>598</v>
      </c>
      <c r="K133" s="194" t="s">
        <v>598</v>
      </c>
      <c r="L133" s="193">
        <v>0</v>
      </c>
      <c r="M133" s="193">
        <v>2255</v>
      </c>
      <c r="N133" s="193">
        <v>5000</v>
      </c>
    </row>
    <row r="134" spans="2:14">
      <c r="B134" s="161">
        <v>42731</v>
      </c>
      <c r="C134" s="194" t="s">
        <v>2918</v>
      </c>
      <c r="D134" s="194" t="s">
        <v>1479</v>
      </c>
      <c r="E134" s="194" t="s">
        <v>121</v>
      </c>
      <c r="F134" s="194" t="s">
        <v>341</v>
      </c>
      <c r="G134" s="194" t="s">
        <v>63</v>
      </c>
      <c r="H134" s="194" t="s">
        <v>485</v>
      </c>
      <c r="I134" s="194" t="s">
        <v>598</v>
      </c>
      <c r="J134" s="194" t="s">
        <v>598</v>
      </c>
      <c r="K134" s="194" t="s">
        <v>598</v>
      </c>
      <c r="L134" s="193">
        <v>0</v>
      </c>
      <c r="M134" s="193">
        <v>2262</v>
      </c>
      <c r="N134" s="193">
        <v>3500</v>
      </c>
    </row>
    <row r="135" spans="2:14">
      <c r="B135" s="161">
        <v>42730</v>
      </c>
      <c r="C135" s="194" t="s">
        <v>2916</v>
      </c>
      <c r="D135" s="194" t="s">
        <v>2917</v>
      </c>
      <c r="E135" s="194" t="s">
        <v>121</v>
      </c>
      <c r="F135" s="194" t="s">
        <v>367</v>
      </c>
      <c r="G135" s="194" t="s">
        <v>63</v>
      </c>
      <c r="H135" s="194" t="s">
        <v>485</v>
      </c>
      <c r="I135" s="194" t="s">
        <v>598</v>
      </c>
      <c r="J135" s="194" t="s">
        <v>598</v>
      </c>
      <c r="K135" s="194" t="s">
        <v>598</v>
      </c>
      <c r="L135" s="193">
        <v>0</v>
      </c>
      <c r="M135" s="193">
        <v>2258</v>
      </c>
      <c r="N135" s="193">
        <v>2000</v>
      </c>
    </row>
    <row r="136" spans="2:14">
      <c r="B136" s="161">
        <v>42726</v>
      </c>
      <c r="C136" s="194" t="s">
        <v>2925</v>
      </c>
      <c r="D136" s="194" t="s">
        <v>2926</v>
      </c>
      <c r="E136" s="194" t="s">
        <v>119</v>
      </c>
      <c r="F136" s="194" t="s">
        <v>435</v>
      </c>
      <c r="G136" s="194" t="s">
        <v>63</v>
      </c>
      <c r="H136" s="194" t="s">
        <v>485</v>
      </c>
      <c r="I136" s="194" t="s">
        <v>134</v>
      </c>
      <c r="J136" s="194" t="s">
        <v>598</v>
      </c>
      <c r="K136" s="194" t="s">
        <v>598</v>
      </c>
      <c r="L136" s="193">
        <v>0</v>
      </c>
      <c r="M136" s="193">
        <v>2250</v>
      </c>
      <c r="N136" s="193">
        <v>1500</v>
      </c>
    </row>
    <row r="137" spans="2:14">
      <c r="B137" s="161">
        <v>42725</v>
      </c>
      <c r="C137" s="194" t="s">
        <v>2914</v>
      </c>
      <c r="D137" s="194" t="s">
        <v>2915</v>
      </c>
      <c r="E137" s="194" t="s">
        <v>121</v>
      </c>
      <c r="F137" s="194" t="s">
        <v>222</v>
      </c>
      <c r="G137" s="194" t="s">
        <v>63</v>
      </c>
      <c r="H137" s="194" t="s">
        <v>485</v>
      </c>
      <c r="I137" s="194" t="s">
        <v>598</v>
      </c>
      <c r="J137" s="194" t="s">
        <v>598</v>
      </c>
      <c r="K137" s="194" t="s">
        <v>598</v>
      </c>
      <c r="L137" s="193">
        <v>0</v>
      </c>
      <c r="M137" s="193">
        <v>2267</v>
      </c>
      <c r="N137" s="193">
        <v>5000</v>
      </c>
    </row>
    <row r="138" spans="2:14">
      <c r="B138" s="161">
        <v>42725</v>
      </c>
      <c r="C138" s="194" t="s">
        <v>2919</v>
      </c>
      <c r="D138" s="194" t="s">
        <v>2920</v>
      </c>
      <c r="E138" s="194" t="s">
        <v>102</v>
      </c>
      <c r="F138" s="194" t="s">
        <v>233</v>
      </c>
      <c r="G138" s="194" t="s">
        <v>63</v>
      </c>
      <c r="H138" s="194" t="s">
        <v>485</v>
      </c>
      <c r="I138" s="194" t="s">
        <v>135</v>
      </c>
      <c r="J138" s="194" t="s">
        <v>598</v>
      </c>
      <c r="K138" s="194" t="s">
        <v>598</v>
      </c>
      <c r="L138" s="193">
        <v>0</v>
      </c>
      <c r="M138" s="193">
        <v>2240</v>
      </c>
      <c r="N138" s="193">
        <v>5000</v>
      </c>
    </row>
    <row r="139" spans="2:14">
      <c r="B139" s="161">
        <v>42716</v>
      </c>
      <c r="C139" s="194" t="s">
        <v>2923</v>
      </c>
      <c r="D139" s="194" t="s">
        <v>2924</v>
      </c>
      <c r="E139" s="194" t="s">
        <v>119</v>
      </c>
      <c r="F139" s="194" t="s">
        <v>435</v>
      </c>
      <c r="G139" s="194" t="s">
        <v>63</v>
      </c>
      <c r="H139" s="194" t="s">
        <v>485</v>
      </c>
      <c r="I139" s="194" t="s">
        <v>598</v>
      </c>
      <c r="J139" s="194" t="s">
        <v>598</v>
      </c>
      <c r="K139" s="194" t="s">
        <v>598</v>
      </c>
      <c r="L139" s="193">
        <v>0</v>
      </c>
      <c r="M139" s="193">
        <v>2229</v>
      </c>
      <c r="N139" s="193">
        <v>5000</v>
      </c>
    </row>
    <row r="140" spans="2:14">
      <c r="B140" s="161">
        <v>42706</v>
      </c>
      <c r="C140" s="194" t="s">
        <v>2910</v>
      </c>
      <c r="D140" s="194" t="s">
        <v>2911</v>
      </c>
      <c r="E140" s="194" t="s">
        <v>121</v>
      </c>
      <c r="F140" s="194" t="s">
        <v>208</v>
      </c>
      <c r="G140" s="194" t="s">
        <v>63</v>
      </c>
      <c r="H140" s="194" t="s">
        <v>485</v>
      </c>
      <c r="I140" s="194" t="s">
        <v>134</v>
      </c>
      <c r="J140" s="194" t="s">
        <v>598</v>
      </c>
      <c r="K140" s="194" t="s">
        <v>598</v>
      </c>
      <c r="L140" s="193">
        <v>0</v>
      </c>
      <c r="M140" s="193">
        <v>2221</v>
      </c>
      <c r="N140" s="193">
        <v>2000</v>
      </c>
    </row>
    <row r="141" spans="2:14">
      <c r="B141" s="161">
        <v>42706</v>
      </c>
      <c r="C141" s="194" t="s">
        <v>2912</v>
      </c>
      <c r="D141" s="194" t="s">
        <v>2913</v>
      </c>
      <c r="E141" s="194" t="s">
        <v>121</v>
      </c>
      <c r="F141" s="194" t="s">
        <v>208</v>
      </c>
      <c r="G141" s="194" t="s">
        <v>63</v>
      </c>
      <c r="H141" s="194" t="s">
        <v>485</v>
      </c>
      <c r="I141" s="194" t="s">
        <v>598</v>
      </c>
      <c r="J141" s="194" t="s">
        <v>598</v>
      </c>
      <c r="K141" s="194" t="s">
        <v>598</v>
      </c>
      <c r="L141" s="193">
        <v>0</v>
      </c>
      <c r="M141" s="193">
        <v>2222</v>
      </c>
      <c r="N141" s="193">
        <v>3000</v>
      </c>
    </row>
    <row r="142" spans="2:14">
      <c r="B142" s="161">
        <v>42686</v>
      </c>
      <c r="C142" s="194" t="s">
        <v>2889</v>
      </c>
      <c r="D142" s="194" t="s">
        <v>2890</v>
      </c>
      <c r="E142" s="194" t="s">
        <v>121</v>
      </c>
      <c r="F142" s="194" t="s">
        <v>202</v>
      </c>
      <c r="G142" s="194" t="s">
        <v>63</v>
      </c>
      <c r="H142" s="194" t="s">
        <v>485</v>
      </c>
      <c r="I142" s="194" t="s">
        <v>598</v>
      </c>
      <c r="J142" s="194" t="s">
        <v>598</v>
      </c>
      <c r="K142" s="194" t="s">
        <v>598</v>
      </c>
      <c r="L142" s="193">
        <v>0</v>
      </c>
      <c r="M142" s="193">
        <v>2396</v>
      </c>
      <c r="N142" s="193">
        <v>3400</v>
      </c>
    </row>
    <row r="143" spans="2:14">
      <c r="B143" s="161">
        <v>42686</v>
      </c>
      <c r="C143" s="194" t="s">
        <v>2891</v>
      </c>
      <c r="D143" s="194" t="s">
        <v>2892</v>
      </c>
      <c r="E143" s="194" t="s">
        <v>121</v>
      </c>
      <c r="F143" s="194" t="s">
        <v>230</v>
      </c>
      <c r="G143" s="194" t="s">
        <v>63</v>
      </c>
      <c r="H143" s="194" t="s">
        <v>485</v>
      </c>
      <c r="I143" s="194" t="s">
        <v>37</v>
      </c>
      <c r="J143" s="194" t="s">
        <v>598</v>
      </c>
      <c r="K143" s="194" t="s">
        <v>598</v>
      </c>
      <c r="L143" s="193">
        <v>0</v>
      </c>
      <c r="M143" s="193">
        <v>2398</v>
      </c>
      <c r="N143" s="193">
        <v>4000</v>
      </c>
    </row>
    <row r="144" spans="2:14">
      <c r="B144" s="161">
        <v>42686</v>
      </c>
      <c r="C144" s="194" t="s">
        <v>2893</v>
      </c>
      <c r="D144" s="194" t="s">
        <v>2894</v>
      </c>
      <c r="E144" s="194" t="s">
        <v>121</v>
      </c>
      <c r="F144" s="194" t="s">
        <v>230</v>
      </c>
      <c r="G144" s="194" t="s">
        <v>63</v>
      </c>
      <c r="H144" s="194" t="s">
        <v>485</v>
      </c>
      <c r="I144" s="194" t="s">
        <v>134</v>
      </c>
      <c r="J144" s="194" t="s">
        <v>598</v>
      </c>
      <c r="K144" s="194" t="s">
        <v>598</v>
      </c>
      <c r="L144" s="193">
        <v>0</v>
      </c>
      <c r="M144" s="193">
        <v>2397</v>
      </c>
      <c r="N144" s="193">
        <v>4000</v>
      </c>
    </row>
    <row r="145" spans="2:14">
      <c r="B145" s="161">
        <v>42686</v>
      </c>
      <c r="C145" s="194" t="s">
        <v>2895</v>
      </c>
      <c r="D145" s="194" t="s">
        <v>2896</v>
      </c>
      <c r="E145" s="194" t="s">
        <v>121</v>
      </c>
      <c r="F145" s="194" t="s">
        <v>230</v>
      </c>
      <c r="G145" s="194" t="s">
        <v>63</v>
      </c>
      <c r="H145" s="194" t="s">
        <v>485</v>
      </c>
      <c r="I145" s="194" t="s">
        <v>134</v>
      </c>
      <c r="J145" s="194" t="s">
        <v>598</v>
      </c>
      <c r="K145" s="194" t="s">
        <v>598</v>
      </c>
      <c r="L145" s="193">
        <v>0</v>
      </c>
      <c r="M145" s="193">
        <v>2399</v>
      </c>
      <c r="N145" s="193">
        <v>4000</v>
      </c>
    </row>
    <row r="146" spans="2:14">
      <c r="B146" s="161">
        <v>42683</v>
      </c>
      <c r="C146" s="194" t="s">
        <v>2902</v>
      </c>
      <c r="D146" s="194" t="s">
        <v>1298</v>
      </c>
      <c r="E146" s="194" t="s">
        <v>102</v>
      </c>
      <c r="F146" s="194" t="s">
        <v>232</v>
      </c>
      <c r="G146" s="194" t="s">
        <v>63</v>
      </c>
      <c r="H146" s="194" t="s">
        <v>485</v>
      </c>
      <c r="I146" s="194" t="s">
        <v>134</v>
      </c>
      <c r="J146" s="194" t="s">
        <v>598</v>
      </c>
      <c r="K146" s="194" t="s">
        <v>598</v>
      </c>
      <c r="L146" s="193">
        <v>0</v>
      </c>
      <c r="M146" s="193">
        <v>2216</v>
      </c>
      <c r="N146" s="193">
        <v>2000</v>
      </c>
    </row>
    <row r="147" spans="2:14">
      <c r="B147" s="161">
        <v>42683</v>
      </c>
      <c r="C147" s="194" t="s">
        <v>2908</v>
      </c>
      <c r="D147" s="194" t="s">
        <v>2909</v>
      </c>
      <c r="E147" s="194" t="s">
        <v>119</v>
      </c>
      <c r="F147" s="194" t="s">
        <v>2250</v>
      </c>
      <c r="G147" s="194" t="s">
        <v>63</v>
      </c>
      <c r="H147" s="194" t="s">
        <v>485</v>
      </c>
      <c r="I147" s="194" t="s">
        <v>132</v>
      </c>
      <c r="J147" s="194" t="s">
        <v>598</v>
      </c>
      <c r="K147" s="194" t="s">
        <v>598</v>
      </c>
      <c r="L147" s="193">
        <v>0</v>
      </c>
      <c r="M147" s="193">
        <v>2394</v>
      </c>
      <c r="N147" s="193">
        <v>3000</v>
      </c>
    </row>
    <row r="148" spans="2:14">
      <c r="B148" s="161">
        <v>42681</v>
      </c>
      <c r="C148" s="194" t="s">
        <v>2906</v>
      </c>
      <c r="D148" s="194" t="s">
        <v>1808</v>
      </c>
      <c r="E148" s="194" t="s">
        <v>119</v>
      </c>
      <c r="F148" s="194" t="s">
        <v>438</v>
      </c>
      <c r="G148" s="194" t="s">
        <v>63</v>
      </c>
      <c r="H148" s="194" t="s">
        <v>485</v>
      </c>
      <c r="I148" s="194" t="s">
        <v>598</v>
      </c>
      <c r="J148" s="194" t="s">
        <v>598</v>
      </c>
      <c r="K148" s="194" t="s">
        <v>598</v>
      </c>
      <c r="L148" s="193">
        <v>0</v>
      </c>
      <c r="M148" s="193">
        <v>2388</v>
      </c>
      <c r="N148" s="193">
        <v>4500</v>
      </c>
    </row>
    <row r="149" spans="2:14">
      <c r="B149" s="161">
        <v>42679</v>
      </c>
      <c r="C149" s="194" t="s">
        <v>2904</v>
      </c>
      <c r="D149" s="194" t="s">
        <v>2905</v>
      </c>
      <c r="E149" s="194" t="s">
        <v>119</v>
      </c>
      <c r="F149" s="194" t="s">
        <v>2250</v>
      </c>
      <c r="G149" s="194" t="s">
        <v>598</v>
      </c>
      <c r="H149" s="194" t="s">
        <v>485</v>
      </c>
      <c r="I149" s="194" t="s">
        <v>598</v>
      </c>
      <c r="J149" s="194" t="s">
        <v>598</v>
      </c>
      <c r="K149" s="194" t="s">
        <v>598</v>
      </c>
      <c r="L149" s="193">
        <v>0</v>
      </c>
      <c r="M149" s="193">
        <v>2384</v>
      </c>
      <c r="N149" s="193">
        <v>1000</v>
      </c>
    </row>
    <row r="150" spans="2:14">
      <c r="B150" s="161">
        <v>42678</v>
      </c>
      <c r="C150" s="194" t="s">
        <v>2899</v>
      </c>
      <c r="D150" s="194" t="s">
        <v>2900</v>
      </c>
      <c r="E150" s="194" t="s">
        <v>102</v>
      </c>
      <c r="F150" s="194" t="s">
        <v>233</v>
      </c>
      <c r="G150" s="194" t="s">
        <v>598</v>
      </c>
      <c r="H150" s="194" t="s">
        <v>485</v>
      </c>
      <c r="I150" s="194" t="s">
        <v>598</v>
      </c>
      <c r="J150" s="194" t="s">
        <v>598</v>
      </c>
      <c r="K150" s="194" t="s">
        <v>598</v>
      </c>
      <c r="L150" s="193">
        <v>0</v>
      </c>
      <c r="M150" s="193">
        <v>2387</v>
      </c>
      <c r="N150" s="193">
        <v>5000</v>
      </c>
    </row>
    <row r="151" spans="2:14">
      <c r="B151" s="161">
        <v>42676</v>
      </c>
      <c r="C151" s="194" t="s">
        <v>2897</v>
      </c>
      <c r="D151" s="194" t="s">
        <v>2898</v>
      </c>
      <c r="E151" s="194" t="s">
        <v>102</v>
      </c>
      <c r="F151" s="194" t="s">
        <v>437</v>
      </c>
      <c r="G151" s="194" t="s">
        <v>79</v>
      </c>
      <c r="H151" s="194" t="s">
        <v>485</v>
      </c>
      <c r="I151" s="194" t="s">
        <v>134</v>
      </c>
      <c r="J151" s="194" t="s">
        <v>598</v>
      </c>
      <c r="K151" s="194" t="s">
        <v>598</v>
      </c>
      <c r="L151" s="193">
        <v>0</v>
      </c>
      <c r="M151" s="193">
        <v>2379</v>
      </c>
      <c r="N151" s="193">
        <v>3500</v>
      </c>
    </row>
    <row r="152" spans="2:14">
      <c r="B152" s="161">
        <v>42672</v>
      </c>
      <c r="C152" s="194" t="s">
        <v>2887</v>
      </c>
      <c r="D152" s="194" t="s">
        <v>2888</v>
      </c>
      <c r="E152" s="194" t="s">
        <v>119</v>
      </c>
      <c r="F152" s="194" t="s">
        <v>436</v>
      </c>
      <c r="G152" s="194" t="s">
        <v>63</v>
      </c>
      <c r="H152" s="194" t="s">
        <v>485</v>
      </c>
      <c r="I152" s="194" t="s">
        <v>598</v>
      </c>
      <c r="J152" s="194" t="s">
        <v>598</v>
      </c>
      <c r="K152" s="194" t="s">
        <v>598</v>
      </c>
      <c r="L152" s="193">
        <v>0</v>
      </c>
      <c r="M152" s="193">
        <v>2370</v>
      </c>
      <c r="N152" s="193">
        <v>2500</v>
      </c>
    </row>
    <row r="153" spans="2:14">
      <c r="B153" s="161">
        <v>42668</v>
      </c>
      <c r="C153" s="194" t="s">
        <v>2881</v>
      </c>
      <c r="D153" s="194" t="s">
        <v>2882</v>
      </c>
      <c r="E153" s="194" t="s">
        <v>121</v>
      </c>
      <c r="F153" s="194" t="s">
        <v>433</v>
      </c>
      <c r="G153" s="194" t="s">
        <v>63</v>
      </c>
      <c r="H153" s="194" t="s">
        <v>485</v>
      </c>
      <c r="I153" s="194" t="s">
        <v>598</v>
      </c>
      <c r="J153" s="194" t="s">
        <v>598</v>
      </c>
      <c r="K153" s="194" t="s">
        <v>598</v>
      </c>
      <c r="L153" s="193">
        <v>0</v>
      </c>
      <c r="M153" s="193">
        <v>2358</v>
      </c>
      <c r="N153" s="193">
        <v>4000</v>
      </c>
    </row>
    <row r="154" spans="2:14">
      <c r="B154" s="161">
        <v>42665</v>
      </c>
      <c r="C154" s="194" t="s">
        <v>2877</v>
      </c>
      <c r="D154" s="194" t="s">
        <v>2878</v>
      </c>
      <c r="E154" s="194" t="s">
        <v>121</v>
      </c>
      <c r="F154" s="194" t="s">
        <v>162</v>
      </c>
      <c r="G154" s="194" t="s">
        <v>63</v>
      </c>
      <c r="H154" s="194" t="s">
        <v>485</v>
      </c>
      <c r="I154" s="194" t="s">
        <v>135</v>
      </c>
      <c r="J154" s="194" t="s">
        <v>598</v>
      </c>
      <c r="K154" s="194" t="s">
        <v>598</v>
      </c>
      <c r="L154" s="193">
        <v>0</v>
      </c>
      <c r="M154" s="193">
        <v>2359</v>
      </c>
      <c r="N154" s="193">
        <v>2500</v>
      </c>
    </row>
    <row r="155" spans="2:14">
      <c r="B155" s="161">
        <v>42665</v>
      </c>
      <c r="C155" s="194" t="s">
        <v>2879</v>
      </c>
      <c r="D155" s="194" t="s">
        <v>2880</v>
      </c>
      <c r="E155" s="194" t="s">
        <v>121</v>
      </c>
      <c r="F155" s="194" t="s">
        <v>347</v>
      </c>
      <c r="G155" s="194" t="s">
        <v>63</v>
      </c>
      <c r="H155" s="194" t="s">
        <v>485</v>
      </c>
      <c r="I155" s="194" t="s">
        <v>598</v>
      </c>
      <c r="J155" s="194" t="s">
        <v>598</v>
      </c>
      <c r="K155" s="194" t="s">
        <v>598</v>
      </c>
      <c r="L155" s="193">
        <v>0</v>
      </c>
      <c r="M155" s="193">
        <v>0</v>
      </c>
      <c r="N155" s="193">
        <v>0</v>
      </c>
    </row>
    <row r="156" spans="2:14">
      <c r="B156" s="161">
        <v>42659</v>
      </c>
      <c r="C156" s="194" t="s">
        <v>2883</v>
      </c>
      <c r="D156" s="194" t="s">
        <v>2884</v>
      </c>
      <c r="E156" s="194" t="s">
        <v>102</v>
      </c>
      <c r="F156" s="194" t="s">
        <v>434</v>
      </c>
      <c r="G156" s="194" t="s">
        <v>63</v>
      </c>
      <c r="H156" s="194" t="s">
        <v>485</v>
      </c>
      <c r="I156" s="194" t="s">
        <v>134</v>
      </c>
      <c r="J156" s="194" t="s">
        <v>598</v>
      </c>
      <c r="K156" s="194" t="s">
        <v>598</v>
      </c>
      <c r="L156" s="193">
        <v>0</v>
      </c>
      <c r="M156" s="193">
        <v>2347</v>
      </c>
      <c r="N156" s="193">
        <v>4000</v>
      </c>
    </row>
    <row r="157" spans="2:14">
      <c r="B157" s="161">
        <v>42657</v>
      </c>
      <c r="C157" s="194" t="s">
        <v>2873</v>
      </c>
      <c r="D157" s="194" t="s">
        <v>2874</v>
      </c>
      <c r="E157" s="194" t="s">
        <v>121</v>
      </c>
      <c r="F157" s="194" t="s">
        <v>425</v>
      </c>
      <c r="G157" s="194" t="s">
        <v>598</v>
      </c>
      <c r="H157" s="194" t="s">
        <v>485</v>
      </c>
      <c r="I157" s="194" t="s">
        <v>134</v>
      </c>
      <c r="J157" s="194" t="s">
        <v>598</v>
      </c>
      <c r="K157" s="194" t="s">
        <v>598</v>
      </c>
      <c r="L157" s="193">
        <v>0</v>
      </c>
      <c r="M157" s="193">
        <v>2335</v>
      </c>
      <c r="N157" s="193">
        <v>3000</v>
      </c>
    </row>
    <row r="158" spans="2:14">
      <c r="B158" s="161">
        <v>42657</v>
      </c>
      <c r="C158" s="194" t="s">
        <v>2875</v>
      </c>
      <c r="D158" s="194" t="s">
        <v>2876</v>
      </c>
      <c r="E158" s="194" t="s">
        <v>121</v>
      </c>
      <c r="F158" s="194" t="s">
        <v>425</v>
      </c>
      <c r="G158" s="194" t="s">
        <v>598</v>
      </c>
      <c r="H158" s="194" t="s">
        <v>485</v>
      </c>
      <c r="I158" s="194" t="s">
        <v>134</v>
      </c>
      <c r="J158" s="194" t="s">
        <v>598</v>
      </c>
      <c r="K158" s="194" t="s">
        <v>598</v>
      </c>
      <c r="L158" s="193">
        <v>0</v>
      </c>
      <c r="M158" s="193">
        <v>2340</v>
      </c>
      <c r="N158" s="193">
        <v>1500</v>
      </c>
    </row>
    <row r="159" spans="2:14">
      <c r="B159" s="161">
        <v>42656</v>
      </c>
      <c r="C159" s="194" t="s">
        <v>2870</v>
      </c>
      <c r="D159" s="194" t="s">
        <v>2871</v>
      </c>
      <c r="E159" s="194" t="s">
        <v>121</v>
      </c>
      <c r="F159" s="194" t="s">
        <v>208</v>
      </c>
      <c r="G159" s="194" t="s">
        <v>2872</v>
      </c>
      <c r="H159" s="194" t="s">
        <v>485</v>
      </c>
      <c r="I159" s="194" t="s">
        <v>134</v>
      </c>
      <c r="J159" s="194" t="s">
        <v>598</v>
      </c>
      <c r="K159" s="194" t="s">
        <v>598</v>
      </c>
      <c r="L159" s="193">
        <v>0</v>
      </c>
      <c r="M159" s="193">
        <v>2331</v>
      </c>
      <c r="N159" s="193">
        <v>2000</v>
      </c>
    </row>
    <row r="160" spans="2:14">
      <c r="B160" s="161">
        <v>42647</v>
      </c>
      <c r="C160" s="194" t="s">
        <v>2885</v>
      </c>
      <c r="D160" s="194" t="s">
        <v>2886</v>
      </c>
      <c r="E160" s="194" t="s">
        <v>119</v>
      </c>
      <c r="F160" s="194" t="s">
        <v>435</v>
      </c>
      <c r="G160" s="194" t="s">
        <v>63</v>
      </c>
      <c r="H160" s="194" t="s">
        <v>485</v>
      </c>
      <c r="I160" s="194" t="s">
        <v>598</v>
      </c>
      <c r="J160" s="194" t="s">
        <v>598</v>
      </c>
      <c r="K160" s="194" t="s">
        <v>598</v>
      </c>
      <c r="L160" s="193">
        <v>0</v>
      </c>
      <c r="M160" s="193">
        <v>2336</v>
      </c>
      <c r="N160" s="193">
        <v>3000</v>
      </c>
    </row>
    <row r="161" spans="2:14">
      <c r="B161" s="161">
        <v>42634</v>
      </c>
      <c r="C161" s="194" t="s">
        <v>2866</v>
      </c>
      <c r="D161" s="194" t="s">
        <v>2867</v>
      </c>
      <c r="E161" s="194" t="s">
        <v>121</v>
      </c>
      <c r="F161" s="194" t="s">
        <v>2699</v>
      </c>
      <c r="G161" s="194" t="s">
        <v>63</v>
      </c>
      <c r="H161" s="194" t="s">
        <v>485</v>
      </c>
      <c r="I161" s="194" t="s">
        <v>598</v>
      </c>
      <c r="J161" s="194" t="s">
        <v>598</v>
      </c>
      <c r="K161" s="194" t="s">
        <v>598</v>
      </c>
      <c r="L161" s="193">
        <v>0</v>
      </c>
      <c r="M161" s="193">
        <v>2305</v>
      </c>
      <c r="N161" s="193">
        <v>2500</v>
      </c>
    </row>
    <row r="162" spans="2:14">
      <c r="B162" s="161">
        <v>42625</v>
      </c>
      <c r="C162" s="194" t="s">
        <v>2868</v>
      </c>
      <c r="D162" s="194" t="s">
        <v>2869</v>
      </c>
      <c r="E162" s="194" t="s">
        <v>119</v>
      </c>
      <c r="F162" s="194" t="s">
        <v>432</v>
      </c>
      <c r="G162" s="194" t="s">
        <v>63</v>
      </c>
      <c r="H162" s="194" t="s">
        <v>485</v>
      </c>
      <c r="I162" s="194" t="s">
        <v>48</v>
      </c>
      <c r="J162" s="194" t="s">
        <v>598</v>
      </c>
      <c r="K162" s="194" t="s">
        <v>598</v>
      </c>
      <c r="L162" s="193">
        <v>0</v>
      </c>
      <c r="M162" s="193">
        <v>2188</v>
      </c>
      <c r="N162" s="193">
        <v>7500</v>
      </c>
    </row>
    <row r="163" spans="2:14">
      <c r="B163" s="161">
        <v>42617</v>
      </c>
      <c r="C163" s="194" t="s">
        <v>2864</v>
      </c>
      <c r="D163" s="194" t="s">
        <v>2865</v>
      </c>
      <c r="E163" s="194" t="s">
        <v>121</v>
      </c>
      <c r="F163" s="194" t="s">
        <v>431</v>
      </c>
      <c r="G163" s="194" t="s">
        <v>63</v>
      </c>
      <c r="H163" s="194" t="s">
        <v>485</v>
      </c>
      <c r="I163" s="194" t="s">
        <v>598</v>
      </c>
      <c r="J163" s="194" t="s">
        <v>598</v>
      </c>
      <c r="K163" s="194" t="s">
        <v>598</v>
      </c>
      <c r="L163" s="193">
        <v>0</v>
      </c>
      <c r="M163" s="193">
        <v>2174</v>
      </c>
      <c r="N163" s="193">
        <v>1500</v>
      </c>
    </row>
    <row r="164" spans="2:14">
      <c r="B164" s="161">
        <v>42606</v>
      </c>
      <c r="C164" s="194" t="s">
        <v>2852</v>
      </c>
      <c r="D164" s="194" t="s">
        <v>2853</v>
      </c>
      <c r="E164" s="194" t="s">
        <v>121</v>
      </c>
      <c r="F164" s="194" t="s">
        <v>430</v>
      </c>
      <c r="G164" s="194" t="s">
        <v>598</v>
      </c>
      <c r="H164" s="194" t="s">
        <v>485</v>
      </c>
      <c r="I164" s="194" t="s">
        <v>134</v>
      </c>
      <c r="J164" s="194" t="s">
        <v>598</v>
      </c>
      <c r="K164" s="194" t="s">
        <v>598</v>
      </c>
      <c r="L164" s="193">
        <v>0</v>
      </c>
      <c r="M164" s="193">
        <v>2165</v>
      </c>
      <c r="N164" s="193">
        <v>4400</v>
      </c>
    </row>
    <row r="165" spans="2:14">
      <c r="B165" s="161">
        <v>42606</v>
      </c>
      <c r="C165" s="194" t="s">
        <v>2854</v>
      </c>
      <c r="D165" s="194" t="s">
        <v>2855</v>
      </c>
      <c r="E165" s="194" t="s">
        <v>121</v>
      </c>
      <c r="F165" s="194" t="s">
        <v>420</v>
      </c>
      <c r="G165" s="194" t="s">
        <v>63</v>
      </c>
      <c r="H165" s="194" t="s">
        <v>485</v>
      </c>
      <c r="I165" s="194" t="s">
        <v>598</v>
      </c>
      <c r="J165" s="194" t="s">
        <v>598</v>
      </c>
      <c r="K165" s="194" t="s">
        <v>598</v>
      </c>
      <c r="L165" s="193">
        <v>0</v>
      </c>
      <c r="M165" s="193">
        <v>2157</v>
      </c>
      <c r="N165" s="193">
        <v>2000</v>
      </c>
    </row>
    <row r="166" spans="2:14">
      <c r="B166" s="161">
        <v>42596</v>
      </c>
      <c r="C166" s="194" t="s">
        <v>2850</v>
      </c>
      <c r="D166" s="194" t="s">
        <v>2851</v>
      </c>
      <c r="E166" s="194" t="s">
        <v>121</v>
      </c>
      <c r="F166" s="194" t="s">
        <v>418</v>
      </c>
      <c r="G166" s="194" t="s">
        <v>63</v>
      </c>
      <c r="H166" s="194" t="s">
        <v>485</v>
      </c>
      <c r="I166" s="194" t="s">
        <v>598</v>
      </c>
      <c r="J166" s="194" t="s">
        <v>598</v>
      </c>
      <c r="K166" s="194" t="s">
        <v>598</v>
      </c>
      <c r="L166" s="193">
        <v>0</v>
      </c>
      <c r="M166" s="193">
        <v>2144</v>
      </c>
      <c r="N166" s="193">
        <v>1700</v>
      </c>
    </row>
    <row r="167" spans="2:14">
      <c r="B167" s="161">
        <v>42591</v>
      </c>
      <c r="C167" s="194" t="s">
        <v>2860</v>
      </c>
      <c r="D167" s="194" t="s">
        <v>2861</v>
      </c>
      <c r="E167" s="194" t="s">
        <v>116</v>
      </c>
      <c r="F167" s="194" t="s">
        <v>299</v>
      </c>
      <c r="G167" s="194" t="s">
        <v>598</v>
      </c>
      <c r="H167" s="194" t="s">
        <v>485</v>
      </c>
      <c r="I167" s="194" t="s">
        <v>598</v>
      </c>
      <c r="J167" s="194" t="s">
        <v>598</v>
      </c>
      <c r="K167" s="194" t="s">
        <v>598</v>
      </c>
      <c r="L167" s="193">
        <v>0</v>
      </c>
      <c r="M167" s="193">
        <v>2123</v>
      </c>
      <c r="N167" s="193">
        <v>2500</v>
      </c>
    </row>
    <row r="168" spans="2:14">
      <c r="B168" s="161">
        <v>42591</v>
      </c>
      <c r="C168" s="194" t="s">
        <v>2862</v>
      </c>
      <c r="D168" s="194" t="s">
        <v>2863</v>
      </c>
      <c r="E168" s="194" t="s">
        <v>116</v>
      </c>
      <c r="F168" s="194" t="s">
        <v>299</v>
      </c>
      <c r="G168" s="194" t="s">
        <v>598</v>
      </c>
      <c r="H168" s="194" t="s">
        <v>485</v>
      </c>
      <c r="I168" s="194" t="s">
        <v>598</v>
      </c>
      <c r="J168" s="194" t="s">
        <v>598</v>
      </c>
      <c r="K168" s="194" t="s">
        <v>598</v>
      </c>
      <c r="L168" s="193">
        <v>0</v>
      </c>
      <c r="M168" s="193">
        <v>2124</v>
      </c>
      <c r="N168" s="193">
        <v>2500</v>
      </c>
    </row>
    <row r="169" spans="2:14">
      <c r="B169" s="161">
        <v>42590</v>
      </c>
      <c r="C169" s="194" t="s">
        <v>2858</v>
      </c>
      <c r="D169" s="194" t="s">
        <v>2859</v>
      </c>
      <c r="E169" s="194" t="s">
        <v>102</v>
      </c>
      <c r="F169" s="194" t="s">
        <v>233</v>
      </c>
      <c r="G169" s="194" t="s">
        <v>63</v>
      </c>
      <c r="H169" s="194" t="s">
        <v>485</v>
      </c>
      <c r="I169" s="194" t="s">
        <v>134</v>
      </c>
      <c r="J169" s="194" t="s">
        <v>598</v>
      </c>
      <c r="K169" s="194" t="s">
        <v>598</v>
      </c>
      <c r="L169" s="193">
        <v>0</v>
      </c>
      <c r="M169" s="193">
        <v>0</v>
      </c>
      <c r="N169" s="193">
        <v>10000</v>
      </c>
    </row>
    <row r="170" spans="2:14">
      <c r="B170" s="161">
        <v>42586</v>
      </c>
      <c r="C170" s="194" t="s">
        <v>2856</v>
      </c>
      <c r="D170" s="194" t="s">
        <v>2857</v>
      </c>
      <c r="E170" s="194" t="s">
        <v>102</v>
      </c>
      <c r="F170" s="194" t="s">
        <v>233</v>
      </c>
      <c r="G170" s="194" t="s">
        <v>63</v>
      </c>
      <c r="H170" s="194" t="s">
        <v>485</v>
      </c>
      <c r="I170" s="194" t="s">
        <v>598</v>
      </c>
      <c r="J170" s="194" t="s">
        <v>598</v>
      </c>
      <c r="K170" s="194" t="s">
        <v>598</v>
      </c>
      <c r="L170" s="193">
        <v>0</v>
      </c>
      <c r="M170" s="193">
        <v>2129</v>
      </c>
      <c r="N170" s="193">
        <v>1000</v>
      </c>
    </row>
    <row r="171" spans="2:14">
      <c r="B171" s="161">
        <v>42583</v>
      </c>
      <c r="C171" s="194" t="s">
        <v>2846</v>
      </c>
      <c r="D171" s="194" t="s">
        <v>2847</v>
      </c>
      <c r="E171" s="194" t="s">
        <v>121</v>
      </c>
      <c r="F171" s="194" t="s">
        <v>425</v>
      </c>
      <c r="G171" s="194" t="s">
        <v>63</v>
      </c>
      <c r="H171" s="194" t="s">
        <v>485</v>
      </c>
      <c r="I171" s="194" t="s">
        <v>134</v>
      </c>
      <c r="J171" s="194" t="s">
        <v>598</v>
      </c>
      <c r="K171" s="194" t="s">
        <v>598</v>
      </c>
      <c r="L171" s="193">
        <v>0</v>
      </c>
      <c r="M171" s="193">
        <v>2113</v>
      </c>
      <c r="N171" s="193">
        <v>2500</v>
      </c>
    </row>
    <row r="172" spans="2:14">
      <c r="B172" s="161">
        <v>42583</v>
      </c>
      <c r="C172" s="194" t="s">
        <v>2848</v>
      </c>
      <c r="D172" s="194" t="s">
        <v>2849</v>
      </c>
      <c r="E172" s="194" t="s">
        <v>121</v>
      </c>
      <c r="F172" s="194" t="s">
        <v>425</v>
      </c>
      <c r="G172" s="194" t="s">
        <v>30</v>
      </c>
      <c r="H172" s="194" t="s">
        <v>485</v>
      </c>
      <c r="I172" s="194" t="s">
        <v>134</v>
      </c>
      <c r="J172" s="194" t="s">
        <v>598</v>
      </c>
      <c r="K172" s="194" t="s">
        <v>598</v>
      </c>
      <c r="L172" s="193">
        <v>0</v>
      </c>
      <c r="M172" s="193">
        <v>2114</v>
      </c>
      <c r="N172" s="193">
        <v>2500</v>
      </c>
    </row>
    <row r="173" spans="2:14">
      <c r="B173" s="161">
        <v>42579</v>
      </c>
      <c r="C173" s="194" t="s">
        <v>2844</v>
      </c>
      <c r="D173" s="194" t="s">
        <v>2845</v>
      </c>
      <c r="E173" s="194" t="s">
        <v>121</v>
      </c>
      <c r="F173" s="194" t="s">
        <v>2699</v>
      </c>
      <c r="G173" s="194" t="s">
        <v>63</v>
      </c>
      <c r="H173" s="194" t="s">
        <v>485</v>
      </c>
      <c r="I173" s="194" t="s">
        <v>598</v>
      </c>
      <c r="J173" s="194" t="s">
        <v>598</v>
      </c>
      <c r="K173" s="194" t="s">
        <v>598</v>
      </c>
      <c r="L173" s="193">
        <v>0</v>
      </c>
      <c r="M173" s="193">
        <v>2112</v>
      </c>
      <c r="N173" s="193">
        <v>2000</v>
      </c>
    </row>
    <row r="174" spans="2:14">
      <c r="B174" s="161">
        <v>42573</v>
      </c>
      <c r="C174" s="194" t="s">
        <v>2842</v>
      </c>
      <c r="D174" s="194" t="s">
        <v>2843</v>
      </c>
      <c r="E174" s="194" t="s">
        <v>121</v>
      </c>
      <c r="F174" s="194" t="s">
        <v>278</v>
      </c>
      <c r="G174" s="194" t="s">
        <v>63</v>
      </c>
      <c r="H174" s="194" t="s">
        <v>485</v>
      </c>
      <c r="I174" s="194" t="s">
        <v>598</v>
      </c>
      <c r="J174" s="194" t="s">
        <v>598</v>
      </c>
      <c r="K174" s="194" t="s">
        <v>598</v>
      </c>
      <c r="L174" s="193">
        <v>0</v>
      </c>
      <c r="M174" s="193">
        <v>0</v>
      </c>
      <c r="N174" s="193">
        <v>3000</v>
      </c>
    </row>
    <row r="175" spans="2:14">
      <c r="B175" s="161">
        <v>42572</v>
      </c>
      <c r="C175" s="194" t="s">
        <v>2840</v>
      </c>
      <c r="D175" s="194" t="s">
        <v>2841</v>
      </c>
      <c r="E175" s="194" t="s">
        <v>121</v>
      </c>
      <c r="F175" s="194" t="s">
        <v>429</v>
      </c>
      <c r="G175" s="194" t="s">
        <v>63</v>
      </c>
      <c r="H175" s="194" t="s">
        <v>485</v>
      </c>
      <c r="I175" s="194" t="s">
        <v>598</v>
      </c>
      <c r="J175" s="194" t="s">
        <v>598</v>
      </c>
      <c r="K175" s="194" t="s">
        <v>598</v>
      </c>
      <c r="L175" s="193">
        <v>0</v>
      </c>
      <c r="M175" s="193">
        <v>1996</v>
      </c>
      <c r="N175" s="193">
        <v>2000</v>
      </c>
    </row>
    <row r="176" spans="2:14">
      <c r="B176" s="161">
        <v>42565</v>
      </c>
      <c r="C176" s="194" t="s">
        <v>2838</v>
      </c>
      <c r="D176" s="194" t="s">
        <v>2839</v>
      </c>
      <c r="E176" s="194" t="s">
        <v>121</v>
      </c>
      <c r="F176" s="194" t="s">
        <v>417</v>
      </c>
      <c r="G176" s="194" t="s">
        <v>63</v>
      </c>
      <c r="H176" s="194" t="s">
        <v>485</v>
      </c>
      <c r="I176" s="194" t="s">
        <v>134</v>
      </c>
      <c r="J176" s="194" t="s">
        <v>598</v>
      </c>
      <c r="K176" s="194" t="s">
        <v>598</v>
      </c>
      <c r="L176" s="193">
        <v>0</v>
      </c>
      <c r="M176" s="193">
        <v>0</v>
      </c>
      <c r="N176" s="193">
        <v>0</v>
      </c>
    </row>
    <row r="177" spans="2:14">
      <c r="B177" s="161">
        <v>42562</v>
      </c>
      <c r="C177" s="194" t="s">
        <v>2836</v>
      </c>
      <c r="D177" s="194" t="s">
        <v>2837</v>
      </c>
      <c r="E177" s="194" t="s">
        <v>121</v>
      </c>
      <c r="F177" s="194" t="s">
        <v>219</v>
      </c>
      <c r="G177" s="194" t="s">
        <v>63</v>
      </c>
      <c r="H177" s="194" t="s">
        <v>485</v>
      </c>
      <c r="I177" s="194" t="s">
        <v>598</v>
      </c>
      <c r="J177" s="194" t="s">
        <v>598</v>
      </c>
      <c r="K177" s="194" t="s">
        <v>598</v>
      </c>
      <c r="L177" s="193">
        <v>0</v>
      </c>
      <c r="M177" s="193">
        <v>1981</v>
      </c>
      <c r="N177" s="193">
        <v>2000</v>
      </c>
    </row>
    <row r="178" spans="2:14">
      <c r="B178" s="161">
        <v>42554</v>
      </c>
      <c r="C178" s="194" t="s">
        <v>2834</v>
      </c>
      <c r="D178" s="194" t="s">
        <v>2835</v>
      </c>
      <c r="E178" s="194" t="s">
        <v>121</v>
      </c>
      <c r="F178" s="194" t="s">
        <v>207</v>
      </c>
      <c r="G178" s="194" t="s">
        <v>598</v>
      </c>
      <c r="H178" s="194" t="s">
        <v>485</v>
      </c>
      <c r="I178" s="194" t="s">
        <v>134</v>
      </c>
      <c r="J178" s="194" t="s">
        <v>598</v>
      </c>
      <c r="K178" s="194" t="s">
        <v>598</v>
      </c>
      <c r="L178" s="193">
        <v>0</v>
      </c>
      <c r="M178" s="193">
        <v>0</v>
      </c>
      <c r="N178" s="193">
        <v>0</v>
      </c>
    </row>
    <row r="179" spans="2:14">
      <c r="B179" s="161">
        <v>42551</v>
      </c>
      <c r="C179" s="194" t="s">
        <v>2829</v>
      </c>
      <c r="D179" s="194" t="s">
        <v>682</v>
      </c>
      <c r="E179" s="194" t="s">
        <v>121</v>
      </c>
      <c r="F179" s="194" t="s">
        <v>425</v>
      </c>
      <c r="G179" s="194" t="s">
        <v>63</v>
      </c>
      <c r="H179" s="194" t="s">
        <v>485</v>
      </c>
      <c r="I179" s="194" t="s">
        <v>598</v>
      </c>
      <c r="J179" s="194" t="s">
        <v>598</v>
      </c>
      <c r="K179" s="194" t="s">
        <v>598</v>
      </c>
      <c r="L179" s="193">
        <v>0</v>
      </c>
      <c r="M179" s="193">
        <v>2107</v>
      </c>
      <c r="N179" s="193">
        <v>3000</v>
      </c>
    </row>
    <row r="180" spans="2:14">
      <c r="B180" s="161">
        <v>42551</v>
      </c>
      <c r="C180" s="194" t="s">
        <v>2830</v>
      </c>
      <c r="D180" s="194" t="s">
        <v>2831</v>
      </c>
      <c r="E180" s="194" t="s">
        <v>121</v>
      </c>
      <c r="F180" s="194" t="s">
        <v>425</v>
      </c>
      <c r="G180" s="194" t="s">
        <v>63</v>
      </c>
      <c r="H180" s="194" t="s">
        <v>485</v>
      </c>
      <c r="I180" s="194" t="s">
        <v>598</v>
      </c>
      <c r="J180" s="194" t="s">
        <v>598</v>
      </c>
      <c r="K180" s="194" t="s">
        <v>598</v>
      </c>
      <c r="L180" s="193">
        <v>0</v>
      </c>
      <c r="M180" s="193">
        <v>1954</v>
      </c>
      <c r="N180" s="193">
        <v>3500</v>
      </c>
    </row>
    <row r="181" spans="2:14">
      <c r="B181" s="161">
        <v>42539</v>
      </c>
      <c r="C181" s="194" t="s">
        <v>2827</v>
      </c>
      <c r="D181" s="194" t="s">
        <v>2828</v>
      </c>
      <c r="E181" s="194" t="s">
        <v>121</v>
      </c>
      <c r="F181" s="194" t="s">
        <v>428</v>
      </c>
      <c r="G181" s="194" t="s">
        <v>63</v>
      </c>
      <c r="H181" s="194" t="s">
        <v>485</v>
      </c>
      <c r="I181" s="194" t="s">
        <v>125</v>
      </c>
      <c r="J181" s="194" t="s">
        <v>598</v>
      </c>
      <c r="K181" s="194" t="s">
        <v>598</v>
      </c>
      <c r="L181" s="193">
        <v>0</v>
      </c>
      <c r="M181" s="193">
        <v>1928</v>
      </c>
      <c r="N181" s="193">
        <v>5000</v>
      </c>
    </row>
    <row r="182" spans="2:14">
      <c r="B182" s="161">
        <v>42537</v>
      </c>
      <c r="C182" s="194" t="s">
        <v>2824</v>
      </c>
      <c r="D182" s="194" t="s">
        <v>2825</v>
      </c>
      <c r="E182" s="194" t="s">
        <v>121</v>
      </c>
      <c r="F182" s="194" t="s">
        <v>2826</v>
      </c>
      <c r="G182" s="194" t="s">
        <v>2692</v>
      </c>
      <c r="H182" s="194" t="s">
        <v>485</v>
      </c>
      <c r="I182" s="194" t="s">
        <v>120</v>
      </c>
      <c r="J182" s="194" t="s">
        <v>598</v>
      </c>
      <c r="K182" s="194" t="s">
        <v>598</v>
      </c>
      <c r="L182" s="193">
        <v>0</v>
      </c>
      <c r="M182" s="193">
        <v>1924</v>
      </c>
      <c r="N182" s="193">
        <v>10000</v>
      </c>
    </row>
    <row r="183" spans="2:14">
      <c r="B183" s="161">
        <v>42535</v>
      </c>
      <c r="C183" s="194" t="s">
        <v>2822</v>
      </c>
      <c r="D183" s="194" t="s">
        <v>2823</v>
      </c>
      <c r="E183" s="194" t="s">
        <v>121</v>
      </c>
      <c r="F183" s="194" t="s">
        <v>427</v>
      </c>
      <c r="G183" s="194" t="s">
        <v>63</v>
      </c>
      <c r="H183" s="194" t="s">
        <v>485</v>
      </c>
      <c r="I183" s="194" t="s">
        <v>132</v>
      </c>
      <c r="J183" s="194" t="s">
        <v>598</v>
      </c>
      <c r="K183" s="194" t="s">
        <v>598</v>
      </c>
      <c r="L183" s="193">
        <v>0</v>
      </c>
      <c r="M183" s="193">
        <v>1912</v>
      </c>
      <c r="N183" s="193">
        <v>3400</v>
      </c>
    </row>
    <row r="184" spans="2:14">
      <c r="B184" s="161">
        <v>42524</v>
      </c>
      <c r="C184" s="194" t="s">
        <v>2816</v>
      </c>
      <c r="D184" s="194" t="s">
        <v>2817</v>
      </c>
      <c r="E184" s="194" t="s">
        <v>121</v>
      </c>
      <c r="F184" s="194" t="s">
        <v>425</v>
      </c>
      <c r="G184" s="194" t="s">
        <v>30</v>
      </c>
      <c r="H184" s="194" t="s">
        <v>485</v>
      </c>
      <c r="I184" s="194" t="s">
        <v>134</v>
      </c>
      <c r="J184" s="194" t="s">
        <v>598</v>
      </c>
      <c r="K184" s="194" t="s">
        <v>598</v>
      </c>
      <c r="L184" s="193">
        <v>0</v>
      </c>
      <c r="M184" s="193">
        <v>1686</v>
      </c>
      <c r="N184" s="193">
        <v>3500</v>
      </c>
    </row>
    <row r="185" spans="2:14">
      <c r="B185" s="161">
        <v>42524</v>
      </c>
      <c r="C185" s="194" t="s">
        <v>2818</v>
      </c>
      <c r="D185" s="194" t="s">
        <v>2819</v>
      </c>
      <c r="E185" s="194" t="s">
        <v>121</v>
      </c>
      <c r="F185" s="194" t="s">
        <v>425</v>
      </c>
      <c r="G185" s="194" t="s">
        <v>30</v>
      </c>
      <c r="H185" s="194" t="s">
        <v>485</v>
      </c>
      <c r="I185" s="194" t="s">
        <v>598</v>
      </c>
      <c r="J185" s="194" t="s">
        <v>598</v>
      </c>
      <c r="K185" s="194" t="s">
        <v>598</v>
      </c>
      <c r="L185" s="193">
        <v>0</v>
      </c>
      <c r="M185" s="193">
        <v>1687</v>
      </c>
      <c r="N185" s="193">
        <v>3500</v>
      </c>
    </row>
    <row r="186" spans="2:14">
      <c r="B186" s="161">
        <v>42524</v>
      </c>
      <c r="C186" s="194" t="s">
        <v>2820</v>
      </c>
      <c r="D186" s="194" t="s">
        <v>2821</v>
      </c>
      <c r="E186" s="194" t="s">
        <v>121</v>
      </c>
      <c r="F186" s="194" t="s">
        <v>426</v>
      </c>
      <c r="G186" s="194" t="s">
        <v>63</v>
      </c>
      <c r="H186" s="194" t="s">
        <v>485</v>
      </c>
      <c r="I186" s="194" t="s">
        <v>134</v>
      </c>
      <c r="J186" s="194" t="s">
        <v>598</v>
      </c>
      <c r="K186" s="194" t="s">
        <v>598</v>
      </c>
      <c r="L186" s="193">
        <v>0</v>
      </c>
      <c r="M186" s="193">
        <v>0</v>
      </c>
      <c r="N186" s="193">
        <v>3000</v>
      </c>
    </row>
    <row r="187" spans="2:14">
      <c r="B187" s="161">
        <v>42523</v>
      </c>
      <c r="C187" s="194" t="s">
        <v>2832</v>
      </c>
      <c r="D187" s="194" t="s">
        <v>2833</v>
      </c>
      <c r="E187" s="194" t="s">
        <v>119</v>
      </c>
      <c r="F187" s="194" t="s">
        <v>162</v>
      </c>
      <c r="G187" s="194" t="s">
        <v>63</v>
      </c>
      <c r="H187" s="194" t="s">
        <v>485</v>
      </c>
      <c r="I187" s="194" t="s">
        <v>598</v>
      </c>
      <c r="J187" s="194" t="s">
        <v>598</v>
      </c>
      <c r="K187" s="194" t="s">
        <v>598</v>
      </c>
      <c r="L187" s="193">
        <v>0</v>
      </c>
      <c r="M187" s="193">
        <v>0</v>
      </c>
      <c r="N187" s="193">
        <v>10000</v>
      </c>
    </row>
    <row r="188" spans="2:14">
      <c r="B188" s="161">
        <v>42517</v>
      </c>
      <c r="C188" s="194" t="s">
        <v>2808</v>
      </c>
      <c r="D188" s="194" t="s">
        <v>2809</v>
      </c>
      <c r="E188" s="194" t="s">
        <v>121</v>
      </c>
      <c r="F188" s="194" t="s">
        <v>225</v>
      </c>
      <c r="G188" s="194" t="s">
        <v>30</v>
      </c>
      <c r="H188" s="194" t="s">
        <v>485</v>
      </c>
      <c r="I188" s="194" t="s">
        <v>134</v>
      </c>
      <c r="J188" s="194" t="s">
        <v>598</v>
      </c>
      <c r="K188" s="194" t="s">
        <v>598</v>
      </c>
      <c r="L188" s="193">
        <v>0</v>
      </c>
      <c r="M188" s="193">
        <v>1663</v>
      </c>
      <c r="N188" s="193">
        <v>3500</v>
      </c>
    </row>
    <row r="189" spans="2:14">
      <c r="B189" s="161">
        <v>42516</v>
      </c>
      <c r="C189" s="194" t="s">
        <v>2812</v>
      </c>
      <c r="D189" s="194" t="s">
        <v>2813</v>
      </c>
      <c r="E189" s="194" t="s">
        <v>102</v>
      </c>
      <c r="F189" s="194" t="s">
        <v>424</v>
      </c>
      <c r="G189" s="194" t="s">
        <v>63</v>
      </c>
      <c r="H189" s="194" t="s">
        <v>485</v>
      </c>
      <c r="I189" s="194" t="s">
        <v>598</v>
      </c>
      <c r="J189" s="194" t="s">
        <v>598</v>
      </c>
      <c r="K189" s="194" t="s">
        <v>598</v>
      </c>
      <c r="L189" s="193">
        <v>0</v>
      </c>
      <c r="M189" s="193">
        <v>1664</v>
      </c>
      <c r="N189" s="193">
        <v>1500</v>
      </c>
    </row>
    <row r="190" spans="2:14">
      <c r="B190" s="161">
        <v>42514</v>
      </c>
      <c r="C190" s="194" t="s">
        <v>2810</v>
      </c>
      <c r="D190" s="194" t="s">
        <v>2811</v>
      </c>
      <c r="E190" s="194" t="s">
        <v>102</v>
      </c>
      <c r="F190" s="194" t="s">
        <v>183</v>
      </c>
      <c r="G190" s="194" t="s">
        <v>63</v>
      </c>
      <c r="H190" s="194" t="s">
        <v>485</v>
      </c>
      <c r="I190" s="194" t="s">
        <v>598</v>
      </c>
      <c r="J190" s="194" t="s">
        <v>598</v>
      </c>
      <c r="K190" s="194" t="s">
        <v>598</v>
      </c>
      <c r="L190" s="193">
        <v>0</v>
      </c>
      <c r="M190" s="193">
        <v>1646</v>
      </c>
      <c r="N190" s="193">
        <v>1000</v>
      </c>
    </row>
    <row r="191" spans="2:14">
      <c r="B191" s="161">
        <v>42509</v>
      </c>
      <c r="C191" s="194" t="s">
        <v>2806</v>
      </c>
      <c r="D191" s="194" t="s">
        <v>2807</v>
      </c>
      <c r="E191" s="194" t="s">
        <v>121</v>
      </c>
      <c r="F191" s="194" t="s">
        <v>423</v>
      </c>
      <c r="G191" s="194" t="s">
        <v>30</v>
      </c>
      <c r="H191" s="194" t="s">
        <v>485</v>
      </c>
      <c r="I191" s="194" t="s">
        <v>598</v>
      </c>
      <c r="J191" s="194" t="s">
        <v>598</v>
      </c>
      <c r="K191" s="194" t="s">
        <v>598</v>
      </c>
      <c r="L191" s="193">
        <v>0</v>
      </c>
      <c r="M191" s="193">
        <v>1655</v>
      </c>
      <c r="N191" s="193">
        <v>3000</v>
      </c>
    </row>
    <row r="192" spans="2:14">
      <c r="B192" s="161">
        <v>42508</v>
      </c>
      <c r="C192" s="194" t="s">
        <v>2801</v>
      </c>
      <c r="D192" s="194" t="s">
        <v>2802</v>
      </c>
      <c r="E192" s="194" t="s">
        <v>121</v>
      </c>
      <c r="F192" s="194" t="s">
        <v>208</v>
      </c>
      <c r="G192" s="194" t="s">
        <v>63</v>
      </c>
      <c r="H192" s="194" t="s">
        <v>485</v>
      </c>
      <c r="I192" s="194" t="s">
        <v>598</v>
      </c>
      <c r="J192" s="194" t="s">
        <v>598</v>
      </c>
      <c r="K192" s="194" t="s">
        <v>598</v>
      </c>
      <c r="L192" s="193">
        <v>0</v>
      </c>
      <c r="M192" s="193">
        <v>0</v>
      </c>
      <c r="N192" s="193">
        <v>3500</v>
      </c>
    </row>
    <row r="193" spans="2:14">
      <c r="B193" s="161">
        <v>42507</v>
      </c>
      <c r="C193" s="194" t="s">
        <v>2804</v>
      </c>
      <c r="D193" s="194" t="s">
        <v>2805</v>
      </c>
      <c r="E193" s="194" t="s">
        <v>121</v>
      </c>
      <c r="F193" s="194" t="s">
        <v>422</v>
      </c>
      <c r="G193" s="194" t="s">
        <v>598</v>
      </c>
      <c r="H193" s="194" t="s">
        <v>485</v>
      </c>
      <c r="I193" s="194" t="s">
        <v>598</v>
      </c>
      <c r="J193" s="194" t="s">
        <v>598</v>
      </c>
      <c r="K193" s="194" t="s">
        <v>598</v>
      </c>
      <c r="L193" s="193">
        <v>0</v>
      </c>
      <c r="M193" s="193">
        <v>0</v>
      </c>
      <c r="N193" s="193">
        <v>5000</v>
      </c>
    </row>
    <row r="194" spans="2:14">
      <c r="B194" s="161">
        <v>42502</v>
      </c>
      <c r="C194" s="194" t="s">
        <v>2799</v>
      </c>
      <c r="D194" s="194" t="s">
        <v>2800</v>
      </c>
      <c r="E194" s="194" t="s">
        <v>121</v>
      </c>
      <c r="F194" s="194" t="s">
        <v>341</v>
      </c>
      <c r="G194" s="194" t="s">
        <v>63</v>
      </c>
      <c r="H194" s="194" t="s">
        <v>485</v>
      </c>
      <c r="I194" s="194" t="s">
        <v>598</v>
      </c>
      <c r="J194" s="194" t="s">
        <v>598</v>
      </c>
      <c r="K194" s="194" t="s">
        <v>598</v>
      </c>
      <c r="L194" s="193">
        <v>0</v>
      </c>
      <c r="M194" s="193">
        <v>1644</v>
      </c>
      <c r="N194" s="193">
        <v>5000</v>
      </c>
    </row>
    <row r="195" spans="2:14">
      <c r="B195" s="161">
        <v>42501</v>
      </c>
      <c r="C195" s="194" t="s">
        <v>2796</v>
      </c>
      <c r="D195" s="194" t="s">
        <v>2797</v>
      </c>
      <c r="E195" s="194" t="s">
        <v>121</v>
      </c>
      <c r="F195" s="194" t="s">
        <v>207</v>
      </c>
      <c r="G195" s="194" t="s">
        <v>598</v>
      </c>
      <c r="H195" s="194" t="s">
        <v>485</v>
      </c>
      <c r="I195" s="194" t="s">
        <v>598</v>
      </c>
      <c r="J195" s="194" t="s">
        <v>598</v>
      </c>
      <c r="K195" s="194" t="s">
        <v>598</v>
      </c>
      <c r="L195" s="193">
        <v>0</v>
      </c>
      <c r="M195" s="193">
        <v>0</v>
      </c>
      <c r="N195" s="193">
        <v>1700</v>
      </c>
    </row>
    <row r="196" spans="2:14">
      <c r="B196" s="161">
        <v>42500</v>
      </c>
      <c r="C196" s="194" t="s">
        <v>2794</v>
      </c>
      <c r="D196" s="194" t="s">
        <v>2795</v>
      </c>
      <c r="E196" s="194" t="s">
        <v>121</v>
      </c>
      <c r="F196" s="194" t="s">
        <v>415</v>
      </c>
      <c r="G196" s="194" t="s">
        <v>63</v>
      </c>
      <c r="H196" s="194" t="s">
        <v>485</v>
      </c>
      <c r="I196" s="194" t="s">
        <v>598</v>
      </c>
      <c r="J196" s="194" t="s">
        <v>598</v>
      </c>
      <c r="K196" s="194" t="s">
        <v>598</v>
      </c>
      <c r="L196" s="193">
        <v>0</v>
      </c>
      <c r="M196" s="193">
        <v>0</v>
      </c>
      <c r="N196" s="193">
        <v>2000</v>
      </c>
    </row>
    <row r="197" spans="2:14">
      <c r="B197" s="161">
        <v>42494</v>
      </c>
      <c r="C197" s="194" t="s">
        <v>2814</v>
      </c>
      <c r="D197" s="194" t="s">
        <v>2815</v>
      </c>
      <c r="E197" s="194" t="s">
        <v>119</v>
      </c>
      <c r="F197" s="194" t="s">
        <v>28</v>
      </c>
      <c r="G197" s="194" t="s">
        <v>30</v>
      </c>
      <c r="H197" s="194" t="s">
        <v>485</v>
      </c>
      <c r="I197" s="194" t="s">
        <v>598</v>
      </c>
      <c r="J197" s="194" t="s">
        <v>598</v>
      </c>
      <c r="K197" s="194" t="s">
        <v>598</v>
      </c>
      <c r="L197" s="193">
        <v>0</v>
      </c>
      <c r="M197" s="193">
        <v>0</v>
      </c>
      <c r="N197" s="193">
        <v>7000</v>
      </c>
    </row>
    <row r="198" spans="2:14">
      <c r="B198" s="161">
        <v>42487</v>
      </c>
      <c r="C198" s="194" t="s">
        <v>2790</v>
      </c>
      <c r="D198" s="194" t="s">
        <v>2791</v>
      </c>
      <c r="E198" s="194" t="s">
        <v>119</v>
      </c>
      <c r="F198" s="194" t="s">
        <v>2767</v>
      </c>
      <c r="G198" s="194" t="s">
        <v>30</v>
      </c>
      <c r="H198" s="194" t="s">
        <v>485</v>
      </c>
      <c r="I198" s="194" t="s">
        <v>125</v>
      </c>
      <c r="J198" s="194" t="s">
        <v>598</v>
      </c>
      <c r="K198" s="194" t="s">
        <v>598</v>
      </c>
      <c r="L198" s="193">
        <v>0</v>
      </c>
      <c r="M198" s="193">
        <v>0</v>
      </c>
      <c r="N198" s="193">
        <v>2000</v>
      </c>
    </row>
    <row r="199" spans="2:14">
      <c r="B199" s="161">
        <v>42483</v>
      </c>
      <c r="C199" s="194" t="s">
        <v>2788</v>
      </c>
      <c r="D199" s="194" t="s">
        <v>2789</v>
      </c>
      <c r="E199" s="194" t="s">
        <v>119</v>
      </c>
      <c r="F199" s="194" t="s">
        <v>28</v>
      </c>
      <c r="G199" s="194" t="s">
        <v>30</v>
      </c>
      <c r="H199" s="194" t="s">
        <v>485</v>
      </c>
      <c r="I199" s="194" t="s">
        <v>135</v>
      </c>
      <c r="J199" s="194" t="s">
        <v>598</v>
      </c>
      <c r="K199" s="194" t="s">
        <v>598</v>
      </c>
      <c r="L199" s="193">
        <v>0</v>
      </c>
      <c r="M199" s="193">
        <v>0</v>
      </c>
      <c r="N199" s="193">
        <v>6000</v>
      </c>
    </row>
    <row r="200" spans="2:14">
      <c r="B200" s="161">
        <v>42478</v>
      </c>
      <c r="C200" s="194" t="s">
        <v>2786</v>
      </c>
      <c r="D200" s="194" t="s">
        <v>2787</v>
      </c>
      <c r="E200" s="194" t="s">
        <v>119</v>
      </c>
      <c r="F200" s="194" t="s">
        <v>184</v>
      </c>
      <c r="G200" s="194" t="s">
        <v>63</v>
      </c>
      <c r="H200" s="194" t="s">
        <v>485</v>
      </c>
      <c r="I200" s="194" t="s">
        <v>598</v>
      </c>
      <c r="J200" s="194" t="s">
        <v>598</v>
      </c>
      <c r="K200" s="194" t="s">
        <v>598</v>
      </c>
      <c r="L200" s="193">
        <v>0</v>
      </c>
      <c r="M200" s="193">
        <v>0</v>
      </c>
      <c r="N200" s="193">
        <v>4500</v>
      </c>
    </row>
    <row r="201" spans="2:14">
      <c r="B201" s="161">
        <v>42472</v>
      </c>
      <c r="C201" s="194" t="s">
        <v>2792</v>
      </c>
      <c r="D201" s="194" t="s">
        <v>2793</v>
      </c>
      <c r="E201" s="194" t="s">
        <v>102</v>
      </c>
      <c r="F201" s="194" t="s">
        <v>126</v>
      </c>
      <c r="G201" s="194" t="s">
        <v>30</v>
      </c>
      <c r="H201" s="194" t="s">
        <v>485</v>
      </c>
      <c r="I201" s="194" t="s">
        <v>598</v>
      </c>
      <c r="J201" s="194" t="s">
        <v>598</v>
      </c>
      <c r="K201" s="194" t="s">
        <v>598</v>
      </c>
      <c r="L201" s="193">
        <v>0</v>
      </c>
      <c r="M201" s="193">
        <v>0</v>
      </c>
      <c r="N201" s="193">
        <v>1000</v>
      </c>
    </row>
    <row r="202" spans="2:14">
      <c r="B202" s="161">
        <v>42458</v>
      </c>
      <c r="C202" s="194" t="s">
        <v>2776</v>
      </c>
      <c r="D202" s="194" t="s">
        <v>2777</v>
      </c>
      <c r="E202" s="194" t="s">
        <v>121</v>
      </c>
      <c r="F202" s="194" t="s">
        <v>191</v>
      </c>
      <c r="G202" s="194" t="s">
        <v>63</v>
      </c>
      <c r="H202" s="194" t="s">
        <v>485</v>
      </c>
      <c r="I202" s="194" t="s">
        <v>598</v>
      </c>
      <c r="J202" s="194" t="s">
        <v>598</v>
      </c>
      <c r="K202" s="194" t="s">
        <v>598</v>
      </c>
      <c r="L202" s="193">
        <v>0</v>
      </c>
      <c r="M202" s="193">
        <v>0</v>
      </c>
      <c r="N202" s="193">
        <v>2000</v>
      </c>
    </row>
    <row r="203" spans="2:14">
      <c r="B203" s="161">
        <v>42450</v>
      </c>
      <c r="C203" s="194" t="s">
        <v>2784</v>
      </c>
      <c r="D203" s="194" t="s">
        <v>2785</v>
      </c>
      <c r="E203" s="194" t="s">
        <v>119</v>
      </c>
      <c r="F203" s="194" t="s">
        <v>184</v>
      </c>
      <c r="G203" s="194" t="s">
        <v>1680</v>
      </c>
      <c r="H203" s="194" t="s">
        <v>485</v>
      </c>
      <c r="I203" s="194" t="s">
        <v>598</v>
      </c>
      <c r="J203" s="194" t="s">
        <v>598</v>
      </c>
      <c r="K203" s="194" t="s">
        <v>598</v>
      </c>
      <c r="L203" s="193">
        <v>0</v>
      </c>
      <c r="M203" s="193">
        <v>0</v>
      </c>
      <c r="N203" s="193">
        <v>2000</v>
      </c>
    </row>
    <row r="204" spans="2:14">
      <c r="B204" s="161">
        <v>42445</v>
      </c>
      <c r="C204" s="194" t="s">
        <v>2782</v>
      </c>
      <c r="D204" s="194" t="s">
        <v>2783</v>
      </c>
      <c r="E204" s="194" t="s">
        <v>119</v>
      </c>
      <c r="F204" s="194" t="s">
        <v>183</v>
      </c>
      <c r="G204" s="194" t="s">
        <v>1680</v>
      </c>
      <c r="H204" s="194" t="s">
        <v>485</v>
      </c>
      <c r="I204" s="194" t="s">
        <v>598</v>
      </c>
      <c r="J204" s="194" t="s">
        <v>598</v>
      </c>
      <c r="K204" s="194" t="s">
        <v>598</v>
      </c>
      <c r="L204" s="193">
        <v>0</v>
      </c>
      <c r="M204" s="193">
        <v>0</v>
      </c>
      <c r="N204" s="193">
        <v>5000</v>
      </c>
    </row>
    <row r="205" spans="2:14">
      <c r="B205" s="161">
        <v>42441</v>
      </c>
      <c r="C205" s="194" t="s">
        <v>2774</v>
      </c>
      <c r="D205" s="194" t="s">
        <v>2775</v>
      </c>
      <c r="E205" s="194" t="s">
        <v>121</v>
      </c>
      <c r="F205" s="194" t="s">
        <v>222</v>
      </c>
      <c r="G205" s="194" t="s">
        <v>63</v>
      </c>
      <c r="H205" s="194" t="s">
        <v>485</v>
      </c>
      <c r="I205" s="194" t="s">
        <v>134</v>
      </c>
      <c r="J205" s="194" t="s">
        <v>598</v>
      </c>
      <c r="K205" s="194" t="s">
        <v>598</v>
      </c>
      <c r="L205" s="193">
        <v>0</v>
      </c>
      <c r="M205" s="193">
        <v>0</v>
      </c>
      <c r="N205" s="193">
        <v>3500</v>
      </c>
    </row>
    <row r="206" spans="2:14">
      <c r="B206" s="161">
        <v>42436</v>
      </c>
      <c r="C206" s="194" t="s">
        <v>2778</v>
      </c>
      <c r="D206" s="194" t="s">
        <v>2779</v>
      </c>
      <c r="E206" s="194" t="s">
        <v>102</v>
      </c>
      <c r="F206" s="194" t="s">
        <v>233</v>
      </c>
      <c r="G206" s="194" t="s">
        <v>30</v>
      </c>
      <c r="H206" s="194" t="s">
        <v>485</v>
      </c>
      <c r="I206" s="194" t="s">
        <v>598</v>
      </c>
      <c r="J206" s="194" t="s">
        <v>598</v>
      </c>
      <c r="K206" s="194" t="s">
        <v>598</v>
      </c>
      <c r="L206" s="193">
        <v>0</v>
      </c>
      <c r="M206" s="193">
        <v>0</v>
      </c>
      <c r="N206" s="193">
        <v>4000</v>
      </c>
    </row>
    <row r="207" spans="2:14">
      <c r="B207" s="161">
        <v>42433</v>
      </c>
      <c r="C207" s="194" t="s">
        <v>2780</v>
      </c>
      <c r="D207" s="194" t="s">
        <v>2781</v>
      </c>
      <c r="E207" s="194" t="s">
        <v>119</v>
      </c>
      <c r="F207" s="194" t="s">
        <v>162</v>
      </c>
      <c r="G207" s="194" t="s">
        <v>1680</v>
      </c>
      <c r="H207" s="194" t="s">
        <v>485</v>
      </c>
      <c r="I207" s="194" t="s">
        <v>598</v>
      </c>
      <c r="J207" s="194" t="s">
        <v>598</v>
      </c>
      <c r="K207" s="194" t="s">
        <v>598</v>
      </c>
      <c r="L207" s="193">
        <v>0</v>
      </c>
      <c r="M207" s="193">
        <v>0</v>
      </c>
      <c r="N207" s="193">
        <v>0</v>
      </c>
    </row>
    <row r="208" spans="2:14">
      <c r="B208" s="161">
        <v>42430</v>
      </c>
      <c r="C208" s="194" t="s">
        <v>2770</v>
      </c>
      <c r="D208" s="194" t="s">
        <v>2771</v>
      </c>
      <c r="E208" s="194" t="s">
        <v>121</v>
      </c>
      <c r="F208" s="194" t="s">
        <v>267</v>
      </c>
      <c r="G208" s="194" t="s">
        <v>1680</v>
      </c>
      <c r="H208" s="194" t="s">
        <v>485</v>
      </c>
      <c r="I208" s="194" t="s">
        <v>134</v>
      </c>
      <c r="J208" s="194" t="s">
        <v>598</v>
      </c>
      <c r="K208" s="194" t="s">
        <v>598</v>
      </c>
      <c r="L208" s="193">
        <v>0</v>
      </c>
      <c r="M208" s="193">
        <v>2434</v>
      </c>
      <c r="N208" s="193">
        <v>2000</v>
      </c>
    </row>
    <row r="209" spans="2:14">
      <c r="B209" s="161">
        <v>42430</v>
      </c>
      <c r="C209" s="194" t="s">
        <v>2772</v>
      </c>
      <c r="D209" s="194" t="s">
        <v>2773</v>
      </c>
      <c r="E209" s="194" t="s">
        <v>121</v>
      </c>
      <c r="F209" s="194" t="s">
        <v>421</v>
      </c>
      <c r="G209" s="194" t="s">
        <v>1680</v>
      </c>
      <c r="H209" s="194" t="s">
        <v>485</v>
      </c>
      <c r="I209" s="194" t="s">
        <v>134</v>
      </c>
      <c r="J209" s="194" t="s">
        <v>598</v>
      </c>
      <c r="K209" s="194" t="s">
        <v>598</v>
      </c>
      <c r="L209" s="193">
        <v>0</v>
      </c>
      <c r="M209" s="193">
        <v>0</v>
      </c>
      <c r="N209" s="193">
        <v>2500</v>
      </c>
    </row>
    <row r="210" spans="2:14">
      <c r="B210" s="161">
        <v>42427</v>
      </c>
      <c r="C210" s="194" t="s">
        <v>2754</v>
      </c>
      <c r="D210" s="194" t="s">
        <v>2755</v>
      </c>
      <c r="E210" s="194" t="s">
        <v>121</v>
      </c>
      <c r="F210" s="194" t="s">
        <v>421</v>
      </c>
      <c r="G210" s="194" t="s">
        <v>1680</v>
      </c>
      <c r="H210" s="194" t="s">
        <v>485</v>
      </c>
      <c r="I210" s="194" t="s">
        <v>598</v>
      </c>
      <c r="J210" s="194" t="s">
        <v>598</v>
      </c>
      <c r="K210" s="194" t="s">
        <v>598</v>
      </c>
      <c r="L210" s="193">
        <v>0</v>
      </c>
      <c r="M210" s="193">
        <v>0</v>
      </c>
      <c r="N210" s="193">
        <v>2500</v>
      </c>
    </row>
    <row r="211" spans="2:14">
      <c r="B211" s="161">
        <v>42427</v>
      </c>
      <c r="C211" s="194" t="s">
        <v>2756</v>
      </c>
      <c r="D211" s="194" t="s">
        <v>2757</v>
      </c>
      <c r="E211" s="194" t="s">
        <v>121</v>
      </c>
      <c r="F211" s="194" t="s">
        <v>2749</v>
      </c>
      <c r="G211" s="194" t="s">
        <v>1680</v>
      </c>
      <c r="H211" s="194" t="s">
        <v>485</v>
      </c>
      <c r="I211" s="194" t="s">
        <v>598</v>
      </c>
      <c r="J211" s="194" t="s">
        <v>598</v>
      </c>
      <c r="K211" s="194" t="s">
        <v>598</v>
      </c>
      <c r="L211" s="193">
        <v>0</v>
      </c>
      <c r="M211" s="193">
        <v>0</v>
      </c>
      <c r="N211" s="193">
        <v>10000</v>
      </c>
    </row>
    <row r="212" spans="2:14">
      <c r="B212" s="161">
        <v>42426</v>
      </c>
      <c r="C212" s="194" t="s">
        <v>2750</v>
      </c>
      <c r="D212" s="194" t="s">
        <v>2751</v>
      </c>
      <c r="E212" s="194" t="s">
        <v>121</v>
      </c>
      <c r="F212" s="194" t="s">
        <v>267</v>
      </c>
      <c r="G212" s="194" t="s">
        <v>1680</v>
      </c>
      <c r="H212" s="194" t="s">
        <v>485</v>
      </c>
      <c r="I212" s="194" t="s">
        <v>598</v>
      </c>
      <c r="J212" s="194" t="s">
        <v>598</v>
      </c>
      <c r="K212" s="194" t="s">
        <v>598</v>
      </c>
      <c r="L212" s="193">
        <v>0</v>
      </c>
      <c r="M212" s="193">
        <v>2422</v>
      </c>
      <c r="N212" s="193">
        <v>6000</v>
      </c>
    </row>
    <row r="213" spans="2:14">
      <c r="B213" s="161">
        <v>42426</v>
      </c>
      <c r="C213" s="194" t="s">
        <v>2752</v>
      </c>
      <c r="D213" s="194" t="s">
        <v>2753</v>
      </c>
      <c r="E213" s="194" t="s">
        <v>121</v>
      </c>
      <c r="F213" s="194" t="s">
        <v>204</v>
      </c>
      <c r="G213" s="194" t="s">
        <v>30</v>
      </c>
      <c r="H213" s="194" t="s">
        <v>485</v>
      </c>
      <c r="I213" s="194" t="s">
        <v>598</v>
      </c>
      <c r="J213" s="194" t="s">
        <v>598</v>
      </c>
      <c r="K213" s="194" t="s">
        <v>598</v>
      </c>
      <c r="L213" s="193">
        <v>0</v>
      </c>
      <c r="M213" s="193">
        <v>2425</v>
      </c>
      <c r="N213" s="193">
        <v>4000</v>
      </c>
    </row>
    <row r="214" spans="2:14">
      <c r="B214" s="161">
        <v>42425</v>
      </c>
      <c r="C214" s="194" t="s">
        <v>2747</v>
      </c>
      <c r="D214" s="194" t="s">
        <v>2748</v>
      </c>
      <c r="E214" s="194" t="s">
        <v>121</v>
      </c>
      <c r="F214" s="194" t="s">
        <v>2749</v>
      </c>
      <c r="G214" s="194" t="s">
        <v>1680</v>
      </c>
      <c r="H214" s="194" t="s">
        <v>485</v>
      </c>
      <c r="I214" s="194" t="s">
        <v>598</v>
      </c>
      <c r="J214" s="194" t="s">
        <v>598</v>
      </c>
      <c r="K214" s="194" t="s">
        <v>598</v>
      </c>
      <c r="L214" s="193">
        <v>0</v>
      </c>
      <c r="M214" s="193">
        <v>0</v>
      </c>
      <c r="N214" s="193">
        <v>3500</v>
      </c>
    </row>
    <row r="215" spans="2:14">
      <c r="B215" s="161">
        <v>42424</v>
      </c>
      <c r="C215" s="194" t="s">
        <v>2745</v>
      </c>
      <c r="D215" s="194" t="s">
        <v>2746</v>
      </c>
      <c r="E215" s="194" t="s">
        <v>121</v>
      </c>
      <c r="F215" s="194" t="s">
        <v>420</v>
      </c>
      <c r="G215" s="194" t="s">
        <v>1680</v>
      </c>
      <c r="H215" s="194" t="s">
        <v>485</v>
      </c>
      <c r="I215" s="194" t="s">
        <v>598</v>
      </c>
      <c r="J215" s="194" t="s">
        <v>598</v>
      </c>
      <c r="K215" s="194" t="s">
        <v>598</v>
      </c>
      <c r="L215" s="193">
        <v>0</v>
      </c>
      <c r="M215" s="193">
        <v>0</v>
      </c>
      <c r="N215" s="193">
        <v>3000</v>
      </c>
    </row>
    <row r="216" spans="2:14">
      <c r="B216" s="161">
        <v>42423</v>
      </c>
      <c r="C216" s="194" t="s">
        <v>2768</v>
      </c>
      <c r="D216" s="194" t="s">
        <v>2769</v>
      </c>
      <c r="E216" s="194" t="s">
        <v>119</v>
      </c>
      <c r="F216" s="194" t="s">
        <v>183</v>
      </c>
      <c r="G216" s="194" t="s">
        <v>598</v>
      </c>
      <c r="H216" s="194" t="s">
        <v>485</v>
      </c>
      <c r="I216" s="194" t="s">
        <v>598</v>
      </c>
      <c r="J216" s="194" t="s">
        <v>598</v>
      </c>
      <c r="K216" s="194" t="s">
        <v>598</v>
      </c>
      <c r="L216" s="193">
        <v>0</v>
      </c>
      <c r="M216" s="193">
        <v>0</v>
      </c>
      <c r="N216" s="193">
        <v>3800</v>
      </c>
    </row>
    <row r="217" spans="2:14">
      <c r="B217" s="161">
        <v>42420</v>
      </c>
      <c r="C217" s="194" t="s">
        <v>2758</v>
      </c>
      <c r="D217" s="194" t="s">
        <v>2759</v>
      </c>
      <c r="E217" s="194" t="s">
        <v>102</v>
      </c>
      <c r="F217" s="194" t="s">
        <v>233</v>
      </c>
      <c r="G217" s="194" t="s">
        <v>598</v>
      </c>
      <c r="H217" s="194" t="s">
        <v>485</v>
      </c>
      <c r="I217" s="194" t="s">
        <v>598</v>
      </c>
      <c r="J217" s="194" t="s">
        <v>598</v>
      </c>
      <c r="K217" s="194" t="s">
        <v>598</v>
      </c>
      <c r="L217" s="193">
        <v>0</v>
      </c>
      <c r="M217" s="193">
        <v>0</v>
      </c>
      <c r="N217" s="193">
        <v>10000</v>
      </c>
    </row>
    <row r="218" spans="2:14">
      <c r="B218" s="161">
        <v>42420</v>
      </c>
      <c r="C218" s="194" t="s">
        <v>2765</v>
      </c>
      <c r="D218" s="194" t="s">
        <v>2766</v>
      </c>
      <c r="E218" s="194" t="s">
        <v>119</v>
      </c>
      <c r="F218" s="194" t="s">
        <v>2767</v>
      </c>
      <c r="G218" s="194" t="s">
        <v>598</v>
      </c>
      <c r="H218" s="194" t="s">
        <v>485</v>
      </c>
      <c r="I218" s="194" t="s">
        <v>598</v>
      </c>
      <c r="J218" s="194" t="s">
        <v>598</v>
      </c>
      <c r="K218" s="194" t="s">
        <v>598</v>
      </c>
      <c r="L218" s="193">
        <v>0</v>
      </c>
      <c r="M218" s="193">
        <v>0</v>
      </c>
      <c r="N218" s="193">
        <v>3500</v>
      </c>
    </row>
    <row r="219" spans="2:14">
      <c r="B219" s="161">
        <v>42416</v>
      </c>
      <c r="C219" s="194" t="s">
        <v>2763</v>
      </c>
      <c r="D219" s="194" t="s">
        <v>2764</v>
      </c>
      <c r="E219" s="194" t="s">
        <v>119</v>
      </c>
      <c r="F219" s="194" t="s">
        <v>184</v>
      </c>
      <c r="G219" s="194" t="s">
        <v>598</v>
      </c>
      <c r="H219" s="194" t="s">
        <v>485</v>
      </c>
      <c r="I219" s="194" t="s">
        <v>598</v>
      </c>
      <c r="J219" s="194" t="s">
        <v>598</v>
      </c>
      <c r="K219" s="194" t="s">
        <v>598</v>
      </c>
      <c r="L219" s="193">
        <v>0</v>
      </c>
      <c r="M219" s="193">
        <v>0</v>
      </c>
      <c r="N219" s="193">
        <v>3000</v>
      </c>
    </row>
    <row r="220" spans="2:14">
      <c r="B220" s="161">
        <v>42414</v>
      </c>
      <c r="C220" s="194" t="s">
        <v>2762</v>
      </c>
      <c r="D220" s="194" t="s">
        <v>1132</v>
      </c>
      <c r="E220" s="194" t="s">
        <v>119</v>
      </c>
      <c r="F220" s="194" t="s">
        <v>184</v>
      </c>
      <c r="G220" s="194" t="s">
        <v>598</v>
      </c>
      <c r="H220" s="194" t="s">
        <v>485</v>
      </c>
      <c r="I220" s="194" t="s">
        <v>598</v>
      </c>
      <c r="J220" s="194" t="s">
        <v>598</v>
      </c>
      <c r="K220" s="194" t="s">
        <v>598</v>
      </c>
      <c r="L220" s="193">
        <v>0</v>
      </c>
      <c r="M220" s="193">
        <v>0</v>
      </c>
      <c r="N220" s="193">
        <v>2000</v>
      </c>
    </row>
    <row r="221" spans="2:14">
      <c r="B221" s="161">
        <v>42408</v>
      </c>
      <c r="C221" s="194" t="s">
        <v>2737</v>
      </c>
      <c r="D221" s="194" t="s">
        <v>2738</v>
      </c>
      <c r="E221" s="194" t="s">
        <v>121</v>
      </c>
      <c r="F221" s="194" t="s">
        <v>419</v>
      </c>
      <c r="G221" s="194" t="s">
        <v>30</v>
      </c>
      <c r="H221" s="194" t="s">
        <v>485</v>
      </c>
      <c r="I221" s="194" t="s">
        <v>598</v>
      </c>
      <c r="J221" s="194" t="s">
        <v>598</v>
      </c>
      <c r="K221" s="194" t="s">
        <v>598</v>
      </c>
      <c r="L221" s="193">
        <v>0</v>
      </c>
      <c r="M221" s="193">
        <v>0</v>
      </c>
      <c r="N221" s="193">
        <v>0</v>
      </c>
    </row>
    <row r="222" spans="2:14">
      <c r="B222" s="161">
        <v>42408</v>
      </c>
      <c r="C222" s="194" t="s">
        <v>2739</v>
      </c>
      <c r="D222" s="194" t="s">
        <v>2740</v>
      </c>
      <c r="E222" s="194" t="s">
        <v>121</v>
      </c>
      <c r="F222" s="194" t="s">
        <v>183</v>
      </c>
      <c r="G222" s="194" t="s">
        <v>1680</v>
      </c>
      <c r="H222" s="194" t="s">
        <v>485</v>
      </c>
      <c r="I222" s="194" t="s">
        <v>598</v>
      </c>
      <c r="J222" s="194" t="s">
        <v>598</v>
      </c>
      <c r="K222" s="194" t="s">
        <v>598</v>
      </c>
      <c r="L222" s="193">
        <v>0</v>
      </c>
      <c r="M222" s="193">
        <v>0</v>
      </c>
      <c r="N222" s="193">
        <v>2500</v>
      </c>
    </row>
    <row r="223" spans="2:14">
      <c r="B223" s="161">
        <v>42408</v>
      </c>
      <c r="C223" s="194" t="s">
        <v>2741</v>
      </c>
      <c r="D223" s="194" t="s">
        <v>2742</v>
      </c>
      <c r="E223" s="194" t="s">
        <v>121</v>
      </c>
      <c r="F223" s="194" t="s">
        <v>183</v>
      </c>
      <c r="G223" s="194" t="s">
        <v>30</v>
      </c>
      <c r="H223" s="194" t="s">
        <v>485</v>
      </c>
      <c r="I223" s="194" t="s">
        <v>598</v>
      </c>
      <c r="J223" s="194" t="s">
        <v>598</v>
      </c>
      <c r="K223" s="194" t="s">
        <v>598</v>
      </c>
      <c r="L223" s="193">
        <v>0</v>
      </c>
      <c r="M223" s="193">
        <v>0</v>
      </c>
      <c r="N223" s="193">
        <v>2500</v>
      </c>
    </row>
    <row r="224" spans="2:14">
      <c r="B224" s="161">
        <v>42408</v>
      </c>
      <c r="C224" s="194" t="s">
        <v>2743</v>
      </c>
      <c r="D224" s="194" t="s">
        <v>2744</v>
      </c>
      <c r="E224" s="194" t="s">
        <v>121</v>
      </c>
      <c r="F224" s="194" t="s">
        <v>183</v>
      </c>
      <c r="G224" s="194" t="s">
        <v>1680</v>
      </c>
      <c r="H224" s="194" t="s">
        <v>485</v>
      </c>
      <c r="I224" s="194" t="s">
        <v>598</v>
      </c>
      <c r="J224" s="194" t="s">
        <v>598</v>
      </c>
      <c r="K224" s="194" t="s">
        <v>598</v>
      </c>
      <c r="L224" s="193">
        <v>0</v>
      </c>
      <c r="M224" s="193">
        <v>0</v>
      </c>
      <c r="N224" s="193">
        <v>6000</v>
      </c>
    </row>
    <row r="225" spans="2:14">
      <c r="B225" s="161">
        <v>42406</v>
      </c>
      <c r="C225" s="194" t="s">
        <v>2735</v>
      </c>
      <c r="D225" s="194" t="s">
        <v>2736</v>
      </c>
      <c r="E225" s="194" t="s">
        <v>121</v>
      </c>
      <c r="F225" s="194" t="s">
        <v>377</v>
      </c>
      <c r="G225" s="194" t="s">
        <v>63</v>
      </c>
      <c r="H225" s="194" t="s">
        <v>485</v>
      </c>
      <c r="I225" s="194" t="s">
        <v>598</v>
      </c>
      <c r="J225" s="194" t="s">
        <v>598</v>
      </c>
      <c r="K225" s="194" t="s">
        <v>598</v>
      </c>
      <c r="L225" s="193">
        <v>0</v>
      </c>
      <c r="M225" s="193">
        <v>0</v>
      </c>
      <c r="N225" s="193">
        <v>4000</v>
      </c>
    </row>
    <row r="226" spans="2:14">
      <c r="B226" s="161">
        <v>42406</v>
      </c>
      <c r="C226" s="194" t="s">
        <v>2760</v>
      </c>
      <c r="D226" s="194" t="s">
        <v>2761</v>
      </c>
      <c r="E226" s="194" t="s">
        <v>119</v>
      </c>
      <c r="F226" s="194" t="s">
        <v>280</v>
      </c>
      <c r="G226" s="194" t="s">
        <v>598</v>
      </c>
      <c r="H226" s="194" t="s">
        <v>485</v>
      </c>
      <c r="I226" s="194" t="s">
        <v>598</v>
      </c>
      <c r="J226" s="194" t="s">
        <v>598</v>
      </c>
      <c r="K226" s="194" t="s">
        <v>598</v>
      </c>
      <c r="L226" s="193">
        <v>0</v>
      </c>
      <c r="M226" s="193">
        <v>0</v>
      </c>
      <c r="N226" s="193">
        <v>2500</v>
      </c>
    </row>
    <row r="227" spans="2:14">
      <c r="B227" s="161">
        <v>42401</v>
      </c>
      <c r="C227" s="194" t="s">
        <v>2733</v>
      </c>
      <c r="D227" s="194" t="s">
        <v>2734</v>
      </c>
      <c r="E227" s="194" t="s">
        <v>121</v>
      </c>
      <c r="F227" s="194" t="s">
        <v>418</v>
      </c>
      <c r="G227" s="194" t="s">
        <v>30</v>
      </c>
      <c r="H227" s="194" t="s">
        <v>485</v>
      </c>
      <c r="I227" s="194" t="s">
        <v>598</v>
      </c>
      <c r="J227" s="194" t="s">
        <v>598</v>
      </c>
      <c r="K227" s="194" t="s">
        <v>598</v>
      </c>
      <c r="L227" s="193">
        <v>0</v>
      </c>
      <c r="M227" s="193">
        <v>0</v>
      </c>
      <c r="N227" s="193">
        <v>3500</v>
      </c>
    </row>
    <row r="228" spans="2:14">
      <c r="B228" s="161">
        <v>42391</v>
      </c>
      <c r="C228" s="194" t="s">
        <v>2731</v>
      </c>
      <c r="D228" s="194" t="s">
        <v>2732</v>
      </c>
      <c r="E228" s="194" t="s">
        <v>102</v>
      </c>
      <c r="F228" s="194" t="s">
        <v>233</v>
      </c>
      <c r="G228" s="194" t="s">
        <v>598</v>
      </c>
      <c r="H228" s="194" t="s">
        <v>485</v>
      </c>
      <c r="I228" s="194" t="s">
        <v>598</v>
      </c>
      <c r="J228" s="194" t="s">
        <v>598</v>
      </c>
      <c r="K228" s="194" t="s">
        <v>598</v>
      </c>
      <c r="L228" s="193">
        <v>0</v>
      </c>
      <c r="M228" s="193">
        <v>0</v>
      </c>
      <c r="N228" s="193">
        <v>2000</v>
      </c>
    </row>
    <row r="229" spans="2:14">
      <c r="B229" s="161">
        <v>42390</v>
      </c>
      <c r="C229" s="194" t="s">
        <v>2720</v>
      </c>
      <c r="D229" s="194" t="s">
        <v>2721</v>
      </c>
      <c r="E229" s="194" t="s">
        <v>121</v>
      </c>
      <c r="F229" s="194" t="s">
        <v>2722</v>
      </c>
      <c r="G229" s="194" t="s">
        <v>1680</v>
      </c>
      <c r="H229" s="194" t="s">
        <v>485</v>
      </c>
      <c r="I229" s="194" t="s">
        <v>598</v>
      </c>
      <c r="J229" s="194" t="s">
        <v>598</v>
      </c>
      <c r="K229" s="194" t="s">
        <v>598</v>
      </c>
      <c r="L229" s="193">
        <v>351</v>
      </c>
      <c r="M229" s="193">
        <v>0</v>
      </c>
      <c r="N229" s="193">
        <v>2000</v>
      </c>
    </row>
    <row r="230" spans="2:14">
      <c r="B230" s="161">
        <v>42389</v>
      </c>
      <c r="C230" s="194" t="s">
        <v>2718</v>
      </c>
      <c r="D230" s="194" t="s">
        <v>2719</v>
      </c>
      <c r="E230" s="194" t="s">
        <v>121</v>
      </c>
      <c r="F230" s="194" t="s">
        <v>417</v>
      </c>
      <c r="G230" s="194" t="s">
        <v>598</v>
      </c>
      <c r="H230" s="194" t="s">
        <v>485</v>
      </c>
      <c r="I230" s="194" t="s">
        <v>598</v>
      </c>
      <c r="J230" s="194" t="s">
        <v>598</v>
      </c>
      <c r="K230" s="194" t="s">
        <v>598</v>
      </c>
      <c r="L230" s="193">
        <v>0</v>
      </c>
      <c r="M230" s="193">
        <v>0</v>
      </c>
      <c r="N230" s="193">
        <v>2500</v>
      </c>
    </row>
    <row r="231" spans="2:14">
      <c r="B231" s="161">
        <v>42389</v>
      </c>
      <c r="C231" s="194" t="s">
        <v>2729</v>
      </c>
      <c r="D231" s="194" t="s">
        <v>871</v>
      </c>
      <c r="E231" s="194" t="s">
        <v>102</v>
      </c>
      <c r="F231" s="194" t="s">
        <v>233</v>
      </c>
      <c r="G231" s="194" t="s">
        <v>598</v>
      </c>
      <c r="H231" s="194" t="s">
        <v>485</v>
      </c>
      <c r="I231" s="194" t="s">
        <v>598</v>
      </c>
      <c r="J231" s="194" t="s">
        <v>598</v>
      </c>
      <c r="K231" s="194" t="s">
        <v>598</v>
      </c>
      <c r="L231" s="193">
        <v>0</v>
      </c>
      <c r="M231" s="193">
        <v>0</v>
      </c>
      <c r="N231" s="193">
        <v>6000</v>
      </c>
    </row>
    <row r="232" spans="2:14">
      <c r="B232" s="161">
        <v>42381</v>
      </c>
      <c r="C232" s="194" t="s">
        <v>2723</v>
      </c>
      <c r="D232" s="194" t="s">
        <v>2724</v>
      </c>
      <c r="E232" s="194" t="s">
        <v>102</v>
      </c>
      <c r="F232" s="194" t="s">
        <v>233</v>
      </c>
      <c r="G232" s="194" t="s">
        <v>598</v>
      </c>
      <c r="H232" s="194" t="s">
        <v>485</v>
      </c>
      <c r="I232" s="194" t="s">
        <v>598</v>
      </c>
      <c r="J232" s="194" t="s">
        <v>598</v>
      </c>
      <c r="K232" s="194" t="s">
        <v>598</v>
      </c>
      <c r="L232" s="193">
        <v>0</v>
      </c>
      <c r="M232" s="193">
        <v>0</v>
      </c>
      <c r="N232" s="193">
        <v>10000</v>
      </c>
    </row>
    <row r="233" spans="2:14">
      <c r="B233" s="161">
        <v>42381</v>
      </c>
      <c r="C233" s="194" t="s">
        <v>2725</v>
      </c>
      <c r="D233" s="194" t="s">
        <v>2726</v>
      </c>
      <c r="E233" s="194" t="s">
        <v>102</v>
      </c>
      <c r="F233" s="194" t="s">
        <v>233</v>
      </c>
      <c r="G233" s="194" t="s">
        <v>598</v>
      </c>
      <c r="H233" s="194" t="s">
        <v>485</v>
      </c>
      <c r="I233" s="194" t="s">
        <v>598</v>
      </c>
      <c r="J233" s="194" t="s">
        <v>598</v>
      </c>
      <c r="K233" s="194" t="s">
        <v>598</v>
      </c>
      <c r="L233" s="193">
        <v>0</v>
      </c>
      <c r="M233" s="193">
        <v>0</v>
      </c>
      <c r="N233" s="193">
        <v>5000</v>
      </c>
    </row>
    <row r="234" spans="2:14">
      <c r="B234" s="161">
        <v>42381</v>
      </c>
      <c r="C234" s="194" t="s">
        <v>2727</v>
      </c>
      <c r="D234" s="194" t="s">
        <v>2728</v>
      </c>
      <c r="E234" s="194" t="s">
        <v>102</v>
      </c>
      <c r="F234" s="194" t="s">
        <v>233</v>
      </c>
      <c r="G234" s="194" t="s">
        <v>598</v>
      </c>
      <c r="H234" s="194" t="s">
        <v>485</v>
      </c>
      <c r="I234" s="194" t="s">
        <v>598</v>
      </c>
      <c r="J234" s="194" t="s">
        <v>598</v>
      </c>
      <c r="K234" s="194" t="s">
        <v>598</v>
      </c>
      <c r="L234" s="193">
        <v>0</v>
      </c>
      <c r="M234" s="193">
        <v>0</v>
      </c>
      <c r="N234" s="193">
        <v>5000</v>
      </c>
    </row>
    <row r="235" spans="2:14">
      <c r="B235" s="161">
        <v>42371</v>
      </c>
      <c r="C235" s="194" t="s">
        <v>2716</v>
      </c>
      <c r="D235" s="194" t="s">
        <v>2717</v>
      </c>
      <c r="E235" s="194" t="s">
        <v>121</v>
      </c>
      <c r="F235" s="194" t="s">
        <v>416</v>
      </c>
      <c r="G235" s="194" t="s">
        <v>1680</v>
      </c>
      <c r="H235" s="194" t="s">
        <v>485</v>
      </c>
      <c r="I235" s="194" t="s">
        <v>598</v>
      </c>
      <c r="J235" s="194" t="s">
        <v>598</v>
      </c>
      <c r="K235" s="194" t="s">
        <v>598</v>
      </c>
      <c r="L235" s="193">
        <v>0</v>
      </c>
      <c r="M235" s="193">
        <v>0</v>
      </c>
      <c r="N235" s="193">
        <v>2000</v>
      </c>
    </row>
    <row r="236" spans="2:14">
      <c r="B236" s="161">
        <v>42369</v>
      </c>
      <c r="C236" s="194" t="s">
        <v>2714</v>
      </c>
      <c r="D236" s="194" t="s">
        <v>2715</v>
      </c>
      <c r="E236" s="194" t="s">
        <v>121</v>
      </c>
      <c r="F236" s="194" t="s">
        <v>415</v>
      </c>
      <c r="G236" s="194" t="s">
        <v>598</v>
      </c>
      <c r="H236" s="194" t="s">
        <v>485</v>
      </c>
      <c r="I236" s="194" t="s">
        <v>598</v>
      </c>
      <c r="J236" s="194" t="s">
        <v>598</v>
      </c>
      <c r="K236" s="194" t="s">
        <v>598</v>
      </c>
      <c r="L236" s="193">
        <v>0</v>
      </c>
      <c r="M236" s="193">
        <v>0</v>
      </c>
      <c r="N236" s="193">
        <v>1000</v>
      </c>
    </row>
    <row r="237" spans="2:14">
      <c r="B237" s="161">
        <v>42361</v>
      </c>
      <c r="C237" s="194" t="s">
        <v>2712</v>
      </c>
      <c r="D237" s="194" t="s">
        <v>2713</v>
      </c>
      <c r="E237" s="194" t="s">
        <v>121</v>
      </c>
      <c r="F237" s="194" t="s">
        <v>414</v>
      </c>
      <c r="G237" s="194" t="s">
        <v>598</v>
      </c>
      <c r="H237" s="194" t="s">
        <v>485</v>
      </c>
      <c r="I237" s="194" t="s">
        <v>598</v>
      </c>
      <c r="J237" s="194" t="s">
        <v>598</v>
      </c>
      <c r="K237" s="194" t="s">
        <v>598</v>
      </c>
      <c r="L237" s="193">
        <v>0</v>
      </c>
      <c r="M237" s="193">
        <v>0</v>
      </c>
      <c r="N237" s="193">
        <v>2500</v>
      </c>
    </row>
    <row r="238" spans="2:14">
      <c r="B238" s="161">
        <v>42349</v>
      </c>
      <c r="C238" s="194" t="s">
        <v>2710</v>
      </c>
      <c r="D238" s="194" t="s">
        <v>2711</v>
      </c>
      <c r="E238" s="194" t="s">
        <v>121</v>
      </c>
      <c r="F238" s="194" t="s">
        <v>413</v>
      </c>
      <c r="G238" s="194" t="s">
        <v>598</v>
      </c>
      <c r="H238" s="194" t="s">
        <v>485</v>
      </c>
      <c r="I238" s="194" t="s">
        <v>598</v>
      </c>
      <c r="J238" s="194" t="s">
        <v>598</v>
      </c>
      <c r="K238" s="194" t="s">
        <v>598</v>
      </c>
      <c r="L238" s="193">
        <v>0</v>
      </c>
      <c r="M238" s="193">
        <v>0</v>
      </c>
      <c r="N238" s="193">
        <v>2500</v>
      </c>
    </row>
    <row r="239" spans="2:14">
      <c r="B239" s="161">
        <v>42345</v>
      </c>
      <c r="C239" s="194" t="s">
        <v>2708</v>
      </c>
      <c r="D239" s="194" t="s">
        <v>2709</v>
      </c>
      <c r="E239" s="194" t="s">
        <v>121</v>
      </c>
      <c r="F239" s="194" t="s">
        <v>408</v>
      </c>
      <c r="G239" s="194" t="s">
        <v>1680</v>
      </c>
      <c r="H239" s="194" t="s">
        <v>485</v>
      </c>
      <c r="I239" s="194" t="s">
        <v>598</v>
      </c>
      <c r="J239" s="194" t="s">
        <v>598</v>
      </c>
      <c r="K239" s="194" t="s">
        <v>598</v>
      </c>
      <c r="L239" s="193">
        <v>0</v>
      </c>
      <c r="M239" s="193">
        <v>0</v>
      </c>
      <c r="N239" s="193">
        <v>1700</v>
      </c>
    </row>
    <row r="240" spans="2:14">
      <c r="B240" s="161">
        <v>42342</v>
      </c>
      <c r="C240" s="194" t="s">
        <v>2706</v>
      </c>
      <c r="D240" s="194" t="s">
        <v>2707</v>
      </c>
      <c r="E240" s="194" t="s">
        <v>121</v>
      </c>
      <c r="F240" s="194" t="s">
        <v>267</v>
      </c>
      <c r="G240" s="194" t="s">
        <v>1680</v>
      </c>
      <c r="H240" s="194" t="s">
        <v>485</v>
      </c>
      <c r="I240" s="194" t="s">
        <v>598</v>
      </c>
      <c r="J240" s="194" t="s">
        <v>598</v>
      </c>
      <c r="K240" s="194" t="s">
        <v>598</v>
      </c>
      <c r="L240" s="193">
        <v>0</v>
      </c>
      <c r="M240" s="193">
        <v>1342</v>
      </c>
      <c r="N240" s="193">
        <v>2000</v>
      </c>
    </row>
    <row r="241" spans="2:14">
      <c r="B241" s="161">
        <v>42341</v>
      </c>
      <c r="C241" s="194" t="s">
        <v>2704</v>
      </c>
      <c r="D241" s="194" t="s">
        <v>1424</v>
      </c>
      <c r="E241" s="194" t="s">
        <v>121</v>
      </c>
      <c r="F241" s="194" t="s">
        <v>412</v>
      </c>
      <c r="G241" s="194" t="s">
        <v>2692</v>
      </c>
      <c r="H241" s="194" t="s">
        <v>485</v>
      </c>
      <c r="I241" s="194" t="s">
        <v>598</v>
      </c>
      <c r="J241" s="194" t="s">
        <v>598</v>
      </c>
      <c r="K241" s="194" t="s">
        <v>598</v>
      </c>
      <c r="L241" s="193">
        <v>0</v>
      </c>
      <c r="M241" s="193">
        <v>0</v>
      </c>
      <c r="N241" s="193">
        <v>2500</v>
      </c>
    </row>
    <row r="242" spans="2:14">
      <c r="B242" s="161">
        <v>42335</v>
      </c>
      <c r="C242" s="194" t="s">
        <v>2702</v>
      </c>
      <c r="D242" s="194" t="s">
        <v>2703</v>
      </c>
      <c r="E242" s="194" t="s">
        <v>121</v>
      </c>
      <c r="F242" s="194" t="s">
        <v>218</v>
      </c>
      <c r="G242" s="194" t="s">
        <v>1680</v>
      </c>
      <c r="H242" s="194" t="s">
        <v>485</v>
      </c>
      <c r="I242" s="194" t="s">
        <v>598</v>
      </c>
      <c r="J242" s="194" t="s">
        <v>598</v>
      </c>
      <c r="K242" s="194" t="s">
        <v>598</v>
      </c>
      <c r="L242" s="193">
        <v>0</v>
      </c>
      <c r="M242" s="193">
        <v>1349</v>
      </c>
      <c r="N242" s="193">
        <v>2500</v>
      </c>
    </row>
    <row r="243" spans="2:14">
      <c r="B243" s="161">
        <v>42326</v>
      </c>
      <c r="C243" s="194" t="s">
        <v>2700</v>
      </c>
      <c r="D243" s="194" t="s">
        <v>2701</v>
      </c>
      <c r="E243" s="194" t="s">
        <v>121</v>
      </c>
      <c r="F243" s="194" t="s">
        <v>2699</v>
      </c>
      <c r="G243" s="194" t="s">
        <v>2692</v>
      </c>
      <c r="H243" s="194" t="s">
        <v>485</v>
      </c>
      <c r="I243" s="194" t="s">
        <v>598</v>
      </c>
      <c r="J243" s="194" t="s">
        <v>598</v>
      </c>
      <c r="K243" s="194" t="s">
        <v>598</v>
      </c>
      <c r="L243" s="193">
        <v>67</v>
      </c>
      <c r="M243" s="193">
        <v>1302</v>
      </c>
      <c r="N243" s="193">
        <v>2500</v>
      </c>
    </row>
    <row r="244" spans="2:14">
      <c r="B244" s="161">
        <v>42324</v>
      </c>
      <c r="C244" s="194" t="s">
        <v>2693</v>
      </c>
      <c r="D244" s="194" t="s">
        <v>2694</v>
      </c>
      <c r="E244" s="194" t="s">
        <v>121</v>
      </c>
      <c r="F244" s="194" t="s">
        <v>267</v>
      </c>
      <c r="G244" s="194" t="s">
        <v>1680</v>
      </c>
      <c r="H244" s="194" t="s">
        <v>485</v>
      </c>
      <c r="I244" s="194" t="s">
        <v>598</v>
      </c>
      <c r="J244" s="194" t="s">
        <v>598</v>
      </c>
      <c r="K244" s="194" t="s">
        <v>598</v>
      </c>
      <c r="L244" s="193">
        <v>0</v>
      </c>
      <c r="M244" s="193">
        <v>2692</v>
      </c>
      <c r="N244" s="193">
        <v>3000</v>
      </c>
    </row>
    <row r="245" spans="2:14">
      <c r="B245" s="161">
        <v>42324</v>
      </c>
      <c r="C245" s="194" t="s">
        <v>2695</v>
      </c>
      <c r="D245" s="194" t="s">
        <v>2696</v>
      </c>
      <c r="E245" s="194" t="s">
        <v>121</v>
      </c>
      <c r="F245" s="194" t="s">
        <v>267</v>
      </c>
      <c r="G245" s="194" t="s">
        <v>1680</v>
      </c>
      <c r="H245" s="194" t="s">
        <v>485</v>
      </c>
      <c r="I245" s="194" t="s">
        <v>598</v>
      </c>
      <c r="J245" s="194" t="s">
        <v>598</v>
      </c>
      <c r="K245" s="194" t="s">
        <v>598</v>
      </c>
      <c r="L245" s="193">
        <v>0</v>
      </c>
      <c r="M245" s="193">
        <v>2688</v>
      </c>
      <c r="N245" s="193">
        <v>2000</v>
      </c>
    </row>
    <row r="246" spans="2:14">
      <c r="B246" s="161">
        <v>42324</v>
      </c>
      <c r="C246" s="194" t="s">
        <v>2697</v>
      </c>
      <c r="D246" s="194" t="s">
        <v>2698</v>
      </c>
      <c r="E246" s="194" t="s">
        <v>121</v>
      </c>
      <c r="F246" s="194" t="s">
        <v>2699</v>
      </c>
      <c r="G246" s="194" t="s">
        <v>2692</v>
      </c>
      <c r="H246" s="194" t="s">
        <v>485</v>
      </c>
      <c r="I246" s="194" t="s">
        <v>598</v>
      </c>
      <c r="J246" s="194" t="s">
        <v>598</v>
      </c>
      <c r="K246" s="194" t="s">
        <v>598</v>
      </c>
      <c r="L246" s="193">
        <v>0</v>
      </c>
      <c r="M246" s="193">
        <v>1311</v>
      </c>
      <c r="N246" s="193">
        <v>2500</v>
      </c>
    </row>
    <row r="247" spans="2:14">
      <c r="B247" s="161">
        <v>42320</v>
      </c>
      <c r="C247" s="194" t="s">
        <v>2690</v>
      </c>
      <c r="D247" s="194" t="s">
        <v>2691</v>
      </c>
      <c r="E247" s="194" t="s">
        <v>121</v>
      </c>
      <c r="F247" s="194" t="s">
        <v>266</v>
      </c>
      <c r="G247" s="194" t="s">
        <v>2692</v>
      </c>
      <c r="H247" s="194" t="s">
        <v>485</v>
      </c>
      <c r="I247" s="194" t="s">
        <v>598</v>
      </c>
      <c r="J247" s="194" t="s">
        <v>598</v>
      </c>
      <c r="K247" s="194" t="s">
        <v>598</v>
      </c>
      <c r="L247" s="193">
        <v>0</v>
      </c>
      <c r="M247" s="193">
        <v>2693</v>
      </c>
      <c r="N247" s="193">
        <v>3000</v>
      </c>
    </row>
    <row r="248" spans="2:14">
      <c r="B248" s="161">
        <v>42317</v>
      </c>
      <c r="C248" s="194" t="s">
        <v>2688</v>
      </c>
      <c r="D248" s="194" t="s">
        <v>2689</v>
      </c>
      <c r="E248" s="194" t="s">
        <v>121</v>
      </c>
      <c r="F248" s="194" t="s">
        <v>267</v>
      </c>
      <c r="G248" s="194" t="s">
        <v>1680</v>
      </c>
      <c r="H248" s="194" t="s">
        <v>485</v>
      </c>
      <c r="I248" s="194" t="s">
        <v>598</v>
      </c>
      <c r="J248" s="194" t="s">
        <v>598</v>
      </c>
      <c r="K248" s="194" t="s">
        <v>598</v>
      </c>
      <c r="L248" s="193">
        <v>0</v>
      </c>
      <c r="M248" s="193">
        <v>2671</v>
      </c>
      <c r="N248" s="193">
        <v>2000</v>
      </c>
    </row>
    <row r="249" spans="2:14">
      <c r="B249" s="161">
        <v>42314</v>
      </c>
      <c r="C249" s="194" t="s">
        <v>2686</v>
      </c>
      <c r="D249" s="194" t="s">
        <v>2687</v>
      </c>
      <c r="E249" s="194" t="s">
        <v>121</v>
      </c>
      <c r="F249" s="194" t="s">
        <v>222</v>
      </c>
      <c r="G249" s="194" t="s">
        <v>63</v>
      </c>
      <c r="H249" s="194" t="s">
        <v>485</v>
      </c>
      <c r="I249" s="194" t="s">
        <v>598</v>
      </c>
      <c r="J249" s="194" t="s">
        <v>598</v>
      </c>
      <c r="K249" s="194" t="s">
        <v>598</v>
      </c>
      <c r="L249" s="193">
        <v>0</v>
      </c>
      <c r="M249" s="193">
        <v>2662</v>
      </c>
      <c r="N249" s="193">
        <v>4000</v>
      </c>
    </row>
    <row r="250" spans="2:14">
      <c r="B250" s="161">
        <v>42311</v>
      </c>
      <c r="C250" s="194" t="s">
        <v>2684</v>
      </c>
      <c r="D250" s="194" t="s">
        <v>2685</v>
      </c>
      <c r="E250" s="194" t="s">
        <v>121</v>
      </c>
      <c r="F250" s="194" t="s">
        <v>411</v>
      </c>
      <c r="G250" s="194" t="s">
        <v>30</v>
      </c>
      <c r="H250" s="194" t="s">
        <v>485</v>
      </c>
      <c r="I250" s="194" t="s">
        <v>598</v>
      </c>
      <c r="J250" s="194" t="s">
        <v>598</v>
      </c>
      <c r="K250" s="194" t="s">
        <v>598</v>
      </c>
      <c r="L250" s="193">
        <v>0</v>
      </c>
      <c r="M250" s="193">
        <v>0</v>
      </c>
      <c r="N250" s="193">
        <v>2000</v>
      </c>
    </row>
    <row r="251" spans="2:14">
      <c r="B251" s="161">
        <v>42301</v>
      </c>
      <c r="C251" s="194" t="s">
        <v>2682</v>
      </c>
      <c r="D251" s="194" t="s">
        <v>2683</v>
      </c>
      <c r="E251" s="194" t="s">
        <v>102</v>
      </c>
      <c r="F251" s="194" t="s">
        <v>245</v>
      </c>
      <c r="G251" s="194" t="s">
        <v>30</v>
      </c>
      <c r="H251" s="194" t="s">
        <v>485</v>
      </c>
      <c r="I251" s="194" t="s">
        <v>598</v>
      </c>
      <c r="J251" s="194" t="s">
        <v>598</v>
      </c>
      <c r="K251" s="194" t="s">
        <v>598</v>
      </c>
      <c r="L251" s="193">
        <v>0</v>
      </c>
      <c r="M251" s="193">
        <v>0</v>
      </c>
      <c r="N251" s="193">
        <v>7500</v>
      </c>
    </row>
    <row r="252" spans="2:14">
      <c r="B252" s="161">
        <v>42296</v>
      </c>
      <c r="C252" s="194" t="s">
        <v>2680</v>
      </c>
      <c r="D252" s="194" t="s">
        <v>2681</v>
      </c>
      <c r="E252" s="194" t="s">
        <v>121</v>
      </c>
      <c r="F252" s="194" t="s">
        <v>410</v>
      </c>
      <c r="G252" s="194" t="s">
        <v>1680</v>
      </c>
      <c r="H252" s="194" t="s">
        <v>485</v>
      </c>
      <c r="I252" s="194" t="s">
        <v>598</v>
      </c>
      <c r="J252" s="194" t="s">
        <v>598</v>
      </c>
      <c r="K252" s="194" t="s">
        <v>598</v>
      </c>
      <c r="L252" s="193">
        <v>0</v>
      </c>
      <c r="M252" s="193">
        <v>2619</v>
      </c>
      <c r="N252" s="193">
        <v>4500</v>
      </c>
    </row>
    <row r="253" spans="2:14">
      <c r="B253" s="161">
        <v>42293</v>
      </c>
      <c r="C253" s="194" t="s">
        <v>2677</v>
      </c>
      <c r="D253" s="194" t="s">
        <v>2678</v>
      </c>
      <c r="E253" s="194" t="s">
        <v>121</v>
      </c>
      <c r="F253" s="194" t="s">
        <v>341</v>
      </c>
      <c r="G253" s="194" t="s">
        <v>63</v>
      </c>
      <c r="H253" s="194" t="s">
        <v>485</v>
      </c>
      <c r="I253" s="194" t="s">
        <v>598</v>
      </c>
      <c r="J253" s="194" t="s">
        <v>598</v>
      </c>
      <c r="K253" s="194" t="s">
        <v>598</v>
      </c>
      <c r="L253" s="193">
        <v>0</v>
      </c>
      <c r="M253" s="193">
        <v>2607</v>
      </c>
      <c r="N253" s="193">
        <v>2500</v>
      </c>
    </row>
    <row r="254" spans="2:14">
      <c r="B254" s="161">
        <v>42292</v>
      </c>
      <c r="C254" s="194" t="s">
        <v>2673</v>
      </c>
      <c r="D254" s="194" t="s">
        <v>2674</v>
      </c>
      <c r="E254" s="194" t="s">
        <v>121</v>
      </c>
      <c r="F254" s="194" t="s">
        <v>409</v>
      </c>
      <c r="G254" s="194" t="s">
        <v>63</v>
      </c>
      <c r="H254" s="194" t="s">
        <v>485</v>
      </c>
      <c r="I254" s="194" t="s">
        <v>598</v>
      </c>
      <c r="J254" s="194" t="s">
        <v>598</v>
      </c>
      <c r="K254" s="194" t="s">
        <v>598</v>
      </c>
      <c r="L254" s="193">
        <v>0</v>
      </c>
      <c r="M254" s="193">
        <v>3096</v>
      </c>
      <c r="N254" s="193">
        <v>3000</v>
      </c>
    </row>
    <row r="255" spans="2:14">
      <c r="B255" s="161">
        <v>42292</v>
      </c>
      <c r="C255" s="194" t="s">
        <v>2675</v>
      </c>
      <c r="D255" s="194" t="s">
        <v>2676</v>
      </c>
      <c r="E255" s="194" t="s">
        <v>121</v>
      </c>
      <c r="F255" s="194" t="s">
        <v>267</v>
      </c>
      <c r="G255" s="194" t="s">
        <v>30</v>
      </c>
      <c r="H255" s="194" t="s">
        <v>485</v>
      </c>
      <c r="I255" s="194" t="s">
        <v>598</v>
      </c>
      <c r="J255" s="194" t="s">
        <v>598</v>
      </c>
      <c r="K255" s="194" t="s">
        <v>598</v>
      </c>
      <c r="L255" s="193">
        <v>0</v>
      </c>
      <c r="M255" s="193">
        <v>2604</v>
      </c>
      <c r="N255" s="193">
        <v>2500</v>
      </c>
    </row>
    <row r="256" spans="2:14">
      <c r="B256" s="161">
        <v>42272</v>
      </c>
      <c r="C256" s="194" t="s">
        <v>2671</v>
      </c>
      <c r="D256" s="194" t="s">
        <v>2672</v>
      </c>
      <c r="E256" s="194" t="s">
        <v>121</v>
      </c>
      <c r="F256" s="194" t="s">
        <v>408</v>
      </c>
      <c r="G256" s="194" t="s">
        <v>1680</v>
      </c>
      <c r="H256" s="194" t="s">
        <v>485</v>
      </c>
      <c r="I256" s="194" t="s">
        <v>598</v>
      </c>
      <c r="J256" s="194" t="s">
        <v>598</v>
      </c>
      <c r="K256" s="194" t="s">
        <v>598</v>
      </c>
      <c r="L256" s="193">
        <v>0</v>
      </c>
      <c r="M256" s="193">
        <v>3050</v>
      </c>
      <c r="N256" s="193">
        <v>1700</v>
      </c>
    </row>
    <row r="257" spans="2:14">
      <c r="B257" s="161">
        <v>42266</v>
      </c>
      <c r="C257" s="194" t="s">
        <v>2669</v>
      </c>
      <c r="D257" s="194" t="s">
        <v>2670</v>
      </c>
      <c r="E257" s="194" t="s">
        <v>121</v>
      </c>
      <c r="F257" s="194" t="s">
        <v>280</v>
      </c>
      <c r="G257" s="194" t="s">
        <v>1680</v>
      </c>
      <c r="H257" s="194" t="s">
        <v>485</v>
      </c>
      <c r="I257" s="194" t="s">
        <v>598</v>
      </c>
      <c r="J257" s="194" t="s">
        <v>598</v>
      </c>
      <c r="K257" s="194" t="s">
        <v>598</v>
      </c>
      <c r="L257" s="193">
        <v>0</v>
      </c>
      <c r="M257" s="193">
        <v>3053</v>
      </c>
      <c r="N257" s="193">
        <v>3400</v>
      </c>
    </row>
    <row r="258" spans="2:14">
      <c r="B258" s="161">
        <v>42262</v>
      </c>
      <c r="C258" s="194" t="s">
        <v>2667</v>
      </c>
      <c r="D258" s="194" t="s">
        <v>2668</v>
      </c>
      <c r="E258" s="194" t="s">
        <v>121</v>
      </c>
      <c r="F258" s="194" t="s">
        <v>408</v>
      </c>
      <c r="G258" s="194" t="s">
        <v>30</v>
      </c>
      <c r="H258" s="194" t="s">
        <v>485</v>
      </c>
      <c r="I258" s="194" t="s">
        <v>598</v>
      </c>
      <c r="J258" s="194" t="s">
        <v>598</v>
      </c>
      <c r="K258" s="194" t="s">
        <v>598</v>
      </c>
      <c r="L258" s="193">
        <v>0</v>
      </c>
      <c r="M258" s="193">
        <v>3029</v>
      </c>
      <c r="N258" s="193">
        <v>3400</v>
      </c>
    </row>
    <row r="259" spans="2:14">
      <c r="B259"/>
      <c r="L259"/>
      <c r="N259"/>
    </row>
    <row r="260" spans="2:14">
      <c r="B260"/>
      <c r="L260"/>
      <c r="N260"/>
    </row>
    <row r="261" spans="2:14">
      <c r="B261"/>
      <c r="L261"/>
      <c r="N261"/>
    </row>
    <row r="262" spans="2:14">
      <c r="B262"/>
      <c r="L262"/>
      <c r="N262"/>
    </row>
    <row r="263" spans="2:14">
      <c r="B263"/>
      <c r="L263"/>
      <c r="N263"/>
    </row>
    <row r="264" spans="2:14">
      <c r="B264"/>
      <c r="L264"/>
      <c r="N264"/>
    </row>
    <row r="265" spans="2:14">
      <c r="B265"/>
      <c r="L265"/>
      <c r="N265"/>
    </row>
    <row r="266" spans="2:14">
      <c r="B266"/>
      <c r="L266"/>
      <c r="N266"/>
    </row>
    <row r="267" spans="2:14">
      <c r="B267"/>
      <c r="L267"/>
      <c r="N267"/>
    </row>
    <row r="268" spans="2:14">
      <c r="B268"/>
      <c r="L268"/>
      <c r="N268"/>
    </row>
    <row r="269" spans="2:14">
      <c r="B269"/>
      <c r="L269"/>
      <c r="N269"/>
    </row>
    <row r="270" spans="2:14">
      <c r="B270"/>
      <c r="L270"/>
      <c r="N270"/>
    </row>
    <row r="271" spans="2:14">
      <c r="B271"/>
      <c r="L271"/>
      <c r="N271"/>
    </row>
    <row r="272" spans="2:14">
      <c r="B272"/>
      <c r="L272"/>
      <c r="N272"/>
    </row>
    <row r="273" spans="2:14">
      <c r="B273"/>
      <c r="L273"/>
      <c r="N273"/>
    </row>
    <row r="274" spans="2:14">
      <c r="B274"/>
      <c r="L274"/>
      <c r="N274"/>
    </row>
    <row r="275" spans="2:14">
      <c r="B275"/>
      <c r="L275"/>
      <c r="N275"/>
    </row>
    <row r="276" spans="2:14">
      <c r="B276"/>
      <c r="L276"/>
      <c r="N276"/>
    </row>
    <row r="277" spans="2:14">
      <c r="B277"/>
      <c r="L277"/>
      <c r="N277"/>
    </row>
    <row r="278" spans="2:14">
      <c r="B278"/>
      <c r="L278"/>
      <c r="N278"/>
    </row>
    <row r="279" spans="2:14">
      <c r="B279"/>
      <c r="L279"/>
      <c r="N279"/>
    </row>
    <row r="280" spans="2:14">
      <c r="B280"/>
      <c r="L280"/>
      <c r="N280"/>
    </row>
    <row r="281" spans="2:14">
      <c r="B281"/>
      <c r="L281"/>
      <c r="N281"/>
    </row>
    <row r="282" spans="2:14">
      <c r="B282"/>
      <c r="L282"/>
      <c r="N282"/>
    </row>
    <row r="283" spans="2:14">
      <c r="B283"/>
      <c r="L283"/>
      <c r="N283"/>
    </row>
    <row r="284" spans="2:14">
      <c r="B284"/>
      <c r="L284"/>
      <c r="N284"/>
    </row>
    <row r="285" spans="2:14">
      <c r="B285"/>
      <c r="L285"/>
      <c r="N285"/>
    </row>
    <row r="286" spans="2:14">
      <c r="B286"/>
      <c r="L286"/>
      <c r="N286"/>
    </row>
    <row r="287" spans="2:14">
      <c r="B287"/>
      <c r="L287"/>
      <c r="N287"/>
    </row>
    <row r="288" spans="2:14">
      <c r="B288"/>
      <c r="L288"/>
      <c r="N288"/>
    </row>
    <row r="289" spans="2:14">
      <c r="B289"/>
      <c r="L289"/>
      <c r="N289"/>
    </row>
    <row r="290" spans="2:14">
      <c r="B290"/>
      <c r="L290"/>
      <c r="N290"/>
    </row>
    <row r="291" spans="2:14">
      <c r="B291"/>
      <c r="L291"/>
      <c r="N291"/>
    </row>
    <row r="292" spans="2:14">
      <c r="B292"/>
      <c r="L292"/>
      <c r="N292"/>
    </row>
    <row r="293" spans="2:14">
      <c r="B293"/>
      <c r="L293"/>
      <c r="N293"/>
    </row>
    <row r="294" spans="2:14">
      <c r="B294"/>
      <c r="L294"/>
      <c r="N294"/>
    </row>
    <row r="295" spans="2:14">
      <c r="B295"/>
      <c r="L295"/>
      <c r="N295"/>
    </row>
    <row r="296" spans="2:14">
      <c r="B296"/>
      <c r="L296"/>
      <c r="N296"/>
    </row>
    <row r="297" spans="2:14">
      <c r="B297"/>
      <c r="L297"/>
      <c r="N297"/>
    </row>
    <row r="298" spans="2:14">
      <c r="B298"/>
      <c r="L298"/>
      <c r="N298"/>
    </row>
    <row r="299" spans="2:14">
      <c r="B299"/>
      <c r="L299"/>
      <c r="N299"/>
    </row>
    <row r="300" spans="2:14">
      <c r="B300"/>
      <c r="L300"/>
      <c r="N300"/>
    </row>
    <row r="301" spans="2:14">
      <c r="B301"/>
      <c r="L301"/>
      <c r="N301"/>
    </row>
    <row r="302" spans="2:14">
      <c r="B302"/>
      <c r="L302"/>
      <c r="N302"/>
    </row>
    <row r="303" spans="2:14">
      <c r="B303"/>
      <c r="L303"/>
      <c r="N303"/>
    </row>
    <row r="304" spans="2:14">
      <c r="B304"/>
      <c r="L304"/>
      <c r="N304"/>
    </row>
    <row r="305" spans="2:14">
      <c r="B305"/>
      <c r="L305"/>
      <c r="N305"/>
    </row>
    <row r="306" spans="2:14">
      <c r="B306"/>
      <c r="L306"/>
      <c r="N306"/>
    </row>
    <row r="307" spans="2:14">
      <c r="B307"/>
      <c r="L307"/>
      <c r="N307"/>
    </row>
    <row r="308" spans="2:14">
      <c r="B308"/>
      <c r="L308"/>
      <c r="N308"/>
    </row>
    <row r="309" spans="2:14">
      <c r="B309"/>
      <c r="L309"/>
      <c r="N309"/>
    </row>
    <row r="310" spans="2:14">
      <c r="B310"/>
      <c r="L310"/>
      <c r="N310"/>
    </row>
    <row r="311" spans="2:14">
      <c r="B311"/>
      <c r="L311"/>
      <c r="N311"/>
    </row>
    <row r="312" spans="2:14">
      <c r="B312"/>
      <c r="L312"/>
      <c r="N312"/>
    </row>
    <row r="313" spans="2:14">
      <c r="B313"/>
      <c r="L313"/>
      <c r="N313"/>
    </row>
    <row r="314" spans="2:14">
      <c r="B314"/>
      <c r="L314"/>
      <c r="N314"/>
    </row>
    <row r="315" spans="2:14">
      <c r="B315"/>
      <c r="L315"/>
      <c r="N315"/>
    </row>
    <row r="316" spans="2:14">
      <c r="B316"/>
      <c r="L316"/>
      <c r="N316"/>
    </row>
    <row r="317" spans="2:14">
      <c r="B317"/>
      <c r="L317"/>
      <c r="N317"/>
    </row>
    <row r="318" spans="2:14">
      <c r="B318"/>
      <c r="L318"/>
      <c r="N318"/>
    </row>
    <row r="319" spans="2:14">
      <c r="B319"/>
      <c r="L319"/>
      <c r="N319"/>
    </row>
    <row r="320" spans="2:14">
      <c r="B320"/>
      <c r="L320"/>
      <c r="N320"/>
    </row>
    <row r="321" spans="2:14">
      <c r="B321"/>
      <c r="L321"/>
      <c r="N321"/>
    </row>
    <row r="322" spans="2:14">
      <c r="B322"/>
      <c r="L322"/>
      <c r="N322"/>
    </row>
    <row r="323" spans="2:14">
      <c r="B323"/>
      <c r="L323"/>
      <c r="N323"/>
    </row>
    <row r="324" spans="2:14">
      <c r="B324"/>
      <c r="L324"/>
      <c r="N324"/>
    </row>
    <row r="325" spans="2:14">
      <c r="B325"/>
      <c r="L325"/>
      <c r="N325"/>
    </row>
    <row r="326" spans="2:14">
      <c r="B326"/>
      <c r="L326"/>
      <c r="N326"/>
    </row>
    <row r="327" spans="2:14">
      <c r="B327"/>
      <c r="L327"/>
      <c r="N327"/>
    </row>
    <row r="328" spans="2:14">
      <c r="B328"/>
      <c r="L328"/>
      <c r="N328"/>
    </row>
    <row r="329" spans="2:14">
      <c r="B329"/>
      <c r="L329"/>
      <c r="N329"/>
    </row>
    <row r="330" spans="2:14">
      <c r="B330"/>
      <c r="L330"/>
      <c r="N330"/>
    </row>
    <row r="331" spans="2:14">
      <c r="B331"/>
      <c r="L331"/>
      <c r="N331"/>
    </row>
    <row r="332" spans="2:14">
      <c r="B332"/>
      <c r="L332"/>
      <c r="N332"/>
    </row>
    <row r="333" spans="2:14">
      <c r="B333"/>
      <c r="L333"/>
      <c r="N333"/>
    </row>
    <row r="334" spans="2:14">
      <c r="B334"/>
      <c r="L334"/>
      <c r="N334"/>
    </row>
    <row r="335" spans="2:14">
      <c r="B335"/>
      <c r="L335"/>
      <c r="N335"/>
    </row>
    <row r="336" spans="2:14">
      <c r="B336"/>
      <c r="L336"/>
      <c r="N336"/>
    </row>
    <row r="337" spans="2:14">
      <c r="B337"/>
      <c r="L337"/>
      <c r="N337"/>
    </row>
    <row r="338" spans="2:14">
      <c r="B338"/>
      <c r="L338"/>
      <c r="N338"/>
    </row>
    <row r="339" spans="2:14">
      <c r="B339"/>
      <c r="L339"/>
      <c r="N339"/>
    </row>
    <row r="340" spans="2:14">
      <c r="B340"/>
      <c r="L340"/>
      <c r="N340"/>
    </row>
    <row r="341" spans="2:14">
      <c r="B341"/>
      <c r="L341"/>
      <c r="N341"/>
    </row>
    <row r="342" spans="2:14">
      <c r="B342"/>
      <c r="L342"/>
      <c r="N342"/>
    </row>
    <row r="343" spans="2:14">
      <c r="B343"/>
      <c r="L343"/>
      <c r="N343"/>
    </row>
    <row r="344" spans="2:14">
      <c r="B344"/>
      <c r="L344"/>
      <c r="N344"/>
    </row>
    <row r="345" spans="2:14">
      <c r="B345"/>
      <c r="L345"/>
      <c r="N345"/>
    </row>
    <row r="346" spans="2:14">
      <c r="B346"/>
      <c r="L346"/>
      <c r="N346"/>
    </row>
    <row r="347" spans="2:14">
      <c r="B347"/>
      <c r="L347"/>
      <c r="N347"/>
    </row>
    <row r="348" spans="2:14">
      <c r="B348"/>
      <c r="L348"/>
      <c r="N348"/>
    </row>
    <row r="349" spans="2:14">
      <c r="B349"/>
      <c r="L349"/>
      <c r="N349"/>
    </row>
    <row r="350" spans="2:14">
      <c r="B350"/>
      <c r="L350"/>
      <c r="N350"/>
    </row>
    <row r="351" spans="2:14">
      <c r="B351"/>
      <c r="L351"/>
      <c r="N351"/>
    </row>
    <row r="352" spans="2:14">
      <c r="B352"/>
      <c r="L352"/>
      <c r="N352"/>
    </row>
    <row r="353" spans="2:14">
      <c r="B353"/>
      <c r="L353"/>
      <c r="N353"/>
    </row>
    <row r="354" spans="2:14">
      <c r="B354"/>
      <c r="L354"/>
      <c r="N354"/>
    </row>
    <row r="355" spans="2:14">
      <c r="B355"/>
      <c r="L355"/>
      <c r="N355"/>
    </row>
    <row r="356" spans="2:14">
      <c r="B356"/>
      <c r="L356"/>
      <c r="N356"/>
    </row>
    <row r="357" spans="2:14">
      <c r="B357"/>
      <c r="L357"/>
      <c r="N357"/>
    </row>
    <row r="358" spans="2:14">
      <c r="B358"/>
      <c r="L358"/>
      <c r="N358"/>
    </row>
    <row r="359" spans="2:14">
      <c r="B359"/>
      <c r="L359"/>
      <c r="N359"/>
    </row>
    <row r="360" spans="2:14">
      <c r="B360"/>
      <c r="L360"/>
      <c r="N360"/>
    </row>
    <row r="361" spans="2:14">
      <c r="B361"/>
      <c r="L361"/>
      <c r="N361"/>
    </row>
    <row r="362" spans="2:14">
      <c r="B362"/>
      <c r="L362"/>
      <c r="N362"/>
    </row>
    <row r="363" spans="2:14">
      <c r="B363"/>
      <c r="L363"/>
      <c r="N363"/>
    </row>
    <row r="364" spans="2:14">
      <c r="B364"/>
      <c r="L364"/>
      <c r="N364"/>
    </row>
    <row r="365" spans="2:14">
      <c r="B365"/>
      <c r="L365"/>
      <c r="N365"/>
    </row>
    <row r="366" spans="2:14">
      <c r="B366"/>
      <c r="L366"/>
      <c r="N366"/>
    </row>
    <row r="367" spans="2:14">
      <c r="B367"/>
      <c r="L367"/>
      <c r="N367"/>
    </row>
    <row r="368" spans="2:14">
      <c r="B368"/>
      <c r="L368"/>
      <c r="N368"/>
    </row>
    <row r="369" spans="2:14">
      <c r="B369"/>
      <c r="L369"/>
      <c r="N369"/>
    </row>
    <row r="370" spans="2:14">
      <c r="B370"/>
      <c r="L370"/>
      <c r="N370"/>
    </row>
    <row r="371" spans="2:14">
      <c r="B371"/>
      <c r="L371"/>
      <c r="N371"/>
    </row>
    <row r="372" spans="2:14">
      <c r="B372"/>
      <c r="L372"/>
      <c r="N372"/>
    </row>
    <row r="373" spans="2:14">
      <c r="B373"/>
      <c r="L373"/>
      <c r="N373"/>
    </row>
    <row r="374" spans="2:14">
      <c r="B374"/>
      <c r="L374"/>
      <c r="N374"/>
    </row>
    <row r="375" spans="2:14">
      <c r="B375"/>
      <c r="L375"/>
      <c r="N375"/>
    </row>
    <row r="376" spans="2:14">
      <c r="B376"/>
      <c r="L376"/>
      <c r="N376"/>
    </row>
    <row r="377" spans="2:14">
      <c r="B377"/>
      <c r="L377"/>
      <c r="N377"/>
    </row>
    <row r="378" spans="2:14">
      <c r="B378"/>
      <c r="L378"/>
      <c r="N378"/>
    </row>
    <row r="379" spans="2:14">
      <c r="B379"/>
      <c r="L379"/>
      <c r="N379"/>
    </row>
    <row r="380" spans="2:14">
      <c r="B380"/>
      <c r="L380"/>
      <c r="N380"/>
    </row>
    <row r="381" spans="2:14">
      <c r="B381"/>
      <c r="L381"/>
      <c r="N381"/>
    </row>
    <row r="382" spans="2:14">
      <c r="B382"/>
      <c r="L382"/>
      <c r="N382"/>
    </row>
    <row r="383" spans="2:14">
      <c r="B383"/>
      <c r="L383"/>
      <c r="N383"/>
    </row>
    <row r="384" spans="2:14">
      <c r="B384"/>
      <c r="L384"/>
      <c r="N384"/>
    </row>
    <row r="385" spans="2:14">
      <c r="B385"/>
      <c r="L385"/>
      <c r="N385"/>
    </row>
    <row r="386" spans="2:14">
      <c r="B386"/>
      <c r="L386"/>
      <c r="N386"/>
    </row>
    <row r="387" spans="2:14">
      <c r="B387"/>
      <c r="L387"/>
      <c r="N387"/>
    </row>
    <row r="388" spans="2:14">
      <c r="B388"/>
      <c r="L388"/>
      <c r="N388"/>
    </row>
    <row r="389" spans="2:14">
      <c r="B389"/>
      <c r="L389"/>
      <c r="N389"/>
    </row>
    <row r="390" spans="2:14">
      <c r="B390"/>
      <c r="L390"/>
      <c r="N390"/>
    </row>
    <row r="391" spans="2:14">
      <c r="B391"/>
      <c r="L391"/>
      <c r="N391"/>
    </row>
    <row r="392" spans="2:14">
      <c r="B392"/>
      <c r="L392"/>
      <c r="N392"/>
    </row>
    <row r="393" spans="2:14">
      <c r="B393"/>
      <c r="L393"/>
      <c r="N393"/>
    </row>
    <row r="394" spans="2:14">
      <c r="B394"/>
      <c r="L394"/>
      <c r="N394"/>
    </row>
    <row r="395" spans="2:14">
      <c r="B395"/>
      <c r="L395"/>
      <c r="N395"/>
    </row>
    <row r="396" spans="2:14">
      <c r="B396"/>
      <c r="L396"/>
      <c r="N396"/>
    </row>
    <row r="397" spans="2:14">
      <c r="B397"/>
      <c r="L397"/>
      <c r="N397"/>
    </row>
    <row r="398" spans="2:14">
      <c r="B398"/>
      <c r="L398"/>
      <c r="N398"/>
    </row>
    <row r="399" spans="2:14">
      <c r="B399"/>
      <c r="L399"/>
      <c r="N399"/>
    </row>
    <row r="400" spans="2:14">
      <c r="B400"/>
      <c r="L400"/>
      <c r="N400"/>
    </row>
    <row r="401" spans="2:14">
      <c r="B401"/>
      <c r="L401"/>
      <c r="N401"/>
    </row>
    <row r="402" spans="2:14">
      <c r="B402"/>
      <c r="L402"/>
      <c r="N402"/>
    </row>
    <row r="403" spans="2:14">
      <c r="B403"/>
      <c r="L403"/>
      <c r="N403"/>
    </row>
    <row r="404" spans="2:14">
      <c r="B404"/>
      <c r="L404"/>
      <c r="N404"/>
    </row>
    <row r="405" spans="2:14">
      <c r="B405"/>
      <c r="L405"/>
      <c r="N405"/>
    </row>
    <row r="406" spans="2:14">
      <c r="B406"/>
      <c r="L406"/>
      <c r="N406"/>
    </row>
    <row r="407" spans="2:14">
      <c r="B407"/>
      <c r="L407"/>
      <c r="N407"/>
    </row>
    <row r="408" spans="2:14">
      <c r="B408"/>
      <c r="L408"/>
      <c r="N408"/>
    </row>
    <row r="409" spans="2:14">
      <c r="B409"/>
      <c r="L409"/>
      <c r="N409"/>
    </row>
    <row r="410" spans="2:14">
      <c r="B410"/>
      <c r="L410"/>
      <c r="N410"/>
    </row>
    <row r="411" spans="2:14">
      <c r="B411"/>
      <c r="L411"/>
      <c r="N411"/>
    </row>
    <row r="412" spans="2:14">
      <c r="B412"/>
      <c r="L412"/>
      <c r="N412"/>
    </row>
    <row r="413" spans="2:14">
      <c r="B413"/>
      <c r="L413"/>
      <c r="N413"/>
    </row>
    <row r="414" spans="2:14">
      <c r="B414"/>
      <c r="L414"/>
      <c r="N414"/>
    </row>
    <row r="415" spans="2:14">
      <c r="B415"/>
      <c r="L415"/>
      <c r="N415"/>
    </row>
    <row r="416" spans="2:14">
      <c r="B416"/>
      <c r="L416"/>
      <c r="N416"/>
    </row>
    <row r="417" spans="2:14">
      <c r="B417"/>
      <c r="L417"/>
      <c r="N417"/>
    </row>
    <row r="418" spans="2:14">
      <c r="B418"/>
      <c r="L418"/>
      <c r="N418"/>
    </row>
    <row r="419" spans="2:14">
      <c r="B419"/>
      <c r="L419"/>
      <c r="N419"/>
    </row>
    <row r="420" spans="2:14">
      <c r="B420"/>
      <c r="L420"/>
      <c r="N420"/>
    </row>
    <row r="421" spans="2:14">
      <c r="B421"/>
      <c r="L421"/>
      <c r="N421"/>
    </row>
    <row r="422" spans="2:14">
      <c r="B422"/>
      <c r="L422"/>
      <c r="N422"/>
    </row>
    <row r="423" spans="2:14">
      <c r="B423"/>
      <c r="L423"/>
      <c r="N423"/>
    </row>
    <row r="424" spans="2:14">
      <c r="B424"/>
      <c r="L424"/>
      <c r="N424"/>
    </row>
    <row r="425" spans="2:14">
      <c r="B425"/>
      <c r="L425"/>
      <c r="N425"/>
    </row>
    <row r="426" spans="2:14">
      <c r="B426"/>
      <c r="L426"/>
      <c r="N426"/>
    </row>
    <row r="427" spans="2:14">
      <c r="B427"/>
      <c r="L427"/>
      <c r="N427"/>
    </row>
    <row r="428" spans="2:14">
      <c r="B428"/>
      <c r="L428"/>
      <c r="N428"/>
    </row>
    <row r="429" spans="2:14">
      <c r="B429"/>
      <c r="L429"/>
      <c r="N429"/>
    </row>
    <row r="430" spans="2:14">
      <c r="B430"/>
      <c r="L430"/>
      <c r="N430"/>
    </row>
    <row r="431" spans="2:14">
      <c r="B431"/>
      <c r="L431"/>
      <c r="N431"/>
    </row>
    <row r="432" spans="2:14">
      <c r="B432"/>
      <c r="L432"/>
      <c r="N432"/>
    </row>
    <row r="433" spans="2:14">
      <c r="B433"/>
      <c r="L433"/>
      <c r="N433"/>
    </row>
    <row r="434" spans="2:14">
      <c r="B434"/>
      <c r="L434"/>
      <c r="N434"/>
    </row>
    <row r="435" spans="2:14">
      <c r="B435"/>
      <c r="L435"/>
      <c r="N435"/>
    </row>
    <row r="436" spans="2:14">
      <c r="B436"/>
      <c r="L436"/>
      <c r="N436"/>
    </row>
    <row r="437" spans="2:14">
      <c r="B437"/>
      <c r="L437"/>
      <c r="N437"/>
    </row>
    <row r="438" spans="2:14">
      <c r="B438"/>
      <c r="L438"/>
      <c r="N438"/>
    </row>
    <row r="439" spans="2:14">
      <c r="B439"/>
      <c r="L439"/>
      <c r="N439"/>
    </row>
    <row r="440" spans="2:14">
      <c r="B440"/>
      <c r="L440"/>
      <c r="N440"/>
    </row>
    <row r="441" spans="2:14">
      <c r="B441"/>
      <c r="L441"/>
      <c r="N441"/>
    </row>
    <row r="442" spans="2:14">
      <c r="B442"/>
      <c r="L442"/>
      <c r="N442"/>
    </row>
    <row r="443" spans="2:14">
      <c r="B443"/>
      <c r="L443"/>
      <c r="N443"/>
    </row>
    <row r="444" spans="2:14">
      <c r="B444"/>
      <c r="L444"/>
      <c r="N444"/>
    </row>
    <row r="445" spans="2:14">
      <c r="B445"/>
      <c r="L445"/>
      <c r="N445"/>
    </row>
    <row r="446" spans="2:14">
      <c r="B446"/>
      <c r="L446"/>
      <c r="N446"/>
    </row>
    <row r="447" spans="2:14">
      <c r="B447"/>
      <c r="L447"/>
      <c r="N447"/>
    </row>
    <row r="448" spans="2:14">
      <c r="B448"/>
      <c r="L448"/>
      <c r="N448"/>
    </row>
    <row r="449" spans="2:14">
      <c r="B449"/>
      <c r="L449"/>
      <c r="N449"/>
    </row>
    <row r="450" spans="2:14">
      <c r="B450"/>
      <c r="L450"/>
      <c r="N450"/>
    </row>
    <row r="451" spans="2:14">
      <c r="B451"/>
      <c r="L451"/>
      <c r="N451"/>
    </row>
    <row r="452" spans="2:14">
      <c r="B452"/>
      <c r="L452"/>
      <c r="N452"/>
    </row>
    <row r="453" spans="2:14">
      <c r="B453"/>
      <c r="L453"/>
      <c r="N453"/>
    </row>
    <row r="454" spans="2:14">
      <c r="B454"/>
      <c r="L454"/>
      <c r="N454"/>
    </row>
    <row r="455" spans="2:14">
      <c r="B455"/>
      <c r="L455"/>
      <c r="N455"/>
    </row>
    <row r="456" spans="2:14">
      <c r="B456"/>
      <c r="L456"/>
      <c r="N456"/>
    </row>
    <row r="457" spans="2:14">
      <c r="B457"/>
      <c r="L457"/>
      <c r="N457"/>
    </row>
    <row r="458" spans="2:14">
      <c r="B458"/>
      <c r="L458"/>
      <c r="N458"/>
    </row>
    <row r="459" spans="2:14">
      <c r="B459"/>
      <c r="L459"/>
      <c r="N459"/>
    </row>
    <row r="460" spans="2:14">
      <c r="B460"/>
      <c r="L460"/>
      <c r="N460"/>
    </row>
    <row r="461" spans="2:14">
      <c r="B461"/>
      <c r="L461"/>
      <c r="N461"/>
    </row>
    <row r="462" spans="2:14">
      <c r="B462"/>
      <c r="L462"/>
      <c r="N462"/>
    </row>
    <row r="463" spans="2:14">
      <c r="B463"/>
      <c r="L463"/>
      <c r="N463"/>
    </row>
    <row r="464" spans="2:14">
      <c r="B464"/>
      <c r="L464"/>
      <c r="N464"/>
    </row>
    <row r="465" spans="2:14">
      <c r="B465"/>
      <c r="L465"/>
      <c r="N465"/>
    </row>
    <row r="466" spans="2:14">
      <c r="B466"/>
      <c r="L466"/>
      <c r="N466"/>
    </row>
    <row r="467" spans="2:14">
      <c r="B467"/>
      <c r="L467"/>
      <c r="N467"/>
    </row>
    <row r="468" spans="2:14">
      <c r="B468"/>
      <c r="L468"/>
      <c r="N468"/>
    </row>
    <row r="469" spans="2:14">
      <c r="B469"/>
      <c r="L469"/>
      <c r="N469"/>
    </row>
    <row r="470" spans="2:14">
      <c r="B470"/>
      <c r="L470"/>
      <c r="N470"/>
    </row>
    <row r="471" spans="2:14">
      <c r="B471"/>
      <c r="L471"/>
      <c r="N471"/>
    </row>
    <row r="472" spans="2:14">
      <c r="B472"/>
      <c r="L472"/>
      <c r="N472"/>
    </row>
    <row r="473" spans="2:14">
      <c r="B473"/>
      <c r="L473"/>
      <c r="N473"/>
    </row>
    <row r="474" spans="2:14">
      <c r="B474"/>
      <c r="L474"/>
      <c r="N474"/>
    </row>
    <row r="475" spans="2:14">
      <c r="B475"/>
      <c r="L475"/>
      <c r="N475"/>
    </row>
    <row r="476" spans="2:14">
      <c r="B476"/>
      <c r="L476"/>
      <c r="N476"/>
    </row>
    <row r="477" spans="2:14">
      <c r="B477"/>
      <c r="L477"/>
      <c r="N477"/>
    </row>
    <row r="478" spans="2:14">
      <c r="B478"/>
      <c r="L478"/>
      <c r="N478"/>
    </row>
    <row r="479" spans="2:14">
      <c r="B479"/>
      <c r="L479"/>
      <c r="N479"/>
    </row>
    <row r="480" spans="2:14">
      <c r="B480"/>
      <c r="L480"/>
      <c r="N480"/>
    </row>
    <row r="481" spans="2:14">
      <c r="B481"/>
      <c r="L481"/>
      <c r="N481"/>
    </row>
    <row r="482" spans="2:14">
      <c r="B482"/>
      <c r="L482"/>
      <c r="N482"/>
    </row>
    <row r="483" spans="2:14">
      <c r="B483"/>
      <c r="L483"/>
      <c r="N483"/>
    </row>
    <row r="484" spans="2:14">
      <c r="B484"/>
      <c r="L484"/>
      <c r="N484"/>
    </row>
    <row r="485" spans="2:14">
      <c r="B485"/>
      <c r="L485"/>
      <c r="N485"/>
    </row>
    <row r="486" spans="2:14">
      <c r="B486"/>
      <c r="L486"/>
      <c r="N486"/>
    </row>
    <row r="487" spans="2:14">
      <c r="B487"/>
      <c r="L487"/>
      <c r="N487"/>
    </row>
    <row r="488" spans="2:14">
      <c r="B488"/>
      <c r="L488"/>
      <c r="N488"/>
    </row>
    <row r="489" spans="2:14">
      <c r="B489"/>
      <c r="L489"/>
      <c r="N489"/>
    </row>
    <row r="490" spans="2:14">
      <c r="B490"/>
      <c r="L490"/>
      <c r="N490"/>
    </row>
    <row r="491" spans="2:14">
      <c r="B491"/>
      <c r="L491"/>
      <c r="N491"/>
    </row>
    <row r="492" spans="2:14">
      <c r="B492"/>
      <c r="L492"/>
      <c r="N492"/>
    </row>
    <row r="493" spans="2:14">
      <c r="B493"/>
      <c r="L493"/>
      <c r="N493"/>
    </row>
    <row r="494" spans="2:14">
      <c r="B494"/>
      <c r="L494"/>
      <c r="N494"/>
    </row>
    <row r="495" spans="2:14">
      <c r="B495"/>
      <c r="L495"/>
      <c r="N495"/>
    </row>
    <row r="496" spans="2:14">
      <c r="B496"/>
      <c r="L496"/>
      <c r="N496"/>
    </row>
    <row r="497" spans="2:14">
      <c r="B497"/>
      <c r="L497"/>
      <c r="N497"/>
    </row>
    <row r="498" spans="2:14">
      <c r="B498"/>
      <c r="L498"/>
      <c r="N498"/>
    </row>
    <row r="499" spans="2:14">
      <c r="B499"/>
      <c r="L499"/>
      <c r="N499"/>
    </row>
    <row r="500" spans="2:14">
      <c r="B500"/>
      <c r="L500"/>
      <c r="N500"/>
    </row>
    <row r="501" spans="2:14">
      <c r="B501"/>
      <c r="L501"/>
      <c r="N501"/>
    </row>
    <row r="502" spans="2:14">
      <c r="B502"/>
      <c r="L502"/>
      <c r="N502"/>
    </row>
    <row r="503" spans="2:14">
      <c r="B503"/>
      <c r="L503"/>
      <c r="N503"/>
    </row>
    <row r="504" spans="2:14">
      <c r="B504"/>
      <c r="L504"/>
      <c r="N504"/>
    </row>
    <row r="505" spans="2:14">
      <c r="B505"/>
      <c r="L505"/>
      <c r="N505"/>
    </row>
    <row r="506" spans="2:14">
      <c r="B506"/>
      <c r="L506"/>
      <c r="N506"/>
    </row>
    <row r="507" spans="2:14">
      <c r="B507"/>
      <c r="L507"/>
      <c r="N507"/>
    </row>
    <row r="508" spans="2:14">
      <c r="B508"/>
      <c r="L508"/>
      <c r="N508"/>
    </row>
    <row r="509" spans="2:14">
      <c r="B509"/>
      <c r="L509"/>
      <c r="N509"/>
    </row>
    <row r="510" spans="2:14">
      <c r="B510"/>
      <c r="L510"/>
      <c r="N510"/>
    </row>
    <row r="511" spans="2:14">
      <c r="B511"/>
      <c r="L511"/>
      <c r="N511"/>
    </row>
    <row r="512" spans="2:14">
      <c r="B512"/>
      <c r="L512"/>
      <c r="N512"/>
    </row>
    <row r="513" spans="2:14">
      <c r="B513"/>
      <c r="L513"/>
      <c r="N513"/>
    </row>
    <row r="514" spans="2:14">
      <c r="B514"/>
      <c r="L514"/>
      <c r="N514"/>
    </row>
    <row r="515" spans="2:14">
      <c r="B515"/>
      <c r="L515"/>
      <c r="N515"/>
    </row>
    <row r="516" spans="2:14">
      <c r="B516"/>
      <c r="L516"/>
      <c r="N516"/>
    </row>
    <row r="517" spans="2:14">
      <c r="B517"/>
      <c r="L517"/>
      <c r="N517"/>
    </row>
    <row r="518" spans="2:14">
      <c r="B518"/>
      <c r="L518"/>
      <c r="N518"/>
    </row>
    <row r="519" spans="2:14">
      <c r="B519"/>
      <c r="L519"/>
      <c r="N519"/>
    </row>
    <row r="520" spans="2:14">
      <c r="B520"/>
      <c r="L520"/>
      <c r="N520"/>
    </row>
    <row r="521" spans="2:14">
      <c r="B521"/>
      <c r="L521"/>
      <c r="N521"/>
    </row>
    <row r="522" spans="2:14">
      <c r="B522"/>
      <c r="L522"/>
      <c r="N522"/>
    </row>
    <row r="523" spans="2:14">
      <c r="B523"/>
      <c r="L523"/>
      <c r="N523"/>
    </row>
    <row r="524" spans="2:14">
      <c r="B524"/>
      <c r="L524"/>
      <c r="N524"/>
    </row>
    <row r="525" spans="2:14">
      <c r="B525"/>
      <c r="L525"/>
      <c r="N525"/>
    </row>
    <row r="526" spans="2:14">
      <c r="B526"/>
      <c r="L526"/>
      <c r="N526"/>
    </row>
    <row r="527" spans="2:14">
      <c r="B527"/>
      <c r="L527"/>
      <c r="N527"/>
    </row>
    <row r="528" spans="2:14">
      <c r="B528"/>
      <c r="L528"/>
      <c r="N528"/>
    </row>
    <row r="529" spans="2:14">
      <c r="B529"/>
      <c r="L529"/>
      <c r="N529"/>
    </row>
    <row r="530" spans="2:14">
      <c r="B530"/>
      <c r="L530"/>
      <c r="N530"/>
    </row>
    <row r="531" spans="2:14">
      <c r="B531"/>
      <c r="L531"/>
      <c r="N531"/>
    </row>
    <row r="532" spans="2:14">
      <c r="B532"/>
      <c r="L532"/>
      <c r="N532"/>
    </row>
    <row r="533" spans="2:14">
      <c r="B533"/>
      <c r="L533"/>
      <c r="N533"/>
    </row>
    <row r="534" spans="2:14">
      <c r="B534"/>
      <c r="L534"/>
      <c r="N534"/>
    </row>
    <row r="535" spans="2:14">
      <c r="B535"/>
      <c r="L535"/>
      <c r="N535"/>
    </row>
    <row r="536" spans="2:14">
      <c r="B536"/>
      <c r="L536"/>
      <c r="N536"/>
    </row>
    <row r="537" spans="2:14">
      <c r="B537"/>
      <c r="L537"/>
      <c r="N537"/>
    </row>
    <row r="538" spans="2:14">
      <c r="B538"/>
      <c r="L538"/>
      <c r="N538"/>
    </row>
    <row r="539" spans="2:14">
      <c r="B539"/>
      <c r="L539"/>
      <c r="N539"/>
    </row>
    <row r="540" spans="2:14">
      <c r="B540"/>
      <c r="L540"/>
      <c r="N540"/>
    </row>
    <row r="541" spans="2:14">
      <c r="B541"/>
      <c r="L541"/>
      <c r="N541"/>
    </row>
    <row r="542" spans="2:14">
      <c r="B542"/>
      <c r="L542"/>
      <c r="N542"/>
    </row>
    <row r="543" spans="2:14">
      <c r="B543"/>
      <c r="L543"/>
      <c r="N543"/>
    </row>
    <row r="544" spans="2:14">
      <c r="B544"/>
      <c r="L544"/>
      <c r="N544"/>
    </row>
    <row r="545" spans="2:14">
      <c r="B545"/>
      <c r="L545"/>
      <c r="N545"/>
    </row>
    <row r="546" spans="2:14">
      <c r="B546"/>
      <c r="L546"/>
      <c r="N546"/>
    </row>
    <row r="547" spans="2:14">
      <c r="B547"/>
      <c r="L547"/>
      <c r="N547"/>
    </row>
    <row r="548" spans="2:14">
      <c r="B548"/>
      <c r="L548"/>
      <c r="N548"/>
    </row>
    <row r="549" spans="2:14">
      <c r="B549"/>
      <c r="L549"/>
      <c r="N549"/>
    </row>
    <row r="550" spans="2:14">
      <c r="B550"/>
      <c r="L550"/>
      <c r="N550"/>
    </row>
    <row r="551" spans="2:14">
      <c r="B551"/>
      <c r="L551"/>
      <c r="N551"/>
    </row>
    <row r="552" spans="2:14">
      <c r="B552"/>
      <c r="L552"/>
      <c r="N552"/>
    </row>
    <row r="553" spans="2:14">
      <c r="B553"/>
      <c r="L553"/>
      <c r="N553"/>
    </row>
    <row r="554" spans="2:14">
      <c r="B554"/>
      <c r="L554"/>
      <c r="N554"/>
    </row>
    <row r="555" spans="2:14">
      <c r="B555"/>
      <c r="L555"/>
      <c r="N555"/>
    </row>
    <row r="556" spans="2:14">
      <c r="B556"/>
      <c r="L556"/>
      <c r="N556"/>
    </row>
    <row r="557" spans="2:14">
      <c r="B557"/>
      <c r="L557"/>
      <c r="N557"/>
    </row>
    <row r="558" spans="2:14">
      <c r="B558"/>
      <c r="L558"/>
      <c r="N558"/>
    </row>
    <row r="559" spans="2:14">
      <c r="B559"/>
      <c r="L559"/>
      <c r="N559"/>
    </row>
    <row r="560" spans="2:14">
      <c r="B560"/>
      <c r="L560"/>
      <c r="N560"/>
    </row>
    <row r="561" spans="2:14">
      <c r="B561"/>
      <c r="L561"/>
      <c r="N561"/>
    </row>
    <row r="562" spans="2:14">
      <c r="B562"/>
      <c r="L562"/>
      <c r="N562"/>
    </row>
    <row r="563" spans="2:14">
      <c r="B563"/>
      <c r="L563"/>
      <c r="N563"/>
    </row>
    <row r="564" spans="2:14">
      <c r="B564"/>
      <c r="L564"/>
      <c r="N564"/>
    </row>
    <row r="565" spans="2:14">
      <c r="B565"/>
      <c r="L565"/>
      <c r="N565"/>
    </row>
    <row r="566" spans="2:14">
      <c r="B566"/>
      <c r="L566"/>
      <c r="N566"/>
    </row>
    <row r="567" spans="2:14">
      <c r="B567"/>
      <c r="L567"/>
      <c r="N567"/>
    </row>
    <row r="568" spans="2:14">
      <c r="B568"/>
      <c r="L568"/>
      <c r="N568"/>
    </row>
    <row r="569" spans="2:14">
      <c r="B569"/>
      <c r="L569"/>
      <c r="N569"/>
    </row>
    <row r="570" spans="2:14">
      <c r="B570"/>
      <c r="L570"/>
      <c r="N570"/>
    </row>
    <row r="571" spans="2:14">
      <c r="B571"/>
      <c r="L571"/>
      <c r="N571"/>
    </row>
    <row r="572" spans="2:14">
      <c r="B572"/>
      <c r="L572"/>
      <c r="N572"/>
    </row>
    <row r="573" spans="2:14">
      <c r="B573"/>
      <c r="L573"/>
      <c r="N573"/>
    </row>
    <row r="574" spans="2:14">
      <c r="B574"/>
      <c r="L574"/>
      <c r="N574"/>
    </row>
    <row r="575" spans="2:14">
      <c r="B575"/>
      <c r="L575"/>
      <c r="N575"/>
    </row>
    <row r="576" spans="2:14">
      <c r="B576"/>
      <c r="L576"/>
      <c r="N576"/>
    </row>
    <row r="577" spans="2:14">
      <c r="B577"/>
      <c r="L577"/>
      <c r="N577"/>
    </row>
    <row r="578" spans="2:14">
      <c r="B578"/>
      <c r="L578"/>
      <c r="N578"/>
    </row>
    <row r="579" spans="2:14">
      <c r="B579"/>
      <c r="L579"/>
      <c r="N579"/>
    </row>
    <row r="580" spans="2:14">
      <c r="B580"/>
      <c r="L580"/>
      <c r="N580"/>
    </row>
    <row r="581" spans="2:14">
      <c r="B581"/>
      <c r="L581"/>
      <c r="N581"/>
    </row>
    <row r="582" spans="2:14">
      <c r="B582"/>
      <c r="L582"/>
      <c r="N582"/>
    </row>
    <row r="583" spans="2:14">
      <c r="B583"/>
      <c r="L583"/>
      <c r="N583"/>
    </row>
    <row r="584" spans="2:14">
      <c r="B584"/>
      <c r="L584"/>
      <c r="N584"/>
    </row>
    <row r="585" spans="2:14">
      <c r="B585"/>
      <c r="L585"/>
      <c r="N585"/>
    </row>
    <row r="586" spans="2:14">
      <c r="B586"/>
      <c r="L586"/>
      <c r="N586"/>
    </row>
    <row r="587" spans="2:14">
      <c r="B587"/>
      <c r="L587"/>
      <c r="N587"/>
    </row>
    <row r="588" spans="2:14">
      <c r="B588"/>
      <c r="L588"/>
      <c r="N588"/>
    </row>
    <row r="589" spans="2:14">
      <c r="B589"/>
      <c r="L589"/>
      <c r="N589"/>
    </row>
    <row r="590" spans="2:14">
      <c r="B590"/>
      <c r="L590"/>
      <c r="N590"/>
    </row>
    <row r="591" spans="2:14">
      <c r="B591"/>
      <c r="L591"/>
      <c r="N591"/>
    </row>
    <row r="592" spans="2:14">
      <c r="B592"/>
      <c r="L592"/>
      <c r="N592"/>
    </row>
    <row r="593" spans="2:14">
      <c r="B593"/>
      <c r="L593"/>
      <c r="N593"/>
    </row>
    <row r="594" spans="2:14">
      <c r="B594"/>
      <c r="L594"/>
      <c r="N594"/>
    </row>
    <row r="595" spans="2:14">
      <c r="B595"/>
      <c r="L595"/>
      <c r="N595"/>
    </row>
    <row r="596" spans="2:14">
      <c r="B596"/>
      <c r="L596"/>
      <c r="N596"/>
    </row>
    <row r="597" spans="2:14">
      <c r="B597"/>
      <c r="L597"/>
      <c r="N597"/>
    </row>
    <row r="598" spans="2:14">
      <c r="B598"/>
      <c r="L598"/>
      <c r="N598"/>
    </row>
    <row r="599" spans="2:14">
      <c r="B599"/>
      <c r="L599"/>
      <c r="N599"/>
    </row>
    <row r="600" spans="2:14">
      <c r="B600"/>
      <c r="L600"/>
      <c r="N600"/>
    </row>
    <row r="601" spans="2:14">
      <c r="B601"/>
      <c r="L601"/>
      <c r="N601"/>
    </row>
    <row r="602" spans="2:14">
      <c r="B602"/>
      <c r="L602"/>
      <c r="N602"/>
    </row>
    <row r="603" spans="2:14">
      <c r="B603"/>
      <c r="L603"/>
      <c r="N603"/>
    </row>
    <row r="604" spans="2:14">
      <c r="B604"/>
      <c r="L604"/>
      <c r="N604"/>
    </row>
    <row r="605" spans="2:14">
      <c r="B605"/>
      <c r="L605"/>
      <c r="N605"/>
    </row>
    <row r="606" spans="2:14">
      <c r="B606"/>
      <c r="L606"/>
      <c r="N606"/>
    </row>
    <row r="607" spans="2:14">
      <c r="B607"/>
      <c r="L607"/>
      <c r="N607"/>
    </row>
    <row r="608" spans="2:14">
      <c r="B608"/>
      <c r="L608"/>
      <c r="N608"/>
    </row>
    <row r="609" spans="2:14">
      <c r="B609"/>
      <c r="L609"/>
      <c r="N609"/>
    </row>
    <row r="610" spans="2:14">
      <c r="B610"/>
      <c r="L610"/>
      <c r="N610"/>
    </row>
    <row r="611" spans="2:14">
      <c r="B611"/>
      <c r="L611"/>
      <c r="N611"/>
    </row>
    <row r="612" spans="2:14">
      <c r="B612"/>
      <c r="L612"/>
      <c r="N612"/>
    </row>
    <row r="613" spans="2:14">
      <c r="B613"/>
      <c r="L613"/>
      <c r="N613"/>
    </row>
    <row r="614" spans="2:14">
      <c r="B614"/>
      <c r="L614"/>
      <c r="N614"/>
    </row>
    <row r="615" spans="2:14">
      <c r="B615"/>
      <c r="L615"/>
      <c r="N615"/>
    </row>
    <row r="616" spans="2:14">
      <c r="B616"/>
      <c r="L616"/>
      <c r="N616"/>
    </row>
    <row r="617" spans="2:14">
      <c r="B617"/>
      <c r="L617"/>
      <c r="N617"/>
    </row>
    <row r="618" spans="2:14">
      <c r="B618"/>
      <c r="L618"/>
      <c r="N618"/>
    </row>
    <row r="619" spans="2:14">
      <c r="B619"/>
      <c r="L619"/>
      <c r="N619"/>
    </row>
    <row r="620" spans="2:14">
      <c r="B620"/>
      <c r="L620"/>
      <c r="N620"/>
    </row>
    <row r="621" spans="2:14">
      <c r="B621"/>
      <c r="L621"/>
      <c r="N621"/>
    </row>
    <row r="622" spans="2:14">
      <c r="B622"/>
      <c r="L622"/>
      <c r="N622"/>
    </row>
    <row r="623" spans="2:14">
      <c r="B623"/>
      <c r="L623"/>
      <c r="N623"/>
    </row>
    <row r="624" spans="2:14">
      <c r="B624"/>
      <c r="L624"/>
      <c r="N624"/>
    </row>
    <row r="625" spans="2:14">
      <c r="B625"/>
      <c r="L625"/>
      <c r="N625"/>
    </row>
    <row r="626" spans="2:14">
      <c r="B626"/>
      <c r="L626"/>
      <c r="N626"/>
    </row>
    <row r="627" spans="2:14">
      <c r="B627"/>
      <c r="L627"/>
      <c r="N627"/>
    </row>
    <row r="628" spans="2:14">
      <c r="B628"/>
      <c r="L628"/>
      <c r="N628"/>
    </row>
    <row r="629" spans="2:14">
      <c r="B629"/>
      <c r="L629"/>
      <c r="N629"/>
    </row>
    <row r="630" spans="2:14">
      <c r="B630"/>
      <c r="L630"/>
      <c r="N630"/>
    </row>
    <row r="631" spans="2:14">
      <c r="B631"/>
      <c r="L631"/>
      <c r="N631"/>
    </row>
    <row r="632" spans="2:14">
      <c r="B632"/>
      <c r="L632"/>
      <c r="N632"/>
    </row>
    <row r="633" spans="2:14">
      <c r="B633"/>
      <c r="L633"/>
      <c r="N633"/>
    </row>
    <row r="634" spans="2:14">
      <c r="B634"/>
      <c r="L634"/>
      <c r="N634"/>
    </row>
    <row r="635" spans="2:14">
      <c r="B635"/>
      <c r="L635"/>
      <c r="N635"/>
    </row>
    <row r="636" spans="2:14">
      <c r="B636"/>
      <c r="L636"/>
      <c r="N636"/>
    </row>
    <row r="637" spans="2:14">
      <c r="B637"/>
      <c r="L637"/>
      <c r="N637"/>
    </row>
    <row r="638" spans="2:14">
      <c r="B638"/>
      <c r="L638"/>
      <c r="N638"/>
    </row>
    <row r="639" spans="2:14">
      <c r="B639"/>
      <c r="L639"/>
      <c r="N639"/>
    </row>
    <row r="640" spans="2:14">
      <c r="B640"/>
      <c r="L640"/>
      <c r="N640"/>
    </row>
    <row r="641" spans="2:14">
      <c r="B641"/>
      <c r="L641"/>
      <c r="N641"/>
    </row>
    <row r="642" spans="2:14">
      <c r="B642"/>
      <c r="L642"/>
      <c r="N642"/>
    </row>
    <row r="643" spans="2:14">
      <c r="B643"/>
      <c r="L643"/>
      <c r="N643"/>
    </row>
    <row r="644" spans="2:14">
      <c r="B644"/>
      <c r="L644"/>
      <c r="N644"/>
    </row>
    <row r="645" spans="2:14">
      <c r="B645"/>
      <c r="L645"/>
      <c r="N645"/>
    </row>
    <row r="646" spans="2:14">
      <c r="B646"/>
      <c r="L646"/>
      <c r="N646"/>
    </row>
    <row r="647" spans="2:14">
      <c r="B647"/>
      <c r="L647"/>
      <c r="N647"/>
    </row>
    <row r="648" spans="2:14">
      <c r="B648"/>
      <c r="L648"/>
      <c r="N648"/>
    </row>
    <row r="649" spans="2:14">
      <c r="B649"/>
      <c r="L649"/>
      <c r="N649"/>
    </row>
    <row r="650" spans="2:14">
      <c r="B650"/>
      <c r="L650"/>
      <c r="N650"/>
    </row>
    <row r="651" spans="2:14">
      <c r="B651"/>
      <c r="L651"/>
      <c r="N651"/>
    </row>
    <row r="652" spans="2:14">
      <c r="B652"/>
      <c r="L652"/>
      <c r="N652"/>
    </row>
    <row r="653" spans="2:14">
      <c r="B653"/>
      <c r="L653"/>
      <c r="N653"/>
    </row>
    <row r="654" spans="2:14">
      <c r="B654"/>
      <c r="L654"/>
      <c r="N654"/>
    </row>
    <row r="655" spans="2:14">
      <c r="B655"/>
      <c r="L655"/>
      <c r="N655"/>
    </row>
    <row r="656" spans="2:14">
      <c r="B656"/>
      <c r="L656"/>
      <c r="N656"/>
    </row>
    <row r="657" spans="2:14">
      <c r="B657"/>
      <c r="L657"/>
      <c r="N657"/>
    </row>
    <row r="658" spans="2:14">
      <c r="B658"/>
      <c r="L658"/>
      <c r="N658"/>
    </row>
    <row r="659" spans="2:14">
      <c r="B659"/>
      <c r="L659"/>
      <c r="N659"/>
    </row>
    <row r="660" spans="2:14">
      <c r="B660"/>
      <c r="L660"/>
      <c r="N660"/>
    </row>
    <row r="661" spans="2:14">
      <c r="B661"/>
      <c r="L661"/>
      <c r="N661"/>
    </row>
    <row r="662" spans="2:14">
      <c r="B662"/>
      <c r="L662"/>
      <c r="N662"/>
    </row>
    <row r="663" spans="2:14">
      <c r="B663"/>
      <c r="L663"/>
      <c r="N663"/>
    </row>
    <row r="664" spans="2:14">
      <c r="B664"/>
      <c r="L664"/>
      <c r="N664"/>
    </row>
    <row r="665" spans="2:14">
      <c r="B665"/>
      <c r="L665"/>
      <c r="N665"/>
    </row>
    <row r="666" spans="2:14">
      <c r="B666"/>
      <c r="L666"/>
      <c r="N666"/>
    </row>
    <row r="667" spans="2:14">
      <c r="B667"/>
      <c r="L667"/>
      <c r="N667"/>
    </row>
    <row r="668" spans="2:14">
      <c r="B668"/>
      <c r="L668"/>
      <c r="N668"/>
    </row>
    <row r="669" spans="2:14">
      <c r="B669"/>
      <c r="L669"/>
      <c r="N669"/>
    </row>
    <row r="670" spans="2:14">
      <c r="B670"/>
      <c r="L670"/>
      <c r="N670"/>
    </row>
    <row r="671" spans="2:14">
      <c r="B671"/>
      <c r="L671"/>
      <c r="N671"/>
    </row>
    <row r="672" spans="2:14">
      <c r="B672"/>
      <c r="L672"/>
      <c r="N672"/>
    </row>
    <row r="673" spans="2:14">
      <c r="B673"/>
      <c r="L673"/>
      <c r="N673"/>
    </row>
    <row r="674" spans="2:14">
      <c r="B674"/>
      <c r="L674"/>
      <c r="N674"/>
    </row>
    <row r="675" spans="2:14">
      <c r="B675"/>
      <c r="L675"/>
      <c r="N675"/>
    </row>
    <row r="676" spans="2:14">
      <c r="B676"/>
      <c r="L676"/>
      <c r="N676"/>
    </row>
    <row r="677" spans="2:14">
      <c r="B677"/>
      <c r="L677"/>
      <c r="N677"/>
    </row>
    <row r="678" spans="2:14">
      <c r="B678"/>
      <c r="L678"/>
      <c r="N678"/>
    </row>
    <row r="679" spans="2:14">
      <c r="B679"/>
      <c r="L679"/>
      <c r="N679"/>
    </row>
    <row r="680" spans="2:14">
      <c r="B680"/>
      <c r="L680"/>
      <c r="N680"/>
    </row>
    <row r="681" spans="2:14">
      <c r="B681"/>
      <c r="L681"/>
      <c r="N681"/>
    </row>
    <row r="682" spans="2:14">
      <c r="B682"/>
      <c r="L682"/>
      <c r="N682"/>
    </row>
    <row r="683" spans="2:14">
      <c r="B683"/>
      <c r="L683"/>
      <c r="N683"/>
    </row>
    <row r="684" spans="2:14">
      <c r="B684"/>
      <c r="L684"/>
      <c r="N684"/>
    </row>
    <row r="685" spans="2:14">
      <c r="B685"/>
      <c r="L685"/>
      <c r="N685"/>
    </row>
    <row r="686" spans="2:14">
      <c r="B686"/>
      <c r="L686"/>
      <c r="N686"/>
    </row>
    <row r="687" spans="2:14">
      <c r="B687"/>
      <c r="L687"/>
      <c r="N687"/>
    </row>
    <row r="688" spans="2:14">
      <c r="B688"/>
      <c r="L688"/>
      <c r="N688"/>
    </row>
    <row r="689" spans="2:14">
      <c r="B689"/>
      <c r="L689"/>
      <c r="N689"/>
    </row>
    <row r="690" spans="2:14">
      <c r="B690"/>
      <c r="L690"/>
      <c r="N690"/>
    </row>
    <row r="691" spans="2:14">
      <c r="B691"/>
      <c r="L691"/>
      <c r="N691"/>
    </row>
    <row r="692" spans="2:14">
      <c r="B692"/>
      <c r="L692"/>
      <c r="N692"/>
    </row>
    <row r="693" spans="2:14">
      <c r="B693"/>
      <c r="L693"/>
      <c r="N693"/>
    </row>
    <row r="694" spans="2:14">
      <c r="B694"/>
      <c r="L694"/>
      <c r="N694"/>
    </row>
    <row r="695" spans="2:14">
      <c r="B695"/>
      <c r="L695"/>
      <c r="N695"/>
    </row>
    <row r="696" spans="2:14">
      <c r="B696"/>
      <c r="L696"/>
      <c r="N696"/>
    </row>
    <row r="697" spans="2:14">
      <c r="B697"/>
      <c r="L697"/>
      <c r="N697"/>
    </row>
    <row r="698" spans="2:14">
      <c r="B698"/>
      <c r="L698"/>
      <c r="N698"/>
    </row>
    <row r="699" spans="2:14">
      <c r="B699"/>
      <c r="L699"/>
      <c r="N699"/>
    </row>
    <row r="700" spans="2:14">
      <c r="B700"/>
      <c r="L700"/>
      <c r="N700"/>
    </row>
    <row r="701" spans="2:14">
      <c r="B701"/>
      <c r="L701"/>
      <c r="N701"/>
    </row>
    <row r="702" spans="2:14">
      <c r="B702"/>
      <c r="L702"/>
      <c r="N702"/>
    </row>
    <row r="703" spans="2:14">
      <c r="B703"/>
      <c r="L703"/>
      <c r="N703"/>
    </row>
    <row r="704" spans="2:14">
      <c r="B704"/>
      <c r="L704"/>
      <c r="N704"/>
    </row>
    <row r="705" spans="2:14">
      <c r="B705"/>
      <c r="L705"/>
      <c r="N705"/>
    </row>
    <row r="706" spans="2:14">
      <c r="B706"/>
      <c r="L706"/>
      <c r="N706"/>
    </row>
    <row r="707" spans="2:14">
      <c r="B707"/>
      <c r="L707"/>
      <c r="N707"/>
    </row>
    <row r="708" spans="2:14">
      <c r="B708"/>
      <c r="L708"/>
      <c r="N708"/>
    </row>
    <row r="709" spans="2:14">
      <c r="B709"/>
      <c r="L709"/>
      <c r="N709"/>
    </row>
    <row r="710" spans="2:14">
      <c r="B710"/>
      <c r="L710"/>
      <c r="N710"/>
    </row>
    <row r="711" spans="2:14">
      <c r="B711"/>
      <c r="L711"/>
      <c r="N711"/>
    </row>
    <row r="712" spans="2:14">
      <c r="B712"/>
      <c r="L712"/>
      <c r="N712"/>
    </row>
    <row r="713" spans="2:14">
      <c r="B713"/>
      <c r="L713"/>
      <c r="N713"/>
    </row>
    <row r="714" spans="2:14">
      <c r="B714"/>
      <c r="L714"/>
      <c r="N714"/>
    </row>
    <row r="715" spans="2:14">
      <c r="B715"/>
      <c r="L715"/>
      <c r="N715"/>
    </row>
    <row r="716" spans="2:14">
      <c r="B716"/>
      <c r="L716"/>
      <c r="N716"/>
    </row>
    <row r="717" spans="2:14">
      <c r="B717"/>
      <c r="L717"/>
      <c r="N717"/>
    </row>
    <row r="718" spans="2:14">
      <c r="B718"/>
      <c r="L718"/>
      <c r="N718"/>
    </row>
    <row r="719" spans="2:14">
      <c r="B719"/>
      <c r="L719"/>
      <c r="N719"/>
    </row>
    <row r="720" spans="2:14">
      <c r="B720"/>
      <c r="L720"/>
      <c r="N720"/>
    </row>
    <row r="721" spans="2:14">
      <c r="B721"/>
      <c r="L721"/>
      <c r="N721"/>
    </row>
    <row r="722" spans="2:14">
      <c r="B722"/>
      <c r="L722"/>
      <c r="N722"/>
    </row>
    <row r="723" spans="2:14">
      <c r="B723"/>
      <c r="L723"/>
      <c r="N723"/>
    </row>
    <row r="724" spans="2:14">
      <c r="B724"/>
      <c r="L724"/>
      <c r="N724"/>
    </row>
    <row r="725" spans="2:14">
      <c r="B725"/>
      <c r="L725"/>
      <c r="N725"/>
    </row>
    <row r="726" spans="2:14">
      <c r="B726"/>
      <c r="L726"/>
      <c r="N726"/>
    </row>
    <row r="727" spans="2:14">
      <c r="B727"/>
      <c r="L727"/>
      <c r="N727"/>
    </row>
    <row r="728" spans="2:14">
      <c r="B728"/>
      <c r="L728"/>
      <c r="N728"/>
    </row>
    <row r="729" spans="2:14">
      <c r="B729"/>
      <c r="L729"/>
      <c r="N729"/>
    </row>
    <row r="730" spans="2:14">
      <c r="B730"/>
      <c r="L730"/>
      <c r="N730"/>
    </row>
    <row r="731" spans="2:14">
      <c r="B731"/>
      <c r="L731"/>
      <c r="N731"/>
    </row>
    <row r="732" spans="2:14">
      <c r="B732"/>
      <c r="L732"/>
      <c r="N732"/>
    </row>
    <row r="733" spans="2:14">
      <c r="B733"/>
      <c r="L733"/>
      <c r="N733"/>
    </row>
    <row r="734" spans="2:14">
      <c r="B734"/>
      <c r="L734"/>
      <c r="N734"/>
    </row>
    <row r="735" spans="2:14">
      <c r="B735"/>
      <c r="L735"/>
      <c r="N735"/>
    </row>
    <row r="736" spans="2:14">
      <c r="B736"/>
      <c r="L736"/>
      <c r="N736"/>
    </row>
    <row r="737" spans="2:14">
      <c r="B737"/>
      <c r="L737"/>
      <c r="N737"/>
    </row>
    <row r="738" spans="2:14">
      <c r="B738"/>
      <c r="L738"/>
      <c r="N738"/>
    </row>
    <row r="739" spans="2:14">
      <c r="B739"/>
      <c r="L739"/>
      <c r="N739"/>
    </row>
    <row r="740" spans="2:14">
      <c r="B740"/>
      <c r="L740"/>
      <c r="N740"/>
    </row>
    <row r="741" spans="2:14">
      <c r="B741"/>
      <c r="L741"/>
      <c r="N741"/>
    </row>
    <row r="742" spans="2:14">
      <c r="B742"/>
      <c r="L742"/>
      <c r="N742"/>
    </row>
    <row r="743" spans="2:14">
      <c r="B743"/>
      <c r="L743"/>
      <c r="N743"/>
    </row>
    <row r="744" spans="2:14">
      <c r="B744"/>
      <c r="L744"/>
      <c r="N744"/>
    </row>
    <row r="745" spans="2:14">
      <c r="B745"/>
      <c r="L745"/>
      <c r="N745"/>
    </row>
    <row r="746" spans="2:14">
      <c r="B746"/>
      <c r="L746"/>
      <c r="N746"/>
    </row>
    <row r="747" spans="2:14">
      <c r="B747"/>
      <c r="L747"/>
      <c r="N747"/>
    </row>
    <row r="748" spans="2:14">
      <c r="B748"/>
      <c r="L748"/>
      <c r="N748"/>
    </row>
    <row r="749" spans="2:14">
      <c r="B749"/>
      <c r="L749"/>
      <c r="N749"/>
    </row>
    <row r="750" spans="2:14">
      <c r="B750"/>
      <c r="L750"/>
      <c r="N750"/>
    </row>
    <row r="751" spans="2:14">
      <c r="B751"/>
      <c r="L751"/>
      <c r="N751"/>
    </row>
    <row r="752" spans="2:14">
      <c r="B752"/>
      <c r="L752"/>
      <c r="N752"/>
    </row>
    <row r="753" spans="2:14">
      <c r="B753"/>
      <c r="L753"/>
      <c r="N753"/>
    </row>
    <row r="754" spans="2:14">
      <c r="B754"/>
      <c r="L754"/>
      <c r="N754"/>
    </row>
    <row r="755" spans="2:14">
      <c r="B755"/>
      <c r="L755"/>
      <c r="N755"/>
    </row>
    <row r="756" spans="2:14">
      <c r="B756"/>
      <c r="L756"/>
      <c r="N756"/>
    </row>
    <row r="757" spans="2:14">
      <c r="B757"/>
      <c r="L757"/>
      <c r="N757"/>
    </row>
    <row r="758" spans="2:14">
      <c r="B758"/>
      <c r="L758"/>
      <c r="N758"/>
    </row>
    <row r="759" spans="2:14">
      <c r="B759"/>
      <c r="L759"/>
      <c r="N759"/>
    </row>
    <row r="760" spans="2:14">
      <c r="B760"/>
      <c r="L760"/>
      <c r="N760"/>
    </row>
    <row r="761" spans="2:14">
      <c r="B761"/>
      <c r="L761"/>
      <c r="N761"/>
    </row>
    <row r="762" spans="2:14">
      <c r="B762"/>
      <c r="L762"/>
      <c r="N762"/>
    </row>
    <row r="763" spans="2:14">
      <c r="B763"/>
      <c r="L763"/>
      <c r="N763"/>
    </row>
    <row r="764" spans="2:14">
      <c r="B764"/>
      <c r="L764"/>
      <c r="N764"/>
    </row>
    <row r="765" spans="2:14">
      <c r="B765"/>
      <c r="L765"/>
      <c r="N765"/>
    </row>
    <row r="766" spans="2:14">
      <c r="B766"/>
      <c r="L766"/>
      <c r="N766"/>
    </row>
    <row r="767" spans="2:14">
      <c r="B767"/>
      <c r="L767"/>
      <c r="N767"/>
    </row>
    <row r="768" spans="2:14">
      <c r="B768"/>
      <c r="L768"/>
      <c r="N768"/>
    </row>
    <row r="769" spans="2:14">
      <c r="B769"/>
      <c r="L769"/>
      <c r="N769"/>
    </row>
    <row r="770" spans="2:14">
      <c r="B770"/>
      <c r="L770"/>
      <c r="N770"/>
    </row>
    <row r="771" spans="2:14">
      <c r="B771"/>
      <c r="L771"/>
      <c r="N771"/>
    </row>
    <row r="772" spans="2:14">
      <c r="B772"/>
      <c r="L772"/>
      <c r="N772"/>
    </row>
    <row r="773" spans="2:14">
      <c r="B773"/>
      <c r="L773"/>
      <c r="N773"/>
    </row>
    <row r="774" spans="2:14">
      <c r="B774"/>
      <c r="L774"/>
      <c r="N774"/>
    </row>
    <row r="775" spans="2:14">
      <c r="B775"/>
      <c r="L775"/>
      <c r="N775"/>
    </row>
    <row r="776" spans="2:14">
      <c r="B776"/>
      <c r="L776"/>
      <c r="N776"/>
    </row>
    <row r="777" spans="2:14">
      <c r="B777"/>
      <c r="L777"/>
      <c r="N777"/>
    </row>
    <row r="778" spans="2:14">
      <c r="B778"/>
      <c r="L778"/>
      <c r="N778"/>
    </row>
    <row r="779" spans="2:14">
      <c r="B779"/>
      <c r="L779"/>
      <c r="N779"/>
    </row>
    <row r="780" spans="2:14">
      <c r="B780"/>
      <c r="L780"/>
      <c r="N780"/>
    </row>
    <row r="781" spans="2:14">
      <c r="B781"/>
      <c r="L781"/>
      <c r="N781"/>
    </row>
    <row r="782" spans="2:14">
      <c r="B782"/>
      <c r="L782"/>
      <c r="N782"/>
    </row>
    <row r="783" spans="2:14">
      <c r="B783"/>
      <c r="L783"/>
      <c r="N783"/>
    </row>
    <row r="784" spans="2:14">
      <c r="B784"/>
      <c r="L784"/>
      <c r="N784"/>
    </row>
    <row r="785" spans="2:14">
      <c r="B785"/>
      <c r="L785"/>
      <c r="N785"/>
    </row>
    <row r="786" spans="2:14">
      <c r="B786"/>
      <c r="L786"/>
      <c r="N786"/>
    </row>
    <row r="787" spans="2:14">
      <c r="B787"/>
      <c r="L787"/>
      <c r="N787"/>
    </row>
    <row r="788" spans="2:14">
      <c r="B788"/>
      <c r="L788"/>
      <c r="N788"/>
    </row>
    <row r="789" spans="2:14">
      <c r="B789"/>
      <c r="L789"/>
      <c r="N789"/>
    </row>
    <row r="790" spans="2:14">
      <c r="B790"/>
      <c r="L790"/>
      <c r="N790"/>
    </row>
    <row r="791" spans="2:14">
      <c r="B791"/>
      <c r="L791"/>
      <c r="N791"/>
    </row>
    <row r="792" spans="2:14">
      <c r="B792"/>
      <c r="L792"/>
      <c r="N792"/>
    </row>
    <row r="793" spans="2:14">
      <c r="B793"/>
      <c r="L793"/>
      <c r="N793"/>
    </row>
    <row r="794" spans="2:14">
      <c r="B794"/>
      <c r="L794"/>
      <c r="N794"/>
    </row>
    <row r="795" spans="2:14">
      <c r="B795"/>
      <c r="L795"/>
      <c r="N795"/>
    </row>
    <row r="796" spans="2:14">
      <c r="B796"/>
      <c r="L796"/>
      <c r="N796"/>
    </row>
    <row r="797" spans="2:14">
      <c r="B797"/>
      <c r="L797"/>
      <c r="N797"/>
    </row>
    <row r="798" spans="2:14">
      <c r="B798"/>
      <c r="L798"/>
      <c r="N798"/>
    </row>
    <row r="799" spans="2:14">
      <c r="B799"/>
      <c r="L799"/>
      <c r="N799"/>
    </row>
    <row r="800" spans="2:14">
      <c r="B800"/>
      <c r="L800"/>
      <c r="N800"/>
    </row>
    <row r="801" spans="2:14">
      <c r="B801"/>
      <c r="L801"/>
      <c r="N801"/>
    </row>
    <row r="802" spans="2:14">
      <c r="B802"/>
      <c r="L802"/>
      <c r="N802"/>
    </row>
    <row r="803" spans="2:14">
      <c r="B803"/>
      <c r="L803"/>
      <c r="N803"/>
    </row>
    <row r="804" spans="2:14">
      <c r="B804"/>
      <c r="L804"/>
      <c r="N804"/>
    </row>
    <row r="805" spans="2:14">
      <c r="B805"/>
      <c r="L805"/>
      <c r="N805"/>
    </row>
    <row r="806" spans="2:14">
      <c r="B806"/>
      <c r="L806"/>
      <c r="N806"/>
    </row>
    <row r="807" spans="2:14">
      <c r="B807"/>
      <c r="L807"/>
      <c r="N807"/>
    </row>
    <row r="808" spans="2:14">
      <c r="B808"/>
      <c r="L808"/>
      <c r="N808"/>
    </row>
    <row r="809" spans="2:14">
      <c r="B809"/>
      <c r="L809"/>
      <c r="N809"/>
    </row>
    <row r="810" spans="2:14">
      <c r="B810"/>
      <c r="L810"/>
      <c r="N810"/>
    </row>
    <row r="811" spans="2:14">
      <c r="B811"/>
      <c r="L811"/>
      <c r="N811"/>
    </row>
    <row r="812" spans="2:14">
      <c r="B812"/>
      <c r="L812"/>
      <c r="N812"/>
    </row>
    <row r="813" spans="2:14">
      <c r="B813"/>
      <c r="L813"/>
      <c r="N813"/>
    </row>
    <row r="814" spans="2:14">
      <c r="B814"/>
      <c r="L814"/>
      <c r="N814"/>
    </row>
    <row r="815" spans="2:14">
      <c r="B815"/>
      <c r="L815"/>
      <c r="N815"/>
    </row>
    <row r="816" spans="2:14">
      <c r="B816"/>
      <c r="L816"/>
      <c r="N816"/>
    </row>
    <row r="817" spans="2:14">
      <c r="B817"/>
      <c r="L817"/>
      <c r="N817"/>
    </row>
    <row r="818" spans="2:14">
      <c r="B818"/>
      <c r="L818"/>
      <c r="N818"/>
    </row>
    <row r="819" spans="2:14">
      <c r="B819"/>
      <c r="L819"/>
      <c r="N819"/>
    </row>
    <row r="820" spans="2:14">
      <c r="B820"/>
      <c r="L820"/>
      <c r="N820"/>
    </row>
    <row r="821" spans="2:14">
      <c r="B821"/>
      <c r="L821"/>
      <c r="N821"/>
    </row>
    <row r="822" spans="2:14">
      <c r="B822"/>
      <c r="L822"/>
      <c r="N822"/>
    </row>
    <row r="823" spans="2:14">
      <c r="B823"/>
      <c r="L823"/>
      <c r="N823"/>
    </row>
    <row r="824" spans="2:14">
      <c r="B824"/>
      <c r="L824"/>
      <c r="N824"/>
    </row>
    <row r="825" spans="2:14">
      <c r="B825"/>
      <c r="L825"/>
      <c r="N825"/>
    </row>
    <row r="826" spans="2:14">
      <c r="B826"/>
      <c r="L826"/>
      <c r="N826"/>
    </row>
    <row r="827" spans="2:14">
      <c r="B827"/>
      <c r="L827"/>
      <c r="N827"/>
    </row>
    <row r="828" spans="2:14">
      <c r="B828"/>
      <c r="L828"/>
      <c r="N828"/>
    </row>
    <row r="829" spans="2:14">
      <c r="B829"/>
      <c r="L829"/>
      <c r="N829"/>
    </row>
    <row r="830" spans="2:14">
      <c r="B830"/>
      <c r="L830"/>
      <c r="N830"/>
    </row>
    <row r="831" spans="2:14">
      <c r="B831"/>
      <c r="L831"/>
      <c r="N831"/>
    </row>
    <row r="832" spans="2:14">
      <c r="B832"/>
      <c r="L832"/>
      <c r="N832"/>
    </row>
    <row r="833" spans="2:14">
      <c r="B833"/>
      <c r="L833"/>
      <c r="N833"/>
    </row>
    <row r="834" spans="2:14">
      <c r="B834"/>
      <c r="L834"/>
      <c r="N834"/>
    </row>
    <row r="835" spans="2:14">
      <c r="B835"/>
      <c r="L835"/>
      <c r="N835"/>
    </row>
    <row r="836" spans="2:14">
      <c r="B836"/>
      <c r="L836"/>
      <c r="N836"/>
    </row>
    <row r="837" spans="2:14">
      <c r="B837"/>
      <c r="L837"/>
      <c r="N837"/>
    </row>
    <row r="838" spans="2:14">
      <c r="B838"/>
      <c r="L838"/>
      <c r="N838"/>
    </row>
    <row r="839" spans="2:14">
      <c r="B839"/>
      <c r="L839"/>
      <c r="N839"/>
    </row>
    <row r="840" spans="2:14">
      <c r="B840"/>
      <c r="L840"/>
      <c r="N840"/>
    </row>
    <row r="841" spans="2:14">
      <c r="B841"/>
      <c r="L841"/>
      <c r="N841"/>
    </row>
    <row r="842" spans="2:14">
      <c r="B842"/>
      <c r="L842"/>
      <c r="N842"/>
    </row>
    <row r="843" spans="2:14">
      <c r="B843"/>
      <c r="L843"/>
      <c r="N843"/>
    </row>
    <row r="844" spans="2:14">
      <c r="B844"/>
      <c r="L844"/>
      <c r="N844"/>
    </row>
    <row r="845" spans="2:14">
      <c r="B845"/>
      <c r="L845"/>
      <c r="N845"/>
    </row>
    <row r="846" spans="2:14">
      <c r="B846"/>
      <c r="L846"/>
      <c r="N846"/>
    </row>
    <row r="847" spans="2:14">
      <c r="B847"/>
      <c r="L847"/>
      <c r="N847"/>
    </row>
    <row r="848" spans="2:14">
      <c r="B848"/>
      <c r="L848"/>
      <c r="N848"/>
    </row>
    <row r="849" spans="2:14">
      <c r="B849"/>
      <c r="L849"/>
      <c r="N849"/>
    </row>
    <row r="850" spans="2:14">
      <c r="B850"/>
      <c r="L850"/>
      <c r="N850"/>
    </row>
    <row r="851" spans="2:14">
      <c r="B851"/>
      <c r="L851"/>
      <c r="N851"/>
    </row>
    <row r="852" spans="2:14">
      <c r="B852"/>
      <c r="L852"/>
      <c r="N852"/>
    </row>
    <row r="853" spans="2:14">
      <c r="B853"/>
      <c r="L853"/>
      <c r="N853"/>
    </row>
    <row r="854" spans="2:14">
      <c r="B854"/>
      <c r="L854"/>
      <c r="N854"/>
    </row>
    <row r="855" spans="2:14">
      <c r="B855"/>
      <c r="L855"/>
      <c r="N855"/>
    </row>
    <row r="856" spans="2:14">
      <c r="B856"/>
      <c r="L856"/>
      <c r="N856"/>
    </row>
    <row r="857" spans="2:14">
      <c r="B857"/>
      <c r="L857"/>
      <c r="N857"/>
    </row>
    <row r="858" spans="2:14">
      <c r="B858"/>
      <c r="L858"/>
      <c r="N858"/>
    </row>
    <row r="859" spans="2:14">
      <c r="B859"/>
      <c r="L859"/>
      <c r="N859"/>
    </row>
    <row r="860" spans="2:14">
      <c r="B860"/>
      <c r="L860"/>
      <c r="N860"/>
    </row>
    <row r="861" spans="2:14">
      <c r="B861"/>
      <c r="L861"/>
      <c r="N861"/>
    </row>
    <row r="862" spans="2:14">
      <c r="B862"/>
      <c r="L862"/>
      <c r="N862"/>
    </row>
    <row r="863" spans="2:14">
      <c r="B863"/>
      <c r="L863"/>
      <c r="N863"/>
    </row>
    <row r="864" spans="2:14">
      <c r="B864"/>
      <c r="L864"/>
      <c r="N864"/>
    </row>
    <row r="865" spans="2:14">
      <c r="B865"/>
      <c r="L865"/>
      <c r="N865"/>
    </row>
    <row r="866" spans="2:14">
      <c r="B866"/>
      <c r="L866"/>
      <c r="N866"/>
    </row>
    <row r="867" spans="2:14">
      <c r="B867"/>
      <c r="L867"/>
      <c r="N867"/>
    </row>
    <row r="868" spans="2:14">
      <c r="B868"/>
      <c r="L868"/>
      <c r="N868"/>
    </row>
    <row r="869" spans="2:14">
      <c r="B869"/>
      <c r="L869"/>
      <c r="N869"/>
    </row>
    <row r="870" spans="2:14">
      <c r="B870"/>
      <c r="L870"/>
      <c r="N870"/>
    </row>
    <row r="871" spans="2:14">
      <c r="B871"/>
      <c r="L871"/>
      <c r="N871"/>
    </row>
    <row r="872" spans="2:14">
      <c r="B872"/>
      <c r="L872"/>
      <c r="N872"/>
    </row>
    <row r="873" spans="2:14">
      <c r="B873"/>
      <c r="L873"/>
      <c r="N873"/>
    </row>
    <row r="874" spans="2:14">
      <c r="B874"/>
      <c r="L874"/>
      <c r="N874"/>
    </row>
    <row r="875" spans="2:14">
      <c r="B875"/>
      <c r="L875"/>
      <c r="N875"/>
    </row>
    <row r="876" spans="2:14">
      <c r="B876"/>
      <c r="L876"/>
      <c r="N876"/>
    </row>
    <row r="877" spans="2:14">
      <c r="B877"/>
      <c r="L877"/>
      <c r="N877"/>
    </row>
    <row r="878" spans="2:14">
      <c r="B878"/>
      <c r="L878"/>
      <c r="N878"/>
    </row>
    <row r="879" spans="2:14">
      <c r="B879"/>
      <c r="L879"/>
      <c r="N879"/>
    </row>
    <row r="880" spans="2:14">
      <c r="B880"/>
      <c r="L880"/>
      <c r="N880"/>
    </row>
    <row r="881" spans="2:14">
      <c r="B881"/>
      <c r="L881"/>
      <c r="N881"/>
    </row>
    <row r="882" spans="2:14">
      <c r="B882"/>
      <c r="L882"/>
      <c r="N882"/>
    </row>
    <row r="883" spans="2:14">
      <c r="B883"/>
      <c r="L883"/>
      <c r="N883"/>
    </row>
    <row r="884" spans="2:14">
      <c r="B884"/>
      <c r="L884"/>
      <c r="N884"/>
    </row>
    <row r="885" spans="2:14">
      <c r="B885"/>
      <c r="L885"/>
      <c r="N885"/>
    </row>
    <row r="886" spans="2:14">
      <c r="B886"/>
      <c r="L886"/>
      <c r="N886"/>
    </row>
    <row r="887" spans="2:14">
      <c r="B887"/>
      <c r="L887"/>
      <c r="N887"/>
    </row>
    <row r="888" spans="2:14">
      <c r="B888"/>
      <c r="L888"/>
      <c r="N888"/>
    </row>
    <row r="889" spans="2:14">
      <c r="B889"/>
      <c r="L889"/>
      <c r="N889"/>
    </row>
    <row r="890" spans="2:14">
      <c r="B890"/>
      <c r="L890"/>
      <c r="N890"/>
    </row>
    <row r="891" spans="2:14">
      <c r="B891"/>
      <c r="L891"/>
      <c r="N891"/>
    </row>
    <row r="892" spans="2:14">
      <c r="B892"/>
      <c r="L892"/>
      <c r="N892"/>
    </row>
    <row r="893" spans="2:14">
      <c r="B893"/>
      <c r="L893"/>
      <c r="N893"/>
    </row>
    <row r="894" spans="2:14">
      <c r="B894"/>
      <c r="L894"/>
      <c r="N894"/>
    </row>
    <row r="895" spans="2:14">
      <c r="B895"/>
      <c r="L895"/>
      <c r="N895"/>
    </row>
    <row r="896" spans="2:14">
      <c r="B896"/>
      <c r="L896"/>
      <c r="N896"/>
    </row>
    <row r="897" spans="2:14">
      <c r="B897"/>
      <c r="L897"/>
      <c r="N897"/>
    </row>
    <row r="898" spans="2:14">
      <c r="B898"/>
      <c r="L898"/>
      <c r="N898"/>
    </row>
    <row r="899" spans="2:14">
      <c r="B899"/>
      <c r="L899"/>
      <c r="N899"/>
    </row>
    <row r="900" spans="2:14">
      <c r="B900"/>
      <c r="L900"/>
      <c r="N900"/>
    </row>
    <row r="901" spans="2:14">
      <c r="B901"/>
      <c r="L901"/>
      <c r="N901"/>
    </row>
    <row r="902" spans="2:14">
      <c r="B902"/>
      <c r="L902"/>
      <c r="N902"/>
    </row>
    <row r="903" spans="2:14">
      <c r="B903"/>
      <c r="L903"/>
      <c r="N903"/>
    </row>
    <row r="904" spans="2:14">
      <c r="B904"/>
      <c r="L904"/>
      <c r="N904"/>
    </row>
    <row r="905" spans="2:14">
      <c r="B905"/>
      <c r="L905"/>
      <c r="N905"/>
    </row>
    <row r="906" spans="2:14">
      <c r="B906"/>
      <c r="L906"/>
      <c r="N906"/>
    </row>
    <row r="907" spans="2:14">
      <c r="B907"/>
      <c r="L907"/>
      <c r="N907"/>
    </row>
    <row r="908" spans="2:14">
      <c r="B908"/>
      <c r="L908"/>
      <c r="N908"/>
    </row>
    <row r="909" spans="2:14">
      <c r="B909"/>
      <c r="L909"/>
      <c r="N909"/>
    </row>
    <row r="910" spans="2:14">
      <c r="B910"/>
      <c r="L910"/>
      <c r="N910"/>
    </row>
    <row r="911" spans="2:14">
      <c r="B911"/>
      <c r="L911"/>
      <c r="N911"/>
    </row>
    <row r="912" spans="2:14">
      <c r="B912"/>
      <c r="L912"/>
      <c r="N912"/>
    </row>
    <row r="913" spans="2:14">
      <c r="B913"/>
      <c r="L913"/>
      <c r="N913"/>
    </row>
    <row r="914" spans="2:14">
      <c r="B914"/>
      <c r="L914"/>
      <c r="N914"/>
    </row>
    <row r="915" spans="2:14">
      <c r="B915"/>
      <c r="L915"/>
      <c r="N915"/>
    </row>
    <row r="916" spans="2:14">
      <c r="B916"/>
      <c r="L916"/>
      <c r="N916"/>
    </row>
    <row r="917" spans="2:14">
      <c r="B917"/>
      <c r="L917"/>
      <c r="N917"/>
    </row>
    <row r="918" spans="2:14">
      <c r="B918"/>
      <c r="L918"/>
      <c r="N918"/>
    </row>
    <row r="919" spans="2:14">
      <c r="B919"/>
      <c r="L919"/>
      <c r="N919"/>
    </row>
    <row r="920" spans="2:14">
      <c r="B920"/>
      <c r="L920"/>
      <c r="N920"/>
    </row>
    <row r="921" spans="2:14">
      <c r="B921"/>
      <c r="L921"/>
      <c r="N921"/>
    </row>
    <row r="922" spans="2:14">
      <c r="B922"/>
      <c r="L922"/>
      <c r="N922"/>
    </row>
    <row r="923" spans="2:14">
      <c r="B923"/>
      <c r="L923"/>
      <c r="N923"/>
    </row>
    <row r="924" spans="2:14">
      <c r="B924"/>
      <c r="L924"/>
      <c r="N924"/>
    </row>
    <row r="925" spans="2:14">
      <c r="B925"/>
      <c r="L925"/>
      <c r="N925"/>
    </row>
    <row r="926" spans="2:14">
      <c r="B926"/>
      <c r="L926"/>
      <c r="N926"/>
    </row>
    <row r="927" spans="2:14">
      <c r="B927"/>
      <c r="L927"/>
      <c r="N927"/>
    </row>
    <row r="928" spans="2:14">
      <c r="B928"/>
      <c r="L928"/>
      <c r="N928"/>
    </row>
    <row r="929" spans="2:14">
      <c r="B929"/>
      <c r="L929"/>
      <c r="N929"/>
    </row>
    <row r="930" spans="2:14">
      <c r="B930"/>
      <c r="L930"/>
      <c r="N930"/>
    </row>
    <row r="931" spans="2:14">
      <c r="B931"/>
      <c r="L931"/>
      <c r="N931"/>
    </row>
    <row r="932" spans="2:14">
      <c r="B932"/>
      <c r="L932"/>
      <c r="N932"/>
    </row>
    <row r="933" spans="2:14">
      <c r="B933"/>
      <c r="L933"/>
      <c r="N933"/>
    </row>
    <row r="934" spans="2:14">
      <c r="B934"/>
      <c r="L934"/>
      <c r="N934"/>
    </row>
    <row r="935" spans="2:14">
      <c r="B935"/>
      <c r="L935"/>
      <c r="N935"/>
    </row>
    <row r="936" spans="2:14">
      <c r="B936"/>
      <c r="L936"/>
      <c r="N936"/>
    </row>
    <row r="937" spans="2:14">
      <c r="B937"/>
      <c r="L937"/>
      <c r="N937"/>
    </row>
    <row r="938" spans="2:14">
      <c r="B938"/>
      <c r="L938"/>
      <c r="N938"/>
    </row>
    <row r="939" spans="2:14">
      <c r="B939"/>
      <c r="L939"/>
      <c r="N939"/>
    </row>
    <row r="940" spans="2:14">
      <c r="B940"/>
      <c r="L940"/>
      <c r="N940"/>
    </row>
    <row r="941" spans="2:14">
      <c r="B941"/>
      <c r="L941"/>
      <c r="N941"/>
    </row>
    <row r="942" spans="2:14">
      <c r="B942"/>
      <c r="L942"/>
      <c r="N942"/>
    </row>
    <row r="943" spans="2:14">
      <c r="B943"/>
      <c r="L943"/>
      <c r="N943"/>
    </row>
    <row r="944" spans="2:14">
      <c r="B944"/>
      <c r="L944"/>
      <c r="N944"/>
    </row>
    <row r="945" spans="2:14">
      <c r="B945"/>
      <c r="L945"/>
      <c r="N945"/>
    </row>
    <row r="946" spans="2:14">
      <c r="B946"/>
      <c r="L946"/>
      <c r="N946"/>
    </row>
    <row r="947" spans="2:14">
      <c r="B947"/>
      <c r="L947"/>
      <c r="N947"/>
    </row>
    <row r="948" spans="2:14">
      <c r="B948"/>
      <c r="L948"/>
      <c r="N948"/>
    </row>
    <row r="949" spans="2:14">
      <c r="B949"/>
      <c r="L949"/>
      <c r="N949"/>
    </row>
    <row r="950" spans="2:14">
      <c r="B950"/>
      <c r="L950"/>
      <c r="N950"/>
    </row>
    <row r="951" spans="2:14">
      <c r="B951"/>
      <c r="L951"/>
      <c r="N951"/>
    </row>
    <row r="952" spans="2:14">
      <c r="B952"/>
      <c r="L952"/>
      <c r="N952"/>
    </row>
    <row r="953" spans="2:14">
      <c r="B953"/>
      <c r="L953"/>
      <c r="N953"/>
    </row>
    <row r="954" spans="2:14">
      <c r="B954"/>
      <c r="L954"/>
      <c r="N954"/>
    </row>
    <row r="955" spans="2:14">
      <c r="B955"/>
      <c r="L955"/>
      <c r="N955"/>
    </row>
    <row r="956" spans="2:14">
      <c r="B956"/>
      <c r="L956"/>
      <c r="N956"/>
    </row>
    <row r="957" spans="2:14">
      <c r="B957"/>
      <c r="L957"/>
      <c r="N957"/>
    </row>
    <row r="958" spans="2:14">
      <c r="B958"/>
      <c r="L958"/>
      <c r="N958"/>
    </row>
    <row r="959" spans="2:14">
      <c r="B959"/>
      <c r="L959"/>
      <c r="N959"/>
    </row>
    <row r="960" spans="2:14">
      <c r="B960"/>
      <c r="L960"/>
      <c r="N960"/>
    </row>
    <row r="961" spans="2:14">
      <c r="B961"/>
      <c r="L961"/>
      <c r="N961"/>
    </row>
    <row r="962" spans="2:14">
      <c r="B962"/>
      <c r="L962"/>
      <c r="N962"/>
    </row>
    <row r="963" spans="2:14">
      <c r="B963"/>
      <c r="L963"/>
      <c r="N963"/>
    </row>
    <row r="964" spans="2:14">
      <c r="B964"/>
      <c r="L964"/>
      <c r="N964"/>
    </row>
    <row r="965" spans="2:14">
      <c r="B965"/>
      <c r="L965"/>
      <c r="N965"/>
    </row>
    <row r="966" spans="2:14">
      <c r="B966"/>
      <c r="L966"/>
      <c r="N966"/>
    </row>
    <row r="967" spans="2:14">
      <c r="B967"/>
      <c r="L967"/>
      <c r="N967"/>
    </row>
    <row r="968" spans="2:14">
      <c r="B968"/>
      <c r="L968"/>
      <c r="N968"/>
    </row>
    <row r="969" spans="2:14">
      <c r="B969"/>
      <c r="L969"/>
      <c r="N969"/>
    </row>
    <row r="970" spans="2:14">
      <c r="B970"/>
      <c r="L970"/>
      <c r="N970"/>
    </row>
    <row r="971" spans="2:14">
      <c r="B971"/>
      <c r="L971"/>
      <c r="N971"/>
    </row>
    <row r="972" spans="2:14">
      <c r="B972"/>
      <c r="L972"/>
      <c r="N972"/>
    </row>
    <row r="973" spans="2:14">
      <c r="B973"/>
      <c r="L973"/>
      <c r="N973"/>
    </row>
    <row r="974" spans="2:14">
      <c r="B974"/>
      <c r="L974"/>
      <c r="N974"/>
    </row>
    <row r="975" spans="2:14">
      <c r="B975"/>
      <c r="L975"/>
      <c r="N975"/>
    </row>
    <row r="976" spans="2:14">
      <c r="B976"/>
      <c r="L976"/>
      <c r="N976"/>
    </row>
    <row r="977" spans="2:14">
      <c r="B977"/>
      <c r="L977"/>
      <c r="N977"/>
    </row>
    <row r="978" spans="2:14">
      <c r="B978"/>
      <c r="L978"/>
      <c r="N978"/>
    </row>
    <row r="979" spans="2:14">
      <c r="B979"/>
      <c r="L979"/>
      <c r="N979"/>
    </row>
    <row r="980" spans="2:14">
      <c r="B980"/>
      <c r="L980"/>
      <c r="N980"/>
    </row>
    <row r="981" spans="2:14">
      <c r="B981"/>
      <c r="L981"/>
      <c r="N981"/>
    </row>
    <row r="982" spans="2:14">
      <c r="B982"/>
      <c r="L982"/>
      <c r="N982"/>
    </row>
    <row r="983" spans="2:14">
      <c r="B983"/>
      <c r="L983"/>
      <c r="N983"/>
    </row>
    <row r="984" spans="2:14">
      <c r="B984"/>
      <c r="L984"/>
      <c r="N984"/>
    </row>
    <row r="985" spans="2:14">
      <c r="B985"/>
      <c r="L985"/>
      <c r="N985"/>
    </row>
    <row r="986" spans="2:14">
      <c r="B986"/>
      <c r="L986"/>
      <c r="N986"/>
    </row>
    <row r="987" spans="2:14">
      <c r="B987"/>
      <c r="L987"/>
      <c r="N987"/>
    </row>
    <row r="988" spans="2:14">
      <c r="B988"/>
      <c r="L988"/>
      <c r="N988"/>
    </row>
    <row r="989" spans="2:14">
      <c r="B989"/>
      <c r="L989"/>
      <c r="N989"/>
    </row>
    <row r="990" spans="2:14">
      <c r="B990"/>
      <c r="L990"/>
      <c r="N990"/>
    </row>
    <row r="991" spans="2:14">
      <c r="B991"/>
      <c r="L991"/>
      <c r="N991"/>
    </row>
    <row r="992" spans="2:14">
      <c r="B992"/>
      <c r="L992"/>
      <c r="N992"/>
    </row>
    <row r="993" spans="2:14">
      <c r="B993"/>
      <c r="L993"/>
      <c r="N993"/>
    </row>
    <row r="994" spans="2:14">
      <c r="B994"/>
      <c r="L994"/>
      <c r="N994"/>
    </row>
    <row r="995" spans="2:14">
      <c r="B995"/>
      <c r="L995"/>
      <c r="N995"/>
    </row>
    <row r="996" spans="2:14">
      <c r="B996"/>
      <c r="L996"/>
      <c r="N996"/>
    </row>
    <row r="997" spans="2:14">
      <c r="B997"/>
      <c r="L997"/>
      <c r="N997"/>
    </row>
    <row r="998" spans="2:14">
      <c r="B998"/>
      <c r="L998"/>
      <c r="N998"/>
    </row>
    <row r="999" spans="2:14">
      <c r="B999"/>
      <c r="L999"/>
      <c r="N999"/>
    </row>
    <row r="1000" spans="2:14">
      <c r="B1000"/>
      <c r="L1000"/>
      <c r="N1000"/>
    </row>
    <row r="1001" spans="2:14">
      <c r="B1001"/>
      <c r="L1001"/>
      <c r="N1001"/>
    </row>
    <row r="1002" spans="2:14">
      <c r="B1002"/>
      <c r="L1002"/>
      <c r="N1002"/>
    </row>
    <row r="1003" spans="2:14">
      <c r="B1003"/>
      <c r="L1003"/>
      <c r="N1003"/>
    </row>
    <row r="1004" spans="2:14">
      <c r="B1004"/>
      <c r="L1004"/>
      <c r="N1004"/>
    </row>
    <row r="1005" spans="2:14">
      <c r="B1005"/>
      <c r="L1005"/>
      <c r="N1005"/>
    </row>
    <row r="1006" spans="2:14">
      <c r="B1006"/>
      <c r="L1006"/>
      <c r="N1006"/>
    </row>
    <row r="1007" spans="2:14">
      <c r="B1007"/>
      <c r="L1007"/>
      <c r="N1007"/>
    </row>
    <row r="1008" spans="2:14">
      <c r="B1008"/>
      <c r="L1008"/>
      <c r="N1008"/>
    </row>
    <row r="1009" spans="2:14">
      <c r="B1009"/>
      <c r="L1009"/>
      <c r="N1009"/>
    </row>
    <row r="1010" spans="2:14">
      <c r="B1010"/>
      <c r="L1010"/>
      <c r="N1010"/>
    </row>
    <row r="1011" spans="2:14">
      <c r="B1011"/>
      <c r="L1011"/>
      <c r="N1011"/>
    </row>
    <row r="1012" spans="2:14">
      <c r="B1012"/>
      <c r="L1012"/>
      <c r="N1012"/>
    </row>
    <row r="1013" spans="2:14">
      <c r="B1013"/>
      <c r="L1013"/>
      <c r="N1013"/>
    </row>
    <row r="1014" spans="2:14">
      <c r="B1014"/>
      <c r="L1014"/>
      <c r="N1014"/>
    </row>
    <row r="1015" spans="2:14">
      <c r="B1015"/>
      <c r="L1015"/>
      <c r="N1015"/>
    </row>
    <row r="1016" spans="2:14">
      <c r="B1016"/>
      <c r="L1016"/>
      <c r="N1016"/>
    </row>
    <row r="1017" spans="2:14">
      <c r="B1017"/>
      <c r="L1017"/>
      <c r="N1017"/>
    </row>
    <row r="1018" spans="2:14">
      <c r="B1018"/>
      <c r="L1018"/>
      <c r="N1018"/>
    </row>
    <row r="1019" spans="2:14">
      <c r="B1019"/>
      <c r="L1019"/>
      <c r="N1019"/>
    </row>
    <row r="1020" spans="2:14">
      <c r="B1020"/>
      <c r="L1020"/>
      <c r="N1020"/>
    </row>
    <row r="1021" spans="2:14">
      <c r="B1021"/>
      <c r="L1021"/>
      <c r="N1021"/>
    </row>
    <row r="1022" spans="2:14">
      <c r="B1022"/>
      <c r="L1022"/>
      <c r="N1022"/>
    </row>
    <row r="1023" spans="2:14">
      <c r="B1023"/>
      <c r="L1023"/>
      <c r="N1023"/>
    </row>
    <row r="1024" spans="2:14">
      <c r="B1024"/>
      <c r="L1024"/>
      <c r="N1024"/>
    </row>
    <row r="1025" spans="2:14">
      <c r="B1025"/>
      <c r="L1025"/>
      <c r="N1025"/>
    </row>
    <row r="1026" spans="2:14">
      <c r="B1026"/>
      <c r="L1026"/>
      <c r="N1026"/>
    </row>
    <row r="1027" spans="2:14">
      <c r="B1027"/>
      <c r="L1027"/>
      <c r="N1027"/>
    </row>
    <row r="1028" spans="2:14">
      <c r="B1028"/>
      <c r="L1028"/>
      <c r="N1028"/>
    </row>
    <row r="1029" spans="2:14">
      <c r="B1029"/>
      <c r="L1029"/>
      <c r="N1029"/>
    </row>
    <row r="1030" spans="2:14">
      <c r="B1030"/>
      <c r="L1030"/>
      <c r="N1030"/>
    </row>
    <row r="1031" spans="2:14">
      <c r="B1031"/>
      <c r="L1031"/>
      <c r="N1031"/>
    </row>
    <row r="1032" spans="2:14">
      <c r="B1032"/>
      <c r="L1032"/>
      <c r="N1032"/>
    </row>
    <row r="1033" spans="2:14">
      <c r="B1033"/>
      <c r="L1033"/>
      <c r="N1033"/>
    </row>
    <row r="1034" spans="2:14">
      <c r="B1034"/>
      <c r="L1034"/>
      <c r="N1034"/>
    </row>
    <row r="1035" spans="2:14">
      <c r="B1035"/>
      <c r="L1035"/>
      <c r="N1035"/>
    </row>
    <row r="1036" spans="2:14">
      <c r="B1036"/>
      <c r="L1036"/>
      <c r="N1036"/>
    </row>
    <row r="1037" spans="2:14">
      <c r="B1037"/>
      <c r="L1037"/>
      <c r="N1037"/>
    </row>
    <row r="1038" spans="2:14">
      <c r="B1038"/>
      <c r="L1038"/>
      <c r="N1038"/>
    </row>
    <row r="1039" spans="2:14">
      <c r="B1039"/>
      <c r="L1039"/>
      <c r="N1039"/>
    </row>
    <row r="1040" spans="2:14">
      <c r="B1040"/>
      <c r="L1040"/>
      <c r="N1040"/>
    </row>
    <row r="1041" spans="2:14">
      <c r="B1041"/>
      <c r="L1041"/>
      <c r="N1041"/>
    </row>
    <row r="1042" spans="2:14">
      <c r="B1042"/>
      <c r="L1042"/>
      <c r="N1042"/>
    </row>
    <row r="1043" spans="2:14">
      <c r="B1043"/>
      <c r="L1043"/>
      <c r="N1043"/>
    </row>
    <row r="1044" spans="2:14">
      <c r="B1044"/>
      <c r="L1044"/>
      <c r="N1044"/>
    </row>
    <row r="1045" spans="2:14">
      <c r="B1045"/>
      <c r="L1045"/>
      <c r="N1045"/>
    </row>
    <row r="1046" spans="2:14">
      <c r="B1046"/>
      <c r="L1046"/>
      <c r="N1046"/>
    </row>
    <row r="1047" spans="2:14">
      <c r="B1047"/>
      <c r="L1047"/>
      <c r="N1047"/>
    </row>
    <row r="1048" spans="2:14">
      <c r="B1048"/>
      <c r="L1048"/>
      <c r="N1048"/>
    </row>
    <row r="1049" spans="2:14">
      <c r="B1049"/>
      <c r="L1049"/>
      <c r="N1049"/>
    </row>
    <row r="1050" spans="2:14">
      <c r="B1050"/>
      <c r="L1050"/>
      <c r="N1050"/>
    </row>
    <row r="1051" spans="2:14">
      <c r="B1051"/>
      <c r="L1051"/>
      <c r="N1051"/>
    </row>
    <row r="1052" spans="2:14">
      <c r="B1052"/>
      <c r="L1052"/>
      <c r="N1052"/>
    </row>
    <row r="1053" spans="2:14">
      <c r="B1053"/>
      <c r="L1053"/>
      <c r="N1053"/>
    </row>
    <row r="1054" spans="2:14">
      <c r="B1054"/>
      <c r="L1054"/>
      <c r="N1054"/>
    </row>
    <row r="1055" spans="2:14">
      <c r="B1055"/>
      <c r="L1055"/>
      <c r="N1055"/>
    </row>
    <row r="1056" spans="2:14">
      <c r="B1056"/>
      <c r="L1056"/>
      <c r="N1056"/>
    </row>
    <row r="1057" spans="2:14">
      <c r="B1057"/>
      <c r="L1057"/>
      <c r="N1057"/>
    </row>
    <row r="1058" spans="2:14">
      <c r="B1058"/>
      <c r="L1058"/>
      <c r="N1058"/>
    </row>
    <row r="1059" spans="2:14">
      <c r="B1059"/>
      <c r="L1059"/>
      <c r="N1059"/>
    </row>
    <row r="1060" spans="2:14">
      <c r="B1060"/>
      <c r="L1060"/>
      <c r="N1060"/>
    </row>
    <row r="1061" spans="2:14">
      <c r="B1061"/>
      <c r="L1061"/>
      <c r="N1061"/>
    </row>
    <row r="1062" spans="2:14">
      <c r="B1062"/>
      <c r="L1062"/>
      <c r="N1062"/>
    </row>
    <row r="1063" spans="2:14">
      <c r="B1063"/>
      <c r="L1063"/>
      <c r="N1063"/>
    </row>
    <row r="1064" spans="2:14">
      <c r="B1064"/>
      <c r="L1064"/>
      <c r="N1064"/>
    </row>
    <row r="1065" spans="2:14">
      <c r="B1065"/>
      <c r="L1065"/>
      <c r="N1065"/>
    </row>
    <row r="1066" spans="2:14">
      <c r="B1066"/>
      <c r="L1066"/>
      <c r="N1066"/>
    </row>
    <row r="1067" spans="2:14">
      <c r="B1067"/>
      <c r="L1067"/>
      <c r="N1067"/>
    </row>
    <row r="1068" spans="2:14">
      <c r="B1068"/>
      <c r="L1068"/>
      <c r="N1068"/>
    </row>
    <row r="1069" spans="2:14">
      <c r="B1069"/>
      <c r="L1069"/>
      <c r="N1069"/>
    </row>
    <row r="1070" spans="2:14">
      <c r="B1070"/>
      <c r="L1070"/>
      <c r="N1070"/>
    </row>
    <row r="1071" spans="2:14">
      <c r="B1071"/>
      <c r="L1071"/>
      <c r="N1071"/>
    </row>
    <row r="1072" spans="2:14">
      <c r="B1072"/>
      <c r="L1072"/>
      <c r="N1072"/>
    </row>
    <row r="1073" spans="2:14">
      <c r="B1073"/>
      <c r="L1073"/>
      <c r="N1073"/>
    </row>
    <row r="1074" spans="2:14">
      <c r="B1074"/>
      <c r="L1074"/>
      <c r="N1074"/>
    </row>
    <row r="1075" spans="2:14">
      <c r="B1075"/>
      <c r="L1075"/>
      <c r="N1075"/>
    </row>
    <row r="1076" spans="2:14">
      <c r="B1076"/>
      <c r="L1076"/>
      <c r="N1076"/>
    </row>
    <row r="1077" spans="2:14">
      <c r="B1077"/>
      <c r="L1077"/>
      <c r="N1077"/>
    </row>
    <row r="1078" spans="2:14">
      <c r="B1078"/>
      <c r="L1078"/>
      <c r="N1078"/>
    </row>
    <row r="1079" spans="2:14">
      <c r="B1079"/>
      <c r="L1079"/>
      <c r="N1079"/>
    </row>
    <row r="1080" spans="2:14">
      <c r="B1080"/>
      <c r="L1080"/>
      <c r="N1080"/>
    </row>
    <row r="1081" spans="2:14">
      <c r="B1081"/>
      <c r="L1081"/>
      <c r="N1081"/>
    </row>
    <row r="1082" spans="2:14">
      <c r="B1082"/>
      <c r="L1082"/>
      <c r="N1082"/>
    </row>
    <row r="1083" spans="2:14">
      <c r="B1083"/>
      <c r="L1083"/>
      <c r="N1083"/>
    </row>
    <row r="1084" spans="2:14">
      <c r="B1084"/>
      <c r="L1084"/>
      <c r="N1084"/>
    </row>
    <row r="1085" spans="2:14">
      <c r="B1085"/>
      <c r="L1085"/>
      <c r="N1085"/>
    </row>
    <row r="1086" spans="2:14">
      <c r="B1086"/>
      <c r="L1086"/>
      <c r="N1086"/>
    </row>
    <row r="1087" spans="2:14">
      <c r="B1087"/>
      <c r="L1087"/>
      <c r="N1087"/>
    </row>
    <row r="1088" spans="2:14">
      <c r="B1088"/>
      <c r="L1088"/>
      <c r="N1088"/>
    </row>
    <row r="1089" spans="2:14">
      <c r="B1089"/>
      <c r="L1089"/>
      <c r="N1089"/>
    </row>
    <row r="1090" spans="2:14">
      <c r="B1090"/>
      <c r="L1090"/>
      <c r="N1090"/>
    </row>
    <row r="1091" spans="2:14">
      <c r="B1091"/>
      <c r="L1091"/>
      <c r="N1091"/>
    </row>
    <row r="1092" spans="2:14">
      <c r="B1092"/>
      <c r="L1092"/>
      <c r="N1092"/>
    </row>
    <row r="1093" spans="2:14">
      <c r="B1093"/>
      <c r="L1093"/>
      <c r="N1093"/>
    </row>
    <row r="1094" spans="2:14">
      <c r="B1094"/>
      <c r="L1094"/>
      <c r="N1094"/>
    </row>
    <row r="1095" spans="2:14">
      <c r="B1095"/>
      <c r="L1095"/>
      <c r="N1095"/>
    </row>
    <row r="1096" spans="2:14">
      <c r="B1096"/>
      <c r="L1096"/>
      <c r="N1096"/>
    </row>
    <row r="1097" spans="2:14">
      <c r="B1097"/>
      <c r="L1097"/>
      <c r="N1097"/>
    </row>
    <row r="1098" spans="2:14">
      <c r="B1098"/>
      <c r="L1098"/>
      <c r="N1098"/>
    </row>
    <row r="1099" spans="2:14">
      <c r="B1099"/>
      <c r="L1099"/>
      <c r="N1099"/>
    </row>
    <row r="1100" spans="2:14">
      <c r="B1100"/>
      <c r="L1100"/>
      <c r="N1100"/>
    </row>
    <row r="1101" spans="2:14">
      <c r="B1101"/>
      <c r="L1101"/>
      <c r="N1101"/>
    </row>
    <row r="1102" spans="2:14">
      <c r="B1102"/>
      <c r="L1102"/>
      <c r="N1102"/>
    </row>
    <row r="1103" spans="2:14">
      <c r="B1103"/>
      <c r="L1103"/>
      <c r="N1103"/>
    </row>
    <row r="1104" spans="2:14">
      <c r="B1104"/>
      <c r="L1104"/>
      <c r="N1104"/>
    </row>
    <row r="1105" spans="2:14">
      <c r="B1105"/>
      <c r="L1105"/>
      <c r="N1105"/>
    </row>
    <row r="1106" spans="2:14">
      <c r="B1106"/>
      <c r="L1106"/>
      <c r="N1106"/>
    </row>
    <row r="1107" spans="2:14">
      <c r="B1107"/>
      <c r="L1107"/>
      <c r="N1107"/>
    </row>
    <row r="1108" spans="2:14">
      <c r="B1108"/>
      <c r="L1108"/>
      <c r="N1108"/>
    </row>
    <row r="1109" spans="2:14">
      <c r="B1109"/>
      <c r="L1109"/>
      <c r="N1109"/>
    </row>
    <row r="1110" spans="2:14">
      <c r="B1110"/>
      <c r="L1110"/>
      <c r="N1110"/>
    </row>
    <row r="1111" spans="2:14">
      <c r="B1111"/>
      <c r="L1111"/>
      <c r="N1111"/>
    </row>
    <row r="1112" spans="2:14">
      <c r="B1112"/>
      <c r="L1112"/>
      <c r="N1112"/>
    </row>
    <row r="1113" spans="2:14">
      <c r="B1113"/>
      <c r="L1113"/>
      <c r="N1113"/>
    </row>
    <row r="1114" spans="2:14">
      <c r="B1114"/>
      <c r="L1114"/>
      <c r="N1114"/>
    </row>
    <row r="1115" spans="2:14">
      <c r="B1115"/>
      <c r="L1115"/>
      <c r="N1115"/>
    </row>
    <row r="1116" spans="2:14">
      <c r="B1116"/>
      <c r="L1116"/>
      <c r="N1116"/>
    </row>
    <row r="1117" spans="2:14">
      <c r="B1117"/>
      <c r="L1117"/>
      <c r="N1117"/>
    </row>
    <row r="1118" spans="2:14">
      <c r="B1118"/>
      <c r="L1118"/>
      <c r="N1118"/>
    </row>
    <row r="1119" spans="2:14">
      <c r="B1119"/>
      <c r="L1119"/>
      <c r="N1119"/>
    </row>
    <row r="1120" spans="2:14">
      <c r="B1120"/>
      <c r="L1120"/>
      <c r="N1120"/>
    </row>
    <row r="1121" spans="2:14">
      <c r="B1121"/>
      <c r="L1121"/>
      <c r="N1121"/>
    </row>
    <row r="1122" spans="2:14">
      <c r="B1122"/>
      <c r="L1122"/>
      <c r="N1122"/>
    </row>
    <row r="1123" spans="2:14">
      <c r="B1123"/>
      <c r="L1123"/>
      <c r="N1123"/>
    </row>
    <row r="1124" spans="2:14">
      <c r="B1124"/>
      <c r="L1124"/>
      <c r="N1124"/>
    </row>
    <row r="1125" spans="2:14">
      <c r="B1125"/>
      <c r="L1125"/>
      <c r="N1125"/>
    </row>
    <row r="1126" spans="2:14">
      <c r="B1126"/>
      <c r="L1126"/>
      <c r="N1126"/>
    </row>
    <row r="1127" spans="2:14">
      <c r="B1127"/>
      <c r="L1127"/>
      <c r="N1127"/>
    </row>
    <row r="1128" spans="2:14">
      <c r="B1128"/>
      <c r="L1128"/>
      <c r="N1128"/>
    </row>
    <row r="1129" spans="2:14">
      <c r="B1129"/>
      <c r="L1129"/>
      <c r="N1129"/>
    </row>
    <row r="1130" spans="2:14">
      <c r="B1130"/>
      <c r="L1130"/>
      <c r="N1130"/>
    </row>
    <row r="1131" spans="2:14">
      <c r="B1131"/>
      <c r="L1131"/>
      <c r="N1131"/>
    </row>
    <row r="1132" spans="2:14">
      <c r="B1132"/>
      <c r="L1132"/>
      <c r="N1132"/>
    </row>
    <row r="1133" spans="2:14">
      <c r="B1133"/>
      <c r="L1133"/>
      <c r="N1133"/>
    </row>
    <row r="1134" spans="2:14">
      <c r="B1134"/>
      <c r="L1134"/>
      <c r="N1134"/>
    </row>
    <row r="1135" spans="2:14">
      <c r="B1135"/>
      <c r="L1135"/>
      <c r="N1135"/>
    </row>
    <row r="1136" spans="2:14">
      <c r="B1136"/>
      <c r="L1136"/>
      <c r="N1136"/>
    </row>
    <row r="1137" spans="2:14">
      <c r="B1137"/>
      <c r="L1137"/>
      <c r="N1137"/>
    </row>
    <row r="1138" spans="2:14">
      <c r="B1138"/>
      <c r="L1138"/>
      <c r="N1138"/>
    </row>
    <row r="1139" spans="2:14">
      <c r="B1139"/>
      <c r="L1139"/>
      <c r="N1139"/>
    </row>
    <row r="1140" spans="2:14">
      <c r="B1140"/>
      <c r="L1140"/>
      <c r="N1140"/>
    </row>
    <row r="1141" spans="2:14">
      <c r="B1141"/>
      <c r="L1141"/>
      <c r="N1141"/>
    </row>
    <row r="1142" spans="2:14">
      <c r="B1142"/>
      <c r="L1142"/>
      <c r="N1142"/>
    </row>
    <row r="1143" spans="2:14">
      <c r="B1143"/>
      <c r="L1143"/>
      <c r="N1143"/>
    </row>
    <row r="1144" spans="2:14">
      <c r="B1144"/>
      <c r="L1144"/>
      <c r="N1144"/>
    </row>
    <row r="1145" spans="2:14">
      <c r="B1145"/>
      <c r="L1145"/>
      <c r="N1145"/>
    </row>
    <row r="1146" spans="2:14">
      <c r="B1146"/>
      <c r="L1146"/>
      <c r="N1146"/>
    </row>
    <row r="1147" spans="2:14">
      <c r="B1147"/>
      <c r="L1147"/>
      <c r="N1147"/>
    </row>
    <row r="1148" spans="2:14">
      <c r="B1148"/>
      <c r="L1148"/>
      <c r="N1148"/>
    </row>
    <row r="1149" spans="2:14">
      <c r="B1149"/>
      <c r="L1149"/>
      <c r="N1149"/>
    </row>
    <row r="1150" spans="2:14">
      <c r="B1150"/>
      <c r="L1150"/>
      <c r="N1150"/>
    </row>
    <row r="1151" spans="2:14">
      <c r="B1151"/>
      <c r="L1151"/>
      <c r="N1151"/>
    </row>
    <row r="1152" spans="2:14">
      <c r="B1152"/>
      <c r="L1152"/>
      <c r="N1152"/>
    </row>
    <row r="1153" spans="2:14">
      <c r="B1153"/>
      <c r="L1153"/>
      <c r="N1153"/>
    </row>
    <row r="1154" spans="2:14">
      <c r="B1154"/>
      <c r="L1154"/>
      <c r="N1154"/>
    </row>
    <row r="1155" spans="2:14">
      <c r="B1155"/>
      <c r="L1155"/>
      <c r="N1155"/>
    </row>
    <row r="1156" spans="2:14">
      <c r="B1156"/>
      <c r="L1156"/>
      <c r="N1156"/>
    </row>
    <row r="1157" spans="2:14">
      <c r="B1157"/>
      <c r="L1157"/>
      <c r="N1157"/>
    </row>
    <row r="1158" spans="2:14">
      <c r="B1158"/>
      <c r="L1158"/>
      <c r="N1158"/>
    </row>
    <row r="1159" spans="2:14">
      <c r="B1159"/>
      <c r="L1159"/>
      <c r="N1159"/>
    </row>
    <row r="1160" spans="2:14">
      <c r="B1160"/>
      <c r="L1160"/>
      <c r="N1160"/>
    </row>
    <row r="1161" spans="2:14">
      <c r="B1161"/>
      <c r="L1161"/>
      <c r="N1161"/>
    </row>
    <row r="1162" spans="2:14">
      <c r="B1162"/>
      <c r="L1162"/>
      <c r="N1162"/>
    </row>
    <row r="1163" spans="2:14">
      <c r="B1163"/>
      <c r="L1163"/>
      <c r="N1163"/>
    </row>
    <row r="1164" spans="2:14">
      <c r="B1164"/>
      <c r="L1164"/>
      <c r="N1164"/>
    </row>
    <row r="1165" spans="2:14">
      <c r="B1165"/>
      <c r="L1165"/>
      <c r="N1165"/>
    </row>
    <row r="1166" spans="2:14">
      <c r="B1166"/>
      <c r="L1166"/>
      <c r="N1166"/>
    </row>
    <row r="1167" spans="2:14">
      <c r="B1167"/>
      <c r="L1167"/>
      <c r="N1167"/>
    </row>
    <row r="1168" spans="2:14">
      <c r="B1168"/>
      <c r="L1168"/>
      <c r="N1168"/>
    </row>
    <row r="1169" spans="2:14">
      <c r="B1169"/>
      <c r="L1169"/>
      <c r="N1169"/>
    </row>
    <row r="1170" spans="2:14">
      <c r="B1170"/>
      <c r="L1170"/>
      <c r="N1170"/>
    </row>
    <row r="1171" spans="2:14">
      <c r="B1171"/>
      <c r="L1171"/>
      <c r="N1171"/>
    </row>
    <row r="1172" spans="2:14">
      <c r="B1172"/>
      <c r="L1172"/>
      <c r="N1172"/>
    </row>
    <row r="1173" spans="2:14">
      <c r="B1173"/>
      <c r="L1173"/>
      <c r="N1173"/>
    </row>
    <row r="1174" spans="2:14">
      <c r="B1174"/>
      <c r="L1174"/>
      <c r="N1174"/>
    </row>
    <row r="1175" spans="2:14">
      <c r="B1175"/>
      <c r="L1175"/>
      <c r="N1175"/>
    </row>
    <row r="1176" spans="2:14">
      <c r="B1176"/>
      <c r="L1176"/>
      <c r="N1176"/>
    </row>
    <row r="1177" spans="2:14">
      <c r="B1177"/>
      <c r="L1177"/>
      <c r="N1177"/>
    </row>
    <row r="1178" spans="2:14">
      <c r="B1178"/>
      <c r="L1178"/>
      <c r="N1178"/>
    </row>
    <row r="1179" spans="2:14">
      <c r="B1179"/>
      <c r="L1179"/>
      <c r="N1179"/>
    </row>
    <row r="1180" spans="2:14">
      <c r="B1180"/>
      <c r="L1180"/>
      <c r="N1180"/>
    </row>
    <row r="1181" spans="2:14">
      <c r="B1181"/>
      <c r="L1181"/>
      <c r="N1181"/>
    </row>
    <row r="1182" spans="2:14">
      <c r="B1182"/>
      <c r="L1182"/>
      <c r="N1182"/>
    </row>
    <row r="1183" spans="2:14">
      <c r="B1183"/>
      <c r="L1183"/>
      <c r="N1183"/>
    </row>
    <row r="1184" spans="2:14">
      <c r="B1184"/>
      <c r="L1184"/>
      <c r="N1184"/>
    </row>
    <row r="1185" spans="2:14">
      <c r="B1185"/>
      <c r="L1185"/>
      <c r="N1185"/>
    </row>
    <row r="1186" spans="2:14">
      <c r="B1186"/>
      <c r="L1186"/>
      <c r="N1186"/>
    </row>
    <row r="1187" spans="2:14">
      <c r="B1187"/>
      <c r="L1187"/>
      <c r="N1187"/>
    </row>
    <row r="1188" spans="2:14">
      <c r="B1188"/>
      <c r="L1188"/>
      <c r="N1188"/>
    </row>
    <row r="1189" spans="2:14">
      <c r="B1189"/>
      <c r="L1189"/>
      <c r="N1189"/>
    </row>
    <row r="1190" spans="2:14">
      <c r="B1190"/>
      <c r="L1190"/>
      <c r="N1190"/>
    </row>
    <row r="1191" spans="2:14">
      <c r="B1191"/>
      <c r="L1191"/>
      <c r="N1191"/>
    </row>
    <row r="1192" spans="2:14">
      <c r="B1192"/>
      <c r="L1192"/>
      <c r="N1192"/>
    </row>
    <row r="1193" spans="2:14">
      <c r="B1193"/>
      <c r="L1193"/>
      <c r="N1193"/>
    </row>
    <row r="1194" spans="2:14">
      <c r="B1194"/>
      <c r="L1194"/>
      <c r="N1194"/>
    </row>
    <row r="1195" spans="2:14">
      <c r="B1195"/>
      <c r="L1195"/>
      <c r="N1195"/>
    </row>
    <row r="1196" spans="2:14">
      <c r="B1196"/>
      <c r="L1196"/>
      <c r="N1196"/>
    </row>
    <row r="1197" spans="2:14">
      <c r="B1197"/>
      <c r="L1197"/>
      <c r="N1197"/>
    </row>
    <row r="1198" spans="2:14">
      <c r="B1198"/>
      <c r="L1198"/>
      <c r="N1198"/>
    </row>
    <row r="1199" spans="2:14">
      <c r="B1199"/>
      <c r="L1199"/>
      <c r="N1199"/>
    </row>
    <row r="1200" spans="2:14">
      <c r="B1200"/>
      <c r="L1200"/>
      <c r="N1200"/>
    </row>
    <row r="1201" spans="2:14">
      <c r="B1201"/>
      <c r="L1201"/>
      <c r="N1201"/>
    </row>
    <row r="1202" spans="2:14">
      <c r="B1202"/>
      <c r="L1202"/>
      <c r="N1202"/>
    </row>
    <row r="1203" spans="2:14">
      <c r="B1203"/>
      <c r="L1203"/>
      <c r="N1203"/>
    </row>
    <row r="1204" spans="2:14">
      <c r="B1204"/>
      <c r="L1204"/>
      <c r="N1204"/>
    </row>
    <row r="1205" spans="2:14">
      <c r="B1205"/>
      <c r="L1205"/>
      <c r="N1205"/>
    </row>
    <row r="1206" spans="2:14">
      <c r="B1206"/>
      <c r="L1206"/>
      <c r="N1206"/>
    </row>
    <row r="1207" spans="2:14">
      <c r="B1207"/>
      <c r="L1207"/>
      <c r="N1207"/>
    </row>
    <row r="1208" spans="2:14">
      <c r="B1208"/>
      <c r="L1208"/>
      <c r="N1208"/>
    </row>
    <row r="1209" spans="2:14">
      <c r="B1209"/>
      <c r="L1209"/>
      <c r="N1209"/>
    </row>
    <row r="1210" spans="2:14">
      <c r="B1210"/>
      <c r="L1210"/>
      <c r="N1210"/>
    </row>
    <row r="1211" spans="2:14">
      <c r="B1211"/>
      <c r="L1211"/>
      <c r="N1211"/>
    </row>
    <row r="1212" spans="2:14">
      <c r="B1212"/>
      <c r="L1212"/>
      <c r="N1212"/>
    </row>
    <row r="1213" spans="2:14">
      <c r="B1213"/>
      <c r="L1213"/>
      <c r="N1213"/>
    </row>
    <row r="1214" spans="2:14">
      <c r="B1214"/>
      <c r="L1214"/>
      <c r="N1214"/>
    </row>
    <row r="1215" spans="2:14">
      <c r="B1215"/>
      <c r="L1215"/>
      <c r="N1215"/>
    </row>
    <row r="1216" spans="2:14">
      <c r="B1216"/>
      <c r="L1216"/>
      <c r="N1216"/>
    </row>
    <row r="1217" spans="2:14">
      <c r="B1217"/>
      <c r="L1217"/>
      <c r="N1217"/>
    </row>
    <row r="1218" spans="2:14">
      <c r="B1218"/>
      <c r="L1218"/>
      <c r="N1218"/>
    </row>
    <row r="1219" spans="2:14">
      <c r="B1219"/>
      <c r="L1219"/>
      <c r="N1219"/>
    </row>
    <row r="1220" spans="2:14">
      <c r="B1220"/>
      <c r="L1220"/>
      <c r="N1220"/>
    </row>
    <row r="1221" spans="2:14">
      <c r="B1221"/>
      <c r="L1221"/>
      <c r="N1221"/>
    </row>
    <row r="1222" spans="2:14">
      <c r="B1222"/>
      <c r="L1222"/>
      <c r="N1222"/>
    </row>
    <row r="1223" spans="2:14">
      <c r="B1223"/>
      <c r="L1223"/>
      <c r="N1223"/>
    </row>
    <row r="1224" spans="2:14">
      <c r="B1224"/>
      <c r="L1224"/>
      <c r="N1224"/>
    </row>
    <row r="1225" spans="2:14">
      <c r="B1225"/>
      <c r="L1225"/>
      <c r="N1225"/>
    </row>
    <row r="1226" spans="2:14">
      <c r="B1226"/>
      <c r="L1226"/>
      <c r="N1226"/>
    </row>
    <row r="1227" spans="2:14">
      <c r="B1227"/>
      <c r="L1227"/>
      <c r="N1227"/>
    </row>
    <row r="1228" spans="2:14">
      <c r="B1228"/>
      <c r="L1228"/>
      <c r="N1228"/>
    </row>
    <row r="1229" spans="2:14">
      <c r="B1229"/>
      <c r="L1229"/>
      <c r="N1229"/>
    </row>
    <row r="1230" spans="2:14">
      <c r="B1230"/>
      <c r="L1230"/>
      <c r="N1230"/>
    </row>
    <row r="1231" spans="2:14">
      <c r="B1231"/>
      <c r="L1231"/>
      <c r="N1231"/>
    </row>
    <row r="1232" spans="2:14">
      <c r="B1232"/>
      <c r="L1232"/>
      <c r="N1232"/>
    </row>
    <row r="1233" spans="2:14">
      <c r="B1233"/>
      <c r="L1233"/>
      <c r="N1233"/>
    </row>
    <row r="1234" spans="2:14">
      <c r="B1234"/>
      <c r="L1234"/>
      <c r="N1234"/>
    </row>
    <row r="1235" spans="2:14">
      <c r="B1235"/>
      <c r="L1235"/>
      <c r="N1235"/>
    </row>
    <row r="1236" spans="2:14">
      <c r="B1236"/>
      <c r="L1236"/>
      <c r="N1236"/>
    </row>
    <row r="1237" spans="2:14">
      <c r="B1237"/>
      <c r="L1237"/>
      <c r="N1237"/>
    </row>
    <row r="1238" spans="2:14">
      <c r="B1238"/>
      <c r="L1238"/>
      <c r="N1238"/>
    </row>
    <row r="1239" spans="2:14">
      <c r="B1239"/>
      <c r="L1239"/>
      <c r="N1239"/>
    </row>
    <row r="1240" spans="2:14">
      <c r="B1240"/>
      <c r="L1240"/>
      <c r="N1240"/>
    </row>
    <row r="1241" spans="2:14">
      <c r="B1241"/>
      <c r="L1241"/>
      <c r="N1241"/>
    </row>
    <row r="1242" spans="2:14">
      <c r="B1242"/>
      <c r="L1242"/>
      <c r="N1242"/>
    </row>
    <row r="1243" spans="2:14">
      <c r="B1243"/>
      <c r="L1243"/>
      <c r="N1243"/>
    </row>
    <row r="1244" spans="2:14">
      <c r="B1244"/>
      <c r="L1244"/>
      <c r="N1244"/>
    </row>
    <row r="1245" spans="2:14">
      <c r="B1245"/>
      <c r="L1245"/>
      <c r="N1245"/>
    </row>
    <row r="1246" spans="2:14">
      <c r="B1246"/>
      <c r="L1246"/>
      <c r="N1246"/>
    </row>
    <row r="1247" spans="2:14">
      <c r="B1247"/>
      <c r="L1247"/>
      <c r="N1247"/>
    </row>
    <row r="1248" spans="2:14">
      <c r="B1248"/>
      <c r="L1248"/>
      <c r="N1248"/>
    </row>
    <row r="1249" spans="2:14">
      <c r="B1249"/>
      <c r="L1249"/>
      <c r="N1249"/>
    </row>
    <row r="1250" spans="2:14">
      <c r="B1250"/>
      <c r="L1250"/>
      <c r="N1250"/>
    </row>
    <row r="1251" spans="2:14">
      <c r="B1251"/>
      <c r="L1251"/>
      <c r="N1251"/>
    </row>
    <row r="1252" spans="2:14">
      <c r="B1252"/>
      <c r="L1252"/>
      <c r="N1252"/>
    </row>
    <row r="1253" spans="2:14">
      <c r="B1253"/>
      <c r="L1253"/>
      <c r="N1253"/>
    </row>
    <row r="1254" spans="2:14">
      <c r="B1254"/>
      <c r="L1254"/>
      <c r="N1254"/>
    </row>
    <row r="1255" spans="2:14">
      <c r="B1255"/>
      <c r="L1255"/>
      <c r="N1255"/>
    </row>
    <row r="1256" spans="2:14">
      <c r="B1256"/>
      <c r="L1256"/>
      <c r="N1256"/>
    </row>
    <row r="1257" spans="2:14">
      <c r="B1257"/>
      <c r="L1257"/>
      <c r="N1257"/>
    </row>
    <row r="1258" spans="2:14">
      <c r="B1258"/>
      <c r="L1258"/>
      <c r="N1258"/>
    </row>
    <row r="1259" spans="2:14">
      <c r="B1259"/>
      <c r="L1259"/>
      <c r="N1259"/>
    </row>
    <row r="1260" spans="2:14">
      <c r="B1260"/>
      <c r="L1260"/>
      <c r="N1260"/>
    </row>
    <row r="1261" spans="2:14">
      <c r="B1261"/>
      <c r="L1261"/>
      <c r="N1261"/>
    </row>
    <row r="1262" spans="2:14">
      <c r="B1262"/>
      <c r="L1262"/>
      <c r="N1262"/>
    </row>
    <row r="1263" spans="2:14">
      <c r="B1263"/>
      <c r="L1263"/>
      <c r="N1263"/>
    </row>
    <row r="1264" spans="2:14">
      <c r="B1264"/>
      <c r="L1264"/>
      <c r="N1264"/>
    </row>
    <row r="1265" spans="2:14">
      <c r="B1265"/>
      <c r="L1265"/>
      <c r="N1265"/>
    </row>
    <row r="1266" spans="2:14">
      <c r="B1266"/>
      <c r="L1266"/>
      <c r="N1266"/>
    </row>
    <row r="1267" spans="2:14">
      <c r="B1267"/>
      <c r="L1267"/>
      <c r="N1267"/>
    </row>
    <row r="1268" spans="2:14">
      <c r="B1268"/>
      <c r="L1268"/>
      <c r="N1268"/>
    </row>
    <row r="1269" spans="2:14">
      <c r="B1269"/>
      <c r="L1269"/>
      <c r="N1269"/>
    </row>
    <row r="1270" spans="2:14">
      <c r="B1270"/>
      <c r="L1270"/>
      <c r="N1270"/>
    </row>
    <row r="1271" spans="2:14">
      <c r="B1271"/>
      <c r="L1271"/>
      <c r="N1271"/>
    </row>
    <row r="1272" spans="2:14">
      <c r="B1272"/>
      <c r="L1272"/>
      <c r="N1272"/>
    </row>
    <row r="1273" spans="2:14">
      <c r="B1273"/>
      <c r="L1273"/>
      <c r="N1273"/>
    </row>
    <row r="1274" spans="2:14">
      <c r="B1274"/>
      <c r="L1274"/>
      <c r="N1274"/>
    </row>
    <row r="1275" spans="2:14">
      <c r="B1275"/>
      <c r="L1275"/>
      <c r="N1275"/>
    </row>
    <row r="1276" spans="2:14">
      <c r="B1276"/>
      <c r="L1276"/>
      <c r="N1276"/>
    </row>
    <row r="1277" spans="2:14">
      <c r="B1277"/>
      <c r="L1277"/>
      <c r="N1277"/>
    </row>
    <row r="1278" spans="2:14">
      <c r="B1278"/>
      <c r="L1278"/>
      <c r="N1278"/>
    </row>
    <row r="1279" spans="2:14">
      <c r="B1279"/>
      <c r="L1279"/>
      <c r="N1279"/>
    </row>
    <row r="1280" spans="2:14">
      <c r="B1280"/>
      <c r="L1280"/>
      <c r="N1280"/>
    </row>
    <row r="1281" spans="2:14">
      <c r="B1281"/>
      <c r="L1281"/>
      <c r="N1281"/>
    </row>
    <row r="1282" spans="2:14">
      <c r="B1282"/>
      <c r="L1282"/>
      <c r="N1282"/>
    </row>
    <row r="1283" spans="2:14">
      <c r="B1283"/>
      <c r="L1283"/>
      <c r="N1283"/>
    </row>
    <row r="1284" spans="2:14">
      <c r="B1284"/>
      <c r="L1284"/>
      <c r="N1284"/>
    </row>
    <row r="1285" spans="2:14">
      <c r="B1285"/>
      <c r="L1285"/>
      <c r="N1285"/>
    </row>
    <row r="1286" spans="2:14">
      <c r="B1286"/>
      <c r="L1286"/>
      <c r="N1286"/>
    </row>
    <row r="1287" spans="2:14">
      <c r="B1287"/>
      <c r="L1287"/>
      <c r="N1287"/>
    </row>
    <row r="1288" spans="2:14">
      <c r="B1288"/>
      <c r="L1288"/>
      <c r="N1288"/>
    </row>
    <row r="1289" spans="2:14">
      <c r="B1289"/>
      <c r="L1289"/>
      <c r="N1289"/>
    </row>
    <row r="1290" spans="2:14">
      <c r="B1290"/>
      <c r="L1290"/>
      <c r="N1290"/>
    </row>
    <row r="1291" spans="2:14">
      <c r="B1291"/>
      <c r="L1291"/>
      <c r="N1291"/>
    </row>
    <row r="1292" spans="2:14">
      <c r="B1292"/>
      <c r="L1292"/>
      <c r="N1292"/>
    </row>
    <row r="1293" spans="2:14">
      <c r="B1293"/>
      <c r="L1293"/>
      <c r="N1293"/>
    </row>
    <row r="1294" spans="2:14">
      <c r="B1294"/>
      <c r="L1294"/>
      <c r="N1294"/>
    </row>
    <row r="1295" spans="2:14">
      <c r="B1295"/>
      <c r="L1295"/>
      <c r="N1295"/>
    </row>
    <row r="1296" spans="2:14">
      <c r="B1296"/>
      <c r="L1296"/>
      <c r="N1296"/>
    </row>
    <row r="1297" spans="2:14">
      <c r="B1297"/>
      <c r="L1297"/>
      <c r="N1297"/>
    </row>
    <row r="1298" spans="2:14">
      <c r="B1298"/>
      <c r="L1298"/>
      <c r="N1298"/>
    </row>
    <row r="1299" spans="2:14">
      <c r="B1299"/>
      <c r="L1299"/>
      <c r="N1299"/>
    </row>
    <row r="1300" spans="2:14">
      <c r="B1300"/>
      <c r="L1300"/>
      <c r="N1300"/>
    </row>
    <row r="1301" spans="2:14">
      <c r="B1301"/>
      <c r="L1301"/>
      <c r="N1301"/>
    </row>
    <row r="1302" spans="2:14">
      <c r="B1302"/>
      <c r="L1302"/>
      <c r="N1302"/>
    </row>
    <row r="1303" spans="2:14">
      <c r="B1303"/>
      <c r="L1303"/>
      <c r="N1303"/>
    </row>
    <row r="1304" spans="2:14">
      <c r="B1304"/>
      <c r="L1304"/>
      <c r="N1304"/>
    </row>
    <row r="1305" spans="2:14">
      <c r="B1305"/>
      <c r="L1305"/>
      <c r="N1305"/>
    </row>
    <row r="1306" spans="2:14">
      <c r="B1306"/>
      <c r="L1306"/>
      <c r="N1306"/>
    </row>
    <row r="1307" spans="2:14">
      <c r="B1307"/>
      <c r="L1307"/>
      <c r="N1307"/>
    </row>
    <row r="1308" spans="2:14">
      <c r="B1308"/>
      <c r="L1308"/>
      <c r="N1308"/>
    </row>
    <row r="1309" spans="2:14">
      <c r="B1309"/>
      <c r="L1309"/>
      <c r="N1309"/>
    </row>
    <row r="1310" spans="2:14">
      <c r="B1310"/>
      <c r="L1310"/>
      <c r="N1310"/>
    </row>
    <row r="1311" spans="2:14">
      <c r="B1311"/>
      <c r="L1311"/>
      <c r="N1311"/>
    </row>
    <row r="1312" spans="2:14">
      <c r="B1312"/>
      <c r="L1312"/>
      <c r="N1312"/>
    </row>
    <row r="1313" spans="2:14">
      <c r="B1313"/>
      <c r="L1313"/>
      <c r="N1313"/>
    </row>
    <row r="1314" spans="2:14">
      <c r="B1314"/>
      <c r="L1314"/>
      <c r="N1314"/>
    </row>
    <row r="1315" spans="2:14">
      <c r="B1315"/>
      <c r="L1315"/>
      <c r="N1315"/>
    </row>
    <row r="1316" spans="2:14">
      <c r="B1316"/>
      <c r="L1316"/>
      <c r="N1316"/>
    </row>
    <row r="1317" spans="2:14">
      <c r="B1317"/>
      <c r="L1317"/>
      <c r="N1317"/>
    </row>
    <row r="1318" spans="2:14">
      <c r="B1318"/>
      <c r="L1318"/>
      <c r="N1318"/>
    </row>
    <row r="1319" spans="2:14">
      <c r="B1319"/>
      <c r="L1319"/>
      <c r="N1319"/>
    </row>
    <row r="1320" spans="2:14">
      <c r="B1320"/>
      <c r="L1320"/>
      <c r="N1320"/>
    </row>
    <row r="1321" spans="2:14">
      <c r="B1321"/>
      <c r="L1321"/>
      <c r="N1321"/>
    </row>
    <row r="1322" spans="2:14">
      <c r="B1322"/>
      <c r="L1322"/>
      <c r="N1322"/>
    </row>
    <row r="1323" spans="2:14">
      <c r="B1323"/>
      <c r="L1323"/>
      <c r="N1323"/>
    </row>
    <row r="1324" spans="2:14">
      <c r="B1324"/>
      <c r="L1324"/>
      <c r="N1324"/>
    </row>
    <row r="1325" spans="2:14">
      <c r="B1325"/>
      <c r="L1325"/>
      <c r="N1325"/>
    </row>
    <row r="1326" spans="2:14">
      <c r="B1326"/>
      <c r="L1326"/>
      <c r="N1326"/>
    </row>
    <row r="1327" spans="2:14">
      <c r="B1327"/>
      <c r="L1327"/>
      <c r="N1327"/>
    </row>
    <row r="1328" spans="2:14">
      <c r="B1328"/>
      <c r="L1328"/>
      <c r="N1328"/>
    </row>
    <row r="1329" spans="2:14">
      <c r="B1329"/>
      <c r="L1329"/>
      <c r="N1329"/>
    </row>
    <row r="1330" spans="2:14">
      <c r="B1330"/>
      <c r="L1330"/>
      <c r="N1330"/>
    </row>
    <row r="1331" spans="2:14">
      <c r="B1331"/>
      <c r="L1331"/>
      <c r="N1331"/>
    </row>
    <row r="1332" spans="2:14">
      <c r="B1332"/>
      <c r="L1332"/>
      <c r="N1332"/>
    </row>
    <row r="1333" spans="2:14">
      <c r="B1333"/>
      <c r="L1333"/>
      <c r="N1333"/>
    </row>
    <row r="1334" spans="2:14">
      <c r="B1334"/>
      <c r="L1334"/>
      <c r="N1334"/>
    </row>
    <row r="1335" spans="2:14">
      <c r="B1335"/>
      <c r="L1335"/>
      <c r="N1335"/>
    </row>
    <row r="1336" spans="2:14">
      <c r="B1336"/>
      <c r="L1336"/>
      <c r="N1336"/>
    </row>
    <row r="1337" spans="2:14">
      <c r="B1337"/>
      <c r="L1337"/>
      <c r="N1337"/>
    </row>
    <row r="1338" spans="2:14">
      <c r="B1338"/>
      <c r="L1338"/>
      <c r="N1338"/>
    </row>
    <row r="1339" spans="2:14">
      <c r="B1339"/>
      <c r="L1339"/>
      <c r="N1339"/>
    </row>
    <row r="1340" spans="2:14">
      <c r="B1340"/>
      <c r="L1340"/>
      <c r="N1340"/>
    </row>
    <row r="1341" spans="2:14">
      <c r="B1341"/>
      <c r="L1341"/>
      <c r="N1341"/>
    </row>
    <row r="1342" spans="2:14">
      <c r="B1342"/>
      <c r="L1342"/>
      <c r="N1342"/>
    </row>
    <row r="1343" spans="2:14">
      <c r="B1343"/>
      <c r="L1343"/>
      <c r="N1343"/>
    </row>
    <row r="1344" spans="2:14">
      <c r="B1344"/>
      <c r="L1344"/>
      <c r="N1344"/>
    </row>
    <row r="1345" spans="2:14">
      <c r="B1345"/>
      <c r="L1345"/>
      <c r="N1345"/>
    </row>
    <row r="1346" spans="2:14">
      <c r="B1346"/>
      <c r="L1346"/>
      <c r="N1346"/>
    </row>
    <row r="1347" spans="2:14">
      <c r="B1347"/>
      <c r="L1347"/>
      <c r="N1347"/>
    </row>
    <row r="1348" spans="2:14">
      <c r="B1348"/>
      <c r="L1348"/>
      <c r="N1348"/>
    </row>
    <row r="1349" spans="2:14">
      <c r="B1349"/>
      <c r="L1349"/>
      <c r="N1349"/>
    </row>
    <row r="1350" spans="2:14">
      <c r="B1350"/>
      <c r="L1350"/>
      <c r="N1350"/>
    </row>
    <row r="1351" spans="2:14">
      <c r="B1351"/>
      <c r="L1351"/>
      <c r="N1351"/>
    </row>
    <row r="1352" spans="2:14">
      <c r="B1352"/>
      <c r="L1352"/>
      <c r="N1352"/>
    </row>
    <row r="1353" spans="2:14">
      <c r="B1353"/>
      <c r="L1353"/>
      <c r="N1353"/>
    </row>
    <row r="1354" spans="2:14">
      <c r="B1354"/>
      <c r="L1354"/>
      <c r="N1354"/>
    </row>
    <row r="1355" spans="2:14">
      <c r="B1355"/>
      <c r="L1355"/>
      <c r="N1355"/>
    </row>
    <row r="1356" spans="2:14">
      <c r="B1356"/>
      <c r="L1356"/>
      <c r="N1356"/>
    </row>
    <row r="1357" spans="2:14">
      <c r="B1357"/>
      <c r="L1357"/>
      <c r="N1357"/>
    </row>
    <row r="1358" spans="2:14">
      <c r="B1358"/>
      <c r="L1358"/>
      <c r="N1358"/>
    </row>
    <row r="1359" spans="2:14">
      <c r="B1359"/>
      <c r="L1359"/>
      <c r="N1359"/>
    </row>
    <row r="1360" spans="2:14">
      <c r="B1360"/>
      <c r="L1360"/>
      <c r="N1360"/>
    </row>
    <row r="1361" spans="2:14">
      <c r="B1361"/>
      <c r="L1361"/>
      <c r="N1361"/>
    </row>
    <row r="1362" spans="2:14">
      <c r="B1362"/>
      <c r="L1362"/>
      <c r="N1362"/>
    </row>
    <row r="1363" spans="2:14">
      <c r="B1363"/>
      <c r="L1363"/>
      <c r="N1363"/>
    </row>
    <row r="1364" spans="2:14">
      <c r="B1364"/>
      <c r="L1364"/>
      <c r="N1364"/>
    </row>
    <row r="1365" spans="2:14">
      <c r="B1365"/>
      <c r="L1365"/>
      <c r="N1365"/>
    </row>
    <row r="1366" spans="2:14">
      <c r="B1366"/>
      <c r="L1366"/>
      <c r="N1366"/>
    </row>
    <row r="1367" spans="2:14">
      <c r="B1367"/>
      <c r="L1367"/>
      <c r="N1367"/>
    </row>
    <row r="1368" spans="2:14">
      <c r="B1368"/>
      <c r="L1368"/>
      <c r="N1368"/>
    </row>
    <row r="1369" spans="2:14">
      <c r="B1369"/>
      <c r="L1369"/>
      <c r="N1369"/>
    </row>
    <row r="1370" spans="2:14">
      <c r="B1370"/>
      <c r="L1370"/>
      <c r="N1370"/>
    </row>
    <row r="1371" spans="2:14">
      <c r="B1371"/>
      <c r="L1371"/>
      <c r="N1371"/>
    </row>
    <row r="1372" spans="2:14">
      <c r="B1372"/>
      <c r="L1372"/>
      <c r="N1372"/>
    </row>
    <row r="1373" spans="2:14">
      <c r="B1373"/>
      <c r="L1373"/>
      <c r="N1373"/>
    </row>
    <row r="1374" spans="2:14">
      <c r="B1374"/>
      <c r="L1374"/>
      <c r="N1374"/>
    </row>
    <row r="1375" spans="2:14">
      <c r="B1375"/>
      <c r="L1375"/>
      <c r="N1375"/>
    </row>
    <row r="1376" spans="2:14">
      <c r="B1376"/>
      <c r="L1376"/>
      <c r="N1376"/>
    </row>
    <row r="1377" spans="2:14">
      <c r="B1377"/>
      <c r="L1377"/>
      <c r="N1377"/>
    </row>
    <row r="1378" spans="2:14">
      <c r="B1378"/>
      <c r="L1378"/>
      <c r="N1378"/>
    </row>
    <row r="1379" spans="2:14">
      <c r="B1379"/>
      <c r="L1379"/>
      <c r="N1379"/>
    </row>
    <row r="1380" spans="2:14">
      <c r="B1380"/>
      <c r="L1380"/>
      <c r="N1380"/>
    </row>
    <row r="1381" spans="2:14">
      <c r="B1381"/>
      <c r="L1381"/>
      <c r="N1381"/>
    </row>
    <row r="1382" spans="2:14">
      <c r="B1382"/>
      <c r="L1382"/>
      <c r="N1382"/>
    </row>
    <row r="1383" spans="2:14">
      <c r="B1383"/>
      <c r="L1383"/>
      <c r="N1383"/>
    </row>
    <row r="1384" spans="2:14">
      <c r="B1384"/>
      <c r="L1384"/>
      <c r="N1384"/>
    </row>
    <row r="1385" spans="2:14">
      <c r="B1385"/>
      <c r="L1385"/>
      <c r="N1385"/>
    </row>
    <row r="1386" spans="2:14">
      <c r="B1386"/>
      <c r="L1386"/>
      <c r="N1386"/>
    </row>
    <row r="1387" spans="2:14">
      <c r="B1387"/>
      <c r="L1387"/>
      <c r="N1387"/>
    </row>
    <row r="1388" spans="2:14">
      <c r="B1388"/>
      <c r="L1388"/>
      <c r="N1388"/>
    </row>
    <row r="1389" spans="2:14">
      <c r="B1389"/>
      <c r="L1389"/>
      <c r="N1389"/>
    </row>
    <row r="1390" spans="2:14">
      <c r="B1390"/>
      <c r="L1390"/>
      <c r="N1390"/>
    </row>
    <row r="1391" spans="2:14">
      <c r="B1391"/>
      <c r="L1391"/>
      <c r="N1391"/>
    </row>
    <row r="1392" spans="2:14">
      <c r="B1392"/>
      <c r="L1392"/>
      <c r="N1392"/>
    </row>
    <row r="1393" spans="2:14">
      <c r="B1393"/>
      <c r="L1393"/>
      <c r="N1393"/>
    </row>
    <row r="1394" spans="2:14">
      <c r="B1394"/>
      <c r="L1394"/>
      <c r="N1394"/>
    </row>
    <row r="1395" spans="2:14">
      <c r="B1395"/>
      <c r="L1395"/>
      <c r="N1395"/>
    </row>
    <row r="1396" spans="2:14">
      <c r="B1396"/>
      <c r="L1396"/>
      <c r="N1396"/>
    </row>
    <row r="1397" spans="2:14">
      <c r="B1397"/>
      <c r="L1397"/>
      <c r="N1397"/>
    </row>
    <row r="1398" spans="2:14">
      <c r="B1398"/>
      <c r="L1398"/>
      <c r="N1398"/>
    </row>
    <row r="1399" spans="2:14">
      <c r="B1399"/>
      <c r="L1399"/>
      <c r="N1399"/>
    </row>
    <row r="1400" spans="2:14">
      <c r="B1400"/>
      <c r="L1400"/>
      <c r="N1400"/>
    </row>
    <row r="1401" spans="2:14">
      <c r="B1401"/>
      <c r="L1401"/>
      <c r="N1401"/>
    </row>
    <row r="1402" spans="2:14">
      <c r="B1402"/>
      <c r="L1402"/>
      <c r="N1402"/>
    </row>
    <row r="1403" spans="2:14">
      <c r="B1403"/>
      <c r="L1403"/>
      <c r="N1403"/>
    </row>
    <row r="1404" spans="2:14">
      <c r="B1404"/>
      <c r="L1404"/>
      <c r="N1404"/>
    </row>
    <row r="1405" spans="2:14">
      <c r="B1405"/>
      <c r="L1405"/>
      <c r="N1405"/>
    </row>
    <row r="1406" spans="2:14">
      <c r="B1406"/>
      <c r="L1406"/>
      <c r="N1406"/>
    </row>
    <row r="1407" spans="2:14">
      <c r="B1407"/>
      <c r="L1407"/>
      <c r="N1407"/>
    </row>
    <row r="1408" spans="2:14">
      <c r="B1408"/>
      <c r="L1408"/>
      <c r="N1408"/>
    </row>
    <row r="1409" spans="2:14">
      <c r="B1409"/>
      <c r="L1409"/>
      <c r="N1409"/>
    </row>
    <row r="1410" spans="2:14">
      <c r="B1410"/>
      <c r="L1410"/>
      <c r="N1410"/>
    </row>
    <row r="1411" spans="2:14">
      <c r="B1411"/>
      <c r="L1411"/>
      <c r="N1411"/>
    </row>
    <row r="1412" spans="2:14">
      <c r="B1412"/>
      <c r="L1412"/>
      <c r="N1412"/>
    </row>
    <row r="1413" spans="2:14">
      <c r="B1413"/>
      <c r="L1413"/>
      <c r="N1413"/>
    </row>
    <row r="1414" spans="2:14">
      <c r="B1414"/>
      <c r="L1414"/>
      <c r="N1414"/>
    </row>
    <row r="1415" spans="2:14">
      <c r="B1415"/>
      <c r="L1415"/>
      <c r="N1415"/>
    </row>
    <row r="1416" spans="2:14">
      <c r="B1416"/>
      <c r="L1416"/>
      <c r="N1416"/>
    </row>
    <row r="1417" spans="2:14">
      <c r="B1417"/>
      <c r="L1417"/>
      <c r="N1417"/>
    </row>
    <row r="1418" spans="2:14">
      <c r="B1418"/>
      <c r="L1418"/>
      <c r="N1418"/>
    </row>
    <row r="1419" spans="2:14">
      <c r="B1419"/>
      <c r="L1419"/>
      <c r="N1419"/>
    </row>
    <row r="1420" spans="2:14">
      <c r="B1420"/>
      <c r="L1420"/>
      <c r="N1420"/>
    </row>
    <row r="1421" spans="2:14">
      <c r="B1421"/>
      <c r="L1421"/>
      <c r="N1421"/>
    </row>
    <row r="1422" spans="2:14">
      <c r="B1422"/>
      <c r="L1422"/>
      <c r="N1422"/>
    </row>
    <row r="1423" spans="2:14">
      <c r="B1423"/>
      <c r="L1423"/>
      <c r="N1423"/>
    </row>
    <row r="1424" spans="2:14">
      <c r="B1424"/>
      <c r="L1424"/>
      <c r="N1424"/>
    </row>
    <row r="1425" spans="2:14">
      <c r="B1425"/>
      <c r="L1425"/>
      <c r="N1425"/>
    </row>
    <row r="1426" spans="2:14">
      <c r="B1426"/>
      <c r="L1426"/>
      <c r="N1426"/>
    </row>
    <row r="1427" spans="2:14">
      <c r="B1427"/>
      <c r="L1427"/>
      <c r="N1427"/>
    </row>
    <row r="1428" spans="2:14">
      <c r="B1428"/>
      <c r="L1428"/>
      <c r="N1428"/>
    </row>
    <row r="1429" spans="2:14">
      <c r="B1429"/>
      <c r="L1429"/>
      <c r="N1429"/>
    </row>
    <row r="1430" spans="2:14">
      <c r="B1430"/>
      <c r="L1430"/>
      <c r="N1430"/>
    </row>
    <row r="1431" spans="2:14">
      <c r="B1431"/>
      <c r="L1431"/>
      <c r="N1431"/>
    </row>
    <row r="1432" spans="2:14">
      <c r="B1432"/>
      <c r="L1432"/>
      <c r="N1432"/>
    </row>
    <row r="1433" spans="2:14">
      <c r="B1433"/>
      <c r="L1433"/>
      <c r="N1433"/>
    </row>
    <row r="1434" spans="2:14">
      <c r="B1434"/>
      <c r="L1434"/>
      <c r="N1434"/>
    </row>
    <row r="1435" spans="2:14">
      <c r="B1435"/>
      <c r="L1435"/>
      <c r="N1435"/>
    </row>
    <row r="1436" spans="2:14">
      <c r="B1436"/>
      <c r="L1436"/>
      <c r="N1436"/>
    </row>
    <row r="1437" spans="2:14">
      <c r="B1437"/>
      <c r="L1437"/>
      <c r="N1437"/>
    </row>
    <row r="1438" spans="2:14">
      <c r="B1438"/>
      <c r="L1438"/>
      <c r="N1438"/>
    </row>
    <row r="1439" spans="2:14">
      <c r="B1439"/>
      <c r="L1439"/>
      <c r="N1439"/>
    </row>
    <row r="1440" spans="2:14">
      <c r="B1440"/>
      <c r="L1440"/>
      <c r="N1440"/>
    </row>
    <row r="1441" spans="2:14">
      <c r="B1441"/>
      <c r="L1441"/>
      <c r="N1441"/>
    </row>
    <row r="1442" spans="2:14">
      <c r="B1442"/>
      <c r="L1442"/>
      <c r="N1442"/>
    </row>
    <row r="1443" spans="2:14">
      <c r="B1443"/>
      <c r="L1443"/>
      <c r="N1443"/>
    </row>
    <row r="1444" spans="2:14">
      <c r="B1444"/>
      <c r="L1444"/>
      <c r="N1444"/>
    </row>
    <row r="1445" spans="2:14">
      <c r="B1445"/>
      <c r="L1445"/>
      <c r="N1445"/>
    </row>
    <row r="1446" spans="2:14">
      <c r="B1446"/>
      <c r="L1446"/>
      <c r="N1446"/>
    </row>
    <row r="1447" spans="2:14">
      <c r="B1447"/>
      <c r="L1447"/>
      <c r="N1447"/>
    </row>
    <row r="1448" spans="2:14">
      <c r="B1448"/>
      <c r="L1448"/>
      <c r="N1448"/>
    </row>
    <row r="1449" spans="2:14">
      <c r="B1449"/>
      <c r="L1449"/>
      <c r="N1449"/>
    </row>
    <row r="1450" spans="2:14">
      <c r="B1450"/>
      <c r="L1450"/>
      <c r="N1450"/>
    </row>
    <row r="1451" spans="2:14">
      <c r="B1451"/>
      <c r="L1451"/>
      <c r="N1451"/>
    </row>
    <row r="1452" spans="2:14">
      <c r="B1452"/>
      <c r="L1452"/>
      <c r="N1452"/>
    </row>
    <row r="1453" spans="2:14">
      <c r="B1453"/>
      <c r="L1453"/>
      <c r="N1453"/>
    </row>
    <row r="1454" spans="2:14">
      <c r="B1454"/>
      <c r="L1454"/>
      <c r="N1454"/>
    </row>
    <row r="1455" spans="2:14">
      <c r="B1455"/>
      <c r="L1455"/>
      <c r="N1455"/>
    </row>
    <row r="1456" spans="2:14">
      <c r="B1456"/>
      <c r="L1456"/>
      <c r="N1456"/>
    </row>
    <row r="1457" spans="2:14">
      <c r="B1457"/>
      <c r="L1457"/>
      <c r="N1457"/>
    </row>
    <row r="1458" spans="2:14">
      <c r="B1458"/>
      <c r="L1458"/>
      <c r="N1458"/>
    </row>
    <row r="1459" spans="2:14">
      <c r="B1459"/>
      <c r="L1459"/>
      <c r="N1459"/>
    </row>
    <row r="1460" spans="2:14">
      <c r="B1460"/>
      <c r="L1460"/>
      <c r="N1460"/>
    </row>
    <row r="1461" spans="2:14">
      <c r="B1461"/>
      <c r="L1461"/>
      <c r="N1461"/>
    </row>
    <row r="1462" spans="2:14">
      <c r="B1462"/>
      <c r="L1462"/>
      <c r="N1462"/>
    </row>
    <row r="1463" spans="2:14">
      <c r="B1463"/>
      <c r="L1463"/>
      <c r="N1463"/>
    </row>
    <row r="1464" spans="2:14">
      <c r="B1464"/>
      <c r="L1464"/>
      <c r="N1464"/>
    </row>
    <row r="1465" spans="2:14">
      <c r="B1465"/>
      <c r="L1465"/>
      <c r="N1465"/>
    </row>
    <row r="1466" spans="2:14">
      <c r="B1466"/>
      <c r="L1466"/>
      <c r="N1466"/>
    </row>
    <row r="1467" spans="2:14">
      <c r="B1467"/>
      <c r="L1467"/>
      <c r="N1467"/>
    </row>
    <row r="1468" spans="2:14">
      <c r="B1468"/>
      <c r="L1468"/>
      <c r="N1468"/>
    </row>
    <row r="1469" spans="2:14">
      <c r="B1469"/>
      <c r="L1469"/>
      <c r="N1469"/>
    </row>
    <row r="1470" spans="2:14">
      <c r="B1470"/>
      <c r="L1470"/>
      <c r="N1470"/>
    </row>
    <row r="1471" spans="2:14">
      <c r="B1471"/>
      <c r="L1471"/>
      <c r="N1471"/>
    </row>
    <row r="1472" spans="2:14">
      <c r="B1472"/>
      <c r="L1472"/>
      <c r="N1472"/>
    </row>
    <row r="1473" spans="2:14">
      <c r="B1473"/>
      <c r="L1473"/>
      <c r="N1473"/>
    </row>
    <row r="1474" spans="2:14">
      <c r="B1474"/>
      <c r="L1474"/>
      <c r="N1474"/>
    </row>
    <row r="1475" spans="2:14">
      <c r="B1475"/>
      <c r="L1475"/>
      <c r="N1475"/>
    </row>
    <row r="1476" spans="2:14">
      <c r="B1476"/>
      <c r="L1476"/>
      <c r="N1476"/>
    </row>
    <row r="1477" spans="2:14">
      <c r="B1477"/>
      <c r="L1477"/>
      <c r="N1477"/>
    </row>
    <row r="1478" spans="2:14">
      <c r="B1478"/>
      <c r="L1478"/>
      <c r="N1478"/>
    </row>
    <row r="1479" spans="2:14">
      <c r="B1479"/>
      <c r="L1479"/>
      <c r="N1479"/>
    </row>
    <row r="1480" spans="2:14">
      <c r="B1480"/>
      <c r="L1480"/>
      <c r="N1480"/>
    </row>
    <row r="1481" spans="2:14">
      <c r="B1481"/>
      <c r="L1481"/>
      <c r="N1481"/>
    </row>
    <row r="1482" spans="2:14">
      <c r="B1482"/>
      <c r="L1482"/>
      <c r="N1482"/>
    </row>
    <row r="1483" spans="2:14">
      <c r="B1483"/>
      <c r="L1483"/>
      <c r="N1483"/>
    </row>
    <row r="1484" spans="2:14">
      <c r="B1484"/>
      <c r="L1484"/>
      <c r="N1484"/>
    </row>
    <row r="1485" spans="2:14">
      <c r="B1485"/>
      <c r="L1485"/>
      <c r="N1485"/>
    </row>
    <row r="1486" spans="2:14">
      <c r="B1486"/>
      <c r="L1486"/>
      <c r="N1486"/>
    </row>
    <row r="1487" spans="2:14">
      <c r="B1487"/>
      <c r="L1487"/>
      <c r="N1487"/>
    </row>
    <row r="1488" spans="2:14">
      <c r="B1488"/>
      <c r="L1488"/>
      <c r="N1488"/>
    </row>
    <row r="1489" spans="2:14">
      <c r="B1489"/>
      <c r="L1489"/>
      <c r="N1489"/>
    </row>
    <row r="1490" spans="2:14">
      <c r="B1490"/>
      <c r="L1490"/>
      <c r="N1490"/>
    </row>
    <row r="1491" spans="2:14">
      <c r="B1491"/>
      <c r="L1491"/>
      <c r="N1491"/>
    </row>
    <row r="1492" spans="2:14">
      <c r="B1492"/>
      <c r="L1492"/>
      <c r="N1492"/>
    </row>
    <row r="1493" spans="2:14">
      <c r="B1493"/>
      <c r="L1493"/>
      <c r="N1493"/>
    </row>
    <row r="1494" spans="2:14">
      <c r="B1494"/>
      <c r="L1494"/>
      <c r="N1494"/>
    </row>
    <row r="1495" spans="2:14">
      <c r="B1495"/>
      <c r="L1495"/>
      <c r="N1495"/>
    </row>
    <row r="1496" spans="2:14">
      <c r="B1496"/>
      <c r="L1496"/>
      <c r="N1496"/>
    </row>
    <row r="1497" spans="2:14">
      <c r="B1497"/>
      <c r="L1497"/>
      <c r="N1497"/>
    </row>
    <row r="1498" spans="2:14">
      <c r="B1498"/>
      <c r="L1498"/>
      <c r="N1498"/>
    </row>
    <row r="1499" spans="2:14">
      <c r="B1499"/>
      <c r="L1499"/>
      <c r="N1499"/>
    </row>
    <row r="1500" spans="2:14">
      <c r="B1500"/>
      <c r="L1500"/>
      <c r="N1500"/>
    </row>
    <row r="1501" spans="2:14">
      <c r="B1501"/>
      <c r="L1501"/>
      <c r="N1501"/>
    </row>
    <row r="1502" spans="2:14">
      <c r="B1502"/>
      <c r="L1502"/>
      <c r="N1502"/>
    </row>
    <row r="1503" spans="2:14">
      <c r="B1503"/>
      <c r="L1503"/>
      <c r="N1503"/>
    </row>
    <row r="1504" spans="2:14">
      <c r="B1504"/>
      <c r="L1504"/>
      <c r="N1504"/>
    </row>
    <row r="1505" spans="2:14">
      <c r="B1505"/>
      <c r="L1505"/>
      <c r="N1505"/>
    </row>
    <row r="1506" spans="2:14">
      <c r="B1506"/>
      <c r="L1506"/>
      <c r="N1506"/>
    </row>
    <row r="1507" spans="2:14">
      <c r="B1507"/>
      <c r="L1507"/>
      <c r="N1507"/>
    </row>
    <row r="1508" spans="2:14">
      <c r="B1508"/>
      <c r="L1508"/>
      <c r="N1508"/>
    </row>
    <row r="1509" spans="2:14">
      <c r="B1509"/>
      <c r="L1509"/>
      <c r="N1509"/>
    </row>
    <row r="1510" spans="2:14">
      <c r="B1510"/>
      <c r="L1510"/>
      <c r="N1510"/>
    </row>
    <row r="1511" spans="2:14">
      <c r="B1511"/>
      <c r="L1511"/>
      <c r="N1511"/>
    </row>
    <row r="1512" spans="2:14">
      <c r="B1512"/>
      <c r="L1512"/>
      <c r="N1512"/>
    </row>
    <row r="1513" spans="2:14">
      <c r="B1513"/>
      <c r="L1513"/>
      <c r="N1513"/>
    </row>
    <row r="1514" spans="2:14">
      <c r="B1514"/>
      <c r="L1514"/>
      <c r="N1514"/>
    </row>
    <row r="1515" spans="2:14">
      <c r="B1515"/>
      <c r="L1515"/>
      <c r="N1515"/>
    </row>
    <row r="1516" spans="2:14">
      <c r="B1516"/>
      <c r="L1516"/>
      <c r="N1516"/>
    </row>
    <row r="1517" spans="2:14">
      <c r="B1517"/>
      <c r="L1517"/>
      <c r="N1517"/>
    </row>
    <row r="1518" spans="2:14">
      <c r="B1518"/>
      <c r="L1518"/>
      <c r="N1518"/>
    </row>
    <row r="1519" spans="2:14">
      <c r="B1519"/>
      <c r="L1519"/>
      <c r="N1519"/>
    </row>
    <row r="1520" spans="2:14">
      <c r="B1520"/>
      <c r="L1520"/>
      <c r="N1520"/>
    </row>
    <row r="1521" spans="2:14">
      <c r="B1521"/>
      <c r="L1521"/>
      <c r="N1521"/>
    </row>
    <row r="1522" spans="2:14">
      <c r="B1522"/>
      <c r="L1522"/>
      <c r="N1522"/>
    </row>
    <row r="1523" spans="2:14">
      <c r="B1523"/>
      <c r="L1523"/>
      <c r="N1523"/>
    </row>
    <row r="1524" spans="2:14">
      <c r="B1524"/>
      <c r="L1524"/>
      <c r="N1524"/>
    </row>
    <row r="1525" spans="2:14">
      <c r="B1525"/>
      <c r="L1525"/>
      <c r="N1525"/>
    </row>
    <row r="1526" spans="2:14">
      <c r="B1526"/>
      <c r="L1526"/>
      <c r="N1526"/>
    </row>
    <row r="1527" spans="2:14">
      <c r="B1527"/>
      <c r="L1527"/>
      <c r="N1527"/>
    </row>
    <row r="1528" spans="2:14">
      <c r="B1528"/>
      <c r="L1528"/>
      <c r="N1528"/>
    </row>
    <row r="1529" spans="2:14">
      <c r="B1529"/>
      <c r="L1529"/>
      <c r="N1529"/>
    </row>
    <row r="1530" spans="2:14">
      <c r="B1530"/>
      <c r="L1530"/>
      <c r="N1530"/>
    </row>
    <row r="1531" spans="2:14">
      <c r="B1531"/>
      <c r="L1531"/>
      <c r="N1531"/>
    </row>
    <row r="1532" spans="2:14">
      <c r="B1532"/>
      <c r="L1532"/>
      <c r="N1532"/>
    </row>
    <row r="1533" spans="2:14">
      <c r="B1533"/>
      <c r="L1533"/>
      <c r="N1533"/>
    </row>
    <row r="1534" spans="2:14">
      <c r="B1534"/>
      <c r="L1534"/>
      <c r="N1534"/>
    </row>
    <row r="1535" spans="2:14">
      <c r="B1535"/>
      <c r="L1535"/>
      <c r="N1535"/>
    </row>
    <row r="1536" spans="2:14">
      <c r="B1536"/>
      <c r="L1536"/>
      <c r="N1536"/>
    </row>
    <row r="1537" spans="2:14">
      <c r="B1537"/>
      <c r="L1537"/>
      <c r="N1537"/>
    </row>
    <row r="1538" spans="2:14">
      <c r="B1538"/>
      <c r="L1538"/>
      <c r="N1538"/>
    </row>
    <row r="1539" spans="2:14">
      <c r="B1539"/>
      <c r="L1539"/>
      <c r="N1539"/>
    </row>
    <row r="1540" spans="2:14">
      <c r="B1540"/>
      <c r="L1540"/>
      <c r="N1540"/>
    </row>
    <row r="1541" spans="2:14">
      <c r="B1541"/>
      <c r="L1541"/>
      <c r="N1541"/>
    </row>
    <row r="1542" spans="2:14">
      <c r="B1542"/>
      <c r="L1542"/>
      <c r="N1542"/>
    </row>
    <row r="1543" spans="2:14">
      <c r="B1543"/>
      <c r="L1543"/>
      <c r="N1543"/>
    </row>
    <row r="1544" spans="2:14">
      <c r="B1544"/>
      <c r="L1544"/>
      <c r="N1544"/>
    </row>
    <row r="1545" spans="2:14">
      <c r="B1545"/>
      <c r="L1545"/>
      <c r="N1545"/>
    </row>
    <row r="1546" spans="2:14">
      <c r="B1546"/>
      <c r="L1546"/>
      <c r="N1546"/>
    </row>
    <row r="1547" spans="2:14">
      <c r="B1547"/>
      <c r="L1547"/>
      <c r="N1547"/>
    </row>
    <row r="1548" spans="2:14">
      <c r="B1548"/>
      <c r="L1548"/>
      <c r="N1548"/>
    </row>
    <row r="1549" spans="2:14">
      <c r="B1549"/>
      <c r="L1549"/>
      <c r="N1549"/>
    </row>
    <row r="1550" spans="2:14">
      <c r="B1550"/>
      <c r="L1550"/>
      <c r="N1550"/>
    </row>
    <row r="1551" spans="2:14">
      <c r="B1551"/>
      <c r="L1551"/>
      <c r="N1551"/>
    </row>
    <row r="1552" spans="2:14">
      <c r="B1552"/>
      <c r="L1552"/>
      <c r="N1552"/>
    </row>
    <row r="1553" spans="2:14">
      <c r="B1553"/>
      <c r="L1553"/>
      <c r="N1553"/>
    </row>
    <row r="1554" spans="2:14">
      <c r="B1554"/>
      <c r="L1554"/>
      <c r="N1554"/>
    </row>
    <row r="1555" spans="2:14">
      <c r="B1555"/>
      <c r="L1555"/>
      <c r="N1555"/>
    </row>
    <row r="1556" spans="2:14">
      <c r="B1556"/>
      <c r="L1556"/>
      <c r="N1556"/>
    </row>
    <row r="1557" spans="2:14">
      <c r="B1557"/>
      <c r="L1557"/>
      <c r="N1557"/>
    </row>
    <row r="1558" spans="2:14">
      <c r="B1558"/>
      <c r="L1558"/>
      <c r="N1558"/>
    </row>
    <row r="1559" spans="2:14">
      <c r="B1559"/>
      <c r="L1559"/>
      <c r="N1559"/>
    </row>
    <row r="1560" spans="2:14">
      <c r="B1560"/>
      <c r="L1560"/>
      <c r="N1560"/>
    </row>
    <row r="1561" spans="2:14">
      <c r="B1561"/>
      <c r="L1561"/>
      <c r="N1561"/>
    </row>
    <row r="1562" spans="2:14">
      <c r="B1562"/>
      <c r="L1562"/>
      <c r="N1562"/>
    </row>
    <row r="1563" spans="2:14">
      <c r="B1563"/>
      <c r="L1563"/>
      <c r="N1563"/>
    </row>
    <row r="1564" spans="2:14">
      <c r="B1564"/>
      <c r="L1564"/>
      <c r="N1564"/>
    </row>
    <row r="1565" spans="2:14">
      <c r="B1565"/>
      <c r="L1565"/>
      <c r="N1565"/>
    </row>
    <row r="1566" spans="2:14">
      <c r="B1566"/>
      <c r="L1566"/>
      <c r="N1566"/>
    </row>
    <row r="1567" spans="2:14">
      <c r="B1567"/>
      <c r="L1567"/>
      <c r="N1567"/>
    </row>
    <row r="1568" spans="2:14">
      <c r="B1568"/>
      <c r="L1568"/>
      <c r="N1568"/>
    </row>
    <row r="1569" spans="2:14">
      <c r="B1569"/>
      <c r="L1569"/>
      <c r="N1569"/>
    </row>
    <row r="1570" spans="2:14">
      <c r="B1570"/>
      <c r="L1570"/>
      <c r="N1570"/>
    </row>
    <row r="1571" spans="2:14">
      <c r="B1571"/>
      <c r="L1571"/>
      <c r="N1571"/>
    </row>
    <row r="1572" spans="2:14">
      <c r="B1572"/>
      <c r="L1572"/>
      <c r="N1572"/>
    </row>
    <row r="1573" spans="2:14">
      <c r="B1573"/>
      <c r="L1573"/>
      <c r="N1573"/>
    </row>
    <row r="1574" spans="2:14">
      <c r="B1574"/>
      <c r="L1574"/>
      <c r="N1574"/>
    </row>
    <row r="1575" spans="2:14">
      <c r="B1575"/>
      <c r="L1575"/>
      <c r="N1575"/>
    </row>
    <row r="1576" spans="2:14">
      <c r="B1576"/>
      <c r="L1576"/>
      <c r="N1576"/>
    </row>
    <row r="1577" spans="2:14">
      <c r="B1577"/>
      <c r="L1577"/>
      <c r="N1577"/>
    </row>
    <row r="1578" spans="2:14">
      <c r="B1578"/>
      <c r="L1578"/>
      <c r="N1578"/>
    </row>
    <row r="1579" spans="2:14">
      <c r="B1579"/>
      <c r="L1579"/>
      <c r="N1579"/>
    </row>
    <row r="1580" spans="2:14">
      <c r="B1580"/>
      <c r="L1580"/>
      <c r="N1580"/>
    </row>
    <row r="1581" spans="2:14">
      <c r="B1581"/>
      <c r="L1581"/>
      <c r="N1581"/>
    </row>
    <row r="1582" spans="2:14">
      <c r="B1582"/>
      <c r="L1582"/>
      <c r="N1582"/>
    </row>
    <row r="1583" spans="2:14">
      <c r="B1583"/>
      <c r="L1583"/>
      <c r="N1583"/>
    </row>
    <row r="1584" spans="2:14">
      <c r="B1584"/>
      <c r="L1584"/>
      <c r="N1584"/>
    </row>
    <row r="1585" spans="2:14">
      <c r="B1585"/>
      <c r="L1585"/>
      <c r="N1585"/>
    </row>
    <row r="1586" spans="2:14">
      <c r="B1586"/>
      <c r="L1586"/>
      <c r="N1586"/>
    </row>
    <row r="1587" spans="2:14">
      <c r="B1587"/>
      <c r="L1587"/>
      <c r="N1587"/>
    </row>
    <row r="1588" spans="2:14">
      <c r="B1588"/>
      <c r="L1588"/>
      <c r="N1588"/>
    </row>
    <row r="1589" spans="2:14">
      <c r="B1589"/>
      <c r="L1589"/>
      <c r="N1589"/>
    </row>
    <row r="1590" spans="2:14">
      <c r="B1590"/>
      <c r="L1590"/>
      <c r="N1590"/>
    </row>
    <row r="1591" spans="2:14">
      <c r="B1591"/>
      <c r="L1591"/>
      <c r="N1591"/>
    </row>
    <row r="1592" spans="2:14">
      <c r="B1592"/>
      <c r="L1592"/>
      <c r="N1592"/>
    </row>
    <row r="1593" spans="2:14">
      <c r="B1593"/>
      <c r="L1593"/>
      <c r="N1593"/>
    </row>
    <row r="1594" spans="2:14">
      <c r="B1594"/>
      <c r="L1594"/>
      <c r="N1594"/>
    </row>
    <row r="1595" spans="2:14">
      <c r="B1595"/>
      <c r="L1595"/>
      <c r="N1595"/>
    </row>
    <row r="1596" spans="2:14">
      <c r="B1596"/>
      <c r="L1596"/>
      <c r="N1596"/>
    </row>
    <row r="1597" spans="2:14">
      <c r="B1597"/>
      <c r="L1597"/>
      <c r="N1597"/>
    </row>
    <row r="1598" spans="2:14">
      <c r="B1598"/>
      <c r="L1598"/>
      <c r="N1598"/>
    </row>
    <row r="1599" spans="2:14">
      <c r="B1599"/>
      <c r="L1599"/>
      <c r="N1599"/>
    </row>
    <row r="1600" spans="2:14">
      <c r="B1600"/>
      <c r="L1600"/>
      <c r="N1600"/>
    </row>
    <row r="1601" spans="2:14">
      <c r="B1601"/>
      <c r="L1601"/>
      <c r="N1601"/>
    </row>
    <row r="1602" spans="2:14">
      <c r="B1602"/>
      <c r="L1602"/>
      <c r="N1602"/>
    </row>
    <row r="1603" spans="2:14">
      <c r="B1603"/>
      <c r="L1603"/>
      <c r="N1603"/>
    </row>
    <row r="1604" spans="2:14">
      <c r="B1604"/>
      <c r="L1604"/>
      <c r="N1604"/>
    </row>
    <row r="1605" spans="2:14">
      <c r="B1605"/>
      <c r="L1605"/>
      <c r="N1605"/>
    </row>
    <row r="1606" spans="2:14">
      <c r="B1606"/>
      <c r="L1606"/>
      <c r="N1606"/>
    </row>
    <row r="1607" spans="2:14">
      <c r="B1607" s="146"/>
    </row>
    <row r="1608" spans="2:14">
      <c r="B1608" s="146"/>
    </row>
    <row r="1609" spans="2:14">
      <c r="B1609" s="146"/>
    </row>
    <row r="1610" spans="2:14">
      <c r="B1610" s="146"/>
    </row>
    <row r="1611" spans="2:14">
      <c r="B1611" s="146"/>
    </row>
    <row r="1612" spans="2:14">
      <c r="B1612" s="146"/>
    </row>
    <row r="1613" spans="2:14">
      <c r="B1613" s="146"/>
    </row>
    <row r="1614" spans="2:14">
      <c r="B1614" s="146"/>
    </row>
    <row r="1615" spans="2:14">
      <c r="B1615" s="146"/>
    </row>
    <row r="1616" spans="2:14">
      <c r="B1616" s="146"/>
    </row>
    <row r="1617" spans="2:2">
      <c r="B1617" s="146"/>
    </row>
    <row r="1618" spans="2:2">
      <c r="B1618" s="146"/>
    </row>
    <row r="1619" spans="2:2">
      <c r="B1619" s="146"/>
    </row>
    <row r="1620" spans="2:2">
      <c r="B1620" s="146"/>
    </row>
    <row r="1621" spans="2:2">
      <c r="B1621" s="146"/>
    </row>
    <row r="1622" spans="2:2">
      <c r="B1622" s="146"/>
    </row>
    <row r="1623" spans="2:2">
      <c r="B1623" s="146"/>
    </row>
    <row r="1624" spans="2:2">
      <c r="B1624" s="146"/>
    </row>
    <row r="1625" spans="2:2">
      <c r="B1625" s="146"/>
    </row>
    <row r="1626" spans="2:2">
      <c r="B1626" s="146"/>
    </row>
    <row r="1627" spans="2:2">
      <c r="B1627" s="146"/>
    </row>
    <row r="1628" spans="2:2">
      <c r="B1628" s="146"/>
    </row>
    <row r="1629" spans="2:2">
      <c r="B1629" s="146"/>
    </row>
    <row r="1630" spans="2:2">
      <c r="B1630" s="146"/>
    </row>
    <row r="1631" spans="2:2">
      <c r="B1631" s="146"/>
    </row>
    <row r="1632" spans="2:2">
      <c r="B1632" s="146"/>
    </row>
    <row r="1633" spans="2:2">
      <c r="B1633" s="146"/>
    </row>
    <row r="1634" spans="2:2">
      <c r="B1634" s="146"/>
    </row>
    <row r="1635" spans="2:2">
      <c r="B1635" s="146"/>
    </row>
    <row r="1636" spans="2:2">
      <c r="B1636" s="146"/>
    </row>
    <row r="1637" spans="2:2">
      <c r="B1637" s="146"/>
    </row>
    <row r="1638" spans="2:2">
      <c r="B1638" s="146"/>
    </row>
    <row r="1639" spans="2:2">
      <c r="B1639" s="146"/>
    </row>
    <row r="1640" spans="2:2">
      <c r="B1640" s="146"/>
    </row>
    <row r="1641" spans="2:2">
      <c r="B1641" s="146"/>
    </row>
    <row r="1642" spans="2:2">
      <c r="B1642" s="146"/>
    </row>
    <row r="1643" spans="2:2">
      <c r="B1643" s="146"/>
    </row>
    <row r="1644" spans="2:2">
      <c r="B1644" s="146"/>
    </row>
    <row r="1645" spans="2:2">
      <c r="B1645" s="146"/>
    </row>
    <row r="1646" spans="2:2">
      <c r="B1646" s="146"/>
    </row>
    <row r="1647" spans="2:2">
      <c r="B1647" s="146"/>
    </row>
    <row r="1648" spans="2:2">
      <c r="B1648" s="146"/>
    </row>
    <row r="1649" spans="2:2">
      <c r="B1649" s="146"/>
    </row>
    <row r="1650" spans="2:2">
      <c r="B1650" s="146"/>
    </row>
  </sheetData>
  <sheetProtection algorithmName="SHA-512" hashValue="ZTD/3X0s7w4f4mICrw6FdZYTIBdYkvGmxsw8rjQ30qscTiFE4vNwu1fo5LqA4MEpy+60NvmGhgHPH6AGdabgUw==" saltValue="bqJ424kBDGgPxT1Ao5UIew==" spinCount="100000" sheet="1" scenarios="1" selectLockedCells="1" pivotTables="0"/>
  <mergeCells count="1">
    <mergeCell ref="D17:G18"/>
  </mergeCells>
  <pageMargins left="0.25" right="0.1" top="0.1" bottom="0.25" header="0" footer="0"/>
  <pageSetup paperSize="9" scale="81" orientation="landscape" cellComments="atEnd" r:id="rId2"/>
  <drawing r:id="rId3"/>
  <legacyDrawing r:id="rId4"/>
  <controls>
    <control shapeId="3082" r:id="rId5" name="Label3"/>
    <control shapeId="3080" r:id="rId6" name="Label2"/>
    <control shapeId="3079" r:id="rId7" name="Label1"/>
    <control shapeId="3078" r:id="rId8" name="obFeeAmt"/>
    <control shapeId="3077" r:id="rId9" name="obInward"/>
    <control shapeId="3076" r:id="rId10" name="obValAmt"/>
    <control shapeId="3075" r:id="rId11" name="obMediator"/>
    <control shapeId="3074" r:id="rId12" name="obProperty"/>
    <control shapeId="3073" r:id="rId13" name="obLoan"/>
    <control shapeId="3081" r:id="rId14" name="cbInspected"/>
  </controls>
  <extLst xmlns:x14="http://schemas.microsoft.com/office/spreadsheetml/2009/9/main">
    <ext uri="{A8765BA9-456A-4dab-B4F3-ACF838C121DE}">
      <x14:slicerList>
        <x14:slicer r:id="rId25"/>
      </x14:slicerList>
    </ext>
    <ext xmlns:x15="http://schemas.microsoft.com/office/spreadsheetml/2010/11/main" uri="{7E03D99C-DC04-49d9-9315-930204A7B6E9}">
      <x15:timelineRefs>
        <x15:timelineRef r:id="rId26"/>
      </x15:timelineRefs>
    </ext>
  </extLst>
</worksheet>
</file>

<file path=xl/worksheets/sheet11.xml><?xml version="1.0" encoding="utf-8"?>
<worksheet xmlns="http://schemas.openxmlformats.org/spreadsheetml/2006/main" xmlns:r="http://schemas.openxmlformats.org/officeDocument/2006/relationships">
  <sheetPr codeName="Sheet9">
    <pageSetUpPr fitToPage="1"/>
  </sheetPr>
  <dimension ref="A1:GX1299"/>
  <sheetViews>
    <sheetView showGridLines="0" showRowColHeaders="0" tabSelected="1" zoomScale="80" zoomScaleNormal="80" workbookViewId="0">
      <pane ySplit="6" topLeftCell="A7" activePane="bottomLeft" state="frozen"/>
      <selection pane="bottomLeft" activeCell="DU1104" sqref="DU1104"/>
    </sheetView>
  </sheetViews>
  <sheetFormatPr defaultColWidth="1.42578125" defaultRowHeight="15"/>
  <cols>
    <col min="1" max="3" width="1.28515625" customWidth="1"/>
    <col min="4" max="4" width="1.42578125" style="13" customWidth="1"/>
    <col min="5" max="261" width="1.28515625" customWidth="1"/>
  </cols>
  <sheetData>
    <row r="1" spans="1:132">
      <c r="CF1" s="77"/>
    </row>
    <row r="2" spans="1:132">
      <c r="CF2" s="77"/>
      <c r="EB2" s="111"/>
    </row>
    <row r="10" spans="1:132" ht="15" hidden="1" customHeight="1">
      <c r="A10" s="303"/>
      <c r="B10" s="303"/>
      <c r="C10" s="303"/>
      <c r="D10" s="303"/>
      <c r="E10" s="303"/>
      <c r="F10" s="303"/>
      <c r="G10" s="303"/>
      <c r="H10" s="303"/>
      <c r="I10" s="303"/>
      <c r="J10" s="303"/>
      <c r="K10" s="303"/>
      <c r="L10" s="303"/>
      <c r="M10" s="303"/>
      <c r="N10" s="303"/>
      <c r="O10" s="303"/>
      <c r="P10" s="303"/>
      <c r="Q10" s="303"/>
      <c r="R10" s="303"/>
      <c r="S10" s="303"/>
      <c r="T10" s="303"/>
      <c r="U10" s="303"/>
      <c r="V10" s="303"/>
      <c r="W10" s="303"/>
      <c r="X10" s="303"/>
      <c r="Y10" s="303"/>
      <c r="Z10" s="303"/>
      <c r="AA10" s="303"/>
      <c r="AB10" s="303"/>
      <c r="AC10" s="303"/>
      <c r="AD10" s="303"/>
      <c r="AE10" s="303"/>
      <c r="AF10" s="303"/>
      <c r="AG10" s="303"/>
      <c r="AH10" s="303"/>
      <c r="AI10" s="303"/>
      <c r="AJ10" s="303"/>
      <c r="AK10" s="303"/>
      <c r="AL10" s="303"/>
      <c r="AM10" s="303"/>
      <c r="AN10" s="303"/>
      <c r="AO10" s="303"/>
      <c r="AP10" s="303"/>
      <c r="AQ10" s="303"/>
      <c r="AR10" s="303"/>
      <c r="AS10" s="303"/>
      <c r="AT10" s="303"/>
      <c r="AU10" s="303"/>
      <c r="AV10" s="303"/>
      <c r="AW10" s="303"/>
      <c r="AX10" s="303"/>
      <c r="AY10" s="303"/>
      <c r="AZ10" s="303"/>
      <c r="BA10" s="303"/>
      <c r="BB10" s="303"/>
      <c r="BC10" s="303"/>
      <c r="BD10" s="303"/>
      <c r="BE10" s="303"/>
      <c r="BF10" s="303"/>
      <c r="BG10" s="303"/>
      <c r="BH10" s="303"/>
      <c r="BI10" s="303"/>
      <c r="BJ10" s="303"/>
      <c r="BK10" s="303"/>
      <c r="BL10" s="303"/>
      <c r="BM10" s="303"/>
      <c r="BN10" s="303"/>
      <c r="BO10" s="303"/>
      <c r="BP10" s="303"/>
      <c r="BQ10" s="303"/>
      <c r="BR10" s="303"/>
      <c r="BS10" s="303"/>
      <c r="BT10" s="303"/>
      <c r="BU10" s="303"/>
      <c r="BV10" s="303"/>
      <c r="BW10" s="303"/>
      <c r="BX10" s="303"/>
      <c r="BY10" s="303"/>
      <c r="BZ10" s="303"/>
      <c r="CA10" s="303"/>
      <c r="CB10" s="303"/>
      <c r="CC10" s="303"/>
      <c r="CD10" s="303"/>
      <c r="CE10" s="303"/>
      <c r="CF10" s="303"/>
      <c r="CG10" s="303"/>
      <c r="CH10" s="303"/>
      <c r="CI10" s="303"/>
      <c r="CJ10" s="303"/>
      <c r="CK10" s="303"/>
      <c r="CL10" s="303"/>
      <c r="CM10" s="303"/>
      <c r="CN10" s="303"/>
      <c r="CO10" s="303"/>
      <c r="CP10" s="303"/>
      <c r="CQ10" s="303"/>
      <c r="CR10" s="303"/>
      <c r="CS10" s="303"/>
      <c r="CT10" s="303"/>
      <c r="CU10" s="303"/>
      <c r="CV10" s="303"/>
      <c r="CW10" s="303"/>
      <c r="CX10" s="303"/>
    </row>
    <row r="11" spans="1:132" ht="15" hidden="1" customHeight="1">
      <c r="A11" s="303"/>
      <c r="B11" s="303"/>
      <c r="C11" s="303"/>
      <c r="D11" s="303"/>
      <c r="E11" s="303"/>
      <c r="F11" s="303"/>
      <c r="G11" s="303"/>
      <c r="H11" s="303"/>
      <c r="I11" s="303"/>
      <c r="J11" s="303"/>
      <c r="K11" s="303"/>
      <c r="L11" s="303"/>
      <c r="M11" s="303"/>
      <c r="N11" s="303"/>
      <c r="O11" s="303"/>
      <c r="P11" s="303"/>
      <c r="Q11" s="303"/>
      <c r="R11" s="303"/>
      <c r="S11" s="303"/>
      <c r="T11" s="303"/>
      <c r="U11" s="303"/>
      <c r="V11" s="303"/>
      <c r="W11" s="303"/>
      <c r="X11" s="303"/>
      <c r="Y11" s="303"/>
      <c r="Z11" s="303"/>
      <c r="AA11" s="303"/>
      <c r="AB11" s="303"/>
      <c r="AC11" s="303"/>
      <c r="AD11" s="303"/>
      <c r="AE11" s="303"/>
      <c r="AF11" s="303"/>
      <c r="AG11" s="303"/>
      <c r="AH11" s="303"/>
      <c r="AI11" s="303"/>
      <c r="AJ11" s="303"/>
      <c r="AK11" s="303"/>
      <c r="AL11" s="303"/>
      <c r="AM11" s="303"/>
      <c r="AN11" s="303"/>
      <c r="AO11" s="303"/>
      <c r="AP11" s="303"/>
      <c r="AQ11" s="303"/>
      <c r="AR11" s="303"/>
      <c r="AS11" s="303"/>
      <c r="AT11" s="303"/>
      <c r="AU11" s="303"/>
      <c r="AV11" s="303"/>
      <c r="AW11" s="303"/>
      <c r="AX11" s="303"/>
      <c r="AY11" s="303"/>
      <c r="AZ11" s="303"/>
      <c r="BA11" s="303"/>
      <c r="BB11" s="303"/>
      <c r="BC11" s="303"/>
      <c r="BD11" s="303"/>
      <c r="BE11" s="303"/>
      <c r="BF11" s="303"/>
      <c r="BG11" s="303"/>
      <c r="BH11" s="303"/>
      <c r="BI11" s="303"/>
      <c r="BJ11" s="303"/>
      <c r="BK11" s="303"/>
      <c r="BL11" s="303"/>
      <c r="BM11" s="303"/>
      <c r="BN11" s="303"/>
      <c r="BO11" s="303"/>
      <c r="BP11" s="303"/>
      <c r="BQ11" s="303"/>
      <c r="BR11" s="303"/>
      <c r="BS11" s="303"/>
      <c r="BT11" s="303"/>
      <c r="BU11" s="303"/>
      <c r="BV11" s="303"/>
      <c r="BW11" s="303"/>
      <c r="BX11" s="303"/>
      <c r="BY11" s="303"/>
      <c r="BZ11" s="303"/>
      <c r="CA11" s="303"/>
      <c r="CB11" s="303"/>
      <c r="CC11" s="303"/>
      <c r="CD11" s="303"/>
      <c r="CE11" s="303"/>
      <c r="CF11" s="303"/>
      <c r="CG11" s="303"/>
      <c r="CH11" s="303"/>
      <c r="CI11" s="303"/>
      <c r="CJ11" s="303"/>
      <c r="CK11" s="303"/>
      <c r="CL11" s="303"/>
      <c r="CM11" s="303"/>
      <c r="CN11" s="303"/>
      <c r="CO11" s="303"/>
      <c r="CP11" s="303"/>
      <c r="CQ11" s="303"/>
      <c r="CR11" s="303"/>
      <c r="CS11" s="303"/>
      <c r="CT11" s="303"/>
      <c r="CU11" s="303"/>
      <c r="CV11" s="303"/>
      <c r="CW11" s="303"/>
      <c r="CX11" s="303"/>
    </row>
    <row r="12" spans="1:132" ht="15" hidden="1" customHeight="1">
      <c r="A12" s="303"/>
      <c r="B12" s="303"/>
      <c r="C12" s="303"/>
      <c r="D12" s="303"/>
      <c r="E12" s="303"/>
      <c r="F12" s="303"/>
      <c r="G12" s="303"/>
      <c r="H12" s="303"/>
      <c r="I12" s="303"/>
      <c r="J12" s="303"/>
      <c r="K12" s="303"/>
      <c r="L12" s="303"/>
      <c r="M12" s="303"/>
      <c r="N12" s="303"/>
      <c r="O12" s="303"/>
      <c r="P12" s="303"/>
      <c r="Q12" s="303"/>
      <c r="R12" s="303"/>
      <c r="S12" s="303"/>
      <c r="T12" s="303"/>
      <c r="U12" s="303"/>
      <c r="V12" s="303"/>
      <c r="W12" s="303"/>
      <c r="X12" s="303"/>
      <c r="Y12" s="303"/>
      <c r="Z12" s="303"/>
      <c r="AA12" s="303"/>
      <c r="AB12" s="303"/>
      <c r="AC12" s="303"/>
      <c r="AD12" s="303"/>
      <c r="AE12" s="303"/>
      <c r="AF12" s="303"/>
      <c r="AG12" s="303"/>
      <c r="AH12" s="303"/>
      <c r="AI12" s="303"/>
      <c r="AJ12" s="303"/>
      <c r="AK12" s="303"/>
      <c r="AL12" s="303"/>
      <c r="AM12" s="303"/>
      <c r="AN12" s="303"/>
      <c r="AO12" s="303"/>
      <c r="AP12" s="303"/>
      <c r="AQ12" s="303"/>
      <c r="AR12" s="303"/>
      <c r="AS12" s="303"/>
      <c r="AT12" s="303"/>
      <c r="AU12" s="303"/>
      <c r="AV12" s="303"/>
      <c r="AW12" s="303"/>
      <c r="AX12" s="303"/>
      <c r="AY12" s="303"/>
      <c r="AZ12" s="303"/>
      <c r="BA12" s="303"/>
      <c r="BB12" s="303"/>
      <c r="BC12" s="303"/>
      <c r="BD12" s="303"/>
      <c r="BE12" s="303"/>
      <c r="BF12" s="303"/>
      <c r="BG12" s="303"/>
      <c r="BH12" s="303"/>
      <c r="BI12" s="303"/>
      <c r="BJ12" s="303"/>
      <c r="BK12" s="303"/>
      <c r="BL12" s="303"/>
      <c r="BM12" s="303"/>
      <c r="BN12" s="303"/>
      <c r="BO12" s="303"/>
      <c r="BP12" s="303"/>
      <c r="BQ12" s="303"/>
      <c r="BR12" s="303"/>
      <c r="BS12" s="303"/>
      <c r="BT12" s="303"/>
      <c r="BU12" s="303"/>
      <c r="BV12" s="303"/>
      <c r="BW12" s="303"/>
      <c r="BX12" s="303"/>
      <c r="BY12" s="303"/>
      <c r="BZ12" s="303"/>
      <c r="CA12" s="303"/>
      <c r="CB12" s="303"/>
      <c r="CC12" s="303"/>
      <c r="CD12" s="303"/>
      <c r="CE12" s="303"/>
      <c r="CF12" s="303"/>
      <c r="CG12" s="303"/>
      <c r="CH12" s="303"/>
      <c r="CI12" s="303"/>
      <c r="CJ12" s="303"/>
      <c r="CK12" s="303"/>
      <c r="CL12" s="303"/>
      <c r="CM12" s="303"/>
      <c r="CN12" s="303"/>
      <c r="CO12" s="303"/>
      <c r="CP12" s="303"/>
      <c r="CQ12" s="303"/>
      <c r="CR12" s="303"/>
      <c r="CS12" s="303"/>
      <c r="CT12" s="303"/>
      <c r="CU12" s="303"/>
      <c r="CV12" s="303"/>
      <c r="CW12" s="303"/>
      <c r="CX12" s="303"/>
    </row>
    <row r="13" spans="1:132" ht="15" hidden="1" customHeight="1">
      <c r="A13" s="303"/>
      <c r="B13" s="303"/>
      <c r="C13" s="303"/>
      <c r="D13" s="303"/>
      <c r="E13" s="303"/>
      <c r="F13" s="303"/>
      <c r="G13" s="303"/>
      <c r="H13" s="303"/>
      <c r="I13" s="303"/>
      <c r="J13" s="303"/>
      <c r="K13" s="303"/>
      <c r="L13" s="303"/>
      <c r="M13" s="303"/>
      <c r="N13" s="303"/>
      <c r="O13" s="303"/>
      <c r="P13" s="303"/>
      <c r="Q13" s="303"/>
      <c r="R13" s="303"/>
      <c r="S13" s="303"/>
      <c r="T13" s="303"/>
      <c r="U13" s="303"/>
      <c r="V13" s="303"/>
      <c r="W13" s="303"/>
      <c r="X13" s="303"/>
      <c r="Y13" s="303"/>
      <c r="Z13" s="303"/>
      <c r="AA13" s="303"/>
      <c r="AB13" s="303"/>
      <c r="AC13" s="303"/>
      <c r="AD13" s="303"/>
      <c r="AE13" s="303"/>
      <c r="AF13" s="303"/>
      <c r="AG13" s="303"/>
      <c r="AH13" s="303"/>
      <c r="AI13" s="303"/>
      <c r="AJ13" s="303"/>
      <c r="AK13" s="303"/>
      <c r="AL13" s="303"/>
      <c r="AM13" s="303"/>
      <c r="AN13" s="303"/>
      <c r="AO13" s="303"/>
      <c r="AP13" s="303"/>
      <c r="AQ13" s="303"/>
      <c r="AR13" s="303"/>
      <c r="AS13" s="303"/>
      <c r="AT13" s="303"/>
      <c r="AU13" s="303"/>
      <c r="AV13" s="303"/>
      <c r="AW13" s="303"/>
      <c r="AX13" s="303"/>
      <c r="AY13" s="303"/>
      <c r="AZ13" s="303"/>
      <c r="BA13" s="303"/>
      <c r="BB13" s="303"/>
      <c r="BC13" s="303"/>
      <c r="BD13" s="303"/>
      <c r="BE13" s="303"/>
      <c r="BF13" s="303"/>
      <c r="BG13" s="303"/>
      <c r="BH13" s="303"/>
      <c r="BI13" s="303"/>
      <c r="BJ13" s="303"/>
      <c r="BK13" s="303"/>
      <c r="BL13" s="303"/>
      <c r="BM13" s="303"/>
      <c r="BN13" s="303"/>
      <c r="BO13" s="303"/>
      <c r="BP13" s="303"/>
      <c r="BQ13" s="303"/>
      <c r="BR13" s="303"/>
      <c r="BS13" s="303"/>
      <c r="BT13" s="303"/>
      <c r="BU13" s="303"/>
      <c r="BV13" s="303"/>
      <c r="BW13" s="303"/>
      <c r="BX13" s="303"/>
      <c r="BY13" s="303"/>
      <c r="BZ13" s="303"/>
      <c r="CA13" s="303"/>
      <c r="CB13" s="303"/>
      <c r="CC13" s="303"/>
      <c r="CD13" s="303"/>
      <c r="CE13" s="303"/>
      <c r="CF13" s="303"/>
      <c r="CG13" s="303"/>
      <c r="CH13" s="303"/>
      <c r="CI13" s="303"/>
      <c r="CJ13" s="303"/>
      <c r="CK13" s="303"/>
      <c r="CL13" s="303"/>
      <c r="CM13" s="303"/>
      <c r="CN13" s="303"/>
      <c r="CO13" s="303"/>
      <c r="CP13" s="303"/>
      <c r="CQ13" s="303"/>
      <c r="CR13" s="303"/>
      <c r="CS13" s="303"/>
      <c r="CT13" s="303"/>
      <c r="CU13" s="303"/>
      <c r="CV13" s="303"/>
      <c r="CW13" s="303"/>
      <c r="CX13" s="303"/>
    </row>
    <row r="14" spans="1:132" ht="14.25" hidden="1" customHeight="1">
      <c r="A14" s="225" t="str">
        <f>CONCATENATE("BALANCE SHEET AS OF ",TEXT(Main!F17,"DD-MMM-YYYY"), " TO ",TEXT(Main!G17,"DD-MMM-YYYY"))</f>
        <v>BALANCE SHEET AS OF 01-Jan-2017 TO 13-Oct-2017</v>
      </c>
      <c r="B14" s="225"/>
      <c r="C14" s="225"/>
      <c r="D14" s="225"/>
      <c r="E14" s="225"/>
      <c r="F14" s="225"/>
      <c r="G14" s="225"/>
      <c r="H14" s="225"/>
      <c r="I14" s="225"/>
      <c r="J14" s="225"/>
      <c r="K14" s="225"/>
      <c r="L14" s="225"/>
      <c r="M14" s="225"/>
      <c r="N14" s="225"/>
      <c r="O14" s="225"/>
      <c r="P14" s="225"/>
      <c r="Q14" s="225"/>
      <c r="R14" s="225"/>
      <c r="S14" s="225"/>
      <c r="T14" s="225"/>
      <c r="U14" s="225"/>
      <c r="V14" s="225"/>
      <c r="W14" s="225"/>
      <c r="X14" s="225"/>
      <c r="Y14" s="225"/>
      <c r="Z14" s="225"/>
      <c r="AA14" s="225"/>
      <c r="AB14" s="225"/>
      <c r="AC14" s="225"/>
      <c r="AD14" s="225"/>
      <c r="AE14" s="225"/>
      <c r="AF14" s="225"/>
      <c r="AG14" s="225"/>
      <c r="AH14" s="225"/>
      <c r="AI14" s="225"/>
      <c r="AJ14" s="225"/>
      <c r="AK14" s="225"/>
      <c r="AL14" s="225"/>
      <c r="AM14" s="225"/>
      <c r="AN14" s="225"/>
      <c r="AO14" s="225"/>
      <c r="AP14" s="225"/>
      <c r="AQ14" s="225"/>
      <c r="AR14" s="225"/>
      <c r="AS14" s="225"/>
      <c r="AT14" s="225"/>
      <c r="AU14" s="225"/>
      <c r="AV14" s="225"/>
      <c r="AW14" s="225"/>
      <c r="AX14" s="225"/>
      <c r="AY14" s="225"/>
      <c r="AZ14" s="225"/>
      <c r="BA14" s="225"/>
      <c r="BB14" s="225"/>
      <c r="BC14" s="225"/>
      <c r="BD14" s="225"/>
      <c r="BE14" s="225"/>
      <c r="BF14" s="225"/>
      <c r="BG14" s="225"/>
      <c r="BH14" s="225"/>
      <c r="BI14" s="225"/>
      <c r="BJ14" s="225"/>
      <c r="BK14" s="225"/>
      <c r="BL14" s="225"/>
      <c r="BM14" s="225"/>
      <c r="BN14" s="225"/>
      <c r="BO14" s="225"/>
      <c r="BP14" s="225"/>
      <c r="BQ14" s="225"/>
      <c r="BR14" s="225"/>
      <c r="BS14" s="225"/>
      <c r="BT14" s="225"/>
      <c r="BU14" s="225"/>
      <c r="BV14" s="225"/>
      <c r="BW14" s="225"/>
      <c r="BX14" s="225"/>
      <c r="BY14" s="225"/>
      <c r="BZ14" s="225"/>
      <c r="CA14" s="225"/>
      <c r="CB14" s="225"/>
      <c r="CC14" s="225"/>
      <c r="CD14" s="225"/>
      <c r="CE14" s="225"/>
      <c r="CF14" s="225"/>
      <c r="CG14" s="225"/>
      <c r="CH14" s="225"/>
      <c r="CI14" s="225"/>
      <c r="CJ14" s="225"/>
      <c r="CK14" s="225"/>
      <c r="CL14" s="225"/>
      <c r="CM14" s="225"/>
      <c r="CN14" s="225"/>
      <c r="CO14" s="225"/>
      <c r="CP14" s="225"/>
      <c r="CQ14" s="225"/>
      <c r="CR14" s="225"/>
      <c r="CS14" s="225"/>
      <c r="CT14" s="225"/>
      <c r="CU14" s="225"/>
      <c r="CV14" s="225"/>
      <c r="CW14" s="225"/>
      <c r="CX14" s="225"/>
    </row>
    <row r="15" spans="1:132" ht="15" hidden="1" customHeight="1">
      <c r="A15" s="225"/>
      <c r="B15" s="225"/>
      <c r="C15" s="225"/>
      <c r="D15" s="225"/>
      <c r="E15" s="225"/>
      <c r="F15" s="225"/>
      <c r="G15" s="225"/>
      <c r="H15" s="225"/>
      <c r="I15" s="225"/>
      <c r="J15" s="225"/>
      <c r="K15" s="225"/>
      <c r="L15" s="225"/>
      <c r="M15" s="225"/>
      <c r="N15" s="225"/>
      <c r="O15" s="225"/>
      <c r="P15" s="225"/>
      <c r="Q15" s="225"/>
      <c r="R15" s="225"/>
      <c r="S15" s="225"/>
      <c r="T15" s="225"/>
      <c r="U15" s="225"/>
      <c r="V15" s="225"/>
      <c r="W15" s="225"/>
      <c r="X15" s="225"/>
      <c r="Y15" s="225"/>
      <c r="Z15" s="225"/>
      <c r="AA15" s="225"/>
      <c r="AB15" s="225"/>
      <c r="AC15" s="225"/>
      <c r="AD15" s="225"/>
      <c r="AE15" s="225"/>
      <c r="AF15" s="225"/>
      <c r="AG15" s="225"/>
      <c r="AH15" s="225"/>
      <c r="AI15" s="225"/>
      <c r="AJ15" s="225"/>
      <c r="AK15" s="225"/>
      <c r="AL15" s="225"/>
      <c r="AM15" s="225"/>
      <c r="AN15" s="225"/>
      <c r="AO15" s="225"/>
      <c r="AP15" s="225"/>
      <c r="AQ15" s="225"/>
      <c r="AR15" s="225"/>
      <c r="AS15" s="225"/>
      <c r="AT15" s="225"/>
      <c r="AU15" s="225"/>
      <c r="AV15" s="225"/>
      <c r="AW15" s="225"/>
      <c r="AX15" s="225"/>
      <c r="AY15" s="225"/>
      <c r="AZ15" s="225"/>
      <c r="BA15" s="225"/>
      <c r="BB15" s="225"/>
      <c r="BC15" s="225"/>
      <c r="BD15" s="225"/>
      <c r="BE15" s="225"/>
      <c r="BF15" s="225"/>
      <c r="BG15" s="225"/>
      <c r="BH15" s="225"/>
      <c r="BI15" s="225"/>
      <c r="BJ15" s="225"/>
      <c r="BK15" s="225"/>
      <c r="BL15" s="225"/>
      <c r="BM15" s="225"/>
      <c r="BN15" s="225"/>
      <c r="BO15" s="225"/>
      <c r="BP15" s="225"/>
      <c r="BQ15" s="225"/>
      <c r="BR15" s="225"/>
      <c r="BS15" s="225"/>
      <c r="BT15" s="225"/>
      <c r="BU15" s="225"/>
      <c r="BV15" s="225"/>
      <c r="BW15" s="225"/>
      <c r="BX15" s="225"/>
      <c r="BY15" s="225"/>
      <c r="BZ15" s="225"/>
      <c r="CA15" s="225"/>
      <c r="CB15" s="225"/>
      <c r="CC15" s="225"/>
      <c r="CD15" s="225"/>
      <c r="CE15" s="225"/>
      <c r="CF15" s="225"/>
      <c r="CG15" s="225"/>
      <c r="CH15" s="225"/>
      <c r="CI15" s="225"/>
      <c r="CJ15" s="225"/>
      <c r="CK15" s="225"/>
      <c r="CL15" s="225"/>
      <c r="CM15" s="225"/>
      <c r="CN15" s="225"/>
      <c r="CO15" s="225"/>
      <c r="CP15" s="225"/>
      <c r="CQ15" s="225"/>
      <c r="CR15" s="225"/>
      <c r="CS15" s="225"/>
      <c r="CT15" s="225"/>
      <c r="CU15" s="225"/>
      <c r="CV15" s="225"/>
      <c r="CW15" s="225"/>
      <c r="CX15" s="225"/>
    </row>
    <row r="16" spans="1:132" ht="15" hidden="1" customHeight="1">
      <c r="C16" s="76"/>
      <c r="D16" s="350" t="s">
        <v>544</v>
      </c>
      <c r="E16" s="350"/>
      <c r="F16" s="350"/>
      <c r="G16" s="350"/>
      <c r="H16" s="350"/>
      <c r="I16" s="350"/>
      <c r="J16" s="350"/>
      <c r="K16" s="350"/>
      <c r="L16" s="350"/>
      <c r="M16" s="350"/>
      <c r="N16" s="350"/>
      <c r="O16" s="350"/>
      <c r="P16" s="350"/>
      <c r="Q16" s="350"/>
      <c r="R16" s="350"/>
      <c r="S16" s="350"/>
      <c r="T16" s="350"/>
      <c r="U16" s="350"/>
      <c r="V16" s="350"/>
      <c r="W16" s="350"/>
      <c r="X16" s="350"/>
      <c r="Y16" s="350"/>
      <c r="Z16" s="350"/>
      <c r="AA16" s="350"/>
      <c r="AB16" s="350"/>
      <c r="AC16" s="350"/>
      <c r="AD16" s="350"/>
      <c r="AE16" s="350"/>
      <c r="AF16" s="350"/>
      <c r="AG16" s="350"/>
      <c r="AH16" s="350"/>
      <c r="AI16" s="350"/>
      <c r="AJ16" s="350"/>
      <c r="AK16" s="350"/>
      <c r="AL16" s="350"/>
      <c r="AM16" s="350"/>
      <c r="AN16" s="350"/>
      <c r="AO16" s="350"/>
      <c r="AP16" s="350"/>
      <c r="AQ16" s="350"/>
      <c r="AR16" s="350"/>
      <c r="AS16" s="350"/>
      <c r="AT16" s="350"/>
      <c r="AU16" s="350"/>
      <c r="AV16" s="350"/>
      <c r="AW16" s="350"/>
      <c r="AX16" s="350"/>
      <c r="AY16" s="75"/>
      <c r="AZ16" s="74"/>
      <c r="BA16" s="73"/>
      <c r="BB16" s="352" t="s">
        <v>543</v>
      </c>
      <c r="BC16" s="352"/>
      <c r="BD16" s="352"/>
      <c r="BE16" s="352"/>
      <c r="BF16" s="352"/>
      <c r="BG16" s="352"/>
      <c r="BH16" s="352"/>
      <c r="BI16" s="352"/>
      <c r="BJ16" s="352"/>
      <c r="BK16" s="352"/>
      <c r="BL16" s="352"/>
      <c r="BM16" s="352"/>
      <c r="BN16" s="352"/>
      <c r="BO16" s="352"/>
      <c r="BP16" s="352"/>
      <c r="BQ16" s="352"/>
      <c r="BR16" s="352"/>
      <c r="BS16" s="352"/>
      <c r="BT16" s="352"/>
      <c r="BU16" s="352"/>
      <c r="BV16" s="352"/>
      <c r="BW16" s="352"/>
      <c r="BX16" s="352"/>
      <c r="BY16" s="352"/>
      <c r="BZ16" s="352"/>
      <c r="CA16" s="352"/>
      <c r="CB16" s="352"/>
      <c r="CC16" s="352"/>
      <c r="CD16" s="352"/>
      <c r="CE16" s="352"/>
      <c r="CF16" s="352"/>
      <c r="CG16" s="352"/>
      <c r="CH16" s="352"/>
      <c r="CI16" s="352"/>
      <c r="CJ16" s="352"/>
      <c r="CK16" s="352"/>
      <c r="CL16" s="352"/>
      <c r="CM16" s="352"/>
      <c r="CN16" s="352"/>
      <c r="CO16" s="352"/>
      <c r="CP16" s="352"/>
      <c r="CQ16" s="352"/>
      <c r="CR16" s="352"/>
      <c r="CS16" s="352"/>
      <c r="CT16" s="352"/>
      <c r="CU16" s="352"/>
      <c r="CV16" s="352"/>
      <c r="CW16" s="72"/>
      <c r="CX16" s="1"/>
    </row>
    <row r="17" spans="3:132" ht="15" hidden="1" customHeight="1">
      <c r="C17" s="43"/>
      <c r="D17" s="351"/>
      <c r="E17" s="351"/>
      <c r="F17" s="351"/>
      <c r="G17" s="351"/>
      <c r="H17" s="351"/>
      <c r="I17" s="351"/>
      <c r="J17" s="351"/>
      <c r="K17" s="351"/>
      <c r="L17" s="351"/>
      <c r="M17" s="351"/>
      <c r="N17" s="351"/>
      <c r="O17" s="351"/>
      <c r="P17" s="351"/>
      <c r="Q17" s="351"/>
      <c r="R17" s="351"/>
      <c r="S17" s="351"/>
      <c r="T17" s="351"/>
      <c r="U17" s="351"/>
      <c r="V17" s="351"/>
      <c r="W17" s="351"/>
      <c r="X17" s="351"/>
      <c r="Y17" s="351"/>
      <c r="Z17" s="351"/>
      <c r="AA17" s="351"/>
      <c r="AB17" s="351"/>
      <c r="AC17" s="351"/>
      <c r="AD17" s="351"/>
      <c r="AE17" s="351"/>
      <c r="AF17" s="351"/>
      <c r="AG17" s="351"/>
      <c r="AH17" s="351"/>
      <c r="AI17" s="351"/>
      <c r="AJ17" s="351"/>
      <c r="AK17" s="351"/>
      <c r="AL17" s="351"/>
      <c r="AM17" s="351"/>
      <c r="AN17" s="351"/>
      <c r="AO17" s="351"/>
      <c r="AP17" s="351"/>
      <c r="AQ17" s="351"/>
      <c r="AR17" s="351"/>
      <c r="AS17" s="351"/>
      <c r="AT17" s="351"/>
      <c r="AU17" s="351"/>
      <c r="AV17" s="351"/>
      <c r="AW17" s="351"/>
      <c r="AX17" s="351"/>
      <c r="AY17" s="40"/>
      <c r="AZ17" s="1"/>
      <c r="BA17" s="43"/>
      <c r="BB17" s="353"/>
      <c r="BC17" s="353"/>
      <c r="BD17" s="353"/>
      <c r="BE17" s="353"/>
      <c r="BF17" s="353"/>
      <c r="BG17" s="353"/>
      <c r="BH17" s="353"/>
      <c r="BI17" s="353"/>
      <c r="BJ17" s="353"/>
      <c r="BK17" s="353"/>
      <c r="BL17" s="353"/>
      <c r="BM17" s="353"/>
      <c r="BN17" s="353"/>
      <c r="BO17" s="353"/>
      <c r="BP17" s="353"/>
      <c r="BQ17" s="353"/>
      <c r="BR17" s="353"/>
      <c r="BS17" s="353"/>
      <c r="BT17" s="353"/>
      <c r="BU17" s="353"/>
      <c r="BV17" s="353"/>
      <c r="BW17" s="353"/>
      <c r="BX17" s="353"/>
      <c r="BY17" s="353"/>
      <c r="BZ17" s="353"/>
      <c r="CA17" s="353"/>
      <c r="CB17" s="353"/>
      <c r="CC17" s="353"/>
      <c r="CD17" s="353"/>
      <c r="CE17" s="353"/>
      <c r="CF17" s="353"/>
      <c r="CG17" s="353"/>
      <c r="CH17" s="353"/>
      <c r="CI17" s="353"/>
      <c r="CJ17" s="353"/>
      <c r="CK17" s="353"/>
      <c r="CL17" s="353"/>
      <c r="CM17" s="353"/>
      <c r="CN17" s="353"/>
      <c r="CO17" s="353"/>
      <c r="CP17" s="353"/>
      <c r="CQ17" s="353"/>
      <c r="CR17" s="353"/>
      <c r="CS17" s="353"/>
      <c r="CT17" s="353"/>
      <c r="CU17" s="353"/>
      <c r="CV17" s="353"/>
      <c r="CW17" s="40"/>
      <c r="CX17" s="1"/>
    </row>
    <row r="18" spans="3:132" ht="15" hidden="1" customHeight="1">
      <c r="C18" s="43"/>
      <c r="D18" s="321" t="s">
        <v>542</v>
      </c>
      <c r="E18" s="321"/>
      <c r="F18" s="321"/>
      <c r="G18" s="321"/>
      <c r="H18" s="321"/>
      <c r="I18" s="321"/>
      <c r="J18" s="321"/>
      <c r="K18" s="321"/>
      <c r="L18" s="321"/>
      <c r="M18" s="321"/>
      <c r="N18" s="321"/>
      <c r="O18" s="321"/>
      <c r="P18" s="321"/>
      <c r="Q18" s="321"/>
      <c r="R18" s="321"/>
      <c r="S18" s="321"/>
      <c r="T18" s="321"/>
      <c r="U18" s="354" t="s">
        <v>494</v>
      </c>
      <c r="V18" s="355"/>
      <c r="W18" s="355"/>
      <c r="X18" s="355"/>
      <c r="Y18" s="355"/>
      <c r="Z18" s="355"/>
      <c r="AA18" s="355"/>
      <c r="AB18" s="355"/>
      <c r="AC18" s="355"/>
      <c r="AD18" s="356"/>
      <c r="AE18" s="355" t="s">
        <v>530</v>
      </c>
      <c r="AF18" s="355"/>
      <c r="AG18" s="355"/>
      <c r="AH18" s="355"/>
      <c r="AI18" s="355"/>
      <c r="AJ18" s="355"/>
      <c r="AK18" s="355"/>
      <c r="AL18" s="355"/>
      <c r="AM18" s="355"/>
      <c r="AN18" s="355"/>
      <c r="AO18" s="354" t="s">
        <v>503</v>
      </c>
      <c r="AP18" s="355"/>
      <c r="AQ18" s="355"/>
      <c r="AR18" s="355"/>
      <c r="AS18" s="355"/>
      <c r="AT18" s="355"/>
      <c r="AU18" s="355"/>
      <c r="AV18" s="355"/>
      <c r="AW18" s="355"/>
      <c r="AX18" s="355"/>
      <c r="AY18" s="67"/>
      <c r="AZ18" s="38"/>
      <c r="BA18" s="68"/>
      <c r="BB18" s="357" t="s">
        <v>519</v>
      </c>
      <c r="BC18" s="357"/>
      <c r="BD18" s="357"/>
      <c r="BE18" s="357"/>
      <c r="BF18" s="357"/>
      <c r="BG18" s="357"/>
      <c r="BH18" s="357"/>
      <c r="BI18" s="357"/>
      <c r="BJ18" s="357"/>
      <c r="BK18" s="357"/>
      <c r="BL18" s="357"/>
      <c r="BM18" s="357"/>
      <c r="BN18" s="357"/>
      <c r="BO18" s="357"/>
      <c r="BP18" s="357"/>
      <c r="BQ18" s="357"/>
      <c r="BR18" s="357"/>
      <c r="BS18" s="355" t="s">
        <v>494</v>
      </c>
      <c r="BT18" s="355"/>
      <c r="BU18" s="355"/>
      <c r="BV18" s="355"/>
      <c r="BW18" s="355"/>
      <c r="BX18" s="355"/>
      <c r="BY18" s="355"/>
      <c r="BZ18" s="355"/>
      <c r="CA18" s="355"/>
      <c r="CB18" s="355"/>
      <c r="CC18" s="355" t="s">
        <v>530</v>
      </c>
      <c r="CD18" s="355"/>
      <c r="CE18" s="355"/>
      <c r="CF18" s="355"/>
      <c r="CG18" s="355"/>
      <c r="CH18" s="355"/>
      <c r="CI18" s="355"/>
      <c r="CJ18" s="355"/>
      <c r="CK18" s="355"/>
      <c r="CL18" s="355"/>
      <c r="CM18" s="355" t="s">
        <v>503</v>
      </c>
      <c r="CN18" s="355"/>
      <c r="CO18" s="355"/>
      <c r="CP18" s="355"/>
      <c r="CQ18" s="355"/>
      <c r="CR18" s="355"/>
      <c r="CS18" s="355"/>
      <c r="CT18" s="355"/>
      <c r="CU18" s="355"/>
      <c r="CV18" s="355"/>
      <c r="CW18" s="40"/>
      <c r="CX18" s="1"/>
    </row>
    <row r="19" spans="3:132" ht="15" hidden="1" customHeight="1">
      <c r="C19" s="43"/>
      <c r="D19" s="325" t="s">
        <v>541</v>
      </c>
      <c r="E19" s="326"/>
      <c r="F19" s="326"/>
      <c r="G19" s="326"/>
      <c r="H19" s="326"/>
      <c r="I19" s="326"/>
      <c r="J19" s="326"/>
      <c r="K19" s="326"/>
      <c r="L19" s="326"/>
      <c r="M19" s="326"/>
      <c r="N19" s="326"/>
      <c r="O19" s="326"/>
      <c r="P19" s="326"/>
      <c r="Q19" s="326"/>
      <c r="R19" s="326"/>
      <c r="S19" s="326"/>
      <c r="T19" s="327"/>
      <c r="U19" s="323">
        <f>SUMIFS('Adv. Filter'!$CH$1:$CH$50000,'Adv. Filter'!$CC$1:$CC$50000,"General Expenses",'Adv. Filter'!$CF$1:$CF$50000,"Cash")</f>
        <v>53115</v>
      </c>
      <c r="V19" s="323"/>
      <c r="W19" s="323"/>
      <c r="X19" s="323"/>
      <c r="Y19" s="323"/>
      <c r="Z19" s="323"/>
      <c r="AA19" s="323"/>
      <c r="AB19" s="323"/>
      <c r="AC19" s="323"/>
      <c r="AD19" s="323"/>
      <c r="AE19" s="322">
        <f>SUMIFS('Adv. Filter'!$CH$1:$CH$50000,'Adv. Filter'!$CC$1:$CC$50000,"General Expenses",'Adv. Filter'!$CF$1:$CF$50000,"Bank")</f>
        <v>0</v>
      </c>
      <c r="AF19" s="323"/>
      <c r="AG19" s="323"/>
      <c r="AH19" s="323"/>
      <c r="AI19" s="323"/>
      <c r="AJ19" s="323"/>
      <c r="AK19" s="323"/>
      <c r="AL19" s="323"/>
      <c r="AM19" s="323"/>
      <c r="AN19" s="324"/>
      <c r="AO19" s="323">
        <f>U19+AE19</f>
        <v>53115</v>
      </c>
      <c r="AP19" s="323"/>
      <c r="AQ19" s="323"/>
      <c r="AR19" s="323"/>
      <c r="AS19" s="323"/>
      <c r="AT19" s="323"/>
      <c r="AU19" s="323"/>
      <c r="AV19" s="323"/>
      <c r="AW19" s="323"/>
      <c r="AX19" s="324"/>
      <c r="AY19" s="40"/>
      <c r="AZ19" s="1"/>
      <c r="BA19" s="43"/>
      <c r="BB19" s="325" t="s">
        <v>38</v>
      </c>
      <c r="BC19" s="326"/>
      <c r="BD19" s="326"/>
      <c r="BE19" s="326"/>
      <c r="BF19" s="326"/>
      <c r="BG19" s="326"/>
      <c r="BH19" s="326"/>
      <c r="BI19" s="326"/>
      <c r="BJ19" s="326"/>
      <c r="BK19" s="326"/>
      <c r="BL19" s="326"/>
      <c r="BM19" s="326"/>
      <c r="BN19" s="326"/>
      <c r="BO19" s="326"/>
      <c r="BP19" s="326"/>
      <c r="BQ19" s="326"/>
      <c r="BR19" s="327"/>
      <c r="BS19" s="328">
        <f>$T$152+$T$155</f>
        <v>35000</v>
      </c>
      <c r="BT19" s="329"/>
      <c r="BU19" s="329"/>
      <c r="BV19" s="329"/>
      <c r="BW19" s="329"/>
      <c r="BX19" s="329"/>
      <c r="BY19" s="329"/>
      <c r="BZ19" s="329"/>
      <c r="CA19" s="329"/>
      <c r="CB19" s="330"/>
      <c r="CC19" s="328">
        <f>$AD$152+$AD$155</f>
        <v>189000</v>
      </c>
      <c r="CD19" s="329"/>
      <c r="CE19" s="329"/>
      <c r="CF19" s="329"/>
      <c r="CG19" s="329"/>
      <c r="CH19" s="329"/>
      <c r="CI19" s="329"/>
      <c r="CJ19" s="329"/>
      <c r="CK19" s="329"/>
      <c r="CL19" s="330"/>
      <c r="CM19" s="323">
        <f t="shared" ref="CM19:CM26" si="0">BS19+CC19</f>
        <v>224000</v>
      </c>
      <c r="CN19" s="323"/>
      <c r="CO19" s="323"/>
      <c r="CP19" s="323"/>
      <c r="CQ19" s="323"/>
      <c r="CR19" s="323"/>
      <c r="CS19" s="323"/>
      <c r="CT19" s="323"/>
      <c r="CU19" s="323"/>
      <c r="CV19" s="324"/>
      <c r="CW19" s="40"/>
      <c r="CX19" s="1"/>
    </row>
    <row r="20" spans="3:132" ht="15" hidden="1" customHeight="1">
      <c r="C20" s="43"/>
      <c r="D20" s="325" t="s">
        <v>323</v>
      </c>
      <c r="E20" s="326"/>
      <c r="F20" s="326"/>
      <c r="G20" s="326"/>
      <c r="H20" s="326"/>
      <c r="I20" s="326"/>
      <c r="J20" s="326"/>
      <c r="K20" s="326"/>
      <c r="L20" s="326"/>
      <c r="M20" s="326"/>
      <c r="N20" s="326"/>
      <c r="O20" s="326"/>
      <c r="P20" s="326"/>
      <c r="Q20" s="326"/>
      <c r="R20" s="326"/>
      <c r="S20" s="326"/>
      <c r="T20" s="327"/>
      <c r="U20" s="323">
        <f>SUMIFS('Adv. Filter'!$CH$1:$CH$50000,'Adv. Filter'!$CC$1:$CC$50000,"Fee Returns",'Adv. Filter'!$CF$1:$CF$50000,"Cash")</f>
        <v>11250</v>
      </c>
      <c r="V20" s="323"/>
      <c r="W20" s="323"/>
      <c r="X20" s="323"/>
      <c r="Y20" s="323"/>
      <c r="Z20" s="323"/>
      <c r="AA20" s="323"/>
      <c r="AB20" s="323"/>
      <c r="AC20" s="323"/>
      <c r="AD20" s="323"/>
      <c r="AE20" s="322">
        <f>SUMIFS('Adv. Filter'!$CH$1:$CH$50000,'Adv. Filter'!$CC$1:$CC$50000,"Fee Returns",'Adv. Filter'!$CF$1:$CF$50000,"BC")</f>
        <v>0</v>
      </c>
      <c r="AF20" s="323"/>
      <c r="AG20" s="323"/>
      <c r="AH20" s="323"/>
      <c r="AI20" s="323"/>
      <c r="AJ20" s="323"/>
      <c r="AK20" s="323"/>
      <c r="AL20" s="323"/>
      <c r="AM20" s="323"/>
      <c r="AN20" s="324"/>
      <c r="AO20" s="323">
        <f>U20+AE20</f>
        <v>11250</v>
      </c>
      <c r="AP20" s="323"/>
      <c r="AQ20" s="323"/>
      <c r="AR20" s="323"/>
      <c r="AS20" s="323"/>
      <c r="AT20" s="323"/>
      <c r="AU20" s="323"/>
      <c r="AV20" s="323"/>
      <c r="AW20" s="323"/>
      <c r="AX20" s="324"/>
      <c r="AY20" s="40"/>
      <c r="AZ20" s="1"/>
      <c r="BA20" s="43"/>
      <c r="BB20" s="325" t="s">
        <v>84</v>
      </c>
      <c r="BC20" s="326"/>
      <c r="BD20" s="326"/>
      <c r="BE20" s="326"/>
      <c r="BF20" s="326"/>
      <c r="BG20" s="326"/>
      <c r="BH20" s="326"/>
      <c r="BI20" s="326"/>
      <c r="BJ20" s="326"/>
      <c r="BK20" s="326"/>
      <c r="BL20" s="326"/>
      <c r="BM20" s="326"/>
      <c r="BN20" s="326"/>
      <c r="BO20" s="326"/>
      <c r="BP20" s="326"/>
      <c r="BQ20" s="326"/>
      <c r="BR20" s="327"/>
      <c r="BS20" s="328">
        <f>$T$176+$T$179</f>
        <v>184500</v>
      </c>
      <c r="BT20" s="329"/>
      <c r="BU20" s="329"/>
      <c r="BV20" s="329"/>
      <c r="BW20" s="329"/>
      <c r="BX20" s="329"/>
      <c r="BY20" s="329"/>
      <c r="BZ20" s="329"/>
      <c r="CA20" s="329"/>
      <c r="CB20" s="330"/>
      <c r="CC20" s="328">
        <f>$AD$176+$AD$179</f>
        <v>207000</v>
      </c>
      <c r="CD20" s="329"/>
      <c r="CE20" s="329"/>
      <c r="CF20" s="329"/>
      <c r="CG20" s="329"/>
      <c r="CH20" s="329"/>
      <c r="CI20" s="329"/>
      <c r="CJ20" s="329"/>
      <c r="CK20" s="329"/>
      <c r="CL20" s="330"/>
      <c r="CM20" s="323">
        <f t="shared" si="0"/>
        <v>391500</v>
      </c>
      <c r="CN20" s="323"/>
      <c r="CO20" s="323"/>
      <c r="CP20" s="323"/>
      <c r="CQ20" s="323"/>
      <c r="CR20" s="323"/>
      <c r="CS20" s="323"/>
      <c r="CT20" s="323"/>
      <c r="CU20" s="323"/>
      <c r="CV20" s="324"/>
      <c r="CW20" s="40"/>
      <c r="CX20" s="1"/>
    </row>
    <row r="21" spans="3:132" ht="15" hidden="1" customHeight="1" thickBot="1">
      <c r="C21" s="43"/>
      <c r="D21" s="343"/>
      <c r="E21" s="344"/>
      <c r="F21" s="344"/>
      <c r="G21" s="344"/>
      <c r="H21" s="344"/>
      <c r="I21" s="344"/>
      <c r="J21" s="344"/>
      <c r="K21" s="344"/>
      <c r="L21" s="344"/>
      <c r="M21" s="344"/>
      <c r="N21" s="344"/>
      <c r="O21" s="344"/>
      <c r="P21" s="344"/>
      <c r="Q21" s="344"/>
      <c r="R21" s="344"/>
      <c r="S21" s="344"/>
      <c r="T21" s="345"/>
      <c r="U21" s="346"/>
      <c r="V21" s="346"/>
      <c r="W21" s="346"/>
      <c r="X21" s="346"/>
      <c r="Y21" s="346"/>
      <c r="Z21" s="346"/>
      <c r="AA21" s="346"/>
      <c r="AB21" s="346"/>
      <c r="AC21" s="346"/>
      <c r="AD21" s="346"/>
      <c r="AE21" s="365"/>
      <c r="AF21" s="346"/>
      <c r="AG21" s="346"/>
      <c r="AH21" s="346"/>
      <c r="AI21" s="346"/>
      <c r="AJ21" s="346"/>
      <c r="AK21" s="346"/>
      <c r="AL21" s="346"/>
      <c r="AM21" s="346"/>
      <c r="AN21" s="366"/>
      <c r="AO21" s="365"/>
      <c r="AP21" s="346"/>
      <c r="AQ21" s="346"/>
      <c r="AR21" s="346"/>
      <c r="AS21" s="346"/>
      <c r="AT21" s="346"/>
      <c r="AU21" s="346"/>
      <c r="AV21" s="346"/>
      <c r="AW21" s="346"/>
      <c r="AX21" s="366"/>
      <c r="AY21" s="40"/>
      <c r="AZ21" s="1"/>
      <c r="BA21" s="43"/>
      <c r="BB21" s="325" t="s">
        <v>102</v>
      </c>
      <c r="BC21" s="326"/>
      <c r="BD21" s="326"/>
      <c r="BE21" s="326"/>
      <c r="BF21" s="326"/>
      <c r="BG21" s="326"/>
      <c r="BH21" s="326"/>
      <c r="BI21" s="326"/>
      <c r="BJ21" s="326"/>
      <c r="BK21" s="326"/>
      <c r="BL21" s="326"/>
      <c r="BM21" s="326"/>
      <c r="BN21" s="326"/>
      <c r="BO21" s="326"/>
      <c r="BP21" s="326"/>
      <c r="BQ21" s="326"/>
      <c r="BR21" s="327"/>
      <c r="BS21" s="328">
        <f>$T$207+$T$210</f>
        <v>421500</v>
      </c>
      <c r="BT21" s="329"/>
      <c r="BU21" s="329"/>
      <c r="BV21" s="329"/>
      <c r="BW21" s="329"/>
      <c r="BX21" s="329"/>
      <c r="BY21" s="329"/>
      <c r="BZ21" s="329"/>
      <c r="CA21" s="329"/>
      <c r="CB21" s="330"/>
      <c r="CC21" s="328">
        <f>$AD$207+$AD$210</f>
        <v>203000</v>
      </c>
      <c r="CD21" s="329"/>
      <c r="CE21" s="329"/>
      <c r="CF21" s="329"/>
      <c r="CG21" s="329"/>
      <c r="CH21" s="329"/>
      <c r="CI21" s="329"/>
      <c r="CJ21" s="329"/>
      <c r="CK21" s="329"/>
      <c r="CL21" s="330"/>
      <c r="CM21" s="323">
        <f t="shared" si="0"/>
        <v>624500</v>
      </c>
      <c r="CN21" s="323"/>
      <c r="CO21" s="323"/>
      <c r="CP21" s="323"/>
      <c r="CQ21" s="323"/>
      <c r="CR21" s="323"/>
      <c r="CS21" s="323"/>
      <c r="CT21" s="323"/>
      <c r="CU21" s="323"/>
      <c r="CV21" s="324"/>
      <c r="CW21" s="40"/>
      <c r="CX21" s="1"/>
    </row>
    <row r="22" spans="3:132" ht="15" hidden="1" customHeight="1" thickTop="1">
      <c r="C22" s="43"/>
      <c r="D22" s="342" t="s">
        <v>531</v>
      </c>
      <c r="E22" s="342"/>
      <c r="F22" s="342"/>
      <c r="G22" s="342"/>
      <c r="H22" s="342"/>
      <c r="I22" s="342"/>
      <c r="J22" s="342"/>
      <c r="K22" s="342"/>
      <c r="L22" s="342"/>
      <c r="M22" s="342"/>
      <c r="N22" s="342"/>
      <c r="O22" s="342"/>
      <c r="P22" s="342"/>
      <c r="Q22" s="342"/>
      <c r="R22" s="342"/>
      <c r="S22" s="342"/>
      <c r="T22" s="342"/>
      <c r="U22" s="341">
        <f>SUM(U19:AD21)</f>
        <v>64365</v>
      </c>
      <c r="V22" s="341"/>
      <c r="W22" s="341"/>
      <c r="X22" s="341"/>
      <c r="Y22" s="341"/>
      <c r="Z22" s="341"/>
      <c r="AA22" s="341"/>
      <c r="AB22" s="341"/>
      <c r="AC22" s="341"/>
      <c r="AD22" s="341"/>
      <c r="AE22" s="341">
        <f>SUM(AE19:AN21)</f>
        <v>0</v>
      </c>
      <c r="AF22" s="341"/>
      <c r="AG22" s="341"/>
      <c r="AH22" s="341"/>
      <c r="AI22" s="341"/>
      <c r="AJ22" s="341"/>
      <c r="AK22" s="341"/>
      <c r="AL22" s="341"/>
      <c r="AM22" s="341"/>
      <c r="AN22" s="341"/>
      <c r="AO22" s="260">
        <f>U22+AE22</f>
        <v>64365</v>
      </c>
      <c r="AP22" s="332"/>
      <c r="AQ22" s="332"/>
      <c r="AR22" s="332"/>
      <c r="AS22" s="332"/>
      <c r="AT22" s="332"/>
      <c r="AU22" s="332"/>
      <c r="AV22" s="332"/>
      <c r="AW22" s="332"/>
      <c r="AX22" s="332"/>
      <c r="AY22" s="40"/>
      <c r="AZ22" s="1"/>
      <c r="BA22" s="43"/>
      <c r="BB22" s="325" t="s">
        <v>529</v>
      </c>
      <c r="BC22" s="326"/>
      <c r="BD22" s="326"/>
      <c r="BE22" s="326"/>
      <c r="BF22" s="326"/>
      <c r="BG22" s="326"/>
      <c r="BH22" s="326"/>
      <c r="BI22" s="326"/>
      <c r="BJ22" s="326"/>
      <c r="BK22" s="326"/>
      <c r="BL22" s="326"/>
      <c r="BM22" s="326"/>
      <c r="BN22" s="326"/>
      <c r="BO22" s="326"/>
      <c r="BP22" s="326"/>
      <c r="BQ22" s="326"/>
      <c r="BR22" s="327"/>
      <c r="BS22" s="328">
        <f>$T$215-BS19-BS20-BS21</f>
        <v>39000</v>
      </c>
      <c r="BT22" s="329"/>
      <c r="BU22" s="329"/>
      <c r="BV22" s="329"/>
      <c r="BW22" s="329"/>
      <c r="BX22" s="329"/>
      <c r="BY22" s="329"/>
      <c r="BZ22" s="329"/>
      <c r="CA22" s="329"/>
      <c r="CB22" s="330"/>
      <c r="CC22" s="328">
        <f>$AD$215-CC19-CC20-CC21</f>
        <v>45500</v>
      </c>
      <c r="CD22" s="329"/>
      <c r="CE22" s="329"/>
      <c r="CF22" s="329"/>
      <c r="CG22" s="329"/>
      <c r="CH22" s="329"/>
      <c r="CI22" s="329"/>
      <c r="CJ22" s="329"/>
      <c r="CK22" s="329"/>
      <c r="CL22" s="330"/>
      <c r="CM22" s="323">
        <f t="shared" si="0"/>
        <v>84500</v>
      </c>
      <c r="CN22" s="323"/>
      <c r="CO22" s="323"/>
      <c r="CP22" s="323"/>
      <c r="CQ22" s="323"/>
      <c r="CR22" s="323"/>
      <c r="CS22" s="323"/>
      <c r="CT22" s="323"/>
      <c r="CU22" s="323"/>
      <c r="CV22" s="324"/>
      <c r="CW22" s="40"/>
      <c r="CX22" s="1"/>
    </row>
    <row r="23" spans="3:132" ht="15" hidden="1" customHeight="1">
      <c r="C23" s="43"/>
      <c r="D23" s="71"/>
      <c r="E23" s="1"/>
      <c r="F23" s="1"/>
      <c r="G23" s="1"/>
      <c r="H23" s="1"/>
      <c r="I23" s="1"/>
      <c r="J23" s="1"/>
      <c r="K23" s="1"/>
      <c r="L23" s="1"/>
      <c r="M23" s="1"/>
      <c r="N23" s="1"/>
      <c r="O23" s="1"/>
      <c r="P23" s="1"/>
      <c r="Q23" s="1"/>
      <c r="R23" s="1"/>
      <c r="S23" s="1"/>
      <c r="T23" s="1"/>
      <c r="U23" s="70"/>
      <c r="V23" s="63"/>
      <c r="W23" s="63"/>
      <c r="X23" s="63"/>
      <c r="Y23" s="63"/>
      <c r="Z23" s="63"/>
      <c r="AA23" s="63"/>
      <c r="AB23" s="63"/>
      <c r="AC23" s="63"/>
      <c r="AD23" s="63"/>
      <c r="AE23" s="62"/>
      <c r="AF23" s="62"/>
      <c r="AG23" s="62"/>
      <c r="AH23" s="62"/>
      <c r="AI23" s="62"/>
      <c r="AJ23" s="62"/>
      <c r="AK23" s="62"/>
      <c r="AL23" s="62"/>
      <c r="AM23" s="62"/>
      <c r="AN23" s="62"/>
      <c r="AO23" s="60"/>
      <c r="AP23" s="60"/>
      <c r="AQ23" s="60"/>
      <c r="AR23" s="60"/>
      <c r="AS23" s="60"/>
      <c r="AT23" s="60"/>
      <c r="AU23" s="60"/>
      <c r="AV23" s="60"/>
      <c r="AW23" s="60"/>
      <c r="AX23" s="60"/>
      <c r="AY23" s="40"/>
      <c r="AZ23" s="1"/>
      <c r="BA23" s="68"/>
      <c r="BB23" s="361" t="s">
        <v>528</v>
      </c>
      <c r="BC23" s="361"/>
      <c r="BD23" s="361"/>
      <c r="BE23" s="361"/>
      <c r="BF23" s="361"/>
      <c r="BG23" s="361"/>
      <c r="BH23" s="361"/>
      <c r="BI23" s="361"/>
      <c r="BJ23" s="361"/>
      <c r="BK23" s="361"/>
      <c r="BL23" s="361"/>
      <c r="BM23" s="361"/>
      <c r="BN23" s="361"/>
      <c r="BO23" s="361"/>
      <c r="BP23" s="361"/>
      <c r="BQ23" s="361"/>
      <c r="BR23" s="361"/>
      <c r="BS23" s="362">
        <f>$T$215</f>
        <v>680000</v>
      </c>
      <c r="BT23" s="363"/>
      <c r="BU23" s="363"/>
      <c r="BV23" s="363"/>
      <c r="BW23" s="363"/>
      <c r="BX23" s="363"/>
      <c r="BY23" s="363"/>
      <c r="BZ23" s="363"/>
      <c r="CA23" s="363"/>
      <c r="CB23" s="364"/>
      <c r="CC23" s="362">
        <f>$AD$215</f>
        <v>644500</v>
      </c>
      <c r="CD23" s="363"/>
      <c r="CE23" s="363"/>
      <c r="CF23" s="363"/>
      <c r="CG23" s="363"/>
      <c r="CH23" s="363"/>
      <c r="CI23" s="363"/>
      <c r="CJ23" s="363"/>
      <c r="CK23" s="363"/>
      <c r="CL23" s="364"/>
      <c r="CM23" s="320">
        <f t="shared" si="0"/>
        <v>1324500</v>
      </c>
      <c r="CN23" s="320"/>
      <c r="CO23" s="320"/>
      <c r="CP23" s="320"/>
      <c r="CQ23" s="320"/>
      <c r="CR23" s="320"/>
      <c r="CS23" s="320"/>
      <c r="CT23" s="320"/>
      <c r="CU23" s="320"/>
      <c r="CV23" s="320"/>
      <c r="CW23" s="40"/>
      <c r="CX23" s="1"/>
    </row>
    <row r="24" spans="3:132" ht="15" hidden="1" customHeight="1">
      <c r="C24" s="43"/>
      <c r="D24" s="321" t="s">
        <v>540</v>
      </c>
      <c r="E24" s="321"/>
      <c r="F24" s="321"/>
      <c r="G24" s="321"/>
      <c r="H24" s="321"/>
      <c r="I24" s="321"/>
      <c r="J24" s="321"/>
      <c r="K24" s="321"/>
      <c r="L24" s="321"/>
      <c r="M24" s="321"/>
      <c r="N24" s="321"/>
      <c r="O24" s="321"/>
      <c r="P24" s="321"/>
      <c r="Q24" s="321"/>
      <c r="R24" s="321"/>
      <c r="S24" s="321"/>
      <c r="T24" s="321"/>
      <c r="U24" s="358" t="s">
        <v>494</v>
      </c>
      <c r="V24" s="359"/>
      <c r="W24" s="359"/>
      <c r="X24" s="359"/>
      <c r="Y24" s="359"/>
      <c r="Z24" s="359"/>
      <c r="AA24" s="359"/>
      <c r="AB24" s="359"/>
      <c r="AC24" s="359"/>
      <c r="AD24" s="360"/>
      <c r="AE24" s="359" t="s">
        <v>530</v>
      </c>
      <c r="AF24" s="359"/>
      <c r="AG24" s="359"/>
      <c r="AH24" s="359"/>
      <c r="AI24" s="359"/>
      <c r="AJ24" s="359"/>
      <c r="AK24" s="359"/>
      <c r="AL24" s="359"/>
      <c r="AM24" s="359"/>
      <c r="AN24" s="359"/>
      <c r="AO24" s="358" t="s">
        <v>503</v>
      </c>
      <c r="AP24" s="359"/>
      <c r="AQ24" s="359"/>
      <c r="AR24" s="359"/>
      <c r="AS24" s="359"/>
      <c r="AT24" s="359"/>
      <c r="AU24" s="359"/>
      <c r="AV24" s="359"/>
      <c r="AW24" s="359"/>
      <c r="AX24" s="359"/>
      <c r="AY24" s="67"/>
      <c r="AZ24" s="38"/>
      <c r="BA24" s="43"/>
      <c r="BB24" s="361" t="s">
        <v>527</v>
      </c>
      <c r="BC24" s="361"/>
      <c r="BD24" s="361"/>
      <c r="BE24" s="361"/>
      <c r="BF24" s="361"/>
      <c r="BG24" s="361"/>
      <c r="BH24" s="361"/>
      <c r="BI24" s="361"/>
      <c r="BJ24" s="361"/>
      <c r="BK24" s="361"/>
      <c r="BL24" s="361"/>
      <c r="BM24" s="361"/>
      <c r="BN24" s="361"/>
      <c r="BO24" s="361"/>
      <c r="BP24" s="361"/>
      <c r="BQ24" s="361"/>
      <c r="BR24" s="361"/>
      <c r="BS24" s="362">
        <f>$BP$215</f>
        <v>0</v>
      </c>
      <c r="BT24" s="363"/>
      <c r="BU24" s="363"/>
      <c r="BV24" s="363"/>
      <c r="BW24" s="363"/>
      <c r="BX24" s="363"/>
      <c r="BY24" s="363"/>
      <c r="BZ24" s="363"/>
      <c r="CA24" s="363"/>
      <c r="CB24" s="364"/>
      <c r="CC24" s="362">
        <f>$BZ$215</f>
        <v>11500</v>
      </c>
      <c r="CD24" s="363"/>
      <c r="CE24" s="363"/>
      <c r="CF24" s="363"/>
      <c r="CG24" s="363"/>
      <c r="CH24" s="363"/>
      <c r="CI24" s="363"/>
      <c r="CJ24" s="363"/>
      <c r="CK24" s="363"/>
      <c r="CL24" s="364"/>
      <c r="CM24" s="320">
        <f t="shared" si="0"/>
        <v>11500</v>
      </c>
      <c r="CN24" s="320"/>
      <c r="CO24" s="320"/>
      <c r="CP24" s="320"/>
      <c r="CQ24" s="320"/>
      <c r="CR24" s="320"/>
      <c r="CS24" s="320"/>
      <c r="CT24" s="320"/>
      <c r="CU24" s="320"/>
      <c r="CV24" s="320"/>
      <c r="CW24" s="40"/>
      <c r="CX24" s="1"/>
    </row>
    <row r="25" spans="3:132" ht="15" hidden="1" customHeight="1" thickBot="1">
      <c r="C25" s="43"/>
      <c r="D25" s="337" t="s">
        <v>539</v>
      </c>
      <c r="E25" s="338"/>
      <c r="F25" s="338"/>
      <c r="G25" s="338"/>
      <c r="H25" s="338"/>
      <c r="I25" s="338"/>
      <c r="J25" s="338"/>
      <c r="K25" s="338"/>
      <c r="L25" s="338"/>
      <c r="M25" s="338"/>
      <c r="N25" s="338"/>
      <c r="O25" s="338"/>
      <c r="P25" s="338"/>
      <c r="Q25" s="338"/>
      <c r="R25" s="338"/>
      <c r="S25" s="338"/>
      <c r="T25" s="339"/>
      <c r="U25" s="323">
        <f>SUMIFS('Adv. Filter'!$CH$1:$CH$50000,'Adv. Filter'!$CC$1:$CC$50000,"Staff Salaries",'Adv. Filter'!$CF$1:$CF$50000,"Cash")</f>
        <v>438500</v>
      </c>
      <c r="V25" s="323"/>
      <c r="W25" s="323"/>
      <c r="X25" s="323"/>
      <c r="Y25" s="323"/>
      <c r="Z25" s="323"/>
      <c r="AA25" s="323"/>
      <c r="AB25" s="323"/>
      <c r="AC25" s="323"/>
      <c r="AD25" s="323"/>
      <c r="AE25" s="322">
        <f>SUMIFS('Adv. Filter'!$CH$1:$CH$50000,'Adv. Filter'!$CC$1:$CC$50000,"Staff Salaries",'Adv. Filter'!$CF$1:$CF$50000,"Bank")</f>
        <v>266000</v>
      </c>
      <c r="AF25" s="323"/>
      <c r="AG25" s="323"/>
      <c r="AH25" s="323"/>
      <c r="AI25" s="323"/>
      <c r="AJ25" s="323"/>
      <c r="AK25" s="323"/>
      <c r="AL25" s="323"/>
      <c r="AM25" s="323"/>
      <c r="AN25" s="324"/>
      <c r="AO25" s="323">
        <f>U25+AE25</f>
        <v>704500</v>
      </c>
      <c r="AP25" s="323"/>
      <c r="AQ25" s="323"/>
      <c r="AR25" s="323"/>
      <c r="AS25" s="323"/>
      <c r="AT25" s="323"/>
      <c r="AU25" s="323"/>
      <c r="AV25" s="323"/>
      <c r="AW25" s="323"/>
      <c r="AX25" s="324"/>
      <c r="AY25" s="40"/>
      <c r="AZ25" s="1"/>
      <c r="BA25" s="43"/>
      <c r="BB25" s="340" t="s">
        <v>329</v>
      </c>
      <c r="BC25" s="340"/>
      <c r="BD25" s="340"/>
      <c r="BE25" s="340"/>
      <c r="BF25" s="340"/>
      <c r="BG25" s="340"/>
      <c r="BH25" s="340"/>
      <c r="BI25" s="340"/>
      <c r="BJ25" s="340"/>
      <c r="BK25" s="340"/>
      <c r="BL25" s="340"/>
      <c r="BM25" s="340"/>
      <c r="BN25" s="340"/>
      <c r="BO25" s="340"/>
      <c r="BP25" s="340"/>
      <c r="BQ25" s="340"/>
      <c r="BR25" s="340"/>
      <c r="BS25" s="333">
        <f>BN222</f>
        <v>0</v>
      </c>
      <c r="BT25" s="334"/>
      <c r="BU25" s="334"/>
      <c r="BV25" s="334"/>
      <c r="BW25" s="334"/>
      <c r="BX25" s="334"/>
      <c r="BY25" s="334"/>
      <c r="BZ25" s="334"/>
      <c r="CA25" s="334"/>
      <c r="CB25" s="335"/>
      <c r="CC25" s="333">
        <f>BX222</f>
        <v>19200</v>
      </c>
      <c r="CD25" s="334"/>
      <c r="CE25" s="334"/>
      <c r="CF25" s="334"/>
      <c r="CG25" s="334"/>
      <c r="CH25" s="334"/>
      <c r="CI25" s="334"/>
      <c r="CJ25" s="334"/>
      <c r="CK25" s="334"/>
      <c r="CL25" s="335"/>
      <c r="CM25" s="336">
        <f t="shared" si="0"/>
        <v>19200</v>
      </c>
      <c r="CN25" s="336"/>
      <c r="CO25" s="336"/>
      <c r="CP25" s="336"/>
      <c r="CQ25" s="336"/>
      <c r="CR25" s="336"/>
      <c r="CS25" s="336"/>
      <c r="CT25" s="336"/>
      <c r="CU25" s="336"/>
      <c r="CV25" s="336"/>
      <c r="CW25" s="40"/>
      <c r="CX25" s="1"/>
    </row>
    <row r="26" spans="3:132" ht="15" hidden="1" customHeight="1" thickTop="1" thickBot="1">
      <c r="C26" s="43"/>
      <c r="D26" s="343"/>
      <c r="E26" s="344"/>
      <c r="F26" s="344"/>
      <c r="G26" s="344"/>
      <c r="H26" s="344"/>
      <c r="I26" s="344"/>
      <c r="J26" s="344"/>
      <c r="K26" s="344"/>
      <c r="L26" s="344"/>
      <c r="M26" s="344"/>
      <c r="N26" s="344"/>
      <c r="O26" s="344"/>
      <c r="P26" s="344"/>
      <c r="Q26" s="344"/>
      <c r="R26" s="344"/>
      <c r="S26" s="344"/>
      <c r="T26" s="345"/>
      <c r="U26" s="346"/>
      <c r="V26" s="346"/>
      <c r="W26" s="346"/>
      <c r="X26" s="346"/>
      <c r="Y26" s="346"/>
      <c r="Z26" s="346"/>
      <c r="AA26" s="346"/>
      <c r="AB26" s="346"/>
      <c r="AC26" s="346"/>
      <c r="AD26" s="346"/>
      <c r="AE26" s="347"/>
      <c r="AF26" s="348"/>
      <c r="AG26" s="348"/>
      <c r="AH26" s="348"/>
      <c r="AI26" s="348"/>
      <c r="AJ26" s="348"/>
      <c r="AK26" s="348"/>
      <c r="AL26" s="348"/>
      <c r="AM26" s="348"/>
      <c r="AN26" s="349"/>
      <c r="AO26" s="365"/>
      <c r="AP26" s="346"/>
      <c r="AQ26" s="346"/>
      <c r="AR26" s="346"/>
      <c r="AS26" s="346"/>
      <c r="AT26" s="346"/>
      <c r="AU26" s="346"/>
      <c r="AV26" s="346"/>
      <c r="AW26" s="346"/>
      <c r="AX26" s="366"/>
      <c r="AY26" s="40"/>
      <c r="AZ26" s="1"/>
      <c r="BA26" s="43"/>
      <c r="BB26" s="331" t="s">
        <v>503</v>
      </c>
      <c r="BC26" s="331"/>
      <c r="BD26" s="331"/>
      <c r="BE26" s="331"/>
      <c r="BF26" s="331"/>
      <c r="BG26" s="331"/>
      <c r="BH26" s="331"/>
      <c r="BI26" s="331"/>
      <c r="BJ26" s="331"/>
      <c r="BK26" s="331"/>
      <c r="BL26" s="331"/>
      <c r="BM26" s="331"/>
      <c r="BN26" s="331"/>
      <c r="BO26" s="331"/>
      <c r="BP26" s="331"/>
      <c r="BQ26" s="331"/>
      <c r="BR26" s="331"/>
      <c r="BS26" s="260">
        <f>SUM(BS23:CB25)</f>
        <v>680000</v>
      </c>
      <c r="BT26" s="332"/>
      <c r="BU26" s="332"/>
      <c r="BV26" s="332"/>
      <c r="BW26" s="332"/>
      <c r="BX26" s="332"/>
      <c r="BY26" s="332"/>
      <c r="BZ26" s="332"/>
      <c r="CA26" s="332"/>
      <c r="CB26" s="258"/>
      <c r="CC26" s="341">
        <f>SUM(CC23:CL25)</f>
        <v>675200</v>
      </c>
      <c r="CD26" s="341"/>
      <c r="CE26" s="341"/>
      <c r="CF26" s="341"/>
      <c r="CG26" s="341"/>
      <c r="CH26" s="341"/>
      <c r="CI26" s="341"/>
      <c r="CJ26" s="341"/>
      <c r="CK26" s="341"/>
      <c r="CL26" s="273"/>
      <c r="CM26" s="341">
        <f t="shared" si="0"/>
        <v>1355200</v>
      </c>
      <c r="CN26" s="341"/>
      <c r="CO26" s="341"/>
      <c r="CP26" s="341"/>
      <c r="CQ26" s="341"/>
      <c r="CR26" s="341"/>
      <c r="CS26" s="341"/>
      <c r="CT26" s="341"/>
      <c r="CU26" s="341"/>
      <c r="CV26" s="341"/>
      <c r="CW26" s="40"/>
      <c r="CX26" s="1"/>
    </row>
    <row r="27" spans="3:132" ht="15" hidden="1" customHeight="1" thickTop="1">
      <c r="C27" s="43"/>
      <c r="D27" s="342" t="s">
        <v>531</v>
      </c>
      <c r="E27" s="342"/>
      <c r="F27" s="342"/>
      <c r="G27" s="342"/>
      <c r="H27" s="342"/>
      <c r="I27" s="342"/>
      <c r="J27" s="342"/>
      <c r="K27" s="342"/>
      <c r="L27" s="342"/>
      <c r="M27" s="342"/>
      <c r="N27" s="342"/>
      <c r="O27" s="342"/>
      <c r="P27" s="342"/>
      <c r="Q27" s="342"/>
      <c r="R27" s="342"/>
      <c r="S27" s="342"/>
      <c r="T27" s="342"/>
      <c r="U27" s="341">
        <f>SUM(U25:AD26)</f>
        <v>438500</v>
      </c>
      <c r="V27" s="341"/>
      <c r="W27" s="341"/>
      <c r="X27" s="341"/>
      <c r="Y27" s="341"/>
      <c r="Z27" s="341"/>
      <c r="AA27" s="341"/>
      <c r="AB27" s="341"/>
      <c r="AC27" s="341"/>
      <c r="AD27" s="341"/>
      <c r="AE27" s="341">
        <f>SUM(AE25:AN26)</f>
        <v>266000</v>
      </c>
      <c r="AF27" s="341"/>
      <c r="AG27" s="341"/>
      <c r="AH27" s="341"/>
      <c r="AI27" s="341"/>
      <c r="AJ27" s="341"/>
      <c r="AK27" s="341"/>
      <c r="AL27" s="341"/>
      <c r="AM27" s="341"/>
      <c r="AN27" s="341"/>
      <c r="AO27" s="260">
        <f>U27+AE27</f>
        <v>704500</v>
      </c>
      <c r="AP27" s="332"/>
      <c r="AQ27" s="332"/>
      <c r="AR27" s="332"/>
      <c r="AS27" s="332"/>
      <c r="AT27" s="332"/>
      <c r="AU27" s="332"/>
      <c r="AV27" s="332"/>
      <c r="AW27" s="332"/>
      <c r="AX27" s="332"/>
      <c r="AY27" s="40"/>
      <c r="AZ27" s="1"/>
      <c r="BA27" s="43"/>
      <c r="BB27" s="69"/>
      <c r="BC27" s="1"/>
      <c r="BD27" s="1"/>
      <c r="BE27" s="1"/>
      <c r="BF27" s="1"/>
      <c r="BG27" s="1"/>
      <c r="BH27" s="1"/>
      <c r="BI27" s="1"/>
      <c r="BJ27" s="1"/>
      <c r="BK27" s="1"/>
      <c r="BL27" s="1"/>
      <c r="BM27" s="1"/>
      <c r="BN27" s="1"/>
      <c r="BO27" s="1"/>
      <c r="BP27" s="1"/>
      <c r="BQ27" s="1"/>
      <c r="BR27" s="1"/>
      <c r="BS27" s="60"/>
      <c r="BT27" s="60"/>
      <c r="BU27" s="60"/>
      <c r="BV27" s="60"/>
      <c r="BW27" s="60"/>
      <c r="BX27" s="60"/>
      <c r="BY27" s="60"/>
      <c r="BZ27" s="60"/>
      <c r="CA27" s="60"/>
      <c r="CB27" s="60"/>
      <c r="CC27" s="60"/>
      <c r="CD27" s="60"/>
      <c r="CE27" s="60"/>
      <c r="CF27" s="60"/>
      <c r="CG27" s="60"/>
      <c r="CH27" s="60"/>
      <c r="CI27" s="60"/>
      <c r="CJ27" s="60"/>
      <c r="CK27" s="60"/>
      <c r="CL27" s="60"/>
      <c r="CM27" s="60"/>
      <c r="CN27" s="60"/>
      <c r="CO27" s="60"/>
      <c r="CP27" s="60"/>
      <c r="CQ27" s="60"/>
      <c r="CR27" s="60"/>
      <c r="CS27" s="60"/>
      <c r="CT27" s="60"/>
      <c r="CU27" s="60"/>
      <c r="CV27" s="60"/>
      <c r="CW27" s="40"/>
      <c r="CX27" s="1"/>
    </row>
    <row r="28" spans="3:132" ht="15" hidden="1" customHeight="1">
      <c r="C28" s="43"/>
      <c r="D28" s="71"/>
      <c r="E28" s="1"/>
      <c r="F28" s="1"/>
      <c r="G28" s="1"/>
      <c r="H28" s="1"/>
      <c r="I28" s="1"/>
      <c r="J28" s="1"/>
      <c r="K28" s="1"/>
      <c r="L28" s="1"/>
      <c r="M28" s="1"/>
      <c r="N28" s="1"/>
      <c r="O28" s="1"/>
      <c r="P28" s="1"/>
      <c r="Q28" s="1"/>
      <c r="R28" s="1"/>
      <c r="S28" s="1"/>
      <c r="T28" s="1"/>
      <c r="U28" s="70"/>
      <c r="V28" s="63"/>
      <c r="W28" s="63"/>
      <c r="X28" s="63"/>
      <c r="Y28" s="63"/>
      <c r="Z28" s="63"/>
      <c r="AA28" s="63"/>
      <c r="AB28" s="63"/>
      <c r="AC28" s="63"/>
      <c r="AD28" s="63"/>
      <c r="AE28" s="62"/>
      <c r="AF28" s="62"/>
      <c r="AG28" s="62"/>
      <c r="AH28" s="62"/>
      <c r="AI28" s="62"/>
      <c r="AJ28" s="62"/>
      <c r="AK28" s="62"/>
      <c r="AL28" s="62"/>
      <c r="AM28" s="62"/>
      <c r="AN28" s="62"/>
      <c r="AO28" s="60"/>
      <c r="AP28" s="60"/>
      <c r="AQ28" s="60"/>
      <c r="AR28" s="60"/>
      <c r="AS28" s="60"/>
      <c r="AT28" s="60"/>
      <c r="AU28" s="60"/>
      <c r="AV28" s="60"/>
      <c r="AW28" s="60"/>
      <c r="AX28" s="60"/>
      <c r="AY28" s="40"/>
      <c r="AZ28" s="1"/>
      <c r="BA28" s="68"/>
      <c r="BB28" s="357" t="s">
        <v>518</v>
      </c>
      <c r="BC28" s="357"/>
      <c r="BD28" s="357"/>
      <c r="BE28" s="357"/>
      <c r="BF28" s="357"/>
      <c r="BG28" s="357"/>
      <c r="BH28" s="357"/>
      <c r="BI28" s="357"/>
      <c r="BJ28" s="357"/>
      <c r="BK28" s="357"/>
      <c r="BL28" s="357"/>
      <c r="BM28" s="357"/>
      <c r="BN28" s="357"/>
      <c r="BO28" s="357"/>
      <c r="BP28" s="357"/>
      <c r="BQ28" s="357"/>
      <c r="BR28" s="357"/>
      <c r="BS28" s="359" t="s">
        <v>494</v>
      </c>
      <c r="BT28" s="359"/>
      <c r="BU28" s="359"/>
      <c r="BV28" s="359"/>
      <c r="BW28" s="359"/>
      <c r="BX28" s="359"/>
      <c r="BY28" s="359"/>
      <c r="BZ28" s="359"/>
      <c r="CA28" s="359"/>
      <c r="CB28" s="359"/>
      <c r="CC28" s="359" t="s">
        <v>530</v>
      </c>
      <c r="CD28" s="359"/>
      <c r="CE28" s="359"/>
      <c r="CF28" s="359"/>
      <c r="CG28" s="359"/>
      <c r="CH28" s="359"/>
      <c r="CI28" s="359"/>
      <c r="CJ28" s="359"/>
      <c r="CK28" s="359"/>
      <c r="CL28" s="359"/>
      <c r="CM28" s="359" t="s">
        <v>503</v>
      </c>
      <c r="CN28" s="359"/>
      <c r="CO28" s="359"/>
      <c r="CP28" s="359"/>
      <c r="CQ28" s="359"/>
      <c r="CR28" s="359"/>
      <c r="CS28" s="359"/>
      <c r="CT28" s="359"/>
      <c r="CU28" s="359"/>
      <c r="CV28" s="359"/>
      <c r="CW28" s="40"/>
      <c r="CX28" s="1"/>
      <c r="DH28" s="107" t="s">
        <v>578</v>
      </c>
      <c r="DI28" s="108">
        <f>$AO$22</f>
        <v>64365</v>
      </c>
      <c r="DJ28" s="51"/>
      <c r="DK28" s="51"/>
      <c r="DL28" s="51"/>
      <c r="DM28" s="51"/>
      <c r="DN28" s="51"/>
      <c r="DO28" s="51"/>
      <c r="DP28" s="51"/>
      <c r="DQ28" s="51"/>
      <c r="DR28" s="51"/>
      <c r="DT28" s="51"/>
      <c r="DU28" s="51"/>
      <c r="DV28" s="51"/>
      <c r="DW28" s="51"/>
      <c r="DX28" s="51"/>
      <c r="DY28" s="51"/>
      <c r="DZ28" s="51"/>
      <c r="EA28" s="51"/>
      <c r="EB28" s="51"/>
    </row>
    <row r="29" spans="3:132" ht="15" hidden="1" customHeight="1">
      <c r="C29" s="43"/>
      <c r="D29" s="321" t="s">
        <v>538</v>
      </c>
      <c r="E29" s="321"/>
      <c r="F29" s="321"/>
      <c r="G29" s="321"/>
      <c r="H29" s="321"/>
      <c r="I29" s="321"/>
      <c r="J29" s="321"/>
      <c r="K29" s="321"/>
      <c r="L29" s="321"/>
      <c r="M29" s="321"/>
      <c r="N29" s="321"/>
      <c r="O29" s="321"/>
      <c r="P29" s="321"/>
      <c r="Q29" s="321"/>
      <c r="R29" s="321"/>
      <c r="S29" s="321"/>
      <c r="T29" s="321"/>
      <c r="U29" s="358" t="s">
        <v>494</v>
      </c>
      <c r="V29" s="359"/>
      <c r="W29" s="359"/>
      <c r="X29" s="359"/>
      <c r="Y29" s="359"/>
      <c r="Z29" s="359"/>
      <c r="AA29" s="359"/>
      <c r="AB29" s="359"/>
      <c r="AC29" s="359"/>
      <c r="AD29" s="360"/>
      <c r="AE29" s="359" t="s">
        <v>530</v>
      </c>
      <c r="AF29" s="359"/>
      <c r="AG29" s="359"/>
      <c r="AH29" s="359"/>
      <c r="AI29" s="359"/>
      <c r="AJ29" s="359"/>
      <c r="AK29" s="359"/>
      <c r="AL29" s="359"/>
      <c r="AM29" s="359"/>
      <c r="AN29" s="359"/>
      <c r="AO29" s="358" t="s">
        <v>503</v>
      </c>
      <c r="AP29" s="359"/>
      <c r="AQ29" s="359"/>
      <c r="AR29" s="359"/>
      <c r="AS29" s="359"/>
      <c r="AT29" s="359"/>
      <c r="AU29" s="359"/>
      <c r="AV29" s="359"/>
      <c r="AW29" s="359"/>
      <c r="AX29" s="359"/>
      <c r="AY29" s="67"/>
      <c r="AZ29" s="38"/>
      <c r="BA29" s="43"/>
      <c r="BB29" s="325" t="s">
        <v>84</v>
      </c>
      <c r="BC29" s="326"/>
      <c r="BD29" s="326"/>
      <c r="BE29" s="326"/>
      <c r="BF29" s="326"/>
      <c r="BG29" s="326"/>
      <c r="BH29" s="326"/>
      <c r="BI29" s="326"/>
      <c r="BJ29" s="326"/>
      <c r="BK29" s="326"/>
      <c r="BL29" s="326"/>
      <c r="BM29" s="326"/>
      <c r="BN29" s="326"/>
      <c r="BO29" s="326"/>
      <c r="BP29" s="326"/>
      <c r="BQ29" s="326"/>
      <c r="BR29" s="327"/>
      <c r="BS29" s="328">
        <f>$T$336+$T$339</f>
        <v>47500</v>
      </c>
      <c r="BT29" s="329"/>
      <c r="BU29" s="329"/>
      <c r="BV29" s="329"/>
      <c r="BW29" s="329"/>
      <c r="BX29" s="329"/>
      <c r="BY29" s="329"/>
      <c r="BZ29" s="329"/>
      <c r="CA29" s="329"/>
      <c r="CB29" s="330"/>
      <c r="CC29" s="328">
        <f>$AD$336+$AD$339</f>
        <v>346500</v>
      </c>
      <c r="CD29" s="329"/>
      <c r="CE29" s="329"/>
      <c r="CF29" s="329"/>
      <c r="CG29" s="329"/>
      <c r="CH29" s="329"/>
      <c r="CI29" s="329"/>
      <c r="CJ29" s="329"/>
      <c r="CK29" s="329"/>
      <c r="CL29" s="330"/>
      <c r="CM29" s="323">
        <f t="shared" ref="CM29:CM36" si="1">BS29+CC29</f>
        <v>394000</v>
      </c>
      <c r="CN29" s="323"/>
      <c r="CO29" s="323"/>
      <c r="CP29" s="323"/>
      <c r="CQ29" s="323"/>
      <c r="CR29" s="323"/>
      <c r="CS29" s="323"/>
      <c r="CT29" s="323"/>
      <c r="CU29" s="323"/>
      <c r="CV29" s="324"/>
      <c r="CW29" s="40"/>
      <c r="CX29" s="1"/>
      <c r="DH29" s="107" t="s">
        <v>539</v>
      </c>
      <c r="DI29" s="108">
        <f>$AO$27</f>
        <v>704500</v>
      </c>
      <c r="DJ29" s="51"/>
      <c r="DK29" s="51"/>
      <c r="DL29" s="51"/>
      <c r="DM29" s="51"/>
      <c r="DN29" s="51"/>
      <c r="DO29" s="51"/>
      <c r="DP29" s="51"/>
      <c r="DQ29" s="51"/>
      <c r="DR29" s="51"/>
      <c r="DT29" s="51"/>
      <c r="DU29" s="51"/>
      <c r="DV29" s="51"/>
      <c r="DW29" s="51"/>
      <c r="DX29" s="51"/>
      <c r="DY29" s="51"/>
      <c r="DZ29" s="51"/>
      <c r="EA29" s="51"/>
      <c r="EB29" s="51"/>
    </row>
    <row r="30" spans="3:132" ht="15" hidden="1" customHeight="1">
      <c r="C30" s="43"/>
      <c r="D30" s="325" t="s">
        <v>535</v>
      </c>
      <c r="E30" s="326"/>
      <c r="F30" s="326"/>
      <c r="G30" s="326"/>
      <c r="H30" s="326"/>
      <c r="I30" s="326"/>
      <c r="J30" s="326"/>
      <c r="K30" s="326"/>
      <c r="L30" s="326"/>
      <c r="M30" s="326"/>
      <c r="N30" s="326"/>
      <c r="O30" s="326"/>
      <c r="P30" s="326"/>
      <c r="Q30" s="326"/>
      <c r="R30" s="326"/>
      <c r="S30" s="326"/>
      <c r="T30" s="327"/>
      <c r="U30" s="323">
        <f>SUMIFS('Adv. Filter'!$CH$1:$CH$50000,'Adv. Filter'!$CC$1:$CC$50000,"Petrol  &amp; Trvl. Exp.",'Adv. Filter'!$CF$1:$CF$50000,"Cash",'Adv. Filter'!$CD$1:$CD$50000,"Ganesh N")</f>
        <v>3800</v>
      </c>
      <c r="V30" s="323"/>
      <c r="W30" s="323"/>
      <c r="X30" s="323"/>
      <c r="Y30" s="323"/>
      <c r="Z30" s="323"/>
      <c r="AA30" s="323"/>
      <c r="AB30" s="323"/>
      <c r="AC30" s="323"/>
      <c r="AD30" s="323"/>
      <c r="AE30" s="367">
        <f>SUMIFS('Adv. Filter'!$CH$1:$CH$50000,'Adv. Filter'!$CC$1:$CC$50000,"Petrol  &amp; Trvl. Exp.",'Adv. Filter'!$CF$1:$CF$50000,"Bank",'Adv. Filter'!$CD$1:$CD$50000,"Ganesh N")</f>
        <v>0</v>
      </c>
      <c r="AF30" s="368"/>
      <c r="AG30" s="368"/>
      <c r="AH30" s="368"/>
      <c r="AI30" s="368"/>
      <c r="AJ30" s="368"/>
      <c r="AK30" s="368"/>
      <c r="AL30" s="368"/>
      <c r="AM30" s="368"/>
      <c r="AN30" s="369"/>
      <c r="AO30" s="323">
        <f t="shared" ref="AO30:AO45" si="2">U30+AE30</f>
        <v>3800</v>
      </c>
      <c r="AP30" s="323"/>
      <c r="AQ30" s="323"/>
      <c r="AR30" s="323"/>
      <c r="AS30" s="323"/>
      <c r="AT30" s="323"/>
      <c r="AU30" s="323"/>
      <c r="AV30" s="323"/>
      <c r="AW30" s="323"/>
      <c r="AX30" s="324"/>
      <c r="AY30" s="40"/>
      <c r="AZ30" s="1"/>
      <c r="BA30" s="43"/>
      <c r="BB30" s="325" t="s">
        <v>59</v>
      </c>
      <c r="BC30" s="326"/>
      <c r="BD30" s="326"/>
      <c r="BE30" s="326"/>
      <c r="BF30" s="326"/>
      <c r="BG30" s="326"/>
      <c r="BH30" s="326"/>
      <c r="BI30" s="326"/>
      <c r="BJ30" s="326"/>
      <c r="BK30" s="326"/>
      <c r="BL30" s="326"/>
      <c r="BM30" s="326"/>
      <c r="BN30" s="326"/>
      <c r="BO30" s="326"/>
      <c r="BP30" s="326"/>
      <c r="BQ30" s="326"/>
      <c r="BR30" s="327"/>
      <c r="BS30" s="328">
        <f>$T$320+$T$323</f>
        <v>0</v>
      </c>
      <c r="BT30" s="329"/>
      <c r="BU30" s="329"/>
      <c r="BV30" s="329"/>
      <c r="BW30" s="329"/>
      <c r="BX30" s="329"/>
      <c r="BY30" s="329"/>
      <c r="BZ30" s="329"/>
      <c r="CA30" s="329"/>
      <c r="CB30" s="330"/>
      <c r="CC30" s="328">
        <f>$AD$320+$AD$323</f>
        <v>0</v>
      </c>
      <c r="CD30" s="329"/>
      <c r="CE30" s="329"/>
      <c r="CF30" s="329"/>
      <c r="CG30" s="329"/>
      <c r="CH30" s="329"/>
      <c r="CI30" s="329"/>
      <c r="CJ30" s="329"/>
      <c r="CK30" s="329"/>
      <c r="CL30" s="330"/>
      <c r="CM30" s="323">
        <f t="shared" si="1"/>
        <v>0</v>
      </c>
      <c r="CN30" s="323"/>
      <c r="CO30" s="323"/>
      <c r="CP30" s="323"/>
      <c r="CQ30" s="323"/>
      <c r="CR30" s="323"/>
      <c r="CS30" s="323"/>
      <c r="CT30" s="323"/>
      <c r="CU30" s="323"/>
      <c r="CV30" s="324"/>
      <c r="CW30" s="40"/>
      <c r="CX30" s="1"/>
      <c r="DH30" s="107" t="s">
        <v>497</v>
      </c>
      <c r="DI30" s="108">
        <f>$AO$68</f>
        <v>205000</v>
      </c>
      <c r="DJ30" s="51"/>
      <c r="DK30" s="51"/>
      <c r="DL30" s="51"/>
      <c r="DM30" s="51"/>
      <c r="DN30" s="51"/>
      <c r="DO30" s="51"/>
      <c r="DP30" s="51"/>
      <c r="DQ30" s="51"/>
      <c r="DR30" s="51"/>
      <c r="DT30" s="51"/>
      <c r="DU30" s="51"/>
      <c r="DV30" s="51"/>
      <c r="DW30" s="51"/>
      <c r="DX30" s="51"/>
      <c r="DY30" s="51"/>
      <c r="DZ30" s="51"/>
      <c r="EA30" s="51"/>
      <c r="EB30" s="51"/>
    </row>
    <row r="31" spans="3:132" ht="15" hidden="1" customHeight="1">
      <c r="C31" s="43"/>
      <c r="D31" s="325" t="s">
        <v>534</v>
      </c>
      <c r="E31" s="326"/>
      <c r="F31" s="326"/>
      <c r="G31" s="326"/>
      <c r="H31" s="326"/>
      <c r="I31" s="326"/>
      <c r="J31" s="326"/>
      <c r="K31" s="326"/>
      <c r="L31" s="326"/>
      <c r="M31" s="326"/>
      <c r="N31" s="326"/>
      <c r="O31" s="326"/>
      <c r="P31" s="326"/>
      <c r="Q31" s="326"/>
      <c r="R31" s="326"/>
      <c r="S31" s="326"/>
      <c r="T31" s="327"/>
      <c r="U31" s="323">
        <f>SUMIFS('Adv. Filter'!$CH$1:$CH$50000,'Adv. Filter'!$CC$1:$CC$50000,"Petrol  &amp; Trvl. Exp.",'Adv. Filter'!$CF$1:$CF$50000,"Cash",'Adv. Filter'!$CD$1:$CD$50000,"Ganesh")</f>
        <v>6300</v>
      </c>
      <c r="V31" s="323"/>
      <c r="W31" s="323"/>
      <c r="X31" s="323"/>
      <c r="Y31" s="323"/>
      <c r="Z31" s="323"/>
      <c r="AA31" s="323"/>
      <c r="AB31" s="323"/>
      <c r="AC31" s="323"/>
      <c r="AD31" s="323"/>
      <c r="AE31" s="322">
        <f>SUMIFS('Adv. Filter'!$CH$1:$CH$50000,'Adv. Filter'!$CC$1:$CC$50000,"Petrol  &amp; Trvl. Exp.",'Adv. Filter'!$CF$1:$CF$50000,"Bank",'Adv. Filter'!$CD$1:$CD$50000,"Ganesh")</f>
        <v>0</v>
      </c>
      <c r="AF31" s="323"/>
      <c r="AG31" s="323"/>
      <c r="AH31" s="323"/>
      <c r="AI31" s="323"/>
      <c r="AJ31" s="323"/>
      <c r="AK31" s="323"/>
      <c r="AL31" s="323"/>
      <c r="AM31" s="323"/>
      <c r="AN31" s="324"/>
      <c r="AO31" s="323">
        <f t="shared" si="2"/>
        <v>6300</v>
      </c>
      <c r="AP31" s="323"/>
      <c r="AQ31" s="323"/>
      <c r="AR31" s="323"/>
      <c r="AS31" s="323"/>
      <c r="AT31" s="323"/>
      <c r="AU31" s="323"/>
      <c r="AV31" s="323"/>
      <c r="AW31" s="323"/>
      <c r="AX31" s="324"/>
      <c r="AY31" s="40"/>
      <c r="AZ31" s="1"/>
      <c r="BA31" s="43"/>
      <c r="BB31" s="325" t="s">
        <v>529</v>
      </c>
      <c r="BC31" s="326"/>
      <c r="BD31" s="326"/>
      <c r="BE31" s="326"/>
      <c r="BF31" s="326"/>
      <c r="BG31" s="326"/>
      <c r="BH31" s="326"/>
      <c r="BI31" s="326"/>
      <c r="BJ31" s="326"/>
      <c r="BK31" s="326"/>
      <c r="BL31" s="326"/>
      <c r="BM31" s="326"/>
      <c r="BN31" s="326"/>
      <c r="BO31" s="326"/>
      <c r="BP31" s="326"/>
      <c r="BQ31" s="326"/>
      <c r="BR31" s="327"/>
      <c r="BS31" s="328">
        <f>$T$375-BS32-BS29-BS30</f>
        <v>43500</v>
      </c>
      <c r="BT31" s="329"/>
      <c r="BU31" s="329"/>
      <c r="BV31" s="329"/>
      <c r="BW31" s="329"/>
      <c r="BX31" s="329"/>
      <c r="BY31" s="329"/>
      <c r="BZ31" s="329"/>
      <c r="CA31" s="329"/>
      <c r="CB31" s="330"/>
      <c r="CC31" s="328">
        <f>$AD$375-CC32-CC29-CC30</f>
        <v>177845</v>
      </c>
      <c r="CD31" s="329"/>
      <c r="CE31" s="329"/>
      <c r="CF31" s="329"/>
      <c r="CG31" s="329"/>
      <c r="CH31" s="329"/>
      <c r="CI31" s="329"/>
      <c r="CJ31" s="329"/>
      <c r="CK31" s="329"/>
      <c r="CL31" s="330"/>
      <c r="CM31" s="323">
        <f t="shared" si="1"/>
        <v>221345</v>
      </c>
      <c r="CN31" s="323"/>
      <c r="CO31" s="323"/>
      <c r="CP31" s="323"/>
      <c r="CQ31" s="323"/>
      <c r="CR31" s="323"/>
      <c r="CS31" s="323"/>
      <c r="CT31" s="323"/>
      <c r="CU31" s="323"/>
      <c r="CV31" s="324"/>
      <c r="CW31" s="40"/>
      <c r="CX31" s="1"/>
    </row>
    <row r="32" spans="3:132" ht="15" hidden="1" customHeight="1">
      <c r="C32" s="43"/>
      <c r="D32" s="325" t="s">
        <v>42</v>
      </c>
      <c r="E32" s="326"/>
      <c r="F32" s="326"/>
      <c r="G32" s="326"/>
      <c r="H32" s="326"/>
      <c r="I32" s="326"/>
      <c r="J32" s="326"/>
      <c r="K32" s="326"/>
      <c r="L32" s="326"/>
      <c r="M32" s="326"/>
      <c r="N32" s="326"/>
      <c r="O32" s="326"/>
      <c r="P32" s="326"/>
      <c r="Q32" s="326"/>
      <c r="R32" s="326"/>
      <c r="S32" s="326"/>
      <c r="T32" s="327"/>
      <c r="U32" s="323">
        <f>SUMIFS('Adv. Filter'!$CH$1:$CH$50000,'Adv. Filter'!$CC$1:$CC$50000,"Petrol  &amp; Trvl. Exp.",'Adv. Filter'!$CF$1:$CF$50000,"Cash",'Adv. Filter'!$CD$1:$CD$50000,$D32)</f>
        <v>3700</v>
      </c>
      <c r="V32" s="323"/>
      <c r="W32" s="323"/>
      <c r="X32" s="323"/>
      <c r="Y32" s="323"/>
      <c r="Z32" s="323"/>
      <c r="AA32" s="323"/>
      <c r="AB32" s="323"/>
      <c r="AC32" s="323"/>
      <c r="AD32" s="323"/>
      <c r="AE32" s="322">
        <f>SUMIFS('Adv. Filter'!$CH$1:$CH$50000,'Adv. Filter'!$CC$1:$CC$50000,"Petrol  &amp; Trvl. Exp.",'Adv. Filter'!$CF$1:$CF$50000,"Bank",'Adv. Filter'!$CD$1:$CD$50000,$D32)</f>
        <v>0</v>
      </c>
      <c r="AF32" s="323"/>
      <c r="AG32" s="323"/>
      <c r="AH32" s="323"/>
      <c r="AI32" s="323"/>
      <c r="AJ32" s="323"/>
      <c r="AK32" s="323"/>
      <c r="AL32" s="323"/>
      <c r="AM32" s="323"/>
      <c r="AN32" s="324"/>
      <c r="AO32" s="323">
        <f t="shared" si="2"/>
        <v>3700</v>
      </c>
      <c r="AP32" s="323"/>
      <c r="AQ32" s="323"/>
      <c r="AR32" s="323"/>
      <c r="AS32" s="323"/>
      <c r="AT32" s="323"/>
      <c r="AU32" s="323"/>
      <c r="AV32" s="323"/>
      <c r="AW32" s="323"/>
      <c r="AX32" s="324"/>
      <c r="AY32" s="40"/>
      <c r="AZ32" s="1"/>
      <c r="BA32" s="43"/>
      <c r="BB32" s="325" t="s">
        <v>537</v>
      </c>
      <c r="BC32" s="326"/>
      <c r="BD32" s="326"/>
      <c r="BE32" s="326"/>
      <c r="BF32" s="326"/>
      <c r="BG32" s="326"/>
      <c r="BH32" s="326"/>
      <c r="BI32" s="326"/>
      <c r="BJ32" s="326"/>
      <c r="BK32" s="326"/>
      <c r="BL32" s="326"/>
      <c r="BM32" s="326"/>
      <c r="BN32" s="326"/>
      <c r="BO32" s="326"/>
      <c r="BP32" s="326"/>
      <c r="BQ32" s="326"/>
      <c r="BR32" s="327"/>
      <c r="BS32" s="370"/>
      <c r="BT32" s="371"/>
      <c r="BU32" s="371"/>
      <c r="BV32" s="371"/>
      <c r="BW32" s="371"/>
      <c r="BX32" s="371"/>
      <c r="BY32" s="371"/>
      <c r="BZ32" s="371"/>
      <c r="CA32" s="371"/>
      <c r="CB32" s="372"/>
      <c r="CC32" s="370"/>
      <c r="CD32" s="371"/>
      <c r="CE32" s="371"/>
      <c r="CF32" s="371"/>
      <c r="CG32" s="371"/>
      <c r="CH32" s="371"/>
      <c r="CI32" s="371"/>
      <c r="CJ32" s="371"/>
      <c r="CK32" s="371"/>
      <c r="CL32" s="372"/>
      <c r="CM32" s="323">
        <f t="shared" si="1"/>
        <v>0</v>
      </c>
      <c r="CN32" s="323"/>
      <c r="CO32" s="323"/>
      <c r="CP32" s="323"/>
      <c r="CQ32" s="323"/>
      <c r="CR32" s="323"/>
      <c r="CS32" s="323"/>
      <c r="CT32" s="323"/>
      <c r="CU32" s="323"/>
      <c r="CV32" s="324"/>
      <c r="CW32" s="40"/>
      <c r="CX32" s="1"/>
      <c r="DL32" s="107" t="s">
        <v>63</v>
      </c>
      <c r="DM32" s="109">
        <f>CM26</f>
        <v>1355200</v>
      </c>
    </row>
    <row r="33" spans="3:117" ht="15" hidden="1" customHeight="1">
      <c r="C33" s="43"/>
      <c r="D33" s="325" t="s">
        <v>51</v>
      </c>
      <c r="E33" s="326"/>
      <c r="F33" s="326"/>
      <c r="G33" s="326"/>
      <c r="H33" s="326"/>
      <c r="I33" s="326"/>
      <c r="J33" s="326"/>
      <c r="K33" s="326"/>
      <c r="L33" s="326"/>
      <c r="M33" s="326"/>
      <c r="N33" s="326"/>
      <c r="O33" s="326"/>
      <c r="P33" s="326"/>
      <c r="Q33" s="326"/>
      <c r="R33" s="326"/>
      <c r="S33" s="326"/>
      <c r="T33" s="327"/>
      <c r="U33" s="323">
        <f>SUMIFS('Adv. Filter'!$CH$1:$CH$50000,'Adv. Filter'!$CC$1:$CC$50000,"Petrol  &amp; Trvl. Exp.",'Adv. Filter'!$CF$1:$CF$50000,"Cash",'Adv. Filter'!$CD$1:$CD$50000,$D33)</f>
        <v>3300</v>
      </c>
      <c r="V33" s="323"/>
      <c r="W33" s="323"/>
      <c r="X33" s="323"/>
      <c r="Y33" s="323"/>
      <c r="Z33" s="323"/>
      <c r="AA33" s="323"/>
      <c r="AB33" s="323"/>
      <c r="AC33" s="323"/>
      <c r="AD33" s="323"/>
      <c r="AE33" s="322">
        <f>SUMIFS('Adv. Filter'!$CH$1:$CH$50000,'Adv. Filter'!$CC$1:$CC$50000,"Petrol  &amp; Trvl. Exp.",'Adv. Filter'!$CF$1:$CF$50000,"Bank",'Adv. Filter'!$CD$1:$CD$50000,$D33)</f>
        <v>0</v>
      </c>
      <c r="AF33" s="323"/>
      <c r="AG33" s="323"/>
      <c r="AH33" s="323"/>
      <c r="AI33" s="323"/>
      <c r="AJ33" s="323"/>
      <c r="AK33" s="323"/>
      <c r="AL33" s="323"/>
      <c r="AM33" s="323"/>
      <c r="AN33" s="324"/>
      <c r="AO33" s="323">
        <f t="shared" si="2"/>
        <v>3300</v>
      </c>
      <c r="AP33" s="323"/>
      <c r="AQ33" s="323"/>
      <c r="AR33" s="323"/>
      <c r="AS33" s="323"/>
      <c r="AT33" s="323"/>
      <c r="AU33" s="323"/>
      <c r="AV33" s="323"/>
      <c r="AW33" s="323"/>
      <c r="AX33" s="324"/>
      <c r="AY33" s="40"/>
      <c r="AZ33" s="1"/>
      <c r="BA33" s="43"/>
      <c r="BB33" s="361" t="s">
        <v>528</v>
      </c>
      <c r="BC33" s="361"/>
      <c r="BD33" s="361"/>
      <c r="BE33" s="361"/>
      <c r="BF33" s="361"/>
      <c r="BG33" s="361"/>
      <c r="BH33" s="361"/>
      <c r="BI33" s="361"/>
      <c r="BJ33" s="361"/>
      <c r="BK33" s="361"/>
      <c r="BL33" s="361"/>
      <c r="BM33" s="361"/>
      <c r="BN33" s="361"/>
      <c r="BO33" s="361"/>
      <c r="BP33" s="361"/>
      <c r="BQ33" s="361"/>
      <c r="BR33" s="361"/>
      <c r="BS33" s="373">
        <f>$T$375</f>
        <v>91000</v>
      </c>
      <c r="BT33" s="373"/>
      <c r="BU33" s="373"/>
      <c r="BV33" s="373"/>
      <c r="BW33" s="373"/>
      <c r="BX33" s="373"/>
      <c r="BY33" s="373"/>
      <c r="BZ33" s="373"/>
      <c r="CA33" s="373"/>
      <c r="CB33" s="373"/>
      <c r="CC33" s="373">
        <f>$AD$375</f>
        <v>524345</v>
      </c>
      <c r="CD33" s="373"/>
      <c r="CE33" s="373"/>
      <c r="CF33" s="373"/>
      <c r="CG33" s="373"/>
      <c r="CH33" s="373"/>
      <c r="CI33" s="373"/>
      <c r="CJ33" s="373"/>
      <c r="CK33" s="373"/>
      <c r="CL33" s="373"/>
      <c r="CM33" s="320">
        <f t="shared" si="1"/>
        <v>615345</v>
      </c>
      <c r="CN33" s="320"/>
      <c r="CO33" s="320"/>
      <c r="CP33" s="320"/>
      <c r="CQ33" s="320"/>
      <c r="CR33" s="320"/>
      <c r="CS33" s="320"/>
      <c r="CT33" s="320"/>
      <c r="CU33" s="320"/>
      <c r="CV33" s="320"/>
      <c r="CW33" s="40"/>
      <c r="CX33" s="1"/>
      <c r="DL33" s="107" t="s">
        <v>42</v>
      </c>
      <c r="DM33" s="109">
        <f>CM36</f>
        <v>672145</v>
      </c>
    </row>
    <row r="34" spans="3:117" ht="15" hidden="1" customHeight="1">
      <c r="C34" s="43"/>
      <c r="D34" s="325" t="s">
        <v>65</v>
      </c>
      <c r="E34" s="326"/>
      <c r="F34" s="326"/>
      <c r="G34" s="326"/>
      <c r="H34" s="326"/>
      <c r="I34" s="326"/>
      <c r="J34" s="326"/>
      <c r="K34" s="326"/>
      <c r="L34" s="326"/>
      <c r="M34" s="326"/>
      <c r="N34" s="326"/>
      <c r="O34" s="326"/>
      <c r="P34" s="326"/>
      <c r="Q34" s="326"/>
      <c r="R34" s="326"/>
      <c r="S34" s="326"/>
      <c r="T34" s="327"/>
      <c r="U34" s="323">
        <f>SUMIFS('Adv. Filter'!$CH$1:$CH$50000,'Adv. Filter'!$CC$1:$CC$50000,"Petrol  &amp; Trvl. Exp.",'Adv. Filter'!$CF$1:$CF$50000,"Cash",'Adv. Filter'!$CD$1:$CD$50000,$D34)</f>
        <v>4100</v>
      </c>
      <c r="V34" s="323"/>
      <c r="W34" s="323"/>
      <c r="X34" s="323"/>
      <c r="Y34" s="323"/>
      <c r="Z34" s="323"/>
      <c r="AA34" s="323"/>
      <c r="AB34" s="323"/>
      <c r="AC34" s="323"/>
      <c r="AD34" s="323"/>
      <c r="AE34" s="322">
        <f>SUMIFS('Adv. Filter'!$CH$1:$CH$50000,'Adv. Filter'!$CC$1:$CC$50000,"Petrol  &amp; Trvl. Exp.",'Adv. Filter'!$CF$1:$CF$50000,"Bank",'Adv. Filter'!$CD$1:$CD$50000,$D34)</f>
        <v>0</v>
      </c>
      <c r="AF34" s="323"/>
      <c r="AG34" s="323"/>
      <c r="AH34" s="323"/>
      <c r="AI34" s="323"/>
      <c r="AJ34" s="323"/>
      <c r="AK34" s="323"/>
      <c r="AL34" s="323"/>
      <c r="AM34" s="323"/>
      <c r="AN34" s="324"/>
      <c r="AO34" s="323">
        <f t="shared" si="2"/>
        <v>4100</v>
      </c>
      <c r="AP34" s="323"/>
      <c r="AQ34" s="323"/>
      <c r="AR34" s="323"/>
      <c r="AS34" s="323"/>
      <c r="AT34" s="323"/>
      <c r="AU34" s="323"/>
      <c r="AV34" s="323"/>
      <c r="AW34" s="323"/>
      <c r="AX34" s="324"/>
      <c r="AY34" s="40"/>
      <c r="AZ34" s="1"/>
      <c r="BA34" s="43"/>
      <c r="BB34" s="361" t="s">
        <v>527</v>
      </c>
      <c r="BC34" s="361"/>
      <c r="BD34" s="361"/>
      <c r="BE34" s="361"/>
      <c r="BF34" s="361"/>
      <c r="BG34" s="361"/>
      <c r="BH34" s="361"/>
      <c r="BI34" s="361"/>
      <c r="BJ34" s="361"/>
      <c r="BK34" s="361"/>
      <c r="BL34" s="361"/>
      <c r="BM34" s="361"/>
      <c r="BN34" s="361"/>
      <c r="BO34" s="361"/>
      <c r="BP34" s="361"/>
      <c r="BQ34" s="361"/>
      <c r="BR34" s="361"/>
      <c r="BS34" s="373">
        <f>$BP$375</f>
        <v>8000</v>
      </c>
      <c r="BT34" s="373"/>
      <c r="BU34" s="373"/>
      <c r="BV34" s="373"/>
      <c r="BW34" s="373"/>
      <c r="BX34" s="373"/>
      <c r="BY34" s="373"/>
      <c r="BZ34" s="373"/>
      <c r="CA34" s="373"/>
      <c r="CB34" s="373"/>
      <c r="CC34" s="373">
        <f>$BZ$375</f>
        <v>21000</v>
      </c>
      <c r="CD34" s="373"/>
      <c r="CE34" s="373"/>
      <c r="CF34" s="373"/>
      <c r="CG34" s="373"/>
      <c r="CH34" s="373"/>
      <c r="CI34" s="373"/>
      <c r="CJ34" s="373"/>
      <c r="CK34" s="373"/>
      <c r="CL34" s="373"/>
      <c r="CM34" s="320">
        <f t="shared" si="1"/>
        <v>29000</v>
      </c>
      <c r="CN34" s="320"/>
      <c r="CO34" s="320"/>
      <c r="CP34" s="320"/>
      <c r="CQ34" s="320"/>
      <c r="CR34" s="320"/>
      <c r="CS34" s="320"/>
      <c r="CT34" s="320"/>
      <c r="CU34" s="320"/>
      <c r="CV34" s="320"/>
      <c r="CW34" s="40"/>
      <c r="CX34" s="1"/>
      <c r="DL34" s="107" t="s">
        <v>85</v>
      </c>
      <c r="DM34" s="109">
        <f>CM47</f>
        <v>224585</v>
      </c>
    </row>
    <row r="35" spans="3:117" ht="15" hidden="1" customHeight="1" thickBot="1">
      <c r="C35" s="43"/>
      <c r="D35" s="325" t="s">
        <v>73</v>
      </c>
      <c r="E35" s="326"/>
      <c r="F35" s="326"/>
      <c r="G35" s="326"/>
      <c r="H35" s="326"/>
      <c r="I35" s="326"/>
      <c r="J35" s="326"/>
      <c r="K35" s="326"/>
      <c r="L35" s="326"/>
      <c r="M35" s="326"/>
      <c r="N35" s="326"/>
      <c r="O35" s="326"/>
      <c r="P35" s="326"/>
      <c r="Q35" s="326"/>
      <c r="R35" s="326"/>
      <c r="S35" s="326"/>
      <c r="T35" s="327"/>
      <c r="U35" s="323">
        <f>SUMIFS('Adv. Filter'!$CH$1:$CH$50000,'Adv. Filter'!$CC$1:$CC$50000,"Petrol  &amp; Trvl. Exp.",'Adv. Filter'!$CF$1:$CF$50000,"Cash",'Adv. Filter'!$CD$1:$CD$50000,$D35)</f>
        <v>4400</v>
      </c>
      <c r="V35" s="323"/>
      <c r="W35" s="323"/>
      <c r="X35" s="323"/>
      <c r="Y35" s="323"/>
      <c r="Z35" s="323"/>
      <c r="AA35" s="323"/>
      <c r="AB35" s="323"/>
      <c r="AC35" s="323"/>
      <c r="AD35" s="323"/>
      <c r="AE35" s="322">
        <f>SUMIFS('Adv. Filter'!$CH$1:$CH$50000,'Adv. Filter'!$CC$1:$CC$50000,"Petrol  &amp; Trvl. Exp.",'Adv. Filter'!$CF$1:$CF$50000,"Bank",'Adv. Filter'!$CD$1:$CD$50000,$D35)</f>
        <v>0</v>
      </c>
      <c r="AF35" s="323"/>
      <c r="AG35" s="323"/>
      <c r="AH35" s="323"/>
      <c r="AI35" s="323"/>
      <c r="AJ35" s="323"/>
      <c r="AK35" s="323"/>
      <c r="AL35" s="323"/>
      <c r="AM35" s="323"/>
      <c r="AN35" s="324"/>
      <c r="AO35" s="323">
        <f t="shared" si="2"/>
        <v>4400</v>
      </c>
      <c r="AP35" s="323"/>
      <c r="AQ35" s="323"/>
      <c r="AR35" s="323"/>
      <c r="AS35" s="323"/>
      <c r="AT35" s="323"/>
      <c r="AU35" s="323"/>
      <c r="AV35" s="323"/>
      <c r="AW35" s="323"/>
      <c r="AX35" s="324"/>
      <c r="AY35" s="40"/>
      <c r="AZ35" s="1"/>
      <c r="BA35" s="43"/>
      <c r="BB35" s="340" t="s">
        <v>329</v>
      </c>
      <c r="BC35" s="340"/>
      <c r="BD35" s="340"/>
      <c r="BE35" s="340"/>
      <c r="BF35" s="340"/>
      <c r="BG35" s="340"/>
      <c r="BH35" s="340"/>
      <c r="BI35" s="340"/>
      <c r="BJ35" s="340"/>
      <c r="BK35" s="340"/>
      <c r="BL35" s="340"/>
      <c r="BM35" s="340"/>
      <c r="BN35" s="340"/>
      <c r="BO35" s="340"/>
      <c r="BP35" s="340"/>
      <c r="BQ35" s="340"/>
      <c r="BR35" s="340"/>
      <c r="BS35" s="335">
        <f>$BK$382</f>
        <v>0</v>
      </c>
      <c r="BT35" s="336"/>
      <c r="BU35" s="336"/>
      <c r="BV35" s="336"/>
      <c r="BW35" s="336"/>
      <c r="BX35" s="336"/>
      <c r="BY35" s="336"/>
      <c r="BZ35" s="336"/>
      <c r="CA35" s="336"/>
      <c r="CB35" s="333"/>
      <c r="CC35" s="336">
        <f>$BX$382</f>
        <v>27800</v>
      </c>
      <c r="CD35" s="336"/>
      <c r="CE35" s="336"/>
      <c r="CF35" s="336"/>
      <c r="CG35" s="336"/>
      <c r="CH35" s="336"/>
      <c r="CI35" s="336"/>
      <c r="CJ35" s="336"/>
      <c r="CK35" s="336"/>
      <c r="CL35" s="336"/>
      <c r="CM35" s="336">
        <f t="shared" si="1"/>
        <v>27800</v>
      </c>
      <c r="CN35" s="336"/>
      <c r="CO35" s="336"/>
      <c r="CP35" s="336"/>
      <c r="CQ35" s="336"/>
      <c r="CR35" s="336"/>
      <c r="CS35" s="336"/>
      <c r="CT35" s="336"/>
      <c r="CU35" s="336"/>
      <c r="CV35" s="336"/>
      <c r="CW35" s="40"/>
      <c r="CX35" s="1"/>
      <c r="DL35" s="107" t="s">
        <v>79</v>
      </c>
      <c r="DM35" s="109">
        <f>CM57</f>
        <v>937650</v>
      </c>
    </row>
    <row r="36" spans="3:117" ht="15" hidden="1" customHeight="1" thickTop="1">
      <c r="C36" s="43"/>
      <c r="D36" s="325" t="s">
        <v>63</v>
      </c>
      <c r="E36" s="326"/>
      <c r="F36" s="326"/>
      <c r="G36" s="326"/>
      <c r="H36" s="326"/>
      <c r="I36" s="326"/>
      <c r="J36" s="326"/>
      <c r="K36" s="326"/>
      <c r="L36" s="326"/>
      <c r="M36" s="326"/>
      <c r="N36" s="326"/>
      <c r="O36" s="326"/>
      <c r="P36" s="326"/>
      <c r="Q36" s="326"/>
      <c r="R36" s="326"/>
      <c r="S36" s="326"/>
      <c r="T36" s="327"/>
      <c r="U36" s="323">
        <f>SUMIFS('Adv. Filter'!$CH$1:$CH$50000,'Adv. Filter'!$CC$1:$CC$50000,"Petrol  &amp; Trvl. Exp.",'Adv. Filter'!$CF$1:$CF$50000,"Cash",'Adv. Filter'!$CD$1:$CD$50000,$D36)</f>
        <v>5800</v>
      </c>
      <c r="V36" s="323"/>
      <c r="W36" s="323"/>
      <c r="X36" s="323"/>
      <c r="Y36" s="323"/>
      <c r="Z36" s="323"/>
      <c r="AA36" s="323"/>
      <c r="AB36" s="323"/>
      <c r="AC36" s="323"/>
      <c r="AD36" s="323"/>
      <c r="AE36" s="322">
        <f>SUMIFS('Adv. Filter'!$CH$1:$CH$50000,'Adv. Filter'!$CC$1:$CC$50000,"Petrol  &amp; Trvl. Exp.",'Adv. Filter'!$CF$1:$CF$50000,"Bank",'Adv. Filter'!$CD$1:$CD$50000,$D36)</f>
        <v>0</v>
      </c>
      <c r="AF36" s="323"/>
      <c r="AG36" s="323"/>
      <c r="AH36" s="323"/>
      <c r="AI36" s="323"/>
      <c r="AJ36" s="323"/>
      <c r="AK36" s="323"/>
      <c r="AL36" s="323"/>
      <c r="AM36" s="323"/>
      <c r="AN36" s="324"/>
      <c r="AO36" s="323">
        <f t="shared" si="2"/>
        <v>5800</v>
      </c>
      <c r="AP36" s="323"/>
      <c r="AQ36" s="323"/>
      <c r="AR36" s="323"/>
      <c r="AS36" s="323"/>
      <c r="AT36" s="323"/>
      <c r="AU36" s="323"/>
      <c r="AV36" s="323"/>
      <c r="AW36" s="323"/>
      <c r="AX36" s="324"/>
      <c r="AY36" s="40"/>
      <c r="AZ36" s="1"/>
      <c r="BA36" s="43"/>
      <c r="BB36" s="331" t="s">
        <v>503</v>
      </c>
      <c r="BC36" s="331"/>
      <c r="BD36" s="331"/>
      <c r="BE36" s="331"/>
      <c r="BF36" s="331"/>
      <c r="BG36" s="331"/>
      <c r="BH36" s="331"/>
      <c r="BI36" s="331"/>
      <c r="BJ36" s="331"/>
      <c r="BK36" s="331"/>
      <c r="BL36" s="331"/>
      <c r="BM36" s="331"/>
      <c r="BN36" s="331"/>
      <c r="BO36" s="331"/>
      <c r="BP36" s="331"/>
      <c r="BQ36" s="331"/>
      <c r="BR36" s="331"/>
      <c r="BS36" s="260">
        <f>SUM(BS33:CB35)</f>
        <v>99000</v>
      </c>
      <c r="BT36" s="332"/>
      <c r="BU36" s="332"/>
      <c r="BV36" s="332"/>
      <c r="BW36" s="332"/>
      <c r="BX36" s="332"/>
      <c r="BY36" s="332"/>
      <c r="BZ36" s="332"/>
      <c r="CA36" s="332"/>
      <c r="CB36" s="258"/>
      <c r="CC36" s="341">
        <f>SUM(CC33:CL35)</f>
        <v>573145</v>
      </c>
      <c r="CD36" s="341"/>
      <c r="CE36" s="341"/>
      <c r="CF36" s="341"/>
      <c r="CG36" s="341"/>
      <c r="CH36" s="341"/>
      <c r="CI36" s="341"/>
      <c r="CJ36" s="341"/>
      <c r="CK36" s="341"/>
      <c r="CL36" s="273"/>
      <c r="CM36" s="341">
        <f t="shared" si="1"/>
        <v>672145</v>
      </c>
      <c r="CN36" s="341"/>
      <c r="CO36" s="341"/>
      <c r="CP36" s="341"/>
      <c r="CQ36" s="341"/>
      <c r="CR36" s="341"/>
      <c r="CS36" s="341"/>
      <c r="CT36" s="341"/>
      <c r="CU36" s="341"/>
      <c r="CV36" s="341"/>
      <c r="CW36" s="40"/>
      <c r="CX36" s="1"/>
      <c r="DL36" s="107" t="s">
        <v>30</v>
      </c>
      <c r="DM36" s="109">
        <f>CM66</f>
        <v>356500</v>
      </c>
    </row>
    <row r="37" spans="3:117" ht="15" hidden="1" customHeight="1">
      <c r="C37" s="43"/>
      <c r="D37" s="325" t="s">
        <v>86</v>
      </c>
      <c r="E37" s="326"/>
      <c r="F37" s="326"/>
      <c r="G37" s="326"/>
      <c r="H37" s="326"/>
      <c r="I37" s="326"/>
      <c r="J37" s="326"/>
      <c r="K37" s="326"/>
      <c r="L37" s="326"/>
      <c r="M37" s="326"/>
      <c r="N37" s="326"/>
      <c r="O37" s="326"/>
      <c r="P37" s="326"/>
      <c r="Q37" s="326"/>
      <c r="R37" s="326"/>
      <c r="S37" s="326"/>
      <c r="T37" s="327"/>
      <c r="U37" s="323">
        <f>SUMIFS('Adv. Filter'!$CH$1:$CH$50000,'Adv. Filter'!$CC$1:$CC$50000,"Petrol  &amp; Trvl. Exp.",'Adv. Filter'!$CF$1:$CF$50000,"Cash",'Adv. Filter'!$CD$1:$CD$50000,$D37)</f>
        <v>5500</v>
      </c>
      <c r="V37" s="323"/>
      <c r="W37" s="323"/>
      <c r="X37" s="323"/>
      <c r="Y37" s="323"/>
      <c r="Z37" s="323"/>
      <c r="AA37" s="323"/>
      <c r="AB37" s="323"/>
      <c r="AC37" s="323"/>
      <c r="AD37" s="323"/>
      <c r="AE37" s="322">
        <f>SUMIFS('Adv. Filter'!$CH$1:$CH$50000,'Adv. Filter'!$CC$1:$CC$50000,"Petrol  &amp; Trvl. Exp.",'Adv. Filter'!$CF$1:$CF$50000,"Bank",'Adv. Filter'!$CD$1:$CD$50000,$D37)</f>
        <v>0</v>
      </c>
      <c r="AF37" s="323"/>
      <c r="AG37" s="323"/>
      <c r="AH37" s="323"/>
      <c r="AI37" s="323"/>
      <c r="AJ37" s="323"/>
      <c r="AK37" s="323"/>
      <c r="AL37" s="323"/>
      <c r="AM37" s="323"/>
      <c r="AN37" s="324"/>
      <c r="AO37" s="323">
        <f t="shared" si="2"/>
        <v>5500</v>
      </c>
      <c r="AP37" s="323"/>
      <c r="AQ37" s="323"/>
      <c r="AR37" s="323"/>
      <c r="AS37" s="323"/>
      <c r="AT37" s="323"/>
      <c r="AU37" s="323"/>
      <c r="AV37" s="323"/>
      <c r="AW37" s="323"/>
      <c r="AX37" s="324"/>
      <c r="AY37" s="40"/>
      <c r="AZ37" s="1"/>
      <c r="BA37" s="43"/>
      <c r="BB37" s="69"/>
      <c r="BC37" s="1"/>
      <c r="BD37" s="1"/>
      <c r="BE37" s="1"/>
      <c r="BF37" s="1"/>
      <c r="BG37" s="1"/>
      <c r="BH37" s="1"/>
      <c r="BI37" s="1"/>
      <c r="BJ37" s="1"/>
      <c r="BK37" s="1"/>
      <c r="BL37" s="1"/>
      <c r="BM37" s="1"/>
      <c r="BN37" s="1"/>
      <c r="BO37" s="1"/>
      <c r="BP37" s="1"/>
      <c r="BQ37" s="1"/>
      <c r="BR37" s="1"/>
      <c r="BS37" s="60"/>
      <c r="BT37" s="60"/>
      <c r="BU37" s="60"/>
      <c r="BV37" s="60"/>
      <c r="BW37" s="60"/>
      <c r="BX37" s="60"/>
      <c r="BY37" s="60"/>
      <c r="BZ37" s="60"/>
      <c r="CA37" s="60"/>
      <c r="CB37" s="60"/>
      <c r="CC37" s="60"/>
      <c r="CD37" s="60"/>
      <c r="CE37" s="60"/>
      <c r="CF37" s="60"/>
      <c r="CG37" s="60"/>
      <c r="CH37" s="60"/>
      <c r="CI37" s="60"/>
      <c r="CJ37" s="60"/>
      <c r="CK37" s="60"/>
      <c r="CL37" s="60"/>
      <c r="CM37" s="60"/>
      <c r="CN37" s="60"/>
      <c r="CO37" s="60"/>
      <c r="CP37" s="60"/>
      <c r="CQ37" s="60"/>
      <c r="CR37" s="60"/>
      <c r="CS37" s="60"/>
      <c r="CT37" s="60"/>
      <c r="CU37" s="60"/>
      <c r="CV37" s="60"/>
      <c r="CW37" s="40"/>
      <c r="CX37" s="1"/>
      <c r="DL37" s="107" t="s">
        <v>73</v>
      </c>
      <c r="DM37" s="109">
        <f>CM75</f>
        <v>0</v>
      </c>
    </row>
    <row r="38" spans="3:117" ht="15" hidden="1" customHeight="1">
      <c r="C38" s="43"/>
      <c r="D38" s="325" t="s">
        <v>79</v>
      </c>
      <c r="E38" s="326"/>
      <c r="F38" s="326"/>
      <c r="G38" s="326"/>
      <c r="H38" s="326"/>
      <c r="I38" s="326"/>
      <c r="J38" s="326"/>
      <c r="K38" s="326"/>
      <c r="L38" s="326"/>
      <c r="M38" s="326"/>
      <c r="N38" s="326"/>
      <c r="O38" s="326"/>
      <c r="P38" s="326"/>
      <c r="Q38" s="326"/>
      <c r="R38" s="326"/>
      <c r="S38" s="326"/>
      <c r="T38" s="327"/>
      <c r="U38" s="323">
        <f>SUMIFS('Adv. Filter'!$CH$1:$CH$50000,'Adv. Filter'!$CC$1:$CC$50000,"Petrol  &amp; Trvl. Exp.",'Adv. Filter'!$CF$1:$CF$50000,"Cash",'Adv. Filter'!$CD$1:$CD$50000,$D38)</f>
        <v>4300</v>
      </c>
      <c r="V38" s="323"/>
      <c r="W38" s="323"/>
      <c r="X38" s="323"/>
      <c r="Y38" s="323"/>
      <c r="Z38" s="323"/>
      <c r="AA38" s="323"/>
      <c r="AB38" s="323"/>
      <c r="AC38" s="323"/>
      <c r="AD38" s="323"/>
      <c r="AE38" s="322">
        <f>SUMIFS('Adv. Filter'!$CH$1:$CH$50000,'Adv. Filter'!$CC$1:$CC$50000,"Petrol  &amp; Trvl. Exp.",'Adv. Filter'!$CF$1:$CF$50000,"Bank",'Adv. Filter'!$CD$1:$CD$50000,$D38)</f>
        <v>0</v>
      </c>
      <c r="AF38" s="323"/>
      <c r="AG38" s="323"/>
      <c r="AH38" s="323"/>
      <c r="AI38" s="323"/>
      <c r="AJ38" s="323"/>
      <c r="AK38" s="323"/>
      <c r="AL38" s="323"/>
      <c r="AM38" s="323"/>
      <c r="AN38" s="324"/>
      <c r="AO38" s="323">
        <f t="shared" si="2"/>
        <v>4300</v>
      </c>
      <c r="AP38" s="323"/>
      <c r="AQ38" s="323"/>
      <c r="AR38" s="323"/>
      <c r="AS38" s="323"/>
      <c r="AT38" s="323"/>
      <c r="AU38" s="323"/>
      <c r="AV38" s="323"/>
      <c r="AW38" s="323"/>
      <c r="AX38" s="324"/>
      <c r="AY38" s="40"/>
      <c r="AZ38" s="1"/>
      <c r="BA38" s="43"/>
      <c r="BB38" s="374" t="s">
        <v>517</v>
      </c>
      <c r="BC38" s="375"/>
      <c r="BD38" s="375"/>
      <c r="BE38" s="375"/>
      <c r="BF38" s="375"/>
      <c r="BG38" s="375"/>
      <c r="BH38" s="375"/>
      <c r="BI38" s="375"/>
      <c r="BJ38" s="375"/>
      <c r="BK38" s="375"/>
      <c r="BL38" s="375"/>
      <c r="BM38" s="375"/>
      <c r="BN38" s="375"/>
      <c r="BO38" s="375"/>
      <c r="BP38" s="375"/>
      <c r="BQ38" s="375"/>
      <c r="BR38" s="376"/>
      <c r="BS38" s="359" t="s">
        <v>494</v>
      </c>
      <c r="BT38" s="359"/>
      <c r="BU38" s="359"/>
      <c r="BV38" s="359"/>
      <c r="BW38" s="359"/>
      <c r="BX38" s="359"/>
      <c r="BY38" s="359"/>
      <c r="BZ38" s="359"/>
      <c r="CA38" s="359"/>
      <c r="CB38" s="359"/>
      <c r="CC38" s="359" t="s">
        <v>530</v>
      </c>
      <c r="CD38" s="359"/>
      <c r="CE38" s="359"/>
      <c r="CF38" s="359"/>
      <c r="CG38" s="359"/>
      <c r="CH38" s="359"/>
      <c r="CI38" s="359"/>
      <c r="CJ38" s="359"/>
      <c r="CK38" s="359"/>
      <c r="CL38" s="359"/>
      <c r="CM38" s="359" t="s">
        <v>503</v>
      </c>
      <c r="CN38" s="359"/>
      <c r="CO38" s="359"/>
      <c r="CP38" s="359"/>
      <c r="CQ38" s="359"/>
      <c r="CR38" s="359"/>
      <c r="CS38" s="359"/>
      <c r="CT38" s="359"/>
      <c r="CU38" s="359"/>
      <c r="CV38" s="359"/>
      <c r="CW38" s="40"/>
      <c r="CX38" s="1"/>
    </row>
    <row r="39" spans="3:117" ht="15" hidden="1" customHeight="1">
      <c r="C39" s="43"/>
      <c r="D39" s="325" t="s">
        <v>98</v>
      </c>
      <c r="E39" s="326"/>
      <c r="F39" s="326"/>
      <c r="G39" s="326"/>
      <c r="H39" s="326"/>
      <c r="I39" s="326"/>
      <c r="J39" s="326"/>
      <c r="K39" s="326"/>
      <c r="L39" s="326"/>
      <c r="M39" s="326"/>
      <c r="N39" s="326"/>
      <c r="O39" s="326"/>
      <c r="P39" s="326"/>
      <c r="Q39" s="326"/>
      <c r="R39" s="326"/>
      <c r="S39" s="326"/>
      <c r="T39" s="327"/>
      <c r="U39" s="323">
        <f>SUMIFS('Adv. Filter'!$CH$1:$CH$50000,'Adv. Filter'!$CC$1:$CC$50000,"Petrol  &amp; Trvl. Exp.",'Adv. Filter'!$CF$1:$CF$50000,"Cash",'Adv. Filter'!$CD$1:$CD$50000,$D39)</f>
        <v>3300</v>
      </c>
      <c r="V39" s="323"/>
      <c r="W39" s="323"/>
      <c r="X39" s="323"/>
      <c r="Y39" s="323"/>
      <c r="Z39" s="323"/>
      <c r="AA39" s="323"/>
      <c r="AB39" s="323"/>
      <c r="AC39" s="323"/>
      <c r="AD39" s="323"/>
      <c r="AE39" s="322">
        <f>SUMIFS('Adv. Filter'!$CH$1:$CH$50000,'Adv. Filter'!$CC$1:$CC$50000,"Petrol  &amp; Trvl. Exp.",'Adv. Filter'!$CF$1:$CF$50000,"Bank",'Adv. Filter'!$CD$1:$CD$50000,$D39)</f>
        <v>0</v>
      </c>
      <c r="AF39" s="323"/>
      <c r="AG39" s="323"/>
      <c r="AH39" s="323"/>
      <c r="AI39" s="323"/>
      <c r="AJ39" s="323"/>
      <c r="AK39" s="323"/>
      <c r="AL39" s="323"/>
      <c r="AM39" s="323"/>
      <c r="AN39" s="324"/>
      <c r="AO39" s="323">
        <f t="shared" si="2"/>
        <v>3300</v>
      </c>
      <c r="AP39" s="323"/>
      <c r="AQ39" s="323"/>
      <c r="AR39" s="323"/>
      <c r="AS39" s="323"/>
      <c r="AT39" s="323"/>
      <c r="AU39" s="323"/>
      <c r="AV39" s="323"/>
      <c r="AW39" s="323"/>
      <c r="AX39" s="324"/>
      <c r="AY39" s="40"/>
      <c r="AZ39" s="1"/>
      <c r="BA39" s="43"/>
      <c r="BB39" s="325" t="s">
        <v>70</v>
      </c>
      <c r="BC39" s="326"/>
      <c r="BD39" s="326"/>
      <c r="BE39" s="326"/>
      <c r="BF39" s="326"/>
      <c r="BG39" s="326"/>
      <c r="BH39" s="326"/>
      <c r="BI39" s="326"/>
      <c r="BJ39" s="326"/>
      <c r="BK39" s="326"/>
      <c r="BL39" s="326"/>
      <c r="BM39" s="326"/>
      <c r="BN39" s="326"/>
      <c r="BO39" s="326"/>
      <c r="BP39" s="326"/>
      <c r="BQ39" s="326"/>
      <c r="BR39" s="327"/>
      <c r="BS39" s="328">
        <f>$T$474+$T$477</f>
        <v>0</v>
      </c>
      <c r="BT39" s="329"/>
      <c r="BU39" s="329"/>
      <c r="BV39" s="329"/>
      <c r="BW39" s="329"/>
      <c r="BX39" s="329"/>
      <c r="BY39" s="329"/>
      <c r="BZ39" s="329"/>
      <c r="CA39" s="329"/>
      <c r="CB39" s="330"/>
      <c r="CC39" s="328">
        <f>$AD$474+$AD$477</f>
        <v>72495</v>
      </c>
      <c r="CD39" s="329"/>
      <c r="CE39" s="329"/>
      <c r="CF39" s="329"/>
      <c r="CG39" s="329"/>
      <c r="CH39" s="329"/>
      <c r="CI39" s="329"/>
      <c r="CJ39" s="329"/>
      <c r="CK39" s="329"/>
      <c r="CL39" s="330"/>
      <c r="CM39" s="323">
        <f t="shared" ref="CM39:CM47" si="3">BS39+CC39</f>
        <v>72495</v>
      </c>
      <c r="CN39" s="323"/>
      <c r="CO39" s="323"/>
      <c r="CP39" s="323"/>
      <c r="CQ39" s="323"/>
      <c r="CR39" s="323"/>
      <c r="CS39" s="323"/>
      <c r="CT39" s="323"/>
      <c r="CU39" s="323"/>
      <c r="CV39" s="324"/>
      <c r="CW39" s="40"/>
      <c r="CX39" s="1"/>
    </row>
    <row r="40" spans="3:117" ht="15" hidden="1" customHeight="1">
      <c r="C40" s="43"/>
      <c r="D40" s="325" t="s">
        <v>176</v>
      </c>
      <c r="E40" s="326"/>
      <c r="F40" s="326"/>
      <c r="G40" s="326"/>
      <c r="H40" s="326"/>
      <c r="I40" s="326"/>
      <c r="J40" s="326"/>
      <c r="K40" s="326"/>
      <c r="L40" s="326"/>
      <c r="M40" s="326"/>
      <c r="N40" s="326"/>
      <c r="O40" s="326"/>
      <c r="P40" s="326"/>
      <c r="Q40" s="326"/>
      <c r="R40" s="326"/>
      <c r="S40" s="326"/>
      <c r="T40" s="327"/>
      <c r="U40" s="323">
        <f>SUMIFS('Adv. Filter'!$CH$1:$CH$50000,'Adv. Filter'!$CC$1:$CC$50000,"Petrol  &amp; Trvl. Exp.",'Adv. Filter'!$CF$1:$CF$50000,"Cash",'Adv. Filter'!$CD$1:$CD$50000,$D40)</f>
        <v>3900</v>
      </c>
      <c r="V40" s="323"/>
      <c r="W40" s="323"/>
      <c r="X40" s="323"/>
      <c r="Y40" s="323"/>
      <c r="Z40" s="323"/>
      <c r="AA40" s="323"/>
      <c r="AB40" s="323"/>
      <c r="AC40" s="323"/>
      <c r="AD40" s="323"/>
      <c r="AE40" s="322">
        <f>SUMIFS('Adv. Filter'!$CH$1:$CH$50000,'Adv. Filter'!$CC$1:$CC$50000,"Petrol  &amp; Trvl. Exp.",'Adv. Filter'!$CF$1:$CF$50000,"Bank",'Adv. Filter'!$CD$1:$CD$50000,$D40)</f>
        <v>0</v>
      </c>
      <c r="AF40" s="323"/>
      <c r="AG40" s="323"/>
      <c r="AH40" s="323"/>
      <c r="AI40" s="323"/>
      <c r="AJ40" s="323"/>
      <c r="AK40" s="323"/>
      <c r="AL40" s="323"/>
      <c r="AM40" s="323"/>
      <c r="AN40" s="324"/>
      <c r="AO40" s="323">
        <f t="shared" si="2"/>
        <v>3900</v>
      </c>
      <c r="AP40" s="323"/>
      <c r="AQ40" s="323"/>
      <c r="AR40" s="323"/>
      <c r="AS40" s="323"/>
      <c r="AT40" s="323"/>
      <c r="AU40" s="323"/>
      <c r="AV40" s="323"/>
      <c r="AW40" s="323"/>
      <c r="AX40" s="324"/>
      <c r="AY40" s="40"/>
      <c r="AZ40" s="1"/>
      <c r="BA40" s="43"/>
      <c r="BB40" s="325" t="s">
        <v>77</v>
      </c>
      <c r="BC40" s="326"/>
      <c r="BD40" s="326"/>
      <c r="BE40" s="326"/>
      <c r="BF40" s="326"/>
      <c r="BG40" s="326"/>
      <c r="BH40" s="326"/>
      <c r="BI40" s="326"/>
      <c r="BJ40" s="326"/>
      <c r="BK40" s="326"/>
      <c r="BL40" s="326"/>
      <c r="BM40" s="326"/>
      <c r="BN40" s="326"/>
      <c r="BO40" s="326"/>
      <c r="BP40" s="326"/>
      <c r="BQ40" s="326"/>
      <c r="BR40" s="327"/>
      <c r="BS40" s="328">
        <f>$T$478+$T$481</f>
        <v>13000</v>
      </c>
      <c r="BT40" s="329"/>
      <c r="BU40" s="329"/>
      <c r="BV40" s="329"/>
      <c r="BW40" s="329"/>
      <c r="BX40" s="329"/>
      <c r="BY40" s="329"/>
      <c r="BZ40" s="329"/>
      <c r="CA40" s="329"/>
      <c r="CB40" s="330"/>
      <c r="CC40" s="328">
        <f>$AD$478+$AD$481</f>
        <v>29925</v>
      </c>
      <c r="CD40" s="329"/>
      <c r="CE40" s="329"/>
      <c r="CF40" s="329"/>
      <c r="CG40" s="329"/>
      <c r="CH40" s="329"/>
      <c r="CI40" s="329"/>
      <c r="CJ40" s="329"/>
      <c r="CK40" s="329"/>
      <c r="CL40" s="330"/>
      <c r="CM40" s="323">
        <f t="shared" si="3"/>
        <v>42925</v>
      </c>
      <c r="CN40" s="323"/>
      <c r="CO40" s="323"/>
      <c r="CP40" s="323"/>
      <c r="CQ40" s="323"/>
      <c r="CR40" s="323"/>
      <c r="CS40" s="323"/>
      <c r="CT40" s="323"/>
      <c r="CU40" s="323"/>
      <c r="CV40" s="324"/>
      <c r="CW40" s="40"/>
      <c r="CX40" s="1"/>
    </row>
    <row r="41" spans="3:117" ht="15" hidden="1" customHeight="1">
      <c r="C41" s="43"/>
      <c r="D41" s="325" t="s">
        <v>88</v>
      </c>
      <c r="E41" s="326"/>
      <c r="F41" s="326"/>
      <c r="G41" s="326"/>
      <c r="H41" s="326"/>
      <c r="I41" s="326"/>
      <c r="J41" s="326"/>
      <c r="K41" s="326"/>
      <c r="L41" s="326"/>
      <c r="M41" s="326"/>
      <c r="N41" s="326"/>
      <c r="O41" s="326"/>
      <c r="P41" s="326"/>
      <c r="Q41" s="326"/>
      <c r="R41" s="326"/>
      <c r="S41" s="326"/>
      <c r="T41" s="327"/>
      <c r="U41" s="323">
        <f>SUMIFS('Adv. Filter'!$CH$1:$CH$50000,'Adv. Filter'!$CC$1:$CC$50000,"Petrol  &amp; Trvl. Exp.",'Adv. Filter'!$CF$1:$CF$50000,"Cash",'Adv. Filter'!$CD$1:$CD$50000,$D41)</f>
        <v>4450</v>
      </c>
      <c r="V41" s="323"/>
      <c r="W41" s="323"/>
      <c r="X41" s="323"/>
      <c r="Y41" s="323"/>
      <c r="Z41" s="323"/>
      <c r="AA41" s="323"/>
      <c r="AB41" s="323"/>
      <c r="AC41" s="323"/>
      <c r="AD41" s="323"/>
      <c r="AE41" s="322">
        <f>SUMIFS('Adv. Filter'!$CH$1:$CH$50000,'Adv. Filter'!$CC$1:$CC$50000,"Petrol  &amp; Trvl. Exp.",'Adv. Filter'!$CF$1:$CF$50000,"Bank",'Adv. Filter'!$CD$1:$CD$50000,$D41)</f>
        <v>0</v>
      </c>
      <c r="AF41" s="323"/>
      <c r="AG41" s="323"/>
      <c r="AH41" s="323"/>
      <c r="AI41" s="323"/>
      <c r="AJ41" s="323"/>
      <c r="AK41" s="323"/>
      <c r="AL41" s="323"/>
      <c r="AM41" s="323"/>
      <c r="AN41" s="324"/>
      <c r="AO41" s="323">
        <f t="shared" si="2"/>
        <v>4450</v>
      </c>
      <c r="AP41" s="323"/>
      <c r="AQ41" s="323"/>
      <c r="AR41" s="323"/>
      <c r="AS41" s="323"/>
      <c r="AT41" s="323"/>
      <c r="AU41" s="323"/>
      <c r="AV41" s="323"/>
      <c r="AW41" s="323"/>
      <c r="AX41" s="324"/>
      <c r="AY41" s="40"/>
      <c r="AZ41" s="1"/>
      <c r="BA41" s="43"/>
      <c r="BB41" s="325" t="s">
        <v>84</v>
      </c>
      <c r="BC41" s="326"/>
      <c r="BD41" s="326"/>
      <c r="BE41" s="326"/>
      <c r="BF41" s="326"/>
      <c r="BG41" s="326"/>
      <c r="BH41" s="326"/>
      <c r="BI41" s="326"/>
      <c r="BJ41" s="326"/>
      <c r="BK41" s="326"/>
      <c r="BL41" s="326"/>
      <c r="BM41" s="326"/>
      <c r="BN41" s="326"/>
      <c r="BO41" s="326"/>
      <c r="BP41" s="326"/>
      <c r="BQ41" s="326"/>
      <c r="BR41" s="327"/>
      <c r="BS41" s="328">
        <f>$T$486+$T$489</f>
        <v>4500</v>
      </c>
      <c r="BT41" s="329"/>
      <c r="BU41" s="329"/>
      <c r="BV41" s="329"/>
      <c r="BW41" s="329"/>
      <c r="BX41" s="329"/>
      <c r="BY41" s="329"/>
      <c r="BZ41" s="329"/>
      <c r="CA41" s="329"/>
      <c r="CB41" s="330"/>
      <c r="CC41" s="328">
        <f>$AD$486+$AD$489</f>
        <v>0</v>
      </c>
      <c r="CD41" s="329"/>
      <c r="CE41" s="329"/>
      <c r="CF41" s="329"/>
      <c r="CG41" s="329"/>
      <c r="CH41" s="329"/>
      <c r="CI41" s="329"/>
      <c r="CJ41" s="329"/>
      <c r="CK41" s="329"/>
      <c r="CL41" s="330"/>
      <c r="CM41" s="323">
        <f t="shared" si="3"/>
        <v>4500</v>
      </c>
      <c r="CN41" s="323"/>
      <c r="CO41" s="323"/>
      <c r="CP41" s="323"/>
      <c r="CQ41" s="323"/>
      <c r="CR41" s="323"/>
      <c r="CS41" s="323"/>
      <c r="CT41" s="323"/>
      <c r="CU41" s="323"/>
      <c r="CV41" s="324"/>
      <c r="CW41" s="40"/>
      <c r="CX41" s="1"/>
    </row>
    <row r="42" spans="3:117" ht="15" hidden="1" customHeight="1">
      <c r="C42" s="43"/>
      <c r="D42" s="325" t="s">
        <v>85</v>
      </c>
      <c r="E42" s="326"/>
      <c r="F42" s="326"/>
      <c r="G42" s="326"/>
      <c r="H42" s="326"/>
      <c r="I42" s="326"/>
      <c r="J42" s="326"/>
      <c r="K42" s="326"/>
      <c r="L42" s="326"/>
      <c r="M42" s="326"/>
      <c r="N42" s="326"/>
      <c r="O42" s="326"/>
      <c r="P42" s="326"/>
      <c r="Q42" s="326"/>
      <c r="R42" s="326"/>
      <c r="S42" s="326"/>
      <c r="T42" s="327"/>
      <c r="U42" s="323">
        <f>SUMIFS('Adv. Filter'!$CH$1:$CH$50000,'Adv. Filter'!$CC$1:$CC$50000,"Petrol  &amp; Trvl. Exp.",'Adv. Filter'!$CF$1:$CF$50000,"Cash",'Adv. Filter'!$CD$1:$CD$50000,$D42)</f>
        <v>5500</v>
      </c>
      <c r="V42" s="323"/>
      <c r="W42" s="323"/>
      <c r="X42" s="323"/>
      <c r="Y42" s="323"/>
      <c r="Z42" s="323"/>
      <c r="AA42" s="323"/>
      <c r="AB42" s="323"/>
      <c r="AC42" s="323"/>
      <c r="AD42" s="323"/>
      <c r="AE42" s="322">
        <f>SUMIFS('Adv. Filter'!$CH$1:$CH$50000,'Adv. Filter'!$CC$1:$CC$50000,"Petrol  &amp; Trvl. Exp.",'Adv. Filter'!$CF$1:$CF$50000,"Bank",'Adv. Filter'!$CD$1:$CD$50000,$D42)</f>
        <v>0</v>
      </c>
      <c r="AF42" s="323"/>
      <c r="AG42" s="323"/>
      <c r="AH42" s="323"/>
      <c r="AI42" s="323"/>
      <c r="AJ42" s="323"/>
      <c r="AK42" s="323"/>
      <c r="AL42" s="323"/>
      <c r="AM42" s="323"/>
      <c r="AN42" s="324"/>
      <c r="AO42" s="323">
        <f t="shared" si="2"/>
        <v>5500</v>
      </c>
      <c r="AP42" s="323"/>
      <c r="AQ42" s="323"/>
      <c r="AR42" s="323"/>
      <c r="AS42" s="323"/>
      <c r="AT42" s="323"/>
      <c r="AU42" s="323"/>
      <c r="AV42" s="323"/>
      <c r="AW42" s="323"/>
      <c r="AX42" s="324"/>
      <c r="AY42" s="40"/>
      <c r="AZ42" s="1"/>
      <c r="BA42" s="43"/>
      <c r="BB42" s="325" t="s">
        <v>551</v>
      </c>
      <c r="BC42" s="326"/>
      <c r="BD42" s="326"/>
      <c r="BE42" s="326"/>
      <c r="BF42" s="326"/>
      <c r="BG42" s="326"/>
      <c r="BH42" s="326"/>
      <c r="BI42" s="326"/>
      <c r="BJ42" s="326"/>
      <c r="BK42" s="326"/>
      <c r="BL42" s="326"/>
      <c r="BM42" s="326"/>
      <c r="BN42" s="326"/>
      <c r="BO42" s="326"/>
      <c r="BP42" s="326"/>
      <c r="BQ42" s="326"/>
      <c r="BR42" s="327"/>
      <c r="BS42" s="328">
        <f>$T$490</f>
        <v>36000</v>
      </c>
      <c r="BT42" s="329"/>
      <c r="BU42" s="329"/>
      <c r="BV42" s="329"/>
      <c r="BW42" s="329"/>
      <c r="BX42" s="329"/>
      <c r="BY42" s="329"/>
      <c r="BZ42" s="329"/>
      <c r="CA42" s="329"/>
      <c r="CB42" s="330"/>
      <c r="CC42" s="328">
        <f>$AD$490</f>
        <v>24000</v>
      </c>
      <c r="CD42" s="329"/>
      <c r="CE42" s="329"/>
      <c r="CF42" s="329"/>
      <c r="CG42" s="329"/>
      <c r="CH42" s="329"/>
      <c r="CI42" s="329"/>
      <c r="CJ42" s="329"/>
      <c r="CK42" s="329"/>
      <c r="CL42" s="330"/>
      <c r="CM42" s="323">
        <f t="shared" si="3"/>
        <v>60000</v>
      </c>
      <c r="CN42" s="323"/>
      <c r="CO42" s="323"/>
      <c r="CP42" s="323"/>
      <c r="CQ42" s="323"/>
      <c r="CR42" s="323"/>
      <c r="CS42" s="323"/>
      <c r="CT42" s="323"/>
      <c r="CU42" s="323"/>
      <c r="CV42" s="324"/>
      <c r="CW42" s="40"/>
      <c r="CX42" s="1"/>
    </row>
    <row r="43" spans="3:117" ht="15" hidden="1" customHeight="1">
      <c r="C43" s="43"/>
      <c r="D43" s="325" t="s">
        <v>112</v>
      </c>
      <c r="E43" s="326"/>
      <c r="F43" s="326"/>
      <c r="G43" s="326"/>
      <c r="H43" s="326"/>
      <c r="I43" s="326"/>
      <c r="J43" s="326"/>
      <c r="K43" s="326"/>
      <c r="L43" s="326"/>
      <c r="M43" s="326"/>
      <c r="N43" s="326"/>
      <c r="O43" s="326"/>
      <c r="P43" s="326"/>
      <c r="Q43" s="326"/>
      <c r="R43" s="326"/>
      <c r="S43" s="326"/>
      <c r="T43" s="327"/>
      <c r="U43" s="323">
        <f>SUMIFS('Adv. Filter'!$CH$1:$CH$50000,'Adv. Filter'!$CC$1:$CC$50000,"Petrol  &amp; Trvl. Exp.",'Adv. Filter'!$CF$1:$CF$50000,"Cash",'Adv. Filter'!$CD$1:$CD$50000,$D43)</f>
        <v>5300</v>
      </c>
      <c r="V43" s="323"/>
      <c r="W43" s="323"/>
      <c r="X43" s="323"/>
      <c r="Y43" s="323"/>
      <c r="Z43" s="323"/>
      <c r="AA43" s="323"/>
      <c r="AB43" s="323"/>
      <c r="AC43" s="323"/>
      <c r="AD43" s="323"/>
      <c r="AE43" s="322">
        <f>SUMIFS('Adv. Filter'!$CH$1:$CH$50000,'Adv. Filter'!$CC$1:$CC$50000,"Petrol  &amp; Trvl. Exp.",'Adv. Filter'!$CF$1:$CF$50000,"Bank",'Adv. Filter'!$CD$1:$CD$50000,$D43)</f>
        <v>0</v>
      </c>
      <c r="AF43" s="323"/>
      <c r="AG43" s="323"/>
      <c r="AH43" s="323"/>
      <c r="AI43" s="323"/>
      <c r="AJ43" s="323"/>
      <c r="AK43" s="323"/>
      <c r="AL43" s="323"/>
      <c r="AM43" s="323"/>
      <c r="AN43" s="324"/>
      <c r="AO43" s="323">
        <f t="shared" si="2"/>
        <v>5300</v>
      </c>
      <c r="AP43" s="323"/>
      <c r="AQ43" s="323"/>
      <c r="AR43" s="323"/>
      <c r="AS43" s="323"/>
      <c r="AT43" s="323"/>
      <c r="AU43" s="323"/>
      <c r="AV43" s="323"/>
      <c r="AW43" s="323"/>
      <c r="AX43" s="324"/>
      <c r="AY43" s="40"/>
      <c r="AZ43" s="1"/>
      <c r="BA43" s="43"/>
      <c r="BB43" s="325" t="s">
        <v>529</v>
      </c>
      <c r="BC43" s="326"/>
      <c r="BD43" s="326"/>
      <c r="BE43" s="326"/>
      <c r="BF43" s="326"/>
      <c r="BG43" s="326"/>
      <c r="BH43" s="326"/>
      <c r="BI43" s="326"/>
      <c r="BJ43" s="326"/>
      <c r="BK43" s="326"/>
      <c r="BL43" s="326"/>
      <c r="BM43" s="326"/>
      <c r="BN43" s="326"/>
      <c r="BO43" s="326"/>
      <c r="BP43" s="326"/>
      <c r="BQ43" s="326"/>
      <c r="BR43" s="327"/>
      <c r="BS43" s="328">
        <f>$T$525-BS40-BS41-BS42-BS39</f>
        <v>0</v>
      </c>
      <c r="BT43" s="329"/>
      <c r="BU43" s="329"/>
      <c r="BV43" s="329"/>
      <c r="BW43" s="329"/>
      <c r="BX43" s="329"/>
      <c r="BY43" s="329"/>
      <c r="BZ43" s="329"/>
      <c r="CA43" s="329"/>
      <c r="CB43" s="330"/>
      <c r="CC43" s="328">
        <f>$AD$525-CC40-CC41-CC42-CC39</f>
        <v>0</v>
      </c>
      <c r="CD43" s="329"/>
      <c r="CE43" s="329"/>
      <c r="CF43" s="329"/>
      <c r="CG43" s="329"/>
      <c r="CH43" s="329"/>
      <c r="CI43" s="329"/>
      <c r="CJ43" s="329"/>
      <c r="CK43" s="329"/>
      <c r="CL43" s="330"/>
      <c r="CM43" s="323">
        <f t="shared" si="3"/>
        <v>0</v>
      </c>
      <c r="CN43" s="323"/>
      <c r="CO43" s="323"/>
      <c r="CP43" s="323"/>
      <c r="CQ43" s="323"/>
      <c r="CR43" s="323"/>
      <c r="CS43" s="323"/>
      <c r="CT43" s="323"/>
      <c r="CU43" s="323"/>
      <c r="CV43" s="324"/>
      <c r="CW43" s="40"/>
      <c r="CX43" s="1"/>
    </row>
    <row r="44" spans="3:117" ht="15" hidden="1" customHeight="1" thickBot="1">
      <c r="C44" s="43"/>
      <c r="D44" s="377" t="s">
        <v>178</v>
      </c>
      <c r="E44" s="378"/>
      <c r="F44" s="378"/>
      <c r="G44" s="378"/>
      <c r="H44" s="378"/>
      <c r="I44" s="378"/>
      <c r="J44" s="378"/>
      <c r="K44" s="378"/>
      <c r="L44" s="378"/>
      <c r="M44" s="378"/>
      <c r="N44" s="378"/>
      <c r="O44" s="378"/>
      <c r="P44" s="378"/>
      <c r="Q44" s="378"/>
      <c r="R44" s="378"/>
      <c r="S44" s="378"/>
      <c r="T44" s="379"/>
      <c r="U44" s="323">
        <f>SUMIFS('Adv. Filter'!$CH$1:$CH$50000,'Adv. Filter'!$CC$1:$CC$50000,"Petrol  &amp; Trvl. Exp.",'Adv. Filter'!$CF$1:$CF$50000,"Cash",'Adv. Filter'!$CD$1:$CD$50000,$D44)</f>
        <v>300</v>
      </c>
      <c r="V44" s="323"/>
      <c r="W44" s="323"/>
      <c r="X44" s="323"/>
      <c r="Y44" s="323"/>
      <c r="Z44" s="323"/>
      <c r="AA44" s="323"/>
      <c r="AB44" s="323"/>
      <c r="AC44" s="323"/>
      <c r="AD44" s="323"/>
      <c r="AE44" s="322">
        <f>SUMIFS('Adv. Filter'!$CH$1:$CH$50000,'Adv. Filter'!$CC$1:$CC$50000,"Petrol  &amp; Trvl. Exp.",'Adv. Filter'!$CF$1:$CF$50000,"Bank",'Adv. Filter'!$CD$1:$CD$50000,$D44)</f>
        <v>0</v>
      </c>
      <c r="AF44" s="323"/>
      <c r="AG44" s="323"/>
      <c r="AH44" s="323"/>
      <c r="AI44" s="323"/>
      <c r="AJ44" s="323"/>
      <c r="AK44" s="323"/>
      <c r="AL44" s="323"/>
      <c r="AM44" s="323"/>
      <c r="AN44" s="324"/>
      <c r="AO44" s="365">
        <f t="shared" si="2"/>
        <v>300</v>
      </c>
      <c r="AP44" s="346"/>
      <c r="AQ44" s="346"/>
      <c r="AR44" s="346"/>
      <c r="AS44" s="346"/>
      <c r="AT44" s="346"/>
      <c r="AU44" s="346"/>
      <c r="AV44" s="346"/>
      <c r="AW44" s="346"/>
      <c r="AX44" s="366"/>
      <c r="AY44" s="40"/>
      <c r="AZ44" s="1"/>
      <c r="BA44" s="43"/>
      <c r="BB44" s="361" t="s">
        <v>528</v>
      </c>
      <c r="BC44" s="361"/>
      <c r="BD44" s="361"/>
      <c r="BE44" s="361"/>
      <c r="BF44" s="361"/>
      <c r="BG44" s="361"/>
      <c r="BH44" s="361"/>
      <c r="BI44" s="361"/>
      <c r="BJ44" s="361"/>
      <c r="BK44" s="361"/>
      <c r="BL44" s="361"/>
      <c r="BM44" s="361"/>
      <c r="BN44" s="361"/>
      <c r="BO44" s="361"/>
      <c r="BP44" s="361"/>
      <c r="BQ44" s="361"/>
      <c r="BR44" s="361"/>
      <c r="BS44" s="373">
        <f>$T$525</f>
        <v>53500</v>
      </c>
      <c r="BT44" s="373"/>
      <c r="BU44" s="373"/>
      <c r="BV44" s="373"/>
      <c r="BW44" s="373"/>
      <c r="BX44" s="373"/>
      <c r="BY44" s="373"/>
      <c r="BZ44" s="373"/>
      <c r="CA44" s="373"/>
      <c r="CB44" s="373"/>
      <c r="CC44" s="373">
        <f>$AD$525</f>
        <v>126420</v>
      </c>
      <c r="CD44" s="373"/>
      <c r="CE44" s="373"/>
      <c r="CF44" s="373"/>
      <c r="CG44" s="373"/>
      <c r="CH44" s="373"/>
      <c r="CI44" s="373"/>
      <c r="CJ44" s="373"/>
      <c r="CK44" s="373"/>
      <c r="CL44" s="373"/>
      <c r="CM44" s="320">
        <f t="shared" si="3"/>
        <v>179920</v>
      </c>
      <c r="CN44" s="320"/>
      <c r="CO44" s="320"/>
      <c r="CP44" s="320"/>
      <c r="CQ44" s="320"/>
      <c r="CR44" s="320"/>
      <c r="CS44" s="320"/>
      <c r="CT44" s="320"/>
      <c r="CU44" s="320"/>
      <c r="CV44" s="320"/>
      <c r="CW44" s="40"/>
      <c r="CX44" s="1"/>
    </row>
    <row r="45" spans="3:117" ht="15" hidden="1" customHeight="1" thickTop="1">
      <c r="C45" s="43"/>
      <c r="D45" s="342" t="s">
        <v>531</v>
      </c>
      <c r="E45" s="342"/>
      <c r="F45" s="342"/>
      <c r="G45" s="342"/>
      <c r="H45" s="342"/>
      <c r="I45" s="342"/>
      <c r="J45" s="342"/>
      <c r="K45" s="342"/>
      <c r="L45" s="342"/>
      <c r="M45" s="342"/>
      <c r="N45" s="342"/>
      <c r="O45" s="342"/>
      <c r="P45" s="342"/>
      <c r="Q45" s="342"/>
      <c r="R45" s="342"/>
      <c r="S45" s="342"/>
      <c r="T45" s="342"/>
      <c r="U45" s="341">
        <f>SUM(U30:AD44)</f>
        <v>63950</v>
      </c>
      <c r="V45" s="341"/>
      <c r="W45" s="341"/>
      <c r="X45" s="341"/>
      <c r="Y45" s="341"/>
      <c r="Z45" s="341"/>
      <c r="AA45" s="341"/>
      <c r="AB45" s="341"/>
      <c r="AC45" s="341"/>
      <c r="AD45" s="341"/>
      <c r="AE45" s="341">
        <f>SUM(AE30:AN44)</f>
        <v>0</v>
      </c>
      <c r="AF45" s="341"/>
      <c r="AG45" s="341"/>
      <c r="AH45" s="341"/>
      <c r="AI45" s="341"/>
      <c r="AJ45" s="341"/>
      <c r="AK45" s="341"/>
      <c r="AL45" s="341"/>
      <c r="AM45" s="341"/>
      <c r="AN45" s="341"/>
      <c r="AO45" s="260">
        <f t="shared" si="2"/>
        <v>63950</v>
      </c>
      <c r="AP45" s="332"/>
      <c r="AQ45" s="332"/>
      <c r="AR45" s="332"/>
      <c r="AS45" s="332"/>
      <c r="AT45" s="332"/>
      <c r="AU45" s="332"/>
      <c r="AV45" s="332"/>
      <c r="AW45" s="332"/>
      <c r="AX45" s="332"/>
      <c r="AY45" s="40"/>
      <c r="AZ45" s="1"/>
      <c r="BA45" s="68"/>
      <c r="BB45" s="361" t="s">
        <v>527</v>
      </c>
      <c r="BC45" s="361"/>
      <c r="BD45" s="361"/>
      <c r="BE45" s="361"/>
      <c r="BF45" s="361"/>
      <c r="BG45" s="361"/>
      <c r="BH45" s="361"/>
      <c r="BI45" s="361"/>
      <c r="BJ45" s="361"/>
      <c r="BK45" s="361"/>
      <c r="BL45" s="361"/>
      <c r="BM45" s="361"/>
      <c r="BN45" s="361"/>
      <c r="BO45" s="361"/>
      <c r="BP45" s="361"/>
      <c r="BQ45" s="361"/>
      <c r="BR45" s="361"/>
      <c r="BS45" s="373">
        <f>$BP$525</f>
        <v>0</v>
      </c>
      <c r="BT45" s="373"/>
      <c r="BU45" s="373"/>
      <c r="BV45" s="373"/>
      <c r="BW45" s="373"/>
      <c r="BX45" s="373"/>
      <c r="BY45" s="373"/>
      <c r="BZ45" s="373"/>
      <c r="CA45" s="373"/>
      <c r="CB45" s="373"/>
      <c r="CC45" s="373">
        <f>$BZ$525</f>
        <v>36390</v>
      </c>
      <c r="CD45" s="373"/>
      <c r="CE45" s="373"/>
      <c r="CF45" s="373"/>
      <c r="CG45" s="373"/>
      <c r="CH45" s="373"/>
      <c r="CI45" s="373"/>
      <c r="CJ45" s="373"/>
      <c r="CK45" s="373"/>
      <c r="CL45" s="373"/>
      <c r="CM45" s="320">
        <f t="shared" si="3"/>
        <v>36390</v>
      </c>
      <c r="CN45" s="320"/>
      <c r="CO45" s="320"/>
      <c r="CP45" s="320"/>
      <c r="CQ45" s="320"/>
      <c r="CR45" s="320"/>
      <c r="CS45" s="320"/>
      <c r="CT45" s="320"/>
      <c r="CU45" s="320"/>
      <c r="CV45" s="320"/>
      <c r="CW45" s="40"/>
      <c r="CX45" s="1"/>
    </row>
    <row r="46" spans="3:117" ht="15" hidden="1" customHeight="1" thickBot="1">
      <c r="C46" s="43"/>
      <c r="U46" s="22"/>
      <c r="V46" s="22"/>
      <c r="W46" s="22"/>
      <c r="X46" s="22"/>
      <c r="Y46" s="22"/>
      <c r="Z46" s="22"/>
      <c r="AA46" s="22"/>
      <c r="AB46" s="22"/>
      <c r="AC46" s="22"/>
      <c r="AD46" s="22"/>
      <c r="AE46" s="22"/>
      <c r="AF46" s="22"/>
      <c r="AG46" s="22"/>
      <c r="AH46" s="22"/>
      <c r="AI46" s="22"/>
      <c r="AJ46" s="22"/>
      <c r="AK46" s="22"/>
      <c r="AL46" s="22"/>
      <c r="AM46" s="22"/>
      <c r="AN46" s="22"/>
      <c r="AO46" s="22"/>
      <c r="AP46" s="22"/>
      <c r="AQ46" s="22"/>
      <c r="AR46" s="22"/>
      <c r="AS46" s="22"/>
      <c r="AT46" s="22"/>
      <c r="AU46" s="22"/>
      <c r="AV46" s="22"/>
      <c r="AW46" s="22"/>
      <c r="AX46" s="22"/>
      <c r="AY46" s="40"/>
      <c r="AZ46" s="1"/>
      <c r="BA46" s="43"/>
      <c r="BB46" s="340" t="s">
        <v>329</v>
      </c>
      <c r="BC46" s="340"/>
      <c r="BD46" s="340"/>
      <c r="BE46" s="340"/>
      <c r="BF46" s="340"/>
      <c r="BG46" s="340"/>
      <c r="BH46" s="340"/>
      <c r="BI46" s="340"/>
      <c r="BJ46" s="340"/>
      <c r="BK46" s="340"/>
      <c r="BL46" s="340"/>
      <c r="BM46" s="340"/>
      <c r="BN46" s="340"/>
      <c r="BO46" s="340"/>
      <c r="BP46" s="340"/>
      <c r="BQ46" s="340"/>
      <c r="BR46" s="340"/>
      <c r="BS46" s="335">
        <f>$BN$532</f>
        <v>0</v>
      </c>
      <c r="BT46" s="336"/>
      <c r="BU46" s="336"/>
      <c r="BV46" s="336"/>
      <c r="BW46" s="336"/>
      <c r="BX46" s="336"/>
      <c r="BY46" s="336"/>
      <c r="BZ46" s="336"/>
      <c r="CA46" s="336"/>
      <c r="CB46" s="333"/>
      <c r="CC46" s="336">
        <f>$BX$532</f>
        <v>8275</v>
      </c>
      <c r="CD46" s="336"/>
      <c r="CE46" s="336"/>
      <c r="CF46" s="336"/>
      <c r="CG46" s="336"/>
      <c r="CH46" s="336"/>
      <c r="CI46" s="336"/>
      <c r="CJ46" s="336"/>
      <c r="CK46" s="336"/>
      <c r="CL46" s="336"/>
      <c r="CM46" s="336">
        <f t="shared" si="3"/>
        <v>8275</v>
      </c>
      <c r="CN46" s="336"/>
      <c r="CO46" s="336"/>
      <c r="CP46" s="336"/>
      <c r="CQ46" s="336"/>
      <c r="CR46" s="336"/>
      <c r="CS46" s="336"/>
      <c r="CT46" s="336"/>
      <c r="CU46" s="336"/>
      <c r="CV46" s="336"/>
      <c r="CW46" s="40"/>
      <c r="CX46" s="1"/>
    </row>
    <row r="47" spans="3:117" ht="15" hidden="1" customHeight="1" thickTop="1">
      <c r="C47" s="43"/>
      <c r="D47" s="321" t="s">
        <v>536</v>
      </c>
      <c r="E47" s="321"/>
      <c r="F47" s="321"/>
      <c r="G47" s="321"/>
      <c r="H47" s="321"/>
      <c r="I47" s="321"/>
      <c r="J47" s="321"/>
      <c r="K47" s="321"/>
      <c r="L47" s="321"/>
      <c r="M47" s="321"/>
      <c r="N47" s="321"/>
      <c r="O47" s="321"/>
      <c r="P47" s="321"/>
      <c r="Q47" s="321"/>
      <c r="R47" s="321"/>
      <c r="S47" s="321"/>
      <c r="T47" s="321"/>
      <c r="U47" s="358" t="s">
        <v>494</v>
      </c>
      <c r="V47" s="359"/>
      <c r="W47" s="359"/>
      <c r="X47" s="359"/>
      <c r="Y47" s="359"/>
      <c r="Z47" s="359"/>
      <c r="AA47" s="359"/>
      <c r="AB47" s="359"/>
      <c r="AC47" s="359"/>
      <c r="AD47" s="360"/>
      <c r="AE47" s="359" t="s">
        <v>530</v>
      </c>
      <c r="AF47" s="359"/>
      <c r="AG47" s="359"/>
      <c r="AH47" s="359"/>
      <c r="AI47" s="359"/>
      <c r="AJ47" s="359"/>
      <c r="AK47" s="359"/>
      <c r="AL47" s="359"/>
      <c r="AM47" s="359"/>
      <c r="AN47" s="359"/>
      <c r="AO47" s="358" t="s">
        <v>503</v>
      </c>
      <c r="AP47" s="359"/>
      <c r="AQ47" s="359"/>
      <c r="AR47" s="359"/>
      <c r="AS47" s="359"/>
      <c r="AT47" s="359"/>
      <c r="AU47" s="359"/>
      <c r="AV47" s="359"/>
      <c r="AW47" s="359"/>
      <c r="AX47" s="359"/>
      <c r="AY47" s="40"/>
      <c r="AZ47" s="1"/>
      <c r="BA47" s="43"/>
      <c r="BB47" s="331" t="s">
        <v>503</v>
      </c>
      <c r="BC47" s="331"/>
      <c r="BD47" s="331"/>
      <c r="BE47" s="331"/>
      <c r="BF47" s="331"/>
      <c r="BG47" s="331"/>
      <c r="BH47" s="331"/>
      <c r="BI47" s="331"/>
      <c r="BJ47" s="331"/>
      <c r="BK47" s="331"/>
      <c r="BL47" s="331"/>
      <c r="BM47" s="331"/>
      <c r="BN47" s="331"/>
      <c r="BO47" s="331"/>
      <c r="BP47" s="331"/>
      <c r="BQ47" s="331"/>
      <c r="BR47" s="331"/>
      <c r="BS47" s="260">
        <f>SUM(BS44:CB46)</f>
        <v>53500</v>
      </c>
      <c r="BT47" s="332"/>
      <c r="BU47" s="332"/>
      <c r="BV47" s="332"/>
      <c r="BW47" s="332"/>
      <c r="BX47" s="332"/>
      <c r="BY47" s="332"/>
      <c r="BZ47" s="332"/>
      <c r="CA47" s="332"/>
      <c r="CB47" s="258"/>
      <c r="CC47" s="341">
        <f>SUM(CC44:CL46)</f>
        <v>171085</v>
      </c>
      <c r="CD47" s="341"/>
      <c r="CE47" s="341"/>
      <c r="CF47" s="341"/>
      <c r="CG47" s="341"/>
      <c r="CH47" s="341"/>
      <c r="CI47" s="341"/>
      <c r="CJ47" s="341"/>
      <c r="CK47" s="341"/>
      <c r="CL47" s="273"/>
      <c r="CM47" s="341">
        <f t="shared" si="3"/>
        <v>224585</v>
      </c>
      <c r="CN47" s="341"/>
      <c r="CO47" s="341"/>
      <c r="CP47" s="341"/>
      <c r="CQ47" s="341"/>
      <c r="CR47" s="341"/>
      <c r="CS47" s="341"/>
      <c r="CT47" s="341"/>
      <c r="CU47" s="341"/>
      <c r="CV47" s="341"/>
      <c r="CW47" s="40"/>
      <c r="CX47" s="1"/>
    </row>
    <row r="48" spans="3:117" ht="15" hidden="1" customHeight="1">
      <c r="C48" s="43"/>
      <c r="D48" s="325" t="s">
        <v>535</v>
      </c>
      <c r="E48" s="326"/>
      <c r="F48" s="326"/>
      <c r="G48" s="326"/>
      <c r="H48" s="326"/>
      <c r="I48" s="326"/>
      <c r="J48" s="326"/>
      <c r="K48" s="326"/>
      <c r="L48" s="326"/>
      <c r="M48" s="326"/>
      <c r="N48" s="326"/>
      <c r="O48" s="326"/>
      <c r="P48" s="326"/>
      <c r="Q48" s="326"/>
      <c r="R48" s="326"/>
      <c r="S48" s="326"/>
      <c r="T48" s="327"/>
      <c r="U48" s="323">
        <f>SUMIFS('Adv. Filter'!$CH$1:$CH$50000,'Adv. Filter'!$CC$1:$CC$50000,"Vehicle &amp; Mobile Bill",'Adv. Filter'!$CF$1:$CF$50000,"Cash",'Adv. Filter'!$CD$1:$CD$50000,"Ganesh N")</f>
        <v>1600</v>
      </c>
      <c r="V48" s="323"/>
      <c r="W48" s="323"/>
      <c r="X48" s="323"/>
      <c r="Y48" s="323"/>
      <c r="Z48" s="323"/>
      <c r="AA48" s="323"/>
      <c r="AB48" s="323"/>
      <c r="AC48" s="323"/>
      <c r="AD48" s="323"/>
      <c r="AE48" s="367">
        <f>SUMIFS('Adv. Filter'!$CH$1:$CH$50000,'Adv. Filter'!$CC$1:$CC$50000,"Vehicle &amp; Mobile Bill",'Adv. Filter'!$CF$1:$CF$50000,"Bank",'Adv. Filter'!$CD$1:$CD$50000,"Ganesh N")</f>
        <v>0</v>
      </c>
      <c r="AF48" s="368"/>
      <c r="AG48" s="368"/>
      <c r="AH48" s="368"/>
      <c r="AI48" s="368"/>
      <c r="AJ48" s="368"/>
      <c r="AK48" s="368"/>
      <c r="AL48" s="368"/>
      <c r="AM48" s="368"/>
      <c r="AN48" s="369"/>
      <c r="AO48" s="323">
        <f t="shared" ref="AO48:AO63" si="4">U48+AE48</f>
        <v>1600</v>
      </c>
      <c r="AP48" s="323"/>
      <c r="AQ48" s="323"/>
      <c r="AR48" s="323"/>
      <c r="AS48" s="323"/>
      <c r="AT48" s="323"/>
      <c r="AU48" s="323"/>
      <c r="AV48" s="323"/>
      <c r="AW48" s="323"/>
      <c r="AX48" s="324"/>
      <c r="AY48" s="67"/>
      <c r="AZ48" s="1"/>
      <c r="BA48" s="43"/>
      <c r="BB48" s="61"/>
      <c r="BC48" s="61"/>
      <c r="BD48" s="61"/>
      <c r="BE48" s="61"/>
      <c r="BF48" s="61"/>
      <c r="BG48" s="61"/>
      <c r="BH48" s="61"/>
      <c r="BI48" s="61"/>
      <c r="BJ48" s="61"/>
      <c r="BK48" s="61"/>
      <c r="BL48" s="61"/>
      <c r="BM48" s="61"/>
      <c r="BN48" s="61"/>
      <c r="BO48" s="61"/>
      <c r="BP48" s="61"/>
      <c r="BQ48" s="61"/>
      <c r="BR48" s="61"/>
      <c r="BS48" s="60"/>
      <c r="BT48" s="60"/>
      <c r="BU48" s="60"/>
      <c r="BV48" s="60"/>
      <c r="BW48" s="60"/>
      <c r="BX48" s="60"/>
      <c r="BY48" s="60"/>
      <c r="BZ48" s="60"/>
      <c r="CA48" s="60"/>
      <c r="CB48" s="60"/>
      <c r="CC48" s="60"/>
      <c r="CD48" s="60"/>
      <c r="CE48" s="60"/>
      <c r="CF48" s="60"/>
      <c r="CG48" s="60"/>
      <c r="CH48" s="60"/>
      <c r="CI48" s="60"/>
      <c r="CJ48" s="60"/>
      <c r="CK48" s="60"/>
      <c r="CL48" s="60"/>
      <c r="CM48" s="60"/>
      <c r="CN48" s="60"/>
      <c r="CO48" s="60"/>
      <c r="CP48" s="60"/>
      <c r="CQ48" s="60"/>
      <c r="CR48" s="60"/>
      <c r="CS48" s="60"/>
      <c r="CT48" s="60"/>
      <c r="CU48" s="60"/>
      <c r="CV48" s="60"/>
      <c r="CW48" s="40"/>
      <c r="CX48" s="1"/>
    </row>
    <row r="49" spans="3:102" ht="15" hidden="1" customHeight="1">
      <c r="C49" s="43"/>
      <c r="D49" s="325" t="s">
        <v>534</v>
      </c>
      <c r="E49" s="326"/>
      <c r="F49" s="326"/>
      <c r="G49" s="326"/>
      <c r="H49" s="326"/>
      <c r="I49" s="326"/>
      <c r="J49" s="326"/>
      <c r="K49" s="326"/>
      <c r="L49" s="326"/>
      <c r="M49" s="326"/>
      <c r="N49" s="326"/>
      <c r="O49" s="326"/>
      <c r="P49" s="326"/>
      <c r="Q49" s="326"/>
      <c r="R49" s="326"/>
      <c r="S49" s="326"/>
      <c r="T49" s="327"/>
      <c r="U49" s="322">
        <f>SUMIFS('Adv. Filter'!$CH$1:$CH$50000,'Adv. Filter'!$CC$1:$CC$50000,"Vehicle &amp; Mobile Bill",'Adv. Filter'!$CF$1:$CF$50000,"Cash",'Adv. Filter'!$CD$1:$CD$50000,"Ganesh")</f>
        <v>1600</v>
      </c>
      <c r="V49" s="323"/>
      <c r="W49" s="323"/>
      <c r="X49" s="323"/>
      <c r="Y49" s="323"/>
      <c r="Z49" s="323"/>
      <c r="AA49" s="323"/>
      <c r="AB49" s="323"/>
      <c r="AC49" s="323"/>
      <c r="AD49" s="324"/>
      <c r="AE49" s="322">
        <f>SUMIFS('Adv. Filter'!$CH$1:$CH$50000,'Adv. Filter'!$CC$1:$CC$50000,"Vehicle &amp; Mobile Bill",'Adv. Filter'!$CF$1:$CF$50000,"Bank",'Adv. Filter'!$CD$1:$CD$50000,"Ganesh")</f>
        <v>0</v>
      </c>
      <c r="AF49" s="323"/>
      <c r="AG49" s="323"/>
      <c r="AH49" s="323"/>
      <c r="AI49" s="323"/>
      <c r="AJ49" s="323"/>
      <c r="AK49" s="323"/>
      <c r="AL49" s="323"/>
      <c r="AM49" s="323"/>
      <c r="AN49" s="324"/>
      <c r="AO49" s="323">
        <f t="shared" si="4"/>
        <v>1600</v>
      </c>
      <c r="AP49" s="323"/>
      <c r="AQ49" s="323"/>
      <c r="AR49" s="323"/>
      <c r="AS49" s="323"/>
      <c r="AT49" s="323"/>
      <c r="AU49" s="323"/>
      <c r="AV49" s="323"/>
      <c r="AW49" s="323"/>
      <c r="AX49" s="324"/>
      <c r="AY49" s="40"/>
      <c r="AZ49" s="1"/>
      <c r="BA49" s="43"/>
      <c r="BB49" s="374" t="s">
        <v>516</v>
      </c>
      <c r="BC49" s="375"/>
      <c r="BD49" s="375"/>
      <c r="BE49" s="375"/>
      <c r="BF49" s="375"/>
      <c r="BG49" s="375"/>
      <c r="BH49" s="375"/>
      <c r="BI49" s="375"/>
      <c r="BJ49" s="375"/>
      <c r="BK49" s="375"/>
      <c r="BL49" s="375"/>
      <c r="BM49" s="375"/>
      <c r="BN49" s="375"/>
      <c r="BO49" s="375"/>
      <c r="BP49" s="375"/>
      <c r="BQ49" s="375"/>
      <c r="BR49" s="376"/>
      <c r="BS49" s="359" t="s">
        <v>494</v>
      </c>
      <c r="BT49" s="359"/>
      <c r="BU49" s="359"/>
      <c r="BV49" s="359"/>
      <c r="BW49" s="359"/>
      <c r="BX49" s="359"/>
      <c r="BY49" s="359"/>
      <c r="BZ49" s="359"/>
      <c r="CA49" s="359"/>
      <c r="CB49" s="359"/>
      <c r="CC49" s="359" t="s">
        <v>530</v>
      </c>
      <c r="CD49" s="359"/>
      <c r="CE49" s="359"/>
      <c r="CF49" s="359"/>
      <c r="CG49" s="359"/>
      <c r="CH49" s="359"/>
      <c r="CI49" s="359"/>
      <c r="CJ49" s="359"/>
      <c r="CK49" s="359"/>
      <c r="CL49" s="359"/>
      <c r="CM49" s="359" t="s">
        <v>503</v>
      </c>
      <c r="CN49" s="359"/>
      <c r="CO49" s="359"/>
      <c r="CP49" s="359"/>
      <c r="CQ49" s="359"/>
      <c r="CR49" s="359"/>
      <c r="CS49" s="359"/>
      <c r="CT49" s="359"/>
      <c r="CU49" s="359"/>
      <c r="CV49" s="359"/>
      <c r="CW49" s="40"/>
      <c r="CX49" s="1"/>
    </row>
    <row r="50" spans="3:102" ht="15" hidden="1" customHeight="1">
      <c r="C50" s="43"/>
      <c r="D50" s="325" t="s">
        <v>42</v>
      </c>
      <c r="E50" s="326"/>
      <c r="F50" s="326"/>
      <c r="G50" s="326"/>
      <c r="H50" s="326"/>
      <c r="I50" s="326"/>
      <c r="J50" s="326"/>
      <c r="K50" s="326"/>
      <c r="L50" s="326"/>
      <c r="M50" s="326"/>
      <c r="N50" s="326"/>
      <c r="O50" s="326"/>
      <c r="P50" s="326"/>
      <c r="Q50" s="326"/>
      <c r="R50" s="326"/>
      <c r="S50" s="326"/>
      <c r="T50" s="327"/>
      <c r="U50" s="323">
        <f>SUMIFS('Adv. Filter'!$CH$1:$CH$50000,'Adv. Filter'!$CC$1:$CC$50000,"Vehicle &amp; Mobile Bill",'Adv. Filter'!$CF$1:$CF$50000,"Cash",'Adv. Filter'!$CD$1:$CD$50000,$D50)</f>
        <v>1600</v>
      </c>
      <c r="V50" s="323"/>
      <c r="W50" s="323"/>
      <c r="X50" s="323"/>
      <c r="Y50" s="323"/>
      <c r="Z50" s="323"/>
      <c r="AA50" s="323"/>
      <c r="AB50" s="323"/>
      <c r="AC50" s="323"/>
      <c r="AD50" s="323"/>
      <c r="AE50" s="322">
        <f>SUMIFS('Adv. Filter'!$CH$1:$CH$50000,'Adv. Filter'!$CC$1:$CC$50000,"Vehicle &amp; Mobile Bill",'Adv. Filter'!$CF$1:$CF$50000,"Bank",'Adv. Filter'!$CD$1:$CD$50000,$D50)</f>
        <v>0</v>
      </c>
      <c r="AF50" s="323"/>
      <c r="AG50" s="323"/>
      <c r="AH50" s="323"/>
      <c r="AI50" s="323"/>
      <c r="AJ50" s="323"/>
      <c r="AK50" s="323"/>
      <c r="AL50" s="323"/>
      <c r="AM50" s="323"/>
      <c r="AN50" s="324"/>
      <c r="AO50" s="323">
        <f t="shared" si="4"/>
        <v>1600</v>
      </c>
      <c r="AP50" s="323"/>
      <c r="AQ50" s="323"/>
      <c r="AR50" s="323"/>
      <c r="AS50" s="323"/>
      <c r="AT50" s="323"/>
      <c r="AU50" s="323"/>
      <c r="AV50" s="323"/>
      <c r="AW50" s="323"/>
      <c r="AX50" s="324"/>
      <c r="AY50" s="40"/>
      <c r="AZ50" s="38"/>
      <c r="BA50" s="43"/>
      <c r="BB50" s="325" t="s">
        <v>49</v>
      </c>
      <c r="BC50" s="326"/>
      <c r="BD50" s="326"/>
      <c r="BE50" s="326"/>
      <c r="BF50" s="326"/>
      <c r="BG50" s="326"/>
      <c r="BH50" s="326"/>
      <c r="BI50" s="326"/>
      <c r="BJ50" s="326"/>
      <c r="BK50" s="326"/>
      <c r="BL50" s="326"/>
      <c r="BM50" s="326"/>
      <c r="BN50" s="326"/>
      <c r="BO50" s="326"/>
      <c r="BP50" s="326"/>
      <c r="BQ50" s="326"/>
      <c r="BR50" s="327"/>
      <c r="BS50" s="328">
        <f>$T$616+$T$619</f>
        <v>29500</v>
      </c>
      <c r="BT50" s="329"/>
      <c r="BU50" s="329"/>
      <c r="BV50" s="329"/>
      <c r="BW50" s="329"/>
      <c r="BX50" s="329"/>
      <c r="BY50" s="329"/>
      <c r="BZ50" s="329"/>
      <c r="CA50" s="329"/>
      <c r="CB50" s="330"/>
      <c r="CC50" s="328">
        <f>$AD$616+$AD$619</f>
        <v>74000</v>
      </c>
      <c r="CD50" s="329"/>
      <c r="CE50" s="329"/>
      <c r="CF50" s="329"/>
      <c r="CG50" s="329"/>
      <c r="CH50" s="329"/>
      <c r="CI50" s="329"/>
      <c r="CJ50" s="329"/>
      <c r="CK50" s="329"/>
      <c r="CL50" s="330"/>
      <c r="CM50" s="323">
        <f t="shared" ref="CM50:CM57" si="5">BS50+CC50</f>
        <v>103500</v>
      </c>
      <c r="CN50" s="323"/>
      <c r="CO50" s="323"/>
      <c r="CP50" s="323"/>
      <c r="CQ50" s="323"/>
      <c r="CR50" s="323"/>
      <c r="CS50" s="323"/>
      <c r="CT50" s="323"/>
      <c r="CU50" s="323"/>
      <c r="CV50" s="324"/>
      <c r="CW50" s="40"/>
      <c r="CX50" s="1"/>
    </row>
    <row r="51" spans="3:102" ht="15" hidden="1" customHeight="1">
      <c r="C51" s="43"/>
      <c r="D51" s="325" t="s">
        <v>51</v>
      </c>
      <c r="E51" s="326"/>
      <c r="F51" s="326"/>
      <c r="G51" s="326"/>
      <c r="H51" s="326"/>
      <c r="I51" s="326"/>
      <c r="J51" s="326"/>
      <c r="K51" s="326"/>
      <c r="L51" s="326"/>
      <c r="M51" s="326"/>
      <c r="N51" s="326"/>
      <c r="O51" s="326"/>
      <c r="P51" s="326"/>
      <c r="Q51" s="326"/>
      <c r="R51" s="326"/>
      <c r="S51" s="326"/>
      <c r="T51" s="327"/>
      <c r="U51" s="323">
        <f>SUMIFS('Adv. Filter'!$CH$1:$CH$50000,'Adv. Filter'!$CC$1:$CC$50000,"Vehicle &amp; Mobile Bill",'Adv. Filter'!$CF$1:$CF$50000,"Cash",'Adv. Filter'!$CD$1:$CD$50000,$D51)</f>
        <v>1600</v>
      </c>
      <c r="V51" s="323"/>
      <c r="W51" s="323"/>
      <c r="X51" s="323"/>
      <c r="Y51" s="323"/>
      <c r="Z51" s="323"/>
      <c r="AA51" s="323"/>
      <c r="AB51" s="323"/>
      <c r="AC51" s="323"/>
      <c r="AD51" s="323"/>
      <c r="AE51" s="322">
        <f>SUMIFS('Adv. Filter'!$CH$1:$CH$50000,'Adv. Filter'!$CC$1:$CC$50000,"Vehicle &amp; Mobile Bill",'Adv. Filter'!$CF$1:$CF$50000,"Bank",'Adv. Filter'!$CD$1:$CD$50000,$D51)</f>
        <v>0</v>
      </c>
      <c r="AF51" s="323"/>
      <c r="AG51" s="323"/>
      <c r="AH51" s="323"/>
      <c r="AI51" s="323"/>
      <c r="AJ51" s="323"/>
      <c r="AK51" s="323"/>
      <c r="AL51" s="323"/>
      <c r="AM51" s="323"/>
      <c r="AN51" s="324"/>
      <c r="AO51" s="323">
        <f t="shared" si="4"/>
        <v>1600</v>
      </c>
      <c r="AP51" s="323"/>
      <c r="AQ51" s="323"/>
      <c r="AR51" s="323"/>
      <c r="AS51" s="323"/>
      <c r="AT51" s="323"/>
      <c r="AU51" s="323"/>
      <c r="AV51" s="323"/>
      <c r="AW51" s="323"/>
      <c r="AX51" s="324"/>
      <c r="AY51" s="40"/>
      <c r="AZ51" s="1"/>
      <c r="BA51" s="43"/>
      <c r="BB51" s="325" t="s">
        <v>84</v>
      </c>
      <c r="BC51" s="326"/>
      <c r="BD51" s="326"/>
      <c r="BE51" s="326"/>
      <c r="BF51" s="326"/>
      <c r="BG51" s="326"/>
      <c r="BH51" s="326"/>
      <c r="BI51" s="326"/>
      <c r="BJ51" s="326"/>
      <c r="BK51" s="326"/>
      <c r="BL51" s="326"/>
      <c r="BM51" s="326"/>
      <c r="BN51" s="326"/>
      <c r="BO51" s="326"/>
      <c r="BP51" s="326"/>
      <c r="BQ51" s="326"/>
      <c r="BR51" s="327"/>
      <c r="BS51" s="328">
        <f>$T$636+$T$639</f>
        <v>344000</v>
      </c>
      <c r="BT51" s="329"/>
      <c r="BU51" s="329"/>
      <c r="BV51" s="329"/>
      <c r="BW51" s="329"/>
      <c r="BX51" s="329"/>
      <c r="BY51" s="329"/>
      <c r="BZ51" s="329"/>
      <c r="CA51" s="329"/>
      <c r="CB51" s="330"/>
      <c r="CC51" s="328">
        <f>$AD$636+$AD$639</f>
        <v>175500</v>
      </c>
      <c r="CD51" s="329"/>
      <c r="CE51" s="329"/>
      <c r="CF51" s="329"/>
      <c r="CG51" s="329"/>
      <c r="CH51" s="329"/>
      <c r="CI51" s="329"/>
      <c r="CJ51" s="329"/>
      <c r="CK51" s="329"/>
      <c r="CL51" s="330"/>
      <c r="CM51" s="323">
        <f t="shared" si="5"/>
        <v>519500</v>
      </c>
      <c r="CN51" s="323"/>
      <c r="CO51" s="323"/>
      <c r="CP51" s="323"/>
      <c r="CQ51" s="323"/>
      <c r="CR51" s="323"/>
      <c r="CS51" s="323"/>
      <c r="CT51" s="323"/>
      <c r="CU51" s="323"/>
      <c r="CV51" s="324"/>
      <c r="CW51" s="40"/>
      <c r="CX51" s="1"/>
    </row>
    <row r="52" spans="3:102" ht="15" hidden="1" customHeight="1">
      <c r="C52" s="43"/>
      <c r="D52" s="325" t="s">
        <v>65</v>
      </c>
      <c r="E52" s="326"/>
      <c r="F52" s="326"/>
      <c r="G52" s="326"/>
      <c r="H52" s="326"/>
      <c r="I52" s="326"/>
      <c r="J52" s="326"/>
      <c r="K52" s="326"/>
      <c r="L52" s="326"/>
      <c r="M52" s="326"/>
      <c r="N52" s="326"/>
      <c r="O52" s="326"/>
      <c r="P52" s="326"/>
      <c r="Q52" s="326"/>
      <c r="R52" s="326"/>
      <c r="S52" s="326"/>
      <c r="T52" s="327"/>
      <c r="U52" s="323">
        <f>SUMIFS('Adv. Filter'!$CH$1:$CH$50000,'Adv. Filter'!$CC$1:$CC$50000,"Vehicle &amp; Mobile Bill",'Adv. Filter'!$CF$1:$CF$50000,"Cash",'Adv. Filter'!$CD$1:$CD$50000,$D52)</f>
        <v>1600</v>
      </c>
      <c r="V52" s="323"/>
      <c r="W52" s="323"/>
      <c r="X52" s="323"/>
      <c r="Y52" s="323"/>
      <c r="Z52" s="323"/>
      <c r="AA52" s="323"/>
      <c r="AB52" s="323"/>
      <c r="AC52" s="323"/>
      <c r="AD52" s="323"/>
      <c r="AE52" s="322">
        <f>SUMIFS('Adv. Filter'!$CH$1:$CH$50000,'Adv. Filter'!$CC$1:$CC$50000,"Vehicle &amp; Mobile Bill",'Adv. Filter'!$CF$1:$CF$50000,"Bank",'Adv. Filter'!$CD$1:$CD$50000,$D52)</f>
        <v>0</v>
      </c>
      <c r="AF52" s="323"/>
      <c r="AG52" s="323"/>
      <c r="AH52" s="323"/>
      <c r="AI52" s="323"/>
      <c r="AJ52" s="323"/>
      <c r="AK52" s="323"/>
      <c r="AL52" s="323"/>
      <c r="AM52" s="323"/>
      <c r="AN52" s="324"/>
      <c r="AO52" s="323">
        <f t="shared" si="4"/>
        <v>1600</v>
      </c>
      <c r="AP52" s="323"/>
      <c r="AQ52" s="323"/>
      <c r="AR52" s="323"/>
      <c r="AS52" s="323"/>
      <c r="AT52" s="323"/>
      <c r="AU52" s="323"/>
      <c r="AV52" s="323"/>
      <c r="AW52" s="323"/>
      <c r="AX52" s="324"/>
      <c r="AY52" s="40"/>
      <c r="AZ52" s="1"/>
      <c r="BA52" s="43"/>
      <c r="BB52" s="325" t="s">
        <v>92</v>
      </c>
      <c r="BC52" s="326"/>
      <c r="BD52" s="326"/>
      <c r="BE52" s="326"/>
      <c r="BF52" s="326"/>
      <c r="BG52" s="326"/>
      <c r="BH52" s="326"/>
      <c r="BI52" s="326"/>
      <c r="BJ52" s="326"/>
      <c r="BK52" s="326"/>
      <c r="BL52" s="326"/>
      <c r="BM52" s="326"/>
      <c r="BN52" s="326"/>
      <c r="BO52" s="326"/>
      <c r="BP52" s="326"/>
      <c r="BQ52" s="326"/>
      <c r="BR52" s="327"/>
      <c r="BS52" s="328">
        <f>$T$659+$T$662</f>
        <v>137300</v>
      </c>
      <c r="BT52" s="329"/>
      <c r="BU52" s="329"/>
      <c r="BV52" s="329"/>
      <c r="BW52" s="329"/>
      <c r="BX52" s="329"/>
      <c r="BY52" s="329"/>
      <c r="BZ52" s="329"/>
      <c r="CA52" s="329"/>
      <c r="CB52" s="330"/>
      <c r="CC52" s="328">
        <f>$AD$659+$AD$662</f>
        <v>109350</v>
      </c>
      <c r="CD52" s="329"/>
      <c r="CE52" s="329"/>
      <c r="CF52" s="329"/>
      <c r="CG52" s="329"/>
      <c r="CH52" s="329"/>
      <c r="CI52" s="329"/>
      <c r="CJ52" s="329"/>
      <c r="CK52" s="329"/>
      <c r="CL52" s="330"/>
      <c r="CM52" s="323">
        <f t="shared" si="5"/>
        <v>246650</v>
      </c>
      <c r="CN52" s="323"/>
      <c r="CO52" s="323"/>
      <c r="CP52" s="323"/>
      <c r="CQ52" s="323"/>
      <c r="CR52" s="323"/>
      <c r="CS52" s="323"/>
      <c r="CT52" s="323"/>
      <c r="CU52" s="323"/>
      <c r="CV52" s="324"/>
      <c r="CW52" s="40"/>
      <c r="CX52" s="1"/>
    </row>
    <row r="53" spans="3:102" ht="15" hidden="1" customHeight="1">
      <c r="C53" s="43"/>
      <c r="D53" s="325" t="s">
        <v>73</v>
      </c>
      <c r="E53" s="326"/>
      <c r="F53" s="326"/>
      <c r="G53" s="326"/>
      <c r="H53" s="326"/>
      <c r="I53" s="326"/>
      <c r="J53" s="326"/>
      <c r="K53" s="326"/>
      <c r="L53" s="326"/>
      <c r="M53" s="326"/>
      <c r="N53" s="326"/>
      <c r="O53" s="326"/>
      <c r="P53" s="326"/>
      <c r="Q53" s="326"/>
      <c r="R53" s="326"/>
      <c r="S53" s="326"/>
      <c r="T53" s="327"/>
      <c r="U53" s="323">
        <f>SUMIFS('Adv. Filter'!$CH$1:$CH$50000,'Adv. Filter'!$CC$1:$CC$50000,"Vehicle &amp; Mobile Bill",'Adv. Filter'!$CF$1:$CF$50000,"Cash",'Adv. Filter'!$CD$1:$CD$50000,$D53)</f>
        <v>1600</v>
      </c>
      <c r="V53" s="323"/>
      <c r="W53" s="323"/>
      <c r="X53" s="323"/>
      <c r="Y53" s="323"/>
      <c r="Z53" s="323"/>
      <c r="AA53" s="323"/>
      <c r="AB53" s="323"/>
      <c r="AC53" s="323"/>
      <c r="AD53" s="323"/>
      <c r="AE53" s="322">
        <f>SUMIFS('Adv. Filter'!$CH$1:$CH$50000,'Adv. Filter'!$CC$1:$CC$50000,"Vehicle &amp; Mobile Bill",'Adv. Filter'!$CF$1:$CF$50000,"Bank",'Adv. Filter'!$CD$1:$CD$50000,$D53)</f>
        <v>0</v>
      </c>
      <c r="AF53" s="323"/>
      <c r="AG53" s="323"/>
      <c r="AH53" s="323"/>
      <c r="AI53" s="323"/>
      <c r="AJ53" s="323"/>
      <c r="AK53" s="323"/>
      <c r="AL53" s="323"/>
      <c r="AM53" s="323"/>
      <c r="AN53" s="324"/>
      <c r="AO53" s="323">
        <f t="shared" si="4"/>
        <v>1600</v>
      </c>
      <c r="AP53" s="323"/>
      <c r="AQ53" s="323"/>
      <c r="AR53" s="323"/>
      <c r="AS53" s="323"/>
      <c r="AT53" s="323"/>
      <c r="AU53" s="323"/>
      <c r="AV53" s="323"/>
      <c r="AW53" s="323"/>
      <c r="AX53" s="324"/>
      <c r="AY53" s="40"/>
      <c r="AZ53" s="1"/>
      <c r="BA53" s="43"/>
      <c r="BB53" s="325" t="s">
        <v>529</v>
      </c>
      <c r="BC53" s="326"/>
      <c r="BD53" s="326"/>
      <c r="BE53" s="326"/>
      <c r="BF53" s="326"/>
      <c r="BG53" s="326"/>
      <c r="BH53" s="326"/>
      <c r="BI53" s="326"/>
      <c r="BJ53" s="326"/>
      <c r="BK53" s="326"/>
      <c r="BL53" s="326"/>
      <c r="BM53" s="326"/>
      <c r="BN53" s="326"/>
      <c r="BO53" s="326"/>
      <c r="BP53" s="326"/>
      <c r="BQ53" s="326"/>
      <c r="BR53" s="327"/>
      <c r="BS53" s="328">
        <f>$T$675-BS50-BS51-BS52</f>
        <v>0</v>
      </c>
      <c r="BT53" s="329"/>
      <c r="BU53" s="329"/>
      <c r="BV53" s="329"/>
      <c r="BW53" s="329"/>
      <c r="BX53" s="329"/>
      <c r="BY53" s="329"/>
      <c r="BZ53" s="329"/>
      <c r="CA53" s="329"/>
      <c r="CB53" s="330"/>
      <c r="CC53" s="328">
        <f>$AD$675-CC50-CC51-CC52</f>
        <v>0</v>
      </c>
      <c r="CD53" s="329"/>
      <c r="CE53" s="329"/>
      <c r="CF53" s="329"/>
      <c r="CG53" s="329"/>
      <c r="CH53" s="329"/>
      <c r="CI53" s="329"/>
      <c r="CJ53" s="329"/>
      <c r="CK53" s="329"/>
      <c r="CL53" s="330"/>
      <c r="CM53" s="323">
        <f t="shared" si="5"/>
        <v>0</v>
      </c>
      <c r="CN53" s="323"/>
      <c r="CO53" s="323"/>
      <c r="CP53" s="323"/>
      <c r="CQ53" s="323"/>
      <c r="CR53" s="323"/>
      <c r="CS53" s="323"/>
      <c r="CT53" s="323"/>
      <c r="CU53" s="323"/>
      <c r="CV53" s="324"/>
      <c r="CW53" s="40"/>
      <c r="CX53" s="1"/>
    </row>
    <row r="54" spans="3:102" ht="15" hidden="1" customHeight="1">
      <c r="C54" s="43"/>
      <c r="D54" s="325" t="s">
        <v>63</v>
      </c>
      <c r="E54" s="326"/>
      <c r="F54" s="326"/>
      <c r="G54" s="326"/>
      <c r="H54" s="326"/>
      <c r="I54" s="326"/>
      <c r="J54" s="326"/>
      <c r="K54" s="326"/>
      <c r="L54" s="326"/>
      <c r="M54" s="326"/>
      <c r="N54" s="326"/>
      <c r="O54" s="326"/>
      <c r="P54" s="326"/>
      <c r="Q54" s="326"/>
      <c r="R54" s="326"/>
      <c r="S54" s="326"/>
      <c r="T54" s="327"/>
      <c r="U54" s="323">
        <f>SUMIFS('Adv. Filter'!$CH$1:$CH$50000,'Adv. Filter'!$CC$1:$CC$50000,"Vehicle &amp; Mobile Bill",'Adv. Filter'!$CF$1:$CF$50000,"Cash",'Adv. Filter'!$CD$1:$CD$50000,$D54)</f>
        <v>1000</v>
      </c>
      <c r="V54" s="323"/>
      <c r="W54" s="323"/>
      <c r="X54" s="323"/>
      <c r="Y54" s="323"/>
      <c r="Z54" s="323"/>
      <c r="AA54" s="323"/>
      <c r="AB54" s="323"/>
      <c r="AC54" s="323"/>
      <c r="AD54" s="323"/>
      <c r="AE54" s="322">
        <f>SUMIFS('Adv. Filter'!$CH$1:$CH$50000,'Adv. Filter'!$CC$1:$CC$50000,"Vehicle &amp; Mobile Bill",'Adv. Filter'!$CF$1:$CF$50000,"Bank",'Adv. Filter'!$CD$1:$CD$50000,$D54)</f>
        <v>0</v>
      </c>
      <c r="AF54" s="323"/>
      <c r="AG54" s="323"/>
      <c r="AH54" s="323"/>
      <c r="AI54" s="323"/>
      <c r="AJ54" s="323"/>
      <c r="AK54" s="323"/>
      <c r="AL54" s="323"/>
      <c r="AM54" s="323"/>
      <c r="AN54" s="324"/>
      <c r="AO54" s="323">
        <f t="shared" si="4"/>
        <v>1000</v>
      </c>
      <c r="AP54" s="323"/>
      <c r="AQ54" s="323"/>
      <c r="AR54" s="323"/>
      <c r="AS54" s="323"/>
      <c r="AT54" s="323"/>
      <c r="AU54" s="323"/>
      <c r="AV54" s="323"/>
      <c r="AW54" s="323"/>
      <c r="AX54" s="324"/>
      <c r="AY54" s="40"/>
      <c r="AZ54" s="1"/>
      <c r="BA54" s="43"/>
      <c r="BB54" s="361" t="s">
        <v>528</v>
      </c>
      <c r="BC54" s="361"/>
      <c r="BD54" s="361"/>
      <c r="BE54" s="361"/>
      <c r="BF54" s="361"/>
      <c r="BG54" s="361"/>
      <c r="BH54" s="361"/>
      <c r="BI54" s="361"/>
      <c r="BJ54" s="361"/>
      <c r="BK54" s="361"/>
      <c r="BL54" s="361"/>
      <c r="BM54" s="361"/>
      <c r="BN54" s="361"/>
      <c r="BO54" s="361"/>
      <c r="BP54" s="361"/>
      <c r="BQ54" s="361"/>
      <c r="BR54" s="361"/>
      <c r="BS54" s="373">
        <f>$T$675</f>
        <v>510800</v>
      </c>
      <c r="BT54" s="373"/>
      <c r="BU54" s="373"/>
      <c r="BV54" s="373"/>
      <c r="BW54" s="373"/>
      <c r="BX54" s="373"/>
      <c r="BY54" s="373"/>
      <c r="BZ54" s="373"/>
      <c r="CA54" s="373"/>
      <c r="CB54" s="373"/>
      <c r="CC54" s="373">
        <f>$AD$675</f>
        <v>358850</v>
      </c>
      <c r="CD54" s="373"/>
      <c r="CE54" s="373"/>
      <c r="CF54" s="373"/>
      <c r="CG54" s="373"/>
      <c r="CH54" s="373"/>
      <c r="CI54" s="373"/>
      <c r="CJ54" s="373"/>
      <c r="CK54" s="373"/>
      <c r="CL54" s="373"/>
      <c r="CM54" s="320">
        <f t="shared" si="5"/>
        <v>869650</v>
      </c>
      <c r="CN54" s="320"/>
      <c r="CO54" s="320"/>
      <c r="CP54" s="320"/>
      <c r="CQ54" s="320"/>
      <c r="CR54" s="320"/>
      <c r="CS54" s="320"/>
      <c r="CT54" s="320"/>
      <c r="CU54" s="320"/>
      <c r="CV54" s="320"/>
      <c r="CW54" s="40"/>
      <c r="CX54" s="1"/>
    </row>
    <row r="55" spans="3:102" ht="15" hidden="1" customHeight="1">
      <c r="C55" s="43"/>
      <c r="D55" s="325" t="s">
        <v>86</v>
      </c>
      <c r="E55" s="326"/>
      <c r="F55" s="326"/>
      <c r="G55" s="326"/>
      <c r="H55" s="326"/>
      <c r="I55" s="326"/>
      <c r="J55" s="326"/>
      <c r="K55" s="326"/>
      <c r="L55" s="326"/>
      <c r="M55" s="326"/>
      <c r="N55" s="326"/>
      <c r="O55" s="326"/>
      <c r="P55" s="326"/>
      <c r="Q55" s="326"/>
      <c r="R55" s="326"/>
      <c r="S55" s="326"/>
      <c r="T55" s="327"/>
      <c r="U55" s="323">
        <f>SUMIFS('Adv. Filter'!$CH$1:$CH$50000,'Adv. Filter'!$CC$1:$CC$50000,"Vehicle &amp; Mobile Bill",'Adv. Filter'!$CF$1:$CF$50000,"Cash",'Adv. Filter'!$CD$1:$CD$50000,$D55)</f>
        <v>1600</v>
      </c>
      <c r="V55" s="323"/>
      <c r="W55" s="323"/>
      <c r="X55" s="323"/>
      <c r="Y55" s="323"/>
      <c r="Z55" s="323"/>
      <c r="AA55" s="323"/>
      <c r="AB55" s="323"/>
      <c r="AC55" s="323"/>
      <c r="AD55" s="323"/>
      <c r="AE55" s="322">
        <f>SUMIFS('Adv. Filter'!$CH$1:$CH$50000,'Adv. Filter'!$CC$1:$CC$50000,"Vehicle &amp; Mobile Bill",'Adv. Filter'!$CF$1:$CF$50000,"Bank",'Adv. Filter'!$CD$1:$CD$50000,$D55)</f>
        <v>0</v>
      </c>
      <c r="AF55" s="323"/>
      <c r="AG55" s="323"/>
      <c r="AH55" s="323"/>
      <c r="AI55" s="323"/>
      <c r="AJ55" s="323"/>
      <c r="AK55" s="323"/>
      <c r="AL55" s="323"/>
      <c r="AM55" s="323"/>
      <c r="AN55" s="324"/>
      <c r="AO55" s="323">
        <f t="shared" si="4"/>
        <v>1600</v>
      </c>
      <c r="AP55" s="323"/>
      <c r="AQ55" s="323"/>
      <c r="AR55" s="323"/>
      <c r="AS55" s="323"/>
      <c r="AT55" s="323"/>
      <c r="AU55" s="323"/>
      <c r="AV55" s="323"/>
      <c r="AW55" s="323"/>
      <c r="AX55" s="324"/>
      <c r="AY55" s="40"/>
      <c r="AZ55" s="1"/>
      <c r="BA55" s="43"/>
      <c r="BB55" s="361" t="s">
        <v>527</v>
      </c>
      <c r="BC55" s="361"/>
      <c r="BD55" s="361"/>
      <c r="BE55" s="361"/>
      <c r="BF55" s="361"/>
      <c r="BG55" s="361"/>
      <c r="BH55" s="361"/>
      <c r="BI55" s="361"/>
      <c r="BJ55" s="361"/>
      <c r="BK55" s="361"/>
      <c r="BL55" s="361"/>
      <c r="BM55" s="361"/>
      <c r="BN55" s="361"/>
      <c r="BO55" s="361"/>
      <c r="BP55" s="361"/>
      <c r="BQ55" s="361"/>
      <c r="BR55" s="361"/>
      <c r="BS55" s="373">
        <f>$BP$675</f>
        <v>38000</v>
      </c>
      <c r="BT55" s="373"/>
      <c r="BU55" s="373"/>
      <c r="BV55" s="373"/>
      <c r="BW55" s="373"/>
      <c r="BX55" s="373"/>
      <c r="BY55" s="373"/>
      <c r="BZ55" s="373"/>
      <c r="CA55" s="373"/>
      <c r="CB55" s="373"/>
      <c r="CC55" s="373">
        <f>$BZ$675</f>
        <v>30000</v>
      </c>
      <c r="CD55" s="373"/>
      <c r="CE55" s="373"/>
      <c r="CF55" s="373"/>
      <c r="CG55" s="373"/>
      <c r="CH55" s="373"/>
      <c r="CI55" s="373"/>
      <c r="CJ55" s="373"/>
      <c r="CK55" s="373"/>
      <c r="CL55" s="373"/>
      <c r="CM55" s="320">
        <f t="shared" si="5"/>
        <v>68000</v>
      </c>
      <c r="CN55" s="320"/>
      <c r="CO55" s="320"/>
      <c r="CP55" s="320"/>
      <c r="CQ55" s="320"/>
      <c r="CR55" s="320"/>
      <c r="CS55" s="320"/>
      <c r="CT55" s="320"/>
      <c r="CU55" s="320"/>
      <c r="CV55" s="320"/>
      <c r="CW55" s="40"/>
      <c r="CX55" s="1"/>
    </row>
    <row r="56" spans="3:102" ht="15" hidden="1" customHeight="1" thickBot="1">
      <c r="C56" s="43"/>
      <c r="D56" s="325" t="s">
        <v>79</v>
      </c>
      <c r="E56" s="326"/>
      <c r="F56" s="326"/>
      <c r="G56" s="326"/>
      <c r="H56" s="326"/>
      <c r="I56" s="326"/>
      <c r="J56" s="326"/>
      <c r="K56" s="326"/>
      <c r="L56" s="326"/>
      <c r="M56" s="326"/>
      <c r="N56" s="326"/>
      <c r="O56" s="326"/>
      <c r="P56" s="326"/>
      <c r="Q56" s="326"/>
      <c r="R56" s="326"/>
      <c r="S56" s="326"/>
      <c r="T56" s="327"/>
      <c r="U56" s="323">
        <f>SUMIFS('Adv. Filter'!$CH$1:$CH$50000,'Adv. Filter'!$CC$1:$CC$50000,"Vehicle &amp; Mobile Bill",'Adv. Filter'!$CF$1:$CF$50000,"Cash",'Adv. Filter'!$CD$1:$CD$50000,$D56)</f>
        <v>800</v>
      </c>
      <c r="V56" s="323"/>
      <c r="W56" s="323"/>
      <c r="X56" s="323"/>
      <c r="Y56" s="323"/>
      <c r="Z56" s="323"/>
      <c r="AA56" s="323"/>
      <c r="AB56" s="323"/>
      <c r="AC56" s="323"/>
      <c r="AD56" s="323"/>
      <c r="AE56" s="322">
        <f>SUMIFS('Adv. Filter'!$CH$1:$CH$50000,'Adv. Filter'!$CC$1:$CC$50000,"Vehicle &amp; Mobile Bill",'Adv. Filter'!$CF$1:$CF$50000,"Bank",'Adv. Filter'!$CD$1:$CD$50000,$D56)</f>
        <v>0</v>
      </c>
      <c r="AF56" s="323"/>
      <c r="AG56" s="323"/>
      <c r="AH56" s="323"/>
      <c r="AI56" s="323"/>
      <c r="AJ56" s="323"/>
      <c r="AK56" s="323"/>
      <c r="AL56" s="323"/>
      <c r="AM56" s="323"/>
      <c r="AN56" s="324"/>
      <c r="AO56" s="323">
        <f t="shared" si="4"/>
        <v>800</v>
      </c>
      <c r="AP56" s="323"/>
      <c r="AQ56" s="323"/>
      <c r="AR56" s="323"/>
      <c r="AS56" s="323"/>
      <c r="AT56" s="323"/>
      <c r="AU56" s="323"/>
      <c r="AV56" s="323"/>
      <c r="AW56" s="323"/>
      <c r="AX56" s="324"/>
      <c r="AY56" s="40"/>
      <c r="AZ56" s="1"/>
      <c r="BA56" s="43"/>
      <c r="BB56" s="340" t="s">
        <v>329</v>
      </c>
      <c r="BC56" s="340"/>
      <c r="BD56" s="340"/>
      <c r="BE56" s="340"/>
      <c r="BF56" s="340"/>
      <c r="BG56" s="340"/>
      <c r="BH56" s="340"/>
      <c r="BI56" s="340"/>
      <c r="BJ56" s="340"/>
      <c r="BK56" s="340"/>
      <c r="BL56" s="340"/>
      <c r="BM56" s="340"/>
      <c r="BN56" s="340"/>
      <c r="BO56" s="340"/>
      <c r="BP56" s="340"/>
      <c r="BQ56" s="340"/>
      <c r="BR56" s="340"/>
      <c r="BS56" s="335">
        <f>$BK$682</f>
        <v>0</v>
      </c>
      <c r="BT56" s="336"/>
      <c r="BU56" s="336"/>
      <c r="BV56" s="336"/>
      <c r="BW56" s="336"/>
      <c r="BX56" s="336"/>
      <c r="BY56" s="336"/>
      <c r="BZ56" s="336"/>
      <c r="CA56" s="336"/>
      <c r="CB56" s="333"/>
      <c r="CC56" s="336">
        <f>$BX$682</f>
        <v>0</v>
      </c>
      <c r="CD56" s="336"/>
      <c r="CE56" s="336"/>
      <c r="CF56" s="336"/>
      <c r="CG56" s="336"/>
      <c r="CH56" s="336"/>
      <c r="CI56" s="336"/>
      <c r="CJ56" s="336"/>
      <c r="CK56" s="336"/>
      <c r="CL56" s="336"/>
      <c r="CM56" s="336">
        <f t="shared" si="5"/>
        <v>0</v>
      </c>
      <c r="CN56" s="336"/>
      <c r="CO56" s="336"/>
      <c r="CP56" s="336"/>
      <c r="CQ56" s="336"/>
      <c r="CR56" s="336"/>
      <c r="CS56" s="336"/>
      <c r="CT56" s="336"/>
      <c r="CU56" s="336"/>
      <c r="CV56" s="336"/>
      <c r="CW56" s="40"/>
      <c r="CX56" s="1"/>
    </row>
    <row r="57" spans="3:102" ht="15" hidden="1" customHeight="1" thickTop="1">
      <c r="C57" s="43"/>
      <c r="D57" s="325" t="s">
        <v>98</v>
      </c>
      <c r="E57" s="326"/>
      <c r="F57" s="326"/>
      <c r="G57" s="326"/>
      <c r="H57" s="326"/>
      <c r="I57" s="326"/>
      <c r="J57" s="326"/>
      <c r="K57" s="326"/>
      <c r="L57" s="326"/>
      <c r="M57" s="326"/>
      <c r="N57" s="326"/>
      <c r="O57" s="326"/>
      <c r="P57" s="326"/>
      <c r="Q57" s="326"/>
      <c r="R57" s="326"/>
      <c r="S57" s="326"/>
      <c r="T57" s="327"/>
      <c r="U57" s="323">
        <f>SUMIFS('Adv. Filter'!$CH$1:$CH$50000,'Adv. Filter'!$CC$1:$CC$50000,"Vehicle &amp; Mobile Bill",'Adv. Filter'!$CF$1:$CF$50000,"Cash",'Adv. Filter'!$CD$1:$CD$50000,$D57)</f>
        <v>1600</v>
      </c>
      <c r="V57" s="323"/>
      <c r="W57" s="323"/>
      <c r="X57" s="323"/>
      <c r="Y57" s="323"/>
      <c r="Z57" s="323"/>
      <c r="AA57" s="323"/>
      <c r="AB57" s="323"/>
      <c r="AC57" s="323"/>
      <c r="AD57" s="323"/>
      <c r="AE57" s="322">
        <f>SUMIFS('Adv. Filter'!$CH$1:$CH$50000,'Adv. Filter'!$CC$1:$CC$50000,"Vehicle &amp; Mobile Bill",'Adv. Filter'!$CF$1:$CF$50000,"Bank",'Adv. Filter'!$CD$1:$CD$50000,$D57)</f>
        <v>0</v>
      </c>
      <c r="AF57" s="323"/>
      <c r="AG57" s="323"/>
      <c r="AH57" s="323"/>
      <c r="AI57" s="323"/>
      <c r="AJ57" s="323"/>
      <c r="AK57" s="323"/>
      <c r="AL57" s="323"/>
      <c r="AM57" s="323"/>
      <c r="AN57" s="324"/>
      <c r="AO57" s="323">
        <f t="shared" si="4"/>
        <v>1600</v>
      </c>
      <c r="AP57" s="323"/>
      <c r="AQ57" s="323"/>
      <c r="AR57" s="323"/>
      <c r="AS57" s="323"/>
      <c r="AT57" s="323"/>
      <c r="AU57" s="323"/>
      <c r="AV57" s="323"/>
      <c r="AW57" s="323"/>
      <c r="AX57" s="324"/>
      <c r="AY57" s="40"/>
      <c r="AZ57" s="1"/>
      <c r="BA57" s="43"/>
      <c r="BB57" s="331" t="s">
        <v>526</v>
      </c>
      <c r="BC57" s="331"/>
      <c r="BD57" s="331"/>
      <c r="BE57" s="331"/>
      <c r="BF57" s="331"/>
      <c r="BG57" s="331"/>
      <c r="BH57" s="331"/>
      <c r="BI57" s="331"/>
      <c r="BJ57" s="331"/>
      <c r="BK57" s="331"/>
      <c r="BL57" s="331"/>
      <c r="BM57" s="331"/>
      <c r="BN57" s="331"/>
      <c r="BO57" s="331"/>
      <c r="BP57" s="331"/>
      <c r="BQ57" s="331"/>
      <c r="BR57" s="331"/>
      <c r="BS57" s="260">
        <f>SUM(BS54:CB56)</f>
        <v>548800</v>
      </c>
      <c r="BT57" s="332"/>
      <c r="BU57" s="332"/>
      <c r="BV57" s="332"/>
      <c r="BW57" s="332"/>
      <c r="BX57" s="332"/>
      <c r="BY57" s="332"/>
      <c r="BZ57" s="332"/>
      <c r="CA57" s="332"/>
      <c r="CB57" s="258"/>
      <c r="CC57" s="341">
        <f>SUM(CC54:CL56)</f>
        <v>388850</v>
      </c>
      <c r="CD57" s="341"/>
      <c r="CE57" s="341"/>
      <c r="CF57" s="341"/>
      <c r="CG57" s="341"/>
      <c r="CH57" s="341"/>
      <c r="CI57" s="341"/>
      <c r="CJ57" s="341"/>
      <c r="CK57" s="341"/>
      <c r="CL57" s="273"/>
      <c r="CM57" s="341">
        <f t="shared" si="5"/>
        <v>937650</v>
      </c>
      <c r="CN57" s="341"/>
      <c r="CO57" s="341"/>
      <c r="CP57" s="341"/>
      <c r="CQ57" s="341"/>
      <c r="CR57" s="341"/>
      <c r="CS57" s="341"/>
      <c r="CT57" s="341"/>
      <c r="CU57" s="341"/>
      <c r="CV57" s="341"/>
      <c r="CW57" s="40"/>
      <c r="CX57" s="1"/>
    </row>
    <row r="58" spans="3:102" ht="15" hidden="1" customHeight="1">
      <c r="C58" s="43"/>
      <c r="D58" s="325" t="s">
        <v>176</v>
      </c>
      <c r="E58" s="326"/>
      <c r="F58" s="326"/>
      <c r="G58" s="326"/>
      <c r="H58" s="326"/>
      <c r="I58" s="326"/>
      <c r="J58" s="326"/>
      <c r="K58" s="326"/>
      <c r="L58" s="326"/>
      <c r="M58" s="326"/>
      <c r="N58" s="326"/>
      <c r="O58" s="326"/>
      <c r="P58" s="326"/>
      <c r="Q58" s="326"/>
      <c r="R58" s="326"/>
      <c r="S58" s="326"/>
      <c r="T58" s="327"/>
      <c r="U58" s="323">
        <f>SUMIFS('Adv. Filter'!$CH$1:$CH$50000,'Adv. Filter'!$CC$1:$CC$50000,"Vehicle &amp; Mobile Bill",'Adv. Filter'!$CF$1:$CF$50000,"Cash",'Adv. Filter'!$CD$1:$CD$50000,$D58)</f>
        <v>2400</v>
      </c>
      <c r="V58" s="323"/>
      <c r="W58" s="323"/>
      <c r="X58" s="323"/>
      <c r="Y58" s="323"/>
      <c r="Z58" s="323"/>
      <c r="AA58" s="323"/>
      <c r="AB58" s="323"/>
      <c r="AC58" s="323"/>
      <c r="AD58" s="323"/>
      <c r="AE58" s="322">
        <f>SUMIFS('Adv. Filter'!$CH$1:$CH$50000,'Adv. Filter'!$CC$1:$CC$50000,"Vehicle &amp; Mobile Bill",'Adv. Filter'!$CF$1:$CF$50000,"Bank",'Adv. Filter'!$CD$1:$CD$50000,$D58)</f>
        <v>0</v>
      </c>
      <c r="AF58" s="323"/>
      <c r="AG58" s="323"/>
      <c r="AH58" s="323"/>
      <c r="AI58" s="323"/>
      <c r="AJ58" s="323"/>
      <c r="AK58" s="323"/>
      <c r="AL58" s="323"/>
      <c r="AM58" s="323"/>
      <c r="AN58" s="324"/>
      <c r="AO58" s="323">
        <f t="shared" si="4"/>
        <v>2400</v>
      </c>
      <c r="AP58" s="323"/>
      <c r="AQ58" s="323"/>
      <c r="AR58" s="323"/>
      <c r="AS58" s="323"/>
      <c r="AT58" s="323"/>
      <c r="AU58" s="323"/>
      <c r="AV58" s="323"/>
      <c r="AW58" s="323"/>
      <c r="AX58" s="324"/>
      <c r="AY58" s="40"/>
      <c r="AZ58" s="1"/>
      <c r="BA58" s="43"/>
      <c r="BB58" s="61"/>
      <c r="BC58" s="61"/>
      <c r="BD58" s="61"/>
      <c r="BE58" s="61"/>
      <c r="BF58" s="61"/>
      <c r="BG58" s="61"/>
      <c r="BH58" s="61"/>
      <c r="BI58" s="61"/>
      <c r="BJ58" s="61"/>
      <c r="BK58" s="61"/>
      <c r="BL58" s="61"/>
      <c r="BM58" s="61"/>
      <c r="BN58" s="61"/>
      <c r="BO58" s="61"/>
      <c r="BP58" s="61"/>
      <c r="BQ58" s="61"/>
      <c r="BR58" s="61"/>
      <c r="BS58" s="60"/>
      <c r="BT58" s="60"/>
      <c r="BU58" s="60"/>
      <c r="BV58" s="60"/>
      <c r="BW58" s="60"/>
      <c r="BX58" s="60"/>
      <c r="BY58" s="60"/>
      <c r="BZ58" s="60"/>
      <c r="CA58" s="60"/>
      <c r="CB58" s="60"/>
      <c r="CC58" s="60"/>
      <c r="CD58" s="60"/>
      <c r="CE58" s="60"/>
      <c r="CF58" s="60"/>
      <c r="CG58" s="60"/>
      <c r="CH58" s="60"/>
      <c r="CI58" s="60"/>
      <c r="CJ58" s="60"/>
      <c r="CK58" s="60"/>
      <c r="CL58" s="60"/>
      <c r="CM58" s="60"/>
      <c r="CN58" s="60"/>
      <c r="CO58" s="60"/>
      <c r="CP58" s="60"/>
      <c r="CQ58" s="60"/>
      <c r="CR58" s="60"/>
      <c r="CS58" s="60"/>
      <c r="CT58" s="60"/>
      <c r="CU58" s="60"/>
      <c r="CV58" s="60"/>
      <c r="CW58" s="40"/>
      <c r="CX58" s="1"/>
    </row>
    <row r="59" spans="3:102" ht="15" hidden="1" customHeight="1">
      <c r="C59" s="43"/>
      <c r="D59" s="325" t="s">
        <v>88</v>
      </c>
      <c r="E59" s="326"/>
      <c r="F59" s="326"/>
      <c r="G59" s="326"/>
      <c r="H59" s="326"/>
      <c r="I59" s="326"/>
      <c r="J59" s="326"/>
      <c r="K59" s="326"/>
      <c r="L59" s="326"/>
      <c r="M59" s="326"/>
      <c r="N59" s="326"/>
      <c r="O59" s="326"/>
      <c r="P59" s="326"/>
      <c r="Q59" s="326"/>
      <c r="R59" s="326"/>
      <c r="S59" s="326"/>
      <c r="T59" s="327"/>
      <c r="U59" s="323">
        <f>SUMIFS('Adv. Filter'!$CH$1:$CH$50000,'Adv. Filter'!$CC$1:$CC$50000,"Vehicle &amp; Mobile Bill",'Adv. Filter'!$CF$1:$CF$50000,"Cash",'Adv. Filter'!$CD$1:$CD$50000,$D59)</f>
        <v>1600</v>
      </c>
      <c r="V59" s="323"/>
      <c r="W59" s="323"/>
      <c r="X59" s="323"/>
      <c r="Y59" s="323"/>
      <c r="Z59" s="323"/>
      <c r="AA59" s="323"/>
      <c r="AB59" s="323"/>
      <c r="AC59" s="323"/>
      <c r="AD59" s="323"/>
      <c r="AE59" s="322">
        <f>SUMIFS('Adv. Filter'!$CH$1:$CH$50000,'Adv. Filter'!$CC$1:$CC$50000,"Vehicle &amp; Mobile Bill",'Adv. Filter'!$CF$1:$CF$50000,"Bank",'Adv. Filter'!$CD$1:$CD$50000,$D59)</f>
        <v>0</v>
      </c>
      <c r="AF59" s="323"/>
      <c r="AG59" s="323"/>
      <c r="AH59" s="323"/>
      <c r="AI59" s="323"/>
      <c r="AJ59" s="323"/>
      <c r="AK59" s="323"/>
      <c r="AL59" s="323"/>
      <c r="AM59" s="323"/>
      <c r="AN59" s="324"/>
      <c r="AO59" s="323">
        <f t="shared" si="4"/>
        <v>1600</v>
      </c>
      <c r="AP59" s="323"/>
      <c r="AQ59" s="323"/>
      <c r="AR59" s="323"/>
      <c r="AS59" s="323"/>
      <c r="AT59" s="323"/>
      <c r="AU59" s="323"/>
      <c r="AV59" s="323"/>
      <c r="AW59" s="323"/>
      <c r="AX59" s="324"/>
      <c r="AY59" s="40"/>
      <c r="AZ59" s="1"/>
      <c r="BA59" s="43"/>
      <c r="BB59" s="374" t="s">
        <v>515</v>
      </c>
      <c r="BC59" s="375"/>
      <c r="BD59" s="375"/>
      <c r="BE59" s="375"/>
      <c r="BF59" s="375"/>
      <c r="BG59" s="375"/>
      <c r="BH59" s="375"/>
      <c r="BI59" s="375"/>
      <c r="BJ59" s="375"/>
      <c r="BK59" s="375"/>
      <c r="BL59" s="375"/>
      <c r="BM59" s="375"/>
      <c r="BN59" s="375"/>
      <c r="BO59" s="375"/>
      <c r="BP59" s="375"/>
      <c r="BQ59" s="375"/>
      <c r="BR59" s="376"/>
      <c r="BS59" s="359" t="s">
        <v>494</v>
      </c>
      <c r="BT59" s="359"/>
      <c r="BU59" s="359"/>
      <c r="BV59" s="359"/>
      <c r="BW59" s="359"/>
      <c r="BX59" s="359"/>
      <c r="BY59" s="359"/>
      <c r="BZ59" s="359"/>
      <c r="CA59" s="359"/>
      <c r="CB59" s="359"/>
      <c r="CC59" s="359" t="s">
        <v>530</v>
      </c>
      <c r="CD59" s="359"/>
      <c r="CE59" s="359"/>
      <c r="CF59" s="359"/>
      <c r="CG59" s="359"/>
      <c r="CH59" s="359"/>
      <c r="CI59" s="359"/>
      <c r="CJ59" s="359"/>
      <c r="CK59" s="359"/>
      <c r="CL59" s="359"/>
      <c r="CM59" s="359" t="s">
        <v>503</v>
      </c>
      <c r="CN59" s="359"/>
      <c r="CO59" s="359"/>
      <c r="CP59" s="359"/>
      <c r="CQ59" s="359"/>
      <c r="CR59" s="359"/>
      <c r="CS59" s="359"/>
      <c r="CT59" s="359"/>
      <c r="CU59" s="359"/>
      <c r="CV59" s="359"/>
      <c r="CW59" s="40"/>
      <c r="CX59" s="1"/>
    </row>
    <row r="60" spans="3:102" ht="15" hidden="1" customHeight="1">
      <c r="C60" s="43"/>
      <c r="D60" s="325" t="s">
        <v>85</v>
      </c>
      <c r="E60" s="326"/>
      <c r="F60" s="326"/>
      <c r="G60" s="326"/>
      <c r="H60" s="326"/>
      <c r="I60" s="326"/>
      <c r="J60" s="326"/>
      <c r="K60" s="326"/>
      <c r="L60" s="326"/>
      <c r="M60" s="326"/>
      <c r="N60" s="326"/>
      <c r="O60" s="326"/>
      <c r="P60" s="326"/>
      <c r="Q60" s="326"/>
      <c r="R60" s="326"/>
      <c r="S60" s="326"/>
      <c r="T60" s="327"/>
      <c r="U60" s="323">
        <f>SUMIFS('Adv. Filter'!$CH$1:$CH$50000,'Adv. Filter'!$CC$1:$CC$50000,"Vehicle &amp; Mobile Bill",'Adv. Filter'!$CF$1:$CF$50000,"Cash",'Adv. Filter'!$CD$1:$CD$50000,$D60)</f>
        <v>1600</v>
      </c>
      <c r="V60" s="323"/>
      <c r="W60" s="323"/>
      <c r="X60" s="323"/>
      <c r="Y60" s="323"/>
      <c r="Z60" s="323"/>
      <c r="AA60" s="323"/>
      <c r="AB60" s="323"/>
      <c r="AC60" s="323"/>
      <c r="AD60" s="323"/>
      <c r="AE60" s="322">
        <f>SUMIFS('Adv. Filter'!$CH$1:$CH$50000,'Adv. Filter'!$CC$1:$CC$50000,"Vehicle &amp; Mobile Bill",'Adv. Filter'!$CF$1:$CF$50000,"Bank",'Adv. Filter'!$CD$1:$CD$50000,$D60)</f>
        <v>0</v>
      </c>
      <c r="AF60" s="323"/>
      <c r="AG60" s="323"/>
      <c r="AH60" s="323"/>
      <c r="AI60" s="323"/>
      <c r="AJ60" s="323"/>
      <c r="AK60" s="323"/>
      <c r="AL60" s="323"/>
      <c r="AM60" s="323"/>
      <c r="AN60" s="324"/>
      <c r="AO60" s="323">
        <f t="shared" si="4"/>
        <v>1600</v>
      </c>
      <c r="AP60" s="323"/>
      <c r="AQ60" s="323"/>
      <c r="AR60" s="323"/>
      <c r="AS60" s="323"/>
      <c r="AT60" s="323"/>
      <c r="AU60" s="323"/>
      <c r="AV60" s="323"/>
      <c r="AW60" s="323"/>
      <c r="AX60" s="324"/>
      <c r="AY60" s="40"/>
      <c r="AZ60" s="1"/>
      <c r="BA60" s="43"/>
      <c r="BB60" s="325" t="s">
        <v>26</v>
      </c>
      <c r="BC60" s="326"/>
      <c r="BD60" s="326"/>
      <c r="BE60" s="326"/>
      <c r="BF60" s="326"/>
      <c r="BG60" s="326"/>
      <c r="BH60" s="326"/>
      <c r="BI60" s="326"/>
      <c r="BJ60" s="326"/>
      <c r="BK60" s="326"/>
      <c r="BL60" s="326"/>
      <c r="BM60" s="326"/>
      <c r="BN60" s="326"/>
      <c r="BO60" s="326"/>
      <c r="BP60" s="326"/>
      <c r="BQ60" s="326"/>
      <c r="BR60" s="327"/>
      <c r="BS60" s="328">
        <f>$T$758+$T$761</f>
        <v>0</v>
      </c>
      <c r="BT60" s="329"/>
      <c r="BU60" s="329"/>
      <c r="BV60" s="329"/>
      <c r="BW60" s="329"/>
      <c r="BX60" s="329"/>
      <c r="BY60" s="329"/>
      <c r="BZ60" s="329"/>
      <c r="CA60" s="329"/>
      <c r="CB60" s="330"/>
      <c r="CC60" s="328">
        <f>$AD$758+$AD$761</f>
        <v>32760</v>
      </c>
      <c r="CD60" s="329"/>
      <c r="CE60" s="329"/>
      <c r="CF60" s="329"/>
      <c r="CG60" s="329"/>
      <c r="CH60" s="329"/>
      <c r="CI60" s="329"/>
      <c r="CJ60" s="329"/>
      <c r="CK60" s="329"/>
      <c r="CL60" s="330"/>
      <c r="CM60" s="323">
        <f t="shared" ref="CM60:CM66" si="6">BS60+CC60</f>
        <v>32760</v>
      </c>
      <c r="CN60" s="323"/>
      <c r="CO60" s="323"/>
      <c r="CP60" s="323"/>
      <c r="CQ60" s="323"/>
      <c r="CR60" s="323"/>
      <c r="CS60" s="323"/>
      <c r="CT60" s="323"/>
      <c r="CU60" s="323"/>
      <c r="CV60" s="324"/>
      <c r="CW60" s="40"/>
      <c r="CX60" s="1"/>
    </row>
    <row r="61" spans="3:102" ht="15" hidden="1" customHeight="1">
      <c r="C61" s="43"/>
      <c r="D61" s="325" t="s">
        <v>112</v>
      </c>
      <c r="E61" s="326"/>
      <c r="F61" s="326"/>
      <c r="G61" s="326"/>
      <c r="H61" s="326"/>
      <c r="I61" s="326"/>
      <c r="J61" s="326"/>
      <c r="K61" s="326"/>
      <c r="L61" s="326"/>
      <c r="M61" s="326"/>
      <c r="N61" s="326"/>
      <c r="O61" s="326"/>
      <c r="P61" s="326"/>
      <c r="Q61" s="326"/>
      <c r="R61" s="326"/>
      <c r="S61" s="326"/>
      <c r="T61" s="327"/>
      <c r="U61" s="323">
        <f>SUMIFS('Adv. Filter'!$CH$1:$CH$50000,'Adv. Filter'!$CC$1:$CC$50000,"Vehicle &amp; Mobile Bill",'Adv. Filter'!$CF$1:$CF$50000,"Cash",'Adv. Filter'!$CD$1:$CD$50000,$D61)</f>
        <v>1600</v>
      </c>
      <c r="V61" s="323"/>
      <c r="W61" s="323"/>
      <c r="X61" s="323"/>
      <c r="Y61" s="323"/>
      <c r="Z61" s="323"/>
      <c r="AA61" s="323"/>
      <c r="AB61" s="323"/>
      <c r="AC61" s="323"/>
      <c r="AD61" s="323"/>
      <c r="AE61" s="322">
        <f>SUMIFS('Adv. Filter'!$CH$1:$CH$50000,'Adv. Filter'!$CC$1:$CC$50000,"Vehicle &amp; Mobile Bill",'Adv. Filter'!$CF$1:$CF$50000,"Bank",'Adv. Filter'!$CD$1:$CD$50000,$D61)</f>
        <v>0</v>
      </c>
      <c r="AF61" s="323"/>
      <c r="AG61" s="323"/>
      <c r="AH61" s="323"/>
      <c r="AI61" s="323"/>
      <c r="AJ61" s="323"/>
      <c r="AK61" s="323"/>
      <c r="AL61" s="323"/>
      <c r="AM61" s="323"/>
      <c r="AN61" s="324"/>
      <c r="AO61" s="323">
        <f t="shared" si="4"/>
        <v>1600</v>
      </c>
      <c r="AP61" s="323"/>
      <c r="AQ61" s="323"/>
      <c r="AR61" s="323"/>
      <c r="AS61" s="323"/>
      <c r="AT61" s="323"/>
      <c r="AU61" s="323"/>
      <c r="AV61" s="323"/>
      <c r="AW61" s="323"/>
      <c r="AX61" s="324"/>
      <c r="AY61" s="40"/>
      <c r="AZ61" s="1"/>
      <c r="BA61" s="43"/>
      <c r="BB61" s="325" t="s">
        <v>546</v>
      </c>
      <c r="BC61" s="326"/>
      <c r="BD61" s="326"/>
      <c r="BE61" s="326"/>
      <c r="BF61" s="326"/>
      <c r="BG61" s="326"/>
      <c r="BH61" s="326"/>
      <c r="BI61" s="326"/>
      <c r="BJ61" s="326"/>
      <c r="BK61" s="326"/>
      <c r="BL61" s="326"/>
      <c r="BM61" s="326"/>
      <c r="BN61" s="326"/>
      <c r="BO61" s="326"/>
      <c r="BP61" s="326"/>
      <c r="BQ61" s="326"/>
      <c r="BR61" s="327"/>
      <c r="BS61" s="328">
        <f>$T$821+$T$824+$T$813+$T$816</f>
        <v>9500</v>
      </c>
      <c r="BT61" s="329"/>
      <c r="BU61" s="329"/>
      <c r="BV61" s="329"/>
      <c r="BW61" s="329"/>
      <c r="BX61" s="329"/>
      <c r="BY61" s="329"/>
      <c r="BZ61" s="329"/>
      <c r="CA61" s="329"/>
      <c r="CB61" s="330"/>
      <c r="CC61" s="328">
        <f>$AD$821+$AD$824+$AD$813+$AD$816</f>
        <v>277700</v>
      </c>
      <c r="CD61" s="329"/>
      <c r="CE61" s="329"/>
      <c r="CF61" s="329"/>
      <c r="CG61" s="329"/>
      <c r="CH61" s="329"/>
      <c r="CI61" s="329"/>
      <c r="CJ61" s="329"/>
      <c r="CK61" s="329"/>
      <c r="CL61" s="330"/>
      <c r="CM61" s="323">
        <f t="shared" si="6"/>
        <v>287200</v>
      </c>
      <c r="CN61" s="323"/>
      <c r="CO61" s="323"/>
      <c r="CP61" s="323"/>
      <c r="CQ61" s="323"/>
      <c r="CR61" s="323"/>
      <c r="CS61" s="323"/>
      <c r="CT61" s="323"/>
      <c r="CU61" s="323"/>
      <c r="CV61" s="324"/>
      <c r="CW61" s="40"/>
      <c r="CX61" s="1"/>
    </row>
    <row r="62" spans="3:102" ht="15" hidden="1" customHeight="1" thickBot="1">
      <c r="C62" s="43"/>
      <c r="D62" s="377" t="s">
        <v>178</v>
      </c>
      <c r="E62" s="378"/>
      <c r="F62" s="378"/>
      <c r="G62" s="378"/>
      <c r="H62" s="378"/>
      <c r="I62" s="378"/>
      <c r="J62" s="378"/>
      <c r="K62" s="378"/>
      <c r="L62" s="378"/>
      <c r="M62" s="378"/>
      <c r="N62" s="378"/>
      <c r="O62" s="378"/>
      <c r="P62" s="378"/>
      <c r="Q62" s="378"/>
      <c r="R62" s="378"/>
      <c r="S62" s="378"/>
      <c r="T62" s="379"/>
      <c r="U62" s="323">
        <f>SUMIFS('Adv. Filter'!$CH$1:$CH$50000,'Adv. Filter'!$CC$1:$CC$50000,"Vehicle &amp; Mobile Bill",'Adv. Filter'!$CF$1:$CF$50000,"Cash",'Adv. Filter'!$CD$1:$CD$50000,$D62)</f>
        <v>800</v>
      </c>
      <c r="V62" s="323"/>
      <c r="W62" s="323"/>
      <c r="X62" s="323"/>
      <c r="Y62" s="323"/>
      <c r="Z62" s="323"/>
      <c r="AA62" s="323"/>
      <c r="AB62" s="323"/>
      <c r="AC62" s="323"/>
      <c r="AD62" s="323"/>
      <c r="AE62" s="322">
        <f>SUMIFS('Adv. Filter'!$CH$1:$CH$50000,'Adv. Filter'!$CC$1:$CC$50000,"Vehicle &amp; Mobile Bill",'Adv. Filter'!$CF$1:$CF$50000,"Bank",'Adv. Filter'!$CD$1:$CD$50000,$D62)</f>
        <v>0</v>
      </c>
      <c r="AF62" s="323"/>
      <c r="AG62" s="323"/>
      <c r="AH62" s="323"/>
      <c r="AI62" s="323"/>
      <c r="AJ62" s="323"/>
      <c r="AK62" s="323"/>
      <c r="AL62" s="323"/>
      <c r="AM62" s="323"/>
      <c r="AN62" s="324"/>
      <c r="AO62" s="365">
        <f t="shared" si="4"/>
        <v>800</v>
      </c>
      <c r="AP62" s="346"/>
      <c r="AQ62" s="346"/>
      <c r="AR62" s="346"/>
      <c r="AS62" s="346"/>
      <c r="AT62" s="346"/>
      <c r="AU62" s="346"/>
      <c r="AV62" s="346"/>
      <c r="AW62" s="346"/>
      <c r="AX62" s="366"/>
      <c r="AY62" s="40"/>
      <c r="AZ62" s="1"/>
      <c r="BA62" s="43"/>
      <c r="BB62" s="325" t="s">
        <v>529</v>
      </c>
      <c r="BC62" s="326"/>
      <c r="BD62" s="326"/>
      <c r="BE62" s="326"/>
      <c r="BF62" s="326"/>
      <c r="BG62" s="326"/>
      <c r="BH62" s="326"/>
      <c r="BI62" s="326"/>
      <c r="BJ62" s="326"/>
      <c r="BK62" s="326"/>
      <c r="BL62" s="326"/>
      <c r="BM62" s="326"/>
      <c r="BN62" s="326"/>
      <c r="BO62" s="326"/>
      <c r="BP62" s="326"/>
      <c r="BQ62" s="326"/>
      <c r="BR62" s="327"/>
      <c r="BS62" s="328">
        <f>$T$825-BS60-BS61</f>
        <v>1000</v>
      </c>
      <c r="BT62" s="329"/>
      <c r="BU62" s="329"/>
      <c r="BV62" s="329"/>
      <c r="BW62" s="329"/>
      <c r="BX62" s="329"/>
      <c r="BY62" s="329"/>
      <c r="BZ62" s="329"/>
      <c r="CA62" s="329"/>
      <c r="CB62" s="330"/>
      <c r="CC62" s="328">
        <f>$AD$825-CC60-CC61</f>
        <v>28710</v>
      </c>
      <c r="CD62" s="329"/>
      <c r="CE62" s="329"/>
      <c r="CF62" s="329"/>
      <c r="CG62" s="329"/>
      <c r="CH62" s="329"/>
      <c r="CI62" s="329"/>
      <c r="CJ62" s="329"/>
      <c r="CK62" s="329"/>
      <c r="CL62" s="330"/>
      <c r="CM62" s="323">
        <f t="shared" si="6"/>
        <v>29710</v>
      </c>
      <c r="CN62" s="323"/>
      <c r="CO62" s="323"/>
      <c r="CP62" s="323"/>
      <c r="CQ62" s="323"/>
      <c r="CR62" s="323"/>
      <c r="CS62" s="323"/>
      <c r="CT62" s="323"/>
      <c r="CU62" s="323"/>
      <c r="CV62" s="324"/>
      <c r="CW62" s="40"/>
      <c r="CX62" s="1"/>
    </row>
    <row r="63" spans="3:102" ht="15" hidden="1" customHeight="1" thickTop="1">
      <c r="C63" s="43"/>
      <c r="D63" s="342" t="s">
        <v>531</v>
      </c>
      <c r="E63" s="342"/>
      <c r="F63" s="342"/>
      <c r="G63" s="342"/>
      <c r="H63" s="342"/>
      <c r="I63" s="342"/>
      <c r="J63" s="342"/>
      <c r="K63" s="342"/>
      <c r="L63" s="342"/>
      <c r="M63" s="342"/>
      <c r="N63" s="342"/>
      <c r="O63" s="342"/>
      <c r="P63" s="342"/>
      <c r="Q63" s="342"/>
      <c r="R63" s="342"/>
      <c r="S63" s="342"/>
      <c r="T63" s="342"/>
      <c r="U63" s="341">
        <f>SUM(U48:AD62)</f>
        <v>22600</v>
      </c>
      <c r="V63" s="341"/>
      <c r="W63" s="341"/>
      <c r="X63" s="341"/>
      <c r="Y63" s="341"/>
      <c r="Z63" s="341"/>
      <c r="AA63" s="341"/>
      <c r="AB63" s="341"/>
      <c r="AC63" s="341"/>
      <c r="AD63" s="341"/>
      <c r="AE63" s="341">
        <f>SUM(AE48:AN62)</f>
        <v>0</v>
      </c>
      <c r="AF63" s="341"/>
      <c r="AG63" s="341"/>
      <c r="AH63" s="341"/>
      <c r="AI63" s="341"/>
      <c r="AJ63" s="341"/>
      <c r="AK63" s="341"/>
      <c r="AL63" s="341"/>
      <c r="AM63" s="341"/>
      <c r="AN63" s="341"/>
      <c r="AO63" s="260">
        <f t="shared" si="4"/>
        <v>22600</v>
      </c>
      <c r="AP63" s="332"/>
      <c r="AQ63" s="332"/>
      <c r="AR63" s="332"/>
      <c r="AS63" s="332"/>
      <c r="AT63" s="332"/>
      <c r="AU63" s="332"/>
      <c r="AV63" s="332"/>
      <c r="AW63" s="332"/>
      <c r="AX63" s="332"/>
      <c r="AY63" s="40"/>
      <c r="AZ63" s="1"/>
      <c r="BA63" s="43"/>
      <c r="BB63" s="361" t="s">
        <v>528</v>
      </c>
      <c r="BC63" s="361"/>
      <c r="BD63" s="361"/>
      <c r="BE63" s="361"/>
      <c r="BF63" s="361"/>
      <c r="BG63" s="361"/>
      <c r="BH63" s="361"/>
      <c r="BI63" s="361"/>
      <c r="BJ63" s="361"/>
      <c r="BK63" s="361"/>
      <c r="BL63" s="361"/>
      <c r="BM63" s="361"/>
      <c r="BN63" s="361"/>
      <c r="BO63" s="361"/>
      <c r="BP63" s="361"/>
      <c r="BQ63" s="361"/>
      <c r="BR63" s="361"/>
      <c r="BS63" s="373">
        <f>$T$825</f>
        <v>10500</v>
      </c>
      <c r="BT63" s="373"/>
      <c r="BU63" s="373"/>
      <c r="BV63" s="373"/>
      <c r="BW63" s="373"/>
      <c r="BX63" s="373"/>
      <c r="BY63" s="373"/>
      <c r="BZ63" s="373"/>
      <c r="CA63" s="373"/>
      <c r="CB63" s="373"/>
      <c r="CC63" s="373">
        <f>$AD$825</f>
        <v>339170</v>
      </c>
      <c r="CD63" s="373"/>
      <c r="CE63" s="373"/>
      <c r="CF63" s="373"/>
      <c r="CG63" s="373"/>
      <c r="CH63" s="373"/>
      <c r="CI63" s="373"/>
      <c r="CJ63" s="373"/>
      <c r="CK63" s="373"/>
      <c r="CL63" s="373"/>
      <c r="CM63" s="320">
        <f t="shared" si="6"/>
        <v>349670</v>
      </c>
      <c r="CN63" s="320"/>
      <c r="CO63" s="320"/>
      <c r="CP63" s="320"/>
      <c r="CQ63" s="320"/>
      <c r="CR63" s="320"/>
      <c r="CS63" s="320"/>
      <c r="CT63" s="320"/>
      <c r="CU63" s="320"/>
      <c r="CV63" s="320"/>
      <c r="CW63" s="40"/>
      <c r="CX63" s="1"/>
    </row>
    <row r="64" spans="3:102" ht="15" hidden="1" customHeight="1">
      <c r="C64" s="43"/>
      <c r="U64" s="22"/>
      <c r="V64" s="22"/>
      <c r="W64" s="22"/>
      <c r="X64" s="22"/>
      <c r="Y64" s="22"/>
      <c r="Z64" s="22"/>
      <c r="AA64" s="22"/>
      <c r="AB64" s="22"/>
      <c r="AC64" s="22"/>
      <c r="AD64" s="22"/>
      <c r="AE64" s="22"/>
      <c r="AF64" s="22"/>
      <c r="AG64" s="22"/>
      <c r="AH64" s="22"/>
      <c r="AI64" s="22"/>
      <c r="AJ64" s="22"/>
      <c r="AK64" s="22"/>
      <c r="AL64" s="22"/>
      <c r="AM64" s="22"/>
      <c r="AN64" s="22"/>
      <c r="AO64" s="22"/>
      <c r="AP64" s="22"/>
      <c r="AQ64" s="22"/>
      <c r="AR64" s="22"/>
      <c r="AS64" s="22"/>
      <c r="AT64" s="22"/>
      <c r="AU64" s="22"/>
      <c r="AV64" s="22"/>
      <c r="AW64" s="22"/>
      <c r="AX64" s="22"/>
      <c r="AY64" s="40"/>
      <c r="AZ64" s="1"/>
      <c r="BA64" s="43"/>
      <c r="BB64" s="361" t="s">
        <v>527</v>
      </c>
      <c r="BC64" s="361"/>
      <c r="BD64" s="361"/>
      <c r="BE64" s="361"/>
      <c r="BF64" s="361"/>
      <c r="BG64" s="361"/>
      <c r="BH64" s="361"/>
      <c r="BI64" s="361"/>
      <c r="BJ64" s="361"/>
      <c r="BK64" s="361"/>
      <c r="BL64" s="361"/>
      <c r="BM64" s="361"/>
      <c r="BN64" s="361"/>
      <c r="BO64" s="361"/>
      <c r="BP64" s="361"/>
      <c r="BQ64" s="361"/>
      <c r="BR64" s="361"/>
      <c r="BS64" s="373">
        <f>$BP$825</f>
        <v>0</v>
      </c>
      <c r="BT64" s="373"/>
      <c r="BU64" s="373"/>
      <c r="BV64" s="373"/>
      <c r="BW64" s="373"/>
      <c r="BX64" s="373"/>
      <c r="BY64" s="373"/>
      <c r="BZ64" s="373"/>
      <c r="CA64" s="373"/>
      <c r="CB64" s="373"/>
      <c r="CC64" s="373">
        <f>$BZ$825</f>
        <v>0</v>
      </c>
      <c r="CD64" s="373"/>
      <c r="CE64" s="373"/>
      <c r="CF64" s="373"/>
      <c r="CG64" s="373"/>
      <c r="CH64" s="373"/>
      <c r="CI64" s="373"/>
      <c r="CJ64" s="373"/>
      <c r="CK64" s="373"/>
      <c r="CL64" s="373"/>
      <c r="CM64" s="320">
        <f t="shared" si="6"/>
        <v>0</v>
      </c>
      <c r="CN64" s="320"/>
      <c r="CO64" s="320"/>
      <c r="CP64" s="320"/>
      <c r="CQ64" s="320"/>
      <c r="CR64" s="320"/>
      <c r="CS64" s="320"/>
      <c r="CT64" s="320"/>
      <c r="CU64" s="320"/>
      <c r="CV64" s="320"/>
      <c r="CW64" s="40"/>
      <c r="CX64" s="1"/>
    </row>
    <row r="65" spans="3:102" ht="15" hidden="1" customHeight="1" thickBot="1">
      <c r="C65" s="43"/>
      <c r="D65" s="321" t="s">
        <v>533</v>
      </c>
      <c r="E65" s="321"/>
      <c r="F65" s="321"/>
      <c r="G65" s="321"/>
      <c r="H65" s="321"/>
      <c r="I65" s="321"/>
      <c r="J65" s="321"/>
      <c r="K65" s="321"/>
      <c r="L65" s="321"/>
      <c r="M65" s="321"/>
      <c r="N65" s="321"/>
      <c r="O65" s="321"/>
      <c r="P65" s="321"/>
      <c r="Q65" s="321"/>
      <c r="R65" s="321"/>
      <c r="S65" s="321"/>
      <c r="T65" s="321"/>
      <c r="U65" s="358" t="s">
        <v>494</v>
      </c>
      <c r="V65" s="359"/>
      <c r="W65" s="359"/>
      <c r="X65" s="359"/>
      <c r="Y65" s="359"/>
      <c r="Z65" s="359"/>
      <c r="AA65" s="359"/>
      <c r="AB65" s="359"/>
      <c r="AC65" s="359"/>
      <c r="AD65" s="360"/>
      <c r="AE65" s="359" t="s">
        <v>530</v>
      </c>
      <c r="AF65" s="359"/>
      <c r="AG65" s="359"/>
      <c r="AH65" s="359"/>
      <c r="AI65" s="359"/>
      <c r="AJ65" s="359"/>
      <c r="AK65" s="359"/>
      <c r="AL65" s="359"/>
      <c r="AM65" s="359"/>
      <c r="AN65" s="359"/>
      <c r="AO65" s="358" t="s">
        <v>503</v>
      </c>
      <c r="AP65" s="359"/>
      <c r="AQ65" s="359"/>
      <c r="AR65" s="359"/>
      <c r="AS65" s="359"/>
      <c r="AT65" s="359"/>
      <c r="AU65" s="359"/>
      <c r="AV65" s="359"/>
      <c r="AW65" s="359"/>
      <c r="AX65" s="359"/>
      <c r="AY65" s="40"/>
      <c r="AZ65" s="1"/>
      <c r="BA65" s="43"/>
      <c r="BB65" s="340" t="s">
        <v>329</v>
      </c>
      <c r="BC65" s="340"/>
      <c r="BD65" s="340"/>
      <c r="BE65" s="340"/>
      <c r="BF65" s="340"/>
      <c r="BG65" s="340"/>
      <c r="BH65" s="340"/>
      <c r="BI65" s="340"/>
      <c r="BJ65" s="340"/>
      <c r="BK65" s="340"/>
      <c r="BL65" s="340"/>
      <c r="BM65" s="340"/>
      <c r="BN65" s="340"/>
      <c r="BO65" s="340"/>
      <c r="BP65" s="340"/>
      <c r="BQ65" s="340"/>
      <c r="BR65" s="340"/>
      <c r="BS65" s="335">
        <f>$BK$832</f>
        <v>0</v>
      </c>
      <c r="BT65" s="336"/>
      <c r="BU65" s="336"/>
      <c r="BV65" s="336"/>
      <c r="BW65" s="336"/>
      <c r="BX65" s="336"/>
      <c r="BY65" s="336"/>
      <c r="BZ65" s="336"/>
      <c r="CA65" s="336"/>
      <c r="CB65" s="333"/>
      <c r="CC65" s="336">
        <f>$BX$832</f>
        <v>6830</v>
      </c>
      <c r="CD65" s="336"/>
      <c r="CE65" s="336"/>
      <c r="CF65" s="336"/>
      <c r="CG65" s="336"/>
      <c r="CH65" s="336"/>
      <c r="CI65" s="336"/>
      <c r="CJ65" s="336"/>
      <c r="CK65" s="336"/>
      <c r="CL65" s="333"/>
      <c r="CM65" s="336">
        <f t="shared" si="6"/>
        <v>6830</v>
      </c>
      <c r="CN65" s="336"/>
      <c r="CO65" s="336"/>
      <c r="CP65" s="336"/>
      <c r="CQ65" s="336"/>
      <c r="CR65" s="336"/>
      <c r="CS65" s="336"/>
      <c r="CT65" s="336"/>
      <c r="CU65" s="336"/>
      <c r="CV65" s="336"/>
      <c r="CW65" s="40"/>
      <c r="CX65" s="1"/>
    </row>
    <row r="66" spans="3:102" ht="15" hidden="1" customHeight="1" thickTop="1">
      <c r="C66" s="43"/>
      <c r="D66" s="325" t="s">
        <v>532</v>
      </c>
      <c r="E66" s="326"/>
      <c r="F66" s="326"/>
      <c r="G66" s="326"/>
      <c r="H66" s="326"/>
      <c r="I66" s="326"/>
      <c r="J66" s="326"/>
      <c r="K66" s="326"/>
      <c r="L66" s="326"/>
      <c r="M66" s="326"/>
      <c r="N66" s="326"/>
      <c r="O66" s="326"/>
      <c r="P66" s="326"/>
      <c r="Q66" s="326"/>
      <c r="R66" s="326"/>
      <c r="S66" s="326"/>
      <c r="T66" s="327"/>
      <c r="U66" s="323">
        <f>SUMIFS('Adv. Filter'!$CH$1:$CH$50000,'Adv. Filter'!$CC$1:$CC$50000,"Miscellaneous Expences",'Adv. Filter'!$CF$1:$CF$50000,"Cash")</f>
        <v>205000</v>
      </c>
      <c r="V66" s="323"/>
      <c r="W66" s="323"/>
      <c r="X66" s="323"/>
      <c r="Y66" s="323"/>
      <c r="Z66" s="323"/>
      <c r="AA66" s="323"/>
      <c r="AB66" s="323"/>
      <c r="AC66" s="323"/>
      <c r="AD66" s="323"/>
      <c r="AE66" s="322">
        <f>SUMIFS('Adv. Filter'!$CH$1:$CH$50000,'Adv. Filter'!$CC$1:$CC$50000,"Miscellaneous Expences",'Adv. Filter'!$CF$1:$CF$50000,"Bank")</f>
        <v>0</v>
      </c>
      <c r="AF66" s="323"/>
      <c r="AG66" s="323"/>
      <c r="AH66" s="323"/>
      <c r="AI66" s="323"/>
      <c r="AJ66" s="323"/>
      <c r="AK66" s="323"/>
      <c r="AL66" s="323"/>
      <c r="AM66" s="323"/>
      <c r="AN66" s="324"/>
      <c r="AO66" s="323">
        <f>U66+AE66</f>
        <v>205000</v>
      </c>
      <c r="AP66" s="323"/>
      <c r="AQ66" s="323"/>
      <c r="AR66" s="323"/>
      <c r="AS66" s="323"/>
      <c r="AT66" s="323"/>
      <c r="AU66" s="323"/>
      <c r="AV66" s="323"/>
      <c r="AW66" s="323"/>
      <c r="AX66" s="324"/>
      <c r="AY66" s="40"/>
      <c r="AZ66" s="1"/>
      <c r="BA66" s="43"/>
      <c r="BB66" s="331" t="s">
        <v>526</v>
      </c>
      <c r="BC66" s="331"/>
      <c r="BD66" s="331"/>
      <c r="BE66" s="331"/>
      <c r="BF66" s="331"/>
      <c r="BG66" s="331"/>
      <c r="BH66" s="331"/>
      <c r="BI66" s="331"/>
      <c r="BJ66" s="331"/>
      <c r="BK66" s="331"/>
      <c r="BL66" s="331"/>
      <c r="BM66" s="331"/>
      <c r="BN66" s="331"/>
      <c r="BO66" s="331"/>
      <c r="BP66" s="331"/>
      <c r="BQ66" s="331"/>
      <c r="BR66" s="331"/>
      <c r="BS66" s="260">
        <f>SUM(BS63:CB65)</f>
        <v>10500</v>
      </c>
      <c r="BT66" s="332"/>
      <c r="BU66" s="332"/>
      <c r="BV66" s="332"/>
      <c r="BW66" s="332"/>
      <c r="BX66" s="332"/>
      <c r="BY66" s="332"/>
      <c r="BZ66" s="332"/>
      <c r="CA66" s="332"/>
      <c r="CB66" s="258"/>
      <c r="CC66" s="341">
        <f>SUM(CC63:CL65)</f>
        <v>346000</v>
      </c>
      <c r="CD66" s="341"/>
      <c r="CE66" s="341"/>
      <c r="CF66" s="341"/>
      <c r="CG66" s="341"/>
      <c r="CH66" s="341"/>
      <c r="CI66" s="341"/>
      <c r="CJ66" s="341"/>
      <c r="CK66" s="341"/>
      <c r="CL66" s="273"/>
      <c r="CM66" s="341">
        <f t="shared" si="6"/>
        <v>356500</v>
      </c>
      <c r="CN66" s="341"/>
      <c r="CO66" s="341"/>
      <c r="CP66" s="341"/>
      <c r="CQ66" s="341"/>
      <c r="CR66" s="341"/>
      <c r="CS66" s="341"/>
      <c r="CT66" s="341"/>
      <c r="CU66" s="341"/>
      <c r="CV66" s="341"/>
      <c r="CW66" s="40"/>
      <c r="CX66" s="1"/>
    </row>
    <row r="67" spans="3:102" ht="15" hidden="1" customHeight="1" thickBot="1">
      <c r="C67" s="43"/>
      <c r="D67" s="343"/>
      <c r="E67" s="344"/>
      <c r="F67" s="344"/>
      <c r="G67" s="344"/>
      <c r="H67" s="344"/>
      <c r="I67" s="344"/>
      <c r="J67" s="344"/>
      <c r="K67" s="344"/>
      <c r="L67" s="344"/>
      <c r="M67" s="344"/>
      <c r="N67" s="344"/>
      <c r="O67" s="344"/>
      <c r="P67" s="344"/>
      <c r="Q67" s="344"/>
      <c r="R67" s="344"/>
      <c r="S67" s="344"/>
      <c r="T67" s="345"/>
      <c r="U67" s="346"/>
      <c r="V67" s="346"/>
      <c r="W67" s="346"/>
      <c r="X67" s="346"/>
      <c r="Y67" s="346"/>
      <c r="Z67" s="346"/>
      <c r="AA67" s="346"/>
      <c r="AB67" s="346"/>
      <c r="AC67" s="346"/>
      <c r="AD67" s="346"/>
      <c r="AE67" s="365"/>
      <c r="AF67" s="346"/>
      <c r="AG67" s="346"/>
      <c r="AH67" s="346"/>
      <c r="AI67" s="346"/>
      <c r="AJ67" s="346"/>
      <c r="AK67" s="346"/>
      <c r="AL67" s="346"/>
      <c r="AM67" s="346"/>
      <c r="AN67" s="366"/>
      <c r="AO67" s="365"/>
      <c r="AP67" s="346"/>
      <c r="AQ67" s="346"/>
      <c r="AR67" s="346"/>
      <c r="AS67" s="346"/>
      <c r="AT67" s="346"/>
      <c r="AU67" s="346"/>
      <c r="AV67" s="346"/>
      <c r="AW67" s="346"/>
      <c r="AX67" s="366"/>
      <c r="AY67" s="40"/>
      <c r="AZ67" s="1"/>
      <c r="BA67" s="43"/>
      <c r="CW67" s="40"/>
      <c r="CX67" s="1"/>
    </row>
    <row r="68" spans="3:102" ht="15" hidden="1" customHeight="1" thickTop="1">
      <c r="C68" s="43"/>
      <c r="D68" s="342" t="s">
        <v>531</v>
      </c>
      <c r="E68" s="342"/>
      <c r="F68" s="342"/>
      <c r="G68" s="342"/>
      <c r="H68" s="342"/>
      <c r="I68" s="342"/>
      <c r="J68" s="342"/>
      <c r="K68" s="342"/>
      <c r="L68" s="342"/>
      <c r="M68" s="342"/>
      <c r="N68" s="342"/>
      <c r="O68" s="342"/>
      <c r="P68" s="342"/>
      <c r="Q68" s="342"/>
      <c r="R68" s="342"/>
      <c r="S68" s="342"/>
      <c r="T68" s="342"/>
      <c r="U68" s="341">
        <f>SUM(U66:AD67)</f>
        <v>205000</v>
      </c>
      <c r="V68" s="341"/>
      <c r="W68" s="341"/>
      <c r="X68" s="341"/>
      <c r="Y68" s="341"/>
      <c r="Z68" s="341"/>
      <c r="AA68" s="341"/>
      <c r="AB68" s="341"/>
      <c r="AC68" s="341"/>
      <c r="AD68" s="341"/>
      <c r="AE68" s="341">
        <f>SUM(AE66:AN67)</f>
        <v>0</v>
      </c>
      <c r="AF68" s="341"/>
      <c r="AG68" s="341"/>
      <c r="AH68" s="341"/>
      <c r="AI68" s="341"/>
      <c r="AJ68" s="341"/>
      <c r="AK68" s="341"/>
      <c r="AL68" s="341"/>
      <c r="AM68" s="341"/>
      <c r="AN68" s="341"/>
      <c r="AO68" s="260">
        <f>U68+AE68</f>
        <v>205000</v>
      </c>
      <c r="AP68" s="332"/>
      <c r="AQ68" s="332"/>
      <c r="AR68" s="332"/>
      <c r="AS68" s="332"/>
      <c r="AT68" s="332"/>
      <c r="AU68" s="332"/>
      <c r="AV68" s="332"/>
      <c r="AW68" s="332"/>
      <c r="AX68" s="332"/>
      <c r="AY68" s="40"/>
      <c r="AZ68" s="1"/>
      <c r="BA68" s="43"/>
      <c r="BB68" s="374" t="s">
        <v>73</v>
      </c>
      <c r="BC68" s="375"/>
      <c r="BD68" s="375"/>
      <c r="BE68" s="375"/>
      <c r="BF68" s="375"/>
      <c r="BG68" s="375"/>
      <c r="BH68" s="375"/>
      <c r="BI68" s="375"/>
      <c r="BJ68" s="375"/>
      <c r="BK68" s="375"/>
      <c r="BL68" s="375"/>
      <c r="BM68" s="375"/>
      <c r="BN68" s="375"/>
      <c r="BO68" s="375"/>
      <c r="BP68" s="375"/>
      <c r="BQ68" s="375"/>
      <c r="BR68" s="376"/>
      <c r="BS68" s="359" t="s">
        <v>494</v>
      </c>
      <c r="BT68" s="359"/>
      <c r="BU68" s="359"/>
      <c r="BV68" s="359"/>
      <c r="BW68" s="359"/>
      <c r="BX68" s="359"/>
      <c r="BY68" s="359"/>
      <c r="BZ68" s="359"/>
      <c r="CA68" s="359"/>
      <c r="CB68" s="359"/>
      <c r="CC68" s="359" t="s">
        <v>530</v>
      </c>
      <c r="CD68" s="359"/>
      <c r="CE68" s="359"/>
      <c r="CF68" s="359"/>
      <c r="CG68" s="359"/>
      <c r="CH68" s="359"/>
      <c r="CI68" s="359"/>
      <c r="CJ68" s="359"/>
      <c r="CK68" s="359"/>
      <c r="CL68" s="359"/>
      <c r="CM68" s="359" t="s">
        <v>503</v>
      </c>
      <c r="CN68" s="359"/>
      <c r="CO68" s="359"/>
      <c r="CP68" s="359"/>
      <c r="CQ68" s="359"/>
      <c r="CR68" s="359"/>
      <c r="CS68" s="359"/>
      <c r="CT68" s="359"/>
      <c r="CU68" s="359"/>
      <c r="CV68" s="359"/>
      <c r="CW68" s="40"/>
      <c r="CX68" s="1"/>
    </row>
    <row r="69" spans="3:102" ht="15" hidden="1" customHeight="1">
      <c r="C69" s="43"/>
      <c r="U69" s="22"/>
      <c r="V69" s="22"/>
      <c r="W69" s="22"/>
      <c r="X69" s="22"/>
      <c r="Y69" s="22"/>
      <c r="Z69" s="22"/>
      <c r="AA69" s="22"/>
      <c r="AB69" s="22"/>
      <c r="AC69" s="22"/>
      <c r="AD69" s="22"/>
      <c r="AE69" s="22"/>
      <c r="AF69" s="22"/>
      <c r="AG69" s="22"/>
      <c r="AH69" s="22"/>
      <c r="AI69" s="22"/>
      <c r="AJ69" s="22"/>
      <c r="AK69" s="22"/>
      <c r="AL69" s="22"/>
      <c r="AM69" s="22"/>
      <c r="AN69" s="22"/>
      <c r="AO69" s="22"/>
      <c r="AP69" s="22"/>
      <c r="AQ69" s="22"/>
      <c r="AR69" s="22"/>
      <c r="AS69" s="22"/>
      <c r="AT69" s="22"/>
      <c r="AU69" s="22"/>
      <c r="AV69" s="22"/>
      <c r="AW69" s="22"/>
      <c r="AX69" s="22"/>
      <c r="AY69" s="40"/>
      <c r="AZ69" s="1"/>
      <c r="BA69" s="43"/>
      <c r="BB69" s="325" t="s">
        <v>59</v>
      </c>
      <c r="BC69" s="326"/>
      <c r="BD69" s="326"/>
      <c r="BE69" s="326"/>
      <c r="BF69" s="326"/>
      <c r="BG69" s="326"/>
      <c r="BH69" s="326"/>
      <c r="BI69" s="326"/>
      <c r="BJ69" s="326"/>
      <c r="BK69" s="326"/>
      <c r="BL69" s="326"/>
      <c r="BM69" s="326"/>
      <c r="BN69" s="326"/>
      <c r="BO69" s="326"/>
      <c r="BP69" s="326"/>
      <c r="BQ69" s="326"/>
      <c r="BR69" s="327"/>
      <c r="BS69" s="323"/>
      <c r="BT69" s="323"/>
      <c r="BU69" s="323"/>
      <c r="BV69" s="323"/>
      <c r="BW69" s="323"/>
      <c r="BX69" s="323"/>
      <c r="BY69" s="323"/>
      <c r="BZ69" s="323"/>
      <c r="CA69" s="323"/>
      <c r="CB69" s="323"/>
      <c r="CC69" s="367"/>
      <c r="CD69" s="368"/>
      <c r="CE69" s="368"/>
      <c r="CF69" s="368"/>
      <c r="CG69" s="368"/>
      <c r="CH69" s="368"/>
      <c r="CI69" s="368"/>
      <c r="CJ69" s="368"/>
      <c r="CK69" s="368"/>
      <c r="CL69" s="369"/>
      <c r="CM69" s="323">
        <f t="shared" ref="CM69:CM75" si="7">BS69+CC69</f>
        <v>0</v>
      </c>
      <c r="CN69" s="323"/>
      <c r="CO69" s="323"/>
      <c r="CP69" s="323"/>
      <c r="CQ69" s="323"/>
      <c r="CR69" s="323"/>
      <c r="CS69" s="323"/>
      <c r="CT69" s="323"/>
      <c r="CU69" s="323"/>
      <c r="CV69" s="324"/>
      <c r="CW69" s="40"/>
      <c r="CX69" s="1"/>
    </row>
    <row r="70" spans="3:102" ht="15" hidden="1" customHeight="1">
      <c r="C70" s="43"/>
      <c r="U70" s="22"/>
      <c r="V70" s="22"/>
      <c r="W70" s="22"/>
      <c r="X70" s="22"/>
      <c r="Y70" s="22"/>
      <c r="Z70" s="22"/>
      <c r="AA70" s="22"/>
      <c r="AB70" s="22"/>
      <c r="AC70" s="22"/>
      <c r="AD70" s="22"/>
      <c r="AE70" s="22"/>
      <c r="AF70" s="22"/>
      <c r="AG70" s="22"/>
      <c r="AH70" s="22"/>
      <c r="AI70" s="22"/>
      <c r="AJ70" s="22"/>
      <c r="AK70" s="22"/>
      <c r="AL70" s="22"/>
      <c r="AM70" s="22"/>
      <c r="AN70" s="22"/>
      <c r="AO70" s="22"/>
      <c r="AP70" s="22"/>
      <c r="AQ70" s="22"/>
      <c r="AR70" s="22"/>
      <c r="AS70" s="22"/>
      <c r="AT70" s="22"/>
      <c r="AU70" s="22"/>
      <c r="AV70" s="22"/>
      <c r="AW70" s="22"/>
      <c r="AX70" s="22"/>
      <c r="AY70" s="40"/>
      <c r="AZ70" s="1"/>
      <c r="BA70" s="43"/>
      <c r="BB70" s="325" t="s">
        <v>551</v>
      </c>
      <c r="BC70" s="326"/>
      <c r="BD70" s="326"/>
      <c r="BE70" s="326"/>
      <c r="BF70" s="326"/>
      <c r="BG70" s="326"/>
      <c r="BH70" s="326"/>
      <c r="BI70" s="326"/>
      <c r="BJ70" s="326"/>
      <c r="BK70" s="326"/>
      <c r="BL70" s="326"/>
      <c r="BM70" s="326"/>
      <c r="BN70" s="326"/>
      <c r="BO70" s="326"/>
      <c r="BP70" s="326"/>
      <c r="BQ70" s="326"/>
      <c r="BR70" s="327"/>
      <c r="BS70" s="323"/>
      <c r="BT70" s="323"/>
      <c r="BU70" s="323"/>
      <c r="BV70" s="323"/>
      <c r="BW70" s="323"/>
      <c r="BX70" s="323"/>
      <c r="BY70" s="323"/>
      <c r="BZ70" s="323"/>
      <c r="CA70" s="323"/>
      <c r="CB70" s="323"/>
      <c r="CC70" s="322"/>
      <c r="CD70" s="323"/>
      <c r="CE70" s="323"/>
      <c r="CF70" s="323"/>
      <c r="CG70" s="323"/>
      <c r="CH70" s="323"/>
      <c r="CI70" s="323"/>
      <c r="CJ70" s="323"/>
      <c r="CK70" s="323"/>
      <c r="CL70" s="324"/>
      <c r="CM70" s="323">
        <f t="shared" si="7"/>
        <v>0</v>
      </c>
      <c r="CN70" s="323"/>
      <c r="CO70" s="323"/>
      <c r="CP70" s="323"/>
      <c r="CQ70" s="323"/>
      <c r="CR70" s="323"/>
      <c r="CS70" s="323"/>
      <c r="CT70" s="323"/>
      <c r="CU70" s="323"/>
      <c r="CV70" s="324"/>
      <c r="CW70" s="40"/>
      <c r="CX70" s="1"/>
    </row>
    <row r="71" spans="3:102" ht="15" hidden="1" customHeight="1">
      <c r="C71" s="43"/>
      <c r="D71" s="66"/>
      <c r="E71" s="1"/>
      <c r="F71" s="1"/>
      <c r="G71" s="1"/>
      <c r="H71" s="1"/>
      <c r="I71" s="1"/>
      <c r="J71" s="1"/>
      <c r="K71" s="1"/>
      <c r="L71" s="1"/>
      <c r="M71" s="1"/>
      <c r="N71" s="1"/>
      <c r="O71" s="1"/>
      <c r="P71" s="1"/>
      <c r="Q71" s="1"/>
      <c r="R71" s="1"/>
      <c r="S71" s="1"/>
      <c r="T71" s="1"/>
      <c r="U71" s="35"/>
      <c r="V71" s="63"/>
      <c r="W71" s="63"/>
      <c r="X71" s="63"/>
      <c r="Y71" s="63"/>
      <c r="Z71" s="63"/>
      <c r="AA71" s="63"/>
      <c r="AB71" s="63"/>
      <c r="AC71" s="63"/>
      <c r="AD71" s="63"/>
      <c r="AE71" s="62"/>
      <c r="AF71" s="62"/>
      <c r="AG71" s="62"/>
      <c r="AH71" s="62"/>
      <c r="AI71" s="62"/>
      <c r="AJ71" s="62"/>
      <c r="AK71" s="62"/>
      <c r="AL71" s="62"/>
      <c r="AM71" s="62"/>
      <c r="AN71" s="62"/>
      <c r="AO71" s="60"/>
      <c r="AP71" s="60"/>
      <c r="AQ71" s="60"/>
      <c r="AR71" s="60"/>
      <c r="AS71" s="60"/>
      <c r="AT71" s="60"/>
      <c r="AU71" s="60"/>
      <c r="AV71" s="60"/>
      <c r="AW71" s="60"/>
      <c r="AX71" s="60"/>
      <c r="AY71" s="40"/>
      <c r="AZ71" s="1"/>
      <c r="BA71" s="43"/>
      <c r="BB71" s="325" t="s">
        <v>529</v>
      </c>
      <c r="BC71" s="326"/>
      <c r="BD71" s="326"/>
      <c r="BE71" s="326"/>
      <c r="BF71" s="326"/>
      <c r="BG71" s="326"/>
      <c r="BH71" s="326"/>
      <c r="BI71" s="326"/>
      <c r="BJ71" s="326"/>
      <c r="BK71" s="326"/>
      <c r="BL71" s="326"/>
      <c r="BM71" s="326"/>
      <c r="BN71" s="326"/>
      <c r="BO71" s="326"/>
      <c r="BP71" s="326"/>
      <c r="BQ71" s="326"/>
      <c r="BR71" s="327"/>
      <c r="BS71" s="328">
        <f>$T$975-BS69-BS70</f>
        <v>0</v>
      </c>
      <c r="BT71" s="329"/>
      <c r="BU71" s="329"/>
      <c r="BV71" s="329"/>
      <c r="BW71" s="329"/>
      <c r="BX71" s="329"/>
      <c r="BY71" s="329"/>
      <c r="BZ71" s="329"/>
      <c r="CA71" s="329"/>
      <c r="CB71" s="330"/>
      <c r="CC71" s="380">
        <f>$AD$975-CC69-CC70</f>
        <v>0</v>
      </c>
      <c r="CD71" s="381"/>
      <c r="CE71" s="381"/>
      <c r="CF71" s="381"/>
      <c r="CG71" s="381"/>
      <c r="CH71" s="381"/>
      <c r="CI71" s="381"/>
      <c r="CJ71" s="381"/>
      <c r="CK71" s="381"/>
      <c r="CL71" s="382"/>
      <c r="CM71" s="323">
        <f t="shared" si="7"/>
        <v>0</v>
      </c>
      <c r="CN71" s="323"/>
      <c r="CO71" s="323"/>
      <c r="CP71" s="323"/>
      <c r="CQ71" s="323"/>
      <c r="CR71" s="323"/>
      <c r="CS71" s="323"/>
      <c r="CT71" s="323"/>
      <c r="CU71" s="323"/>
      <c r="CV71" s="324"/>
      <c r="CW71" s="40"/>
      <c r="CX71" s="1"/>
    </row>
    <row r="72" spans="3:102" ht="15" hidden="1" customHeight="1">
      <c r="C72" s="43"/>
      <c r="U72" s="22"/>
      <c r="V72" s="22"/>
      <c r="W72" s="22"/>
      <c r="X72" s="22"/>
      <c r="Y72" s="22"/>
      <c r="Z72" s="22"/>
      <c r="AA72" s="22"/>
      <c r="AB72" s="22"/>
      <c r="AC72" s="22"/>
      <c r="AD72" s="22"/>
      <c r="AE72" s="22"/>
      <c r="AF72" s="22"/>
      <c r="AG72" s="22"/>
      <c r="AH72" s="22"/>
      <c r="AI72" s="22"/>
      <c r="AJ72" s="22"/>
      <c r="AK72" s="22"/>
      <c r="AL72" s="22"/>
      <c r="AM72" s="22"/>
      <c r="AN72" s="22"/>
      <c r="AO72" s="22"/>
      <c r="AP72" s="22"/>
      <c r="AQ72" s="22"/>
      <c r="AR72" s="22"/>
      <c r="AS72" s="22"/>
      <c r="AT72" s="22"/>
      <c r="AU72" s="22"/>
      <c r="AV72" s="22"/>
      <c r="AW72" s="22"/>
      <c r="AX72" s="22"/>
      <c r="AY72" s="40"/>
      <c r="AZ72" s="1"/>
      <c r="BA72" s="43"/>
      <c r="BB72" s="361" t="s">
        <v>528</v>
      </c>
      <c r="BC72" s="361"/>
      <c r="BD72" s="361"/>
      <c r="BE72" s="361"/>
      <c r="BF72" s="361"/>
      <c r="BG72" s="361"/>
      <c r="BH72" s="361"/>
      <c r="BI72" s="361"/>
      <c r="BJ72" s="361"/>
      <c r="BK72" s="361"/>
      <c r="BL72" s="361"/>
      <c r="BM72" s="361"/>
      <c r="BN72" s="361"/>
      <c r="BO72" s="361"/>
      <c r="BP72" s="361"/>
      <c r="BQ72" s="361"/>
      <c r="BR72" s="361"/>
      <c r="BS72" s="373">
        <f>$T$975</f>
        <v>0</v>
      </c>
      <c r="BT72" s="373"/>
      <c r="BU72" s="373"/>
      <c r="BV72" s="373"/>
      <c r="BW72" s="373"/>
      <c r="BX72" s="373"/>
      <c r="BY72" s="373"/>
      <c r="BZ72" s="373"/>
      <c r="CA72" s="373"/>
      <c r="CB72" s="373"/>
      <c r="CC72" s="373">
        <f>$AD$975</f>
        <v>0</v>
      </c>
      <c r="CD72" s="373"/>
      <c r="CE72" s="373"/>
      <c r="CF72" s="373"/>
      <c r="CG72" s="373"/>
      <c r="CH72" s="373"/>
      <c r="CI72" s="373"/>
      <c r="CJ72" s="373"/>
      <c r="CK72" s="373"/>
      <c r="CL72" s="373"/>
      <c r="CM72" s="320">
        <f t="shared" si="7"/>
        <v>0</v>
      </c>
      <c r="CN72" s="320"/>
      <c r="CO72" s="320"/>
      <c r="CP72" s="320"/>
      <c r="CQ72" s="320"/>
      <c r="CR72" s="320"/>
      <c r="CS72" s="320"/>
      <c r="CT72" s="320"/>
      <c r="CU72" s="320"/>
      <c r="CV72" s="320"/>
      <c r="CW72" s="40"/>
      <c r="CX72" s="1"/>
    </row>
    <row r="73" spans="3:102" ht="15" hidden="1" customHeight="1">
      <c r="C73" s="43"/>
      <c r="U73" s="22"/>
      <c r="V73" s="22"/>
      <c r="W73" s="22"/>
      <c r="X73" s="22"/>
      <c r="Y73" s="22"/>
      <c r="Z73" s="22"/>
      <c r="AA73" s="22"/>
      <c r="AB73" s="22"/>
      <c r="AC73" s="22"/>
      <c r="AD73" s="22"/>
      <c r="AE73" s="22"/>
      <c r="AF73" s="22"/>
      <c r="AG73" s="22"/>
      <c r="AH73" s="22"/>
      <c r="AI73" s="22"/>
      <c r="AJ73" s="22"/>
      <c r="AK73" s="22"/>
      <c r="AL73" s="22"/>
      <c r="AM73" s="22"/>
      <c r="AN73" s="22"/>
      <c r="AO73" s="22"/>
      <c r="AP73" s="22"/>
      <c r="AQ73" s="22"/>
      <c r="AR73" s="22"/>
      <c r="AS73" s="22"/>
      <c r="AT73" s="22"/>
      <c r="AU73" s="22"/>
      <c r="AV73" s="22"/>
      <c r="AW73" s="22"/>
      <c r="AX73" s="22"/>
      <c r="AY73" s="40"/>
      <c r="AZ73" s="1"/>
      <c r="BA73" s="43"/>
      <c r="BB73" s="361" t="s">
        <v>527</v>
      </c>
      <c r="BC73" s="361"/>
      <c r="BD73" s="361"/>
      <c r="BE73" s="361"/>
      <c r="BF73" s="361"/>
      <c r="BG73" s="361"/>
      <c r="BH73" s="361"/>
      <c r="BI73" s="361"/>
      <c r="BJ73" s="361"/>
      <c r="BK73" s="361"/>
      <c r="BL73" s="361"/>
      <c r="BM73" s="361"/>
      <c r="BN73" s="361"/>
      <c r="BO73" s="361"/>
      <c r="BP73" s="361"/>
      <c r="BQ73" s="361"/>
      <c r="BR73" s="361"/>
      <c r="BS73" s="373">
        <f>$BP$975</f>
        <v>0</v>
      </c>
      <c r="BT73" s="373"/>
      <c r="BU73" s="373"/>
      <c r="BV73" s="373"/>
      <c r="BW73" s="373"/>
      <c r="BX73" s="373"/>
      <c r="BY73" s="373"/>
      <c r="BZ73" s="373"/>
      <c r="CA73" s="373"/>
      <c r="CB73" s="373"/>
      <c r="CC73" s="373">
        <f>$BZ$975</f>
        <v>0</v>
      </c>
      <c r="CD73" s="373"/>
      <c r="CE73" s="373"/>
      <c r="CF73" s="373"/>
      <c r="CG73" s="373"/>
      <c r="CH73" s="373"/>
      <c r="CI73" s="373"/>
      <c r="CJ73" s="373"/>
      <c r="CK73" s="373"/>
      <c r="CL73" s="373"/>
      <c r="CM73" s="320">
        <f t="shared" si="7"/>
        <v>0</v>
      </c>
      <c r="CN73" s="320"/>
      <c r="CO73" s="320"/>
      <c r="CP73" s="320"/>
      <c r="CQ73" s="320"/>
      <c r="CR73" s="320"/>
      <c r="CS73" s="320"/>
      <c r="CT73" s="320"/>
      <c r="CU73" s="320"/>
      <c r="CV73" s="320"/>
      <c r="CW73" s="40"/>
      <c r="CX73" s="1"/>
    </row>
    <row r="74" spans="3:102" ht="15" hidden="1" customHeight="1" thickBot="1">
      <c r="C74" s="43"/>
      <c r="U74" s="22"/>
      <c r="V74" s="22"/>
      <c r="W74" s="22"/>
      <c r="X74" s="22"/>
      <c r="Y74" s="22"/>
      <c r="Z74" s="22"/>
      <c r="AA74" s="22"/>
      <c r="AB74" s="22"/>
      <c r="AC74" s="22"/>
      <c r="AD74" s="22"/>
      <c r="AE74" s="22"/>
      <c r="AF74" s="22"/>
      <c r="AG74" s="22"/>
      <c r="AH74" s="22"/>
      <c r="AI74" s="22"/>
      <c r="AJ74" s="22"/>
      <c r="AK74" s="22"/>
      <c r="AL74" s="22"/>
      <c r="AM74" s="22"/>
      <c r="AN74" s="22"/>
      <c r="AO74" s="22"/>
      <c r="AP74" s="22"/>
      <c r="AQ74" s="22"/>
      <c r="AR74" s="22"/>
      <c r="AS74" s="22"/>
      <c r="AT74" s="22"/>
      <c r="AU74" s="22"/>
      <c r="AV74" s="22"/>
      <c r="AW74" s="22"/>
      <c r="AX74" s="22"/>
      <c r="AY74" s="40"/>
      <c r="AZ74" s="1"/>
      <c r="BA74" s="43"/>
      <c r="BB74" s="340" t="s">
        <v>329</v>
      </c>
      <c r="BC74" s="340"/>
      <c r="BD74" s="340"/>
      <c r="BE74" s="340"/>
      <c r="BF74" s="340"/>
      <c r="BG74" s="340"/>
      <c r="BH74" s="340"/>
      <c r="BI74" s="340"/>
      <c r="BJ74" s="340"/>
      <c r="BK74" s="340"/>
      <c r="BL74" s="340"/>
      <c r="BM74" s="340"/>
      <c r="BN74" s="340"/>
      <c r="BO74" s="340"/>
      <c r="BP74" s="340"/>
      <c r="BQ74" s="340"/>
      <c r="BR74" s="340"/>
      <c r="BS74" s="335">
        <f>$BK$982</f>
        <v>0</v>
      </c>
      <c r="BT74" s="336"/>
      <c r="BU74" s="336"/>
      <c r="BV74" s="336"/>
      <c r="BW74" s="336"/>
      <c r="BX74" s="336"/>
      <c r="BY74" s="336"/>
      <c r="BZ74" s="336"/>
      <c r="CA74" s="336"/>
      <c r="CB74" s="333"/>
      <c r="CC74" s="336">
        <f>$BX$982</f>
        <v>0</v>
      </c>
      <c r="CD74" s="336"/>
      <c r="CE74" s="336"/>
      <c r="CF74" s="336"/>
      <c r="CG74" s="336"/>
      <c r="CH74" s="336"/>
      <c r="CI74" s="336"/>
      <c r="CJ74" s="336"/>
      <c r="CK74" s="336"/>
      <c r="CL74" s="333"/>
      <c r="CM74" s="336">
        <f t="shared" si="7"/>
        <v>0</v>
      </c>
      <c r="CN74" s="336"/>
      <c r="CO74" s="336"/>
      <c r="CP74" s="336"/>
      <c r="CQ74" s="336"/>
      <c r="CR74" s="336"/>
      <c r="CS74" s="336"/>
      <c r="CT74" s="336"/>
      <c r="CU74" s="336"/>
      <c r="CV74" s="336"/>
      <c r="CW74" s="40"/>
      <c r="CX74" s="1"/>
    </row>
    <row r="75" spans="3:102" ht="15" hidden="1" customHeight="1" thickTop="1">
      <c r="C75" s="43"/>
      <c r="U75" s="22"/>
      <c r="V75" s="22"/>
      <c r="W75" s="22"/>
      <c r="X75" s="22"/>
      <c r="Y75" s="22"/>
      <c r="Z75" s="22"/>
      <c r="AA75" s="22"/>
      <c r="AB75" s="22"/>
      <c r="AC75" s="22"/>
      <c r="AD75" s="22"/>
      <c r="AE75" s="22"/>
      <c r="AF75" s="22"/>
      <c r="AG75" s="22"/>
      <c r="AH75" s="22"/>
      <c r="AI75" s="22"/>
      <c r="AJ75" s="22"/>
      <c r="AK75" s="22"/>
      <c r="AL75" s="22"/>
      <c r="AM75" s="22"/>
      <c r="AN75" s="22"/>
      <c r="AO75" s="22"/>
      <c r="AP75" s="22"/>
      <c r="AQ75" s="22"/>
      <c r="AR75" s="22"/>
      <c r="AS75" s="22"/>
      <c r="AT75" s="22"/>
      <c r="AU75" s="22"/>
      <c r="AV75" s="22"/>
      <c r="AW75" s="22"/>
      <c r="AX75" s="22"/>
      <c r="AY75" s="40"/>
      <c r="AZ75" s="1"/>
      <c r="BA75" s="43"/>
      <c r="BB75" s="331" t="s">
        <v>526</v>
      </c>
      <c r="BC75" s="331"/>
      <c r="BD75" s="331"/>
      <c r="BE75" s="331"/>
      <c r="BF75" s="331"/>
      <c r="BG75" s="331"/>
      <c r="BH75" s="331"/>
      <c r="BI75" s="331"/>
      <c r="BJ75" s="331"/>
      <c r="BK75" s="331"/>
      <c r="BL75" s="331"/>
      <c r="BM75" s="331"/>
      <c r="BN75" s="331"/>
      <c r="BO75" s="331"/>
      <c r="BP75" s="331"/>
      <c r="BQ75" s="331"/>
      <c r="BR75" s="331"/>
      <c r="BS75" s="260">
        <f>SUM(BS72:CB74)</f>
        <v>0</v>
      </c>
      <c r="BT75" s="332"/>
      <c r="BU75" s="332"/>
      <c r="BV75" s="332"/>
      <c r="BW75" s="332"/>
      <c r="BX75" s="332"/>
      <c r="BY75" s="332"/>
      <c r="BZ75" s="332"/>
      <c r="CA75" s="332"/>
      <c r="CB75" s="258"/>
      <c r="CC75" s="341">
        <f>SUM(CC72:CL74)</f>
        <v>0</v>
      </c>
      <c r="CD75" s="341"/>
      <c r="CE75" s="341"/>
      <c r="CF75" s="341"/>
      <c r="CG75" s="341"/>
      <c r="CH75" s="341"/>
      <c r="CI75" s="341"/>
      <c r="CJ75" s="341"/>
      <c r="CK75" s="341"/>
      <c r="CL75" s="273"/>
      <c r="CM75" s="341">
        <f t="shared" si="7"/>
        <v>0</v>
      </c>
      <c r="CN75" s="341"/>
      <c r="CO75" s="341"/>
      <c r="CP75" s="341"/>
      <c r="CQ75" s="341"/>
      <c r="CR75" s="341"/>
      <c r="CS75" s="341"/>
      <c r="CT75" s="341"/>
      <c r="CU75" s="341"/>
      <c r="CV75" s="341"/>
      <c r="CW75" s="40"/>
      <c r="CX75" s="1"/>
    </row>
    <row r="76" spans="3:102" ht="15" hidden="1" customHeight="1">
      <c r="C76" s="43"/>
      <c r="D76" s="65"/>
      <c r="E76" s="1"/>
      <c r="F76" s="1"/>
      <c r="G76" s="1"/>
      <c r="H76" s="1"/>
      <c r="I76" s="1"/>
      <c r="J76" s="1"/>
      <c r="K76" s="1"/>
      <c r="L76" s="1"/>
      <c r="M76" s="1"/>
      <c r="N76" s="1"/>
      <c r="O76" s="1"/>
      <c r="P76" s="1"/>
      <c r="Q76" s="1"/>
      <c r="R76" s="1"/>
      <c r="S76" s="1"/>
      <c r="T76" s="1"/>
      <c r="U76" s="63"/>
      <c r="V76" s="63"/>
      <c r="W76" s="63"/>
      <c r="X76" s="63"/>
      <c r="Y76" s="63"/>
      <c r="Z76" s="63"/>
      <c r="AA76" s="63"/>
      <c r="AB76" s="63"/>
      <c r="AC76" s="63"/>
      <c r="AD76" s="63"/>
      <c r="AE76" s="62"/>
      <c r="AF76" s="62"/>
      <c r="AG76" s="62"/>
      <c r="AH76" s="62"/>
      <c r="AI76" s="62"/>
      <c r="AJ76" s="62"/>
      <c r="AK76" s="62"/>
      <c r="AL76" s="62"/>
      <c r="AM76" s="62"/>
      <c r="AN76" s="62"/>
      <c r="AO76" s="60"/>
      <c r="AP76" s="60"/>
      <c r="AQ76" s="60"/>
      <c r="AR76" s="60"/>
      <c r="AS76" s="60"/>
      <c r="AT76" s="60"/>
      <c r="AU76" s="60"/>
      <c r="AV76" s="60"/>
      <c r="AW76" s="60"/>
      <c r="AX76" s="60"/>
      <c r="AY76" s="40"/>
      <c r="AZ76" s="1"/>
      <c r="BA76" s="43"/>
      <c r="CW76" s="40"/>
      <c r="CX76" s="1"/>
    </row>
    <row r="77" spans="3:102" ht="15" hidden="1" customHeight="1">
      <c r="C77" s="43"/>
      <c r="D77" s="65"/>
      <c r="E77" s="1"/>
      <c r="F77" s="1"/>
      <c r="G77" s="1"/>
      <c r="H77" s="1"/>
      <c r="I77" s="1"/>
      <c r="J77" s="1"/>
      <c r="K77" s="1"/>
      <c r="L77" s="1"/>
      <c r="M77" s="1"/>
      <c r="N77" s="1"/>
      <c r="O77" s="1"/>
      <c r="P77" s="1"/>
      <c r="Q77" s="1"/>
      <c r="R77" s="1"/>
      <c r="S77" s="1"/>
      <c r="T77" s="1"/>
      <c r="U77" s="63"/>
      <c r="V77" s="63"/>
      <c r="W77" s="63"/>
      <c r="X77" s="63"/>
      <c r="Y77" s="63"/>
      <c r="Z77" s="63"/>
      <c r="AA77" s="63"/>
      <c r="AB77" s="63"/>
      <c r="AC77" s="63"/>
      <c r="AD77" s="63"/>
      <c r="AE77" s="62"/>
      <c r="AF77" s="62"/>
      <c r="AG77" s="62"/>
      <c r="AH77" s="62"/>
      <c r="AI77" s="62"/>
      <c r="AJ77" s="62"/>
      <c r="AK77" s="62"/>
      <c r="AL77" s="62"/>
      <c r="AM77" s="62"/>
      <c r="AN77" s="62"/>
      <c r="AO77" s="60"/>
      <c r="AP77" s="60"/>
      <c r="AQ77" s="60"/>
      <c r="AR77" s="60"/>
      <c r="AS77" s="60"/>
      <c r="AT77" s="60"/>
      <c r="AU77" s="60"/>
      <c r="AV77" s="60"/>
      <c r="AW77" s="60"/>
      <c r="AX77" s="60"/>
      <c r="AY77" s="40"/>
      <c r="AZ77" s="1"/>
      <c r="BA77" s="43"/>
      <c r="BB77" s="388" t="s">
        <v>547</v>
      </c>
      <c r="BC77" s="388"/>
      <c r="BD77" s="388"/>
      <c r="BE77" s="388"/>
      <c r="BF77" s="388"/>
      <c r="BG77" s="388"/>
      <c r="BH77" s="388"/>
      <c r="BI77" s="388"/>
      <c r="BJ77" s="388"/>
      <c r="BK77" s="388"/>
      <c r="BL77" s="388"/>
      <c r="BM77" s="388"/>
      <c r="BN77" s="388"/>
      <c r="BO77" s="388"/>
      <c r="BP77" s="388"/>
      <c r="BQ77" s="388"/>
      <c r="BR77" s="388"/>
      <c r="BS77" s="320">
        <f>SUMIFS('Adv. Filter'!$CH$1:$CH$50000,'Adv. Filter'!$CD$1:$CD$50000,"Unknown",'Adv. Filter'!$CC$1:$CC$50000,"Suspense",'Adv. Filter'!$CF$1:$CF$50000,"Cash")</f>
        <v>0</v>
      </c>
      <c r="BT77" s="320"/>
      <c r="BU77" s="320"/>
      <c r="BV77" s="320"/>
      <c r="BW77" s="320"/>
      <c r="BX77" s="320"/>
      <c r="BY77" s="320"/>
      <c r="BZ77" s="320"/>
      <c r="CA77" s="320"/>
      <c r="CB77" s="320"/>
      <c r="CC77" s="320">
        <f>SUMIFS('Adv. Filter'!$CH$1:$CH$50000,'Adv. Filter'!$CD$1:$CD$50000,"Unknown",'Adv. Filter'!$CC$1:$CC$50000,"Suspense",'Adv. Filter'!$CF$1:$CF$50000,"Bank")</f>
        <v>0</v>
      </c>
      <c r="CD77" s="320"/>
      <c r="CE77" s="320"/>
      <c r="CF77" s="320"/>
      <c r="CG77" s="320"/>
      <c r="CH77" s="320"/>
      <c r="CI77" s="320"/>
      <c r="CJ77" s="320"/>
      <c r="CK77" s="320"/>
      <c r="CL77" s="320"/>
      <c r="CM77" s="320">
        <f>BS77+CC77</f>
        <v>0</v>
      </c>
      <c r="CN77" s="320"/>
      <c r="CO77" s="320"/>
      <c r="CP77" s="320"/>
      <c r="CQ77" s="320"/>
      <c r="CR77" s="320"/>
      <c r="CS77" s="320"/>
      <c r="CT77" s="320"/>
      <c r="CU77" s="320"/>
      <c r="CV77" s="320"/>
      <c r="CW77" s="40"/>
      <c r="CX77" s="1"/>
    </row>
    <row r="78" spans="3:102" ht="15" hidden="1" customHeight="1" thickBot="1">
      <c r="C78" s="43"/>
      <c r="D78" s="64"/>
      <c r="E78" s="1"/>
      <c r="F78" s="1"/>
      <c r="G78" s="1"/>
      <c r="H78" s="1"/>
      <c r="I78" s="1"/>
      <c r="J78" s="1"/>
      <c r="K78" s="1"/>
      <c r="L78" s="1"/>
      <c r="M78" s="1"/>
      <c r="N78" s="1"/>
      <c r="O78" s="1"/>
      <c r="P78" s="1"/>
      <c r="Q78" s="1"/>
      <c r="R78" s="1"/>
      <c r="S78" s="1"/>
      <c r="T78" s="1"/>
      <c r="U78" s="63"/>
      <c r="V78" s="63"/>
      <c r="W78" s="63"/>
      <c r="X78" s="63"/>
      <c r="Y78" s="63"/>
      <c r="Z78" s="63"/>
      <c r="AA78" s="63"/>
      <c r="AB78" s="63"/>
      <c r="AC78" s="63"/>
      <c r="AD78" s="63"/>
      <c r="AE78" s="62"/>
      <c r="AF78" s="62"/>
      <c r="AG78" s="62"/>
      <c r="AH78" s="62"/>
      <c r="AI78" s="62"/>
      <c r="AJ78" s="62"/>
      <c r="AK78" s="62"/>
      <c r="AL78" s="62"/>
      <c r="AM78" s="62"/>
      <c r="AN78" s="62"/>
      <c r="AO78" s="60"/>
      <c r="AP78" s="60"/>
      <c r="AQ78" s="60"/>
      <c r="AR78" s="60"/>
      <c r="AS78" s="60"/>
      <c r="AT78" s="60"/>
      <c r="AU78" s="60"/>
      <c r="AV78" s="60"/>
      <c r="AW78" s="60"/>
      <c r="AX78" s="60"/>
      <c r="AY78" s="40"/>
      <c r="AZ78" s="1"/>
      <c r="BA78" s="43"/>
      <c r="BB78" s="61"/>
      <c r="BC78" s="61"/>
      <c r="BD78" s="61"/>
      <c r="BE78" s="61"/>
      <c r="BF78" s="61"/>
      <c r="BG78" s="61"/>
      <c r="BH78" s="61"/>
      <c r="BI78" s="61"/>
      <c r="BJ78" s="61"/>
      <c r="BK78" s="61"/>
      <c r="BL78" s="61"/>
      <c r="BM78" s="61"/>
      <c r="BN78" s="61"/>
      <c r="BO78" s="61"/>
      <c r="BP78" s="61"/>
      <c r="BQ78" s="61"/>
      <c r="BR78" s="61"/>
      <c r="BS78" s="60"/>
      <c r="BT78" s="60"/>
      <c r="BU78" s="60"/>
      <c r="BV78" s="60"/>
      <c r="BW78" s="60"/>
      <c r="BX78" s="60"/>
      <c r="BY78" s="60"/>
      <c r="BZ78" s="60"/>
      <c r="CA78" s="60"/>
      <c r="CB78" s="60"/>
      <c r="CC78" s="60"/>
      <c r="CD78" s="60"/>
      <c r="CE78" s="60"/>
      <c r="CF78" s="60"/>
      <c r="CG78" s="60"/>
      <c r="CH78" s="60"/>
      <c r="CI78" s="60"/>
      <c r="CJ78" s="60"/>
      <c r="CK78" s="60"/>
      <c r="CL78" s="60"/>
      <c r="CM78" s="60"/>
      <c r="CN78" s="60"/>
      <c r="CO78" s="60"/>
      <c r="CP78" s="60"/>
      <c r="CQ78" s="60"/>
      <c r="CR78" s="60"/>
      <c r="CS78" s="60"/>
      <c r="CT78" s="60"/>
      <c r="CU78" s="60"/>
      <c r="CV78" s="60"/>
      <c r="CW78" s="40"/>
      <c r="CX78" s="1"/>
    </row>
    <row r="79" spans="3:102" ht="15" hidden="1" customHeight="1" thickTop="1" thickBot="1">
      <c r="C79" s="43"/>
      <c r="D79" s="395" t="s">
        <v>525</v>
      </c>
      <c r="E79" s="396"/>
      <c r="F79" s="396"/>
      <c r="G79" s="396"/>
      <c r="H79" s="396"/>
      <c r="I79" s="396"/>
      <c r="J79" s="396"/>
      <c r="K79" s="396"/>
      <c r="L79" s="396"/>
      <c r="M79" s="396"/>
      <c r="N79" s="396"/>
      <c r="O79" s="396"/>
      <c r="P79" s="396"/>
      <c r="Q79" s="396"/>
      <c r="R79" s="396"/>
      <c r="S79" s="396"/>
      <c r="T79" s="396"/>
      <c r="U79" s="397">
        <f>U68+U63+U45+U27+U22</f>
        <v>794415</v>
      </c>
      <c r="V79" s="397"/>
      <c r="W79" s="397"/>
      <c r="X79" s="397"/>
      <c r="Y79" s="397"/>
      <c r="Z79" s="397"/>
      <c r="AA79" s="397"/>
      <c r="AB79" s="397"/>
      <c r="AC79" s="397"/>
      <c r="AD79" s="397"/>
      <c r="AE79" s="397">
        <f>AE68+AE63+AE45+AE27+AE22</f>
        <v>266000</v>
      </c>
      <c r="AF79" s="397"/>
      <c r="AG79" s="397"/>
      <c r="AH79" s="397"/>
      <c r="AI79" s="397"/>
      <c r="AJ79" s="397"/>
      <c r="AK79" s="397"/>
      <c r="AL79" s="397"/>
      <c r="AM79" s="397"/>
      <c r="AN79" s="397"/>
      <c r="AO79" s="397">
        <f>U79+AE79</f>
        <v>1060415</v>
      </c>
      <c r="AP79" s="397"/>
      <c r="AQ79" s="397"/>
      <c r="AR79" s="397"/>
      <c r="AS79" s="397"/>
      <c r="AT79" s="397"/>
      <c r="AU79" s="397"/>
      <c r="AV79" s="397"/>
      <c r="AW79" s="397"/>
      <c r="AX79" s="398"/>
      <c r="AY79" s="40"/>
      <c r="AZ79" s="1"/>
      <c r="BA79" s="43"/>
      <c r="BB79" s="395" t="s">
        <v>525</v>
      </c>
      <c r="BC79" s="396"/>
      <c r="BD79" s="396"/>
      <c r="BE79" s="396"/>
      <c r="BF79" s="396"/>
      <c r="BG79" s="396"/>
      <c r="BH79" s="396"/>
      <c r="BI79" s="396"/>
      <c r="BJ79" s="396"/>
      <c r="BK79" s="396"/>
      <c r="BL79" s="396"/>
      <c r="BM79" s="396"/>
      <c r="BN79" s="396"/>
      <c r="BO79" s="396"/>
      <c r="BP79" s="396"/>
      <c r="BQ79" s="396"/>
      <c r="BR79" s="396"/>
      <c r="BS79" s="397">
        <f>BS47+BS57+BS26+BS36+BS66+BS75+BS77</f>
        <v>1391800</v>
      </c>
      <c r="BT79" s="397"/>
      <c r="BU79" s="397"/>
      <c r="BV79" s="397"/>
      <c r="BW79" s="397"/>
      <c r="BX79" s="397"/>
      <c r="BY79" s="397"/>
      <c r="BZ79" s="397"/>
      <c r="CA79" s="397"/>
      <c r="CB79" s="397"/>
      <c r="CC79" s="397">
        <f>CC47+CC57+CC26+CC36+CC66+CC75+CC77</f>
        <v>2154280</v>
      </c>
      <c r="CD79" s="397"/>
      <c r="CE79" s="397"/>
      <c r="CF79" s="397"/>
      <c r="CG79" s="397"/>
      <c r="CH79" s="397"/>
      <c r="CI79" s="397"/>
      <c r="CJ79" s="397"/>
      <c r="CK79" s="397"/>
      <c r="CL79" s="397"/>
      <c r="CM79" s="397">
        <f>BS79+CC79</f>
        <v>3546080</v>
      </c>
      <c r="CN79" s="397"/>
      <c r="CO79" s="397"/>
      <c r="CP79" s="397"/>
      <c r="CQ79" s="397"/>
      <c r="CR79" s="397"/>
      <c r="CS79" s="397"/>
      <c r="CT79" s="397"/>
      <c r="CU79" s="397"/>
      <c r="CV79" s="398"/>
      <c r="CW79" s="40"/>
      <c r="CX79" s="1"/>
    </row>
    <row r="80" spans="3:102" ht="16.5" hidden="1" thickTop="1">
      <c r="C80" s="55"/>
      <c r="D80" s="59"/>
      <c r="E80" s="57"/>
      <c r="F80" s="57"/>
      <c r="G80" s="57"/>
      <c r="H80" s="57"/>
      <c r="I80" s="57"/>
      <c r="J80" s="57"/>
      <c r="K80" s="57"/>
      <c r="L80" s="57"/>
      <c r="M80" s="57"/>
      <c r="N80" s="57"/>
      <c r="O80" s="57"/>
      <c r="P80" s="57"/>
      <c r="Q80" s="57"/>
      <c r="R80" s="57"/>
      <c r="S80" s="57"/>
      <c r="T80" s="57"/>
      <c r="U80" s="58"/>
      <c r="V80" s="57"/>
      <c r="W80" s="57"/>
      <c r="X80" s="57"/>
      <c r="Y80" s="57"/>
      <c r="Z80" s="57"/>
      <c r="AA80" s="57"/>
      <c r="AB80" s="57"/>
      <c r="AC80" s="57"/>
      <c r="AD80" s="57"/>
      <c r="AE80" s="56"/>
      <c r="AF80" s="56"/>
      <c r="AG80" s="56"/>
      <c r="AH80" s="56"/>
      <c r="AI80" s="56"/>
      <c r="AJ80" s="56"/>
      <c r="AK80" s="56"/>
      <c r="AL80" s="56"/>
      <c r="AM80" s="56"/>
      <c r="AN80" s="56"/>
      <c r="AO80" s="53"/>
      <c r="AP80" s="53"/>
      <c r="AQ80" s="53"/>
      <c r="AR80" s="53"/>
      <c r="AS80" s="53"/>
      <c r="AT80" s="53"/>
      <c r="AU80" s="53"/>
      <c r="AV80" s="53"/>
      <c r="AW80" s="53"/>
      <c r="AX80" s="53"/>
      <c r="AY80" s="52"/>
      <c r="AZ80" s="1"/>
      <c r="BA80" s="55"/>
      <c r="BB80" s="54"/>
      <c r="BC80" s="54"/>
      <c r="BD80" s="54"/>
      <c r="BE80" s="54"/>
      <c r="BF80" s="54"/>
      <c r="BG80" s="54"/>
      <c r="BH80" s="54"/>
      <c r="BI80" s="54"/>
      <c r="BJ80" s="54"/>
      <c r="BK80" s="54"/>
      <c r="BL80" s="54"/>
      <c r="BM80" s="54"/>
      <c r="BN80" s="54"/>
      <c r="BO80" s="54"/>
      <c r="BP80" s="54"/>
      <c r="BQ80" s="54"/>
      <c r="BR80" s="54"/>
      <c r="BS80" s="53"/>
      <c r="BT80" s="53"/>
      <c r="BU80" s="53"/>
      <c r="BV80" s="53"/>
      <c r="BW80" s="53"/>
      <c r="BX80" s="53"/>
      <c r="BY80" s="53"/>
      <c r="BZ80" s="53"/>
      <c r="CA80" s="53"/>
      <c r="CB80" s="53"/>
      <c r="CC80" s="53"/>
      <c r="CD80" s="53"/>
      <c r="CE80" s="53"/>
      <c r="CF80" s="53"/>
      <c r="CG80" s="53"/>
      <c r="CH80" s="53"/>
      <c r="CI80" s="53"/>
      <c r="CJ80" s="53"/>
      <c r="CK80" s="53"/>
      <c r="CL80" s="53"/>
      <c r="CM80" s="53"/>
      <c r="CN80" s="53"/>
      <c r="CO80" s="53"/>
      <c r="CP80" s="53"/>
      <c r="CQ80" s="53"/>
      <c r="CR80" s="53"/>
      <c r="CS80" s="53"/>
      <c r="CT80" s="53"/>
      <c r="CU80" s="53"/>
      <c r="CV80" s="53"/>
      <c r="CW80" s="52"/>
      <c r="CX80" s="1"/>
    </row>
    <row r="81" spans="1:138" hidden="1">
      <c r="A81" s="51"/>
      <c r="B81" s="51"/>
      <c r="C81" s="51"/>
      <c r="D81" s="51"/>
      <c r="E81" s="51"/>
      <c r="F81" s="51"/>
      <c r="G81" s="51"/>
      <c r="H81" s="51"/>
      <c r="I81" s="51"/>
      <c r="J81" s="51"/>
      <c r="K81" s="51"/>
      <c r="L81" s="51"/>
      <c r="M81" s="51"/>
      <c r="N81" s="51"/>
      <c r="O81" s="51"/>
      <c r="P81" s="51"/>
      <c r="Q81" s="51"/>
      <c r="R81" s="51"/>
      <c r="S81" s="51"/>
      <c r="T81" s="51"/>
      <c r="U81" s="51"/>
      <c r="V81" s="51"/>
      <c r="W81" s="51"/>
      <c r="X81" s="51"/>
      <c r="Y81" s="51"/>
      <c r="Z81" s="51"/>
      <c r="AA81" s="51"/>
      <c r="AB81" s="51"/>
      <c r="AC81" s="51"/>
      <c r="AD81" s="51"/>
      <c r="AE81" s="51"/>
      <c r="AF81" s="51"/>
      <c r="AG81" s="51"/>
      <c r="AH81" s="51"/>
      <c r="AI81" s="51"/>
      <c r="AJ81" s="51"/>
      <c r="AK81" s="51"/>
      <c r="AL81" s="51"/>
      <c r="AM81" s="51"/>
      <c r="AN81" s="51"/>
      <c r="AO81" s="51"/>
      <c r="AP81" s="51"/>
      <c r="AQ81" s="51"/>
      <c r="AR81" s="51"/>
      <c r="AS81" s="51"/>
      <c r="AT81" s="51"/>
      <c r="AU81" s="51"/>
      <c r="AV81" s="51"/>
      <c r="AW81" s="51"/>
      <c r="AX81" s="51"/>
      <c r="AY81" s="51"/>
      <c r="AZ81" s="51"/>
      <c r="BA81" s="51"/>
      <c r="BB81" s="51"/>
      <c r="BC81" s="51"/>
      <c r="BD81" s="51"/>
      <c r="BE81" s="51"/>
      <c r="BF81" s="51"/>
      <c r="BG81" s="51"/>
      <c r="BH81" s="51"/>
      <c r="BI81" s="51"/>
      <c r="BJ81" s="51"/>
      <c r="BK81" s="51"/>
      <c r="BL81" s="51"/>
      <c r="BM81" s="51"/>
      <c r="BN81" s="51"/>
    </row>
    <row r="82" spans="1:138" hidden="1"/>
    <row r="83" spans="1:138" hidden="1"/>
    <row r="84" spans="1:138" hidden="1">
      <c r="A84" s="51"/>
      <c r="B84" s="51"/>
      <c r="C84" s="51"/>
      <c r="D84" s="51"/>
      <c r="E84" s="51"/>
      <c r="F84" s="51"/>
      <c r="G84" s="51"/>
      <c r="H84" s="51"/>
      <c r="I84" s="51"/>
      <c r="J84" s="51"/>
      <c r="K84" s="51"/>
      <c r="L84" s="51"/>
      <c r="M84" s="51"/>
      <c r="N84" s="51"/>
      <c r="O84" s="51"/>
      <c r="P84" s="51"/>
      <c r="Q84" s="51"/>
      <c r="R84" s="51"/>
      <c r="S84" s="51"/>
      <c r="T84" s="51"/>
      <c r="U84" s="51"/>
      <c r="V84" s="51"/>
      <c r="W84" s="51"/>
      <c r="X84" s="51"/>
      <c r="Y84" s="51"/>
      <c r="Z84" s="51"/>
      <c r="AA84" s="51"/>
      <c r="AB84" s="51"/>
      <c r="AC84" s="51"/>
      <c r="AD84" s="51"/>
      <c r="AE84" s="51"/>
      <c r="AF84" s="51"/>
      <c r="AG84" s="51"/>
      <c r="AH84" s="51"/>
      <c r="AI84" s="51"/>
      <c r="AJ84" s="51"/>
      <c r="AK84" s="51"/>
      <c r="AL84" s="51"/>
      <c r="AM84" s="51"/>
      <c r="AN84" s="51"/>
      <c r="AO84" s="51"/>
      <c r="AP84" s="51"/>
      <c r="AQ84" s="51"/>
      <c r="AR84" s="51"/>
      <c r="AS84" s="51"/>
      <c r="AT84" s="51"/>
      <c r="AU84" s="51"/>
      <c r="AV84" s="51"/>
      <c r="AW84" s="51"/>
      <c r="AX84" s="51"/>
      <c r="AY84" s="51"/>
      <c r="AZ84" s="51"/>
      <c r="BA84" s="51"/>
      <c r="BB84" s="51"/>
      <c r="BC84" s="51"/>
      <c r="BD84" s="51"/>
      <c r="BE84" s="51"/>
      <c r="BF84" s="51"/>
      <c r="BG84" s="51"/>
      <c r="BH84" s="51"/>
      <c r="BI84" s="51"/>
      <c r="BJ84" s="51"/>
      <c r="BK84" s="51"/>
      <c r="BL84" s="51"/>
      <c r="BM84" s="51"/>
      <c r="BN84" s="51"/>
      <c r="BO84" s="51"/>
      <c r="DV84" s="51"/>
      <c r="DW84" s="51"/>
      <c r="DX84" s="51"/>
      <c r="DY84" s="51"/>
      <c r="DZ84" s="51"/>
      <c r="EA84" s="51"/>
      <c r="EB84" s="51"/>
      <c r="EC84" s="51"/>
      <c r="ED84" s="51"/>
      <c r="EE84" s="51"/>
      <c r="EF84" s="51"/>
      <c r="EG84" s="51"/>
    </row>
    <row r="85" spans="1:138" ht="15" hidden="1" customHeight="1"/>
    <row r="86" spans="1:138" ht="15" hidden="1" customHeight="1">
      <c r="AY86" s="50"/>
      <c r="AZ86" s="50"/>
      <c r="BA86" s="50"/>
      <c r="BB86" s="50"/>
      <c r="BC86" s="50"/>
      <c r="BE86" s="50"/>
      <c r="BF86" s="50"/>
      <c r="BG86" s="50"/>
      <c r="BH86" s="50"/>
      <c r="BI86" s="50"/>
      <c r="BJ86" s="50"/>
      <c r="BK86" s="50"/>
      <c r="BL86" s="225" t="str">
        <f>CONCATENATE("BALANCE SHEET AS OF ",TEXT(Main!F17,"DD-MMM-YYYY"), " TO ",TEXT(Main!G17,"DD-MMM-YYYY"))</f>
        <v>BALANCE SHEET AS OF 01-Jan-2017 TO 13-Oct-2017</v>
      </c>
      <c r="BM86" s="225"/>
      <c r="BN86" s="225"/>
      <c r="BO86" s="225"/>
      <c r="BP86" s="225"/>
      <c r="BQ86" s="225"/>
      <c r="BR86" s="225"/>
      <c r="BS86" s="225"/>
      <c r="BT86" s="225"/>
      <c r="BU86" s="225"/>
      <c r="BV86" s="225"/>
      <c r="BW86" s="225"/>
      <c r="BX86" s="225"/>
      <c r="BY86" s="225"/>
      <c r="BZ86" s="225"/>
      <c r="CA86" s="225"/>
      <c r="CB86" s="225"/>
      <c r="CC86" s="225"/>
      <c r="CD86" s="225"/>
      <c r="CE86" s="225"/>
      <c r="CF86" s="225"/>
      <c r="CG86" s="225"/>
      <c r="CH86" s="225"/>
      <c r="CI86" s="225"/>
      <c r="CJ86" s="225"/>
      <c r="CK86" s="225"/>
      <c r="CL86" s="225"/>
      <c r="CM86" s="225"/>
      <c r="CN86" s="225"/>
      <c r="CO86" s="225"/>
      <c r="CP86" s="225"/>
      <c r="CQ86" s="225"/>
      <c r="CR86" s="225"/>
      <c r="CS86" s="225"/>
      <c r="CT86" s="225"/>
      <c r="CU86" s="225"/>
      <c r="CV86" s="225"/>
      <c r="CW86" s="225"/>
      <c r="CX86" s="225"/>
      <c r="CY86" s="225"/>
      <c r="CZ86" s="225"/>
      <c r="DA86" s="225"/>
      <c r="DB86" s="225"/>
      <c r="DC86" s="225"/>
      <c r="DD86" s="225"/>
      <c r="DE86" s="225"/>
      <c r="DF86" s="225"/>
      <c r="DG86" s="225"/>
      <c r="DH86" s="225"/>
      <c r="DI86" s="225"/>
      <c r="DJ86" s="225"/>
      <c r="DK86" s="225"/>
      <c r="DL86" s="225"/>
      <c r="DM86" s="225"/>
      <c r="DN86" s="225"/>
      <c r="DO86" s="225"/>
      <c r="DP86" s="225"/>
      <c r="DQ86" s="225"/>
      <c r="DR86" s="225"/>
      <c r="DS86" s="225"/>
      <c r="DT86" s="225"/>
      <c r="DU86" s="225"/>
      <c r="DV86" s="225"/>
      <c r="DW86" s="225"/>
      <c r="DX86" s="225"/>
      <c r="DY86" s="225"/>
      <c r="DZ86" s="225"/>
    </row>
    <row r="87" spans="1:138" ht="15" hidden="1" customHeight="1">
      <c r="AY87" s="50"/>
      <c r="AZ87" s="50"/>
      <c r="BA87" s="50"/>
      <c r="BB87" s="50"/>
      <c r="BC87" s="50"/>
      <c r="BE87" s="50"/>
      <c r="BF87" s="50"/>
      <c r="BG87" s="50"/>
      <c r="BH87" s="50"/>
      <c r="BI87" s="50"/>
      <c r="BJ87" s="50"/>
      <c r="BK87" s="50"/>
      <c r="BL87" s="225"/>
      <c r="BM87" s="225"/>
      <c r="BN87" s="225"/>
      <c r="BO87" s="225"/>
      <c r="BP87" s="225"/>
      <c r="BQ87" s="225"/>
      <c r="BR87" s="225"/>
      <c r="BS87" s="225"/>
      <c r="BT87" s="225"/>
      <c r="BU87" s="225"/>
      <c r="BV87" s="225"/>
      <c r="BW87" s="225"/>
      <c r="BX87" s="225"/>
      <c r="BY87" s="225"/>
      <c r="BZ87" s="225"/>
      <c r="CA87" s="225"/>
      <c r="CB87" s="225"/>
      <c r="CC87" s="225"/>
      <c r="CD87" s="225"/>
      <c r="CE87" s="225"/>
      <c r="CF87" s="225"/>
      <c r="CG87" s="225"/>
      <c r="CH87" s="225"/>
      <c r="CI87" s="225"/>
      <c r="CJ87" s="225"/>
      <c r="CK87" s="225"/>
      <c r="CL87" s="225"/>
      <c r="CM87" s="225"/>
      <c r="CN87" s="225"/>
      <c r="CO87" s="225"/>
      <c r="CP87" s="225"/>
      <c r="CQ87" s="225"/>
      <c r="CR87" s="225"/>
      <c r="CS87" s="225"/>
      <c r="CT87" s="225"/>
      <c r="CU87" s="225"/>
      <c r="CV87" s="225"/>
      <c r="CW87" s="225"/>
      <c r="CX87" s="225"/>
      <c r="CY87" s="225"/>
      <c r="CZ87" s="225"/>
      <c r="DA87" s="225"/>
      <c r="DB87" s="225"/>
      <c r="DC87" s="225"/>
      <c r="DD87" s="225"/>
      <c r="DE87" s="225"/>
      <c r="DF87" s="225"/>
      <c r="DG87" s="225"/>
      <c r="DH87" s="225"/>
      <c r="DI87" s="225"/>
      <c r="DJ87" s="225"/>
      <c r="DK87" s="225"/>
      <c r="DL87" s="225"/>
      <c r="DM87" s="225"/>
      <c r="DN87" s="225"/>
      <c r="DO87" s="225"/>
      <c r="DP87" s="225"/>
      <c r="DQ87" s="225"/>
      <c r="DR87" s="225"/>
      <c r="DS87" s="225"/>
      <c r="DT87" s="225"/>
      <c r="DU87" s="225"/>
      <c r="DV87" s="225"/>
      <c r="DW87" s="225"/>
      <c r="DX87" s="225"/>
      <c r="DY87" s="225"/>
      <c r="DZ87" s="225"/>
    </row>
    <row r="88" spans="1:138" ht="15.75" hidden="1">
      <c r="BP88" s="226" t="s">
        <v>524</v>
      </c>
      <c r="BQ88" s="226"/>
      <c r="BR88" s="226"/>
      <c r="BS88" s="226"/>
      <c r="BT88" s="226"/>
      <c r="BU88" s="226"/>
      <c r="BV88" s="226"/>
      <c r="BW88" s="226"/>
      <c r="BX88" s="226"/>
      <c r="BY88" s="226"/>
      <c r="BZ88" s="226"/>
      <c r="CA88" s="226"/>
      <c r="CB88" s="226"/>
      <c r="CC88" s="226"/>
      <c r="CD88" s="226"/>
      <c r="CE88" s="226"/>
      <c r="CF88" s="226"/>
      <c r="CG88" s="226"/>
      <c r="CH88" s="226"/>
      <c r="CI88" s="226"/>
      <c r="CJ88" s="226"/>
      <c r="CK88" s="226"/>
      <c r="CL88" s="226"/>
      <c r="CM88" s="226"/>
      <c r="CN88" s="226"/>
      <c r="CO88" s="226"/>
      <c r="CP88" s="226"/>
      <c r="CQ88" s="226"/>
      <c r="CR88" s="226"/>
      <c r="CS88" s="226"/>
      <c r="CT88" s="226"/>
      <c r="CU88" s="226"/>
      <c r="CV88" s="226"/>
      <c r="CW88" s="226"/>
      <c r="CX88" s="226"/>
      <c r="CY88" s="226"/>
      <c r="CZ88" s="226"/>
      <c r="DA88" s="226"/>
      <c r="DB88" s="226"/>
      <c r="DC88" s="226"/>
      <c r="DD88" s="226"/>
      <c r="DE88" s="226"/>
      <c r="DF88" s="226"/>
      <c r="DG88" s="226"/>
      <c r="DH88" s="226"/>
      <c r="DI88" s="226"/>
      <c r="DJ88" s="226"/>
      <c r="DK88" s="226"/>
      <c r="DL88" s="226"/>
      <c r="DM88" s="226"/>
      <c r="DN88" s="226"/>
      <c r="DO88" s="226"/>
      <c r="DP88" s="226"/>
      <c r="DQ88" s="226"/>
      <c r="DR88" s="226"/>
      <c r="DS88" s="226"/>
      <c r="DT88" s="226"/>
    </row>
    <row r="89" spans="1:138" hidden="1"/>
    <row r="90" spans="1:138" hidden="1">
      <c r="C90" s="209" t="str">
        <f>CONCATENATE("PRESENT ",TEXT(Main!F17,"( DD-MMM-YYYY"), " TO ",TEXT(Main!G17,"DD-MMM-YYYY )"))</f>
        <v>PRESENT ( 01-Jan-2017 TO 13-Oct-2017 )</v>
      </c>
      <c r="D90" s="209"/>
      <c r="E90" s="209"/>
      <c r="F90" s="209"/>
      <c r="G90" s="209"/>
      <c r="H90" s="209"/>
      <c r="I90" s="209"/>
      <c r="J90" s="209"/>
      <c r="K90" s="209"/>
      <c r="L90" s="209"/>
      <c r="M90" s="209"/>
      <c r="N90" s="209"/>
      <c r="O90" s="209"/>
      <c r="P90" s="209"/>
      <c r="Q90" s="209"/>
      <c r="R90" s="209"/>
      <c r="S90" s="209"/>
      <c r="T90" s="209"/>
      <c r="U90" s="209"/>
      <c r="V90" s="209"/>
      <c r="W90" s="209"/>
      <c r="X90" s="209"/>
      <c r="Y90" s="209"/>
      <c r="Z90" s="209"/>
      <c r="AA90" s="209"/>
      <c r="AB90" s="209"/>
      <c r="AC90" s="209"/>
      <c r="AD90" s="209"/>
      <c r="AE90" s="209"/>
      <c r="AF90" s="209"/>
      <c r="AG90" s="209"/>
      <c r="AH90" s="209"/>
      <c r="AI90" s="209"/>
      <c r="AJ90" s="209"/>
      <c r="AK90" s="209"/>
      <c r="AL90" s="209"/>
      <c r="AM90" s="209"/>
      <c r="AN90" s="209"/>
      <c r="AO90" s="209"/>
      <c r="AP90" s="209"/>
      <c r="AQ90" s="209"/>
      <c r="AR90" s="209"/>
      <c r="AS90" s="209"/>
      <c r="AT90" s="209"/>
      <c r="AU90" s="209"/>
      <c r="AV90" s="209"/>
      <c r="AW90" s="209"/>
      <c r="AX90" s="209"/>
      <c r="AY90" s="209"/>
      <c r="AZ90" s="209"/>
      <c r="BA90" s="209"/>
      <c r="BB90" s="209"/>
      <c r="BC90" s="209"/>
      <c r="BD90" s="209"/>
      <c r="BE90" s="209"/>
      <c r="BF90" s="209"/>
      <c r="BG90" s="209"/>
      <c r="BH90" s="209"/>
      <c r="BI90" s="209"/>
      <c r="BJ90" s="209"/>
      <c r="BK90" s="209"/>
      <c r="BL90" s="209"/>
      <c r="BM90" s="209"/>
      <c r="BN90" s="209"/>
      <c r="BO90" s="209"/>
      <c r="BP90" s="209"/>
      <c r="BQ90" s="209"/>
      <c r="BR90" s="209"/>
      <c r="BS90" s="209"/>
      <c r="BT90" s="209"/>
      <c r="BU90" s="209"/>
      <c r="BV90" s="209"/>
      <c r="BW90" s="209"/>
      <c r="BX90" s="209"/>
      <c r="BY90" s="209"/>
      <c r="BZ90" s="209"/>
      <c r="CA90" s="209"/>
      <c r="CB90" s="209"/>
      <c r="CC90" s="209"/>
      <c r="CD90" s="209"/>
      <c r="CE90" s="209"/>
      <c r="CF90" s="209"/>
      <c r="CG90" s="209"/>
      <c r="CH90" s="209"/>
      <c r="CI90" s="209"/>
      <c r="CJ90" s="209"/>
      <c r="CK90" s="209"/>
      <c r="CL90" s="209"/>
      <c r="CM90" s="209"/>
      <c r="CN90" s="209"/>
      <c r="CO90" s="209"/>
      <c r="CP90" s="209"/>
      <c r="CQ90" s="209"/>
      <c r="CR90" s="209"/>
      <c r="CS90" s="209"/>
      <c r="CT90" s="209"/>
      <c r="CU90" s="209"/>
      <c r="CV90" s="209"/>
      <c r="CW90" s="209"/>
      <c r="CX90" s="209"/>
      <c r="CY90" s="209"/>
      <c r="CZ90" s="209"/>
      <c r="DA90" s="209"/>
      <c r="DB90" s="209"/>
      <c r="DC90" s="209"/>
      <c r="DD90" s="209"/>
      <c r="DE90" s="209"/>
      <c r="DF90" s="209"/>
      <c r="DG90" s="209"/>
      <c r="DH90" s="209"/>
      <c r="DI90" s="209"/>
      <c r="DJ90" s="209"/>
      <c r="DK90" s="209"/>
      <c r="DL90" s="209"/>
      <c r="DM90" s="209"/>
      <c r="DN90" s="209"/>
      <c r="DO90" s="209"/>
      <c r="DP90" s="209"/>
      <c r="DQ90" s="209"/>
      <c r="DR90" s="209"/>
      <c r="DS90" s="209"/>
      <c r="DT90" s="209"/>
      <c r="DU90" s="209"/>
      <c r="DV90" s="209"/>
      <c r="DW90" s="209"/>
      <c r="DX90" s="209"/>
      <c r="DY90" s="209"/>
      <c r="DZ90" s="209"/>
      <c r="EA90" s="209"/>
      <c r="EB90" s="209"/>
      <c r="EC90" s="209"/>
      <c r="ED90" s="209"/>
      <c r="EE90" s="209"/>
      <c r="EF90" s="209"/>
      <c r="EG90" s="209"/>
      <c r="EH90" s="209"/>
    </row>
    <row r="91" spans="1:138" ht="15.75" hidden="1">
      <c r="C91" s="399" t="s">
        <v>513</v>
      </c>
      <c r="D91" s="399"/>
      <c r="E91" s="399"/>
      <c r="F91" s="399"/>
      <c r="G91" s="399"/>
      <c r="H91" s="399"/>
      <c r="I91" s="399"/>
      <c r="J91" s="399"/>
      <c r="K91" s="399"/>
      <c r="L91" s="399"/>
      <c r="M91" s="399"/>
      <c r="N91" s="399"/>
      <c r="O91" s="399"/>
      <c r="P91" s="399"/>
      <c r="Q91" s="399"/>
      <c r="R91" s="400" t="s">
        <v>523</v>
      </c>
      <c r="S91" s="401"/>
      <c r="T91" s="401"/>
      <c r="U91" s="401"/>
      <c r="V91" s="401"/>
      <c r="W91" s="401"/>
      <c r="X91" s="401"/>
      <c r="Y91" s="401"/>
      <c r="Z91" s="401"/>
      <c r="AA91" s="401"/>
      <c r="AB91" s="401"/>
      <c r="AC91" s="401"/>
      <c r="AD91" s="401"/>
      <c r="AE91" s="401"/>
      <c r="AF91" s="401"/>
      <c r="AG91" s="401"/>
      <c r="AH91" s="401"/>
      <c r="AI91" s="401"/>
      <c r="AJ91" s="401"/>
      <c r="AK91" s="401"/>
      <c r="AL91" s="401"/>
      <c r="AM91" s="401"/>
      <c r="AN91" s="401"/>
      <c r="AO91" s="401"/>
      <c r="AP91" s="401"/>
      <c r="AQ91" s="401"/>
      <c r="AR91" s="401"/>
      <c r="AS91" s="401"/>
      <c r="AT91" s="401"/>
      <c r="AU91" s="401"/>
      <c r="AV91" s="401"/>
      <c r="AW91" s="401"/>
      <c r="AX91" s="401"/>
      <c r="AY91" s="401"/>
      <c r="AZ91" s="401"/>
      <c r="BA91" s="401"/>
      <c r="BB91" s="401"/>
      <c r="BC91" s="401"/>
      <c r="BD91" s="401"/>
      <c r="BE91" s="401"/>
      <c r="BF91" s="401"/>
      <c r="BG91" s="401"/>
      <c r="BH91" s="401"/>
      <c r="BI91" s="401"/>
      <c r="BJ91" s="401"/>
      <c r="BK91" s="401"/>
      <c r="BL91" s="401"/>
      <c r="BM91" s="401"/>
      <c r="BN91" s="401"/>
      <c r="BO91" s="401"/>
      <c r="BP91" s="401"/>
      <c r="BQ91" s="401"/>
      <c r="BR91" s="401"/>
      <c r="BS91" s="401"/>
      <c r="BT91" s="401"/>
      <c r="BU91" s="401"/>
      <c r="BV91" s="401"/>
      <c r="BW91" s="401"/>
      <c r="BX91" s="401"/>
      <c r="BY91" s="402"/>
      <c r="BZ91" s="403" t="s">
        <v>522</v>
      </c>
      <c r="CA91" s="404"/>
      <c r="CB91" s="404"/>
      <c r="CC91" s="404"/>
      <c r="CD91" s="404"/>
      <c r="CE91" s="404"/>
      <c r="CF91" s="404"/>
      <c r="CG91" s="404"/>
      <c r="CH91" s="404"/>
      <c r="CI91" s="405"/>
      <c r="CK91" s="383" t="s">
        <v>521</v>
      </c>
      <c r="CL91" s="383"/>
      <c r="CM91" s="383"/>
      <c r="CN91" s="383"/>
      <c r="CO91" s="383"/>
      <c r="CP91" s="383"/>
      <c r="CQ91" s="383"/>
      <c r="CR91" s="383"/>
      <c r="CS91" s="383"/>
      <c r="CT91" s="383"/>
      <c r="CU91" s="383"/>
      <c r="CV91" s="383"/>
      <c r="CW91" s="383"/>
      <c r="CX91" s="383"/>
      <c r="CY91" s="383"/>
      <c r="CZ91" s="383"/>
      <c r="DA91" s="383"/>
      <c r="DB91" s="383"/>
      <c r="DC91" s="383"/>
      <c r="DD91" s="383"/>
      <c r="DE91" s="383"/>
      <c r="DF91" s="383"/>
      <c r="DG91" s="383"/>
      <c r="DH91" s="383"/>
      <c r="DI91" s="383"/>
      <c r="DJ91" s="383"/>
      <c r="DK91" s="383"/>
      <c r="DL91" s="383"/>
      <c r="DM91" s="383"/>
      <c r="DN91" s="383"/>
      <c r="DO91" s="383"/>
      <c r="DP91" s="383"/>
      <c r="DQ91" s="383"/>
      <c r="DR91" s="383"/>
      <c r="DS91" s="383"/>
      <c r="DT91" s="383"/>
      <c r="DU91" s="383"/>
      <c r="DV91" s="383"/>
      <c r="DW91" s="383"/>
      <c r="DX91" s="383"/>
      <c r="DY91" s="383"/>
      <c r="DZ91" s="383"/>
      <c r="EA91" s="383"/>
      <c r="EB91" s="383"/>
      <c r="EC91" s="383"/>
      <c r="ED91" s="383"/>
      <c r="EE91" s="383"/>
      <c r="EF91" s="383"/>
      <c r="EG91" s="383"/>
      <c r="EH91" s="383"/>
    </row>
    <row r="92" spans="1:138" ht="15.75" hidden="1" thickBot="1">
      <c r="C92" s="227"/>
      <c r="D92" s="227"/>
      <c r="E92" s="227"/>
      <c r="F92" s="227"/>
      <c r="G92" s="227"/>
      <c r="H92" s="227"/>
      <c r="I92" s="227"/>
      <c r="J92" s="227"/>
      <c r="K92" s="227"/>
      <c r="L92" s="227"/>
      <c r="M92" s="227"/>
      <c r="N92" s="227"/>
      <c r="O92" s="227"/>
      <c r="P92" s="227"/>
      <c r="Q92" s="227"/>
      <c r="R92" s="384" t="s">
        <v>63</v>
      </c>
      <c r="S92" s="385"/>
      <c r="T92" s="385"/>
      <c r="U92" s="385"/>
      <c r="V92" s="385"/>
      <c r="W92" s="385"/>
      <c r="X92" s="385"/>
      <c r="Y92" s="385"/>
      <c r="Z92" s="385"/>
      <c r="AA92" s="386"/>
      <c r="AB92" s="384" t="s">
        <v>42</v>
      </c>
      <c r="AC92" s="385"/>
      <c r="AD92" s="385"/>
      <c r="AE92" s="385"/>
      <c r="AF92" s="385"/>
      <c r="AG92" s="385"/>
      <c r="AH92" s="385"/>
      <c r="AI92" s="385"/>
      <c r="AJ92" s="385"/>
      <c r="AK92" s="386"/>
      <c r="AL92" s="384" t="s">
        <v>85</v>
      </c>
      <c r="AM92" s="385"/>
      <c r="AN92" s="385"/>
      <c r="AO92" s="385"/>
      <c r="AP92" s="385"/>
      <c r="AQ92" s="385"/>
      <c r="AR92" s="385"/>
      <c r="AS92" s="385"/>
      <c r="AT92" s="385"/>
      <c r="AU92" s="386"/>
      <c r="AV92" s="384" t="s">
        <v>79</v>
      </c>
      <c r="AW92" s="385"/>
      <c r="AX92" s="385"/>
      <c r="AY92" s="385"/>
      <c r="AZ92" s="385"/>
      <c r="BA92" s="385"/>
      <c r="BB92" s="385"/>
      <c r="BC92" s="385"/>
      <c r="BD92" s="385"/>
      <c r="BE92" s="386"/>
      <c r="BF92" s="384" t="s">
        <v>30</v>
      </c>
      <c r="BG92" s="385"/>
      <c r="BH92" s="385"/>
      <c r="BI92" s="385"/>
      <c r="BJ92" s="385"/>
      <c r="BK92" s="385"/>
      <c r="BL92" s="385"/>
      <c r="BM92" s="385"/>
      <c r="BN92" s="385"/>
      <c r="BO92" s="386"/>
      <c r="BP92" s="384" t="s">
        <v>73</v>
      </c>
      <c r="BQ92" s="385"/>
      <c r="BR92" s="385"/>
      <c r="BS92" s="385"/>
      <c r="BT92" s="385"/>
      <c r="BU92" s="385"/>
      <c r="BV92" s="385"/>
      <c r="BW92" s="385"/>
      <c r="BX92" s="385"/>
      <c r="BY92" s="386"/>
      <c r="BZ92" s="389" t="s">
        <v>503</v>
      </c>
      <c r="CA92" s="390"/>
      <c r="CB92" s="390"/>
      <c r="CC92" s="390"/>
      <c r="CD92" s="390"/>
      <c r="CE92" s="390"/>
      <c r="CF92" s="390"/>
      <c r="CG92" s="390"/>
      <c r="CH92" s="390"/>
      <c r="CI92" s="391"/>
      <c r="CK92" s="387" t="s">
        <v>512</v>
      </c>
      <c r="CL92" s="387"/>
      <c r="CM92" s="387"/>
      <c r="CN92" s="387"/>
      <c r="CO92" s="387"/>
      <c r="CP92" s="387"/>
      <c r="CQ92" s="387"/>
      <c r="CR92" s="387"/>
      <c r="CS92" s="387"/>
      <c r="CT92" s="387"/>
      <c r="CU92" s="387" t="s">
        <v>511</v>
      </c>
      <c r="CV92" s="387"/>
      <c r="CW92" s="387"/>
      <c r="CX92" s="387"/>
      <c r="CY92" s="387"/>
      <c r="CZ92" s="387"/>
      <c r="DA92" s="387"/>
      <c r="DB92" s="387"/>
      <c r="DC92" s="387"/>
      <c r="DD92" s="387"/>
      <c r="DE92" s="387" t="s">
        <v>493</v>
      </c>
      <c r="DF92" s="387"/>
      <c r="DG92" s="387"/>
      <c r="DH92" s="387"/>
      <c r="DI92" s="387"/>
      <c r="DJ92" s="387"/>
      <c r="DK92" s="387"/>
      <c r="DL92" s="387"/>
      <c r="DM92" s="387"/>
      <c r="DN92" s="387"/>
      <c r="DO92" s="387" t="s">
        <v>485</v>
      </c>
      <c r="DP92" s="387"/>
      <c r="DQ92" s="387"/>
      <c r="DR92" s="387"/>
      <c r="DS92" s="387"/>
      <c r="DT92" s="387"/>
      <c r="DU92" s="387"/>
      <c r="DV92" s="387"/>
      <c r="DW92" s="387"/>
      <c r="DX92" s="387"/>
      <c r="DY92" s="387" t="s">
        <v>115</v>
      </c>
      <c r="DZ92" s="387"/>
      <c r="EA92" s="387"/>
      <c r="EB92" s="387"/>
      <c r="EC92" s="387"/>
      <c r="ED92" s="387"/>
      <c r="EE92" s="387"/>
      <c r="EF92" s="387"/>
      <c r="EG92" s="387"/>
      <c r="EH92" s="387"/>
    </row>
    <row r="93" spans="1:138" ht="15.75" hidden="1" thickTop="1">
      <c r="C93" s="299" t="s">
        <v>26</v>
      </c>
      <c r="D93" s="300"/>
      <c r="E93" s="300"/>
      <c r="F93" s="300"/>
      <c r="G93" s="300"/>
      <c r="H93" s="300"/>
      <c r="I93" s="300"/>
      <c r="J93" s="300"/>
      <c r="K93" s="300"/>
      <c r="L93" s="300"/>
      <c r="M93" s="300"/>
      <c r="N93" s="300"/>
      <c r="O93" s="300"/>
      <c r="P93" s="300"/>
      <c r="Q93" s="301"/>
      <c r="R93" s="302">
        <f>$AN$148+$AN$151</f>
        <v>0</v>
      </c>
      <c r="S93" s="303"/>
      <c r="T93" s="303"/>
      <c r="U93" s="303"/>
      <c r="V93" s="303"/>
      <c r="W93" s="303"/>
      <c r="X93" s="303"/>
      <c r="Y93" s="303"/>
      <c r="Z93" s="303"/>
      <c r="AA93" s="303"/>
      <c r="AB93" s="304">
        <f>$AN$308+$AN$311</f>
        <v>0</v>
      </c>
      <c r="AC93" s="305"/>
      <c r="AD93" s="305"/>
      <c r="AE93" s="305"/>
      <c r="AF93" s="305"/>
      <c r="AG93" s="305"/>
      <c r="AH93" s="305"/>
      <c r="AI93" s="305"/>
      <c r="AJ93" s="305"/>
      <c r="AK93" s="306"/>
      <c r="AL93" s="304">
        <f>$AN$458+$AN$461</f>
        <v>0</v>
      </c>
      <c r="AM93" s="305"/>
      <c r="AN93" s="305"/>
      <c r="AO93" s="305"/>
      <c r="AP93" s="305"/>
      <c r="AQ93" s="305"/>
      <c r="AR93" s="305"/>
      <c r="AS93" s="305"/>
      <c r="AT93" s="305"/>
      <c r="AU93" s="306"/>
      <c r="AV93" s="304">
        <f>$AN$608+$AN$611</f>
        <v>0</v>
      </c>
      <c r="AW93" s="305"/>
      <c r="AX93" s="305"/>
      <c r="AY93" s="305"/>
      <c r="AZ93" s="305"/>
      <c r="BA93" s="305"/>
      <c r="BB93" s="305"/>
      <c r="BC93" s="305"/>
      <c r="BD93" s="305"/>
      <c r="BE93" s="306"/>
      <c r="BF93" s="304">
        <f>$AN$758+$AN$761</f>
        <v>32760</v>
      </c>
      <c r="BG93" s="305"/>
      <c r="BH93" s="305"/>
      <c r="BI93" s="305"/>
      <c r="BJ93" s="305"/>
      <c r="BK93" s="305"/>
      <c r="BL93" s="305"/>
      <c r="BM93" s="305"/>
      <c r="BN93" s="305"/>
      <c r="BO93" s="306"/>
      <c r="BP93" s="304">
        <f>$AN$908+$AN$911</f>
        <v>0</v>
      </c>
      <c r="BQ93" s="305"/>
      <c r="BR93" s="305"/>
      <c r="BS93" s="305"/>
      <c r="BT93" s="305"/>
      <c r="BU93" s="305"/>
      <c r="BV93" s="305"/>
      <c r="BW93" s="305"/>
      <c r="BX93" s="305"/>
      <c r="BY93" s="306"/>
      <c r="BZ93" s="392">
        <f t="shared" ref="BZ93:BZ109" si="8">SUM(R93:BY93)</f>
        <v>32760</v>
      </c>
      <c r="CA93" s="393"/>
      <c r="CB93" s="393"/>
      <c r="CC93" s="393"/>
      <c r="CD93" s="393"/>
      <c r="CE93" s="393"/>
      <c r="CF93" s="393"/>
      <c r="CG93" s="393"/>
      <c r="CH93" s="393"/>
      <c r="CI93" s="394"/>
      <c r="CK93" s="307">
        <f>COUNTIFS('Form Details'!$D:$D,'Adv. Filter'!$A$14,'Form Details'!$D:$D,'Adv. Filter'!$B$14,'Form Details'!$J:$J,'Balance Sheet'!$C93)</f>
        <v>0</v>
      </c>
      <c r="CL93" s="305"/>
      <c r="CM93" s="305"/>
      <c r="CN93" s="305"/>
      <c r="CO93" s="305"/>
      <c r="CP93" s="305"/>
      <c r="CQ93" s="305"/>
      <c r="CR93" s="305"/>
      <c r="CS93" s="305"/>
      <c r="CT93" s="306"/>
      <c r="CU93" s="307">
        <f>COUNTIFS('Form Details'!$D:$D,'Adv. Filter'!$A$14,'Form Details'!$D:$D,'Adv. Filter'!$B$14,'Form Details'!$J:$J,'Balance Sheet'!$C93,'Form Details'!$AA:$AA,"Yes")</f>
        <v>0</v>
      </c>
      <c r="CV93" s="305"/>
      <c r="CW93" s="305"/>
      <c r="CX93" s="305"/>
      <c r="CY93" s="305"/>
      <c r="CZ93" s="305"/>
      <c r="DA93" s="305"/>
      <c r="DB93" s="305"/>
      <c r="DC93" s="305"/>
      <c r="DD93" s="306"/>
      <c r="DE93" s="307">
        <f>COUNTIFS('Form Details'!$D:$D,'Adv. Filter'!$A$14,'Form Details'!$D:$D,'Adv. Filter'!$B$14,'Form Details'!$J:$J,'Balance Sheet'!$C93,'Form Details'!$AA:$AA,"Yes",'Form Details'!$W:$W,"Paid")</f>
        <v>0</v>
      </c>
      <c r="DF93" s="305"/>
      <c r="DG93" s="305"/>
      <c r="DH93" s="305"/>
      <c r="DI93" s="305"/>
      <c r="DJ93" s="305"/>
      <c r="DK93" s="305"/>
      <c r="DL93" s="305"/>
      <c r="DM93" s="305"/>
      <c r="DN93" s="306"/>
      <c r="DO93" s="307">
        <f>COUNTIFS('Form Details'!$W:$W,"Due",'Form Details'!$J:$J,$C118,'Form Details'!$D:$D,'Adv. Filter'!$A$14,'Form Details'!$D:$D,'Adv. Filter'!$B$14)</f>
        <v>0</v>
      </c>
      <c r="DP93" s="305"/>
      <c r="DQ93" s="305"/>
      <c r="DR93" s="305"/>
      <c r="DS93" s="305"/>
      <c r="DT93" s="305"/>
      <c r="DU93" s="305"/>
      <c r="DV93" s="305"/>
      <c r="DW93" s="305"/>
      <c r="DX93" s="306"/>
      <c r="DY93" s="307">
        <f>COUNTIFS('Form Details'!$I:$I,"Project",'Form Details'!$J:$J,$C93,'Form Details'!$D:$D,'Adv. Filter'!$A$14,'Form Details'!$D:$D,'Adv. Filter'!$B$14)</f>
        <v>0</v>
      </c>
      <c r="DZ93" s="305"/>
      <c r="EA93" s="305"/>
      <c r="EB93" s="305"/>
      <c r="EC93" s="305"/>
      <c r="ED93" s="305"/>
      <c r="EE93" s="305"/>
      <c r="EF93" s="305"/>
      <c r="EG93" s="305"/>
      <c r="EH93" s="306"/>
    </row>
    <row r="94" spans="1:138" hidden="1">
      <c r="C94" s="293" t="s">
        <v>38</v>
      </c>
      <c r="D94" s="294"/>
      <c r="E94" s="294"/>
      <c r="F94" s="294"/>
      <c r="G94" s="294"/>
      <c r="H94" s="294"/>
      <c r="I94" s="294"/>
      <c r="J94" s="294"/>
      <c r="K94" s="294"/>
      <c r="L94" s="294"/>
      <c r="M94" s="294"/>
      <c r="N94" s="294"/>
      <c r="O94" s="294"/>
      <c r="P94" s="294"/>
      <c r="Q94" s="295"/>
      <c r="R94" s="302">
        <f>$AN$152+$AN$155</f>
        <v>224000</v>
      </c>
      <c r="S94" s="303"/>
      <c r="T94" s="303"/>
      <c r="U94" s="303"/>
      <c r="V94" s="303"/>
      <c r="W94" s="303"/>
      <c r="X94" s="303"/>
      <c r="Y94" s="303"/>
      <c r="Z94" s="303"/>
      <c r="AA94" s="303"/>
      <c r="AB94" s="267">
        <f>$AN$312+$AN$315</f>
        <v>0</v>
      </c>
      <c r="AC94" s="229"/>
      <c r="AD94" s="229"/>
      <c r="AE94" s="229"/>
      <c r="AF94" s="229"/>
      <c r="AG94" s="229"/>
      <c r="AH94" s="229"/>
      <c r="AI94" s="229"/>
      <c r="AJ94" s="229"/>
      <c r="AK94" s="289"/>
      <c r="AL94" s="267">
        <f>$AN$462+$AN$465</f>
        <v>0</v>
      </c>
      <c r="AM94" s="229"/>
      <c r="AN94" s="229"/>
      <c r="AO94" s="229"/>
      <c r="AP94" s="229"/>
      <c r="AQ94" s="229"/>
      <c r="AR94" s="229"/>
      <c r="AS94" s="229"/>
      <c r="AT94" s="229"/>
      <c r="AU94" s="289"/>
      <c r="AV94" s="267">
        <f>$AN$612+$AN$615</f>
        <v>0</v>
      </c>
      <c r="AW94" s="229"/>
      <c r="AX94" s="229"/>
      <c r="AY94" s="229"/>
      <c r="AZ94" s="229"/>
      <c r="BA94" s="229"/>
      <c r="BB94" s="229"/>
      <c r="BC94" s="229"/>
      <c r="BD94" s="229"/>
      <c r="BE94" s="289"/>
      <c r="BF94" s="267">
        <f>$AN$762+$AN$765</f>
        <v>0</v>
      </c>
      <c r="BG94" s="229"/>
      <c r="BH94" s="229"/>
      <c r="BI94" s="229"/>
      <c r="BJ94" s="229"/>
      <c r="BK94" s="229"/>
      <c r="BL94" s="229"/>
      <c r="BM94" s="229"/>
      <c r="BN94" s="229"/>
      <c r="BO94" s="289"/>
      <c r="BP94" s="267">
        <f>$AN$912+$AN$915</f>
        <v>0</v>
      </c>
      <c r="BQ94" s="229"/>
      <c r="BR94" s="229"/>
      <c r="BS94" s="229"/>
      <c r="BT94" s="229"/>
      <c r="BU94" s="229"/>
      <c r="BV94" s="229"/>
      <c r="BW94" s="229"/>
      <c r="BX94" s="229"/>
      <c r="BY94" s="289"/>
      <c r="BZ94" s="290">
        <f t="shared" si="8"/>
        <v>224000</v>
      </c>
      <c r="CA94" s="291"/>
      <c r="CB94" s="291"/>
      <c r="CC94" s="291"/>
      <c r="CD94" s="291"/>
      <c r="CE94" s="291"/>
      <c r="CF94" s="291"/>
      <c r="CG94" s="291"/>
      <c r="CH94" s="291"/>
      <c r="CI94" s="292"/>
      <c r="CK94" s="288">
        <f>COUNTIFS('Form Details'!$D:$D,'Adv. Filter'!$A$14,'Form Details'!$D:$D,'Adv. Filter'!$B$14,'Form Details'!$J:$J,'Balance Sheet'!$C94)</f>
        <v>77</v>
      </c>
      <c r="CL94" s="229"/>
      <c r="CM94" s="229"/>
      <c r="CN94" s="229"/>
      <c r="CO94" s="229"/>
      <c r="CP94" s="229"/>
      <c r="CQ94" s="229"/>
      <c r="CR94" s="229"/>
      <c r="CS94" s="229"/>
      <c r="CT94" s="289"/>
      <c r="CU94" s="288">
        <f>COUNTIFS('Form Details'!$D:$D,'Adv. Filter'!$A$14,'Form Details'!$D:$D,'Adv. Filter'!$B$14,'Form Details'!$J:$J,'Balance Sheet'!$C94,'Form Details'!$AA:$AA,"Yes")</f>
        <v>55</v>
      </c>
      <c r="CV94" s="229"/>
      <c r="CW94" s="229"/>
      <c r="CX94" s="229"/>
      <c r="CY94" s="229"/>
      <c r="CZ94" s="229"/>
      <c r="DA94" s="229"/>
      <c r="DB94" s="229"/>
      <c r="DC94" s="229"/>
      <c r="DD94" s="289"/>
      <c r="DE94" s="288">
        <f>COUNTIFS('Form Details'!$D:$D,'Adv. Filter'!$A$14,'Form Details'!$D:$D,'Adv. Filter'!$B$14,'Form Details'!$J:$J,'Balance Sheet'!$C94,'Form Details'!$AA:$AA,"Yes",'Form Details'!$W:$W,"Paid")</f>
        <v>27</v>
      </c>
      <c r="DF94" s="229"/>
      <c r="DG94" s="229"/>
      <c r="DH94" s="229"/>
      <c r="DI94" s="229"/>
      <c r="DJ94" s="229"/>
      <c r="DK94" s="229"/>
      <c r="DL94" s="229"/>
      <c r="DM94" s="229"/>
      <c r="DN94" s="289"/>
      <c r="DO94" s="288">
        <f>COUNTIFS('Form Details'!$W:$W,"Due",'Form Details'!$J:$J,$C119,'Form Details'!$D:$D,'Adv. Filter'!$A$14,'Form Details'!$D:$D,'Adv. Filter'!$B$14)</f>
        <v>28</v>
      </c>
      <c r="DP94" s="229"/>
      <c r="DQ94" s="229"/>
      <c r="DR94" s="229"/>
      <c r="DS94" s="229"/>
      <c r="DT94" s="229"/>
      <c r="DU94" s="229"/>
      <c r="DV94" s="229"/>
      <c r="DW94" s="229"/>
      <c r="DX94" s="289"/>
      <c r="DY94" s="288">
        <f>COUNTIFS('Form Details'!$I:$I,"Project",'Form Details'!$J:$J,$C94,'Form Details'!$D:$D,'Adv. Filter'!$A$14,'Form Details'!$D:$D,'Adv. Filter'!$B$14)</f>
        <v>0</v>
      </c>
      <c r="DZ94" s="229"/>
      <c r="EA94" s="229"/>
      <c r="EB94" s="229"/>
      <c r="EC94" s="229"/>
      <c r="ED94" s="229"/>
      <c r="EE94" s="229"/>
      <c r="EF94" s="229"/>
      <c r="EG94" s="229"/>
      <c r="EH94" s="289"/>
    </row>
    <row r="95" spans="1:138" hidden="1">
      <c r="C95" s="293" t="s">
        <v>49</v>
      </c>
      <c r="D95" s="294"/>
      <c r="E95" s="294"/>
      <c r="F95" s="294"/>
      <c r="G95" s="294"/>
      <c r="H95" s="294"/>
      <c r="I95" s="294"/>
      <c r="J95" s="294"/>
      <c r="K95" s="294"/>
      <c r="L95" s="294"/>
      <c r="M95" s="294"/>
      <c r="N95" s="294"/>
      <c r="O95" s="294"/>
      <c r="P95" s="294"/>
      <c r="Q95" s="295"/>
      <c r="R95" s="302">
        <f>$AN$156+$AN$159</f>
        <v>20000</v>
      </c>
      <c r="S95" s="303"/>
      <c r="T95" s="303"/>
      <c r="U95" s="303"/>
      <c r="V95" s="303"/>
      <c r="W95" s="303"/>
      <c r="X95" s="303"/>
      <c r="Y95" s="303"/>
      <c r="Z95" s="303"/>
      <c r="AA95" s="303"/>
      <c r="AB95" s="267">
        <f>$AN$316+$AN$319</f>
        <v>0</v>
      </c>
      <c r="AC95" s="229"/>
      <c r="AD95" s="229"/>
      <c r="AE95" s="229"/>
      <c r="AF95" s="229"/>
      <c r="AG95" s="229"/>
      <c r="AH95" s="229"/>
      <c r="AI95" s="229"/>
      <c r="AJ95" s="229"/>
      <c r="AK95" s="289"/>
      <c r="AL95" s="267">
        <f>$AN$466+$AN$469</f>
        <v>0</v>
      </c>
      <c r="AM95" s="229"/>
      <c r="AN95" s="229"/>
      <c r="AO95" s="229"/>
      <c r="AP95" s="229"/>
      <c r="AQ95" s="229"/>
      <c r="AR95" s="229"/>
      <c r="AS95" s="229"/>
      <c r="AT95" s="229"/>
      <c r="AU95" s="289"/>
      <c r="AV95" s="267">
        <f>$AN$616+$AN$619</f>
        <v>103500</v>
      </c>
      <c r="AW95" s="229"/>
      <c r="AX95" s="229"/>
      <c r="AY95" s="229"/>
      <c r="AZ95" s="229"/>
      <c r="BA95" s="229"/>
      <c r="BB95" s="229"/>
      <c r="BC95" s="229"/>
      <c r="BD95" s="229"/>
      <c r="BE95" s="289"/>
      <c r="BF95" s="267">
        <f>$AN$766+$AN$769</f>
        <v>0</v>
      </c>
      <c r="BG95" s="229"/>
      <c r="BH95" s="229"/>
      <c r="BI95" s="229"/>
      <c r="BJ95" s="229"/>
      <c r="BK95" s="229"/>
      <c r="BL95" s="229"/>
      <c r="BM95" s="229"/>
      <c r="BN95" s="229"/>
      <c r="BO95" s="289"/>
      <c r="BP95" s="267">
        <f>$AN$916+$AN$919</f>
        <v>0</v>
      </c>
      <c r="BQ95" s="229"/>
      <c r="BR95" s="229"/>
      <c r="BS95" s="229"/>
      <c r="BT95" s="229"/>
      <c r="BU95" s="229"/>
      <c r="BV95" s="229"/>
      <c r="BW95" s="229"/>
      <c r="BX95" s="229"/>
      <c r="BY95" s="289"/>
      <c r="BZ95" s="290">
        <f t="shared" si="8"/>
        <v>123500</v>
      </c>
      <c r="CA95" s="291"/>
      <c r="CB95" s="291"/>
      <c r="CC95" s="291"/>
      <c r="CD95" s="291"/>
      <c r="CE95" s="291"/>
      <c r="CF95" s="291"/>
      <c r="CG95" s="291"/>
      <c r="CH95" s="291"/>
      <c r="CI95" s="292"/>
      <c r="CK95" s="288">
        <f>COUNTIFS('Form Details'!$D:$D,'Adv. Filter'!$A$14,'Form Details'!$D:$D,'Adv. Filter'!$B$14,'Form Details'!$J:$J,'Balance Sheet'!$C95)</f>
        <v>25</v>
      </c>
      <c r="CL95" s="229"/>
      <c r="CM95" s="229"/>
      <c r="CN95" s="229"/>
      <c r="CO95" s="229"/>
      <c r="CP95" s="229"/>
      <c r="CQ95" s="229"/>
      <c r="CR95" s="229"/>
      <c r="CS95" s="229"/>
      <c r="CT95" s="289"/>
      <c r="CU95" s="288">
        <f>COUNTIFS('Form Details'!$D:$D,'Adv. Filter'!$A$14,'Form Details'!$D:$D,'Adv. Filter'!$B$14,'Form Details'!$J:$J,'Balance Sheet'!$C95,'Form Details'!$AA:$AA,"Yes")</f>
        <v>23</v>
      </c>
      <c r="CV95" s="229"/>
      <c r="CW95" s="229"/>
      <c r="CX95" s="229"/>
      <c r="CY95" s="229"/>
      <c r="CZ95" s="229"/>
      <c r="DA95" s="229"/>
      <c r="DB95" s="229"/>
      <c r="DC95" s="229"/>
      <c r="DD95" s="289"/>
      <c r="DE95" s="288">
        <f>COUNTIFS('Form Details'!$D:$D,'Adv. Filter'!$A$14,'Form Details'!$D:$D,'Adv. Filter'!$B$14,'Form Details'!$J:$J,'Balance Sheet'!$C95,'Form Details'!$AA:$AA,"Yes",'Form Details'!$W:$W,"Paid")</f>
        <v>20</v>
      </c>
      <c r="DF95" s="229"/>
      <c r="DG95" s="229"/>
      <c r="DH95" s="229"/>
      <c r="DI95" s="229"/>
      <c r="DJ95" s="229"/>
      <c r="DK95" s="229"/>
      <c r="DL95" s="229"/>
      <c r="DM95" s="229"/>
      <c r="DN95" s="289"/>
      <c r="DO95" s="288">
        <f>COUNTIFS('Form Details'!$W:$W,"Due",'Form Details'!$J:$J,$C120,'Form Details'!$D:$D,'Adv. Filter'!$A$14,'Form Details'!$D:$D,'Adv. Filter'!$B$14)</f>
        <v>3</v>
      </c>
      <c r="DP95" s="229"/>
      <c r="DQ95" s="229"/>
      <c r="DR95" s="229"/>
      <c r="DS95" s="229"/>
      <c r="DT95" s="229"/>
      <c r="DU95" s="229"/>
      <c r="DV95" s="229"/>
      <c r="DW95" s="229"/>
      <c r="DX95" s="289"/>
      <c r="DY95" s="288">
        <f>COUNTIFS('Form Details'!$I:$I,"Project",'Form Details'!$J:$J,$C95,'Form Details'!$D:$D,'Adv. Filter'!$A$14,'Form Details'!$D:$D,'Adv. Filter'!$B$14)</f>
        <v>1</v>
      </c>
      <c r="DZ95" s="229"/>
      <c r="EA95" s="229"/>
      <c r="EB95" s="229"/>
      <c r="EC95" s="229"/>
      <c r="ED95" s="229"/>
      <c r="EE95" s="229"/>
      <c r="EF95" s="229"/>
      <c r="EG95" s="229"/>
      <c r="EH95" s="289"/>
    </row>
    <row r="96" spans="1:138" hidden="1">
      <c r="C96" s="293" t="s">
        <v>59</v>
      </c>
      <c r="D96" s="294"/>
      <c r="E96" s="294"/>
      <c r="F96" s="294"/>
      <c r="G96" s="294"/>
      <c r="H96" s="294"/>
      <c r="I96" s="294"/>
      <c r="J96" s="294"/>
      <c r="K96" s="294"/>
      <c r="L96" s="294"/>
      <c r="M96" s="294"/>
      <c r="N96" s="294"/>
      <c r="O96" s="294"/>
      <c r="P96" s="294"/>
      <c r="Q96" s="295"/>
      <c r="R96" s="296">
        <f>$AN$160+$AN$163</f>
        <v>0</v>
      </c>
      <c r="S96" s="297"/>
      <c r="T96" s="297"/>
      <c r="U96" s="297"/>
      <c r="V96" s="297"/>
      <c r="W96" s="297"/>
      <c r="X96" s="297"/>
      <c r="Y96" s="297"/>
      <c r="Z96" s="297"/>
      <c r="AA96" s="298"/>
      <c r="AB96" s="267">
        <f>$AN$320+$AN$323</f>
        <v>0</v>
      </c>
      <c r="AC96" s="229"/>
      <c r="AD96" s="229"/>
      <c r="AE96" s="229"/>
      <c r="AF96" s="229"/>
      <c r="AG96" s="229"/>
      <c r="AH96" s="229"/>
      <c r="AI96" s="229"/>
      <c r="AJ96" s="229"/>
      <c r="AK96" s="289"/>
      <c r="AL96" s="267">
        <f>$AN$470+$AN$473</f>
        <v>0</v>
      </c>
      <c r="AM96" s="229"/>
      <c r="AN96" s="229"/>
      <c r="AO96" s="229"/>
      <c r="AP96" s="229"/>
      <c r="AQ96" s="229"/>
      <c r="AR96" s="229"/>
      <c r="AS96" s="229"/>
      <c r="AT96" s="229"/>
      <c r="AU96" s="289"/>
      <c r="AV96" s="267">
        <f>$AN$620+$AN$623</f>
        <v>0</v>
      </c>
      <c r="AW96" s="229"/>
      <c r="AX96" s="229"/>
      <c r="AY96" s="229"/>
      <c r="AZ96" s="229"/>
      <c r="BA96" s="229"/>
      <c r="BB96" s="229"/>
      <c r="BC96" s="229"/>
      <c r="BD96" s="229"/>
      <c r="BE96" s="289"/>
      <c r="BF96" s="267">
        <f>$AN$770+$AN$773</f>
        <v>0</v>
      </c>
      <c r="BG96" s="229"/>
      <c r="BH96" s="229"/>
      <c r="BI96" s="229"/>
      <c r="BJ96" s="229"/>
      <c r="BK96" s="229"/>
      <c r="BL96" s="229"/>
      <c r="BM96" s="229"/>
      <c r="BN96" s="229"/>
      <c r="BO96" s="289"/>
      <c r="BP96" s="267">
        <f>$AN$920+$AN$923</f>
        <v>0</v>
      </c>
      <c r="BQ96" s="229"/>
      <c r="BR96" s="229"/>
      <c r="BS96" s="229"/>
      <c r="BT96" s="229"/>
      <c r="BU96" s="229"/>
      <c r="BV96" s="229"/>
      <c r="BW96" s="229"/>
      <c r="BX96" s="229"/>
      <c r="BY96" s="289"/>
      <c r="BZ96" s="290">
        <f t="shared" si="8"/>
        <v>0</v>
      </c>
      <c r="CA96" s="291"/>
      <c r="CB96" s="291"/>
      <c r="CC96" s="291"/>
      <c r="CD96" s="291"/>
      <c r="CE96" s="291"/>
      <c r="CF96" s="291"/>
      <c r="CG96" s="291"/>
      <c r="CH96" s="291"/>
      <c r="CI96" s="292"/>
      <c r="CK96" s="288">
        <f>COUNTIFS('Form Details'!$D:$D,'Adv. Filter'!$A$14,'Form Details'!$D:$D,'Adv. Filter'!$B$14,'Form Details'!$J:$J,'Balance Sheet'!$C96)</f>
        <v>2</v>
      </c>
      <c r="CL96" s="229"/>
      <c r="CM96" s="229"/>
      <c r="CN96" s="229"/>
      <c r="CO96" s="229"/>
      <c r="CP96" s="229"/>
      <c r="CQ96" s="229"/>
      <c r="CR96" s="229"/>
      <c r="CS96" s="229"/>
      <c r="CT96" s="289"/>
      <c r="CU96" s="288">
        <f>COUNTIFS('Form Details'!$D:$D,'Adv. Filter'!$A$14,'Form Details'!$D:$D,'Adv. Filter'!$B$14,'Form Details'!$J:$J,'Balance Sheet'!$C96,'Form Details'!$AA:$AA,"Yes")</f>
        <v>2</v>
      </c>
      <c r="CV96" s="229"/>
      <c r="CW96" s="229"/>
      <c r="CX96" s="229"/>
      <c r="CY96" s="229"/>
      <c r="CZ96" s="229"/>
      <c r="DA96" s="229"/>
      <c r="DB96" s="229"/>
      <c r="DC96" s="229"/>
      <c r="DD96" s="289"/>
      <c r="DE96" s="288">
        <f>COUNTIFS('Form Details'!$D:$D,'Adv. Filter'!$A$14,'Form Details'!$D:$D,'Adv. Filter'!$B$14,'Form Details'!$J:$J,'Balance Sheet'!$C96,'Form Details'!$AA:$AA,"Yes",'Form Details'!$W:$W,"Paid")</f>
        <v>0</v>
      </c>
      <c r="DF96" s="229"/>
      <c r="DG96" s="229"/>
      <c r="DH96" s="229"/>
      <c r="DI96" s="229"/>
      <c r="DJ96" s="229"/>
      <c r="DK96" s="229"/>
      <c r="DL96" s="229"/>
      <c r="DM96" s="229"/>
      <c r="DN96" s="289"/>
      <c r="DO96" s="288">
        <f>COUNTIFS('Form Details'!$W:$W,"Due",'Form Details'!$J:$J,$C121,'Form Details'!$D:$D,'Adv. Filter'!$A$14,'Form Details'!$D:$D,'Adv. Filter'!$B$14)</f>
        <v>2</v>
      </c>
      <c r="DP96" s="229"/>
      <c r="DQ96" s="229"/>
      <c r="DR96" s="229"/>
      <c r="DS96" s="229"/>
      <c r="DT96" s="229"/>
      <c r="DU96" s="229"/>
      <c r="DV96" s="229"/>
      <c r="DW96" s="229"/>
      <c r="DX96" s="289"/>
      <c r="DY96" s="288">
        <f>COUNTIFS('Form Details'!$I:$I,"Project",'Form Details'!$J:$J,$C96,'Form Details'!$D:$D,'Adv. Filter'!$A$14,'Form Details'!$D:$D,'Adv. Filter'!$B$14)</f>
        <v>0</v>
      </c>
      <c r="DZ96" s="229"/>
      <c r="EA96" s="229"/>
      <c r="EB96" s="229"/>
      <c r="EC96" s="229"/>
      <c r="ED96" s="229"/>
      <c r="EE96" s="229"/>
      <c r="EF96" s="229"/>
      <c r="EG96" s="229"/>
      <c r="EH96" s="289"/>
    </row>
    <row r="97" spans="3:138" hidden="1">
      <c r="C97" s="293" t="s">
        <v>70</v>
      </c>
      <c r="D97" s="294"/>
      <c r="E97" s="294"/>
      <c r="F97" s="294"/>
      <c r="G97" s="294"/>
      <c r="H97" s="294"/>
      <c r="I97" s="294"/>
      <c r="J97" s="294"/>
      <c r="K97" s="294"/>
      <c r="L97" s="294"/>
      <c r="M97" s="294"/>
      <c r="N97" s="294"/>
      <c r="O97" s="294"/>
      <c r="P97" s="294"/>
      <c r="Q97" s="295"/>
      <c r="R97" s="296">
        <f>$AN$164+$AN$167</f>
        <v>0</v>
      </c>
      <c r="S97" s="297"/>
      <c r="T97" s="297"/>
      <c r="U97" s="297"/>
      <c r="V97" s="297"/>
      <c r="W97" s="297"/>
      <c r="X97" s="297"/>
      <c r="Y97" s="297"/>
      <c r="Z97" s="297"/>
      <c r="AA97" s="298"/>
      <c r="AB97" s="267">
        <f>$AN$324+$AN$327</f>
        <v>66320</v>
      </c>
      <c r="AC97" s="229"/>
      <c r="AD97" s="229"/>
      <c r="AE97" s="229"/>
      <c r="AF97" s="229"/>
      <c r="AG97" s="229"/>
      <c r="AH97" s="229"/>
      <c r="AI97" s="229"/>
      <c r="AJ97" s="229"/>
      <c r="AK97" s="289"/>
      <c r="AL97" s="267">
        <f>$AN$474+$AN$477</f>
        <v>72495</v>
      </c>
      <c r="AM97" s="229"/>
      <c r="AN97" s="229"/>
      <c r="AO97" s="229"/>
      <c r="AP97" s="229"/>
      <c r="AQ97" s="229"/>
      <c r="AR97" s="229"/>
      <c r="AS97" s="229"/>
      <c r="AT97" s="229"/>
      <c r="AU97" s="289"/>
      <c r="AV97" s="267">
        <f>$AN$624+$AN$627</f>
        <v>0</v>
      </c>
      <c r="AW97" s="229"/>
      <c r="AX97" s="229"/>
      <c r="AY97" s="229"/>
      <c r="AZ97" s="229"/>
      <c r="BA97" s="229"/>
      <c r="BB97" s="229"/>
      <c r="BC97" s="229"/>
      <c r="BD97" s="229"/>
      <c r="BE97" s="289"/>
      <c r="BF97" s="267">
        <f>$AN$774+$AN$777</f>
        <v>0</v>
      </c>
      <c r="BG97" s="229"/>
      <c r="BH97" s="229"/>
      <c r="BI97" s="229"/>
      <c r="BJ97" s="229"/>
      <c r="BK97" s="229"/>
      <c r="BL97" s="229"/>
      <c r="BM97" s="229"/>
      <c r="BN97" s="229"/>
      <c r="BO97" s="289"/>
      <c r="BP97" s="267">
        <f>$AN$924+$AN$927</f>
        <v>0</v>
      </c>
      <c r="BQ97" s="229"/>
      <c r="BR97" s="229"/>
      <c r="BS97" s="229"/>
      <c r="BT97" s="229"/>
      <c r="BU97" s="229"/>
      <c r="BV97" s="229"/>
      <c r="BW97" s="229"/>
      <c r="BX97" s="229"/>
      <c r="BY97" s="289"/>
      <c r="BZ97" s="290">
        <f t="shared" si="8"/>
        <v>138815</v>
      </c>
      <c r="CA97" s="291"/>
      <c r="CB97" s="291"/>
      <c r="CC97" s="291"/>
      <c r="CD97" s="291"/>
      <c r="CE97" s="291"/>
      <c r="CF97" s="291"/>
      <c r="CG97" s="291"/>
      <c r="CH97" s="291"/>
      <c r="CI97" s="292"/>
      <c r="CK97" s="288">
        <f>COUNTIFS('Form Details'!$D:$D,'Adv. Filter'!$A$14,'Form Details'!$D:$D,'Adv. Filter'!$B$14,'Form Details'!$J:$J,'Balance Sheet'!$C97)</f>
        <v>27</v>
      </c>
      <c r="CL97" s="229"/>
      <c r="CM97" s="229"/>
      <c r="CN97" s="229"/>
      <c r="CO97" s="229"/>
      <c r="CP97" s="229"/>
      <c r="CQ97" s="229"/>
      <c r="CR97" s="229"/>
      <c r="CS97" s="229"/>
      <c r="CT97" s="289"/>
      <c r="CU97" s="288">
        <f>COUNTIFS('Form Details'!$D:$D,'Adv. Filter'!$A$14,'Form Details'!$D:$D,'Adv. Filter'!$B$14,'Form Details'!$J:$J,'Balance Sheet'!$C97,'Form Details'!$AA:$AA,"Yes")</f>
        <v>27</v>
      </c>
      <c r="CV97" s="229"/>
      <c r="CW97" s="229"/>
      <c r="CX97" s="229"/>
      <c r="CY97" s="229"/>
      <c r="CZ97" s="229"/>
      <c r="DA97" s="229"/>
      <c r="DB97" s="229"/>
      <c r="DC97" s="229"/>
      <c r="DD97" s="289"/>
      <c r="DE97" s="288">
        <f>COUNTIFS('Form Details'!$D:$D,'Adv. Filter'!$A$14,'Form Details'!$D:$D,'Adv. Filter'!$B$14,'Form Details'!$J:$J,'Balance Sheet'!$C97,'Form Details'!$AA:$AA,"Yes",'Form Details'!$W:$W,"Paid")</f>
        <v>16</v>
      </c>
      <c r="DF97" s="229"/>
      <c r="DG97" s="229"/>
      <c r="DH97" s="229"/>
      <c r="DI97" s="229"/>
      <c r="DJ97" s="229"/>
      <c r="DK97" s="229"/>
      <c r="DL97" s="229"/>
      <c r="DM97" s="229"/>
      <c r="DN97" s="289"/>
      <c r="DO97" s="288">
        <f>COUNTIFS('Form Details'!$W:$W,"Due",'Form Details'!$J:$J,$C122,'Form Details'!$D:$D,'Adv. Filter'!$A$14,'Form Details'!$D:$D,'Adv. Filter'!$B$14)</f>
        <v>11</v>
      </c>
      <c r="DP97" s="229"/>
      <c r="DQ97" s="229"/>
      <c r="DR97" s="229"/>
      <c r="DS97" s="229"/>
      <c r="DT97" s="229"/>
      <c r="DU97" s="229"/>
      <c r="DV97" s="229"/>
      <c r="DW97" s="229"/>
      <c r="DX97" s="289"/>
      <c r="DY97" s="288">
        <f>COUNTIFS('Form Details'!$I:$I,"Project",'Form Details'!$J:$J,$C97,'Form Details'!$D:$D,'Adv. Filter'!$A$14,'Form Details'!$D:$D,'Adv. Filter'!$B$14)</f>
        <v>0</v>
      </c>
      <c r="DZ97" s="229"/>
      <c r="EA97" s="229"/>
      <c r="EB97" s="229"/>
      <c r="EC97" s="229"/>
      <c r="ED97" s="229"/>
      <c r="EE97" s="229"/>
      <c r="EF97" s="229"/>
      <c r="EG97" s="229"/>
      <c r="EH97" s="289"/>
    </row>
    <row r="98" spans="3:138" hidden="1">
      <c r="C98" s="293" t="s">
        <v>77</v>
      </c>
      <c r="D98" s="294"/>
      <c r="E98" s="294"/>
      <c r="F98" s="294"/>
      <c r="G98" s="294"/>
      <c r="H98" s="294"/>
      <c r="I98" s="294"/>
      <c r="J98" s="294"/>
      <c r="K98" s="294"/>
      <c r="L98" s="294"/>
      <c r="M98" s="294"/>
      <c r="N98" s="294"/>
      <c r="O98" s="294"/>
      <c r="P98" s="294"/>
      <c r="Q98" s="295"/>
      <c r="R98" s="296">
        <f>$AN$168+$AN$171</f>
        <v>0</v>
      </c>
      <c r="S98" s="297"/>
      <c r="T98" s="297"/>
      <c r="U98" s="297"/>
      <c r="V98" s="297"/>
      <c r="W98" s="297"/>
      <c r="X98" s="297"/>
      <c r="Y98" s="297"/>
      <c r="Z98" s="297"/>
      <c r="AA98" s="298"/>
      <c r="AB98" s="267">
        <f>$AN$328+$AN$331</f>
        <v>57525</v>
      </c>
      <c r="AC98" s="229"/>
      <c r="AD98" s="229"/>
      <c r="AE98" s="229"/>
      <c r="AF98" s="229"/>
      <c r="AG98" s="229"/>
      <c r="AH98" s="229"/>
      <c r="AI98" s="229"/>
      <c r="AJ98" s="229"/>
      <c r="AK98" s="289"/>
      <c r="AL98" s="267">
        <f>$AN$478+$AN$481</f>
        <v>42925</v>
      </c>
      <c r="AM98" s="229"/>
      <c r="AN98" s="229"/>
      <c r="AO98" s="229"/>
      <c r="AP98" s="229"/>
      <c r="AQ98" s="229"/>
      <c r="AR98" s="229"/>
      <c r="AS98" s="229"/>
      <c r="AT98" s="229"/>
      <c r="AU98" s="289"/>
      <c r="AV98" s="267">
        <f>$AN$628+$AN$631</f>
        <v>0</v>
      </c>
      <c r="AW98" s="229"/>
      <c r="AX98" s="229"/>
      <c r="AY98" s="229"/>
      <c r="AZ98" s="229"/>
      <c r="BA98" s="229"/>
      <c r="BB98" s="229"/>
      <c r="BC98" s="229"/>
      <c r="BD98" s="229"/>
      <c r="BE98" s="289"/>
      <c r="BF98" s="267">
        <f>$AN$778+$AN$781</f>
        <v>0</v>
      </c>
      <c r="BG98" s="229"/>
      <c r="BH98" s="229"/>
      <c r="BI98" s="229"/>
      <c r="BJ98" s="229"/>
      <c r="BK98" s="229"/>
      <c r="BL98" s="229"/>
      <c r="BM98" s="229"/>
      <c r="BN98" s="229"/>
      <c r="BO98" s="289"/>
      <c r="BP98" s="267">
        <f>$AN$928+$AN$931</f>
        <v>0</v>
      </c>
      <c r="BQ98" s="229"/>
      <c r="BR98" s="229"/>
      <c r="BS98" s="229"/>
      <c r="BT98" s="229"/>
      <c r="BU98" s="229"/>
      <c r="BV98" s="229"/>
      <c r="BW98" s="229"/>
      <c r="BX98" s="229"/>
      <c r="BY98" s="289"/>
      <c r="BZ98" s="290">
        <f t="shared" si="8"/>
        <v>100450</v>
      </c>
      <c r="CA98" s="291"/>
      <c r="CB98" s="291"/>
      <c r="CC98" s="291"/>
      <c r="CD98" s="291"/>
      <c r="CE98" s="291"/>
      <c r="CF98" s="291"/>
      <c r="CG98" s="291"/>
      <c r="CH98" s="291"/>
      <c r="CI98" s="292"/>
      <c r="CK98" s="288">
        <f>COUNTIFS('Form Details'!$D:$D,'Adv. Filter'!$A$14,'Form Details'!$D:$D,'Adv. Filter'!$B$14,'Form Details'!$J:$J,'Balance Sheet'!$C98)</f>
        <v>43</v>
      </c>
      <c r="CL98" s="229"/>
      <c r="CM98" s="229"/>
      <c r="CN98" s="229"/>
      <c r="CO98" s="229"/>
      <c r="CP98" s="229"/>
      <c r="CQ98" s="229"/>
      <c r="CR98" s="229"/>
      <c r="CS98" s="229"/>
      <c r="CT98" s="289"/>
      <c r="CU98" s="288">
        <f>COUNTIFS('Form Details'!$D:$D,'Adv. Filter'!$A$14,'Form Details'!$D:$D,'Adv. Filter'!$B$14,'Form Details'!$J:$J,'Balance Sheet'!$C98,'Form Details'!$AA:$AA,"Yes")</f>
        <v>42</v>
      </c>
      <c r="CV98" s="229"/>
      <c r="CW98" s="229"/>
      <c r="CX98" s="229"/>
      <c r="CY98" s="229"/>
      <c r="CZ98" s="229"/>
      <c r="DA98" s="229"/>
      <c r="DB98" s="229"/>
      <c r="DC98" s="229"/>
      <c r="DD98" s="289"/>
      <c r="DE98" s="288">
        <f>COUNTIFS('Form Details'!$D:$D,'Adv. Filter'!$A$14,'Form Details'!$D:$D,'Adv. Filter'!$B$14,'Form Details'!$J:$J,'Balance Sheet'!$C98,'Form Details'!$AA:$AA,"Yes",'Form Details'!$W:$W,"Paid")</f>
        <v>30</v>
      </c>
      <c r="DF98" s="229"/>
      <c r="DG98" s="229"/>
      <c r="DH98" s="229"/>
      <c r="DI98" s="229"/>
      <c r="DJ98" s="229"/>
      <c r="DK98" s="229"/>
      <c r="DL98" s="229"/>
      <c r="DM98" s="229"/>
      <c r="DN98" s="289"/>
      <c r="DO98" s="288">
        <f>COUNTIFS('Form Details'!$W:$W,"Due",'Form Details'!$J:$J,$C123,'Form Details'!$D:$D,'Adv. Filter'!$A$14,'Form Details'!$D:$D,'Adv. Filter'!$B$14)</f>
        <v>12</v>
      </c>
      <c r="DP98" s="229"/>
      <c r="DQ98" s="229"/>
      <c r="DR98" s="229"/>
      <c r="DS98" s="229"/>
      <c r="DT98" s="229"/>
      <c r="DU98" s="229"/>
      <c r="DV98" s="229"/>
      <c r="DW98" s="229"/>
      <c r="DX98" s="289"/>
      <c r="DY98" s="288">
        <f>COUNTIFS('Form Details'!$I:$I,"Project",'Form Details'!$J:$J,$C98,'Form Details'!$D:$D,'Adv. Filter'!$A$14,'Form Details'!$D:$D,'Adv. Filter'!$B$14)</f>
        <v>1</v>
      </c>
      <c r="DZ98" s="229"/>
      <c r="EA98" s="229"/>
      <c r="EB98" s="229"/>
      <c r="EC98" s="229"/>
      <c r="ED98" s="229"/>
      <c r="EE98" s="229"/>
      <c r="EF98" s="229"/>
      <c r="EG98" s="229"/>
      <c r="EH98" s="289"/>
    </row>
    <row r="99" spans="3:138" hidden="1">
      <c r="C99" s="293" t="s">
        <v>138</v>
      </c>
      <c r="D99" s="294"/>
      <c r="E99" s="294"/>
      <c r="F99" s="294"/>
      <c r="G99" s="294"/>
      <c r="H99" s="294"/>
      <c r="I99" s="294"/>
      <c r="J99" s="294"/>
      <c r="K99" s="294"/>
      <c r="L99" s="294"/>
      <c r="M99" s="294"/>
      <c r="N99" s="294"/>
      <c r="O99" s="294"/>
      <c r="P99" s="294"/>
      <c r="Q99" s="295"/>
      <c r="R99" s="296">
        <f>$AN$172+$AN$175</f>
        <v>0</v>
      </c>
      <c r="S99" s="297"/>
      <c r="T99" s="297"/>
      <c r="U99" s="297"/>
      <c r="V99" s="297"/>
      <c r="W99" s="297"/>
      <c r="X99" s="297"/>
      <c r="Y99" s="297"/>
      <c r="Z99" s="297"/>
      <c r="AA99" s="298"/>
      <c r="AB99" s="267">
        <f>$AN$332+$AN$335</f>
        <v>0</v>
      </c>
      <c r="AC99" s="229"/>
      <c r="AD99" s="229"/>
      <c r="AE99" s="229"/>
      <c r="AF99" s="229"/>
      <c r="AG99" s="229"/>
      <c r="AH99" s="229"/>
      <c r="AI99" s="229"/>
      <c r="AJ99" s="229"/>
      <c r="AK99" s="289"/>
      <c r="AL99" s="267">
        <f>$AN$482+$AN$485</f>
        <v>0</v>
      </c>
      <c r="AM99" s="229"/>
      <c r="AN99" s="229"/>
      <c r="AO99" s="229"/>
      <c r="AP99" s="229"/>
      <c r="AQ99" s="229"/>
      <c r="AR99" s="229"/>
      <c r="AS99" s="229"/>
      <c r="AT99" s="229"/>
      <c r="AU99" s="289"/>
      <c r="AV99" s="267">
        <f>$AN$632+$AN$635</f>
        <v>0</v>
      </c>
      <c r="AW99" s="229"/>
      <c r="AX99" s="229"/>
      <c r="AY99" s="229"/>
      <c r="AZ99" s="229"/>
      <c r="BA99" s="229"/>
      <c r="BB99" s="229"/>
      <c r="BC99" s="229"/>
      <c r="BD99" s="229"/>
      <c r="BE99" s="289"/>
      <c r="BF99" s="267">
        <f>$AN$782+$AN$785</f>
        <v>0</v>
      </c>
      <c r="BG99" s="229"/>
      <c r="BH99" s="229"/>
      <c r="BI99" s="229"/>
      <c r="BJ99" s="229"/>
      <c r="BK99" s="229"/>
      <c r="BL99" s="229"/>
      <c r="BM99" s="229"/>
      <c r="BN99" s="229"/>
      <c r="BO99" s="289"/>
      <c r="BP99" s="267">
        <f>$AN$932+$AN$935</f>
        <v>0</v>
      </c>
      <c r="BQ99" s="229"/>
      <c r="BR99" s="229"/>
      <c r="BS99" s="229"/>
      <c r="BT99" s="229"/>
      <c r="BU99" s="229"/>
      <c r="BV99" s="229"/>
      <c r="BW99" s="229"/>
      <c r="BX99" s="229"/>
      <c r="BY99" s="289"/>
      <c r="BZ99" s="290">
        <f t="shared" si="8"/>
        <v>0</v>
      </c>
      <c r="CA99" s="291"/>
      <c r="CB99" s="291"/>
      <c r="CC99" s="291"/>
      <c r="CD99" s="291"/>
      <c r="CE99" s="291"/>
      <c r="CF99" s="291"/>
      <c r="CG99" s="291"/>
      <c r="CH99" s="291"/>
      <c r="CI99" s="292"/>
      <c r="CK99" s="288">
        <f>COUNTIFS('Form Details'!$D:$D,'Adv. Filter'!$A$14,'Form Details'!$D:$D,'Adv. Filter'!$B$14,'Form Details'!$J:$J,'Balance Sheet'!$C99)</f>
        <v>0</v>
      </c>
      <c r="CL99" s="229"/>
      <c r="CM99" s="229"/>
      <c r="CN99" s="229"/>
      <c r="CO99" s="229"/>
      <c r="CP99" s="229"/>
      <c r="CQ99" s="229"/>
      <c r="CR99" s="229"/>
      <c r="CS99" s="229"/>
      <c r="CT99" s="289"/>
      <c r="CU99" s="288">
        <f>COUNTIFS('Form Details'!$D:$D,'Adv. Filter'!$A$14,'Form Details'!$D:$D,'Adv. Filter'!$B$14,'Form Details'!$J:$J,'Balance Sheet'!$C99,'Form Details'!$AA:$AA,"Yes")</f>
        <v>0</v>
      </c>
      <c r="CV99" s="229"/>
      <c r="CW99" s="229"/>
      <c r="CX99" s="229"/>
      <c r="CY99" s="229"/>
      <c r="CZ99" s="229"/>
      <c r="DA99" s="229"/>
      <c r="DB99" s="229"/>
      <c r="DC99" s="229"/>
      <c r="DD99" s="289"/>
      <c r="DE99" s="288">
        <f>COUNTIFS('Form Details'!$D:$D,'Adv. Filter'!$A$14,'Form Details'!$D:$D,'Adv. Filter'!$B$14,'Form Details'!$J:$J,'Balance Sheet'!$C99,'Form Details'!$AA:$AA,"Yes",'Form Details'!$W:$W,"Paid")</f>
        <v>0</v>
      </c>
      <c r="DF99" s="229"/>
      <c r="DG99" s="229"/>
      <c r="DH99" s="229"/>
      <c r="DI99" s="229"/>
      <c r="DJ99" s="229"/>
      <c r="DK99" s="229"/>
      <c r="DL99" s="229"/>
      <c r="DM99" s="229"/>
      <c r="DN99" s="289"/>
      <c r="DO99" s="288">
        <f>COUNTIFS('Form Details'!$W:$W,"Due",'Form Details'!$J:$J,$C124,'Form Details'!$D:$D,'Adv. Filter'!$A$14,'Form Details'!$D:$D,'Adv. Filter'!$B$14)</f>
        <v>0</v>
      </c>
      <c r="DP99" s="229"/>
      <c r="DQ99" s="229"/>
      <c r="DR99" s="229"/>
      <c r="DS99" s="229"/>
      <c r="DT99" s="229"/>
      <c r="DU99" s="229"/>
      <c r="DV99" s="229"/>
      <c r="DW99" s="229"/>
      <c r="DX99" s="289"/>
      <c r="DY99" s="288">
        <f>COUNTIFS('Form Details'!$I:$I,"Project",'Form Details'!$J:$J,$C99,'Form Details'!$D:$D,'Adv. Filter'!$A$14,'Form Details'!$D:$D,'Adv. Filter'!$B$14)</f>
        <v>0</v>
      </c>
      <c r="DZ99" s="229"/>
      <c r="EA99" s="229"/>
      <c r="EB99" s="229"/>
      <c r="EC99" s="229"/>
      <c r="ED99" s="229"/>
      <c r="EE99" s="229"/>
      <c r="EF99" s="229"/>
      <c r="EG99" s="229"/>
      <c r="EH99" s="289"/>
    </row>
    <row r="100" spans="3:138" hidden="1">
      <c r="C100" s="293" t="s">
        <v>84</v>
      </c>
      <c r="D100" s="294"/>
      <c r="E100" s="294"/>
      <c r="F100" s="294"/>
      <c r="G100" s="294"/>
      <c r="H100" s="294"/>
      <c r="I100" s="294"/>
      <c r="J100" s="294"/>
      <c r="K100" s="294"/>
      <c r="L100" s="294"/>
      <c r="M100" s="294"/>
      <c r="N100" s="294"/>
      <c r="O100" s="294"/>
      <c r="P100" s="294"/>
      <c r="Q100" s="295"/>
      <c r="R100" s="296">
        <f>$AN$176+$AN$179</f>
        <v>391500</v>
      </c>
      <c r="S100" s="297"/>
      <c r="T100" s="297"/>
      <c r="U100" s="297"/>
      <c r="V100" s="297"/>
      <c r="W100" s="297"/>
      <c r="X100" s="297"/>
      <c r="Y100" s="297"/>
      <c r="Z100" s="297"/>
      <c r="AA100" s="298"/>
      <c r="AB100" s="267">
        <f>$AN$336+$AN$339</f>
        <v>394000</v>
      </c>
      <c r="AC100" s="229"/>
      <c r="AD100" s="229"/>
      <c r="AE100" s="229"/>
      <c r="AF100" s="229"/>
      <c r="AG100" s="229"/>
      <c r="AH100" s="229"/>
      <c r="AI100" s="229"/>
      <c r="AJ100" s="229"/>
      <c r="AK100" s="289"/>
      <c r="AL100" s="267">
        <f>$AN$486+$AN$489</f>
        <v>4500</v>
      </c>
      <c r="AM100" s="229"/>
      <c r="AN100" s="229"/>
      <c r="AO100" s="229"/>
      <c r="AP100" s="229"/>
      <c r="AQ100" s="229"/>
      <c r="AR100" s="229"/>
      <c r="AS100" s="229"/>
      <c r="AT100" s="229"/>
      <c r="AU100" s="289"/>
      <c r="AV100" s="267">
        <f>$AN$636+$AN$639</f>
        <v>519500</v>
      </c>
      <c r="AW100" s="229"/>
      <c r="AX100" s="229"/>
      <c r="AY100" s="229"/>
      <c r="AZ100" s="229"/>
      <c r="BA100" s="229"/>
      <c r="BB100" s="229"/>
      <c r="BC100" s="229"/>
      <c r="BD100" s="229"/>
      <c r="BE100" s="289"/>
      <c r="BF100" s="267">
        <f>$AN$786+$AN$789</f>
        <v>0</v>
      </c>
      <c r="BG100" s="229"/>
      <c r="BH100" s="229"/>
      <c r="BI100" s="229"/>
      <c r="BJ100" s="229"/>
      <c r="BK100" s="229"/>
      <c r="BL100" s="229"/>
      <c r="BM100" s="229"/>
      <c r="BN100" s="229"/>
      <c r="BO100" s="289"/>
      <c r="BP100" s="267">
        <f>$AN$936+$AN$939</f>
        <v>0</v>
      </c>
      <c r="BQ100" s="229"/>
      <c r="BR100" s="229"/>
      <c r="BS100" s="229"/>
      <c r="BT100" s="229"/>
      <c r="BU100" s="229"/>
      <c r="BV100" s="229"/>
      <c r="BW100" s="229"/>
      <c r="BX100" s="229"/>
      <c r="BY100" s="289"/>
      <c r="BZ100" s="290">
        <f t="shared" si="8"/>
        <v>1309500</v>
      </c>
      <c r="CA100" s="291"/>
      <c r="CB100" s="291"/>
      <c r="CC100" s="291"/>
      <c r="CD100" s="291"/>
      <c r="CE100" s="291"/>
      <c r="CF100" s="291"/>
      <c r="CG100" s="291"/>
      <c r="CH100" s="291"/>
      <c r="CI100" s="292"/>
      <c r="CK100" s="288">
        <f>COUNTIFS('Form Details'!$D:$D,'Adv. Filter'!$A$14,'Form Details'!$D:$D,'Adv. Filter'!$B$14,'Form Details'!$J:$J,'Balance Sheet'!$C100)</f>
        <v>643</v>
      </c>
      <c r="CL100" s="229"/>
      <c r="CM100" s="229"/>
      <c r="CN100" s="229"/>
      <c r="CO100" s="229"/>
      <c r="CP100" s="229"/>
      <c r="CQ100" s="229"/>
      <c r="CR100" s="229"/>
      <c r="CS100" s="229"/>
      <c r="CT100" s="289"/>
      <c r="CU100" s="288">
        <f>COUNTIFS('Form Details'!$D:$D,'Adv. Filter'!$A$14,'Form Details'!$D:$D,'Adv. Filter'!$B$14,'Form Details'!$J:$J,'Balance Sheet'!$C100,'Form Details'!$AA:$AA,"Yes")</f>
        <v>550</v>
      </c>
      <c r="CV100" s="229"/>
      <c r="CW100" s="229"/>
      <c r="CX100" s="229"/>
      <c r="CY100" s="229"/>
      <c r="CZ100" s="229"/>
      <c r="DA100" s="229"/>
      <c r="DB100" s="229"/>
      <c r="DC100" s="229"/>
      <c r="DD100" s="289"/>
      <c r="DE100" s="288">
        <f>COUNTIFS('Form Details'!$D:$D,'Adv. Filter'!$A$14,'Form Details'!$D:$D,'Adv. Filter'!$B$14,'Form Details'!$J:$J,'Balance Sheet'!$C100,'Form Details'!$AA:$AA,"Yes",'Form Details'!$W:$W,"Paid")</f>
        <v>279</v>
      </c>
      <c r="DF100" s="229"/>
      <c r="DG100" s="229"/>
      <c r="DH100" s="229"/>
      <c r="DI100" s="229"/>
      <c r="DJ100" s="229"/>
      <c r="DK100" s="229"/>
      <c r="DL100" s="229"/>
      <c r="DM100" s="229"/>
      <c r="DN100" s="289"/>
      <c r="DO100" s="288">
        <f>COUNTIFS('Form Details'!$W:$W,"Due",'Form Details'!$J:$J,$C125,'Form Details'!$D:$D,'Adv. Filter'!$A$14,'Form Details'!$D:$D,'Adv. Filter'!$B$14)</f>
        <v>9</v>
      </c>
      <c r="DP100" s="229"/>
      <c r="DQ100" s="229"/>
      <c r="DR100" s="229"/>
      <c r="DS100" s="229"/>
      <c r="DT100" s="229"/>
      <c r="DU100" s="229"/>
      <c r="DV100" s="229"/>
      <c r="DW100" s="229"/>
      <c r="DX100" s="289"/>
      <c r="DY100" s="288">
        <f>COUNTIFS('Form Details'!$I:$I,"Project",'Form Details'!$J:$J,$C100,'Form Details'!$D:$D,'Adv. Filter'!$A$14,'Form Details'!$D:$D,'Adv. Filter'!$B$14)</f>
        <v>28</v>
      </c>
      <c r="DZ100" s="229"/>
      <c r="EA100" s="229"/>
      <c r="EB100" s="229"/>
      <c r="EC100" s="229"/>
      <c r="ED100" s="229"/>
      <c r="EE100" s="229"/>
      <c r="EF100" s="229"/>
      <c r="EG100" s="229"/>
      <c r="EH100" s="289"/>
    </row>
    <row r="101" spans="3:138" hidden="1">
      <c r="C101" s="293" t="s">
        <v>551</v>
      </c>
      <c r="D101" s="294"/>
      <c r="E101" s="294"/>
      <c r="F101" s="294"/>
      <c r="G101" s="294"/>
      <c r="H101" s="294"/>
      <c r="I101" s="294"/>
      <c r="J101" s="294"/>
      <c r="K101" s="294"/>
      <c r="L101" s="294"/>
      <c r="M101" s="294"/>
      <c r="N101" s="294"/>
      <c r="O101" s="294"/>
      <c r="P101" s="294"/>
      <c r="Q101" s="295"/>
      <c r="R101" s="296">
        <f>$AN$180</f>
        <v>0</v>
      </c>
      <c r="S101" s="297"/>
      <c r="T101" s="297"/>
      <c r="U101" s="297"/>
      <c r="V101" s="297"/>
      <c r="W101" s="297"/>
      <c r="X101" s="297"/>
      <c r="Y101" s="297"/>
      <c r="Z101" s="297"/>
      <c r="AA101" s="298"/>
      <c r="AB101" s="267">
        <f>$AN$340</f>
        <v>97500</v>
      </c>
      <c r="AC101" s="229"/>
      <c r="AD101" s="229"/>
      <c r="AE101" s="229"/>
      <c r="AF101" s="229"/>
      <c r="AG101" s="229"/>
      <c r="AH101" s="229"/>
      <c r="AI101" s="229"/>
      <c r="AJ101" s="229"/>
      <c r="AK101" s="289"/>
      <c r="AL101" s="267">
        <f>$AN$490</f>
        <v>60000</v>
      </c>
      <c r="AM101" s="229"/>
      <c r="AN101" s="229"/>
      <c r="AO101" s="229"/>
      <c r="AP101" s="229"/>
      <c r="AQ101" s="229"/>
      <c r="AR101" s="229"/>
      <c r="AS101" s="229"/>
      <c r="AT101" s="229"/>
      <c r="AU101" s="289"/>
      <c r="AV101" s="267">
        <f>$AN$640</f>
        <v>0</v>
      </c>
      <c r="AW101" s="229"/>
      <c r="AX101" s="229"/>
      <c r="AY101" s="229"/>
      <c r="AZ101" s="229"/>
      <c r="BA101" s="229"/>
      <c r="BB101" s="229"/>
      <c r="BC101" s="229"/>
      <c r="BD101" s="229"/>
      <c r="BE101" s="289"/>
      <c r="BF101" s="267">
        <f>$AN$790</f>
        <v>0</v>
      </c>
      <c r="BG101" s="229"/>
      <c r="BH101" s="229"/>
      <c r="BI101" s="229"/>
      <c r="BJ101" s="229"/>
      <c r="BK101" s="229"/>
      <c r="BL101" s="229"/>
      <c r="BM101" s="229"/>
      <c r="BN101" s="229"/>
      <c r="BO101" s="289"/>
      <c r="BP101" s="267">
        <f>$AN$940</f>
        <v>0</v>
      </c>
      <c r="BQ101" s="229"/>
      <c r="BR101" s="229"/>
      <c r="BS101" s="229"/>
      <c r="BT101" s="229"/>
      <c r="BU101" s="229"/>
      <c r="BV101" s="229"/>
      <c r="BW101" s="229"/>
      <c r="BX101" s="229"/>
      <c r="BY101" s="289"/>
      <c r="BZ101" s="290">
        <f t="shared" si="8"/>
        <v>157500</v>
      </c>
      <c r="CA101" s="291"/>
      <c r="CB101" s="291"/>
      <c r="CC101" s="291"/>
      <c r="CD101" s="291"/>
      <c r="CE101" s="291"/>
      <c r="CF101" s="291"/>
      <c r="CG101" s="291"/>
      <c r="CH101" s="291"/>
      <c r="CI101" s="292"/>
      <c r="CK101" s="288">
        <f>COUNTIFS('Form Details'!$D:$D,'Adv. Filter'!$A$14,'Form Details'!$D:$D,'Adv. Filter'!$B$14,'Form Details'!$J:$J,'Balance Sheet'!$C101)</f>
        <v>69</v>
      </c>
      <c r="CL101" s="229"/>
      <c r="CM101" s="229"/>
      <c r="CN101" s="229"/>
      <c r="CO101" s="229"/>
      <c r="CP101" s="229"/>
      <c r="CQ101" s="229"/>
      <c r="CR101" s="229"/>
      <c r="CS101" s="229"/>
      <c r="CT101" s="289"/>
      <c r="CU101" s="288">
        <f>COUNTIFS('Form Details'!$D:$D,'Adv. Filter'!$A$14,'Form Details'!$D:$D,'Adv. Filter'!$B$14,'Form Details'!$J:$J,'Balance Sheet'!$C101,'Form Details'!$AA:$AA,"Yes")</f>
        <v>68</v>
      </c>
      <c r="CV101" s="229"/>
      <c r="CW101" s="229"/>
      <c r="CX101" s="229"/>
      <c r="CY101" s="229"/>
      <c r="CZ101" s="229"/>
      <c r="DA101" s="229"/>
      <c r="DB101" s="229"/>
      <c r="DC101" s="229"/>
      <c r="DD101" s="289"/>
      <c r="DE101" s="288">
        <f>COUNTIFS('Form Details'!$D:$D,'Adv. Filter'!$A$14,'Form Details'!$D:$D,'Adv. Filter'!$B$14,'Form Details'!$J:$J,'Balance Sheet'!$C101,'Form Details'!$AA:$AA,"Yes",'Form Details'!$W:$W,"Paid")</f>
        <v>30</v>
      </c>
      <c r="DF101" s="229"/>
      <c r="DG101" s="229"/>
      <c r="DH101" s="229"/>
      <c r="DI101" s="229"/>
      <c r="DJ101" s="229"/>
      <c r="DK101" s="229"/>
      <c r="DL101" s="229"/>
      <c r="DM101" s="229"/>
      <c r="DN101" s="289"/>
      <c r="DO101" s="288">
        <f>COUNTIFS('Form Details'!$W:$W,"Due",'Form Details'!$J:$J,$C126,'Form Details'!$D:$D,'Adv. Filter'!$A$14,'Form Details'!$D:$D,'Adv. Filter'!$B$14)</f>
        <v>267</v>
      </c>
      <c r="DP101" s="229"/>
      <c r="DQ101" s="229"/>
      <c r="DR101" s="229"/>
      <c r="DS101" s="229"/>
      <c r="DT101" s="229"/>
      <c r="DU101" s="229"/>
      <c r="DV101" s="229"/>
      <c r="DW101" s="229"/>
      <c r="DX101" s="289"/>
      <c r="DY101" s="288">
        <f>COUNTIFS('Form Details'!$I:$I,"Project",'Form Details'!$J:$J,$C101,'Form Details'!$D:$D,'Adv. Filter'!$A$14,'Form Details'!$D:$D,'Adv. Filter'!$B$14)</f>
        <v>0</v>
      </c>
      <c r="DZ101" s="229"/>
      <c r="EA101" s="229"/>
      <c r="EB101" s="229"/>
      <c r="EC101" s="229"/>
      <c r="ED101" s="229"/>
      <c r="EE101" s="229"/>
      <c r="EF101" s="229"/>
      <c r="EG101" s="229"/>
      <c r="EH101" s="289"/>
    </row>
    <row r="102" spans="3:138" hidden="1">
      <c r="C102" s="293" t="s">
        <v>121</v>
      </c>
      <c r="D102" s="294"/>
      <c r="E102" s="294"/>
      <c r="F102" s="294"/>
      <c r="G102" s="294"/>
      <c r="H102" s="294"/>
      <c r="I102" s="294"/>
      <c r="J102" s="294"/>
      <c r="K102" s="294"/>
      <c r="L102" s="294"/>
      <c r="M102" s="294"/>
      <c r="N102" s="294"/>
      <c r="O102" s="294"/>
      <c r="P102" s="294"/>
      <c r="Q102" s="295"/>
      <c r="R102" s="296">
        <f>$AN$183+$AN$186</f>
        <v>14500</v>
      </c>
      <c r="S102" s="297"/>
      <c r="T102" s="297"/>
      <c r="U102" s="297"/>
      <c r="V102" s="297"/>
      <c r="W102" s="297"/>
      <c r="X102" s="297"/>
      <c r="Y102" s="297"/>
      <c r="Z102" s="297"/>
      <c r="AA102" s="298"/>
      <c r="AB102" s="267">
        <f>$AN$343+$AN$346</f>
        <v>0</v>
      </c>
      <c r="AC102" s="229"/>
      <c r="AD102" s="229"/>
      <c r="AE102" s="229"/>
      <c r="AF102" s="229"/>
      <c r="AG102" s="229"/>
      <c r="AH102" s="229"/>
      <c r="AI102" s="229"/>
      <c r="AJ102" s="229"/>
      <c r="AK102" s="289"/>
      <c r="AL102" s="267">
        <f>$AN$493+$AN$496</f>
        <v>0</v>
      </c>
      <c r="AM102" s="229"/>
      <c r="AN102" s="229"/>
      <c r="AO102" s="229"/>
      <c r="AP102" s="229"/>
      <c r="AQ102" s="229"/>
      <c r="AR102" s="229"/>
      <c r="AS102" s="229"/>
      <c r="AT102" s="229"/>
      <c r="AU102" s="289"/>
      <c r="AV102" s="267">
        <f>$AN$643+$AN$646</f>
        <v>0</v>
      </c>
      <c r="AW102" s="229"/>
      <c r="AX102" s="229"/>
      <c r="AY102" s="229"/>
      <c r="AZ102" s="229"/>
      <c r="BA102" s="229"/>
      <c r="BB102" s="229"/>
      <c r="BC102" s="229"/>
      <c r="BD102" s="229"/>
      <c r="BE102" s="289"/>
      <c r="BF102" s="267">
        <f>$AN$793+$AN$796</f>
        <v>29710</v>
      </c>
      <c r="BG102" s="229"/>
      <c r="BH102" s="229"/>
      <c r="BI102" s="229"/>
      <c r="BJ102" s="229"/>
      <c r="BK102" s="229"/>
      <c r="BL102" s="229"/>
      <c r="BM102" s="229"/>
      <c r="BN102" s="229"/>
      <c r="BO102" s="289"/>
      <c r="BP102" s="267">
        <f>$AN$943+$AN$946</f>
        <v>0</v>
      </c>
      <c r="BQ102" s="229"/>
      <c r="BR102" s="229"/>
      <c r="BS102" s="229"/>
      <c r="BT102" s="229"/>
      <c r="BU102" s="229"/>
      <c r="BV102" s="229"/>
      <c r="BW102" s="229"/>
      <c r="BX102" s="229"/>
      <c r="BY102" s="289"/>
      <c r="BZ102" s="290">
        <f t="shared" si="8"/>
        <v>44210</v>
      </c>
      <c r="CA102" s="291"/>
      <c r="CB102" s="291"/>
      <c r="CC102" s="291"/>
      <c r="CD102" s="291"/>
      <c r="CE102" s="291"/>
      <c r="CF102" s="291"/>
      <c r="CG102" s="291"/>
      <c r="CH102" s="291"/>
      <c r="CI102" s="292"/>
      <c r="CK102" s="288">
        <f>COUNTIFS('Form Details'!$D:$D,'Adv. Filter'!$A$14,'Form Details'!$D:$D,'Adv. Filter'!$B$14,'Form Details'!$J:$J,'Balance Sheet'!$C102)</f>
        <v>11</v>
      </c>
      <c r="CL102" s="229"/>
      <c r="CM102" s="229"/>
      <c r="CN102" s="229"/>
      <c r="CO102" s="229"/>
      <c r="CP102" s="229"/>
      <c r="CQ102" s="229"/>
      <c r="CR102" s="229"/>
      <c r="CS102" s="229"/>
      <c r="CT102" s="289"/>
      <c r="CU102" s="288">
        <f>COUNTIFS('Form Details'!$D:$D,'Adv. Filter'!$A$14,'Form Details'!$D:$D,'Adv. Filter'!$B$14,'Form Details'!$J:$J,'Balance Sheet'!$C102,'Form Details'!$AA:$AA,"Yes")</f>
        <v>11</v>
      </c>
      <c r="CV102" s="229"/>
      <c r="CW102" s="229"/>
      <c r="CX102" s="229"/>
      <c r="CY102" s="229"/>
      <c r="CZ102" s="229"/>
      <c r="DA102" s="229"/>
      <c r="DB102" s="229"/>
      <c r="DC102" s="229"/>
      <c r="DD102" s="289"/>
      <c r="DE102" s="288">
        <f>COUNTIFS('Form Details'!$D:$D,'Adv. Filter'!$A$14,'Form Details'!$D:$D,'Adv. Filter'!$B$14,'Form Details'!$J:$J,'Balance Sheet'!$C102,'Form Details'!$AA:$AA,"Yes",'Form Details'!$W:$W,"Paid")</f>
        <v>2</v>
      </c>
      <c r="DF102" s="229"/>
      <c r="DG102" s="229"/>
      <c r="DH102" s="229"/>
      <c r="DI102" s="229"/>
      <c r="DJ102" s="229"/>
      <c r="DK102" s="229"/>
      <c r="DL102" s="229"/>
      <c r="DM102" s="229"/>
      <c r="DN102" s="289"/>
      <c r="DO102" s="288">
        <f>COUNTIFS('Form Details'!$W:$W,"Due",'Form Details'!$J:$J,$C127,'Form Details'!$D:$D,'Adv. Filter'!$A$14,'Form Details'!$D:$D,'Adv. Filter'!$B$14)</f>
        <v>38</v>
      </c>
      <c r="DP102" s="229"/>
      <c r="DQ102" s="229"/>
      <c r="DR102" s="229"/>
      <c r="DS102" s="229"/>
      <c r="DT102" s="229"/>
      <c r="DU102" s="229"/>
      <c r="DV102" s="229"/>
      <c r="DW102" s="229"/>
      <c r="DX102" s="289"/>
      <c r="DY102" s="288">
        <f>COUNTIFS('Form Details'!$I:$I,"Project",'Form Details'!$J:$J,$C102,'Form Details'!$D:$D,'Adv. Filter'!$A$14,'Form Details'!$D:$D,'Adv. Filter'!$B$14)</f>
        <v>0</v>
      </c>
      <c r="DZ102" s="229"/>
      <c r="EA102" s="229"/>
      <c r="EB102" s="229"/>
      <c r="EC102" s="229"/>
      <c r="ED102" s="229"/>
      <c r="EE102" s="229"/>
      <c r="EF102" s="229"/>
      <c r="EG102" s="229"/>
      <c r="EH102" s="289"/>
    </row>
    <row r="103" spans="3:138" hidden="1">
      <c r="C103" s="293" t="s">
        <v>111</v>
      </c>
      <c r="D103" s="294"/>
      <c r="E103" s="294"/>
      <c r="F103" s="294"/>
      <c r="G103" s="294"/>
      <c r="H103" s="294"/>
      <c r="I103" s="294"/>
      <c r="J103" s="294"/>
      <c r="K103" s="294"/>
      <c r="L103" s="294"/>
      <c r="M103" s="294"/>
      <c r="N103" s="294"/>
      <c r="O103" s="294"/>
      <c r="P103" s="294"/>
      <c r="Q103" s="295"/>
      <c r="R103" s="296">
        <f>$AN$187+$AN$190</f>
        <v>25500</v>
      </c>
      <c r="S103" s="297"/>
      <c r="T103" s="297"/>
      <c r="U103" s="297"/>
      <c r="V103" s="297"/>
      <c r="W103" s="297"/>
      <c r="X103" s="297"/>
      <c r="Y103" s="297"/>
      <c r="Z103" s="297"/>
      <c r="AA103" s="298"/>
      <c r="AB103" s="267">
        <f>$AN$347+$AN$350</f>
        <v>0</v>
      </c>
      <c r="AC103" s="229"/>
      <c r="AD103" s="229"/>
      <c r="AE103" s="229"/>
      <c r="AF103" s="229"/>
      <c r="AG103" s="229"/>
      <c r="AH103" s="229"/>
      <c r="AI103" s="229"/>
      <c r="AJ103" s="229"/>
      <c r="AK103" s="289"/>
      <c r="AL103" s="267">
        <f>$AN$497+$AN$500</f>
        <v>0</v>
      </c>
      <c r="AM103" s="229"/>
      <c r="AN103" s="229"/>
      <c r="AO103" s="229"/>
      <c r="AP103" s="229"/>
      <c r="AQ103" s="229"/>
      <c r="AR103" s="229"/>
      <c r="AS103" s="229"/>
      <c r="AT103" s="229"/>
      <c r="AU103" s="289"/>
      <c r="AV103" s="267">
        <f>$AN$647+$AN$650</f>
        <v>0</v>
      </c>
      <c r="AW103" s="229"/>
      <c r="AX103" s="229"/>
      <c r="AY103" s="229"/>
      <c r="AZ103" s="229"/>
      <c r="BA103" s="229"/>
      <c r="BB103" s="229"/>
      <c r="BC103" s="229"/>
      <c r="BD103" s="229"/>
      <c r="BE103" s="289"/>
      <c r="BF103" s="267">
        <f>$AN$797+$AN$800</f>
        <v>0</v>
      </c>
      <c r="BG103" s="229"/>
      <c r="BH103" s="229"/>
      <c r="BI103" s="229"/>
      <c r="BJ103" s="229"/>
      <c r="BK103" s="229"/>
      <c r="BL103" s="229"/>
      <c r="BM103" s="229"/>
      <c r="BN103" s="229"/>
      <c r="BO103" s="289"/>
      <c r="BP103" s="267">
        <f>$AN$947+$AN$950</f>
        <v>0</v>
      </c>
      <c r="BQ103" s="229"/>
      <c r="BR103" s="229"/>
      <c r="BS103" s="229"/>
      <c r="BT103" s="229"/>
      <c r="BU103" s="229"/>
      <c r="BV103" s="229"/>
      <c r="BW103" s="229"/>
      <c r="BX103" s="229"/>
      <c r="BY103" s="289"/>
      <c r="BZ103" s="290">
        <f t="shared" si="8"/>
        <v>25500</v>
      </c>
      <c r="CA103" s="291"/>
      <c r="CB103" s="291"/>
      <c r="CC103" s="291"/>
      <c r="CD103" s="291"/>
      <c r="CE103" s="291"/>
      <c r="CF103" s="291"/>
      <c r="CG103" s="291"/>
      <c r="CH103" s="291"/>
      <c r="CI103" s="292"/>
      <c r="CK103" s="288">
        <f>COUNTIFS('Form Details'!$D:$D,'Adv. Filter'!$A$14,'Form Details'!$D:$D,'Adv. Filter'!$B$14,'Form Details'!$J:$J,'Balance Sheet'!$C103)</f>
        <v>6</v>
      </c>
      <c r="CL103" s="229"/>
      <c r="CM103" s="229"/>
      <c r="CN103" s="229"/>
      <c r="CO103" s="229"/>
      <c r="CP103" s="229"/>
      <c r="CQ103" s="229"/>
      <c r="CR103" s="229"/>
      <c r="CS103" s="229"/>
      <c r="CT103" s="289"/>
      <c r="CU103" s="288">
        <f>COUNTIFS('Form Details'!$D:$D,'Adv. Filter'!$A$14,'Form Details'!$D:$D,'Adv. Filter'!$B$14,'Form Details'!$J:$J,'Balance Sheet'!$C103,'Form Details'!$AA:$AA,"Yes")</f>
        <v>5</v>
      </c>
      <c r="CV103" s="229"/>
      <c r="CW103" s="229"/>
      <c r="CX103" s="229"/>
      <c r="CY103" s="229"/>
      <c r="CZ103" s="229"/>
      <c r="DA103" s="229"/>
      <c r="DB103" s="229"/>
      <c r="DC103" s="229"/>
      <c r="DD103" s="289"/>
      <c r="DE103" s="288">
        <f>COUNTIFS('Form Details'!$D:$D,'Adv. Filter'!$A$14,'Form Details'!$D:$D,'Adv. Filter'!$B$14,'Form Details'!$J:$J,'Balance Sheet'!$C103,'Form Details'!$AA:$AA,"Yes",'Form Details'!$W:$W,"Paid")</f>
        <v>5</v>
      </c>
      <c r="DF103" s="229"/>
      <c r="DG103" s="229"/>
      <c r="DH103" s="229"/>
      <c r="DI103" s="229"/>
      <c r="DJ103" s="229"/>
      <c r="DK103" s="229"/>
      <c r="DL103" s="229"/>
      <c r="DM103" s="229"/>
      <c r="DN103" s="289"/>
      <c r="DO103" s="288">
        <f>COUNTIFS('Form Details'!$W:$W,"Due",'Form Details'!$J:$J,$C128,'Form Details'!$D:$D,'Adv. Filter'!$A$14,'Form Details'!$D:$D,'Adv. Filter'!$B$14)</f>
        <v>0</v>
      </c>
      <c r="DP103" s="229"/>
      <c r="DQ103" s="229"/>
      <c r="DR103" s="229"/>
      <c r="DS103" s="229"/>
      <c r="DT103" s="229"/>
      <c r="DU103" s="229"/>
      <c r="DV103" s="229"/>
      <c r="DW103" s="229"/>
      <c r="DX103" s="289"/>
      <c r="DY103" s="288">
        <f>COUNTIFS('Form Details'!$I:$I,"Project",'Form Details'!$J:$J,$C103,'Form Details'!$D:$D,'Adv. Filter'!$A$14,'Form Details'!$D:$D,'Adv. Filter'!$B$14)</f>
        <v>0</v>
      </c>
      <c r="DZ103" s="229"/>
      <c r="EA103" s="229"/>
      <c r="EB103" s="229"/>
      <c r="EC103" s="229"/>
      <c r="ED103" s="229"/>
      <c r="EE103" s="229"/>
      <c r="EF103" s="229"/>
      <c r="EG103" s="229"/>
      <c r="EH103" s="289"/>
    </row>
    <row r="104" spans="3:138" hidden="1">
      <c r="C104" s="293" t="s">
        <v>116</v>
      </c>
      <c r="D104" s="294"/>
      <c r="E104" s="294"/>
      <c r="F104" s="294"/>
      <c r="G104" s="294"/>
      <c r="H104" s="294"/>
      <c r="I104" s="294"/>
      <c r="J104" s="294"/>
      <c r="K104" s="294"/>
      <c r="L104" s="294"/>
      <c r="M104" s="294"/>
      <c r="N104" s="294"/>
      <c r="O104" s="294"/>
      <c r="P104" s="294"/>
      <c r="Q104" s="295"/>
      <c r="R104" s="296">
        <f>$AN$191+$AN$194</f>
        <v>5000</v>
      </c>
      <c r="S104" s="297"/>
      <c r="T104" s="297"/>
      <c r="U104" s="297"/>
      <c r="V104" s="297"/>
      <c r="W104" s="297"/>
      <c r="X104" s="297"/>
      <c r="Y104" s="297"/>
      <c r="Z104" s="297"/>
      <c r="AA104" s="298"/>
      <c r="AB104" s="267">
        <f>$AN$351+$AN$354</f>
        <v>0</v>
      </c>
      <c r="AC104" s="229"/>
      <c r="AD104" s="229"/>
      <c r="AE104" s="229"/>
      <c r="AF104" s="229"/>
      <c r="AG104" s="229"/>
      <c r="AH104" s="229"/>
      <c r="AI104" s="229"/>
      <c r="AJ104" s="229"/>
      <c r="AK104" s="289"/>
      <c r="AL104" s="267">
        <f>$AN$501+$AN$504</f>
        <v>0</v>
      </c>
      <c r="AM104" s="229"/>
      <c r="AN104" s="229"/>
      <c r="AO104" s="229"/>
      <c r="AP104" s="229"/>
      <c r="AQ104" s="229"/>
      <c r="AR104" s="229"/>
      <c r="AS104" s="229"/>
      <c r="AT104" s="229"/>
      <c r="AU104" s="289"/>
      <c r="AV104" s="267">
        <f>$AN$651+$AN$654</f>
        <v>0</v>
      </c>
      <c r="AW104" s="229"/>
      <c r="AX104" s="229"/>
      <c r="AY104" s="229"/>
      <c r="AZ104" s="229"/>
      <c r="BA104" s="229"/>
      <c r="BB104" s="229"/>
      <c r="BC104" s="229"/>
      <c r="BD104" s="229"/>
      <c r="BE104" s="289"/>
      <c r="BF104" s="267">
        <f>$AN$801+$AN$804</f>
        <v>0</v>
      </c>
      <c r="BG104" s="229"/>
      <c r="BH104" s="229"/>
      <c r="BI104" s="229"/>
      <c r="BJ104" s="229"/>
      <c r="BK104" s="229"/>
      <c r="BL104" s="229"/>
      <c r="BM104" s="229"/>
      <c r="BN104" s="229"/>
      <c r="BO104" s="289"/>
      <c r="BP104" s="267">
        <f>$AN$951+$AN$954</f>
        <v>0</v>
      </c>
      <c r="BQ104" s="229"/>
      <c r="BR104" s="229"/>
      <c r="BS104" s="229"/>
      <c r="BT104" s="229"/>
      <c r="BU104" s="229"/>
      <c r="BV104" s="229"/>
      <c r="BW104" s="229"/>
      <c r="BX104" s="229"/>
      <c r="BY104" s="289"/>
      <c r="BZ104" s="290">
        <f t="shared" si="8"/>
        <v>5000</v>
      </c>
      <c r="CA104" s="291"/>
      <c r="CB104" s="291"/>
      <c r="CC104" s="291"/>
      <c r="CD104" s="291"/>
      <c r="CE104" s="291"/>
      <c r="CF104" s="291"/>
      <c r="CG104" s="291"/>
      <c r="CH104" s="291"/>
      <c r="CI104" s="292"/>
      <c r="CK104" s="288">
        <f>COUNTIFS('Form Details'!$D:$D,'Adv. Filter'!$A$14,'Form Details'!$D:$D,'Adv. Filter'!$B$14,'Form Details'!$J:$J,'Balance Sheet'!$C104)</f>
        <v>3</v>
      </c>
      <c r="CL104" s="229"/>
      <c r="CM104" s="229"/>
      <c r="CN104" s="229"/>
      <c r="CO104" s="229"/>
      <c r="CP104" s="229"/>
      <c r="CQ104" s="229"/>
      <c r="CR104" s="229"/>
      <c r="CS104" s="229"/>
      <c r="CT104" s="289"/>
      <c r="CU104" s="288">
        <f>COUNTIFS('Form Details'!$D:$D,'Adv. Filter'!$A$14,'Form Details'!$D:$D,'Adv. Filter'!$B$14,'Form Details'!$J:$J,'Balance Sheet'!$C104,'Form Details'!$AA:$AA,"Yes")</f>
        <v>3</v>
      </c>
      <c r="CV104" s="229"/>
      <c r="CW104" s="229"/>
      <c r="CX104" s="229"/>
      <c r="CY104" s="229"/>
      <c r="CZ104" s="229"/>
      <c r="DA104" s="229"/>
      <c r="DB104" s="229"/>
      <c r="DC104" s="229"/>
      <c r="DD104" s="289"/>
      <c r="DE104" s="288">
        <f>COUNTIFS('Form Details'!$D:$D,'Adv. Filter'!$A$14,'Form Details'!$D:$D,'Adv. Filter'!$B$14,'Form Details'!$J:$J,'Balance Sheet'!$C104,'Form Details'!$AA:$AA,"Yes",'Form Details'!$W:$W,"Paid")</f>
        <v>1</v>
      </c>
      <c r="DF104" s="229"/>
      <c r="DG104" s="229"/>
      <c r="DH104" s="229"/>
      <c r="DI104" s="229"/>
      <c r="DJ104" s="229"/>
      <c r="DK104" s="229"/>
      <c r="DL104" s="229"/>
      <c r="DM104" s="229"/>
      <c r="DN104" s="289"/>
      <c r="DO104" s="288">
        <f>COUNTIFS('Form Details'!$W:$W,"Due",'Form Details'!$J:$J,$C129,'Form Details'!$D:$D,'Adv. Filter'!$A$14,'Form Details'!$D:$D,'Adv. Filter'!$B$14)</f>
        <v>2</v>
      </c>
      <c r="DP104" s="229"/>
      <c r="DQ104" s="229"/>
      <c r="DR104" s="229"/>
      <c r="DS104" s="229"/>
      <c r="DT104" s="229"/>
      <c r="DU104" s="229"/>
      <c r="DV104" s="229"/>
      <c r="DW104" s="229"/>
      <c r="DX104" s="289"/>
      <c r="DY104" s="288">
        <f>COUNTIFS('Form Details'!$I:$I,"Project",'Form Details'!$J:$J,$C104,'Form Details'!$D:$D,'Adv. Filter'!$A$14,'Form Details'!$D:$D,'Adv. Filter'!$B$14)</f>
        <v>0</v>
      </c>
      <c r="DZ104" s="229"/>
      <c r="EA104" s="229"/>
      <c r="EB104" s="229"/>
      <c r="EC104" s="229"/>
      <c r="ED104" s="229"/>
      <c r="EE104" s="229"/>
      <c r="EF104" s="229"/>
      <c r="EG104" s="229"/>
      <c r="EH104" s="289"/>
    </row>
    <row r="105" spans="3:138" hidden="1">
      <c r="C105" s="293" t="s">
        <v>119</v>
      </c>
      <c r="D105" s="294"/>
      <c r="E105" s="294"/>
      <c r="F105" s="294"/>
      <c r="G105" s="294"/>
      <c r="H105" s="294"/>
      <c r="I105" s="294"/>
      <c r="J105" s="294"/>
      <c r="K105" s="294"/>
      <c r="L105" s="294"/>
      <c r="M105" s="294"/>
      <c r="N105" s="294"/>
      <c r="O105" s="294"/>
      <c r="P105" s="294"/>
      <c r="Q105" s="295"/>
      <c r="R105" s="296">
        <f>$AN$195+$AN$198</f>
        <v>19500</v>
      </c>
      <c r="S105" s="297"/>
      <c r="T105" s="297"/>
      <c r="U105" s="297"/>
      <c r="V105" s="297"/>
      <c r="W105" s="297"/>
      <c r="X105" s="297"/>
      <c r="Y105" s="297"/>
      <c r="Z105" s="297"/>
      <c r="AA105" s="298"/>
      <c r="AB105" s="267">
        <f>$AN$355+$AN$358</f>
        <v>0</v>
      </c>
      <c r="AC105" s="229"/>
      <c r="AD105" s="229"/>
      <c r="AE105" s="229"/>
      <c r="AF105" s="229"/>
      <c r="AG105" s="229"/>
      <c r="AH105" s="229"/>
      <c r="AI105" s="229"/>
      <c r="AJ105" s="229"/>
      <c r="AK105" s="289"/>
      <c r="AL105" s="267">
        <f>$AN$505+$AN$508</f>
        <v>0</v>
      </c>
      <c r="AM105" s="229"/>
      <c r="AN105" s="229"/>
      <c r="AO105" s="229"/>
      <c r="AP105" s="229"/>
      <c r="AQ105" s="229"/>
      <c r="AR105" s="229"/>
      <c r="AS105" s="229"/>
      <c r="AT105" s="229"/>
      <c r="AU105" s="289"/>
      <c r="AV105" s="267">
        <f>$AN$655+$AN$658</f>
        <v>0</v>
      </c>
      <c r="AW105" s="229"/>
      <c r="AX105" s="229"/>
      <c r="AY105" s="229"/>
      <c r="AZ105" s="229"/>
      <c r="BA105" s="229"/>
      <c r="BB105" s="229"/>
      <c r="BC105" s="229"/>
      <c r="BD105" s="229"/>
      <c r="BE105" s="289"/>
      <c r="BF105" s="267">
        <f>$AN$805+$AN$808</f>
        <v>0</v>
      </c>
      <c r="BG105" s="229"/>
      <c r="BH105" s="229"/>
      <c r="BI105" s="229"/>
      <c r="BJ105" s="229"/>
      <c r="BK105" s="229"/>
      <c r="BL105" s="229"/>
      <c r="BM105" s="229"/>
      <c r="BN105" s="229"/>
      <c r="BO105" s="289"/>
      <c r="BP105" s="267">
        <f>$AN$955+$AN$958</f>
        <v>0</v>
      </c>
      <c r="BQ105" s="229"/>
      <c r="BR105" s="229"/>
      <c r="BS105" s="229"/>
      <c r="BT105" s="229"/>
      <c r="BU105" s="229"/>
      <c r="BV105" s="229"/>
      <c r="BW105" s="229"/>
      <c r="BX105" s="229"/>
      <c r="BY105" s="289"/>
      <c r="BZ105" s="290">
        <f t="shared" si="8"/>
        <v>19500</v>
      </c>
      <c r="CA105" s="291"/>
      <c r="CB105" s="291"/>
      <c r="CC105" s="291"/>
      <c r="CD105" s="291"/>
      <c r="CE105" s="291"/>
      <c r="CF105" s="291"/>
      <c r="CG105" s="291"/>
      <c r="CH105" s="291"/>
      <c r="CI105" s="292"/>
      <c r="CK105" s="288">
        <f>COUNTIFS('Form Details'!$D:$D,'Adv. Filter'!$A$14,'Form Details'!$D:$D,'Adv. Filter'!$B$14,'Form Details'!$J:$J,'Balance Sheet'!$C105)</f>
        <v>5</v>
      </c>
      <c r="CL105" s="229"/>
      <c r="CM105" s="229"/>
      <c r="CN105" s="229"/>
      <c r="CO105" s="229"/>
      <c r="CP105" s="229"/>
      <c r="CQ105" s="229"/>
      <c r="CR105" s="229"/>
      <c r="CS105" s="229"/>
      <c r="CT105" s="289"/>
      <c r="CU105" s="288">
        <f>COUNTIFS('Form Details'!$D:$D,'Adv. Filter'!$A$14,'Form Details'!$D:$D,'Adv. Filter'!$B$14,'Form Details'!$J:$J,'Balance Sheet'!$C105,'Form Details'!$AA:$AA,"Yes")</f>
        <v>5</v>
      </c>
      <c r="CV105" s="229"/>
      <c r="CW105" s="229"/>
      <c r="CX105" s="229"/>
      <c r="CY105" s="229"/>
      <c r="CZ105" s="229"/>
      <c r="DA105" s="229"/>
      <c r="DB105" s="229"/>
      <c r="DC105" s="229"/>
      <c r="DD105" s="289"/>
      <c r="DE105" s="288">
        <f>COUNTIFS('Form Details'!$D:$D,'Adv. Filter'!$A$14,'Form Details'!$D:$D,'Adv. Filter'!$B$14,'Form Details'!$J:$J,'Balance Sheet'!$C105,'Form Details'!$AA:$AA,"Yes",'Form Details'!$W:$W,"Paid")</f>
        <v>3</v>
      </c>
      <c r="DF105" s="229"/>
      <c r="DG105" s="229"/>
      <c r="DH105" s="229"/>
      <c r="DI105" s="229"/>
      <c r="DJ105" s="229"/>
      <c r="DK105" s="229"/>
      <c r="DL105" s="229"/>
      <c r="DM105" s="229"/>
      <c r="DN105" s="289"/>
      <c r="DO105" s="288">
        <f>COUNTIFS('Form Details'!$W:$W,"Due",'Form Details'!$J:$J,$C130,'Form Details'!$D:$D,'Adv. Filter'!$A$14,'Form Details'!$D:$D,'Adv. Filter'!$B$14)</f>
        <v>2</v>
      </c>
      <c r="DP105" s="229"/>
      <c r="DQ105" s="229"/>
      <c r="DR105" s="229"/>
      <c r="DS105" s="229"/>
      <c r="DT105" s="229"/>
      <c r="DU105" s="229"/>
      <c r="DV105" s="229"/>
      <c r="DW105" s="229"/>
      <c r="DX105" s="289"/>
      <c r="DY105" s="288">
        <f>COUNTIFS('Form Details'!$I:$I,"Project",'Form Details'!$J:$J,$C105,'Form Details'!$D:$D,'Adv. Filter'!$A$14,'Form Details'!$D:$D,'Adv. Filter'!$B$14)</f>
        <v>0</v>
      </c>
      <c r="DZ105" s="229"/>
      <c r="EA105" s="229"/>
      <c r="EB105" s="229"/>
      <c r="EC105" s="229"/>
      <c r="ED105" s="229"/>
      <c r="EE105" s="229"/>
      <c r="EF105" s="229"/>
      <c r="EG105" s="229"/>
      <c r="EH105" s="289"/>
    </row>
    <row r="106" spans="3:138" hidden="1">
      <c r="C106" s="293" t="s">
        <v>92</v>
      </c>
      <c r="D106" s="294"/>
      <c r="E106" s="294"/>
      <c r="F106" s="294"/>
      <c r="G106" s="294"/>
      <c r="H106" s="294"/>
      <c r="I106" s="294"/>
      <c r="J106" s="294"/>
      <c r="K106" s="294"/>
      <c r="L106" s="294"/>
      <c r="M106" s="294"/>
      <c r="N106" s="294"/>
      <c r="O106" s="294"/>
      <c r="P106" s="294"/>
      <c r="Q106" s="295"/>
      <c r="R106" s="296">
        <f>$AN$199+$AN$202</f>
        <v>0</v>
      </c>
      <c r="S106" s="297"/>
      <c r="T106" s="297"/>
      <c r="U106" s="297"/>
      <c r="V106" s="297"/>
      <c r="W106" s="297"/>
      <c r="X106" s="297"/>
      <c r="Y106" s="297"/>
      <c r="Z106" s="297"/>
      <c r="AA106" s="298"/>
      <c r="AB106" s="267">
        <f>$AN$359+$AN$362</f>
        <v>0</v>
      </c>
      <c r="AC106" s="229"/>
      <c r="AD106" s="229"/>
      <c r="AE106" s="229"/>
      <c r="AF106" s="229"/>
      <c r="AG106" s="229"/>
      <c r="AH106" s="229"/>
      <c r="AI106" s="229"/>
      <c r="AJ106" s="229"/>
      <c r="AK106" s="289"/>
      <c r="AL106" s="267">
        <f>$AN$509+$AN$512</f>
        <v>0</v>
      </c>
      <c r="AM106" s="229"/>
      <c r="AN106" s="229"/>
      <c r="AO106" s="229"/>
      <c r="AP106" s="229"/>
      <c r="AQ106" s="229"/>
      <c r="AR106" s="229"/>
      <c r="AS106" s="229"/>
      <c r="AT106" s="229"/>
      <c r="AU106" s="289"/>
      <c r="AV106" s="267">
        <f>$AN$659+$AN$662</f>
        <v>246650</v>
      </c>
      <c r="AW106" s="229"/>
      <c r="AX106" s="229"/>
      <c r="AY106" s="229"/>
      <c r="AZ106" s="229"/>
      <c r="BA106" s="229"/>
      <c r="BB106" s="229"/>
      <c r="BC106" s="229"/>
      <c r="BD106" s="229"/>
      <c r="BE106" s="289"/>
      <c r="BF106" s="267">
        <f>$AN$809+$AN$812</f>
        <v>0</v>
      </c>
      <c r="BG106" s="229"/>
      <c r="BH106" s="229"/>
      <c r="BI106" s="229"/>
      <c r="BJ106" s="229"/>
      <c r="BK106" s="229"/>
      <c r="BL106" s="229"/>
      <c r="BM106" s="229"/>
      <c r="BN106" s="229"/>
      <c r="BO106" s="289"/>
      <c r="BP106" s="267">
        <f>$AN$959+$AN$962</f>
        <v>0</v>
      </c>
      <c r="BQ106" s="229"/>
      <c r="BR106" s="229"/>
      <c r="BS106" s="229"/>
      <c r="BT106" s="229"/>
      <c r="BU106" s="229"/>
      <c r="BV106" s="229"/>
      <c r="BW106" s="229"/>
      <c r="BX106" s="229"/>
      <c r="BY106" s="289"/>
      <c r="BZ106" s="290">
        <f t="shared" si="8"/>
        <v>246650</v>
      </c>
      <c r="CA106" s="291"/>
      <c r="CB106" s="291"/>
      <c r="CC106" s="291"/>
      <c r="CD106" s="291"/>
      <c r="CE106" s="291"/>
      <c r="CF106" s="291"/>
      <c r="CG106" s="291"/>
      <c r="CH106" s="291"/>
      <c r="CI106" s="292"/>
      <c r="CK106" s="288">
        <f>COUNTIFS('Form Details'!$D:$D,'Adv. Filter'!$A$14,'Form Details'!$D:$D,'Adv. Filter'!$B$14,'Form Details'!$J:$J,'Balance Sheet'!$C106)</f>
        <v>72</v>
      </c>
      <c r="CL106" s="229"/>
      <c r="CM106" s="229"/>
      <c r="CN106" s="229"/>
      <c r="CO106" s="229"/>
      <c r="CP106" s="229"/>
      <c r="CQ106" s="229"/>
      <c r="CR106" s="229"/>
      <c r="CS106" s="229"/>
      <c r="CT106" s="289"/>
      <c r="CU106" s="288">
        <f>COUNTIFS('Form Details'!$D:$D,'Adv. Filter'!$A$14,'Form Details'!$D:$D,'Adv. Filter'!$B$14,'Form Details'!$J:$J,'Balance Sheet'!$C106,'Form Details'!$AA:$AA,"Yes")</f>
        <v>64</v>
      </c>
      <c r="CV106" s="229"/>
      <c r="CW106" s="229"/>
      <c r="CX106" s="229"/>
      <c r="CY106" s="229"/>
      <c r="CZ106" s="229"/>
      <c r="DA106" s="229"/>
      <c r="DB106" s="229"/>
      <c r="DC106" s="229"/>
      <c r="DD106" s="289"/>
      <c r="DE106" s="288">
        <f>COUNTIFS('Form Details'!$D:$D,'Adv. Filter'!$A$14,'Form Details'!$D:$D,'Adv. Filter'!$B$14,'Form Details'!$J:$J,'Balance Sheet'!$C106,'Form Details'!$AA:$AA,"Yes",'Form Details'!$W:$W,"Paid")</f>
        <v>48</v>
      </c>
      <c r="DF106" s="229"/>
      <c r="DG106" s="229"/>
      <c r="DH106" s="229"/>
      <c r="DI106" s="229"/>
      <c r="DJ106" s="229"/>
      <c r="DK106" s="229"/>
      <c r="DL106" s="229"/>
      <c r="DM106" s="229"/>
      <c r="DN106" s="289"/>
      <c r="DO106" s="288">
        <f>COUNTIFS('Form Details'!$W:$W,"Due",'Form Details'!$J:$J,$C131,'Form Details'!$D:$D,'Adv. Filter'!$A$14,'Form Details'!$D:$D,'Adv. Filter'!$B$14)</f>
        <v>16</v>
      </c>
      <c r="DP106" s="229"/>
      <c r="DQ106" s="229"/>
      <c r="DR106" s="229"/>
      <c r="DS106" s="229"/>
      <c r="DT106" s="229"/>
      <c r="DU106" s="229"/>
      <c r="DV106" s="229"/>
      <c r="DW106" s="229"/>
      <c r="DX106" s="289"/>
      <c r="DY106" s="288">
        <f>COUNTIFS('Form Details'!$I:$I,"Project",'Form Details'!$J:$J,$C106,'Form Details'!$D:$D,'Adv. Filter'!$A$14,'Form Details'!$D:$D,'Adv. Filter'!$B$14)</f>
        <v>2</v>
      </c>
      <c r="DZ106" s="229"/>
      <c r="EA106" s="229"/>
      <c r="EB106" s="229"/>
      <c r="EC106" s="229"/>
      <c r="ED106" s="229"/>
      <c r="EE106" s="229"/>
      <c r="EF106" s="229"/>
      <c r="EG106" s="229"/>
      <c r="EH106" s="289"/>
    </row>
    <row r="107" spans="3:138" hidden="1">
      <c r="C107" s="293" t="s">
        <v>97</v>
      </c>
      <c r="D107" s="294"/>
      <c r="E107" s="294"/>
      <c r="F107" s="294"/>
      <c r="G107" s="294"/>
      <c r="H107" s="294"/>
      <c r="I107" s="294"/>
      <c r="J107" s="294"/>
      <c r="K107" s="294"/>
      <c r="L107" s="294"/>
      <c r="M107" s="294"/>
      <c r="N107" s="294"/>
      <c r="O107" s="294"/>
      <c r="P107" s="294"/>
      <c r="Q107" s="295"/>
      <c r="R107" s="296">
        <f>$AN$203+$AN$206</f>
        <v>0</v>
      </c>
      <c r="S107" s="297"/>
      <c r="T107" s="297"/>
      <c r="U107" s="297"/>
      <c r="V107" s="297"/>
      <c r="W107" s="297"/>
      <c r="X107" s="297"/>
      <c r="Y107" s="297"/>
      <c r="Z107" s="297"/>
      <c r="AA107" s="298"/>
      <c r="AB107" s="267">
        <f>$AN$363+$AN$366</f>
        <v>0</v>
      </c>
      <c r="AC107" s="229"/>
      <c r="AD107" s="229"/>
      <c r="AE107" s="229"/>
      <c r="AF107" s="229"/>
      <c r="AG107" s="229"/>
      <c r="AH107" s="229"/>
      <c r="AI107" s="229"/>
      <c r="AJ107" s="229"/>
      <c r="AK107" s="289"/>
      <c r="AL107" s="267">
        <f>$AN$513+$AN$516</f>
        <v>0</v>
      </c>
      <c r="AM107" s="229"/>
      <c r="AN107" s="229"/>
      <c r="AO107" s="229"/>
      <c r="AP107" s="229"/>
      <c r="AQ107" s="229"/>
      <c r="AR107" s="229"/>
      <c r="AS107" s="229"/>
      <c r="AT107" s="229"/>
      <c r="AU107" s="289"/>
      <c r="AV107" s="267">
        <f>$AN$663+$AN$666</f>
        <v>0</v>
      </c>
      <c r="AW107" s="229"/>
      <c r="AX107" s="229"/>
      <c r="AY107" s="229"/>
      <c r="AZ107" s="229"/>
      <c r="BA107" s="229"/>
      <c r="BB107" s="229"/>
      <c r="BC107" s="229"/>
      <c r="BD107" s="229"/>
      <c r="BE107" s="289"/>
      <c r="BF107" s="267">
        <f>$AN$813+$AN$816</f>
        <v>3500</v>
      </c>
      <c r="BG107" s="229"/>
      <c r="BH107" s="229"/>
      <c r="BI107" s="229"/>
      <c r="BJ107" s="229"/>
      <c r="BK107" s="229"/>
      <c r="BL107" s="229"/>
      <c r="BM107" s="229"/>
      <c r="BN107" s="229"/>
      <c r="BO107" s="289"/>
      <c r="BP107" s="267">
        <f>$AN$963+$AN$966</f>
        <v>0</v>
      </c>
      <c r="BQ107" s="229"/>
      <c r="BR107" s="229"/>
      <c r="BS107" s="229"/>
      <c r="BT107" s="229"/>
      <c r="BU107" s="229"/>
      <c r="BV107" s="229"/>
      <c r="BW107" s="229"/>
      <c r="BX107" s="229"/>
      <c r="BY107" s="289"/>
      <c r="BZ107" s="290">
        <f t="shared" si="8"/>
        <v>3500</v>
      </c>
      <c r="CA107" s="291"/>
      <c r="CB107" s="291"/>
      <c r="CC107" s="291"/>
      <c r="CD107" s="291"/>
      <c r="CE107" s="291"/>
      <c r="CF107" s="291"/>
      <c r="CG107" s="291"/>
      <c r="CH107" s="291"/>
      <c r="CI107" s="292"/>
      <c r="CK107" s="288">
        <f>COUNTIFS('Form Details'!$D:$D,'Adv. Filter'!$A$14,'Form Details'!$D:$D,'Adv. Filter'!$B$14,'Form Details'!$J:$J,'Balance Sheet'!$C107)</f>
        <v>2</v>
      </c>
      <c r="CL107" s="229"/>
      <c r="CM107" s="229"/>
      <c r="CN107" s="229"/>
      <c r="CO107" s="229"/>
      <c r="CP107" s="229"/>
      <c r="CQ107" s="229"/>
      <c r="CR107" s="229"/>
      <c r="CS107" s="229"/>
      <c r="CT107" s="289"/>
      <c r="CU107" s="288">
        <f>COUNTIFS('Form Details'!$D:$D,'Adv. Filter'!$A$14,'Form Details'!$D:$D,'Adv. Filter'!$B$14,'Form Details'!$J:$J,'Balance Sheet'!$C107,'Form Details'!$AA:$AA,"Yes")</f>
        <v>2</v>
      </c>
      <c r="CV107" s="229"/>
      <c r="CW107" s="229"/>
      <c r="CX107" s="229"/>
      <c r="CY107" s="229"/>
      <c r="CZ107" s="229"/>
      <c r="DA107" s="229"/>
      <c r="DB107" s="229"/>
      <c r="DC107" s="229"/>
      <c r="DD107" s="289"/>
      <c r="DE107" s="288">
        <f>COUNTIFS('Form Details'!$D:$D,'Adv. Filter'!$A$14,'Form Details'!$D:$D,'Adv. Filter'!$B$14,'Form Details'!$J:$J,'Balance Sheet'!$C107,'Form Details'!$AA:$AA,"Yes",'Form Details'!$W:$W,"Paid")</f>
        <v>1</v>
      </c>
      <c r="DF107" s="229"/>
      <c r="DG107" s="229"/>
      <c r="DH107" s="229"/>
      <c r="DI107" s="229"/>
      <c r="DJ107" s="229"/>
      <c r="DK107" s="229"/>
      <c r="DL107" s="229"/>
      <c r="DM107" s="229"/>
      <c r="DN107" s="289"/>
      <c r="DO107" s="288">
        <f>COUNTIFS('Form Details'!$W:$W,"Due",'Form Details'!$J:$J,$C132,'Form Details'!$D:$D,'Adv. Filter'!$A$14,'Form Details'!$D:$D,'Adv. Filter'!$B$14)</f>
        <v>1</v>
      </c>
      <c r="DP107" s="229"/>
      <c r="DQ107" s="229"/>
      <c r="DR107" s="229"/>
      <c r="DS107" s="229"/>
      <c r="DT107" s="229"/>
      <c r="DU107" s="229"/>
      <c r="DV107" s="229"/>
      <c r="DW107" s="229"/>
      <c r="DX107" s="289"/>
      <c r="DY107" s="288">
        <f>COUNTIFS('Form Details'!$I:$I,"Project",'Form Details'!$J:$J,$C107,'Form Details'!$D:$D,'Adv. Filter'!$A$14,'Form Details'!$D:$D,'Adv. Filter'!$B$14)</f>
        <v>0</v>
      </c>
      <c r="DZ107" s="229"/>
      <c r="EA107" s="229"/>
      <c r="EB107" s="229"/>
      <c r="EC107" s="229"/>
      <c r="ED107" s="229"/>
      <c r="EE107" s="229"/>
      <c r="EF107" s="229"/>
      <c r="EG107" s="229"/>
      <c r="EH107" s="289"/>
    </row>
    <row r="108" spans="3:138" hidden="1">
      <c r="C108" s="293" t="s">
        <v>102</v>
      </c>
      <c r="D108" s="294"/>
      <c r="E108" s="294"/>
      <c r="F108" s="294"/>
      <c r="G108" s="294"/>
      <c r="H108" s="294"/>
      <c r="I108" s="294"/>
      <c r="J108" s="294"/>
      <c r="K108" s="294"/>
      <c r="L108" s="294"/>
      <c r="M108" s="294"/>
      <c r="N108" s="294"/>
      <c r="O108" s="294"/>
      <c r="P108" s="294"/>
      <c r="Q108" s="295"/>
      <c r="R108" s="296">
        <f>$AN$207+$AN$210</f>
        <v>624500</v>
      </c>
      <c r="S108" s="297"/>
      <c r="T108" s="297"/>
      <c r="U108" s="297"/>
      <c r="V108" s="297"/>
      <c r="W108" s="297"/>
      <c r="X108" s="297"/>
      <c r="Y108" s="297"/>
      <c r="Z108" s="297"/>
      <c r="AA108" s="298"/>
      <c r="AB108" s="267">
        <f>$AN$367+$AN$370</f>
        <v>0</v>
      </c>
      <c r="AC108" s="229"/>
      <c r="AD108" s="229"/>
      <c r="AE108" s="229"/>
      <c r="AF108" s="229"/>
      <c r="AG108" s="229"/>
      <c r="AH108" s="229"/>
      <c r="AI108" s="229"/>
      <c r="AJ108" s="229"/>
      <c r="AK108" s="289"/>
      <c r="AL108" s="267">
        <f>$AN$517+$AN$520</f>
        <v>0</v>
      </c>
      <c r="AM108" s="229"/>
      <c r="AN108" s="229"/>
      <c r="AO108" s="229"/>
      <c r="AP108" s="229"/>
      <c r="AQ108" s="229"/>
      <c r="AR108" s="229"/>
      <c r="AS108" s="229"/>
      <c r="AT108" s="229"/>
      <c r="AU108" s="289"/>
      <c r="AV108" s="267">
        <f>$AN$667+$AN$670</f>
        <v>0</v>
      </c>
      <c r="AW108" s="229"/>
      <c r="AX108" s="229"/>
      <c r="AY108" s="229"/>
      <c r="AZ108" s="229"/>
      <c r="BA108" s="229"/>
      <c r="BB108" s="229"/>
      <c r="BC108" s="229"/>
      <c r="BD108" s="229"/>
      <c r="BE108" s="289"/>
      <c r="BF108" s="267">
        <f>$AN$817+$AN$820</f>
        <v>0</v>
      </c>
      <c r="BG108" s="229"/>
      <c r="BH108" s="229"/>
      <c r="BI108" s="229"/>
      <c r="BJ108" s="229"/>
      <c r="BK108" s="229"/>
      <c r="BL108" s="229"/>
      <c r="BM108" s="229"/>
      <c r="BN108" s="229"/>
      <c r="BO108" s="289"/>
      <c r="BP108" s="267">
        <f>$AN$967+$AN$970</f>
        <v>0</v>
      </c>
      <c r="BQ108" s="229"/>
      <c r="BR108" s="229"/>
      <c r="BS108" s="229"/>
      <c r="BT108" s="229"/>
      <c r="BU108" s="229"/>
      <c r="BV108" s="229"/>
      <c r="BW108" s="229"/>
      <c r="BX108" s="229"/>
      <c r="BY108" s="289"/>
      <c r="BZ108" s="290">
        <f t="shared" si="8"/>
        <v>624500</v>
      </c>
      <c r="CA108" s="291"/>
      <c r="CB108" s="291"/>
      <c r="CC108" s="291"/>
      <c r="CD108" s="291"/>
      <c r="CE108" s="291"/>
      <c r="CF108" s="291"/>
      <c r="CG108" s="291"/>
      <c r="CH108" s="291"/>
      <c r="CI108" s="292"/>
      <c r="CK108" s="288">
        <f>COUNTIFS('Form Details'!$D:$D,'Adv. Filter'!$A$14,'Form Details'!$D:$D,'Adv. Filter'!$B$14,'Form Details'!$J:$J,'Balance Sheet'!$C108)</f>
        <v>199</v>
      </c>
      <c r="CL108" s="229"/>
      <c r="CM108" s="229"/>
      <c r="CN108" s="229"/>
      <c r="CO108" s="229"/>
      <c r="CP108" s="229"/>
      <c r="CQ108" s="229"/>
      <c r="CR108" s="229"/>
      <c r="CS108" s="229"/>
      <c r="CT108" s="289"/>
      <c r="CU108" s="288">
        <f>COUNTIFS('Form Details'!$D:$D,'Adv. Filter'!$A$14,'Form Details'!$D:$D,'Adv. Filter'!$B$14,'Form Details'!$J:$J,'Balance Sheet'!$C108,'Form Details'!$AA:$AA,"Yes")</f>
        <v>132</v>
      </c>
      <c r="CV108" s="229"/>
      <c r="CW108" s="229"/>
      <c r="CX108" s="229"/>
      <c r="CY108" s="229"/>
      <c r="CZ108" s="229"/>
      <c r="DA108" s="229"/>
      <c r="DB108" s="229"/>
      <c r="DC108" s="229"/>
      <c r="DD108" s="289"/>
      <c r="DE108" s="288">
        <f>COUNTIFS('Form Details'!$D:$D,'Adv. Filter'!$A$14,'Form Details'!$D:$D,'Adv. Filter'!$B$14,'Form Details'!$J:$J,'Balance Sheet'!$C108,'Form Details'!$AA:$AA,"Yes",'Form Details'!$W:$W,"Paid")</f>
        <v>100</v>
      </c>
      <c r="DF108" s="229"/>
      <c r="DG108" s="229"/>
      <c r="DH108" s="229"/>
      <c r="DI108" s="229"/>
      <c r="DJ108" s="229"/>
      <c r="DK108" s="229"/>
      <c r="DL108" s="229"/>
      <c r="DM108" s="229"/>
      <c r="DN108" s="289"/>
      <c r="DO108" s="288">
        <f>COUNTIFS('Form Details'!$W:$W,"Due",'Form Details'!$J:$J,$C133,'Form Details'!$D:$D,'Adv. Filter'!$A$14,'Form Details'!$D:$D,'Adv. Filter'!$B$14)</f>
        <v>32</v>
      </c>
      <c r="DP108" s="229"/>
      <c r="DQ108" s="229"/>
      <c r="DR108" s="229"/>
      <c r="DS108" s="229"/>
      <c r="DT108" s="229"/>
      <c r="DU108" s="229"/>
      <c r="DV108" s="229"/>
      <c r="DW108" s="229"/>
      <c r="DX108" s="289"/>
      <c r="DY108" s="288">
        <f>COUNTIFS('Form Details'!$I:$I,"Project",'Form Details'!$J:$J,$C108,'Form Details'!$D:$D,'Adv. Filter'!$A$14,'Form Details'!$D:$D,'Adv. Filter'!$B$14)</f>
        <v>1</v>
      </c>
      <c r="DZ108" s="229"/>
      <c r="EA108" s="229"/>
      <c r="EB108" s="229"/>
      <c r="EC108" s="229"/>
      <c r="ED108" s="229"/>
      <c r="EE108" s="229"/>
      <c r="EF108" s="229"/>
      <c r="EG108" s="229"/>
      <c r="EH108" s="289"/>
    </row>
    <row r="109" spans="3:138" ht="15.75" hidden="1" thickBot="1">
      <c r="C109" s="293" t="s">
        <v>108</v>
      </c>
      <c r="D109" s="294"/>
      <c r="E109" s="294"/>
      <c r="F109" s="294"/>
      <c r="G109" s="294"/>
      <c r="H109" s="294"/>
      <c r="I109" s="294"/>
      <c r="J109" s="294"/>
      <c r="K109" s="294"/>
      <c r="L109" s="294"/>
      <c r="M109" s="294"/>
      <c r="N109" s="294"/>
      <c r="O109" s="294"/>
      <c r="P109" s="294"/>
      <c r="Q109" s="295"/>
      <c r="R109" s="296">
        <f>$AN$211+$AN$214</f>
        <v>0</v>
      </c>
      <c r="S109" s="297"/>
      <c r="T109" s="297"/>
      <c r="U109" s="297"/>
      <c r="V109" s="297"/>
      <c r="W109" s="297"/>
      <c r="X109" s="297"/>
      <c r="Y109" s="297"/>
      <c r="Z109" s="297"/>
      <c r="AA109" s="298"/>
      <c r="AB109" s="419">
        <f>$AN$371+$AN$374</f>
        <v>0</v>
      </c>
      <c r="AC109" s="420"/>
      <c r="AD109" s="420"/>
      <c r="AE109" s="420"/>
      <c r="AF109" s="420"/>
      <c r="AG109" s="420"/>
      <c r="AH109" s="420"/>
      <c r="AI109" s="420"/>
      <c r="AJ109" s="420"/>
      <c r="AK109" s="421"/>
      <c r="AL109" s="419">
        <f>$AN$521+$AN$524</f>
        <v>0</v>
      </c>
      <c r="AM109" s="420"/>
      <c r="AN109" s="420"/>
      <c r="AO109" s="420"/>
      <c r="AP109" s="420"/>
      <c r="AQ109" s="420"/>
      <c r="AR109" s="420"/>
      <c r="AS109" s="420"/>
      <c r="AT109" s="420"/>
      <c r="AU109" s="421"/>
      <c r="AV109" s="419">
        <f>$AN$671+$AN$674</f>
        <v>0</v>
      </c>
      <c r="AW109" s="420"/>
      <c r="AX109" s="420"/>
      <c r="AY109" s="420"/>
      <c r="AZ109" s="420"/>
      <c r="BA109" s="420"/>
      <c r="BB109" s="420"/>
      <c r="BC109" s="420"/>
      <c r="BD109" s="420"/>
      <c r="BE109" s="421"/>
      <c r="BF109" s="419">
        <f>$AN$821+$AN$824</f>
        <v>283700</v>
      </c>
      <c r="BG109" s="420"/>
      <c r="BH109" s="420"/>
      <c r="BI109" s="420"/>
      <c r="BJ109" s="420"/>
      <c r="BK109" s="420"/>
      <c r="BL109" s="420"/>
      <c r="BM109" s="420"/>
      <c r="BN109" s="420"/>
      <c r="BO109" s="421"/>
      <c r="BP109" s="419">
        <f>$AN$971+$AN$974</f>
        <v>0</v>
      </c>
      <c r="BQ109" s="420"/>
      <c r="BR109" s="420"/>
      <c r="BS109" s="420"/>
      <c r="BT109" s="420"/>
      <c r="BU109" s="420"/>
      <c r="BV109" s="420"/>
      <c r="BW109" s="420"/>
      <c r="BX109" s="420"/>
      <c r="BY109" s="421"/>
      <c r="BZ109" s="410">
        <f t="shared" si="8"/>
        <v>283700</v>
      </c>
      <c r="CA109" s="411"/>
      <c r="CB109" s="411"/>
      <c r="CC109" s="411"/>
      <c r="CD109" s="411"/>
      <c r="CE109" s="411"/>
      <c r="CF109" s="411"/>
      <c r="CG109" s="411"/>
      <c r="CH109" s="411"/>
      <c r="CI109" s="412"/>
      <c r="CK109" s="288">
        <f>COUNTIFS('Form Details'!$D:$D,'Adv. Filter'!$A$14,'Form Details'!$D:$D,'Adv. Filter'!$B$14,'Form Details'!$J:$J,'Balance Sheet'!$C109)</f>
        <v>116</v>
      </c>
      <c r="CL109" s="229"/>
      <c r="CM109" s="229"/>
      <c r="CN109" s="229"/>
      <c r="CO109" s="229"/>
      <c r="CP109" s="229"/>
      <c r="CQ109" s="229"/>
      <c r="CR109" s="229"/>
      <c r="CS109" s="229"/>
      <c r="CT109" s="289"/>
      <c r="CU109" s="288">
        <f>COUNTIFS('Form Details'!$D:$D,'Adv. Filter'!$A$14,'Form Details'!$D:$D,'Adv. Filter'!$B$14,'Form Details'!$J:$J,'Balance Sheet'!$C109,'Form Details'!$AA:$AA,"Yes")</f>
        <v>90</v>
      </c>
      <c r="CV109" s="229"/>
      <c r="CW109" s="229"/>
      <c r="CX109" s="229"/>
      <c r="CY109" s="229"/>
      <c r="CZ109" s="229"/>
      <c r="DA109" s="229"/>
      <c r="DB109" s="229"/>
      <c r="DC109" s="229"/>
      <c r="DD109" s="289"/>
      <c r="DE109" s="288">
        <f>COUNTIFS('Form Details'!$D:$D,'Adv. Filter'!$A$14,'Form Details'!$D:$D,'Adv. Filter'!$B$14,'Form Details'!$J:$J,'Balance Sheet'!$C109,'Form Details'!$AA:$AA,"Yes",'Form Details'!$W:$W,"Paid")</f>
        <v>46</v>
      </c>
      <c r="DF109" s="229"/>
      <c r="DG109" s="229"/>
      <c r="DH109" s="229"/>
      <c r="DI109" s="229"/>
      <c r="DJ109" s="229"/>
      <c r="DK109" s="229"/>
      <c r="DL109" s="229"/>
      <c r="DM109" s="229"/>
      <c r="DN109" s="289"/>
      <c r="DO109" s="288">
        <f>COUNTIFS('Form Details'!$W:$W,"Due",'Form Details'!$J:$J,$C134,'Form Details'!$D:$D,'Adv. Filter'!$A$14,'Form Details'!$D:$D,'Adv. Filter'!$B$14)</f>
        <v>44</v>
      </c>
      <c r="DP109" s="229"/>
      <c r="DQ109" s="229"/>
      <c r="DR109" s="229"/>
      <c r="DS109" s="229"/>
      <c r="DT109" s="229"/>
      <c r="DU109" s="229"/>
      <c r="DV109" s="229"/>
      <c r="DW109" s="229"/>
      <c r="DX109" s="289"/>
      <c r="DY109" s="288">
        <f>COUNTIFS('Form Details'!$I:$I,"Project",'Form Details'!$J:$J,$C109,'Form Details'!$D:$D,'Adv. Filter'!$A$14,'Form Details'!$D:$D,'Adv. Filter'!$B$14)</f>
        <v>0</v>
      </c>
      <c r="DZ109" s="229"/>
      <c r="EA109" s="229"/>
      <c r="EB109" s="229"/>
      <c r="EC109" s="229"/>
      <c r="ED109" s="229"/>
      <c r="EE109" s="229"/>
      <c r="EF109" s="229"/>
      <c r="EG109" s="229"/>
      <c r="EH109" s="289"/>
    </row>
    <row r="110" spans="3:138" ht="15.75" hidden="1" thickTop="1">
      <c r="C110" s="406" t="s">
        <v>34</v>
      </c>
      <c r="D110" s="406"/>
      <c r="E110" s="406"/>
      <c r="F110" s="406"/>
      <c r="G110" s="406"/>
      <c r="H110" s="406"/>
      <c r="I110" s="406"/>
      <c r="J110" s="406"/>
      <c r="K110" s="406"/>
      <c r="L110" s="406"/>
      <c r="M110" s="406"/>
      <c r="N110" s="406"/>
      <c r="O110" s="406"/>
      <c r="P110" s="406"/>
      <c r="Q110" s="406"/>
      <c r="R110" s="407">
        <f>$T$215</f>
        <v>680000</v>
      </c>
      <c r="S110" s="408"/>
      <c r="T110" s="408"/>
      <c r="U110" s="408"/>
      <c r="V110" s="408"/>
      <c r="W110" s="408"/>
      <c r="X110" s="408"/>
      <c r="Y110" s="408"/>
      <c r="Z110" s="408"/>
      <c r="AA110" s="408"/>
      <c r="AB110" s="407">
        <f>$T$375</f>
        <v>91000</v>
      </c>
      <c r="AC110" s="408"/>
      <c r="AD110" s="408"/>
      <c r="AE110" s="408"/>
      <c r="AF110" s="408"/>
      <c r="AG110" s="408"/>
      <c r="AH110" s="408"/>
      <c r="AI110" s="408"/>
      <c r="AJ110" s="408"/>
      <c r="AK110" s="408"/>
      <c r="AL110" s="407">
        <f>$T$525</f>
        <v>53500</v>
      </c>
      <c r="AM110" s="408"/>
      <c r="AN110" s="408"/>
      <c r="AO110" s="408"/>
      <c r="AP110" s="408"/>
      <c r="AQ110" s="408"/>
      <c r="AR110" s="408"/>
      <c r="AS110" s="408"/>
      <c r="AT110" s="408"/>
      <c r="AU110" s="408"/>
      <c r="AV110" s="407">
        <f>$T$675</f>
        <v>510800</v>
      </c>
      <c r="AW110" s="408"/>
      <c r="AX110" s="408"/>
      <c r="AY110" s="408"/>
      <c r="AZ110" s="408"/>
      <c r="BA110" s="408"/>
      <c r="BB110" s="408"/>
      <c r="BC110" s="408"/>
      <c r="BD110" s="408"/>
      <c r="BE110" s="408"/>
      <c r="BF110" s="407">
        <f>$T$825</f>
        <v>10500</v>
      </c>
      <c r="BG110" s="408"/>
      <c r="BH110" s="408"/>
      <c r="BI110" s="408"/>
      <c r="BJ110" s="408"/>
      <c r="BK110" s="408"/>
      <c r="BL110" s="408"/>
      <c r="BM110" s="408"/>
      <c r="BN110" s="408"/>
      <c r="BO110" s="408"/>
      <c r="BP110" s="407">
        <f>$T$975</f>
        <v>0</v>
      </c>
      <c r="BQ110" s="408"/>
      <c r="BR110" s="408"/>
      <c r="BS110" s="408"/>
      <c r="BT110" s="408"/>
      <c r="BU110" s="408"/>
      <c r="BV110" s="408"/>
      <c r="BW110" s="408"/>
      <c r="BX110" s="408"/>
      <c r="BY110" s="409"/>
      <c r="BZ110" s="311">
        <f>IF(SUM(BZ93:CI109)=SUM(R112:BY112),SUM(BZ93:CI109),"")</f>
        <v>3339085</v>
      </c>
      <c r="CA110" s="312"/>
      <c r="CB110" s="312"/>
      <c r="CC110" s="312"/>
      <c r="CD110" s="312"/>
      <c r="CE110" s="312"/>
      <c r="CF110" s="312"/>
      <c r="CG110" s="312"/>
      <c r="CH110" s="312"/>
      <c r="CI110" s="313"/>
      <c r="CK110" s="43"/>
      <c r="CL110" s="1"/>
      <c r="CM110" s="1"/>
      <c r="CN110" s="1"/>
      <c r="CO110" s="1"/>
      <c r="CP110" s="1"/>
      <c r="CQ110" s="1"/>
      <c r="CR110" s="1"/>
      <c r="CS110" s="1"/>
      <c r="CT110" s="40"/>
      <c r="CU110" s="43"/>
      <c r="CV110" s="1"/>
      <c r="CW110" s="1"/>
      <c r="CX110" s="1"/>
      <c r="CY110" s="1"/>
      <c r="CZ110" s="1"/>
      <c r="DA110" s="1"/>
      <c r="DB110" s="1"/>
      <c r="DC110" s="1"/>
      <c r="DD110" s="40"/>
      <c r="DE110" s="43"/>
      <c r="DF110" s="1"/>
      <c r="DG110" s="1"/>
      <c r="DH110" s="1"/>
      <c r="DI110" s="1"/>
      <c r="DJ110" s="1"/>
      <c r="DK110" s="1"/>
      <c r="DL110" s="1"/>
      <c r="DM110" s="1"/>
      <c r="DN110" s="40"/>
      <c r="DO110" s="288"/>
      <c r="DP110" s="229"/>
      <c r="DQ110" s="229"/>
      <c r="DR110" s="229"/>
      <c r="DS110" s="229"/>
      <c r="DT110" s="229"/>
      <c r="DU110" s="229"/>
      <c r="DV110" s="229"/>
      <c r="DW110" s="229"/>
      <c r="DX110" s="289"/>
      <c r="DY110" s="43"/>
      <c r="DZ110" s="1"/>
      <c r="EA110" s="1"/>
      <c r="EB110" s="1"/>
      <c r="EC110" s="1"/>
      <c r="ED110" s="1"/>
      <c r="EE110" s="1"/>
      <c r="EF110" s="1"/>
      <c r="EG110" s="1"/>
      <c r="EH110" s="40"/>
    </row>
    <row r="111" spans="3:138" ht="15.75" hidden="1" thickBot="1">
      <c r="C111" s="422" t="s">
        <v>331</v>
      </c>
      <c r="D111" s="422"/>
      <c r="E111" s="422"/>
      <c r="F111" s="422"/>
      <c r="G111" s="422"/>
      <c r="H111" s="422"/>
      <c r="I111" s="422"/>
      <c r="J111" s="422"/>
      <c r="K111" s="422"/>
      <c r="L111" s="422"/>
      <c r="M111" s="422"/>
      <c r="N111" s="422"/>
      <c r="O111" s="422"/>
      <c r="P111" s="422"/>
      <c r="Q111" s="422"/>
      <c r="R111" s="407">
        <f>$AD$215</f>
        <v>644500</v>
      </c>
      <c r="S111" s="408"/>
      <c r="T111" s="408"/>
      <c r="U111" s="408"/>
      <c r="V111" s="408"/>
      <c r="W111" s="408"/>
      <c r="X111" s="408"/>
      <c r="Y111" s="408"/>
      <c r="Z111" s="408"/>
      <c r="AA111" s="408"/>
      <c r="AB111" s="407">
        <f>$AD$375</f>
        <v>524345</v>
      </c>
      <c r="AC111" s="408"/>
      <c r="AD111" s="408"/>
      <c r="AE111" s="408"/>
      <c r="AF111" s="408"/>
      <c r="AG111" s="408"/>
      <c r="AH111" s="408"/>
      <c r="AI111" s="408"/>
      <c r="AJ111" s="408"/>
      <c r="AK111" s="408"/>
      <c r="AL111" s="407">
        <f>$AD$525</f>
        <v>126420</v>
      </c>
      <c r="AM111" s="408"/>
      <c r="AN111" s="408"/>
      <c r="AO111" s="408"/>
      <c r="AP111" s="408"/>
      <c r="AQ111" s="408"/>
      <c r="AR111" s="408"/>
      <c r="AS111" s="408"/>
      <c r="AT111" s="408"/>
      <c r="AU111" s="408"/>
      <c r="AV111" s="423">
        <f>$AD$675</f>
        <v>358850</v>
      </c>
      <c r="AW111" s="424"/>
      <c r="AX111" s="424"/>
      <c r="AY111" s="424"/>
      <c r="AZ111" s="424"/>
      <c r="BA111" s="424"/>
      <c r="BB111" s="424"/>
      <c r="BC111" s="424"/>
      <c r="BD111" s="424"/>
      <c r="BE111" s="425"/>
      <c r="BF111" s="407">
        <f>$AD$825</f>
        <v>339170</v>
      </c>
      <c r="BG111" s="408"/>
      <c r="BH111" s="408"/>
      <c r="BI111" s="408"/>
      <c r="BJ111" s="408"/>
      <c r="BK111" s="408"/>
      <c r="BL111" s="408"/>
      <c r="BM111" s="408"/>
      <c r="BN111" s="408"/>
      <c r="BO111" s="408"/>
      <c r="BP111" s="426">
        <f>$AD$975</f>
        <v>0</v>
      </c>
      <c r="BQ111" s="408"/>
      <c r="BR111" s="408"/>
      <c r="BS111" s="408"/>
      <c r="BT111" s="408"/>
      <c r="BU111" s="408"/>
      <c r="BV111" s="408"/>
      <c r="BW111" s="408"/>
      <c r="BX111" s="408"/>
      <c r="BY111" s="409"/>
      <c r="BZ111" s="314"/>
      <c r="CA111" s="315"/>
      <c r="CB111" s="315"/>
      <c r="CC111" s="315"/>
      <c r="CD111" s="315"/>
      <c r="CE111" s="315"/>
      <c r="CF111" s="315"/>
      <c r="CG111" s="315"/>
      <c r="CH111" s="315"/>
      <c r="CI111" s="316"/>
      <c r="CK111" s="43"/>
      <c r="CL111" s="1"/>
      <c r="CM111" s="1"/>
      <c r="CN111" s="1"/>
      <c r="CO111" s="1"/>
      <c r="CP111" s="1"/>
      <c r="CQ111" s="1"/>
      <c r="CR111" s="1"/>
      <c r="CS111" s="1"/>
      <c r="CT111" s="40"/>
      <c r="CU111" s="43"/>
      <c r="CV111" s="1"/>
      <c r="CW111" s="1"/>
      <c r="CX111" s="1"/>
      <c r="CY111" s="1"/>
      <c r="CZ111" s="1"/>
      <c r="DA111" s="1"/>
      <c r="DB111" s="1"/>
      <c r="DC111" s="1"/>
      <c r="DD111" s="40"/>
      <c r="DE111" s="43"/>
      <c r="DF111" s="1"/>
      <c r="DG111" s="1"/>
      <c r="DH111" s="1"/>
      <c r="DI111" s="1"/>
      <c r="DJ111" s="1"/>
      <c r="DK111" s="1"/>
      <c r="DL111" s="1"/>
      <c r="DM111" s="1"/>
      <c r="DN111" s="40"/>
      <c r="DO111" s="43"/>
      <c r="DP111" s="1"/>
      <c r="DQ111" s="1"/>
      <c r="DR111" s="1"/>
      <c r="DS111" s="1"/>
      <c r="DT111" s="1"/>
      <c r="DU111" s="1"/>
      <c r="DV111" s="1"/>
      <c r="DW111" s="1"/>
      <c r="DX111" s="40"/>
      <c r="DY111" s="288"/>
      <c r="DZ111" s="229"/>
      <c r="EA111" s="229"/>
      <c r="EB111" s="229"/>
      <c r="EC111" s="229"/>
      <c r="ED111" s="229"/>
      <c r="EE111" s="229"/>
      <c r="EF111" s="229"/>
      <c r="EG111" s="229"/>
      <c r="EH111" s="289"/>
    </row>
    <row r="112" spans="3:138" ht="16.5" hidden="1" thickTop="1" thickBot="1">
      <c r="C112" s="223" t="s">
        <v>503</v>
      </c>
      <c r="D112" s="224"/>
      <c r="E112" s="224"/>
      <c r="F112" s="224"/>
      <c r="G112" s="224"/>
      <c r="H112" s="224"/>
      <c r="I112" s="224"/>
      <c r="J112" s="224"/>
      <c r="K112" s="224"/>
      <c r="L112" s="224"/>
      <c r="M112" s="224"/>
      <c r="N112" s="224"/>
      <c r="O112" s="224"/>
      <c r="P112" s="224"/>
      <c r="Q112" s="224"/>
      <c r="R112" s="222">
        <f>SUM(R93:AA109)</f>
        <v>1324500</v>
      </c>
      <c r="S112" s="427"/>
      <c r="T112" s="427"/>
      <c r="U112" s="427"/>
      <c r="V112" s="427"/>
      <c r="W112" s="427"/>
      <c r="X112" s="427"/>
      <c r="Y112" s="427"/>
      <c r="Z112" s="427"/>
      <c r="AA112" s="427"/>
      <c r="AB112" s="222">
        <f>SUM(AB93:AK109)</f>
        <v>615345</v>
      </c>
      <c r="AC112" s="427"/>
      <c r="AD112" s="427"/>
      <c r="AE112" s="427"/>
      <c r="AF112" s="427"/>
      <c r="AG112" s="427"/>
      <c r="AH112" s="427"/>
      <c r="AI112" s="427"/>
      <c r="AJ112" s="427"/>
      <c r="AK112" s="427"/>
      <c r="AL112" s="222">
        <f>SUM(AL93:AU109)</f>
        <v>179920</v>
      </c>
      <c r="AM112" s="427"/>
      <c r="AN112" s="427"/>
      <c r="AO112" s="427"/>
      <c r="AP112" s="427"/>
      <c r="AQ112" s="427"/>
      <c r="AR112" s="427"/>
      <c r="AS112" s="427"/>
      <c r="AT112" s="427"/>
      <c r="AU112" s="427"/>
      <c r="AV112" s="222">
        <f>SUM(AV93:BE109)</f>
        <v>869650</v>
      </c>
      <c r="AW112" s="427"/>
      <c r="AX112" s="427"/>
      <c r="AY112" s="427"/>
      <c r="AZ112" s="427"/>
      <c r="BA112" s="427"/>
      <c r="BB112" s="427"/>
      <c r="BC112" s="427"/>
      <c r="BD112" s="427"/>
      <c r="BE112" s="427"/>
      <c r="BF112" s="222">
        <f>SUM(BF93:BO109)</f>
        <v>349670</v>
      </c>
      <c r="BG112" s="427"/>
      <c r="BH112" s="427"/>
      <c r="BI112" s="427"/>
      <c r="BJ112" s="427"/>
      <c r="BK112" s="427"/>
      <c r="BL112" s="427"/>
      <c r="BM112" s="427"/>
      <c r="BN112" s="427"/>
      <c r="BO112" s="427"/>
      <c r="BP112" s="222">
        <f>SUM(BP93:BY109)</f>
        <v>0</v>
      </c>
      <c r="BQ112" s="427"/>
      <c r="BR112" s="427"/>
      <c r="BS112" s="427"/>
      <c r="BT112" s="427"/>
      <c r="BU112" s="427"/>
      <c r="BV112" s="427"/>
      <c r="BW112" s="427"/>
      <c r="BX112" s="427"/>
      <c r="BY112" s="428"/>
      <c r="BZ112" s="317"/>
      <c r="CA112" s="318"/>
      <c r="CB112" s="318"/>
      <c r="CC112" s="318"/>
      <c r="CD112" s="318"/>
      <c r="CE112" s="318"/>
      <c r="CF112" s="318"/>
      <c r="CG112" s="318"/>
      <c r="CH112" s="318"/>
      <c r="CI112" s="319"/>
      <c r="CK112" s="407">
        <f>SUM(CK93:CT109)</f>
        <v>1300</v>
      </c>
      <c r="CL112" s="408"/>
      <c r="CM112" s="408"/>
      <c r="CN112" s="408"/>
      <c r="CO112" s="408"/>
      <c r="CP112" s="408"/>
      <c r="CQ112" s="408"/>
      <c r="CR112" s="408"/>
      <c r="CS112" s="408"/>
      <c r="CT112" s="408"/>
      <c r="CU112" s="407">
        <f>SUM(CU93:DD109)</f>
        <v>1079</v>
      </c>
      <c r="CV112" s="408"/>
      <c r="CW112" s="408"/>
      <c r="CX112" s="408"/>
      <c r="CY112" s="408"/>
      <c r="CZ112" s="408"/>
      <c r="DA112" s="408"/>
      <c r="DB112" s="408"/>
      <c r="DC112" s="408"/>
      <c r="DD112" s="408"/>
      <c r="DE112" s="407">
        <f>SUM(DE93:DN109)</f>
        <v>608</v>
      </c>
      <c r="DF112" s="408"/>
      <c r="DG112" s="408"/>
      <c r="DH112" s="408"/>
      <c r="DI112" s="408"/>
      <c r="DJ112" s="408"/>
      <c r="DK112" s="408"/>
      <c r="DL112" s="408"/>
      <c r="DM112" s="408"/>
      <c r="DN112" s="408"/>
      <c r="DO112" s="407">
        <f>SUM(DO93:DX109)</f>
        <v>467</v>
      </c>
      <c r="DP112" s="408"/>
      <c r="DQ112" s="408"/>
      <c r="DR112" s="408"/>
      <c r="DS112" s="408"/>
      <c r="DT112" s="408"/>
      <c r="DU112" s="408"/>
      <c r="DV112" s="408"/>
      <c r="DW112" s="408"/>
      <c r="DX112" s="408"/>
      <c r="DY112" s="407">
        <f>SUM(DY93:EH109)</f>
        <v>33</v>
      </c>
      <c r="DZ112" s="408"/>
      <c r="EA112" s="408"/>
      <c r="EB112" s="408"/>
      <c r="EC112" s="408"/>
      <c r="ED112" s="408"/>
      <c r="EE112" s="408"/>
      <c r="EF112" s="408"/>
      <c r="EG112" s="408"/>
      <c r="EH112" s="408"/>
    </row>
    <row r="113" spans="3:138" ht="15.75" hidden="1" thickTop="1"/>
    <row r="114" spans="3:138" hidden="1"/>
    <row r="115" spans="3:138" hidden="1">
      <c r="C115" s="209" t="str">
        <f>CONCATENATE("PREVIOUS ",TEXT(Main!F17,"( up to  DD-MMM-YYYY )"))</f>
        <v>PREVIOUS ( up to  01-Jan-2017 )</v>
      </c>
      <c r="D115" s="209"/>
      <c r="E115" s="209"/>
      <c r="F115" s="209"/>
      <c r="G115" s="209"/>
      <c r="H115" s="209"/>
      <c r="I115" s="209"/>
      <c r="J115" s="209"/>
      <c r="K115" s="209"/>
      <c r="L115" s="209"/>
      <c r="M115" s="209"/>
      <c r="N115" s="209"/>
      <c r="O115" s="209"/>
      <c r="P115" s="209"/>
      <c r="Q115" s="209"/>
      <c r="R115" s="209"/>
      <c r="S115" s="209"/>
      <c r="T115" s="209"/>
      <c r="U115" s="209"/>
      <c r="V115" s="209"/>
      <c r="W115" s="209"/>
      <c r="X115" s="209"/>
      <c r="Y115" s="209"/>
      <c r="Z115" s="209"/>
      <c r="AA115" s="209"/>
      <c r="AB115" s="209"/>
      <c r="AC115" s="209"/>
      <c r="AD115" s="209"/>
      <c r="AE115" s="209"/>
      <c r="AF115" s="209"/>
      <c r="AG115" s="209"/>
      <c r="AH115" s="209"/>
      <c r="AI115" s="209"/>
      <c r="AJ115" s="209"/>
      <c r="AK115" s="209"/>
      <c r="AL115" s="209"/>
      <c r="AM115" s="209"/>
      <c r="AN115" s="209"/>
      <c r="AO115" s="209"/>
      <c r="AP115" s="209"/>
      <c r="AQ115" s="209"/>
      <c r="AR115" s="209"/>
      <c r="AS115" s="209"/>
      <c r="AT115" s="209"/>
      <c r="AU115" s="209"/>
      <c r="AV115" s="209"/>
      <c r="AW115" s="209"/>
      <c r="AX115" s="209"/>
      <c r="AY115" s="209"/>
      <c r="AZ115" s="209"/>
      <c r="BA115" s="209"/>
      <c r="BB115" s="209"/>
      <c r="BC115" s="209"/>
      <c r="BD115" s="209"/>
      <c r="BE115" s="209"/>
      <c r="BF115" s="209"/>
      <c r="BG115" s="209"/>
      <c r="BH115" s="209"/>
      <c r="BI115" s="209"/>
      <c r="BJ115" s="209"/>
      <c r="BK115" s="209"/>
      <c r="BL115" s="209"/>
      <c r="BM115" s="209"/>
      <c r="BN115" s="209"/>
      <c r="BO115" s="209"/>
      <c r="BP115" s="209"/>
      <c r="BQ115" s="209"/>
      <c r="BR115" s="209"/>
      <c r="BS115" s="209"/>
      <c r="BT115" s="209"/>
      <c r="BU115" s="209"/>
      <c r="BV115" s="209"/>
      <c r="BW115" s="209"/>
      <c r="BX115" s="209"/>
      <c r="BY115" s="209"/>
      <c r="BZ115" s="209"/>
      <c r="CA115" s="209"/>
      <c r="CB115" s="209"/>
      <c r="CC115" s="209"/>
      <c r="CD115" s="209"/>
      <c r="CE115" s="209"/>
      <c r="CF115" s="209"/>
      <c r="CG115" s="209"/>
      <c r="CH115" s="209"/>
      <c r="CI115" s="209"/>
      <c r="CJ115" s="209"/>
      <c r="CK115" s="209"/>
      <c r="CL115" s="209"/>
      <c r="CM115" s="209"/>
      <c r="CN115" s="209"/>
      <c r="CO115" s="209"/>
      <c r="CP115" s="209"/>
      <c r="CQ115" s="209"/>
      <c r="CR115" s="209"/>
      <c r="CS115" s="209"/>
      <c r="CT115" s="209"/>
      <c r="CU115" s="209"/>
      <c r="CV115" s="209"/>
      <c r="CW115" s="209"/>
      <c r="CX115" s="209"/>
      <c r="CY115" s="209"/>
      <c r="CZ115" s="209"/>
      <c r="DA115" s="209"/>
      <c r="DB115" s="209"/>
      <c r="DC115" s="209"/>
      <c r="DD115" s="209"/>
      <c r="DE115" s="209"/>
      <c r="DF115" s="209"/>
      <c r="DG115" s="209"/>
      <c r="DH115" s="209"/>
      <c r="DI115" s="209"/>
      <c r="DJ115" s="209"/>
      <c r="DK115" s="209"/>
      <c r="DL115" s="209"/>
      <c r="DM115" s="209"/>
      <c r="DN115" s="209"/>
      <c r="DO115" s="209"/>
      <c r="DP115" s="209"/>
      <c r="DQ115" s="209"/>
      <c r="DR115" s="209"/>
      <c r="DS115" s="209"/>
      <c r="DT115" s="209"/>
      <c r="DU115" s="209"/>
      <c r="DV115" s="209"/>
      <c r="DW115" s="209"/>
      <c r="DX115" s="209"/>
      <c r="DY115" s="209"/>
      <c r="DZ115" s="209"/>
      <c r="EA115" s="209"/>
      <c r="EB115" s="209"/>
      <c r="EC115" s="209"/>
      <c r="ED115" s="209"/>
      <c r="EE115" s="209"/>
      <c r="EF115" s="209"/>
      <c r="EG115" s="209"/>
      <c r="EH115" s="209"/>
    </row>
    <row r="116" spans="3:138" ht="15.75" hidden="1">
      <c r="C116" s="227" t="s">
        <v>513</v>
      </c>
      <c r="D116" s="227"/>
      <c r="E116" s="227"/>
      <c r="F116" s="227"/>
      <c r="G116" s="227"/>
      <c r="H116" s="227"/>
      <c r="I116" s="227"/>
      <c r="J116" s="227"/>
      <c r="K116" s="227"/>
      <c r="L116" s="227"/>
      <c r="M116" s="227"/>
      <c r="N116" s="227"/>
      <c r="O116" s="227"/>
      <c r="P116" s="227"/>
      <c r="Q116" s="227"/>
      <c r="R116" s="416" t="s">
        <v>523</v>
      </c>
      <c r="S116" s="417"/>
      <c r="T116" s="417"/>
      <c r="U116" s="417"/>
      <c r="V116" s="417"/>
      <c r="W116" s="417"/>
      <c r="X116" s="417"/>
      <c r="Y116" s="417"/>
      <c r="Z116" s="417"/>
      <c r="AA116" s="417"/>
      <c r="AB116" s="417"/>
      <c r="AC116" s="417"/>
      <c r="AD116" s="417"/>
      <c r="AE116" s="417"/>
      <c r="AF116" s="417"/>
      <c r="AG116" s="417"/>
      <c r="AH116" s="417"/>
      <c r="AI116" s="417"/>
      <c r="AJ116" s="417"/>
      <c r="AK116" s="417"/>
      <c r="AL116" s="417"/>
      <c r="AM116" s="417"/>
      <c r="AN116" s="417"/>
      <c r="AO116" s="417"/>
      <c r="AP116" s="417"/>
      <c r="AQ116" s="417"/>
      <c r="AR116" s="417"/>
      <c r="AS116" s="417"/>
      <c r="AT116" s="417"/>
      <c r="AU116" s="417"/>
      <c r="AV116" s="417"/>
      <c r="AW116" s="417"/>
      <c r="AX116" s="417"/>
      <c r="AY116" s="417"/>
      <c r="AZ116" s="417"/>
      <c r="BA116" s="417"/>
      <c r="BB116" s="417"/>
      <c r="BC116" s="417"/>
      <c r="BD116" s="417"/>
      <c r="BE116" s="417"/>
      <c r="BF116" s="417"/>
      <c r="BG116" s="417"/>
      <c r="BH116" s="417"/>
      <c r="BI116" s="417"/>
      <c r="BJ116" s="417"/>
      <c r="BK116" s="417"/>
      <c r="BL116" s="417"/>
      <c r="BM116" s="417"/>
      <c r="BN116" s="417"/>
      <c r="BO116" s="417"/>
      <c r="BP116" s="417"/>
      <c r="BQ116" s="417"/>
      <c r="BR116" s="417"/>
      <c r="BS116" s="417"/>
      <c r="BT116" s="417"/>
      <c r="BU116" s="417"/>
      <c r="BV116" s="417"/>
      <c r="BW116" s="417"/>
      <c r="BX116" s="417"/>
      <c r="BY116" s="418"/>
      <c r="BZ116" s="231" t="s">
        <v>522</v>
      </c>
      <c r="CA116" s="232"/>
      <c r="CB116" s="232"/>
      <c r="CC116" s="232"/>
      <c r="CD116" s="232"/>
      <c r="CE116" s="232"/>
      <c r="CF116" s="232"/>
      <c r="CG116" s="232"/>
      <c r="CH116" s="232"/>
      <c r="CI116" s="233"/>
      <c r="CK116" s="209" t="s">
        <v>521</v>
      </c>
      <c r="CL116" s="209"/>
      <c r="CM116" s="209"/>
      <c r="CN116" s="209"/>
      <c r="CO116" s="209"/>
      <c r="CP116" s="209"/>
      <c r="CQ116" s="209"/>
      <c r="CR116" s="209"/>
      <c r="CS116" s="209"/>
      <c r="CT116" s="209"/>
      <c r="CU116" s="209"/>
      <c r="CV116" s="209"/>
      <c r="CW116" s="209"/>
      <c r="CX116" s="209"/>
      <c r="CY116" s="209"/>
      <c r="CZ116" s="209"/>
      <c r="DA116" s="209"/>
      <c r="DB116" s="209"/>
      <c r="DC116" s="209"/>
      <c r="DD116" s="209"/>
      <c r="DE116" s="209"/>
      <c r="DF116" s="209"/>
      <c r="DG116" s="209"/>
      <c r="DH116" s="209"/>
      <c r="DI116" s="209"/>
      <c r="DJ116" s="209"/>
      <c r="DK116" s="209"/>
      <c r="DL116" s="209"/>
      <c r="DM116" s="209"/>
      <c r="DN116" s="209"/>
      <c r="DO116" s="209"/>
      <c r="DP116" s="209"/>
      <c r="DQ116" s="209"/>
      <c r="DR116" s="209"/>
      <c r="DS116" s="209"/>
      <c r="DT116" s="209"/>
      <c r="DU116" s="209"/>
      <c r="DV116" s="209"/>
      <c r="DW116" s="209"/>
      <c r="DX116" s="209"/>
      <c r="DY116" s="209"/>
      <c r="DZ116" s="209"/>
      <c r="EA116" s="209"/>
      <c r="EB116" s="209"/>
      <c r="EC116" s="209"/>
      <c r="ED116" s="209"/>
      <c r="EE116" s="209"/>
      <c r="EF116" s="209"/>
      <c r="EG116" s="209"/>
      <c r="EH116" s="209"/>
    </row>
    <row r="117" spans="3:138" ht="15.75" hidden="1" thickBot="1">
      <c r="C117" s="227"/>
      <c r="D117" s="227"/>
      <c r="E117" s="227"/>
      <c r="F117" s="227"/>
      <c r="G117" s="227"/>
      <c r="H117" s="227"/>
      <c r="I117" s="227"/>
      <c r="J117" s="227"/>
      <c r="K117" s="227"/>
      <c r="L117" s="227"/>
      <c r="M117" s="227"/>
      <c r="N117" s="227"/>
      <c r="O117" s="227"/>
      <c r="P117" s="227"/>
      <c r="Q117" s="227"/>
      <c r="R117" s="384" t="s">
        <v>63</v>
      </c>
      <c r="S117" s="385"/>
      <c r="T117" s="385"/>
      <c r="U117" s="385"/>
      <c r="V117" s="385"/>
      <c r="W117" s="385"/>
      <c r="X117" s="385"/>
      <c r="Y117" s="385"/>
      <c r="Z117" s="385"/>
      <c r="AA117" s="386"/>
      <c r="AB117" s="384" t="s">
        <v>42</v>
      </c>
      <c r="AC117" s="385"/>
      <c r="AD117" s="385"/>
      <c r="AE117" s="385"/>
      <c r="AF117" s="385"/>
      <c r="AG117" s="385"/>
      <c r="AH117" s="385"/>
      <c r="AI117" s="385"/>
      <c r="AJ117" s="385"/>
      <c r="AK117" s="386"/>
      <c r="AL117" s="384" t="s">
        <v>85</v>
      </c>
      <c r="AM117" s="385"/>
      <c r="AN117" s="385"/>
      <c r="AO117" s="385"/>
      <c r="AP117" s="385"/>
      <c r="AQ117" s="385"/>
      <c r="AR117" s="385"/>
      <c r="AS117" s="385"/>
      <c r="AT117" s="385"/>
      <c r="AU117" s="386"/>
      <c r="AV117" s="384" t="s">
        <v>79</v>
      </c>
      <c r="AW117" s="385"/>
      <c r="AX117" s="385"/>
      <c r="AY117" s="385"/>
      <c r="AZ117" s="385"/>
      <c r="BA117" s="385"/>
      <c r="BB117" s="385"/>
      <c r="BC117" s="385"/>
      <c r="BD117" s="385"/>
      <c r="BE117" s="386"/>
      <c r="BF117" s="384" t="s">
        <v>30</v>
      </c>
      <c r="BG117" s="385"/>
      <c r="BH117" s="385"/>
      <c r="BI117" s="385"/>
      <c r="BJ117" s="385"/>
      <c r="BK117" s="385"/>
      <c r="BL117" s="385"/>
      <c r="BM117" s="385"/>
      <c r="BN117" s="385"/>
      <c r="BO117" s="386"/>
      <c r="BP117" s="384" t="s">
        <v>73</v>
      </c>
      <c r="BQ117" s="385"/>
      <c r="BR117" s="385"/>
      <c r="BS117" s="385"/>
      <c r="BT117" s="385"/>
      <c r="BU117" s="385"/>
      <c r="BV117" s="385"/>
      <c r="BW117" s="385"/>
      <c r="BX117" s="385"/>
      <c r="BY117" s="386"/>
      <c r="BZ117" s="389" t="s">
        <v>503</v>
      </c>
      <c r="CA117" s="390"/>
      <c r="CB117" s="390"/>
      <c r="CC117" s="390"/>
      <c r="CD117" s="390"/>
      <c r="CE117" s="390"/>
      <c r="CF117" s="390"/>
      <c r="CG117" s="390"/>
      <c r="CH117" s="390"/>
      <c r="CI117" s="391"/>
      <c r="CK117" s="387" t="s">
        <v>512</v>
      </c>
      <c r="CL117" s="387"/>
      <c r="CM117" s="387"/>
      <c r="CN117" s="387"/>
      <c r="CO117" s="387"/>
      <c r="CP117" s="387"/>
      <c r="CQ117" s="387"/>
      <c r="CR117" s="387"/>
      <c r="CS117" s="387"/>
      <c r="CT117" s="387"/>
      <c r="CU117" s="387" t="s">
        <v>511</v>
      </c>
      <c r="CV117" s="387"/>
      <c r="CW117" s="387"/>
      <c r="CX117" s="387"/>
      <c r="CY117" s="387"/>
      <c r="CZ117" s="387"/>
      <c r="DA117" s="387"/>
      <c r="DB117" s="387"/>
      <c r="DC117" s="387"/>
      <c r="DD117" s="387"/>
      <c r="DE117" s="387" t="s">
        <v>520</v>
      </c>
      <c r="DF117" s="387"/>
      <c r="DG117" s="387"/>
      <c r="DH117" s="387"/>
      <c r="DI117" s="387"/>
      <c r="DJ117" s="387"/>
      <c r="DK117" s="387"/>
      <c r="DL117" s="387"/>
      <c r="DM117" s="387"/>
      <c r="DN117" s="387"/>
      <c r="DO117" s="387" t="s">
        <v>485</v>
      </c>
      <c r="DP117" s="387"/>
      <c r="DQ117" s="387"/>
      <c r="DR117" s="387"/>
      <c r="DS117" s="387"/>
      <c r="DT117" s="387"/>
      <c r="DU117" s="387"/>
      <c r="DV117" s="387"/>
      <c r="DW117" s="387"/>
      <c r="DX117" s="387"/>
      <c r="DY117" s="387" t="s">
        <v>115</v>
      </c>
      <c r="DZ117" s="387"/>
      <c r="EA117" s="387"/>
      <c r="EB117" s="387"/>
      <c r="EC117" s="387"/>
      <c r="ED117" s="387"/>
      <c r="EE117" s="387"/>
      <c r="EF117" s="387"/>
      <c r="EG117" s="387"/>
      <c r="EH117" s="387"/>
    </row>
    <row r="118" spans="3:138" ht="15.75" hidden="1" thickTop="1">
      <c r="C118" s="299" t="s">
        <v>26</v>
      </c>
      <c r="D118" s="300"/>
      <c r="E118" s="300"/>
      <c r="F118" s="300"/>
      <c r="G118" s="300"/>
      <c r="H118" s="300"/>
      <c r="I118" s="300"/>
      <c r="J118" s="300"/>
      <c r="K118" s="300"/>
      <c r="L118" s="300"/>
      <c r="M118" s="300"/>
      <c r="N118" s="300"/>
      <c r="O118" s="300"/>
      <c r="P118" s="300"/>
      <c r="Q118" s="301"/>
      <c r="R118" s="234">
        <f>$CJ$148</f>
        <v>0</v>
      </c>
      <c r="S118" s="235"/>
      <c r="T118" s="235"/>
      <c r="U118" s="235"/>
      <c r="V118" s="235"/>
      <c r="W118" s="235"/>
      <c r="X118" s="235"/>
      <c r="Y118" s="235"/>
      <c r="Z118" s="235"/>
      <c r="AA118" s="236"/>
      <c r="AB118" s="234">
        <f>$CJ$308</f>
        <v>0</v>
      </c>
      <c r="AC118" s="235"/>
      <c r="AD118" s="235"/>
      <c r="AE118" s="235"/>
      <c r="AF118" s="235"/>
      <c r="AG118" s="235"/>
      <c r="AH118" s="235"/>
      <c r="AI118" s="235"/>
      <c r="AJ118" s="235"/>
      <c r="AK118" s="236"/>
      <c r="AL118" s="304">
        <f>$CJ$458</f>
        <v>0</v>
      </c>
      <c r="AM118" s="305"/>
      <c r="AN118" s="305"/>
      <c r="AO118" s="305"/>
      <c r="AP118" s="305"/>
      <c r="AQ118" s="305"/>
      <c r="AR118" s="305"/>
      <c r="AS118" s="305"/>
      <c r="AT118" s="305"/>
      <c r="AU118" s="306"/>
      <c r="AV118" s="267">
        <f>$CJ$608</f>
        <v>0</v>
      </c>
      <c r="AW118" s="229"/>
      <c r="AX118" s="229"/>
      <c r="AY118" s="229"/>
      <c r="AZ118" s="229"/>
      <c r="BA118" s="229"/>
      <c r="BB118" s="229"/>
      <c r="BC118" s="229"/>
      <c r="BD118" s="229"/>
      <c r="BE118" s="289"/>
      <c r="BF118" s="267">
        <f>$CJ$758</f>
        <v>0</v>
      </c>
      <c r="BG118" s="229"/>
      <c r="BH118" s="229"/>
      <c r="BI118" s="229"/>
      <c r="BJ118" s="229"/>
      <c r="BK118" s="229"/>
      <c r="BL118" s="229"/>
      <c r="BM118" s="229"/>
      <c r="BN118" s="229"/>
      <c r="BO118" s="289"/>
      <c r="BP118" s="267">
        <f>$CJ$908</f>
        <v>0</v>
      </c>
      <c r="BQ118" s="229"/>
      <c r="BR118" s="229"/>
      <c r="BS118" s="229"/>
      <c r="BT118" s="229"/>
      <c r="BU118" s="229"/>
      <c r="BV118" s="229"/>
      <c r="BW118" s="229"/>
      <c r="BX118" s="229"/>
      <c r="BY118" s="289"/>
      <c r="BZ118" s="413">
        <f t="shared" ref="BZ118:BZ134" si="9">SUM(R118:BY118)</f>
        <v>0</v>
      </c>
      <c r="CA118" s="414"/>
      <c r="CB118" s="414"/>
      <c r="CC118" s="414"/>
      <c r="CD118" s="414"/>
      <c r="CE118" s="414"/>
      <c r="CF118" s="414"/>
      <c r="CG118" s="414"/>
      <c r="CH118" s="414"/>
      <c r="CI118" s="415"/>
      <c r="CK118" s="307">
        <f>COUNTIFS('Form Details'!$J:$J,$C118,'Form Details'!$D:$D,"&lt;"&amp;'Adv. Filter'!$A$15)</f>
        <v>0</v>
      </c>
      <c r="CL118" s="305"/>
      <c r="CM118" s="305"/>
      <c r="CN118" s="305"/>
      <c r="CO118" s="305"/>
      <c r="CP118" s="305"/>
      <c r="CQ118" s="305"/>
      <c r="CR118" s="305"/>
      <c r="CS118" s="305"/>
      <c r="CT118" s="306"/>
      <c r="CU118" s="307">
        <f>COUNTIFS('Form Details'!$J:$J,$C118,'Form Details'!$D:$D,"&lt;"&amp;'Adv. Filter'!$A$15,'Form Details'!$AA:$AA,"Yes")</f>
        <v>0</v>
      </c>
      <c r="CV118" s="305"/>
      <c r="CW118" s="305"/>
      <c r="CX118" s="305"/>
      <c r="CY118" s="305"/>
      <c r="CZ118" s="305"/>
      <c r="DA118" s="305"/>
      <c r="DB118" s="305"/>
      <c r="DC118" s="305"/>
      <c r="DD118" s="306"/>
      <c r="DE118" s="307">
        <f>COUNTIFS('Form Details'!$J:$J,$C118,'Form Details'!$D:$D,"&lt;"&amp;'Adv. Filter'!$A$15,'Form Details'!$AA:$AA,"Yes",'Form Details'!$S:$S,'Adv. Filter'!$A$14,'Form Details'!$S:$S,'Adv. Filter'!$B$14)</f>
        <v>0</v>
      </c>
      <c r="DF118" s="305"/>
      <c r="DG118" s="305"/>
      <c r="DH118" s="305"/>
      <c r="DI118" s="305"/>
      <c r="DJ118" s="305"/>
      <c r="DK118" s="305"/>
      <c r="DL118" s="305"/>
      <c r="DM118" s="305"/>
      <c r="DN118" s="306"/>
      <c r="DO118" s="307">
        <f>COUNTIFS('Form Details'!$D:$D,"&lt;"&amp;'Adv. Filter'!$A$15,'Form Details'!$J:$J,$C118,'Form Details'!$W:$W,"Due")</f>
        <v>0</v>
      </c>
      <c r="DP118" s="305"/>
      <c r="DQ118" s="305"/>
      <c r="DR118" s="305"/>
      <c r="DS118" s="305"/>
      <c r="DT118" s="305"/>
      <c r="DU118" s="305"/>
      <c r="DV118" s="305"/>
      <c r="DW118" s="305"/>
      <c r="DX118" s="306"/>
      <c r="DY118" s="307">
        <f>COUNTIFS('Form Details'!$I:$I,"Project",'Form Details'!$J:$J,$C118,'Form Details'!$D:$D,"&lt;"&amp;'Adv. Filter'!$A$15)</f>
        <v>0</v>
      </c>
      <c r="DZ118" s="305"/>
      <c r="EA118" s="305"/>
      <c r="EB118" s="305"/>
      <c r="EC118" s="305"/>
      <c r="ED118" s="305"/>
      <c r="EE118" s="305"/>
      <c r="EF118" s="305"/>
      <c r="EG118" s="305"/>
      <c r="EH118" s="306"/>
    </row>
    <row r="119" spans="3:138" ht="15.75" hidden="1" thickTop="1">
      <c r="C119" s="293" t="s">
        <v>38</v>
      </c>
      <c r="D119" s="294"/>
      <c r="E119" s="294"/>
      <c r="F119" s="294"/>
      <c r="G119" s="294"/>
      <c r="H119" s="294"/>
      <c r="I119" s="294"/>
      <c r="J119" s="294"/>
      <c r="K119" s="294"/>
      <c r="L119" s="294"/>
      <c r="M119" s="294"/>
      <c r="N119" s="294"/>
      <c r="O119" s="294"/>
      <c r="P119" s="294"/>
      <c r="Q119" s="295"/>
      <c r="R119" s="237">
        <f>$CJ$152</f>
        <v>0</v>
      </c>
      <c r="S119" s="238"/>
      <c r="T119" s="238"/>
      <c r="U119" s="238"/>
      <c r="V119" s="238"/>
      <c r="W119" s="238"/>
      <c r="X119" s="238"/>
      <c r="Y119" s="238"/>
      <c r="Z119" s="238"/>
      <c r="AA119" s="239"/>
      <c r="AB119" s="237">
        <f>$CJ$312</f>
        <v>0</v>
      </c>
      <c r="AC119" s="238"/>
      <c r="AD119" s="238"/>
      <c r="AE119" s="238"/>
      <c r="AF119" s="238"/>
      <c r="AG119" s="238"/>
      <c r="AH119" s="238"/>
      <c r="AI119" s="238"/>
      <c r="AJ119" s="238"/>
      <c r="AK119" s="239"/>
      <c r="AL119" s="267">
        <f>$CJ$462</f>
        <v>0</v>
      </c>
      <c r="AM119" s="229"/>
      <c r="AN119" s="229"/>
      <c r="AO119" s="229"/>
      <c r="AP119" s="229"/>
      <c r="AQ119" s="229"/>
      <c r="AR119" s="229"/>
      <c r="AS119" s="229"/>
      <c r="AT119" s="229"/>
      <c r="AU119" s="289"/>
      <c r="AV119" s="267">
        <f>$CJ$612</f>
        <v>0</v>
      </c>
      <c r="AW119" s="229"/>
      <c r="AX119" s="229"/>
      <c r="AY119" s="229"/>
      <c r="AZ119" s="229"/>
      <c r="BA119" s="229"/>
      <c r="BB119" s="229"/>
      <c r="BC119" s="229"/>
      <c r="BD119" s="229"/>
      <c r="BE119" s="289"/>
      <c r="BF119" s="267">
        <f>$CJ$762</f>
        <v>0</v>
      </c>
      <c r="BG119" s="229"/>
      <c r="BH119" s="229"/>
      <c r="BI119" s="229"/>
      <c r="BJ119" s="229"/>
      <c r="BK119" s="229"/>
      <c r="BL119" s="229"/>
      <c r="BM119" s="229"/>
      <c r="BN119" s="229"/>
      <c r="BO119" s="289"/>
      <c r="BP119" s="267">
        <f>$CJ$912</f>
        <v>0</v>
      </c>
      <c r="BQ119" s="229"/>
      <c r="BR119" s="229"/>
      <c r="BS119" s="229"/>
      <c r="BT119" s="229"/>
      <c r="BU119" s="229"/>
      <c r="BV119" s="229"/>
      <c r="BW119" s="229"/>
      <c r="BX119" s="229"/>
      <c r="BY119" s="289"/>
      <c r="BZ119" s="429">
        <f t="shared" si="9"/>
        <v>0</v>
      </c>
      <c r="CA119" s="430"/>
      <c r="CB119" s="430"/>
      <c r="CC119" s="430"/>
      <c r="CD119" s="430"/>
      <c r="CE119" s="430"/>
      <c r="CF119" s="430"/>
      <c r="CG119" s="430"/>
      <c r="CH119" s="430"/>
      <c r="CI119" s="431"/>
      <c r="CK119" s="288">
        <f>COUNTIFS('Form Details'!$J:$J,$C119,'Form Details'!$D:$D,"&lt;"&amp;'Adv. Filter'!$A$15)</f>
        <v>0</v>
      </c>
      <c r="CL119" s="229"/>
      <c r="CM119" s="229"/>
      <c r="CN119" s="229"/>
      <c r="CO119" s="229"/>
      <c r="CP119" s="229"/>
      <c r="CQ119" s="229"/>
      <c r="CR119" s="229"/>
      <c r="CS119" s="229"/>
      <c r="CT119" s="289"/>
      <c r="CU119" s="288">
        <f>COUNTIFS('Form Details'!$J:$J,$C119,'Form Details'!$D:$D,"&lt;"&amp;'Adv. Filter'!$A$15,'Form Details'!$AA:$AA,"Yes")</f>
        <v>0</v>
      </c>
      <c r="CV119" s="229"/>
      <c r="CW119" s="229"/>
      <c r="CX119" s="229"/>
      <c r="CY119" s="229"/>
      <c r="CZ119" s="229"/>
      <c r="DA119" s="229"/>
      <c r="DB119" s="229"/>
      <c r="DC119" s="229"/>
      <c r="DD119" s="289"/>
      <c r="DE119" s="288">
        <f>COUNTIFS('Form Details'!$J:$J,$C119,'Form Details'!$D:$D,"&lt;"&amp;'Adv. Filter'!$A$15,'Form Details'!$AA:$AA,"Yes",'Form Details'!$S:$S,'Adv. Filter'!$A$14,'Form Details'!$S:$S,'Adv. Filter'!$B$14)</f>
        <v>0</v>
      </c>
      <c r="DF119" s="229"/>
      <c r="DG119" s="229"/>
      <c r="DH119" s="229"/>
      <c r="DI119" s="229"/>
      <c r="DJ119" s="229"/>
      <c r="DK119" s="229"/>
      <c r="DL119" s="229"/>
      <c r="DM119" s="229"/>
      <c r="DN119" s="289"/>
      <c r="DO119" s="288">
        <f>COUNTIFS('Form Details'!$D:$D,"&lt;"&amp;'Adv. Filter'!$A$15,'Form Details'!$J:$J,$C119,'Form Details'!$W:$W,"Due")</f>
        <v>0</v>
      </c>
      <c r="DP119" s="229"/>
      <c r="DQ119" s="229"/>
      <c r="DR119" s="229"/>
      <c r="DS119" s="229"/>
      <c r="DT119" s="229"/>
      <c r="DU119" s="229"/>
      <c r="DV119" s="229"/>
      <c r="DW119" s="229"/>
      <c r="DX119" s="289"/>
      <c r="DY119" s="288">
        <f>COUNTIFS('Form Details'!$I:$I,"Project",'Form Details'!$J:$J,$C119,'Form Details'!$D:$D,"&lt;"&amp;'Adv. Filter'!$A$15)</f>
        <v>0</v>
      </c>
      <c r="DZ119" s="229"/>
      <c r="EA119" s="229"/>
      <c r="EB119" s="229"/>
      <c r="EC119" s="229"/>
      <c r="ED119" s="229"/>
      <c r="EE119" s="229"/>
      <c r="EF119" s="229"/>
      <c r="EG119" s="229"/>
      <c r="EH119" s="289"/>
    </row>
    <row r="120" spans="3:138" ht="15.75" hidden="1" thickTop="1">
      <c r="C120" s="293" t="s">
        <v>49</v>
      </c>
      <c r="D120" s="294"/>
      <c r="E120" s="294"/>
      <c r="F120" s="294"/>
      <c r="G120" s="294"/>
      <c r="H120" s="294"/>
      <c r="I120" s="294"/>
      <c r="J120" s="294"/>
      <c r="K120" s="294"/>
      <c r="L120" s="294"/>
      <c r="M120" s="294"/>
      <c r="N120" s="294"/>
      <c r="O120" s="294"/>
      <c r="P120" s="294"/>
      <c r="Q120" s="295"/>
      <c r="R120" s="237">
        <f>$CJ$156</f>
        <v>0</v>
      </c>
      <c r="S120" s="238"/>
      <c r="T120" s="238"/>
      <c r="U120" s="238"/>
      <c r="V120" s="238"/>
      <c r="W120" s="238"/>
      <c r="X120" s="238"/>
      <c r="Y120" s="238"/>
      <c r="Z120" s="238"/>
      <c r="AA120" s="239"/>
      <c r="AB120" s="237">
        <f>$CJ$316</f>
        <v>0</v>
      </c>
      <c r="AC120" s="238"/>
      <c r="AD120" s="238"/>
      <c r="AE120" s="238"/>
      <c r="AF120" s="238"/>
      <c r="AG120" s="238"/>
      <c r="AH120" s="238"/>
      <c r="AI120" s="238"/>
      <c r="AJ120" s="238"/>
      <c r="AK120" s="239"/>
      <c r="AL120" s="267">
        <f>$CJ$466</f>
        <v>0</v>
      </c>
      <c r="AM120" s="229"/>
      <c r="AN120" s="229"/>
      <c r="AO120" s="229"/>
      <c r="AP120" s="229"/>
      <c r="AQ120" s="229"/>
      <c r="AR120" s="229"/>
      <c r="AS120" s="229"/>
      <c r="AT120" s="229"/>
      <c r="AU120" s="289"/>
      <c r="AV120" s="267">
        <f>$CJ$616</f>
        <v>18000</v>
      </c>
      <c r="AW120" s="229"/>
      <c r="AX120" s="229"/>
      <c r="AY120" s="229"/>
      <c r="AZ120" s="229"/>
      <c r="BA120" s="229"/>
      <c r="BB120" s="229"/>
      <c r="BC120" s="229"/>
      <c r="BD120" s="229"/>
      <c r="BE120" s="289"/>
      <c r="BF120" s="267">
        <f>$CJ$766</f>
        <v>0</v>
      </c>
      <c r="BG120" s="229"/>
      <c r="BH120" s="229"/>
      <c r="BI120" s="229"/>
      <c r="BJ120" s="229"/>
      <c r="BK120" s="229"/>
      <c r="BL120" s="229"/>
      <c r="BM120" s="229"/>
      <c r="BN120" s="229"/>
      <c r="BO120" s="289"/>
      <c r="BP120" s="267">
        <f>$CJ$916</f>
        <v>0</v>
      </c>
      <c r="BQ120" s="229"/>
      <c r="BR120" s="229"/>
      <c r="BS120" s="229"/>
      <c r="BT120" s="229"/>
      <c r="BU120" s="229"/>
      <c r="BV120" s="229"/>
      <c r="BW120" s="229"/>
      <c r="BX120" s="229"/>
      <c r="BY120" s="289"/>
      <c r="BZ120" s="429">
        <f t="shared" si="9"/>
        <v>18000</v>
      </c>
      <c r="CA120" s="430"/>
      <c r="CB120" s="430"/>
      <c r="CC120" s="430"/>
      <c r="CD120" s="430"/>
      <c r="CE120" s="430"/>
      <c r="CF120" s="430"/>
      <c r="CG120" s="430"/>
      <c r="CH120" s="430"/>
      <c r="CI120" s="431"/>
      <c r="CK120" s="288">
        <f>COUNTIFS('Form Details'!$J:$J,$C120,'Form Details'!$D:$D,"&lt;"&amp;'Adv. Filter'!$A$15)</f>
        <v>3</v>
      </c>
      <c r="CL120" s="229"/>
      <c r="CM120" s="229"/>
      <c r="CN120" s="229"/>
      <c r="CO120" s="229"/>
      <c r="CP120" s="229"/>
      <c r="CQ120" s="229"/>
      <c r="CR120" s="229"/>
      <c r="CS120" s="229"/>
      <c r="CT120" s="289"/>
      <c r="CU120" s="288">
        <f>COUNTIFS('Form Details'!$J:$J,$C120,'Form Details'!$D:$D,"&lt;"&amp;'Adv. Filter'!$A$15,'Form Details'!$AA:$AA,"Yes")</f>
        <v>3</v>
      </c>
      <c r="CV120" s="229"/>
      <c r="CW120" s="229"/>
      <c r="CX120" s="229"/>
      <c r="CY120" s="229"/>
      <c r="CZ120" s="229"/>
      <c r="DA120" s="229"/>
      <c r="DB120" s="229"/>
      <c r="DC120" s="229"/>
      <c r="DD120" s="289"/>
      <c r="DE120" s="288">
        <f>COUNTIFS('Form Details'!$J:$J,$C120,'Form Details'!$D:$D,"&lt;"&amp;'Adv. Filter'!$A$15,'Form Details'!$AA:$AA,"Yes",'Form Details'!$S:$S,'Adv. Filter'!$A$14,'Form Details'!$S:$S,'Adv. Filter'!$B$14)</f>
        <v>3</v>
      </c>
      <c r="DF120" s="229"/>
      <c r="DG120" s="229"/>
      <c r="DH120" s="229"/>
      <c r="DI120" s="229"/>
      <c r="DJ120" s="229"/>
      <c r="DK120" s="229"/>
      <c r="DL120" s="229"/>
      <c r="DM120" s="229"/>
      <c r="DN120" s="289"/>
      <c r="DO120" s="288">
        <f>COUNTIFS('Form Details'!$D:$D,"&lt;"&amp;'Adv. Filter'!$A$15,'Form Details'!$J:$J,$C120,'Form Details'!$W:$W,"Due")</f>
        <v>0</v>
      </c>
      <c r="DP120" s="229"/>
      <c r="DQ120" s="229"/>
      <c r="DR120" s="229"/>
      <c r="DS120" s="229"/>
      <c r="DT120" s="229"/>
      <c r="DU120" s="229"/>
      <c r="DV120" s="229"/>
      <c r="DW120" s="229"/>
      <c r="DX120" s="289"/>
      <c r="DY120" s="288">
        <f>COUNTIFS('Form Details'!$I:$I,"Project",'Form Details'!$J:$J,$C120,'Form Details'!$D:$D,"&lt;"&amp;'Adv. Filter'!$A$15)</f>
        <v>1</v>
      </c>
      <c r="DZ120" s="229"/>
      <c r="EA120" s="229"/>
      <c r="EB120" s="229"/>
      <c r="EC120" s="229"/>
      <c r="ED120" s="229"/>
      <c r="EE120" s="229"/>
      <c r="EF120" s="229"/>
      <c r="EG120" s="229"/>
      <c r="EH120" s="289"/>
    </row>
    <row r="121" spans="3:138" hidden="1">
      <c r="C121" s="293" t="s">
        <v>59</v>
      </c>
      <c r="D121" s="294"/>
      <c r="E121" s="294"/>
      <c r="F121" s="294"/>
      <c r="G121" s="294"/>
      <c r="H121" s="294"/>
      <c r="I121" s="294"/>
      <c r="J121" s="294"/>
      <c r="K121" s="294"/>
      <c r="L121" s="294"/>
      <c r="M121" s="294"/>
      <c r="N121" s="294"/>
      <c r="O121" s="294"/>
      <c r="P121" s="294"/>
      <c r="Q121" s="295"/>
      <c r="R121" s="237">
        <f>$CJ$160</f>
        <v>0</v>
      </c>
      <c r="S121" s="238"/>
      <c r="T121" s="238"/>
      <c r="U121" s="238"/>
      <c r="V121" s="238"/>
      <c r="W121" s="238"/>
      <c r="X121" s="238"/>
      <c r="Y121" s="238"/>
      <c r="Z121" s="238"/>
      <c r="AA121" s="239"/>
      <c r="AB121" s="237">
        <f>$CJ$320</f>
        <v>0</v>
      </c>
      <c r="AC121" s="238"/>
      <c r="AD121" s="238"/>
      <c r="AE121" s="238"/>
      <c r="AF121" s="238"/>
      <c r="AG121" s="238"/>
      <c r="AH121" s="238"/>
      <c r="AI121" s="238"/>
      <c r="AJ121" s="238"/>
      <c r="AK121" s="239"/>
      <c r="AL121" s="267">
        <f>$CJ$470</f>
        <v>0</v>
      </c>
      <c r="AM121" s="229"/>
      <c r="AN121" s="229"/>
      <c r="AO121" s="229"/>
      <c r="AP121" s="229"/>
      <c r="AQ121" s="229"/>
      <c r="AR121" s="229"/>
      <c r="AS121" s="229"/>
      <c r="AT121" s="229"/>
      <c r="AU121" s="289"/>
      <c r="AV121" s="267">
        <f>$CJ$620</f>
        <v>0</v>
      </c>
      <c r="AW121" s="229"/>
      <c r="AX121" s="229"/>
      <c r="AY121" s="229"/>
      <c r="AZ121" s="229"/>
      <c r="BA121" s="229"/>
      <c r="BB121" s="229"/>
      <c r="BC121" s="229"/>
      <c r="BD121" s="229"/>
      <c r="BE121" s="289"/>
      <c r="BF121" s="267">
        <f>$CJ$770</f>
        <v>0</v>
      </c>
      <c r="BG121" s="229"/>
      <c r="BH121" s="229"/>
      <c r="BI121" s="229"/>
      <c r="BJ121" s="229"/>
      <c r="BK121" s="229"/>
      <c r="BL121" s="229"/>
      <c r="BM121" s="229"/>
      <c r="BN121" s="229"/>
      <c r="BO121" s="289"/>
      <c r="BP121" s="267">
        <f>$CJ$920</f>
        <v>0</v>
      </c>
      <c r="BQ121" s="229"/>
      <c r="BR121" s="229"/>
      <c r="BS121" s="229"/>
      <c r="BT121" s="229"/>
      <c r="BU121" s="229"/>
      <c r="BV121" s="229"/>
      <c r="BW121" s="229"/>
      <c r="BX121" s="229"/>
      <c r="BY121" s="289"/>
      <c r="BZ121" s="429">
        <f t="shared" si="9"/>
        <v>0</v>
      </c>
      <c r="CA121" s="430"/>
      <c r="CB121" s="430"/>
      <c r="CC121" s="430"/>
      <c r="CD121" s="430"/>
      <c r="CE121" s="430"/>
      <c r="CF121" s="430"/>
      <c r="CG121" s="430"/>
      <c r="CH121" s="430"/>
      <c r="CI121" s="431"/>
      <c r="CK121" s="288">
        <f>COUNTIFS('Form Details'!$J:$J,$C121,'Form Details'!$D:$D,"&lt;"&amp;'Adv. Filter'!$A$15)</f>
        <v>0</v>
      </c>
      <c r="CL121" s="229"/>
      <c r="CM121" s="229"/>
      <c r="CN121" s="229"/>
      <c r="CO121" s="229"/>
      <c r="CP121" s="229"/>
      <c r="CQ121" s="229"/>
      <c r="CR121" s="229"/>
      <c r="CS121" s="229"/>
      <c r="CT121" s="289"/>
      <c r="CU121" s="288">
        <f>COUNTIFS('Form Details'!$J:$J,$C121,'Form Details'!$D:$D,"&lt;"&amp;'Adv. Filter'!$A$15,'Form Details'!$AA:$AA,"Yes")</f>
        <v>0</v>
      </c>
      <c r="CV121" s="229"/>
      <c r="CW121" s="229"/>
      <c r="CX121" s="229"/>
      <c r="CY121" s="229"/>
      <c r="CZ121" s="229"/>
      <c r="DA121" s="229"/>
      <c r="DB121" s="229"/>
      <c r="DC121" s="229"/>
      <c r="DD121" s="289"/>
      <c r="DE121" s="288">
        <f>COUNTIFS('Form Details'!$J:$J,$C121,'Form Details'!$D:$D,"&lt;"&amp;'Adv. Filter'!$A$15,'Form Details'!$AA:$AA,"Yes",'Form Details'!$S:$S,'Adv. Filter'!$A$14,'Form Details'!$S:$S,'Adv. Filter'!$B$14)</f>
        <v>0</v>
      </c>
      <c r="DF121" s="229"/>
      <c r="DG121" s="229"/>
      <c r="DH121" s="229"/>
      <c r="DI121" s="229"/>
      <c r="DJ121" s="229"/>
      <c r="DK121" s="229"/>
      <c r="DL121" s="229"/>
      <c r="DM121" s="229"/>
      <c r="DN121" s="289"/>
      <c r="DO121" s="288">
        <f>COUNTIFS('Form Details'!$D:$D,"&lt;"&amp;'Adv. Filter'!$A$15,'Form Details'!$J:$J,$C121,'Form Details'!$W:$W,"Due")</f>
        <v>0</v>
      </c>
      <c r="DP121" s="229"/>
      <c r="DQ121" s="229"/>
      <c r="DR121" s="229"/>
      <c r="DS121" s="229"/>
      <c r="DT121" s="229"/>
      <c r="DU121" s="229"/>
      <c r="DV121" s="229"/>
      <c r="DW121" s="229"/>
      <c r="DX121" s="289"/>
      <c r="DY121" s="288">
        <f>COUNTIFS('Form Details'!$I:$I,"Project",'Form Details'!$J:$J,$C121,'Form Details'!$D:$D,"&lt;"&amp;'Adv. Filter'!$A$15)</f>
        <v>0</v>
      </c>
      <c r="DZ121" s="229"/>
      <c r="EA121" s="229"/>
      <c r="EB121" s="229"/>
      <c r="EC121" s="229"/>
      <c r="ED121" s="229"/>
      <c r="EE121" s="229"/>
      <c r="EF121" s="229"/>
      <c r="EG121" s="229"/>
      <c r="EH121" s="289"/>
    </row>
    <row r="122" spans="3:138" hidden="1">
      <c r="C122" s="293" t="s">
        <v>70</v>
      </c>
      <c r="D122" s="294"/>
      <c r="E122" s="294"/>
      <c r="F122" s="294"/>
      <c r="G122" s="294"/>
      <c r="H122" s="294"/>
      <c r="I122" s="294"/>
      <c r="J122" s="294"/>
      <c r="K122" s="294"/>
      <c r="L122" s="294"/>
      <c r="M122" s="294"/>
      <c r="N122" s="294"/>
      <c r="O122" s="294"/>
      <c r="P122" s="294"/>
      <c r="Q122" s="295"/>
      <c r="R122" s="237">
        <f>$CJ$164</f>
        <v>0</v>
      </c>
      <c r="S122" s="238"/>
      <c r="T122" s="238"/>
      <c r="U122" s="238"/>
      <c r="V122" s="238"/>
      <c r="W122" s="238"/>
      <c r="X122" s="238"/>
      <c r="Y122" s="238"/>
      <c r="Z122" s="238"/>
      <c r="AA122" s="239"/>
      <c r="AB122" s="237">
        <f>$CJ$324</f>
        <v>0</v>
      </c>
      <c r="AC122" s="238"/>
      <c r="AD122" s="238"/>
      <c r="AE122" s="238"/>
      <c r="AF122" s="238"/>
      <c r="AG122" s="238"/>
      <c r="AH122" s="238"/>
      <c r="AI122" s="238"/>
      <c r="AJ122" s="238"/>
      <c r="AK122" s="239"/>
      <c r="AL122" s="267">
        <f>$CJ$474</f>
        <v>0</v>
      </c>
      <c r="AM122" s="229"/>
      <c r="AN122" s="229"/>
      <c r="AO122" s="229"/>
      <c r="AP122" s="229"/>
      <c r="AQ122" s="229"/>
      <c r="AR122" s="229"/>
      <c r="AS122" s="229"/>
      <c r="AT122" s="229"/>
      <c r="AU122" s="289"/>
      <c r="AV122" s="267">
        <f>$CJ$624</f>
        <v>0</v>
      </c>
      <c r="AW122" s="229"/>
      <c r="AX122" s="229"/>
      <c r="AY122" s="229"/>
      <c r="AZ122" s="229"/>
      <c r="BA122" s="229"/>
      <c r="BB122" s="229"/>
      <c r="BC122" s="229"/>
      <c r="BD122" s="229"/>
      <c r="BE122" s="289"/>
      <c r="BF122" s="267">
        <f>$CJ$774</f>
        <v>0</v>
      </c>
      <c r="BG122" s="229"/>
      <c r="BH122" s="229"/>
      <c r="BI122" s="229"/>
      <c r="BJ122" s="229"/>
      <c r="BK122" s="229"/>
      <c r="BL122" s="229"/>
      <c r="BM122" s="229"/>
      <c r="BN122" s="229"/>
      <c r="BO122" s="289"/>
      <c r="BP122" s="267">
        <f>$CJ$924</f>
        <v>0</v>
      </c>
      <c r="BQ122" s="229"/>
      <c r="BR122" s="229"/>
      <c r="BS122" s="229"/>
      <c r="BT122" s="229"/>
      <c r="BU122" s="229"/>
      <c r="BV122" s="229"/>
      <c r="BW122" s="229"/>
      <c r="BX122" s="229"/>
      <c r="BY122" s="289"/>
      <c r="BZ122" s="429">
        <f t="shared" si="9"/>
        <v>0</v>
      </c>
      <c r="CA122" s="430"/>
      <c r="CB122" s="430"/>
      <c r="CC122" s="430"/>
      <c r="CD122" s="430"/>
      <c r="CE122" s="430"/>
      <c r="CF122" s="430"/>
      <c r="CG122" s="430"/>
      <c r="CH122" s="430"/>
      <c r="CI122" s="431"/>
      <c r="CK122" s="288">
        <f>COUNTIFS('Form Details'!$J:$J,$C122,'Form Details'!$D:$D,"&lt;"&amp;'Adv. Filter'!$A$15)</f>
        <v>4</v>
      </c>
      <c r="CL122" s="229"/>
      <c r="CM122" s="229"/>
      <c r="CN122" s="229"/>
      <c r="CO122" s="229"/>
      <c r="CP122" s="229"/>
      <c r="CQ122" s="229"/>
      <c r="CR122" s="229"/>
      <c r="CS122" s="229"/>
      <c r="CT122" s="289"/>
      <c r="CU122" s="288">
        <f>COUNTIFS('Form Details'!$J:$J,$C122,'Form Details'!$D:$D,"&lt;"&amp;'Adv. Filter'!$A$15,'Form Details'!$AA:$AA,"Yes")</f>
        <v>4</v>
      </c>
      <c r="CV122" s="229"/>
      <c r="CW122" s="229"/>
      <c r="CX122" s="229"/>
      <c r="CY122" s="229"/>
      <c r="CZ122" s="229"/>
      <c r="DA122" s="229"/>
      <c r="DB122" s="229"/>
      <c r="DC122" s="229"/>
      <c r="DD122" s="289"/>
      <c r="DE122" s="288">
        <f>COUNTIFS('Form Details'!$J:$J,$C122,'Form Details'!$D:$D,"&lt;"&amp;'Adv. Filter'!$A$15,'Form Details'!$AA:$AA,"Yes",'Form Details'!$S:$S,'Adv. Filter'!$A$14,'Form Details'!$S:$S,'Adv. Filter'!$B$14)</f>
        <v>0</v>
      </c>
      <c r="DF122" s="229"/>
      <c r="DG122" s="229"/>
      <c r="DH122" s="229"/>
      <c r="DI122" s="229"/>
      <c r="DJ122" s="229"/>
      <c r="DK122" s="229"/>
      <c r="DL122" s="229"/>
      <c r="DM122" s="229"/>
      <c r="DN122" s="289"/>
      <c r="DO122" s="288">
        <f>COUNTIFS('Form Details'!$D:$D,"&lt;"&amp;'Adv. Filter'!$A$15,'Form Details'!$J:$J,$C122,'Form Details'!$W:$W,"Due")</f>
        <v>4</v>
      </c>
      <c r="DP122" s="229"/>
      <c r="DQ122" s="229"/>
      <c r="DR122" s="229"/>
      <c r="DS122" s="229"/>
      <c r="DT122" s="229"/>
      <c r="DU122" s="229"/>
      <c r="DV122" s="229"/>
      <c r="DW122" s="229"/>
      <c r="DX122" s="289"/>
      <c r="DY122" s="288">
        <f>COUNTIFS('Form Details'!$I:$I,"Project",'Form Details'!$J:$J,$C122,'Form Details'!$D:$D,"&lt;"&amp;'Adv. Filter'!$A$15)</f>
        <v>0</v>
      </c>
      <c r="DZ122" s="229"/>
      <c r="EA122" s="229"/>
      <c r="EB122" s="229"/>
      <c r="EC122" s="229"/>
      <c r="ED122" s="229"/>
      <c r="EE122" s="229"/>
      <c r="EF122" s="229"/>
      <c r="EG122" s="229"/>
      <c r="EH122" s="289"/>
    </row>
    <row r="123" spans="3:138" hidden="1">
      <c r="C123" s="293" t="s">
        <v>77</v>
      </c>
      <c r="D123" s="294"/>
      <c r="E123" s="294"/>
      <c r="F123" s="294"/>
      <c r="G123" s="294"/>
      <c r="H123" s="294"/>
      <c r="I123" s="294"/>
      <c r="J123" s="294"/>
      <c r="K123" s="294"/>
      <c r="L123" s="294"/>
      <c r="M123" s="294"/>
      <c r="N123" s="294"/>
      <c r="O123" s="294"/>
      <c r="P123" s="294"/>
      <c r="Q123" s="295"/>
      <c r="R123" s="237">
        <f>$CJ$168</f>
        <v>0</v>
      </c>
      <c r="S123" s="238"/>
      <c r="T123" s="238"/>
      <c r="U123" s="238"/>
      <c r="V123" s="238"/>
      <c r="W123" s="238"/>
      <c r="X123" s="238"/>
      <c r="Y123" s="238"/>
      <c r="Z123" s="238"/>
      <c r="AA123" s="239"/>
      <c r="AB123" s="237">
        <f>$CJ$328</f>
        <v>3000</v>
      </c>
      <c r="AC123" s="238"/>
      <c r="AD123" s="238"/>
      <c r="AE123" s="238"/>
      <c r="AF123" s="238"/>
      <c r="AG123" s="238"/>
      <c r="AH123" s="238"/>
      <c r="AI123" s="238"/>
      <c r="AJ123" s="238"/>
      <c r="AK123" s="239"/>
      <c r="AL123" s="267">
        <f>$CJ$478</f>
        <v>18503</v>
      </c>
      <c r="AM123" s="229"/>
      <c r="AN123" s="229"/>
      <c r="AO123" s="229"/>
      <c r="AP123" s="229"/>
      <c r="AQ123" s="229"/>
      <c r="AR123" s="229"/>
      <c r="AS123" s="229"/>
      <c r="AT123" s="229"/>
      <c r="AU123" s="289"/>
      <c r="AV123" s="267">
        <f>$CJ$628</f>
        <v>0</v>
      </c>
      <c r="AW123" s="229"/>
      <c r="AX123" s="229"/>
      <c r="AY123" s="229"/>
      <c r="AZ123" s="229"/>
      <c r="BA123" s="229"/>
      <c r="BB123" s="229"/>
      <c r="BC123" s="229"/>
      <c r="BD123" s="229"/>
      <c r="BE123" s="289"/>
      <c r="BF123" s="267">
        <f>$CJ$778</f>
        <v>0</v>
      </c>
      <c r="BG123" s="229"/>
      <c r="BH123" s="229"/>
      <c r="BI123" s="229"/>
      <c r="BJ123" s="229"/>
      <c r="BK123" s="229"/>
      <c r="BL123" s="229"/>
      <c r="BM123" s="229"/>
      <c r="BN123" s="229"/>
      <c r="BO123" s="289"/>
      <c r="BP123" s="267">
        <f>$CJ$928</f>
        <v>0</v>
      </c>
      <c r="BQ123" s="229"/>
      <c r="BR123" s="229"/>
      <c r="BS123" s="229"/>
      <c r="BT123" s="229"/>
      <c r="BU123" s="229"/>
      <c r="BV123" s="229"/>
      <c r="BW123" s="229"/>
      <c r="BX123" s="229"/>
      <c r="BY123" s="289"/>
      <c r="BZ123" s="429">
        <f t="shared" si="9"/>
        <v>21503</v>
      </c>
      <c r="CA123" s="430"/>
      <c r="CB123" s="430"/>
      <c r="CC123" s="430"/>
      <c r="CD123" s="430"/>
      <c r="CE123" s="430"/>
      <c r="CF123" s="430"/>
      <c r="CG123" s="430"/>
      <c r="CH123" s="430"/>
      <c r="CI123" s="431"/>
      <c r="CK123" s="288">
        <f>COUNTIFS('Form Details'!$J:$J,$C123,'Form Details'!$D:$D,"&lt;"&amp;'Adv. Filter'!$A$15)</f>
        <v>30</v>
      </c>
      <c r="CL123" s="229"/>
      <c r="CM123" s="229"/>
      <c r="CN123" s="229"/>
      <c r="CO123" s="229"/>
      <c r="CP123" s="229"/>
      <c r="CQ123" s="229"/>
      <c r="CR123" s="229"/>
      <c r="CS123" s="229"/>
      <c r="CT123" s="289"/>
      <c r="CU123" s="288">
        <f>COUNTIFS('Form Details'!$J:$J,$C123,'Form Details'!$D:$D,"&lt;"&amp;'Adv. Filter'!$A$15,'Form Details'!$AA:$AA,"Yes")</f>
        <v>29</v>
      </c>
      <c r="CV123" s="229"/>
      <c r="CW123" s="229"/>
      <c r="CX123" s="229"/>
      <c r="CY123" s="229"/>
      <c r="CZ123" s="229"/>
      <c r="DA123" s="229"/>
      <c r="DB123" s="229"/>
      <c r="DC123" s="229"/>
      <c r="DD123" s="289"/>
      <c r="DE123" s="288">
        <f>COUNTIFS('Form Details'!$J:$J,$C123,'Form Details'!$D:$D,"&lt;"&amp;'Adv. Filter'!$A$15,'Form Details'!$AA:$AA,"Yes",'Form Details'!$S:$S,'Adv. Filter'!$A$14,'Form Details'!$S:$S,'Adv. Filter'!$B$14)</f>
        <v>7</v>
      </c>
      <c r="DF123" s="229"/>
      <c r="DG123" s="229"/>
      <c r="DH123" s="229"/>
      <c r="DI123" s="229"/>
      <c r="DJ123" s="229"/>
      <c r="DK123" s="229"/>
      <c r="DL123" s="229"/>
      <c r="DM123" s="229"/>
      <c r="DN123" s="289"/>
      <c r="DO123" s="288">
        <f>COUNTIFS('Form Details'!$D:$D,"&lt;"&amp;'Adv. Filter'!$A$15,'Form Details'!$J:$J,$C123,'Form Details'!$W:$W,"Due")</f>
        <v>22</v>
      </c>
      <c r="DP123" s="229"/>
      <c r="DQ123" s="229"/>
      <c r="DR123" s="229"/>
      <c r="DS123" s="229"/>
      <c r="DT123" s="229"/>
      <c r="DU123" s="229"/>
      <c r="DV123" s="229"/>
      <c r="DW123" s="229"/>
      <c r="DX123" s="289"/>
      <c r="DY123" s="288">
        <f>COUNTIFS('Form Details'!$I:$I,"Project",'Form Details'!$J:$J,$C123,'Form Details'!$D:$D,"&lt;"&amp;'Adv. Filter'!$A$15)</f>
        <v>3</v>
      </c>
      <c r="DZ123" s="229"/>
      <c r="EA123" s="229"/>
      <c r="EB123" s="229"/>
      <c r="EC123" s="229"/>
      <c r="ED123" s="229"/>
      <c r="EE123" s="229"/>
      <c r="EF123" s="229"/>
      <c r="EG123" s="229"/>
      <c r="EH123" s="289"/>
    </row>
    <row r="124" spans="3:138" hidden="1">
      <c r="C124" s="293" t="s">
        <v>138</v>
      </c>
      <c r="D124" s="294"/>
      <c r="E124" s="294"/>
      <c r="F124" s="294"/>
      <c r="G124" s="294"/>
      <c r="H124" s="294"/>
      <c r="I124" s="294"/>
      <c r="J124" s="294"/>
      <c r="K124" s="294"/>
      <c r="L124" s="294"/>
      <c r="M124" s="294"/>
      <c r="N124" s="294"/>
      <c r="O124" s="294"/>
      <c r="P124" s="294"/>
      <c r="Q124" s="295"/>
      <c r="R124" s="237">
        <f>$CJ$172</f>
        <v>0</v>
      </c>
      <c r="S124" s="238"/>
      <c r="T124" s="238"/>
      <c r="U124" s="238"/>
      <c r="V124" s="238"/>
      <c r="W124" s="238"/>
      <c r="X124" s="238"/>
      <c r="Y124" s="238"/>
      <c r="Z124" s="238"/>
      <c r="AA124" s="239"/>
      <c r="AB124" s="237">
        <f>$CJ$332</f>
        <v>0</v>
      </c>
      <c r="AC124" s="238"/>
      <c r="AD124" s="238"/>
      <c r="AE124" s="238"/>
      <c r="AF124" s="238"/>
      <c r="AG124" s="238"/>
      <c r="AH124" s="238"/>
      <c r="AI124" s="238"/>
      <c r="AJ124" s="238"/>
      <c r="AK124" s="239"/>
      <c r="AL124" s="267">
        <f>$CJ$482</f>
        <v>0</v>
      </c>
      <c r="AM124" s="229"/>
      <c r="AN124" s="229"/>
      <c r="AO124" s="229"/>
      <c r="AP124" s="229"/>
      <c r="AQ124" s="229"/>
      <c r="AR124" s="229"/>
      <c r="AS124" s="229"/>
      <c r="AT124" s="229"/>
      <c r="AU124" s="289"/>
      <c r="AV124" s="267">
        <f>$CJ$632</f>
        <v>0</v>
      </c>
      <c r="AW124" s="229"/>
      <c r="AX124" s="229"/>
      <c r="AY124" s="229"/>
      <c r="AZ124" s="229"/>
      <c r="BA124" s="229"/>
      <c r="BB124" s="229"/>
      <c r="BC124" s="229"/>
      <c r="BD124" s="229"/>
      <c r="BE124" s="289"/>
      <c r="BF124" s="267">
        <f>$CJ$782</f>
        <v>0</v>
      </c>
      <c r="BG124" s="229"/>
      <c r="BH124" s="229"/>
      <c r="BI124" s="229"/>
      <c r="BJ124" s="229"/>
      <c r="BK124" s="229"/>
      <c r="BL124" s="229"/>
      <c r="BM124" s="229"/>
      <c r="BN124" s="229"/>
      <c r="BO124" s="289"/>
      <c r="BP124" s="267">
        <f>$CJ$932</f>
        <v>0</v>
      </c>
      <c r="BQ124" s="229"/>
      <c r="BR124" s="229"/>
      <c r="BS124" s="229"/>
      <c r="BT124" s="229"/>
      <c r="BU124" s="229"/>
      <c r="BV124" s="229"/>
      <c r="BW124" s="229"/>
      <c r="BX124" s="229"/>
      <c r="BY124" s="289"/>
      <c r="BZ124" s="429">
        <f t="shared" si="9"/>
        <v>0</v>
      </c>
      <c r="CA124" s="430"/>
      <c r="CB124" s="430"/>
      <c r="CC124" s="430"/>
      <c r="CD124" s="430"/>
      <c r="CE124" s="430"/>
      <c r="CF124" s="430"/>
      <c r="CG124" s="430"/>
      <c r="CH124" s="430"/>
      <c r="CI124" s="431"/>
      <c r="CK124" s="288">
        <f>COUNTIFS('Form Details'!$J:$J,$C124,'Form Details'!$D:$D,"&lt;"&amp;'Adv. Filter'!$A$15)</f>
        <v>0</v>
      </c>
      <c r="CL124" s="229"/>
      <c r="CM124" s="229"/>
      <c r="CN124" s="229"/>
      <c r="CO124" s="229"/>
      <c r="CP124" s="229"/>
      <c r="CQ124" s="229"/>
      <c r="CR124" s="229"/>
      <c r="CS124" s="229"/>
      <c r="CT124" s="289"/>
      <c r="CU124" s="288">
        <f>COUNTIFS('Form Details'!$J:$J,$C124,'Form Details'!$D:$D,"&lt;"&amp;'Adv. Filter'!$A$15,'Form Details'!$AA:$AA,"Yes")</f>
        <v>0</v>
      </c>
      <c r="CV124" s="229"/>
      <c r="CW124" s="229"/>
      <c r="CX124" s="229"/>
      <c r="CY124" s="229"/>
      <c r="CZ124" s="229"/>
      <c r="DA124" s="229"/>
      <c r="DB124" s="229"/>
      <c r="DC124" s="229"/>
      <c r="DD124" s="289"/>
      <c r="DE124" s="288">
        <f>COUNTIFS('Form Details'!$J:$J,$C124,'Form Details'!$D:$D,"&lt;"&amp;'Adv. Filter'!$A$15,'Form Details'!$AA:$AA,"Yes",'Form Details'!$S:$S,'Adv. Filter'!$A$14,'Form Details'!$S:$S,'Adv. Filter'!$B$14)</f>
        <v>0</v>
      </c>
      <c r="DF124" s="229"/>
      <c r="DG124" s="229"/>
      <c r="DH124" s="229"/>
      <c r="DI124" s="229"/>
      <c r="DJ124" s="229"/>
      <c r="DK124" s="229"/>
      <c r="DL124" s="229"/>
      <c r="DM124" s="229"/>
      <c r="DN124" s="289"/>
      <c r="DO124" s="288">
        <f>COUNTIFS('Form Details'!$D:$D,"&lt;"&amp;'Adv. Filter'!$A$15,'Form Details'!$J:$J,$C124,'Form Details'!$W:$W,"Due")</f>
        <v>0</v>
      </c>
      <c r="DP124" s="229"/>
      <c r="DQ124" s="229"/>
      <c r="DR124" s="229"/>
      <c r="DS124" s="229"/>
      <c r="DT124" s="229"/>
      <c r="DU124" s="229"/>
      <c r="DV124" s="229"/>
      <c r="DW124" s="229"/>
      <c r="DX124" s="289"/>
      <c r="DY124" s="288">
        <f>COUNTIFS('Form Details'!$I:$I,"Project",'Form Details'!$J:$J,$C124,'Form Details'!$D:$D,"&lt;"&amp;'Adv. Filter'!$A$15)</f>
        <v>0</v>
      </c>
      <c r="DZ124" s="229"/>
      <c r="EA124" s="229"/>
      <c r="EB124" s="229"/>
      <c r="EC124" s="229"/>
      <c r="ED124" s="229"/>
      <c r="EE124" s="229"/>
      <c r="EF124" s="229"/>
      <c r="EG124" s="229"/>
      <c r="EH124" s="289"/>
    </row>
    <row r="125" spans="3:138" hidden="1">
      <c r="C125" s="293" t="s">
        <v>121</v>
      </c>
      <c r="D125" s="294"/>
      <c r="E125" s="294"/>
      <c r="F125" s="294"/>
      <c r="G125" s="294"/>
      <c r="H125" s="294"/>
      <c r="I125" s="294"/>
      <c r="J125" s="294"/>
      <c r="K125" s="294"/>
      <c r="L125" s="294"/>
      <c r="M125" s="294"/>
      <c r="N125" s="294"/>
      <c r="O125" s="294"/>
      <c r="P125" s="294"/>
      <c r="Q125" s="295"/>
      <c r="R125" s="237">
        <f>$CJ$176</f>
        <v>0</v>
      </c>
      <c r="S125" s="238"/>
      <c r="T125" s="238"/>
      <c r="U125" s="238"/>
      <c r="V125" s="238"/>
      <c r="W125" s="238"/>
      <c r="X125" s="238"/>
      <c r="Y125" s="238"/>
      <c r="Z125" s="238"/>
      <c r="AA125" s="239"/>
      <c r="AB125" s="237">
        <f>$CJ$336</f>
        <v>26000</v>
      </c>
      <c r="AC125" s="238"/>
      <c r="AD125" s="238"/>
      <c r="AE125" s="238"/>
      <c r="AF125" s="238"/>
      <c r="AG125" s="238"/>
      <c r="AH125" s="238"/>
      <c r="AI125" s="238"/>
      <c r="AJ125" s="238"/>
      <c r="AK125" s="239"/>
      <c r="AL125" s="267">
        <f>$CJ$486</f>
        <v>0</v>
      </c>
      <c r="AM125" s="229"/>
      <c r="AN125" s="229"/>
      <c r="AO125" s="229"/>
      <c r="AP125" s="229"/>
      <c r="AQ125" s="229"/>
      <c r="AR125" s="229"/>
      <c r="AS125" s="229"/>
      <c r="AT125" s="229"/>
      <c r="AU125" s="289"/>
      <c r="AV125" s="267">
        <f>$CJ$636</f>
        <v>38000</v>
      </c>
      <c r="AW125" s="229"/>
      <c r="AX125" s="229"/>
      <c r="AY125" s="229"/>
      <c r="AZ125" s="229"/>
      <c r="BA125" s="229"/>
      <c r="BB125" s="229"/>
      <c r="BC125" s="229"/>
      <c r="BD125" s="229"/>
      <c r="BE125" s="289"/>
      <c r="BF125" s="267">
        <f>$CJ$786</f>
        <v>0</v>
      </c>
      <c r="BG125" s="229"/>
      <c r="BH125" s="229"/>
      <c r="BI125" s="229"/>
      <c r="BJ125" s="229"/>
      <c r="BK125" s="229"/>
      <c r="BL125" s="229"/>
      <c r="BM125" s="229"/>
      <c r="BN125" s="229"/>
      <c r="BO125" s="289"/>
      <c r="BP125" s="267">
        <f>$CJ$936</f>
        <v>0</v>
      </c>
      <c r="BQ125" s="229"/>
      <c r="BR125" s="229"/>
      <c r="BS125" s="229"/>
      <c r="BT125" s="229"/>
      <c r="BU125" s="229"/>
      <c r="BV125" s="229"/>
      <c r="BW125" s="229"/>
      <c r="BX125" s="229"/>
      <c r="BY125" s="289"/>
      <c r="BZ125" s="429">
        <f t="shared" si="9"/>
        <v>64000</v>
      </c>
      <c r="CA125" s="430"/>
      <c r="CB125" s="430"/>
      <c r="CC125" s="430"/>
      <c r="CD125" s="430"/>
      <c r="CE125" s="430"/>
      <c r="CF125" s="430"/>
      <c r="CG125" s="430"/>
      <c r="CH125" s="430"/>
      <c r="CI125" s="431"/>
      <c r="CK125" s="288">
        <f>COUNTIFS('Form Details'!$J:$J,$C125,'Form Details'!$D:$D,"&lt;"&amp;'Adv. Filter'!$A$15)</f>
        <v>86</v>
      </c>
      <c r="CL125" s="229"/>
      <c r="CM125" s="229"/>
      <c r="CN125" s="229"/>
      <c r="CO125" s="229"/>
      <c r="CP125" s="229"/>
      <c r="CQ125" s="229"/>
      <c r="CR125" s="229"/>
      <c r="CS125" s="229"/>
      <c r="CT125" s="289"/>
      <c r="CU125" s="288">
        <f>COUNTIFS('Form Details'!$J:$J,$C125,'Form Details'!$D:$D,"&lt;"&amp;'Adv. Filter'!$A$15,'Form Details'!$AA:$AA,"Yes")</f>
        <v>86</v>
      </c>
      <c r="CV125" s="229"/>
      <c r="CW125" s="229"/>
      <c r="CX125" s="229"/>
      <c r="CY125" s="229"/>
      <c r="CZ125" s="229"/>
      <c r="DA125" s="229"/>
      <c r="DB125" s="229"/>
      <c r="DC125" s="229"/>
      <c r="DD125" s="289"/>
      <c r="DE125" s="288">
        <f>COUNTIFS('Form Details'!$J:$J,$C125,'Form Details'!$D:$D,"&lt;"&amp;'Adv. Filter'!$A$15,'Form Details'!$AA:$AA,"Yes",'Form Details'!$S:$S,'Adv. Filter'!$A$14,'Form Details'!$S:$S,'Adv. Filter'!$B$14)</f>
        <v>2</v>
      </c>
      <c r="DF125" s="229"/>
      <c r="DG125" s="229"/>
      <c r="DH125" s="229"/>
      <c r="DI125" s="229"/>
      <c r="DJ125" s="229"/>
      <c r="DK125" s="229"/>
      <c r="DL125" s="229"/>
      <c r="DM125" s="229"/>
      <c r="DN125" s="289"/>
      <c r="DO125" s="288">
        <f>COUNTIFS('Form Details'!$D:$D,"&lt;"&amp;'Adv. Filter'!$A$15,'Form Details'!$J:$J,$C125,'Form Details'!$W:$W,"Due")</f>
        <v>84</v>
      </c>
      <c r="DP125" s="229"/>
      <c r="DQ125" s="229"/>
      <c r="DR125" s="229"/>
      <c r="DS125" s="229"/>
      <c r="DT125" s="229"/>
      <c r="DU125" s="229"/>
      <c r="DV125" s="229"/>
      <c r="DW125" s="229"/>
      <c r="DX125" s="289"/>
      <c r="DY125" s="288">
        <f>COUNTIFS('Form Details'!$I:$I,"Project",'Form Details'!$J:$J,$C125,'Form Details'!$D:$D,"&lt;"&amp;'Adv. Filter'!$A$15)</f>
        <v>0</v>
      </c>
      <c r="DZ125" s="229"/>
      <c r="EA125" s="229"/>
      <c r="EB125" s="229"/>
      <c r="EC125" s="229"/>
      <c r="ED125" s="229"/>
      <c r="EE125" s="229"/>
      <c r="EF125" s="229"/>
      <c r="EG125" s="229"/>
      <c r="EH125" s="289"/>
    </row>
    <row r="126" spans="3:138" hidden="1">
      <c r="C126" s="293" t="s">
        <v>84</v>
      </c>
      <c r="D126" s="294"/>
      <c r="E126" s="294"/>
      <c r="F126" s="294"/>
      <c r="G126" s="294"/>
      <c r="H126" s="294"/>
      <c r="I126" s="294"/>
      <c r="J126" s="294"/>
      <c r="K126" s="294"/>
      <c r="L126" s="294"/>
      <c r="M126" s="294"/>
      <c r="N126" s="294"/>
      <c r="O126" s="294"/>
      <c r="P126" s="294"/>
      <c r="Q126" s="295"/>
      <c r="R126" s="237">
        <f>$CJ$180</f>
        <v>0</v>
      </c>
      <c r="S126" s="238"/>
      <c r="T126" s="238"/>
      <c r="U126" s="238"/>
      <c r="V126" s="238"/>
      <c r="W126" s="238"/>
      <c r="X126" s="238"/>
      <c r="Y126" s="238"/>
      <c r="Z126" s="238"/>
      <c r="AA126" s="239"/>
      <c r="AB126" s="237">
        <f>$CJ$340</f>
        <v>0</v>
      </c>
      <c r="AC126" s="238"/>
      <c r="AD126" s="238"/>
      <c r="AE126" s="238"/>
      <c r="AF126" s="238"/>
      <c r="AG126" s="238"/>
      <c r="AH126" s="238"/>
      <c r="AI126" s="238"/>
      <c r="AJ126" s="238"/>
      <c r="AK126" s="239"/>
      <c r="AL126" s="267">
        <f>$CJ$490</f>
        <v>17887</v>
      </c>
      <c r="AM126" s="229"/>
      <c r="AN126" s="229"/>
      <c r="AO126" s="229"/>
      <c r="AP126" s="229"/>
      <c r="AQ126" s="229"/>
      <c r="AR126" s="229"/>
      <c r="AS126" s="229"/>
      <c r="AT126" s="229"/>
      <c r="AU126" s="289"/>
      <c r="AV126" s="267">
        <f>$CJ$640</f>
        <v>0</v>
      </c>
      <c r="AW126" s="229"/>
      <c r="AX126" s="229"/>
      <c r="AY126" s="229"/>
      <c r="AZ126" s="229"/>
      <c r="BA126" s="229"/>
      <c r="BB126" s="229"/>
      <c r="BC126" s="229"/>
      <c r="BD126" s="229"/>
      <c r="BE126" s="289"/>
      <c r="BF126" s="267">
        <f>$CJ$790</f>
        <v>0</v>
      </c>
      <c r="BG126" s="229"/>
      <c r="BH126" s="229"/>
      <c r="BI126" s="229"/>
      <c r="BJ126" s="229"/>
      <c r="BK126" s="229"/>
      <c r="BL126" s="229"/>
      <c r="BM126" s="229"/>
      <c r="BN126" s="229"/>
      <c r="BO126" s="289"/>
      <c r="BP126" s="267">
        <f>$CJ$940</f>
        <v>0</v>
      </c>
      <c r="BQ126" s="229"/>
      <c r="BR126" s="229"/>
      <c r="BS126" s="229"/>
      <c r="BT126" s="229"/>
      <c r="BU126" s="229"/>
      <c r="BV126" s="229"/>
      <c r="BW126" s="229"/>
      <c r="BX126" s="229"/>
      <c r="BY126" s="289"/>
      <c r="BZ126" s="429">
        <f t="shared" si="9"/>
        <v>17887</v>
      </c>
      <c r="CA126" s="430"/>
      <c r="CB126" s="430"/>
      <c r="CC126" s="430"/>
      <c r="CD126" s="430"/>
      <c r="CE126" s="430"/>
      <c r="CF126" s="430"/>
      <c r="CG126" s="430"/>
      <c r="CH126" s="430"/>
      <c r="CI126" s="431"/>
      <c r="CK126" s="288">
        <f>COUNTIFS('Form Details'!$J:$J,$C126,'Form Details'!$D:$D,"&lt;"&amp;'Adv. Filter'!$A$15)</f>
        <v>65</v>
      </c>
      <c r="CL126" s="229"/>
      <c r="CM126" s="229"/>
      <c r="CN126" s="229"/>
      <c r="CO126" s="229"/>
      <c r="CP126" s="229"/>
      <c r="CQ126" s="229"/>
      <c r="CR126" s="229"/>
      <c r="CS126" s="229"/>
      <c r="CT126" s="289"/>
      <c r="CU126" s="288">
        <f>COUNTIFS('Form Details'!$J:$J,$C126,'Form Details'!$D:$D,"&lt;"&amp;'Adv. Filter'!$A$15,'Form Details'!$AA:$AA,"Yes")</f>
        <v>64</v>
      </c>
      <c r="CV126" s="229"/>
      <c r="CW126" s="229"/>
      <c r="CX126" s="229"/>
      <c r="CY126" s="229"/>
      <c r="CZ126" s="229"/>
      <c r="DA126" s="229"/>
      <c r="DB126" s="229"/>
      <c r="DC126" s="229"/>
      <c r="DD126" s="289"/>
      <c r="DE126" s="288">
        <f>COUNTIFS('Form Details'!$J:$J,$C126,'Form Details'!$D:$D,"&lt;"&amp;'Adv. Filter'!$A$15,'Form Details'!$AA:$AA,"Yes",'Form Details'!$S:$S,'Adv. Filter'!$A$14,'Form Details'!$S:$S,'Adv. Filter'!$B$14)</f>
        <v>24</v>
      </c>
      <c r="DF126" s="229"/>
      <c r="DG126" s="229"/>
      <c r="DH126" s="229"/>
      <c r="DI126" s="229"/>
      <c r="DJ126" s="229"/>
      <c r="DK126" s="229"/>
      <c r="DL126" s="229"/>
      <c r="DM126" s="229"/>
      <c r="DN126" s="289"/>
      <c r="DO126" s="288">
        <f>COUNTIFS('Form Details'!$D:$D,"&lt;"&amp;'Adv. Filter'!$A$15,'Form Details'!$J:$J,$C126,'Form Details'!$W:$W,"Due")</f>
        <v>41</v>
      </c>
      <c r="DP126" s="229"/>
      <c r="DQ126" s="229"/>
      <c r="DR126" s="229"/>
      <c r="DS126" s="229"/>
      <c r="DT126" s="229"/>
      <c r="DU126" s="229"/>
      <c r="DV126" s="229"/>
      <c r="DW126" s="229"/>
      <c r="DX126" s="289"/>
      <c r="DY126" s="288">
        <f>COUNTIFS('Form Details'!$I:$I,"Project",'Form Details'!$J:$J,$C126,'Form Details'!$D:$D,"&lt;"&amp;'Adv. Filter'!$A$15)</f>
        <v>9</v>
      </c>
      <c r="DZ126" s="229"/>
      <c r="EA126" s="229"/>
      <c r="EB126" s="229"/>
      <c r="EC126" s="229"/>
      <c r="ED126" s="229"/>
      <c r="EE126" s="229"/>
      <c r="EF126" s="229"/>
      <c r="EG126" s="229"/>
      <c r="EH126" s="289"/>
    </row>
    <row r="127" spans="3:138" hidden="1">
      <c r="C127" s="293" t="s">
        <v>551</v>
      </c>
      <c r="D127" s="294"/>
      <c r="E127" s="294"/>
      <c r="F127" s="294"/>
      <c r="G127" s="294"/>
      <c r="H127" s="294"/>
      <c r="I127" s="294"/>
      <c r="J127" s="294"/>
      <c r="K127" s="294"/>
      <c r="L127" s="294"/>
      <c r="M127" s="294"/>
      <c r="N127" s="294"/>
      <c r="O127" s="294"/>
      <c r="P127" s="294"/>
      <c r="Q127" s="295"/>
      <c r="R127" s="237">
        <f>$CJ$183</f>
        <v>4000</v>
      </c>
      <c r="S127" s="238"/>
      <c r="T127" s="238"/>
      <c r="U127" s="238"/>
      <c r="V127" s="238"/>
      <c r="W127" s="238"/>
      <c r="X127" s="238"/>
      <c r="Y127" s="238"/>
      <c r="Z127" s="238"/>
      <c r="AA127" s="239"/>
      <c r="AB127" s="237">
        <f>$CJ$343</f>
        <v>0</v>
      </c>
      <c r="AC127" s="238"/>
      <c r="AD127" s="238"/>
      <c r="AE127" s="238"/>
      <c r="AF127" s="238"/>
      <c r="AG127" s="238"/>
      <c r="AH127" s="238"/>
      <c r="AI127" s="238"/>
      <c r="AJ127" s="238"/>
      <c r="AK127" s="239"/>
      <c r="AL127" s="267">
        <f>$CJ$493</f>
        <v>0</v>
      </c>
      <c r="AM127" s="229"/>
      <c r="AN127" s="229"/>
      <c r="AO127" s="229"/>
      <c r="AP127" s="229"/>
      <c r="AQ127" s="229"/>
      <c r="AR127" s="229"/>
      <c r="AS127" s="229"/>
      <c r="AT127" s="229"/>
      <c r="AU127" s="289"/>
      <c r="AV127" s="267">
        <f>$CJ$643</f>
        <v>0</v>
      </c>
      <c r="AW127" s="229"/>
      <c r="AX127" s="229"/>
      <c r="AY127" s="229"/>
      <c r="AZ127" s="229"/>
      <c r="BA127" s="229"/>
      <c r="BB127" s="229"/>
      <c r="BC127" s="229"/>
      <c r="BD127" s="229"/>
      <c r="BE127" s="289"/>
      <c r="BF127" s="267">
        <f>$CJ$793</f>
        <v>0</v>
      </c>
      <c r="BG127" s="229"/>
      <c r="BH127" s="229"/>
      <c r="BI127" s="229"/>
      <c r="BJ127" s="229"/>
      <c r="BK127" s="229"/>
      <c r="BL127" s="229"/>
      <c r="BM127" s="229"/>
      <c r="BN127" s="229"/>
      <c r="BO127" s="289"/>
      <c r="BP127" s="267">
        <f>$CJ$943</f>
        <v>0</v>
      </c>
      <c r="BQ127" s="229"/>
      <c r="BR127" s="229"/>
      <c r="BS127" s="229"/>
      <c r="BT127" s="229"/>
      <c r="BU127" s="229"/>
      <c r="BV127" s="229"/>
      <c r="BW127" s="229"/>
      <c r="BX127" s="229"/>
      <c r="BY127" s="289"/>
      <c r="BZ127" s="429">
        <f t="shared" si="9"/>
        <v>4000</v>
      </c>
      <c r="CA127" s="430"/>
      <c r="CB127" s="430"/>
      <c r="CC127" s="430"/>
      <c r="CD127" s="430"/>
      <c r="CE127" s="430"/>
      <c r="CF127" s="430"/>
      <c r="CG127" s="430"/>
      <c r="CH127" s="430"/>
      <c r="CI127" s="431"/>
      <c r="CK127" s="288">
        <f>COUNTIFS('Form Details'!$J:$J,$C127,'Form Details'!$D:$D,"&lt;"&amp;'Adv. Filter'!$A$15)</f>
        <v>41</v>
      </c>
      <c r="CL127" s="229"/>
      <c r="CM127" s="229"/>
      <c r="CN127" s="229"/>
      <c r="CO127" s="229"/>
      <c r="CP127" s="229"/>
      <c r="CQ127" s="229"/>
      <c r="CR127" s="229"/>
      <c r="CS127" s="229"/>
      <c r="CT127" s="289"/>
      <c r="CU127" s="288">
        <f>COUNTIFS('Form Details'!$J:$J,$C127,'Form Details'!$D:$D,"&lt;"&amp;'Adv. Filter'!$A$15,'Form Details'!$AA:$AA,"Yes")</f>
        <v>41</v>
      </c>
      <c r="CV127" s="229"/>
      <c r="CW127" s="229"/>
      <c r="CX127" s="229"/>
      <c r="CY127" s="229"/>
      <c r="CZ127" s="229"/>
      <c r="DA127" s="229"/>
      <c r="DB127" s="229"/>
      <c r="DC127" s="229"/>
      <c r="DD127" s="289"/>
      <c r="DE127" s="288">
        <f>COUNTIFS('Form Details'!$J:$J,$C127,'Form Details'!$D:$D,"&lt;"&amp;'Adv. Filter'!$A$15,'Form Details'!$AA:$AA,"Yes",'Form Details'!$S:$S,'Adv. Filter'!$A$14,'Form Details'!$S:$S,'Adv. Filter'!$B$14)</f>
        <v>3</v>
      </c>
      <c r="DF127" s="229"/>
      <c r="DG127" s="229"/>
      <c r="DH127" s="229"/>
      <c r="DI127" s="229"/>
      <c r="DJ127" s="229"/>
      <c r="DK127" s="229"/>
      <c r="DL127" s="229"/>
      <c r="DM127" s="229"/>
      <c r="DN127" s="289"/>
      <c r="DO127" s="288">
        <f>COUNTIFS('Form Details'!$D:$D,"&lt;"&amp;'Adv. Filter'!$A$15,'Form Details'!$J:$J,$C127,'Form Details'!$W:$W,"Due")</f>
        <v>38</v>
      </c>
      <c r="DP127" s="229"/>
      <c r="DQ127" s="229"/>
      <c r="DR127" s="229"/>
      <c r="DS127" s="229"/>
      <c r="DT127" s="229"/>
      <c r="DU127" s="229"/>
      <c r="DV127" s="229"/>
      <c r="DW127" s="229"/>
      <c r="DX127" s="289"/>
      <c r="DY127" s="288">
        <f>COUNTIFS('Form Details'!$I:$I,"Project",'Form Details'!$J:$J,$C127,'Form Details'!$D:$D,"&lt;"&amp;'Adv. Filter'!$A$15)</f>
        <v>0</v>
      </c>
      <c r="DZ127" s="229"/>
      <c r="EA127" s="229"/>
      <c r="EB127" s="229"/>
      <c r="EC127" s="229"/>
      <c r="ED127" s="229"/>
      <c r="EE127" s="229"/>
      <c r="EF127" s="229"/>
      <c r="EG127" s="229"/>
      <c r="EH127" s="289"/>
    </row>
    <row r="128" spans="3:138" hidden="1">
      <c r="C128" s="293" t="s">
        <v>111</v>
      </c>
      <c r="D128" s="294"/>
      <c r="E128" s="294"/>
      <c r="F128" s="294"/>
      <c r="G128" s="294"/>
      <c r="H128" s="294"/>
      <c r="I128" s="294"/>
      <c r="J128" s="294"/>
      <c r="K128" s="294"/>
      <c r="L128" s="294"/>
      <c r="M128" s="294"/>
      <c r="N128" s="294"/>
      <c r="O128" s="294"/>
      <c r="P128" s="294"/>
      <c r="Q128" s="295"/>
      <c r="R128" s="237">
        <f>$CJ$187</f>
        <v>0</v>
      </c>
      <c r="S128" s="238"/>
      <c r="T128" s="238"/>
      <c r="U128" s="238"/>
      <c r="V128" s="238"/>
      <c r="W128" s="238"/>
      <c r="X128" s="238"/>
      <c r="Y128" s="238"/>
      <c r="Z128" s="238"/>
      <c r="AA128" s="239"/>
      <c r="AB128" s="237">
        <f>$CJ$347</f>
        <v>0</v>
      </c>
      <c r="AC128" s="238"/>
      <c r="AD128" s="238"/>
      <c r="AE128" s="238"/>
      <c r="AF128" s="238"/>
      <c r="AG128" s="238"/>
      <c r="AH128" s="238"/>
      <c r="AI128" s="238"/>
      <c r="AJ128" s="238"/>
      <c r="AK128" s="239"/>
      <c r="AL128" s="267">
        <f>$CJ$497</f>
        <v>0</v>
      </c>
      <c r="AM128" s="229"/>
      <c r="AN128" s="229"/>
      <c r="AO128" s="229"/>
      <c r="AP128" s="229"/>
      <c r="AQ128" s="229"/>
      <c r="AR128" s="229"/>
      <c r="AS128" s="229"/>
      <c r="AT128" s="229"/>
      <c r="AU128" s="289"/>
      <c r="AV128" s="267">
        <f>$CJ$647</f>
        <v>0</v>
      </c>
      <c r="AW128" s="229"/>
      <c r="AX128" s="229"/>
      <c r="AY128" s="229"/>
      <c r="AZ128" s="229"/>
      <c r="BA128" s="229"/>
      <c r="BB128" s="229"/>
      <c r="BC128" s="229"/>
      <c r="BD128" s="229"/>
      <c r="BE128" s="289"/>
      <c r="BF128" s="267">
        <f>$CJ$797</f>
        <v>0</v>
      </c>
      <c r="BG128" s="229"/>
      <c r="BH128" s="229"/>
      <c r="BI128" s="229"/>
      <c r="BJ128" s="229"/>
      <c r="BK128" s="229"/>
      <c r="BL128" s="229"/>
      <c r="BM128" s="229"/>
      <c r="BN128" s="229"/>
      <c r="BO128" s="289"/>
      <c r="BP128" s="267">
        <f>$CJ$947</f>
        <v>0</v>
      </c>
      <c r="BQ128" s="229"/>
      <c r="BR128" s="229"/>
      <c r="BS128" s="229"/>
      <c r="BT128" s="229"/>
      <c r="BU128" s="229"/>
      <c r="BV128" s="229"/>
      <c r="BW128" s="229"/>
      <c r="BX128" s="229"/>
      <c r="BY128" s="289"/>
      <c r="BZ128" s="429">
        <f t="shared" si="9"/>
        <v>0</v>
      </c>
      <c r="CA128" s="430"/>
      <c r="CB128" s="430"/>
      <c r="CC128" s="430"/>
      <c r="CD128" s="430"/>
      <c r="CE128" s="430"/>
      <c r="CF128" s="430"/>
      <c r="CG128" s="430"/>
      <c r="CH128" s="430"/>
      <c r="CI128" s="431"/>
      <c r="CK128" s="288">
        <f>COUNTIFS('Form Details'!$J:$J,$C128,'Form Details'!$D:$D,"&lt;"&amp;'Adv. Filter'!$A$15)</f>
        <v>0</v>
      </c>
      <c r="CL128" s="229"/>
      <c r="CM128" s="229"/>
      <c r="CN128" s="229"/>
      <c r="CO128" s="229"/>
      <c r="CP128" s="229"/>
      <c r="CQ128" s="229"/>
      <c r="CR128" s="229"/>
      <c r="CS128" s="229"/>
      <c r="CT128" s="289"/>
      <c r="CU128" s="288">
        <f>COUNTIFS('Form Details'!$J:$J,$C128,'Form Details'!$D:$D,"&lt;"&amp;'Adv. Filter'!$A$15,'Form Details'!$AA:$AA,"Yes")</f>
        <v>0</v>
      </c>
      <c r="CV128" s="229"/>
      <c r="CW128" s="229"/>
      <c r="CX128" s="229"/>
      <c r="CY128" s="229"/>
      <c r="CZ128" s="229"/>
      <c r="DA128" s="229"/>
      <c r="DB128" s="229"/>
      <c r="DC128" s="229"/>
      <c r="DD128" s="289"/>
      <c r="DE128" s="288">
        <f>COUNTIFS('Form Details'!$J:$J,$C128,'Form Details'!$D:$D,"&lt;"&amp;'Adv. Filter'!$A$15,'Form Details'!$AA:$AA,"Yes",'Form Details'!$S:$S,'Adv. Filter'!$A$14,'Form Details'!$S:$S,'Adv. Filter'!$B$14)</f>
        <v>0</v>
      </c>
      <c r="DF128" s="229"/>
      <c r="DG128" s="229"/>
      <c r="DH128" s="229"/>
      <c r="DI128" s="229"/>
      <c r="DJ128" s="229"/>
      <c r="DK128" s="229"/>
      <c r="DL128" s="229"/>
      <c r="DM128" s="229"/>
      <c r="DN128" s="289"/>
      <c r="DO128" s="288">
        <f>COUNTIFS('Form Details'!$D:$D,"&lt;"&amp;'Adv. Filter'!$A$15,'Form Details'!$J:$J,$C128,'Form Details'!$W:$W,"Due")</f>
        <v>0</v>
      </c>
      <c r="DP128" s="229"/>
      <c r="DQ128" s="229"/>
      <c r="DR128" s="229"/>
      <c r="DS128" s="229"/>
      <c r="DT128" s="229"/>
      <c r="DU128" s="229"/>
      <c r="DV128" s="229"/>
      <c r="DW128" s="229"/>
      <c r="DX128" s="289"/>
      <c r="DY128" s="288">
        <f>COUNTIFS('Form Details'!$I:$I,"Project",'Form Details'!$J:$J,$C128,'Form Details'!$D:$D,"&lt;"&amp;'Adv. Filter'!$A$15)</f>
        <v>0</v>
      </c>
      <c r="DZ128" s="229"/>
      <c r="EA128" s="229"/>
      <c r="EB128" s="229"/>
      <c r="EC128" s="229"/>
      <c r="ED128" s="229"/>
      <c r="EE128" s="229"/>
      <c r="EF128" s="229"/>
      <c r="EG128" s="229"/>
      <c r="EH128" s="289"/>
    </row>
    <row r="129" spans="1:138" hidden="1">
      <c r="C129" s="293" t="s">
        <v>116</v>
      </c>
      <c r="D129" s="294"/>
      <c r="E129" s="294"/>
      <c r="F129" s="294"/>
      <c r="G129" s="294"/>
      <c r="H129" s="294"/>
      <c r="I129" s="294"/>
      <c r="J129" s="294"/>
      <c r="K129" s="294"/>
      <c r="L129" s="294"/>
      <c r="M129" s="294"/>
      <c r="N129" s="294"/>
      <c r="O129" s="294"/>
      <c r="P129" s="294"/>
      <c r="Q129" s="295"/>
      <c r="R129" s="237">
        <f>$CJ$191</f>
        <v>0</v>
      </c>
      <c r="S129" s="238"/>
      <c r="T129" s="238"/>
      <c r="U129" s="238"/>
      <c r="V129" s="238"/>
      <c r="W129" s="238"/>
      <c r="X129" s="238"/>
      <c r="Y129" s="238"/>
      <c r="Z129" s="238"/>
      <c r="AA129" s="239"/>
      <c r="AB129" s="237">
        <f>$CJ$351</f>
        <v>0</v>
      </c>
      <c r="AC129" s="238"/>
      <c r="AD129" s="238"/>
      <c r="AE129" s="238"/>
      <c r="AF129" s="238"/>
      <c r="AG129" s="238"/>
      <c r="AH129" s="238"/>
      <c r="AI129" s="238"/>
      <c r="AJ129" s="238"/>
      <c r="AK129" s="239"/>
      <c r="AL129" s="267">
        <f>$CJ$501</f>
        <v>0</v>
      </c>
      <c r="AM129" s="229"/>
      <c r="AN129" s="229"/>
      <c r="AO129" s="229"/>
      <c r="AP129" s="229"/>
      <c r="AQ129" s="229"/>
      <c r="AR129" s="229"/>
      <c r="AS129" s="229"/>
      <c r="AT129" s="229"/>
      <c r="AU129" s="289"/>
      <c r="AV129" s="267">
        <f>$CJ$651</f>
        <v>0</v>
      </c>
      <c r="AW129" s="229"/>
      <c r="AX129" s="229"/>
      <c r="AY129" s="229"/>
      <c r="AZ129" s="229"/>
      <c r="BA129" s="229"/>
      <c r="BB129" s="229"/>
      <c r="BC129" s="229"/>
      <c r="BD129" s="229"/>
      <c r="BE129" s="289"/>
      <c r="BF129" s="267">
        <f>$CJ$801</f>
        <v>0</v>
      </c>
      <c r="BG129" s="229"/>
      <c r="BH129" s="229"/>
      <c r="BI129" s="229"/>
      <c r="BJ129" s="229"/>
      <c r="BK129" s="229"/>
      <c r="BL129" s="229"/>
      <c r="BM129" s="229"/>
      <c r="BN129" s="229"/>
      <c r="BO129" s="289"/>
      <c r="BP129" s="267">
        <f>$CJ$951</f>
        <v>0</v>
      </c>
      <c r="BQ129" s="229"/>
      <c r="BR129" s="229"/>
      <c r="BS129" s="229"/>
      <c r="BT129" s="229"/>
      <c r="BU129" s="229"/>
      <c r="BV129" s="229"/>
      <c r="BW129" s="229"/>
      <c r="BX129" s="229"/>
      <c r="BY129" s="289"/>
      <c r="BZ129" s="429">
        <f t="shared" si="9"/>
        <v>0</v>
      </c>
      <c r="CA129" s="430"/>
      <c r="CB129" s="430"/>
      <c r="CC129" s="430"/>
      <c r="CD129" s="430"/>
      <c r="CE129" s="430"/>
      <c r="CF129" s="430"/>
      <c r="CG129" s="430"/>
      <c r="CH129" s="430"/>
      <c r="CI129" s="431"/>
      <c r="CK129" s="288">
        <f>COUNTIFS('Form Details'!$J:$J,$C129,'Form Details'!$D:$D,"&lt;"&amp;'Adv. Filter'!$A$15)</f>
        <v>3</v>
      </c>
      <c r="CL129" s="229"/>
      <c r="CM129" s="229"/>
      <c r="CN129" s="229"/>
      <c r="CO129" s="229"/>
      <c r="CP129" s="229"/>
      <c r="CQ129" s="229"/>
      <c r="CR129" s="229"/>
      <c r="CS129" s="229"/>
      <c r="CT129" s="289"/>
      <c r="CU129" s="288">
        <f>COUNTIFS('Form Details'!$J:$J,$C129,'Form Details'!$D:$D,"&lt;"&amp;'Adv. Filter'!$A$15,'Form Details'!$AA:$AA,"Yes")</f>
        <v>3</v>
      </c>
      <c r="CV129" s="229"/>
      <c r="CW129" s="229"/>
      <c r="CX129" s="229"/>
      <c r="CY129" s="229"/>
      <c r="CZ129" s="229"/>
      <c r="DA129" s="229"/>
      <c r="DB129" s="229"/>
      <c r="DC129" s="229"/>
      <c r="DD129" s="289"/>
      <c r="DE129" s="288">
        <f>COUNTIFS('Form Details'!$J:$J,$C129,'Form Details'!$D:$D,"&lt;"&amp;'Adv. Filter'!$A$15,'Form Details'!$AA:$AA,"Yes",'Form Details'!$S:$S,'Adv. Filter'!$A$14,'Form Details'!$S:$S,'Adv. Filter'!$B$14)</f>
        <v>0</v>
      </c>
      <c r="DF129" s="229"/>
      <c r="DG129" s="229"/>
      <c r="DH129" s="229"/>
      <c r="DI129" s="229"/>
      <c r="DJ129" s="229"/>
      <c r="DK129" s="229"/>
      <c r="DL129" s="229"/>
      <c r="DM129" s="229"/>
      <c r="DN129" s="289"/>
      <c r="DO129" s="288">
        <f>COUNTIFS('Form Details'!$D:$D,"&lt;"&amp;'Adv. Filter'!$A$15,'Form Details'!$J:$J,$C129,'Form Details'!$W:$W,"Due")</f>
        <v>3</v>
      </c>
      <c r="DP129" s="229"/>
      <c r="DQ129" s="229"/>
      <c r="DR129" s="229"/>
      <c r="DS129" s="229"/>
      <c r="DT129" s="229"/>
      <c r="DU129" s="229"/>
      <c r="DV129" s="229"/>
      <c r="DW129" s="229"/>
      <c r="DX129" s="289"/>
      <c r="DY129" s="288">
        <f>COUNTIFS('Form Details'!$I:$I,"Project",'Form Details'!$J:$J,$C129,'Form Details'!$D:$D,"&lt;"&amp;'Adv. Filter'!$A$15)</f>
        <v>0</v>
      </c>
      <c r="DZ129" s="229"/>
      <c r="EA129" s="229"/>
      <c r="EB129" s="229"/>
      <c r="EC129" s="229"/>
      <c r="ED129" s="229"/>
      <c r="EE129" s="229"/>
      <c r="EF129" s="229"/>
      <c r="EG129" s="229"/>
      <c r="EH129" s="289"/>
    </row>
    <row r="130" spans="1:138" hidden="1">
      <c r="C130" s="293" t="s">
        <v>119</v>
      </c>
      <c r="D130" s="294"/>
      <c r="E130" s="294"/>
      <c r="F130" s="294"/>
      <c r="G130" s="294"/>
      <c r="H130" s="294"/>
      <c r="I130" s="294"/>
      <c r="J130" s="294"/>
      <c r="K130" s="294"/>
      <c r="L130" s="294"/>
      <c r="M130" s="294"/>
      <c r="N130" s="294"/>
      <c r="O130" s="294"/>
      <c r="P130" s="294"/>
      <c r="Q130" s="295"/>
      <c r="R130" s="237">
        <f>$CJ$195</f>
        <v>0</v>
      </c>
      <c r="S130" s="238"/>
      <c r="T130" s="238"/>
      <c r="U130" s="238"/>
      <c r="V130" s="238"/>
      <c r="W130" s="238"/>
      <c r="X130" s="238"/>
      <c r="Y130" s="238"/>
      <c r="Z130" s="238"/>
      <c r="AA130" s="239"/>
      <c r="AB130" s="237">
        <f>$CJ$355</f>
        <v>0</v>
      </c>
      <c r="AC130" s="238"/>
      <c r="AD130" s="238"/>
      <c r="AE130" s="238"/>
      <c r="AF130" s="238"/>
      <c r="AG130" s="238"/>
      <c r="AH130" s="238"/>
      <c r="AI130" s="238"/>
      <c r="AJ130" s="238"/>
      <c r="AK130" s="239"/>
      <c r="AL130" s="267">
        <f>$CJ$505</f>
        <v>0</v>
      </c>
      <c r="AM130" s="229"/>
      <c r="AN130" s="229"/>
      <c r="AO130" s="229"/>
      <c r="AP130" s="229"/>
      <c r="AQ130" s="229"/>
      <c r="AR130" s="229"/>
      <c r="AS130" s="229"/>
      <c r="AT130" s="229"/>
      <c r="AU130" s="289"/>
      <c r="AV130" s="267">
        <f>$CJ$655</f>
        <v>0</v>
      </c>
      <c r="AW130" s="229"/>
      <c r="AX130" s="229"/>
      <c r="AY130" s="229"/>
      <c r="AZ130" s="229"/>
      <c r="BA130" s="229"/>
      <c r="BB130" s="229"/>
      <c r="BC130" s="229"/>
      <c r="BD130" s="229"/>
      <c r="BE130" s="289"/>
      <c r="BF130" s="267">
        <f>$CJ$805</f>
        <v>0</v>
      </c>
      <c r="BG130" s="229"/>
      <c r="BH130" s="229"/>
      <c r="BI130" s="229"/>
      <c r="BJ130" s="229"/>
      <c r="BK130" s="229"/>
      <c r="BL130" s="229"/>
      <c r="BM130" s="229"/>
      <c r="BN130" s="229"/>
      <c r="BO130" s="289"/>
      <c r="BP130" s="267">
        <f>$CJ$955</f>
        <v>0</v>
      </c>
      <c r="BQ130" s="229"/>
      <c r="BR130" s="229"/>
      <c r="BS130" s="229"/>
      <c r="BT130" s="229"/>
      <c r="BU130" s="229"/>
      <c r="BV130" s="229"/>
      <c r="BW130" s="229"/>
      <c r="BX130" s="229"/>
      <c r="BY130" s="289"/>
      <c r="BZ130" s="429">
        <f t="shared" si="9"/>
        <v>0</v>
      </c>
      <c r="CA130" s="430"/>
      <c r="CB130" s="430"/>
      <c r="CC130" s="430"/>
      <c r="CD130" s="430"/>
      <c r="CE130" s="430"/>
      <c r="CF130" s="430"/>
      <c r="CG130" s="430"/>
      <c r="CH130" s="430"/>
      <c r="CI130" s="431"/>
      <c r="CK130" s="288">
        <f>COUNTIFS('Form Details'!$J:$J,$C130,'Form Details'!$D:$D,"&lt;"&amp;'Adv. Filter'!$A$15)</f>
        <v>21</v>
      </c>
      <c r="CL130" s="229"/>
      <c r="CM130" s="229"/>
      <c r="CN130" s="229"/>
      <c r="CO130" s="229"/>
      <c r="CP130" s="229"/>
      <c r="CQ130" s="229"/>
      <c r="CR130" s="229"/>
      <c r="CS130" s="229"/>
      <c r="CT130" s="289"/>
      <c r="CU130" s="288">
        <f>COUNTIFS('Form Details'!$J:$J,$C130,'Form Details'!$D:$D,"&lt;"&amp;'Adv. Filter'!$A$15,'Form Details'!$AA:$AA,"Yes")</f>
        <v>21</v>
      </c>
      <c r="CV130" s="229"/>
      <c r="CW130" s="229"/>
      <c r="CX130" s="229"/>
      <c r="CY130" s="229"/>
      <c r="CZ130" s="229"/>
      <c r="DA130" s="229"/>
      <c r="DB130" s="229"/>
      <c r="DC130" s="229"/>
      <c r="DD130" s="289"/>
      <c r="DE130" s="288">
        <f>COUNTIFS('Form Details'!$J:$J,$C130,'Form Details'!$D:$D,"&lt;"&amp;'Adv. Filter'!$A$15,'Form Details'!$AA:$AA,"Yes",'Form Details'!$S:$S,'Adv. Filter'!$A$14,'Form Details'!$S:$S,'Adv. Filter'!$B$14)</f>
        <v>0</v>
      </c>
      <c r="DF130" s="229"/>
      <c r="DG130" s="229"/>
      <c r="DH130" s="229"/>
      <c r="DI130" s="229"/>
      <c r="DJ130" s="229"/>
      <c r="DK130" s="229"/>
      <c r="DL130" s="229"/>
      <c r="DM130" s="229"/>
      <c r="DN130" s="289"/>
      <c r="DO130" s="288">
        <f>COUNTIFS('Form Details'!$D:$D,"&lt;"&amp;'Adv. Filter'!$A$15,'Form Details'!$J:$J,$C130,'Form Details'!$W:$W,"Due")</f>
        <v>21</v>
      </c>
      <c r="DP130" s="229"/>
      <c r="DQ130" s="229"/>
      <c r="DR130" s="229"/>
      <c r="DS130" s="229"/>
      <c r="DT130" s="229"/>
      <c r="DU130" s="229"/>
      <c r="DV130" s="229"/>
      <c r="DW130" s="229"/>
      <c r="DX130" s="289"/>
      <c r="DY130" s="288">
        <f>COUNTIFS('Form Details'!$I:$I,"Project",'Form Details'!$J:$J,$C130,'Form Details'!$D:$D,"&lt;"&amp;'Adv. Filter'!$A$15)</f>
        <v>0</v>
      </c>
      <c r="DZ130" s="229"/>
      <c r="EA130" s="229"/>
      <c r="EB130" s="229"/>
      <c r="EC130" s="229"/>
      <c r="ED130" s="229"/>
      <c r="EE130" s="229"/>
      <c r="EF130" s="229"/>
      <c r="EG130" s="229"/>
      <c r="EH130" s="289"/>
    </row>
    <row r="131" spans="1:138" hidden="1">
      <c r="C131" s="293" t="s">
        <v>92</v>
      </c>
      <c r="D131" s="294"/>
      <c r="E131" s="294"/>
      <c r="F131" s="294"/>
      <c r="G131" s="294"/>
      <c r="H131" s="294"/>
      <c r="I131" s="294"/>
      <c r="J131" s="294"/>
      <c r="K131" s="294"/>
      <c r="L131" s="294"/>
      <c r="M131" s="294"/>
      <c r="N131" s="294"/>
      <c r="O131" s="294"/>
      <c r="P131" s="294"/>
      <c r="Q131" s="295"/>
      <c r="R131" s="237">
        <f>$CJ$199</f>
        <v>0</v>
      </c>
      <c r="S131" s="238"/>
      <c r="T131" s="238"/>
      <c r="U131" s="238"/>
      <c r="V131" s="238"/>
      <c r="W131" s="238"/>
      <c r="X131" s="238"/>
      <c r="Y131" s="238"/>
      <c r="Z131" s="238"/>
      <c r="AA131" s="239"/>
      <c r="AB131" s="237">
        <f>$CJ$359</f>
        <v>0</v>
      </c>
      <c r="AC131" s="238"/>
      <c r="AD131" s="238"/>
      <c r="AE131" s="238"/>
      <c r="AF131" s="238"/>
      <c r="AG131" s="238"/>
      <c r="AH131" s="238"/>
      <c r="AI131" s="238"/>
      <c r="AJ131" s="238"/>
      <c r="AK131" s="239"/>
      <c r="AL131" s="267">
        <f>$CJ$509</f>
        <v>0</v>
      </c>
      <c r="AM131" s="229"/>
      <c r="AN131" s="229"/>
      <c r="AO131" s="229"/>
      <c r="AP131" s="229"/>
      <c r="AQ131" s="229"/>
      <c r="AR131" s="229"/>
      <c r="AS131" s="229"/>
      <c r="AT131" s="229"/>
      <c r="AU131" s="289"/>
      <c r="AV131" s="267">
        <f>$CJ$659</f>
        <v>12000</v>
      </c>
      <c r="AW131" s="229"/>
      <c r="AX131" s="229"/>
      <c r="AY131" s="229"/>
      <c r="AZ131" s="229"/>
      <c r="BA131" s="229"/>
      <c r="BB131" s="229"/>
      <c r="BC131" s="229"/>
      <c r="BD131" s="229"/>
      <c r="BE131" s="289"/>
      <c r="BF131" s="267">
        <f>$CJ$809</f>
        <v>0</v>
      </c>
      <c r="BG131" s="229"/>
      <c r="BH131" s="229"/>
      <c r="BI131" s="229"/>
      <c r="BJ131" s="229"/>
      <c r="BK131" s="229"/>
      <c r="BL131" s="229"/>
      <c r="BM131" s="229"/>
      <c r="BN131" s="229"/>
      <c r="BO131" s="289"/>
      <c r="BP131" s="267">
        <f>$CJ$959</f>
        <v>0</v>
      </c>
      <c r="BQ131" s="229"/>
      <c r="BR131" s="229"/>
      <c r="BS131" s="229"/>
      <c r="BT131" s="229"/>
      <c r="BU131" s="229"/>
      <c r="BV131" s="229"/>
      <c r="BW131" s="229"/>
      <c r="BX131" s="229"/>
      <c r="BY131" s="289"/>
      <c r="BZ131" s="429">
        <f t="shared" si="9"/>
        <v>12000</v>
      </c>
      <c r="CA131" s="430"/>
      <c r="CB131" s="430"/>
      <c r="CC131" s="430"/>
      <c r="CD131" s="430"/>
      <c r="CE131" s="430"/>
      <c r="CF131" s="430"/>
      <c r="CG131" s="430"/>
      <c r="CH131" s="430"/>
      <c r="CI131" s="431"/>
      <c r="CK131" s="288">
        <f>COUNTIFS('Form Details'!$J:$J,$C131,'Form Details'!$D:$D,"&lt;"&amp;'Adv. Filter'!$A$15)</f>
        <v>2</v>
      </c>
      <c r="CL131" s="229"/>
      <c r="CM131" s="229"/>
      <c r="CN131" s="229"/>
      <c r="CO131" s="229"/>
      <c r="CP131" s="229"/>
      <c r="CQ131" s="229"/>
      <c r="CR131" s="229"/>
      <c r="CS131" s="229"/>
      <c r="CT131" s="289"/>
      <c r="CU131" s="288">
        <f>COUNTIFS('Form Details'!$J:$J,$C131,'Form Details'!$D:$D,"&lt;"&amp;'Adv. Filter'!$A$15,'Form Details'!$AA:$AA,"Yes")</f>
        <v>2</v>
      </c>
      <c r="CV131" s="229"/>
      <c r="CW131" s="229"/>
      <c r="CX131" s="229"/>
      <c r="CY131" s="229"/>
      <c r="CZ131" s="229"/>
      <c r="DA131" s="229"/>
      <c r="DB131" s="229"/>
      <c r="DC131" s="229"/>
      <c r="DD131" s="289"/>
      <c r="DE131" s="288">
        <f>COUNTIFS('Form Details'!$J:$J,$C131,'Form Details'!$D:$D,"&lt;"&amp;'Adv. Filter'!$A$15,'Form Details'!$AA:$AA,"Yes",'Form Details'!$S:$S,'Adv. Filter'!$A$14,'Form Details'!$S:$S,'Adv. Filter'!$B$14)</f>
        <v>1</v>
      </c>
      <c r="DF131" s="229"/>
      <c r="DG131" s="229"/>
      <c r="DH131" s="229"/>
      <c r="DI131" s="229"/>
      <c r="DJ131" s="229"/>
      <c r="DK131" s="229"/>
      <c r="DL131" s="229"/>
      <c r="DM131" s="229"/>
      <c r="DN131" s="289"/>
      <c r="DO131" s="288">
        <f>COUNTIFS('Form Details'!$D:$D,"&lt;"&amp;'Adv. Filter'!$A$15,'Form Details'!$J:$J,$C131,'Form Details'!$W:$W,"Due")</f>
        <v>1</v>
      </c>
      <c r="DP131" s="229"/>
      <c r="DQ131" s="229"/>
      <c r="DR131" s="229"/>
      <c r="DS131" s="229"/>
      <c r="DT131" s="229"/>
      <c r="DU131" s="229"/>
      <c r="DV131" s="229"/>
      <c r="DW131" s="229"/>
      <c r="DX131" s="289"/>
      <c r="DY131" s="288">
        <f>COUNTIFS('Form Details'!$I:$I,"Project",'Form Details'!$J:$J,$C131,'Form Details'!$D:$D,"&lt;"&amp;'Adv. Filter'!$A$15)</f>
        <v>1</v>
      </c>
      <c r="DZ131" s="229"/>
      <c r="EA131" s="229"/>
      <c r="EB131" s="229"/>
      <c r="EC131" s="229"/>
      <c r="ED131" s="229"/>
      <c r="EE131" s="229"/>
      <c r="EF131" s="229"/>
      <c r="EG131" s="229"/>
      <c r="EH131" s="289"/>
    </row>
    <row r="132" spans="1:138" hidden="1">
      <c r="C132" s="293" t="s">
        <v>97</v>
      </c>
      <c r="D132" s="294"/>
      <c r="E132" s="294"/>
      <c r="F132" s="294"/>
      <c r="G132" s="294"/>
      <c r="H132" s="294"/>
      <c r="I132" s="294"/>
      <c r="J132" s="294"/>
      <c r="K132" s="294"/>
      <c r="L132" s="294"/>
      <c r="M132" s="294"/>
      <c r="N132" s="294"/>
      <c r="O132" s="294"/>
      <c r="P132" s="294"/>
      <c r="Q132" s="295"/>
      <c r="R132" s="237">
        <f>$CJ$203</f>
        <v>0</v>
      </c>
      <c r="S132" s="238"/>
      <c r="T132" s="238"/>
      <c r="U132" s="238"/>
      <c r="V132" s="238"/>
      <c r="W132" s="238"/>
      <c r="X132" s="238"/>
      <c r="Y132" s="238"/>
      <c r="Z132" s="238"/>
      <c r="AA132" s="239"/>
      <c r="AB132" s="237">
        <f>$CJ$363</f>
        <v>0</v>
      </c>
      <c r="AC132" s="238"/>
      <c r="AD132" s="238"/>
      <c r="AE132" s="238"/>
      <c r="AF132" s="238"/>
      <c r="AG132" s="238"/>
      <c r="AH132" s="238"/>
      <c r="AI132" s="238"/>
      <c r="AJ132" s="238"/>
      <c r="AK132" s="239"/>
      <c r="AL132" s="267">
        <f>$CJ$513</f>
        <v>0</v>
      </c>
      <c r="AM132" s="229"/>
      <c r="AN132" s="229"/>
      <c r="AO132" s="229"/>
      <c r="AP132" s="229"/>
      <c r="AQ132" s="229"/>
      <c r="AR132" s="229"/>
      <c r="AS132" s="229"/>
      <c r="AT132" s="229"/>
      <c r="AU132" s="289"/>
      <c r="AV132" s="267">
        <f>$CJ$663</f>
        <v>0</v>
      </c>
      <c r="AW132" s="229"/>
      <c r="AX132" s="229"/>
      <c r="AY132" s="229"/>
      <c r="AZ132" s="229"/>
      <c r="BA132" s="229"/>
      <c r="BB132" s="229"/>
      <c r="BC132" s="229"/>
      <c r="BD132" s="229"/>
      <c r="BE132" s="289"/>
      <c r="BF132" s="267">
        <f>$CJ$813</f>
        <v>0</v>
      </c>
      <c r="BG132" s="229"/>
      <c r="BH132" s="229"/>
      <c r="BI132" s="229"/>
      <c r="BJ132" s="229"/>
      <c r="BK132" s="229"/>
      <c r="BL132" s="229"/>
      <c r="BM132" s="229"/>
      <c r="BN132" s="229"/>
      <c r="BO132" s="289"/>
      <c r="BP132" s="267">
        <f>$CJ$963</f>
        <v>0</v>
      </c>
      <c r="BQ132" s="229"/>
      <c r="BR132" s="229"/>
      <c r="BS132" s="229"/>
      <c r="BT132" s="229"/>
      <c r="BU132" s="229"/>
      <c r="BV132" s="229"/>
      <c r="BW132" s="229"/>
      <c r="BX132" s="229"/>
      <c r="BY132" s="289"/>
      <c r="BZ132" s="429">
        <f t="shared" si="9"/>
        <v>0</v>
      </c>
      <c r="CA132" s="430"/>
      <c r="CB132" s="430"/>
      <c r="CC132" s="430"/>
      <c r="CD132" s="430"/>
      <c r="CE132" s="430"/>
      <c r="CF132" s="430"/>
      <c r="CG132" s="430"/>
      <c r="CH132" s="430"/>
      <c r="CI132" s="431"/>
      <c r="CK132" s="288">
        <f>COUNTIFS('Form Details'!$J:$J,$C132,'Form Details'!$D:$D,"&lt;"&amp;'Adv. Filter'!$A$15)</f>
        <v>0</v>
      </c>
      <c r="CL132" s="229"/>
      <c r="CM132" s="229"/>
      <c r="CN132" s="229"/>
      <c r="CO132" s="229"/>
      <c r="CP132" s="229"/>
      <c r="CQ132" s="229"/>
      <c r="CR132" s="229"/>
      <c r="CS132" s="229"/>
      <c r="CT132" s="289"/>
      <c r="CU132" s="288">
        <f>COUNTIFS('Form Details'!$J:$J,$C132,'Form Details'!$D:$D,"&lt;"&amp;'Adv. Filter'!$A$15,'Form Details'!$AA:$AA,"Yes")</f>
        <v>0</v>
      </c>
      <c r="CV132" s="229"/>
      <c r="CW132" s="229"/>
      <c r="CX132" s="229"/>
      <c r="CY132" s="229"/>
      <c r="CZ132" s="229"/>
      <c r="DA132" s="229"/>
      <c r="DB132" s="229"/>
      <c r="DC132" s="229"/>
      <c r="DD132" s="289"/>
      <c r="DE132" s="288">
        <f>COUNTIFS('Form Details'!$J:$J,$C132,'Form Details'!$D:$D,"&lt;"&amp;'Adv. Filter'!$A$15,'Form Details'!$AA:$AA,"Yes",'Form Details'!$S:$S,'Adv. Filter'!$A$14,'Form Details'!$S:$S,'Adv. Filter'!$B$14)</f>
        <v>0</v>
      </c>
      <c r="DF132" s="229"/>
      <c r="DG132" s="229"/>
      <c r="DH132" s="229"/>
      <c r="DI132" s="229"/>
      <c r="DJ132" s="229"/>
      <c r="DK132" s="229"/>
      <c r="DL132" s="229"/>
      <c r="DM132" s="229"/>
      <c r="DN132" s="289"/>
      <c r="DO132" s="288">
        <f>COUNTIFS('Form Details'!$D:$D,"&lt;"&amp;'Adv. Filter'!$A$15,'Form Details'!$J:$J,$C132,'Form Details'!$W:$W,"Due")</f>
        <v>0</v>
      </c>
      <c r="DP132" s="229"/>
      <c r="DQ132" s="229"/>
      <c r="DR132" s="229"/>
      <c r="DS132" s="229"/>
      <c r="DT132" s="229"/>
      <c r="DU132" s="229"/>
      <c r="DV132" s="229"/>
      <c r="DW132" s="229"/>
      <c r="DX132" s="289"/>
      <c r="DY132" s="288">
        <f>COUNTIFS('Form Details'!$I:$I,"Project",'Form Details'!$J:$J,$C132,'Form Details'!$D:$D,"&lt;"&amp;'Adv. Filter'!$A$15)</f>
        <v>0</v>
      </c>
      <c r="DZ132" s="229"/>
      <c r="EA132" s="229"/>
      <c r="EB132" s="229"/>
      <c r="EC132" s="229"/>
      <c r="ED132" s="229"/>
      <c r="EE132" s="229"/>
      <c r="EF132" s="229"/>
      <c r="EG132" s="229"/>
      <c r="EH132" s="289"/>
    </row>
    <row r="133" spans="1:138" ht="15.75" hidden="1" thickBot="1">
      <c r="C133" s="293" t="s">
        <v>102</v>
      </c>
      <c r="D133" s="294"/>
      <c r="E133" s="294"/>
      <c r="F133" s="294"/>
      <c r="G133" s="294"/>
      <c r="H133" s="294"/>
      <c r="I133" s="294"/>
      <c r="J133" s="294"/>
      <c r="K133" s="294"/>
      <c r="L133" s="294"/>
      <c r="M133" s="294"/>
      <c r="N133" s="294"/>
      <c r="O133" s="294"/>
      <c r="P133" s="294"/>
      <c r="Q133" s="295"/>
      <c r="R133" s="237">
        <f>$CJ$207</f>
        <v>7500</v>
      </c>
      <c r="S133" s="238"/>
      <c r="T133" s="238"/>
      <c r="U133" s="238"/>
      <c r="V133" s="238"/>
      <c r="W133" s="238"/>
      <c r="X133" s="238"/>
      <c r="Y133" s="238"/>
      <c r="Z133" s="238"/>
      <c r="AA133" s="239"/>
      <c r="AB133" s="237">
        <f>$CJ$367</f>
        <v>0</v>
      </c>
      <c r="AC133" s="238"/>
      <c r="AD133" s="238"/>
      <c r="AE133" s="238"/>
      <c r="AF133" s="238"/>
      <c r="AG133" s="238"/>
      <c r="AH133" s="238"/>
      <c r="AI133" s="238"/>
      <c r="AJ133" s="238"/>
      <c r="AK133" s="239"/>
      <c r="AL133" s="267">
        <f>$CJ$517</f>
        <v>0</v>
      </c>
      <c r="AM133" s="229"/>
      <c r="AN133" s="229"/>
      <c r="AO133" s="229"/>
      <c r="AP133" s="229"/>
      <c r="AQ133" s="229"/>
      <c r="AR133" s="229"/>
      <c r="AS133" s="229"/>
      <c r="AT133" s="229"/>
      <c r="AU133" s="289"/>
      <c r="AV133" s="267">
        <f>$CJ$667</f>
        <v>0</v>
      </c>
      <c r="AW133" s="229"/>
      <c r="AX133" s="229"/>
      <c r="AY133" s="229"/>
      <c r="AZ133" s="229"/>
      <c r="BA133" s="229"/>
      <c r="BB133" s="229"/>
      <c r="BC133" s="229"/>
      <c r="BD133" s="229"/>
      <c r="BE133" s="289"/>
      <c r="BF133" s="267">
        <f>$CJ$817</f>
        <v>0</v>
      </c>
      <c r="BG133" s="229"/>
      <c r="BH133" s="229"/>
      <c r="BI133" s="229"/>
      <c r="BJ133" s="229"/>
      <c r="BK133" s="229"/>
      <c r="BL133" s="229"/>
      <c r="BM133" s="229"/>
      <c r="BN133" s="229"/>
      <c r="BO133" s="289"/>
      <c r="BP133" s="267">
        <f>$CJ$967</f>
        <v>0</v>
      </c>
      <c r="BQ133" s="229"/>
      <c r="BR133" s="229"/>
      <c r="BS133" s="229"/>
      <c r="BT133" s="229"/>
      <c r="BU133" s="229"/>
      <c r="BV133" s="229"/>
      <c r="BW133" s="229"/>
      <c r="BX133" s="229"/>
      <c r="BY133" s="289"/>
      <c r="BZ133" s="429">
        <f t="shared" si="9"/>
        <v>7500</v>
      </c>
      <c r="CA133" s="430"/>
      <c r="CB133" s="430"/>
      <c r="CC133" s="430"/>
      <c r="CD133" s="430"/>
      <c r="CE133" s="430"/>
      <c r="CF133" s="430"/>
      <c r="CG133" s="430"/>
      <c r="CH133" s="430"/>
      <c r="CI133" s="431"/>
      <c r="CK133" s="288">
        <f>COUNTIFS('Form Details'!$J:$J,$C133,'Form Details'!$D:$D,"&lt;"&amp;'Adv. Filter'!$A$15)</f>
        <v>20</v>
      </c>
      <c r="CL133" s="229"/>
      <c r="CM133" s="229"/>
      <c r="CN133" s="229"/>
      <c r="CO133" s="229"/>
      <c r="CP133" s="229"/>
      <c r="CQ133" s="229"/>
      <c r="CR133" s="229"/>
      <c r="CS133" s="229"/>
      <c r="CT133" s="289"/>
      <c r="CU133" s="288">
        <f>COUNTIFS('Form Details'!$J:$J,$C133,'Form Details'!$D:$D,"&lt;"&amp;'Adv. Filter'!$A$15,'Form Details'!$AA:$AA,"Yes")</f>
        <v>20</v>
      </c>
      <c r="CV133" s="229"/>
      <c r="CW133" s="229"/>
      <c r="CX133" s="229"/>
      <c r="CY133" s="229"/>
      <c r="CZ133" s="229"/>
      <c r="DA133" s="229"/>
      <c r="DB133" s="229"/>
      <c r="DC133" s="229"/>
      <c r="DD133" s="289"/>
      <c r="DE133" s="288">
        <f>COUNTIFS('Form Details'!$J:$J,$C133,'Form Details'!$D:$D,"&lt;"&amp;'Adv. Filter'!$A$15,'Form Details'!$AA:$AA,"Yes",'Form Details'!$S:$S,'Adv. Filter'!$A$14,'Form Details'!$S:$S,'Adv. Filter'!$B$14)</f>
        <v>1</v>
      </c>
      <c r="DF133" s="229"/>
      <c r="DG133" s="229"/>
      <c r="DH133" s="229"/>
      <c r="DI133" s="229"/>
      <c r="DJ133" s="229"/>
      <c r="DK133" s="229"/>
      <c r="DL133" s="229"/>
      <c r="DM133" s="229"/>
      <c r="DN133" s="289"/>
      <c r="DO133" s="288">
        <f>COUNTIFS('Form Details'!$D:$D,"&lt;"&amp;'Adv. Filter'!$A$15,'Form Details'!$J:$J,$C133,'Form Details'!$W:$W,"Due")</f>
        <v>19</v>
      </c>
      <c r="DP133" s="229"/>
      <c r="DQ133" s="229"/>
      <c r="DR133" s="229"/>
      <c r="DS133" s="229"/>
      <c r="DT133" s="229"/>
      <c r="DU133" s="229"/>
      <c r="DV133" s="229"/>
      <c r="DW133" s="229"/>
      <c r="DX133" s="289"/>
      <c r="DY133" s="288">
        <f>COUNTIFS('Form Details'!$I:$I,"Project",'Form Details'!$J:$J,$C133,'Form Details'!$D:$D,"&lt;"&amp;'Adv. Filter'!$A$15)</f>
        <v>0</v>
      </c>
      <c r="DZ133" s="229"/>
      <c r="EA133" s="229"/>
      <c r="EB133" s="229"/>
      <c r="EC133" s="229"/>
      <c r="ED133" s="229"/>
      <c r="EE133" s="229"/>
      <c r="EF133" s="229"/>
      <c r="EG133" s="229"/>
      <c r="EH133" s="289"/>
    </row>
    <row r="134" spans="1:138" ht="15.75" hidden="1" thickBot="1">
      <c r="C134" s="293" t="s">
        <v>108</v>
      </c>
      <c r="D134" s="294"/>
      <c r="E134" s="294"/>
      <c r="F134" s="294"/>
      <c r="G134" s="294"/>
      <c r="H134" s="294"/>
      <c r="I134" s="294"/>
      <c r="J134" s="294"/>
      <c r="K134" s="294"/>
      <c r="L134" s="294"/>
      <c r="M134" s="294"/>
      <c r="N134" s="294"/>
      <c r="O134" s="294"/>
      <c r="P134" s="294"/>
      <c r="Q134" s="295"/>
      <c r="R134" s="432">
        <f>$CJ$211</f>
        <v>0</v>
      </c>
      <c r="S134" s="433"/>
      <c r="T134" s="433"/>
      <c r="U134" s="433"/>
      <c r="V134" s="433"/>
      <c r="W134" s="433"/>
      <c r="X134" s="433"/>
      <c r="Y134" s="433"/>
      <c r="Z134" s="433"/>
      <c r="AA134" s="434"/>
      <c r="AB134" s="432">
        <f>$CJ$371</f>
        <v>0</v>
      </c>
      <c r="AC134" s="433"/>
      <c r="AD134" s="433"/>
      <c r="AE134" s="433"/>
      <c r="AF134" s="433"/>
      <c r="AG134" s="433"/>
      <c r="AH134" s="433"/>
      <c r="AI134" s="433"/>
      <c r="AJ134" s="433"/>
      <c r="AK134" s="434"/>
      <c r="AL134" s="419">
        <f>$CJ$521</f>
        <v>0</v>
      </c>
      <c r="AM134" s="420"/>
      <c r="AN134" s="420"/>
      <c r="AO134" s="420"/>
      <c r="AP134" s="420"/>
      <c r="AQ134" s="420"/>
      <c r="AR134" s="420"/>
      <c r="AS134" s="420"/>
      <c r="AT134" s="420"/>
      <c r="AU134" s="421"/>
      <c r="AV134" s="267">
        <f>$CJ$671</f>
        <v>0</v>
      </c>
      <c r="AW134" s="229"/>
      <c r="AX134" s="229"/>
      <c r="AY134" s="229"/>
      <c r="AZ134" s="229"/>
      <c r="BA134" s="229"/>
      <c r="BB134" s="229"/>
      <c r="BC134" s="229"/>
      <c r="BD134" s="229"/>
      <c r="BE134" s="289"/>
      <c r="BF134" s="267">
        <f>$CJ$821</f>
        <v>0</v>
      </c>
      <c r="BG134" s="229"/>
      <c r="BH134" s="229"/>
      <c r="BI134" s="229"/>
      <c r="BJ134" s="229"/>
      <c r="BK134" s="229"/>
      <c r="BL134" s="229"/>
      <c r="BM134" s="229"/>
      <c r="BN134" s="229"/>
      <c r="BO134" s="289"/>
      <c r="BP134" s="267">
        <f>$CJ$971</f>
        <v>0</v>
      </c>
      <c r="BQ134" s="229"/>
      <c r="BR134" s="229"/>
      <c r="BS134" s="229"/>
      <c r="BT134" s="229"/>
      <c r="BU134" s="229"/>
      <c r="BV134" s="229"/>
      <c r="BW134" s="229"/>
      <c r="BX134" s="229"/>
      <c r="BY134" s="289"/>
      <c r="BZ134" s="290">
        <f t="shared" si="9"/>
        <v>0</v>
      </c>
      <c r="CA134" s="291"/>
      <c r="CB134" s="291"/>
      <c r="CC134" s="291"/>
      <c r="CD134" s="291"/>
      <c r="CE134" s="291"/>
      <c r="CF134" s="291"/>
      <c r="CG134" s="291"/>
      <c r="CH134" s="291"/>
      <c r="CI134" s="292"/>
      <c r="CK134" s="288">
        <f>COUNTIFS('Form Details'!$J:$J,$C134,'Form Details'!$D:$D,"&lt;"&amp;'Adv. Filter'!$A$15)</f>
        <v>0</v>
      </c>
      <c r="CL134" s="229"/>
      <c r="CM134" s="229"/>
      <c r="CN134" s="229"/>
      <c r="CO134" s="229"/>
      <c r="CP134" s="229"/>
      <c r="CQ134" s="229"/>
      <c r="CR134" s="229"/>
      <c r="CS134" s="229"/>
      <c r="CT134" s="289"/>
      <c r="CU134" s="288">
        <f>COUNTIFS('Form Details'!$J:$J,$C134,'Form Details'!$D:$D,"&lt;"&amp;'Adv. Filter'!$A$15,'Form Details'!$AA:$AA,"Yes")</f>
        <v>0</v>
      </c>
      <c r="CV134" s="229"/>
      <c r="CW134" s="229"/>
      <c r="CX134" s="229"/>
      <c r="CY134" s="229"/>
      <c r="CZ134" s="229"/>
      <c r="DA134" s="229"/>
      <c r="DB134" s="229"/>
      <c r="DC134" s="229"/>
      <c r="DD134" s="289"/>
      <c r="DE134" s="288">
        <f>COUNTIFS('Form Details'!$J:$J,$C134,'Form Details'!$D:$D,"&lt;"&amp;'Adv. Filter'!$A$15,'Form Details'!$AA:$AA,"Yes",'Form Details'!$S:$S,'Adv. Filter'!$A$14,'Form Details'!$S:$S,'Adv. Filter'!$B$14)</f>
        <v>0</v>
      </c>
      <c r="DF134" s="229"/>
      <c r="DG134" s="229"/>
      <c r="DH134" s="229"/>
      <c r="DI134" s="229"/>
      <c r="DJ134" s="229"/>
      <c r="DK134" s="229"/>
      <c r="DL134" s="229"/>
      <c r="DM134" s="229"/>
      <c r="DN134" s="289"/>
      <c r="DO134" s="288">
        <f>COUNTIFS('Form Details'!$D:$D,"&lt;"&amp;'Adv. Filter'!$A$15,'Form Details'!$J:$J,$C134,'Form Details'!$W:$W,"Due")</f>
        <v>0</v>
      </c>
      <c r="DP134" s="229"/>
      <c r="DQ134" s="229"/>
      <c r="DR134" s="229"/>
      <c r="DS134" s="229"/>
      <c r="DT134" s="229"/>
      <c r="DU134" s="229"/>
      <c r="DV134" s="229"/>
      <c r="DW134" s="229"/>
      <c r="DX134" s="289"/>
      <c r="DY134" s="288">
        <f>COUNTIFS('Form Details'!$I:$I,"Project",'Form Details'!$J:$J,$C134,'Form Details'!$D:$D,"&lt;"&amp;'Adv. Filter'!$A$15)</f>
        <v>0</v>
      </c>
      <c r="DZ134" s="229"/>
      <c r="EA134" s="229"/>
      <c r="EB134" s="229"/>
      <c r="EC134" s="229"/>
      <c r="ED134" s="229"/>
      <c r="EE134" s="229"/>
      <c r="EF134" s="229"/>
      <c r="EG134" s="229"/>
      <c r="EH134" s="289"/>
    </row>
    <row r="135" spans="1:138" ht="15.75" hidden="1" thickTop="1">
      <c r="A135" s="51"/>
      <c r="B135" s="51"/>
      <c r="C135" s="406" t="s">
        <v>34</v>
      </c>
      <c r="D135" s="406"/>
      <c r="E135" s="406"/>
      <c r="F135" s="406"/>
      <c r="G135" s="406"/>
      <c r="H135" s="406"/>
      <c r="I135" s="406"/>
      <c r="J135" s="406"/>
      <c r="K135" s="406"/>
      <c r="L135" s="406"/>
      <c r="M135" s="406"/>
      <c r="N135" s="406"/>
      <c r="O135" s="406"/>
      <c r="P135" s="406"/>
      <c r="Q135" s="406"/>
      <c r="R135" s="407">
        <f>$BP$215</f>
        <v>0</v>
      </c>
      <c r="S135" s="408"/>
      <c r="T135" s="408"/>
      <c r="U135" s="408"/>
      <c r="V135" s="408"/>
      <c r="W135" s="408"/>
      <c r="X135" s="408"/>
      <c r="Y135" s="408"/>
      <c r="Z135" s="408"/>
      <c r="AA135" s="408"/>
      <c r="AB135" s="407">
        <f>$BP$375</f>
        <v>8000</v>
      </c>
      <c r="AC135" s="408"/>
      <c r="AD135" s="408"/>
      <c r="AE135" s="408"/>
      <c r="AF135" s="408"/>
      <c r="AG135" s="408"/>
      <c r="AH135" s="408"/>
      <c r="AI135" s="408"/>
      <c r="AJ135" s="408"/>
      <c r="AK135" s="408"/>
      <c r="AL135" s="407">
        <f>$BP$525</f>
        <v>0</v>
      </c>
      <c r="AM135" s="408"/>
      <c r="AN135" s="408"/>
      <c r="AO135" s="408"/>
      <c r="AP135" s="408"/>
      <c r="AQ135" s="408"/>
      <c r="AR135" s="408"/>
      <c r="AS135" s="408"/>
      <c r="AT135" s="408"/>
      <c r="AU135" s="408"/>
      <c r="AV135" s="407">
        <f>$BP$675</f>
        <v>38000</v>
      </c>
      <c r="AW135" s="408"/>
      <c r="AX135" s="408"/>
      <c r="AY135" s="408"/>
      <c r="AZ135" s="408"/>
      <c r="BA135" s="408"/>
      <c r="BB135" s="408"/>
      <c r="BC135" s="408"/>
      <c r="BD135" s="408"/>
      <c r="BE135" s="408"/>
      <c r="BF135" s="407">
        <f>$BP$825</f>
        <v>0</v>
      </c>
      <c r="BG135" s="408"/>
      <c r="BH135" s="408"/>
      <c r="BI135" s="408"/>
      <c r="BJ135" s="408"/>
      <c r="BK135" s="408"/>
      <c r="BL135" s="408"/>
      <c r="BM135" s="408"/>
      <c r="BN135" s="408"/>
      <c r="BO135" s="408"/>
      <c r="BP135" s="407">
        <f>$BP$975</f>
        <v>0</v>
      </c>
      <c r="BQ135" s="408"/>
      <c r="BR135" s="408"/>
      <c r="BS135" s="408"/>
      <c r="BT135" s="408"/>
      <c r="BU135" s="408"/>
      <c r="BV135" s="408"/>
      <c r="BW135" s="408"/>
      <c r="BX135" s="408"/>
      <c r="BY135" s="409"/>
      <c r="BZ135" s="435">
        <f>IF(SUM(BZ118:CI134)=SUM(R137:BY137),SUM(BZ118:CI134),"")</f>
        <v>144890</v>
      </c>
      <c r="CA135" s="436"/>
      <c r="CB135" s="436"/>
      <c r="CC135" s="436"/>
      <c r="CD135" s="436"/>
      <c r="CE135" s="436"/>
      <c r="CF135" s="436"/>
      <c r="CG135" s="436"/>
      <c r="CH135" s="436"/>
      <c r="CI135" s="437"/>
      <c r="CK135" s="43"/>
      <c r="CL135" s="1"/>
      <c r="CM135" s="1"/>
      <c r="CN135" s="1"/>
      <c r="CO135" s="1"/>
      <c r="CP135" s="1"/>
      <c r="CQ135" s="1"/>
      <c r="CR135" s="1"/>
      <c r="CS135" s="1"/>
      <c r="CT135" s="40"/>
      <c r="CU135" s="43"/>
      <c r="CV135" s="1"/>
      <c r="CW135" s="1"/>
      <c r="CX135" s="1"/>
      <c r="CY135" s="1"/>
      <c r="CZ135" s="1"/>
      <c r="DA135" s="1"/>
      <c r="DB135" s="1"/>
      <c r="DC135" s="1"/>
      <c r="DD135" s="40"/>
      <c r="DE135" s="43"/>
      <c r="DF135" s="1"/>
      <c r="DG135" s="1"/>
      <c r="DH135" s="1"/>
      <c r="DI135" s="1"/>
      <c r="DJ135" s="1"/>
      <c r="DK135" s="1"/>
      <c r="DL135" s="1"/>
      <c r="DM135" s="1"/>
      <c r="DN135" s="40"/>
      <c r="DO135" s="37"/>
      <c r="DP135" s="24"/>
      <c r="DQ135" s="24"/>
      <c r="DR135" s="24"/>
      <c r="DS135" s="24"/>
      <c r="DT135" s="24"/>
      <c r="DU135" s="24"/>
      <c r="DV135" s="24"/>
      <c r="DW135" s="24"/>
      <c r="DX135" s="110"/>
      <c r="DY135" s="43"/>
      <c r="DZ135" s="1"/>
      <c r="EA135" s="1"/>
      <c r="EB135" s="1"/>
      <c r="EC135" s="1"/>
      <c r="ED135" s="1"/>
      <c r="EE135" s="1"/>
      <c r="EF135" s="1"/>
      <c r="EG135" s="1"/>
      <c r="EH135" s="40"/>
    </row>
    <row r="136" spans="1:138" ht="15.75" hidden="1" thickBot="1">
      <c r="C136" s="422" t="s">
        <v>331</v>
      </c>
      <c r="D136" s="422"/>
      <c r="E136" s="422"/>
      <c r="F136" s="422"/>
      <c r="G136" s="422"/>
      <c r="H136" s="422"/>
      <c r="I136" s="422"/>
      <c r="J136" s="422"/>
      <c r="K136" s="422"/>
      <c r="L136" s="422"/>
      <c r="M136" s="422"/>
      <c r="N136" s="422"/>
      <c r="O136" s="422"/>
      <c r="P136" s="422"/>
      <c r="Q136" s="422"/>
      <c r="R136" s="407">
        <f>$BZ$215</f>
        <v>11500</v>
      </c>
      <c r="S136" s="408"/>
      <c r="T136" s="408"/>
      <c r="U136" s="408"/>
      <c r="V136" s="408"/>
      <c r="W136" s="408"/>
      <c r="X136" s="408"/>
      <c r="Y136" s="408"/>
      <c r="Z136" s="408"/>
      <c r="AA136" s="408"/>
      <c r="AB136" s="407">
        <f>$BZ$375</f>
        <v>21000</v>
      </c>
      <c r="AC136" s="408"/>
      <c r="AD136" s="408"/>
      <c r="AE136" s="408"/>
      <c r="AF136" s="408"/>
      <c r="AG136" s="408"/>
      <c r="AH136" s="408"/>
      <c r="AI136" s="408"/>
      <c r="AJ136" s="408"/>
      <c r="AK136" s="408"/>
      <c r="AL136" s="407">
        <f>$BZ$525</f>
        <v>36390</v>
      </c>
      <c r="AM136" s="408"/>
      <c r="AN136" s="408"/>
      <c r="AO136" s="408"/>
      <c r="AP136" s="408"/>
      <c r="AQ136" s="408"/>
      <c r="AR136" s="408"/>
      <c r="AS136" s="408"/>
      <c r="AT136" s="408"/>
      <c r="AU136" s="408"/>
      <c r="AV136" s="423">
        <f>$BZ$675</f>
        <v>30000</v>
      </c>
      <c r="AW136" s="424"/>
      <c r="AX136" s="424"/>
      <c r="AY136" s="424"/>
      <c r="AZ136" s="424"/>
      <c r="BA136" s="424"/>
      <c r="BB136" s="424"/>
      <c r="BC136" s="424"/>
      <c r="BD136" s="424"/>
      <c r="BE136" s="425"/>
      <c r="BF136" s="407">
        <f>$BZ$825</f>
        <v>0</v>
      </c>
      <c r="BG136" s="408"/>
      <c r="BH136" s="408"/>
      <c r="BI136" s="408"/>
      <c r="BJ136" s="408"/>
      <c r="BK136" s="408"/>
      <c r="BL136" s="408"/>
      <c r="BM136" s="408"/>
      <c r="BN136" s="408"/>
      <c r="BO136" s="408"/>
      <c r="BP136" s="426">
        <f>$BZ$975</f>
        <v>0</v>
      </c>
      <c r="BQ136" s="408"/>
      <c r="BR136" s="408"/>
      <c r="BS136" s="408"/>
      <c r="BT136" s="408"/>
      <c r="BU136" s="408"/>
      <c r="BV136" s="408"/>
      <c r="BW136" s="408"/>
      <c r="BX136" s="408"/>
      <c r="BY136" s="409"/>
      <c r="BZ136" s="438"/>
      <c r="CA136" s="439"/>
      <c r="CB136" s="439"/>
      <c r="CC136" s="439"/>
      <c r="CD136" s="439"/>
      <c r="CE136" s="439"/>
      <c r="CF136" s="439"/>
      <c r="CG136" s="439"/>
      <c r="CH136" s="439"/>
      <c r="CI136" s="440"/>
      <c r="CK136" s="43"/>
      <c r="CL136" s="1"/>
      <c r="CM136" s="1"/>
      <c r="CN136" s="1"/>
      <c r="CO136" s="1"/>
      <c r="CP136" s="1"/>
      <c r="CQ136" s="1"/>
      <c r="CR136" s="1"/>
      <c r="CS136" s="1"/>
      <c r="CT136" s="40"/>
      <c r="CU136" s="43"/>
      <c r="CV136" s="1"/>
      <c r="CW136" s="1"/>
      <c r="CX136" s="1"/>
      <c r="CY136" s="1"/>
      <c r="CZ136" s="1"/>
      <c r="DA136" s="1"/>
      <c r="DB136" s="1"/>
      <c r="DC136" s="1"/>
      <c r="DD136" s="40"/>
      <c r="DE136" s="43"/>
      <c r="DF136" s="1"/>
      <c r="DG136" s="1"/>
      <c r="DH136" s="1"/>
      <c r="DI136" s="1"/>
      <c r="DJ136" s="1"/>
      <c r="DK136" s="1"/>
      <c r="DL136" s="1"/>
      <c r="DM136" s="1"/>
      <c r="DN136" s="40"/>
      <c r="DO136" s="43"/>
      <c r="DP136" s="1"/>
      <c r="DQ136" s="1"/>
      <c r="DR136" s="1"/>
      <c r="DS136" s="1"/>
      <c r="DT136" s="1"/>
      <c r="DU136" s="1"/>
      <c r="DV136" s="1"/>
      <c r="DW136" s="1"/>
      <c r="DX136" s="40"/>
      <c r="DY136" s="37"/>
      <c r="DZ136" s="24"/>
      <c r="EA136" s="24"/>
      <c r="EB136" s="24"/>
      <c r="EC136" s="24"/>
      <c r="ED136" s="24"/>
      <c r="EE136" s="24"/>
      <c r="EF136" s="24"/>
      <c r="EG136" s="24"/>
      <c r="EH136" s="110"/>
    </row>
    <row r="137" spans="1:138" ht="16.5" hidden="1" thickTop="1" thickBot="1">
      <c r="A137" s="51"/>
      <c r="B137" s="51"/>
      <c r="C137" s="223" t="s">
        <v>503</v>
      </c>
      <c r="D137" s="224"/>
      <c r="E137" s="224"/>
      <c r="F137" s="224"/>
      <c r="G137" s="224"/>
      <c r="H137" s="224"/>
      <c r="I137" s="224"/>
      <c r="J137" s="224"/>
      <c r="K137" s="224"/>
      <c r="L137" s="224"/>
      <c r="M137" s="224"/>
      <c r="N137" s="224"/>
      <c r="O137" s="224"/>
      <c r="P137" s="224"/>
      <c r="Q137" s="224"/>
      <c r="R137" s="222">
        <f>SUM(R118:AA134)</f>
        <v>11500</v>
      </c>
      <c r="S137" s="427"/>
      <c r="T137" s="427"/>
      <c r="U137" s="427"/>
      <c r="V137" s="427"/>
      <c r="W137" s="427"/>
      <c r="X137" s="427"/>
      <c r="Y137" s="427"/>
      <c r="Z137" s="427"/>
      <c r="AA137" s="427"/>
      <c r="AB137" s="222">
        <f>SUM(AB118:AK134)</f>
        <v>29000</v>
      </c>
      <c r="AC137" s="427"/>
      <c r="AD137" s="427"/>
      <c r="AE137" s="427"/>
      <c r="AF137" s="427"/>
      <c r="AG137" s="427"/>
      <c r="AH137" s="427"/>
      <c r="AI137" s="427"/>
      <c r="AJ137" s="427"/>
      <c r="AK137" s="427"/>
      <c r="AL137" s="222">
        <f>SUM(AL118:AU134)</f>
        <v>36390</v>
      </c>
      <c r="AM137" s="427"/>
      <c r="AN137" s="427"/>
      <c r="AO137" s="427"/>
      <c r="AP137" s="427"/>
      <c r="AQ137" s="427"/>
      <c r="AR137" s="427"/>
      <c r="AS137" s="427"/>
      <c r="AT137" s="427"/>
      <c r="AU137" s="427"/>
      <c r="AV137" s="222">
        <f>SUM(AV118:BE134)</f>
        <v>68000</v>
      </c>
      <c r="AW137" s="427"/>
      <c r="AX137" s="427"/>
      <c r="AY137" s="427"/>
      <c r="AZ137" s="427"/>
      <c r="BA137" s="427"/>
      <c r="BB137" s="427"/>
      <c r="BC137" s="427"/>
      <c r="BD137" s="427"/>
      <c r="BE137" s="427"/>
      <c r="BF137" s="222">
        <f>SUM(BF118:BO134)</f>
        <v>0</v>
      </c>
      <c r="BG137" s="427"/>
      <c r="BH137" s="427"/>
      <c r="BI137" s="427"/>
      <c r="BJ137" s="427"/>
      <c r="BK137" s="427"/>
      <c r="BL137" s="427"/>
      <c r="BM137" s="427"/>
      <c r="BN137" s="427"/>
      <c r="BO137" s="427"/>
      <c r="BP137" s="222">
        <f>SUM(BP118:BY134)</f>
        <v>0</v>
      </c>
      <c r="BQ137" s="427"/>
      <c r="BR137" s="427"/>
      <c r="BS137" s="427"/>
      <c r="BT137" s="427"/>
      <c r="BU137" s="427"/>
      <c r="BV137" s="427"/>
      <c r="BW137" s="427"/>
      <c r="BX137" s="427"/>
      <c r="BY137" s="427"/>
      <c r="BZ137" s="456">
        <f>BZ110+BZ135</f>
        <v>3483975</v>
      </c>
      <c r="CA137" s="457"/>
      <c r="CB137" s="457"/>
      <c r="CC137" s="457"/>
      <c r="CD137" s="457"/>
      <c r="CE137" s="457"/>
      <c r="CF137" s="457"/>
      <c r="CG137" s="457"/>
      <c r="CH137" s="457"/>
      <c r="CI137" s="458"/>
      <c r="CK137" s="407">
        <f>SUM(CK118:CT134)</f>
        <v>275</v>
      </c>
      <c r="CL137" s="408"/>
      <c r="CM137" s="408"/>
      <c r="CN137" s="408"/>
      <c r="CO137" s="408"/>
      <c r="CP137" s="408"/>
      <c r="CQ137" s="408"/>
      <c r="CR137" s="408"/>
      <c r="CS137" s="408"/>
      <c r="CT137" s="408"/>
      <c r="CU137" s="407">
        <f>SUM(CU118:DD134)</f>
        <v>273</v>
      </c>
      <c r="CV137" s="408"/>
      <c r="CW137" s="408"/>
      <c r="CX137" s="408"/>
      <c r="CY137" s="408"/>
      <c r="CZ137" s="408"/>
      <c r="DA137" s="408"/>
      <c r="DB137" s="408"/>
      <c r="DC137" s="408"/>
      <c r="DD137" s="408"/>
      <c r="DE137" s="407">
        <f>SUM(DE118:DN134)</f>
        <v>41</v>
      </c>
      <c r="DF137" s="408"/>
      <c r="DG137" s="408"/>
      <c r="DH137" s="408"/>
      <c r="DI137" s="408"/>
      <c r="DJ137" s="408"/>
      <c r="DK137" s="408"/>
      <c r="DL137" s="408"/>
      <c r="DM137" s="408"/>
      <c r="DN137" s="408"/>
      <c r="DO137" s="407">
        <f>SUM(DO118:DX134)</f>
        <v>233</v>
      </c>
      <c r="DP137" s="408"/>
      <c r="DQ137" s="408"/>
      <c r="DR137" s="408"/>
      <c r="DS137" s="408"/>
      <c r="DT137" s="408"/>
      <c r="DU137" s="408"/>
      <c r="DV137" s="408"/>
      <c r="DW137" s="408"/>
      <c r="DX137" s="408"/>
      <c r="DY137" s="407">
        <f>SUM(DY118:EH134)</f>
        <v>14</v>
      </c>
      <c r="DZ137" s="408"/>
      <c r="EA137" s="408"/>
      <c r="EB137" s="408"/>
      <c r="EC137" s="408"/>
      <c r="ED137" s="408"/>
      <c r="EE137" s="408"/>
      <c r="EF137" s="408"/>
      <c r="EG137" s="408"/>
      <c r="EH137" s="408"/>
    </row>
    <row r="138" spans="1:138" ht="15.75" hidden="1" thickTop="1"/>
    <row r="139" spans="1:138" hidden="1"/>
    <row r="140" spans="1:138" ht="15" hidden="1" customHeight="1">
      <c r="A140" s="303"/>
      <c r="B140" s="303"/>
      <c r="C140" s="303"/>
      <c r="D140" s="303"/>
      <c r="E140" s="303"/>
      <c r="F140" s="303"/>
      <c r="G140" s="303"/>
      <c r="H140" s="303"/>
      <c r="I140" s="303"/>
      <c r="J140" s="303"/>
      <c r="K140" s="303"/>
      <c r="L140" s="303"/>
      <c r="M140" s="303"/>
      <c r="N140" s="303"/>
      <c r="O140" s="303"/>
      <c r="P140" s="303"/>
      <c r="Q140" s="303"/>
      <c r="R140" s="303"/>
      <c r="S140" s="303"/>
      <c r="T140" s="303"/>
      <c r="U140" s="303"/>
      <c r="V140" s="303"/>
      <c r="W140" s="303"/>
      <c r="X140" s="303"/>
      <c r="Y140" s="303"/>
      <c r="Z140" s="303"/>
      <c r="AA140" s="303"/>
      <c r="AB140" s="303"/>
      <c r="AC140" s="303"/>
      <c r="AD140" s="303"/>
      <c r="AE140" s="303"/>
      <c r="AF140" s="303"/>
      <c r="AG140" s="303"/>
      <c r="AH140" s="303"/>
      <c r="AI140" s="303"/>
      <c r="AJ140" s="303"/>
      <c r="AK140" s="303"/>
      <c r="AL140" s="303"/>
      <c r="AM140" s="303"/>
      <c r="AN140" s="303"/>
      <c r="AO140" s="303"/>
      <c r="AP140" s="303"/>
      <c r="AQ140" s="303"/>
      <c r="AR140" s="303"/>
      <c r="AS140" s="303"/>
      <c r="AT140" s="303"/>
      <c r="AU140" s="303"/>
      <c r="AV140" s="303"/>
      <c r="AW140" s="303"/>
      <c r="AX140" s="303"/>
      <c r="AY140" s="303"/>
      <c r="AZ140" s="303"/>
      <c r="BA140" s="303"/>
      <c r="BB140" s="303"/>
      <c r="BC140" s="303"/>
      <c r="BD140" s="303"/>
      <c r="BE140" s="303"/>
      <c r="BF140" s="303"/>
      <c r="BG140" s="303"/>
      <c r="BH140" s="303"/>
      <c r="BI140" s="303"/>
      <c r="BJ140" s="303"/>
      <c r="BK140" s="303"/>
      <c r="BL140" s="303"/>
      <c r="BM140" s="303"/>
      <c r="BN140" s="303"/>
      <c r="BO140" s="303"/>
      <c r="BP140" s="303"/>
      <c r="BQ140" s="303"/>
      <c r="BR140" s="303"/>
      <c r="BS140" s="303"/>
      <c r="BT140" s="303"/>
      <c r="BU140" s="303"/>
      <c r="BV140" s="303"/>
      <c r="BW140" s="303"/>
      <c r="BX140" s="303"/>
      <c r="BY140" s="303"/>
      <c r="BZ140" s="303"/>
      <c r="CA140" s="303"/>
      <c r="CB140" s="303"/>
      <c r="CC140" s="303"/>
      <c r="CD140" s="303"/>
      <c r="CE140" s="303"/>
      <c r="CF140" s="303"/>
      <c r="CG140" s="303"/>
      <c r="CH140" s="303"/>
      <c r="CI140" s="303"/>
      <c r="CJ140" s="303"/>
      <c r="CK140" s="303"/>
      <c r="CL140" s="303"/>
      <c r="CM140" s="303"/>
      <c r="CN140" s="303"/>
      <c r="CO140" s="303"/>
      <c r="CP140" s="303"/>
      <c r="CQ140" s="303"/>
      <c r="CR140" s="303"/>
      <c r="CS140" s="303"/>
      <c r="CT140" s="303"/>
      <c r="CU140" s="303"/>
      <c r="CV140" s="303"/>
      <c r="CW140" s="303"/>
      <c r="CX140" s="303"/>
      <c r="CY140" s="303"/>
      <c r="CZ140" s="303"/>
    </row>
    <row r="141" spans="1:138" ht="15" hidden="1" customHeight="1"/>
    <row r="142" spans="1:138" hidden="1"/>
    <row r="143" spans="1:138" ht="15" hidden="1" customHeight="1">
      <c r="AR143" s="441" t="s">
        <v>519</v>
      </c>
      <c r="AS143" s="441"/>
      <c r="AT143" s="441"/>
      <c r="AU143" s="441"/>
      <c r="AV143" s="441"/>
      <c r="AW143" s="441"/>
      <c r="AX143" s="441"/>
      <c r="AY143" s="441"/>
      <c r="AZ143" s="441"/>
      <c r="BA143" s="441"/>
      <c r="BB143" s="441"/>
      <c r="BC143" s="441"/>
      <c r="BD143" s="441"/>
      <c r="BE143" s="441"/>
      <c r="BF143" s="441"/>
      <c r="BG143" s="441"/>
      <c r="BH143" s="441"/>
      <c r="BI143" s="441"/>
      <c r="BJ143" s="441"/>
      <c r="BK143" s="441"/>
      <c r="BL143" s="441"/>
      <c r="BM143" s="441"/>
      <c r="BN143" s="441"/>
      <c r="BO143" s="441"/>
      <c r="BP143" s="441"/>
      <c r="BQ143" s="441"/>
      <c r="BR143" s="441"/>
      <c r="BS143" s="441"/>
      <c r="BT143" s="441"/>
      <c r="BU143" s="441"/>
      <c r="BV143" s="441"/>
      <c r="BW143" s="441"/>
      <c r="BX143" s="441"/>
      <c r="BY143" s="441"/>
      <c r="BZ143" s="441"/>
      <c r="CA143" s="441"/>
      <c r="CB143" s="441"/>
      <c r="CC143" s="441"/>
      <c r="CD143" s="441"/>
      <c r="CE143" s="441"/>
      <c r="CF143" s="441"/>
      <c r="CG143" s="441"/>
      <c r="CH143" s="441"/>
      <c r="CI143" s="441"/>
      <c r="CJ143" s="441"/>
      <c r="CK143" s="441"/>
      <c r="CL143" s="441"/>
      <c r="CM143" s="50"/>
      <c r="CN143" s="50"/>
      <c r="CO143" s="50"/>
      <c r="CP143" s="50"/>
      <c r="CQ143" s="50"/>
      <c r="CR143" s="50"/>
      <c r="CS143" s="50"/>
      <c r="CT143" s="50"/>
      <c r="CU143" s="50"/>
      <c r="CV143" s="50"/>
      <c r="CW143" s="50"/>
    </row>
    <row r="144" spans="1:138" ht="15" hidden="1" customHeight="1">
      <c r="AR144" s="451" t="str">
        <f>CONCATENATE("Statement As of  ",TEXT('Adv. Filter'!$A$15,"DD-MMM-YYYY"), " TO ",TEXT('Adv. Filter'!$B$15,"DD-MMM-YYYY"))</f>
        <v>Statement As of  01-Jan-2017 TO 13-Oct-2017</v>
      </c>
      <c r="AS144" s="451"/>
      <c r="AT144" s="451"/>
      <c r="AU144" s="451"/>
      <c r="AV144" s="451"/>
      <c r="AW144" s="451"/>
      <c r="AX144" s="451"/>
      <c r="AY144" s="451"/>
      <c r="AZ144" s="451"/>
      <c r="BA144" s="451"/>
      <c r="BB144" s="451"/>
      <c r="BC144" s="451"/>
      <c r="BD144" s="451"/>
      <c r="BE144" s="451"/>
      <c r="BF144" s="451"/>
      <c r="BG144" s="451"/>
      <c r="BH144" s="451"/>
      <c r="BI144" s="451"/>
      <c r="BJ144" s="451"/>
      <c r="BK144" s="451"/>
      <c r="BL144" s="451"/>
      <c r="BM144" s="451"/>
      <c r="BN144" s="451"/>
      <c r="BO144" s="451"/>
      <c r="BP144" s="451"/>
      <c r="BQ144" s="451"/>
      <c r="BR144" s="451"/>
      <c r="BS144" s="451"/>
      <c r="BT144" s="451"/>
      <c r="BU144" s="451"/>
      <c r="BV144" s="451"/>
      <c r="BW144" s="451"/>
      <c r="BX144" s="451"/>
      <c r="BY144" s="451"/>
      <c r="BZ144" s="451"/>
      <c r="CA144" s="451"/>
      <c r="CB144" s="451"/>
      <c r="CC144" s="451"/>
      <c r="CD144" s="451"/>
      <c r="CE144" s="451"/>
      <c r="CF144" s="451"/>
      <c r="CG144" s="451"/>
      <c r="CH144" s="451"/>
      <c r="CI144" s="451"/>
      <c r="CJ144" s="451"/>
      <c r="CK144" s="451"/>
      <c r="CL144" s="451"/>
      <c r="CM144" s="50"/>
      <c r="CN144" s="50"/>
      <c r="CO144" s="50"/>
      <c r="CP144" s="50"/>
      <c r="CQ144" s="50"/>
      <c r="CR144" s="50"/>
    </row>
    <row r="145" spans="1:206" s="44" customFormat="1" hidden="1">
      <c r="A145"/>
      <c r="B145"/>
      <c r="C145"/>
      <c r="D145" s="13"/>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row>
    <row r="146" spans="1:206" ht="15.75" hidden="1">
      <c r="C146" s="452" t="s">
        <v>513</v>
      </c>
      <c r="D146" s="452"/>
      <c r="E146" s="452"/>
      <c r="F146" s="452"/>
      <c r="G146" s="452"/>
      <c r="H146" s="452"/>
      <c r="I146" s="452"/>
      <c r="J146" s="452"/>
      <c r="K146" s="452"/>
      <c r="L146" s="452"/>
      <c r="M146" s="452"/>
      <c r="N146" s="452"/>
      <c r="O146" s="452"/>
      <c r="P146" s="452"/>
      <c r="Q146" s="452"/>
      <c r="R146" s="452"/>
      <c r="S146" s="452"/>
      <c r="T146" s="453" t="str">
        <f>CONCATENATE("PRESENT   ",TEXT('Adv. Filter'!$A$15,"( DD-MMM-YY"), " TO ",TEXT('Adv. Filter'!$B$15,"DD-MMM-YY )"))</f>
        <v>PRESENT   ( 01-Jan-17 TO 13-Oct-17 )</v>
      </c>
      <c r="U146" s="454"/>
      <c r="V146" s="454"/>
      <c r="W146" s="454"/>
      <c r="X146" s="454"/>
      <c r="Y146" s="454"/>
      <c r="Z146" s="454"/>
      <c r="AA146" s="454"/>
      <c r="AB146" s="454"/>
      <c r="AC146" s="454"/>
      <c r="AD146" s="454"/>
      <c r="AE146" s="454"/>
      <c r="AF146" s="454"/>
      <c r="AG146" s="454"/>
      <c r="AH146" s="454"/>
      <c r="AI146" s="454"/>
      <c r="AJ146" s="454"/>
      <c r="AK146" s="454"/>
      <c r="AL146" s="454"/>
      <c r="AM146" s="454"/>
      <c r="AN146" s="454"/>
      <c r="AO146" s="454"/>
      <c r="AP146" s="454"/>
      <c r="AQ146" s="454"/>
      <c r="AR146" s="454"/>
      <c r="AS146" s="454"/>
      <c r="AT146" s="454"/>
      <c r="AU146" s="454"/>
      <c r="AV146" s="454"/>
      <c r="AW146" s="455"/>
      <c r="AX146" s="49"/>
      <c r="AY146" s="452" t="s">
        <v>513</v>
      </c>
      <c r="AZ146" s="452"/>
      <c r="BA146" s="452"/>
      <c r="BB146" s="452"/>
      <c r="BC146" s="452"/>
      <c r="BD146" s="452"/>
      <c r="BE146" s="452"/>
      <c r="BF146" s="452"/>
      <c r="BG146" s="452"/>
      <c r="BH146" s="452"/>
      <c r="BI146" s="452"/>
      <c r="BJ146" s="452"/>
      <c r="BK146" s="452"/>
      <c r="BL146" s="452"/>
      <c r="BM146" s="452"/>
      <c r="BN146" s="452"/>
      <c r="BO146" s="452"/>
      <c r="BP146" s="453" t="str">
        <f>CONCATENATE("PREVIOUS   ",TEXT('Adv. Filter'!$A$15,"( up to  DD-MMM-YY )"))</f>
        <v>PREVIOUS   ( up to  01-Jan-17 )</v>
      </c>
      <c r="BQ146" s="454"/>
      <c r="BR146" s="454"/>
      <c r="BS146" s="454"/>
      <c r="BT146" s="454"/>
      <c r="BU146" s="454"/>
      <c r="BV146" s="454"/>
      <c r="BW146" s="454"/>
      <c r="BX146" s="454"/>
      <c r="BY146" s="454"/>
      <c r="BZ146" s="454"/>
      <c r="CA146" s="454"/>
      <c r="CB146" s="454"/>
      <c r="CC146" s="454"/>
      <c r="CD146" s="454"/>
      <c r="CE146" s="454"/>
      <c r="CF146" s="454"/>
      <c r="CG146" s="454"/>
      <c r="CH146" s="454"/>
      <c r="CI146" s="454"/>
      <c r="CJ146" s="454"/>
      <c r="CK146" s="454"/>
      <c r="CL146" s="454"/>
      <c r="CM146" s="454"/>
      <c r="CN146" s="454"/>
      <c r="CO146" s="454"/>
      <c r="CP146" s="454"/>
      <c r="CQ146" s="454"/>
      <c r="CR146" s="454"/>
      <c r="CS146" s="455"/>
      <c r="CT146" s="288"/>
      <c r="CU146" s="229"/>
      <c r="CV146" s="229"/>
      <c r="CW146" s="229"/>
      <c r="CX146" s="229"/>
      <c r="CY146" s="229"/>
      <c r="CZ146" s="229"/>
      <c r="DA146" s="289"/>
      <c r="DF146" s="121" t="s">
        <v>63</v>
      </c>
    </row>
    <row r="147" spans="1:206" hidden="1">
      <c r="C147" s="452"/>
      <c r="D147" s="452"/>
      <c r="E147" s="452"/>
      <c r="F147" s="452"/>
      <c r="G147" s="452"/>
      <c r="H147" s="452"/>
      <c r="I147" s="452"/>
      <c r="J147" s="452"/>
      <c r="K147" s="452"/>
      <c r="L147" s="452"/>
      <c r="M147" s="452"/>
      <c r="N147" s="452"/>
      <c r="O147" s="452"/>
      <c r="P147" s="452"/>
      <c r="Q147" s="452"/>
      <c r="R147" s="452"/>
      <c r="S147" s="452"/>
      <c r="T147" s="442" t="s">
        <v>34</v>
      </c>
      <c r="U147" s="443"/>
      <c r="V147" s="443"/>
      <c r="W147" s="443"/>
      <c r="X147" s="443"/>
      <c r="Y147" s="443"/>
      <c r="Z147" s="443"/>
      <c r="AA147" s="443"/>
      <c r="AB147" s="443"/>
      <c r="AC147" s="444"/>
      <c r="AD147" s="442" t="s">
        <v>10</v>
      </c>
      <c r="AE147" s="443"/>
      <c r="AF147" s="443"/>
      <c r="AG147" s="443"/>
      <c r="AH147" s="443"/>
      <c r="AI147" s="443"/>
      <c r="AJ147" s="443"/>
      <c r="AK147" s="443"/>
      <c r="AL147" s="443"/>
      <c r="AM147" s="444"/>
      <c r="AN147" s="445" t="s">
        <v>503</v>
      </c>
      <c r="AO147" s="446"/>
      <c r="AP147" s="446"/>
      <c r="AQ147" s="446"/>
      <c r="AR147" s="446"/>
      <c r="AS147" s="446"/>
      <c r="AT147" s="446"/>
      <c r="AU147" s="446"/>
      <c r="AV147" s="446"/>
      <c r="AW147" s="447"/>
      <c r="AY147" s="452"/>
      <c r="AZ147" s="452"/>
      <c r="BA147" s="452"/>
      <c r="BB147" s="452"/>
      <c r="BC147" s="452"/>
      <c r="BD147" s="452"/>
      <c r="BE147" s="452"/>
      <c r="BF147" s="452"/>
      <c r="BG147" s="452"/>
      <c r="BH147" s="452"/>
      <c r="BI147" s="452"/>
      <c r="BJ147" s="452"/>
      <c r="BK147" s="452"/>
      <c r="BL147" s="452"/>
      <c r="BM147" s="452"/>
      <c r="BN147" s="452"/>
      <c r="BO147" s="452"/>
      <c r="BP147" s="442" t="s">
        <v>34</v>
      </c>
      <c r="BQ147" s="443"/>
      <c r="BR147" s="443"/>
      <c r="BS147" s="443"/>
      <c r="BT147" s="443"/>
      <c r="BU147" s="443"/>
      <c r="BV147" s="443"/>
      <c r="BW147" s="443"/>
      <c r="BX147" s="443"/>
      <c r="BY147" s="444"/>
      <c r="BZ147" s="442" t="s">
        <v>10</v>
      </c>
      <c r="CA147" s="443"/>
      <c r="CB147" s="443"/>
      <c r="CC147" s="443"/>
      <c r="CD147" s="443"/>
      <c r="CE147" s="443"/>
      <c r="CF147" s="443"/>
      <c r="CG147" s="443"/>
      <c r="CH147" s="443"/>
      <c r="CI147" s="444"/>
      <c r="CJ147" s="445" t="s">
        <v>503</v>
      </c>
      <c r="CK147" s="446"/>
      <c r="CL147" s="446"/>
      <c r="CM147" s="446"/>
      <c r="CN147" s="446"/>
      <c r="CO147" s="446"/>
      <c r="CP147" s="446"/>
      <c r="CQ147" s="446"/>
      <c r="CR147" s="446"/>
      <c r="CS147" s="447"/>
      <c r="DF147" s="122" t="s">
        <v>583</v>
      </c>
      <c r="DG147" s="123">
        <f>COUNTIFS('Form Details'!$W:$W,"Due",'Form Details'!$AB:$AB,"R",'Form Details'!$N:$N,DF146)</f>
        <v>238</v>
      </c>
    </row>
    <row r="148" spans="1:206" hidden="1">
      <c r="A148" s="44"/>
      <c r="B148" s="44"/>
      <c r="C148" s="299" t="s">
        <v>26</v>
      </c>
      <c r="D148" s="300"/>
      <c r="E148" s="300"/>
      <c r="F148" s="300"/>
      <c r="G148" s="300"/>
      <c r="H148" s="300"/>
      <c r="I148" s="300"/>
      <c r="J148" s="300"/>
      <c r="K148" s="300"/>
      <c r="L148" s="300"/>
      <c r="M148" s="300"/>
      <c r="N148" s="300"/>
      <c r="O148" s="300"/>
      <c r="P148" s="300"/>
      <c r="Q148" s="300"/>
      <c r="R148" s="300"/>
      <c r="S148" s="301"/>
      <c r="T148" s="276">
        <f>SUMIFS('Adv. Filter'!$BJ$1:$BJ$50000,'Adv. Filter'!$BT$1:$BT$50000,"Mahesh",'Adv. Filter'!$BQ$1:$BQ$50000,$C148,'Adv. Filter'!$BH$1:$BH$50000,"Cash",'Adv. Filter'!$BO$1:$BO$50000,'Adv. Filter'!$A$14,'Adv. Filter'!$BO$1:$BO$50000,'Adv. Filter'!$B$14)</f>
        <v>0</v>
      </c>
      <c r="U148" s="277"/>
      <c r="V148" s="277"/>
      <c r="W148" s="277"/>
      <c r="X148" s="277"/>
      <c r="Y148" s="277"/>
      <c r="Z148" s="277"/>
      <c r="AA148" s="277"/>
      <c r="AB148" s="277"/>
      <c r="AC148" s="278"/>
      <c r="AD148" s="276">
        <f>SUMIFS('Adv. Filter'!$BJ$1:$BJ$50000,'Adv. Filter'!$BT$1:$BT$50000,"Mahesh",'Adv. Filter'!$BQ$1:$BQ$50000,$C148,'Adv. Filter'!$BH$1:$BH$50000,"Bank",'Adv. Filter'!$BO$1:$BO$50000,'Adv. Filter'!$A$14,'Adv. Filter'!$BO$1:$BO$50000,'Adv. Filter'!$B$14)</f>
        <v>0</v>
      </c>
      <c r="AE148" s="277"/>
      <c r="AF148" s="277"/>
      <c r="AG148" s="277"/>
      <c r="AH148" s="277"/>
      <c r="AI148" s="277"/>
      <c r="AJ148" s="277"/>
      <c r="AK148" s="277"/>
      <c r="AL148" s="277"/>
      <c r="AM148" s="278"/>
      <c r="AN148" s="448">
        <f t="shared" ref="AN148:AN179" si="10">T148+AD148</f>
        <v>0</v>
      </c>
      <c r="AO148" s="449"/>
      <c r="AP148" s="449"/>
      <c r="AQ148" s="449"/>
      <c r="AR148" s="449"/>
      <c r="AS148" s="449"/>
      <c r="AT148" s="449"/>
      <c r="AU148" s="449"/>
      <c r="AV148" s="449"/>
      <c r="AW148" s="450"/>
      <c r="AX148" s="45"/>
      <c r="AY148" s="299" t="s">
        <v>26</v>
      </c>
      <c r="AZ148" s="300"/>
      <c r="BA148" s="300"/>
      <c r="BB148" s="300"/>
      <c r="BC148" s="300"/>
      <c r="BD148" s="300"/>
      <c r="BE148" s="300"/>
      <c r="BF148" s="300"/>
      <c r="BG148" s="300"/>
      <c r="BH148" s="300"/>
      <c r="BI148" s="300"/>
      <c r="BJ148" s="300"/>
      <c r="BK148" s="300"/>
      <c r="BL148" s="300"/>
      <c r="BM148" s="300"/>
      <c r="BN148" s="300"/>
      <c r="BO148" s="301"/>
      <c r="BP148" s="276">
        <f>SUMIFS('Adv. Filter'!$BJ$1:$BJ$50000,'Adv. Filter'!$BT$1:$BT$50000,"Mahesh",'Adv. Filter'!$BQ$1:$BQ$50000,$AY148,'Adv. Filter'!$BH$1:$BH$50000,"Cash",'Adv. Filter'!$BO$1:$BO$50000,"&lt;"&amp;'Adv. Filter'!$A$15)</f>
        <v>0</v>
      </c>
      <c r="BQ148" s="277"/>
      <c r="BR148" s="277"/>
      <c r="BS148" s="277"/>
      <c r="BT148" s="277"/>
      <c r="BU148" s="277"/>
      <c r="BV148" s="277"/>
      <c r="BW148" s="277"/>
      <c r="BX148" s="277"/>
      <c r="BY148" s="278"/>
      <c r="BZ148" s="276">
        <f>SUMIFS('Adv. Filter'!$BJ$1:$BJ$50000,'Adv. Filter'!$BT$1:$BT$50000,"Mahesh",'Adv. Filter'!$BQ$1:$BQ$50000,$AY148,'Adv. Filter'!$BH$1:$BH$50000,"Bank",'Adv. Filter'!$BO$1:$BO$50000,"&lt;"&amp;'Adv. Filter'!$A$15)</f>
        <v>0</v>
      </c>
      <c r="CA148" s="277"/>
      <c r="CB148" s="277"/>
      <c r="CC148" s="277"/>
      <c r="CD148" s="277"/>
      <c r="CE148" s="277"/>
      <c r="CF148" s="277"/>
      <c r="CG148" s="277"/>
      <c r="CH148" s="277"/>
      <c r="CI148" s="278"/>
      <c r="CJ148" s="448">
        <f t="shared" ref="CJ148:CJ179" si="11">BP148+BZ148</f>
        <v>0</v>
      </c>
      <c r="CK148" s="449"/>
      <c r="CL148" s="449"/>
      <c r="CM148" s="449"/>
      <c r="CN148" s="449"/>
      <c r="CO148" s="449"/>
      <c r="CP148" s="449"/>
      <c r="CQ148" s="449"/>
      <c r="CR148" s="449"/>
      <c r="CS148" s="450"/>
      <c r="CT148" s="44"/>
      <c r="CU148" s="44"/>
      <c r="CV148" s="44"/>
      <c r="CW148" s="44"/>
      <c r="CX148" s="44"/>
      <c r="CY148" s="44"/>
      <c r="CZ148" s="44"/>
      <c r="DF148" s="122" t="s">
        <v>584</v>
      </c>
      <c r="DG148" s="123">
        <f>COUNTIFS('Form Details'!$W:$W,"Due",'Form Details'!$AB:$AB,"Y",'Form Details'!$N:$N,DF146)</f>
        <v>0</v>
      </c>
    </row>
    <row r="149" spans="1:206" s="44" customFormat="1" hidden="1">
      <c r="A149"/>
      <c r="B149"/>
      <c r="C149" s="308" t="s">
        <v>115</v>
      </c>
      <c r="D149" s="309"/>
      <c r="E149" s="309"/>
      <c r="F149" s="309"/>
      <c r="G149" s="309"/>
      <c r="H149" s="309"/>
      <c r="I149" s="309"/>
      <c r="J149" s="309"/>
      <c r="K149" s="309"/>
      <c r="L149" s="309"/>
      <c r="M149" s="309"/>
      <c r="N149" s="309"/>
      <c r="O149" s="309"/>
      <c r="P149" s="309"/>
      <c r="Q149" s="309"/>
      <c r="R149" s="309"/>
      <c r="S149" s="310"/>
      <c r="T149" s="267">
        <f>SUMIFS('Adv. Filter'!$BJ$1:$BJ$50000,'Adv. Filter'!$BT$1:$BT$50000,"Mahesh",'Adv. Filter'!$BQ$1:$BQ$50000,$C148,'Adv. Filter'!$BH$1:$BH$50000,"Cash",'Adv. Filter'!$BO$1:$BO$50000,'Adv. Filter'!$A$14,'Adv. Filter'!$BO$1:$BO$50000,'Adv. Filter'!$B$14,'Adv. Filter'!$BP$1:$BP$50000,"Project")</f>
        <v>0</v>
      </c>
      <c r="U149" s="268"/>
      <c r="V149" s="268"/>
      <c r="W149" s="268"/>
      <c r="X149" s="268"/>
      <c r="Y149" s="268"/>
      <c r="Z149" s="268"/>
      <c r="AA149" s="268"/>
      <c r="AB149" s="268"/>
      <c r="AC149" s="269"/>
      <c r="AD149" s="267">
        <f>SUMIFS('Adv. Filter'!$BJ$1:$BJ$50000,'Adv. Filter'!$BT$1:$BT$50000,"Mahesh",'Adv. Filter'!$BQ$1:$BQ$50000,$C148,'Adv. Filter'!$BH$1:$BH$50000,"Bank",'Adv. Filter'!$BO$1:$BO$50000,'Adv. Filter'!$A$14,'Adv. Filter'!$BO$1:$BO$50000,'Adv. Filter'!$B$14,'Adv. Filter'!$BP$1:$BP$50000,"Project")</f>
        <v>0</v>
      </c>
      <c r="AE149" s="268"/>
      <c r="AF149" s="268"/>
      <c r="AG149" s="268"/>
      <c r="AH149" s="268"/>
      <c r="AI149" s="268"/>
      <c r="AJ149" s="268"/>
      <c r="AK149" s="268"/>
      <c r="AL149" s="268"/>
      <c r="AM149" s="269"/>
      <c r="AN149" s="267">
        <f t="shared" si="10"/>
        <v>0</v>
      </c>
      <c r="AO149" s="268"/>
      <c r="AP149" s="268"/>
      <c r="AQ149" s="268"/>
      <c r="AR149" s="268"/>
      <c r="AS149" s="268"/>
      <c r="AT149" s="268"/>
      <c r="AU149" s="268"/>
      <c r="AV149" s="268"/>
      <c r="AW149" s="269"/>
      <c r="AX149" s="22"/>
      <c r="AY149" s="308" t="s">
        <v>115</v>
      </c>
      <c r="AZ149" s="309"/>
      <c r="BA149" s="309"/>
      <c r="BB149" s="309"/>
      <c r="BC149" s="309"/>
      <c r="BD149" s="309"/>
      <c r="BE149" s="309"/>
      <c r="BF149" s="309"/>
      <c r="BG149" s="309"/>
      <c r="BH149" s="309"/>
      <c r="BI149" s="309"/>
      <c r="BJ149" s="309"/>
      <c r="BK149" s="309"/>
      <c r="BL149" s="309"/>
      <c r="BM149" s="309"/>
      <c r="BN149" s="309"/>
      <c r="BO149" s="310"/>
      <c r="BP149" s="267">
        <f>SUMIFS('Adv. Filter'!$BJ$1:$BJ$50000,'Adv. Filter'!$BT$1:$BT$50000,"Mahesh",'Adv. Filter'!$BQ$1:$BQ$50000,$AY148,'Adv. Filter'!$BH$1:$BH$50000,"Cash",'Adv. Filter'!$BO$1:$BO$50000,"&lt;"&amp;'Adv. Filter'!$A$15,'Adv. Filter'!$BP$1:$BP$50000,"Project")</f>
        <v>0</v>
      </c>
      <c r="BQ149" s="268"/>
      <c r="BR149" s="268"/>
      <c r="BS149" s="268"/>
      <c r="BT149" s="268"/>
      <c r="BU149" s="268"/>
      <c r="BV149" s="268"/>
      <c r="BW149" s="268"/>
      <c r="BX149" s="268"/>
      <c r="BY149" s="269"/>
      <c r="BZ149" s="267">
        <f>SUMIFS('Adv. Filter'!$BJ$1:$BJ$50000,'Adv. Filter'!$BT$1:$BT$50000,"Mahesh",'Adv. Filter'!$BQ$1:$BQ$50000,$AY148,'Adv. Filter'!$BH$1:$BH$50000,"Bank",'Adv. Filter'!$BO$1:$BO$50000,"&lt;"&amp;'Adv. Filter'!$A$15,'Adv. Filter'!$BP$1:$BP$50000,"Project")</f>
        <v>0</v>
      </c>
      <c r="CA149" s="268"/>
      <c r="CB149" s="268"/>
      <c r="CC149" s="268"/>
      <c r="CD149" s="268"/>
      <c r="CE149" s="268"/>
      <c r="CF149" s="268"/>
      <c r="CG149" s="268"/>
      <c r="CH149" s="268"/>
      <c r="CI149" s="269"/>
      <c r="CJ149" s="267">
        <f t="shared" si="11"/>
        <v>0</v>
      </c>
      <c r="CK149" s="268"/>
      <c r="CL149" s="268"/>
      <c r="CM149" s="268"/>
      <c r="CN149" s="268"/>
      <c r="CO149" s="268"/>
      <c r="CP149" s="268"/>
      <c r="CQ149" s="268"/>
      <c r="CR149" s="268"/>
      <c r="CS149" s="269"/>
      <c r="CT149"/>
      <c r="CU149"/>
      <c r="CV149"/>
      <c r="CW149"/>
      <c r="CX149"/>
      <c r="CY149"/>
      <c r="CZ149"/>
      <c r="DF149" s="133" t="s">
        <v>585</v>
      </c>
      <c r="DG149" s="123">
        <f>COUNTIFS('Form Details'!$W:$W,"Due",'Form Details'!$AB:$AB,"G",'Form Details'!$N:$N,DF146)</f>
        <v>0</v>
      </c>
      <c r="DR149"/>
      <c r="DS149"/>
      <c r="DT149"/>
      <c r="DU149"/>
      <c r="DV149"/>
      <c r="DW149"/>
      <c r="DX149"/>
      <c r="DY149"/>
      <c r="DZ149"/>
      <c r="EA149"/>
      <c r="EB149"/>
      <c r="EC149"/>
      <c r="ED149"/>
      <c r="EE149"/>
      <c r="EF149"/>
      <c r="EG149"/>
      <c r="EH149"/>
      <c r="EI149"/>
      <c r="EJ149"/>
      <c r="EK149"/>
      <c r="EL149"/>
      <c r="EM149"/>
      <c r="EN149"/>
      <c r="EO149"/>
      <c r="EP149"/>
      <c r="EQ149"/>
      <c r="ER149"/>
      <c r="ES149"/>
      <c r="ET149"/>
      <c r="EU149"/>
      <c r="EV149"/>
      <c r="EW149"/>
      <c r="EX149"/>
      <c r="EY149"/>
      <c r="EZ149"/>
      <c r="FA149"/>
      <c r="FB149"/>
      <c r="FC149"/>
      <c r="FD149"/>
      <c r="FE149"/>
      <c r="FF149"/>
      <c r="FG149"/>
      <c r="FH149"/>
      <c r="FI149"/>
      <c r="FJ149"/>
      <c r="FK149"/>
      <c r="FL149"/>
      <c r="FM149"/>
      <c r="FN149"/>
      <c r="FO149"/>
      <c r="FP149"/>
      <c r="FQ149"/>
      <c r="FR149"/>
      <c r="FS149"/>
      <c r="FT149"/>
      <c r="FU149"/>
      <c r="FV149"/>
      <c r="FW149"/>
      <c r="FX149"/>
      <c r="FY149"/>
      <c r="FZ149"/>
      <c r="GA149"/>
      <c r="GB149"/>
      <c r="GC149"/>
      <c r="GD149"/>
      <c r="GE149"/>
      <c r="GF149"/>
      <c r="GG149"/>
      <c r="GH149"/>
      <c r="GI149"/>
      <c r="GJ149"/>
      <c r="GK149"/>
      <c r="GL149"/>
      <c r="GM149"/>
      <c r="GN149"/>
      <c r="GO149"/>
      <c r="GP149"/>
      <c r="GQ149"/>
      <c r="GR149"/>
      <c r="GS149"/>
      <c r="GT149"/>
      <c r="GU149"/>
      <c r="GV149"/>
      <c r="GW149"/>
      <c r="GX149"/>
    </row>
    <row r="150" spans="1:206" hidden="1">
      <c r="C150" s="308" t="s">
        <v>510</v>
      </c>
      <c r="D150" s="309"/>
      <c r="E150" s="309"/>
      <c r="F150" s="309"/>
      <c r="G150" s="309"/>
      <c r="H150" s="309"/>
      <c r="I150" s="309"/>
      <c r="J150" s="309"/>
      <c r="K150" s="309"/>
      <c r="L150" s="309"/>
      <c r="M150" s="309"/>
      <c r="N150" s="309"/>
      <c r="O150" s="309"/>
      <c r="P150" s="309"/>
      <c r="Q150" s="309"/>
      <c r="R150" s="309"/>
      <c r="S150" s="310"/>
      <c r="T150" s="267">
        <v>0</v>
      </c>
      <c r="U150" s="268"/>
      <c r="V150" s="268"/>
      <c r="W150" s="268"/>
      <c r="X150" s="268"/>
      <c r="Y150" s="268"/>
      <c r="Z150" s="268"/>
      <c r="AA150" s="268"/>
      <c r="AB150" s="268"/>
      <c r="AC150" s="269"/>
      <c r="AD150" s="267">
        <v>0</v>
      </c>
      <c r="AE150" s="268"/>
      <c r="AF150" s="268"/>
      <c r="AG150" s="268"/>
      <c r="AH150" s="268"/>
      <c r="AI150" s="268"/>
      <c r="AJ150" s="268"/>
      <c r="AK150" s="268"/>
      <c r="AL150" s="268"/>
      <c r="AM150" s="269"/>
      <c r="AN150" s="267">
        <f t="shared" si="10"/>
        <v>0</v>
      </c>
      <c r="AO150" s="268"/>
      <c r="AP150" s="268"/>
      <c r="AQ150" s="268"/>
      <c r="AR150" s="268"/>
      <c r="AS150" s="268"/>
      <c r="AT150" s="268"/>
      <c r="AU150" s="268"/>
      <c r="AV150" s="268"/>
      <c r="AW150" s="269"/>
      <c r="AX150" s="22"/>
      <c r="AY150" s="308" t="s">
        <v>510</v>
      </c>
      <c r="AZ150" s="309"/>
      <c r="BA150" s="309"/>
      <c r="BB150" s="309"/>
      <c r="BC150" s="309"/>
      <c r="BD150" s="309"/>
      <c r="BE150" s="309"/>
      <c r="BF150" s="309"/>
      <c r="BG150" s="309"/>
      <c r="BH150" s="309"/>
      <c r="BI150" s="309"/>
      <c r="BJ150" s="309"/>
      <c r="BK150" s="309"/>
      <c r="BL150" s="309"/>
      <c r="BM150" s="309"/>
      <c r="BN150" s="309"/>
      <c r="BO150" s="310"/>
      <c r="BP150" s="267"/>
      <c r="BQ150" s="268"/>
      <c r="BR150" s="268"/>
      <c r="BS150" s="268"/>
      <c r="BT150" s="268"/>
      <c r="BU150" s="268"/>
      <c r="BV150" s="268"/>
      <c r="BW150" s="268"/>
      <c r="BX150" s="268"/>
      <c r="BY150" s="269"/>
      <c r="BZ150" s="267"/>
      <c r="CA150" s="268"/>
      <c r="CB150" s="268"/>
      <c r="CC150" s="268"/>
      <c r="CD150" s="268"/>
      <c r="CE150" s="268"/>
      <c r="CF150" s="268"/>
      <c r="CG150" s="268"/>
      <c r="CH150" s="268"/>
      <c r="CI150" s="269"/>
      <c r="CJ150" s="267">
        <f t="shared" si="11"/>
        <v>0</v>
      </c>
      <c r="CK150" s="268"/>
      <c r="CL150" s="268"/>
      <c r="CM150" s="268"/>
      <c r="CN150" s="268"/>
      <c r="CO150" s="268"/>
      <c r="CP150" s="268"/>
      <c r="CQ150" s="268"/>
      <c r="CR150" s="268"/>
      <c r="CS150" s="269"/>
      <c r="DF150" s="131"/>
    </row>
    <row r="151" spans="1:206" hidden="1">
      <c r="C151" s="43"/>
      <c r="D151" s="36" t="str">
        <f>IF(AN148=0,C148&amp;" -","")</f>
        <v>Avanse -</v>
      </c>
      <c r="E151" s="42"/>
      <c r="F151" s="42"/>
      <c r="G151" s="42"/>
      <c r="H151" s="42"/>
      <c r="I151" s="42"/>
      <c r="J151" s="42"/>
      <c r="K151" s="42"/>
      <c r="L151" s="42"/>
      <c r="M151" s="42"/>
      <c r="N151" s="42"/>
      <c r="O151" s="42"/>
      <c r="P151" s="1"/>
      <c r="Q151" s="42"/>
      <c r="R151" s="41" t="s">
        <v>275</v>
      </c>
      <c r="S151" s="40"/>
      <c r="T151" s="267">
        <f>SUMIFS('Adv. Filter'!$CH$1:$CH$50000,'Adv. Filter'!$CD$1:$CD$50000,"Mahesh",'Adv. Filter'!$CE$1:$CE$50000,$C148,'Adv. Filter'!$CC$1:$CC$50000,"Suspense",'Adv. Filter'!$CF$1:$CF$50000,"Cash")</f>
        <v>0</v>
      </c>
      <c r="U151" s="268"/>
      <c r="V151" s="268"/>
      <c r="W151" s="268"/>
      <c r="X151" s="268"/>
      <c r="Y151" s="268"/>
      <c r="Z151" s="268"/>
      <c r="AA151" s="268"/>
      <c r="AB151" s="268"/>
      <c r="AC151" s="269"/>
      <c r="AD151" s="267">
        <f>SUMIFS('Adv. Filter'!$CH$1:$CH$50000,'Adv. Filter'!$CD$1:$CD$50000,"Mahesh",'Adv. Filter'!$CE$1:$CE$50000,$C148,'Adv. Filter'!$CC$1:$CC$50000,"Suspense",'Adv. Filter'!$CF$1:$CF$50000,"Bank")</f>
        <v>0</v>
      </c>
      <c r="AE151" s="268"/>
      <c r="AF151" s="268"/>
      <c r="AG151" s="268"/>
      <c r="AH151" s="268"/>
      <c r="AI151" s="268"/>
      <c r="AJ151" s="268"/>
      <c r="AK151" s="268"/>
      <c r="AL151" s="268"/>
      <c r="AM151" s="269"/>
      <c r="AN151" s="267">
        <f t="shared" si="10"/>
        <v>0</v>
      </c>
      <c r="AO151" s="268"/>
      <c r="AP151" s="268"/>
      <c r="AQ151" s="268"/>
      <c r="AR151" s="268"/>
      <c r="AS151" s="268"/>
      <c r="AT151" s="268"/>
      <c r="AU151" s="268"/>
      <c r="AV151" s="268"/>
      <c r="AW151" s="269"/>
      <c r="AX151" s="22"/>
      <c r="AY151" s="43"/>
      <c r="AZ151" s="36" t="str">
        <f>IF(CJ148=0,AY148&amp;" -","")</f>
        <v>Avanse -</v>
      </c>
      <c r="BA151" s="42"/>
      <c r="BB151" s="42"/>
      <c r="BC151" s="42"/>
      <c r="BD151" s="42"/>
      <c r="BE151" s="42"/>
      <c r="BF151" s="42"/>
      <c r="BG151" s="42"/>
      <c r="BH151" s="42"/>
      <c r="BI151" s="42"/>
      <c r="BJ151" s="42"/>
      <c r="BK151" s="42"/>
      <c r="BL151" s="1"/>
      <c r="BM151" s="42"/>
      <c r="BN151" s="41" t="s">
        <v>275</v>
      </c>
      <c r="BO151" s="40"/>
      <c r="BP151" s="267"/>
      <c r="BQ151" s="268"/>
      <c r="BR151" s="268"/>
      <c r="BS151" s="268"/>
      <c r="BT151" s="268"/>
      <c r="BU151" s="268"/>
      <c r="BV151" s="268"/>
      <c r="BW151" s="268"/>
      <c r="BX151" s="268"/>
      <c r="BY151" s="269"/>
      <c r="BZ151" s="267"/>
      <c r="CA151" s="268"/>
      <c r="CB151" s="268"/>
      <c r="CC151" s="268"/>
      <c r="CD151" s="268"/>
      <c r="CE151" s="268"/>
      <c r="CF151" s="268"/>
      <c r="CG151" s="268"/>
      <c r="CH151" s="268"/>
      <c r="CI151" s="269"/>
      <c r="CJ151" s="267">
        <f t="shared" si="11"/>
        <v>0</v>
      </c>
      <c r="CK151" s="268"/>
      <c r="CL151" s="268"/>
      <c r="CM151" s="268"/>
      <c r="CN151" s="268"/>
      <c r="CO151" s="268"/>
      <c r="CP151" s="268"/>
      <c r="CQ151" s="268"/>
      <c r="CR151" s="268"/>
      <c r="CS151" s="269"/>
      <c r="DF151" s="131"/>
    </row>
    <row r="152" spans="1:206" s="44" customFormat="1" ht="15.75" hidden="1" customHeight="1">
      <c r="C152" s="293" t="s">
        <v>38</v>
      </c>
      <c r="D152" s="294"/>
      <c r="E152" s="294"/>
      <c r="F152" s="294"/>
      <c r="G152" s="294"/>
      <c r="H152" s="294"/>
      <c r="I152" s="294"/>
      <c r="J152" s="294"/>
      <c r="K152" s="294"/>
      <c r="L152" s="294"/>
      <c r="M152" s="294"/>
      <c r="N152" s="294"/>
      <c r="O152" s="294"/>
      <c r="P152" s="294"/>
      <c r="Q152" s="294"/>
      <c r="R152" s="294"/>
      <c r="S152" s="295"/>
      <c r="T152" s="276">
        <f>SUMIFS('Adv. Filter'!$BJ$1:$BJ$50000,'Adv. Filter'!$BT$1:$BT$50000,"Mahesh",'Adv. Filter'!$BQ$1:$BQ$50000,$C152,'Adv. Filter'!$BH$1:$BH$50000,"Cash",'Adv. Filter'!$BO$1:$BO$50000,'Adv. Filter'!$A$14,'Adv. Filter'!$BO$1:$BO$50000,'Adv. Filter'!$B$14)</f>
        <v>35000</v>
      </c>
      <c r="U152" s="277"/>
      <c r="V152" s="277"/>
      <c r="W152" s="277"/>
      <c r="X152" s="277"/>
      <c r="Y152" s="277"/>
      <c r="Z152" s="277"/>
      <c r="AA152" s="277"/>
      <c r="AB152" s="277"/>
      <c r="AC152" s="278"/>
      <c r="AD152" s="276">
        <f>SUMIFS('Adv. Filter'!$BJ$1:$BJ$50000,'Adv. Filter'!$BT$1:$BT$50000,"Mahesh",'Adv. Filter'!$BQ$1:$BQ$50000,$C152,'Adv. Filter'!$BH$1:$BH$50000,"Bank",'Adv. Filter'!$BO$1:$BO$50000,'Adv. Filter'!$A$14,'Adv. Filter'!$BO$1:$BO$50000,'Adv. Filter'!$B$14)</f>
        <v>135900</v>
      </c>
      <c r="AE152" s="277"/>
      <c r="AF152" s="277"/>
      <c r="AG152" s="277"/>
      <c r="AH152" s="277"/>
      <c r="AI152" s="277"/>
      <c r="AJ152" s="277"/>
      <c r="AK152" s="277"/>
      <c r="AL152" s="277"/>
      <c r="AM152" s="278"/>
      <c r="AN152" s="276">
        <f t="shared" si="10"/>
        <v>170900</v>
      </c>
      <c r="AO152" s="277"/>
      <c r="AP152" s="277"/>
      <c r="AQ152" s="277"/>
      <c r="AR152" s="277"/>
      <c r="AS152" s="277"/>
      <c r="AT152" s="277"/>
      <c r="AU152" s="277"/>
      <c r="AV152" s="277"/>
      <c r="AW152" s="278"/>
      <c r="AX152" s="45"/>
      <c r="AY152" s="293" t="s">
        <v>38</v>
      </c>
      <c r="AZ152" s="294"/>
      <c r="BA152" s="294"/>
      <c r="BB152" s="294"/>
      <c r="BC152" s="294"/>
      <c r="BD152" s="294"/>
      <c r="BE152" s="294"/>
      <c r="BF152" s="294"/>
      <c r="BG152" s="294"/>
      <c r="BH152" s="294"/>
      <c r="BI152" s="294"/>
      <c r="BJ152" s="294"/>
      <c r="BK152" s="294"/>
      <c r="BL152" s="294"/>
      <c r="BM152" s="294"/>
      <c r="BN152" s="294"/>
      <c r="BO152" s="295"/>
      <c r="BP152" s="276">
        <f>SUMIFS('Adv. Filter'!$BJ$1:$BJ$50000,'Adv. Filter'!$BT$1:$BT$50000,"Mahesh",'Adv. Filter'!$BQ$1:$BQ$50000,$AY152,'Adv. Filter'!$BH$1:$BH$50000,"Cash",'Adv. Filter'!$BO$1:$BO$50000,"&lt;"&amp;'Adv. Filter'!$A$15)</f>
        <v>0</v>
      </c>
      <c r="BQ152" s="277"/>
      <c r="BR152" s="277"/>
      <c r="BS152" s="277"/>
      <c r="BT152" s="277"/>
      <c r="BU152" s="277"/>
      <c r="BV152" s="277"/>
      <c r="BW152" s="277"/>
      <c r="BX152" s="277"/>
      <c r="BY152" s="278"/>
      <c r="BZ152" s="276">
        <f>SUMIFS('Adv. Filter'!$BJ$1:$BJ$50000,'Adv. Filter'!$BT$1:$BT$50000,"Mahesh",'Adv. Filter'!$BQ$1:$BQ$50000,$AY152,'Adv. Filter'!$BH$1:$BH$50000,"Bank",'Adv. Filter'!$BO$1:$BO$50000,"&lt;"&amp;'Adv. Filter'!$A$15)</f>
        <v>0</v>
      </c>
      <c r="CA152" s="277"/>
      <c r="CB152" s="277"/>
      <c r="CC152" s="277"/>
      <c r="CD152" s="277"/>
      <c r="CE152" s="277"/>
      <c r="CF152" s="277"/>
      <c r="CG152" s="277"/>
      <c r="CH152" s="277"/>
      <c r="CI152" s="278"/>
      <c r="CJ152" s="276">
        <f t="shared" si="11"/>
        <v>0</v>
      </c>
      <c r="CK152" s="277"/>
      <c r="CL152" s="277"/>
      <c r="CM152" s="277"/>
      <c r="CN152" s="277"/>
      <c r="CO152" s="277"/>
      <c r="CP152" s="277"/>
      <c r="CQ152" s="277"/>
      <c r="CR152" s="277"/>
      <c r="CS152" s="278"/>
      <c r="DF152" s="13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c r="EZ152"/>
      <c r="FA152"/>
      <c r="FB152"/>
      <c r="FC152"/>
      <c r="FD152"/>
      <c r="FE152"/>
      <c r="FF152"/>
      <c r="FG152"/>
      <c r="FH152"/>
      <c r="FI152"/>
      <c r="FJ152"/>
      <c r="FK152"/>
      <c r="FL152"/>
      <c r="FM152"/>
      <c r="FN152"/>
      <c r="FO152"/>
      <c r="FP152"/>
      <c r="FQ152"/>
      <c r="FR152"/>
      <c r="FS152"/>
      <c r="FT152"/>
      <c r="FU152"/>
      <c r="FV152"/>
      <c r="FW152"/>
      <c r="FX152"/>
      <c r="FY152"/>
      <c r="FZ152"/>
      <c r="GA152"/>
      <c r="GB152"/>
      <c r="GC152"/>
      <c r="GD152"/>
      <c r="GE152"/>
      <c r="GF152"/>
      <c r="GG152"/>
      <c r="GH152"/>
      <c r="GI152"/>
      <c r="GJ152"/>
      <c r="GK152"/>
      <c r="GL152"/>
      <c r="GM152"/>
      <c r="GN152"/>
      <c r="GO152"/>
      <c r="GP152"/>
      <c r="GQ152"/>
      <c r="GR152"/>
      <c r="GS152"/>
      <c r="GT152"/>
      <c r="GU152"/>
      <c r="GV152"/>
      <c r="GW152"/>
      <c r="GX152"/>
    </row>
    <row r="153" spans="1:206" s="44" customFormat="1" hidden="1">
      <c r="A153"/>
      <c r="B153"/>
      <c r="C153" s="308" t="s">
        <v>115</v>
      </c>
      <c r="D153" s="309"/>
      <c r="E153" s="309"/>
      <c r="F153" s="309"/>
      <c r="G153" s="309"/>
      <c r="H153" s="309"/>
      <c r="I153" s="309"/>
      <c r="J153" s="309"/>
      <c r="K153" s="309"/>
      <c r="L153" s="309"/>
      <c r="M153" s="309"/>
      <c r="N153" s="309"/>
      <c r="O153" s="309"/>
      <c r="P153" s="309"/>
      <c r="Q153" s="309"/>
      <c r="R153" s="309"/>
      <c r="S153" s="310"/>
      <c r="T153" s="267">
        <f>SUMIFS('Adv. Filter'!$BJ$1:$BJ$50000,'Adv. Filter'!$BT$1:$BT$50000,"Mahesh",'Adv. Filter'!$BQ$1:$BQ$50000,$C152,'Adv. Filter'!$BH$1:$BH$50000,"Cash",'Adv. Filter'!$BO$1:$BO$50000,'Adv. Filter'!$A$14,'Adv. Filter'!$BO$1:$BO$50000,'Adv. Filter'!$B$14,'Adv. Filter'!$BP$1:$BP$50000,"Project")</f>
        <v>0</v>
      </c>
      <c r="U153" s="268"/>
      <c r="V153" s="268"/>
      <c r="W153" s="268"/>
      <c r="X153" s="268"/>
      <c r="Y153" s="268"/>
      <c r="Z153" s="268"/>
      <c r="AA153" s="268"/>
      <c r="AB153" s="268"/>
      <c r="AC153" s="269"/>
      <c r="AD153" s="267">
        <f>SUMIFS('Adv. Filter'!$BJ$1:$BJ$50000,'Adv. Filter'!$BT$1:$BT$50000,"Mahesh",'Adv. Filter'!$BQ$1:$BQ$50000,$C152,'Adv. Filter'!$BH$1:$BH$50000,"Bank",'Adv. Filter'!$BO$1:$BO$50000,'Adv. Filter'!$A$14,'Adv. Filter'!$BO$1:$BO$50000,'Adv. Filter'!$B$14,'Adv. Filter'!$BP$1:$BP$50000,"Project")</f>
        <v>0</v>
      </c>
      <c r="AE153" s="268"/>
      <c r="AF153" s="268"/>
      <c r="AG153" s="268"/>
      <c r="AH153" s="268"/>
      <c r="AI153" s="268"/>
      <c r="AJ153" s="268"/>
      <c r="AK153" s="268"/>
      <c r="AL153" s="268"/>
      <c r="AM153" s="269"/>
      <c r="AN153" s="267">
        <f t="shared" si="10"/>
        <v>0</v>
      </c>
      <c r="AO153" s="268"/>
      <c r="AP153" s="268"/>
      <c r="AQ153" s="268"/>
      <c r="AR153" s="268"/>
      <c r="AS153" s="268"/>
      <c r="AT153" s="268"/>
      <c r="AU153" s="268"/>
      <c r="AV153" s="268"/>
      <c r="AW153" s="269"/>
      <c r="AX153" s="22"/>
      <c r="AY153" s="308" t="s">
        <v>115</v>
      </c>
      <c r="AZ153" s="309"/>
      <c r="BA153" s="309"/>
      <c r="BB153" s="309"/>
      <c r="BC153" s="309"/>
      <c r="BD153" s="309"/>
      <c r="BE153" s="309"/>
      <c r="BF153" s="309"/>
      <c r="BG153" s="309"/>
      <c r="BH153" s="309"/>
      <c r="BI153" s="309"/>
      <c r="BJ153" s="309"/>
      <c r="BK153" s="309"/>
      <c r="BL153" s="309"/>
      <c r="BM153" s="309"/>
      <c r="BN153" s="309"/>
      <c r="BO153" s="310"/>
      <c r="BP153" s="267">
        <f>SUMIFS('Adv. Filter'!$BJ$1:$BJ$50000,'Adv. Filter'!$BT$1:$BT$50000,"Mahesh",'Adv. Filter'!$BQ$1:$BQ$50000,$AY152,'Adv. Filter'!$BH$1:$BH$50000,"Cash",'Adv. Filter'!$BO$1:$BO$50000,"&lt;"&amp;'Adv. Filter'!$A$15,'Adv. Filter'!$BP$1:$BP$50000,"Project")</f>
        <v>0</v>
      </c>
      <c r="BQ153" s="268"/>
      <c r="BR153" s="268"/>
      <c r="BS153" s="268"/>
      <c r="BT153" s="268"/>
      <c r="BU153" s="268"/>
      <c r="BV153" s="268"/>
      <c r="BW153" s="268"/>
      <c r="BX153" s="268"/>
      <c r="BY153" s="269"/>
      <c r="BZ153" s="267">
        <f>SUMIFS('Adv. Filter'!$BJ$1:$BJ$50000,'Adv. Filter'!$BT$1:$BT$50000,"Mahesh",'Adv. Filter'!$BQ$1:$BQ$50000,$AY152,'Adv. Filter'!$BH$1:$BH$50000,"Bank",'Adv. Filter'!$BO$1:$BO$50000,"&lt;"&amp;'Adv. Filter'!$A$15,'Adv. Filter'!$BP$1:$BP$50000,"Project")</f>
        <v>0</v>
      </c>
      <c r="CA153" s="268"/>
      <c r="CB153" s="268"/>
      <c r="CC153" s="268"/>
      <c r="CD153" s="268"/>
      <c r="CE153" s="268"/>
      <c r="CF153" s="268"/>
      <c r="CG153" s="268"/>
      <c r="CH153" s="268"/>
      <c r="CI153" s="269"/>
      <c r="CJ153" s="267">
        <f t="shared" si="11"/>
        <v>0</v>
      </c>
      <c r="CK153" s="268"/>
      <c r="CL153" s="268"/>
      <c r="CM153" s="268"/>
      <c r="CN153" s="268"/>
      <c r="CO153" s="268"/>
      <c r="CP153" s="268"/>
      <c r="CQ153" s="268"/>
      <c r="CR153" s="268"/>
      <c r="CS153" s="269"/>
      <c r="CT153"/>
      <c r="CU153"/>
      <c r="CV153"/>
      <c r="CW153"/>
      <c r="CX153"/>
      <c r="CY153"/>
      <c r="CZ153"/>
      <c r="DF153" s="132"/>
      <c r="DR153"/>
      <c r="DS153"/>
      <c r="DT153"/>
      <c r="DU153"/>
      <c r="DV153"/>
      <c r="DW153"/>
      <c r="DX153"/>
      <c r="DY153"/>
      <c r="DZ153"/>
      <c r="EA153"/>
      <c r="EB153"/>
      <c r="EC153"/>
      <c r="ED153"/>
      <c r="EE153"/>
      <c r="EF153"/>
      <c r="EG153"/>
      <c r="EH153"/>
      <c r="EI153"/>
      <c r="EJ153"/>
      <c r="EK153"/>
      <c r="EL153"/>
      <c r="EM153"/>
      <c r="EN153"/>
      <c r="EO153"/>
      <c r="EP153"/>
      <c r="EQ153"/>
      <c r="ER153"/>
      <c r="ES153"/>
      <c r="ET153"/>
      <c r="EU153"/>
      <c r="EV153"/>
      <c r="EW153"/>
      <c r="EX153"/>
      <c r="EY153"/>
      <c r="EZ153"/>
      <c r="FA153"/>
      <c r="FB153"/>
      <c r="FC153"/>
      <c r="FD153"/>
      <c r="FE153"/>
      <c r="FF153"/>
      <c r="FG153"/>
      <c r="FH153"/>
      <c r="FI153"/>
      <c r="FJ153"/>
      <c r="FK153"/>
      <c r="FL153"/>
      <c r="FM153"/>
      <c r="FN153"/>
      <c r="FO153"/>
      <c r="FP153"/>
      <c r="FQ153"/>
      <c r="FR153"/>
      <c r="FS153"/>
      <c r="FT153"/>
      <c r="FU153"/>
      <c r="FV153"/>
      <c r="FW153"/>
      <c r="FX153"/>
      <c r="FY153"/>
      <c r="FZ153"/>
      <c r="GA153"/>
      <c r="GB153"/>
      <c r="GC153"/>
      <c r="GD153"/>
      <c r="GE153"/>
      <c r="GF153"/>
      <c r="GG153"/>
      <c r="GH153"/>
      <c r="GI153"/>
      <c r="GJ153"/>
      <c r="GK153"/>
      <c r="GL153"/>
      <c r="GM153"/>
      <c r="GN153"/>
      <c r="GO153"/>
      <c r="GP153"/>
      <c r="GQ153"/>
      <c r="GR153"/>
      <c r="GS153"/>
      <c r="GT153"/>
      <c r="GU153"/>
      <c r="GV153"/>
      <c r="GW153"/>
      <c r="GX153"/>
    </row>
    <row r="154" spans="1:206" hidden="1">
      <c r="C154" s="308" t="s">
        <v>510</v>
      </c>
      <c r="D154" s="309"/>
      <c r="E154" s="309"/>
      <c r="F154" s="309"/>
      <c r="G154" s="309"/>
      <c r="H154" s="309"/>
      <c r="I154" s="309"/>
      <c r="J154" s="309"/>
      <c r="K154" s="309"/>
      <c r="L154" s="309"/>
      <c r="M154" s="309"/>
      <c r="N154" s="309"/>
      <c r="O154" s="309"/>
      <c r="P154" s="309"/>
      <c r="Q154" s="309"/>
      <c r="R154" s="309"/>
      <c r="S154" s="310"/>
      <c r="T154" s="267">
        <v>0</v>
      </c>
      <c r="U154" s="268"/>
      <c r="V154" s="268"/>
      <c r="W154" s="268"/>
      <c r="X154" s="268"/>
      <c r="Y154" s="268"/>
      <c r="Z154" s="268"/>
      <c r="AA154" s="268"/>
      <c r="AB154" s="268"/>
      <c r="AC154" s="269"/>
      <c r="AD154" s="267">
        <v>0</v>
      </c>
      <c r="AE154" s="268"/>
      <c r="AF154" s="268"/>
      <c r="AG154" s="268"/>
      <c r="AH154" s="268"/>
      <c r="AI154" s="268"/>
      <c r="AJ154" s="268"/>
      <c r="AK154" s="268"/>
      <c r="AL154" s="268"/>
      <c r="AM154" s="269"/>
      <c r="AN154" s="267">
        <f t="shared" si="10"/>
        <v>0</v>
      </c>
      <c r="AO154" s="268"/>
      <c r="AP154" s="268"/>
      <c r="AQ154" s="268"/>
      <c r="AR154" s="268"/>
      <c r="AS154" s="268"/>
      <c r="AT154" s="268"/>
      <c r="AU154" s="268"/>
      <c r="AV154" s="268"/>
      <c r="AW154" s="269"/>
      <c r="AX154" s="22"/>
      <c r="AY154" s="308" t="s">
        <v>510</v>
      </c>
      <c r="AZ154" s="309"/>
      <c r="BA154" s="309"/>
      <c r="BB154" s="309"/>
      <c r="BC154" s="309"/>
      <c r="BD154" s="309"/>
      <c r="BE154" s="309"/>
      <c r="BF154" s="309"/>
      <c r="BG154" s="309"/>
      <c r="BH154" s="309"/>
      <c r="BI154" s="309"/>
      <c r="BJ154" s="309"/>
      <c r="BK154" s="309"/>
      <c r="BL154" s="309"/>
      <c r="BM154" s="309"/>
      <c r="BN154" s="309"/>
      <c r="BO154" s="310"/>
      <c r="BP154" s="267"/>
      <c r="BQ154" s="268"/>
      <c r="BR154" s="268"/>
      <c r="BS154" s="268"/>
      <c r="BT154" s="268"/>
      <c r="BU154" s="268"/>
      <c r="BV154" s="268"/>
      <c r="BW154" s="268"/>
      <c r="BX154" s="268"/>
      <c r="BY154" s="269"/>
      <c r="BZ154" s="267"/>
      <c r="CA154" s="268"/>
      <c r="CB154" s="268"/>
      <c r="CC154" s="268"/>
      <c r="CD154" s="268"/>
      <c r="CE154" s="268"/>
      <c r="CF154" s="268"/>
      <c r="CG154" s="268"/>
      <c r="CH154" s="268"/>
      <c r="CI154" s="269"/>
      <c r="CJ154" s="267">
        <f t="shared" si="11"/>
        <v>0</v>
      </c>
      <c r="CK154" s="268"/>
      <c r="CL154" s="268"/>
      <c r="CM154" s="268"/>
      <c r="CN154" s="268"/>
      <c r="CO154" s="268"/>
      <c r="CP154" s="268"/>
      <c r="CQ154" s="268"/>
      <c r="CR154" s="268"/>
      <c r="CS154" s="269"/>
      <c r="DF154" s="131"/>
    </row>
    <row r="155" spans="1:206" hidden="1">
      <c r="A155" s="44"/>
      <c r="B155" s="44"/>
      <c r="C155" s="48"/>
      <c r="D155" s="36" t="str">
        <f>IF(AN152=0,C152&amp;" -","")</f>
        <v/>
      </c>
      <c r="E155" s="42"/>
      <c r="F155" s="42"/>
      <c r="G155" s="42"/>
      <c r="H155" s="42"/>
      <c r="I155" s="42"/>
      <c r="J155" s="42"/>
      <c r="K155" s="42"/>
      <c r="L155" s="42"/>
      <c r="M155" s="42"/>
      <c r="N155" s="42"/>
      <c r="O155" s="42"/>
      <c r="P155" s="47"/>
      <c r="Q155" s="42"/>
      <c r="R155" s="41" t="s">
        <v>275</v>
      </c>
      <c r="S155" s="46"/>
      <c r="T155" s="267">
        <f>SUMIFS('Adv. Filter'!$CH$1:$CH$50000,'Adv. Filter'!$CD$1:$CD$50000,"Mahesh",'Adv. Filter'!$CE$1:$CE$50000,$C152,'Adv. Filter'!$CC$1:$CC$50000,"Suspense",'Adv. Filter'!$CF$1:$CF$50000,"Cash")</f>
        <v>0</v>
      </c>
      <c r="U155" s="268"/>
      <c r="V155" s="268"/>
      <c r="W155" s="268"/>
      <c r="X155" s="268"/>
      <c r="Y155" s="268"/>
      <c r="Z155" s="268"/>
      <c r="AA155" s="268"/>
      <c r="AB155" s="268"/>
      <c r="AC155" s="269"/>
      <c r="AD155" s="267">
        <f>SUMIFS('Adv. Filter'!$CH$1:$CH$50000,'Adv. Filter'!$CD$1:$CD$50000,"Mahesh",'Adv. Filter'!$CE$1:$CE$50000,$C152,'Adv. Filter'!$CC$1:$CC$50000,"Suspense",'Adv. Filter'!$CF$1:$CF$50000,"Bank")</f>
        <v>53100</v>
      </c>
      <c r="AE155" s="268"/>
      <c r="AF155" s="268"/>
      <c r="AG155" s="268"/>
      <c r="AH155" s="268"/>
      <c r="AI155" s="268"/>
      <c r="AJ155" s="268"/>
      <c r="AK155" s="268"/>
      <c r="AL155" s="268"/>
      <c r="AM155" s="269"/>
      <c r="AN155" s="276">
        <f t="shared" si="10"/>
        <v>53100</v>
      </c>
      <c r="AO155" s="277"/>
      <c r="AP155" s="277"/>
      <c r="AQ155" s="277"/>
      <c r="AR155" s="277"/>
      <c r="AS155" s="277"/>
      <c r="AT155" s="277"/>
      <c r="AU155" s="277"/>
      <c r="AV155" s="277"/>
      <c r="AW155" s="278"/>
      <c r="AX155" s="45"/>
      <c r="AY155" s="48"/>
      <c r="AZ155" s="36" t="str">
        <f>IF(CJ152=0,AY152&amp;" -","")</f>
        <v>Axis -</v>
      </c>
      <c r="BA155" s="42"/>
      <c r="BB155" s="42"/>
      <c r="BC155" s="42"/>
      <c r="BD155" s="42"/>
      <c r="BE155" s="42"/>
      <c r="BF155" s="42"/>
      <c r="BG155" s="42"/>
      <c r="BH155" s="42"/>
      <c r="BI155" s="42"/>
      <c r="BJ155" s="42"/>
      <c r="BK155" s="42"/>
      <c r="BL155" s="47"/>
      <c r="BM155" s="42"/>
      <c r="BN155" s="41" t="s">
        <v>275</v>
      </c>
      <c r="BO155" s="46"/>
      <c r="BP155" s="276"/>
      <c r="BQ155" s="277"/>
      <c r="BR155" s="277"/>
      <c r="BS155" s="277"/>
      <c r="BT155" s="277"/>
      <c r="BU155" s="277"/>
      <c r="BV155" s="277"/>
      <c r="BW155" s="277"/>
      <c r="BX155" s="277"/>
      <c r="BY155" s="278"/>
      <c r="BZ155" s="276"/>
      <c r="CA155" s="277"/>
      <c r="CB155" s="277"/>
      <c r="CC155" s="277"/>
      <c r="CD155" s="277"/>
      <c r="CE155" s="277"/>
      <c r="CF155" s="277"/>
      <c r="CG155" s="277"/>
      <c r="CH155" s="277"/>
      <c r="CI155" s="278"/>
      <c r="CJ155" s="276">
        <f t="shared" si="11"/>
        <v>0</v>
      </c>
      <c r="CK155" s="277"/>
      <c r="CL155" s="277"/>
      <c r="CM155" s="277"/>
      <c r="CN155" s="277"/>
      <c r="CO155" s="277"/>
      <c r="CP155" s="277"/>
      <c r="CQ155" s="277"/>
      <c r="CR155" s="277"/>
      <c r="CS155" s="278"/>
      <c r="CT155" s="44"/>
      <c r="CU155" s="44"/>
      <c r="CV155" s="44"/>
      <c r="CW155" s="44"/>
      <c r="CX155" s="44"/>
      <c r="CY155" s="44"/>
      <c r="CZ155" s="44"/>
    </row>
    <row r="156" spans="1:206" hidden="1">
      <c r="A156" s="44"/>
      <c r="B156" s="44"/>
      <c r="C156" s="293" t="s">
        <v>49</v>
      </c>
      <c r="D156" s="294"/>
      <c r="E156" s="294"/>
      <c r="F156" s="294"/>
      <c r="G156" s="294"/>
      <c r="H156" s="294"/>
      <c r="I156" s="294"/>
      <c r="J156" s="294"/>
      <c r="K156" s="294"/>
      <c r="L156" s="294"/>
      <c r="M156" s="294"/>
      <c r="N156" s="294"/>
      <c r="O156" s="294"/>
      <c r="P156" s="294"/>
      <c r="Q156" s="294"/>
      <c r="R156" s="294"/>
      <c r="S156" s="295"/>
      <c r="T156" s="276">
        <f>SUMIFS('Adv. Filter'!$BJ$1:$BJ$50000,'Adv. Filter'!$BT$1:$BT$50000,"Mahesh",'Adv. Filter'!$BQ$1:$BQ$50000,$C156,'Adv. Filter'!$BH$1:$BH$50000,"Cash",'Adv. Filter'!$BO$1:$BO$50000,'Adv. Filter'!$A$14,'Adv. Filter'!$BO$1:$BO$50000,'Adv. Filter'!$B$14)</f>
        <v>0</v>
      </c>
      <c r="U156" s="277"/>
      <c r="V156" s="277"/>
      <c r="W156" s="277"/>
      <c r="X156" s="277"/>
      <c r="Y156" s="277"/>
      <c r="Z156" s="277"/>
      <c r="AA156" s="277"/>
      <c r="AB156" s="277"/>
      <c r="AC156" s="278"/>
      <c r="AD156" s="276">
        <f>SUMIFS('Adv. Filter'!$BJ$1:$BJ$50000,'Adv. Filter'!$BT$1:$BT$50000,"Mahesh",'Adv. Filter'!$BQ$1:$BQ$50000,$C156,'Adv. Filter'!$BH$1:$BH$50000,"Bank",'Adv. Filter'!$BO$1:$BO$50000,'Adv. Filter'!$A$14,'Adv. Filter'!$BO$1:$BO$50000,'Adv. Filter'!$B$14)</f>
        <v>0</v>
      </c>
      <c r="AE156" s="277"/>
      <c r="AF156" s="277"/>
      <c r="AG156" s="277"/>
      <c r="AH156" s="277"/>
      <c r="AI156" s="277"/>
      <c r="AJ156" s="277"/>
      <c r="AK156" s="277"/>
      <c r="AL156" s="277"/>
      <c r="AM156" s="278"/>
      <c r="AN156" s="276">
        <f t="shared" si="10"/>
        <v>0</v>
      </c>
      <c r="AO156" s="277"/>
      <c r="AP156" s="277"/>
      <c r="AQ156" s="277"/>
      <c r="AR156" s="277"/>
      <c r="AS156" s="277"/>
      <c r="AT156" s="277"/>
      <c r="AU156" s="277"/>
      <c r="AV156" s="277"/>
      <c r="AW156" s="278"/>
      <c r="AX156" s="45"/>
      <c r="AY156" s="293" t="s">
        <v>49</v>
      </c>
      <c r="AZ156" s="294"/>
      <c r="BA156" s="294"/>
      <c r="BB156" s="294"/>
      <c r="BC156" s="294"/>
      <c r="BD156" s="294"/>
      <c r="BE156" s="294"/>
      <c r="BF156" s="294"/>
      <c r="BG156" s="294"/>
      <c r="BH156" s="294"/>
      <c r="BI156" s="294"/>
      <c r="BJ156" s="294"/>
      <c r="BK156" s="294"/>
      <c r="BL156" s="294"/>
      <c r="BM156" s="294"/>
      <c r="BN156" s="294"/>
      <c r="BO156" s="295"/>
      <c r="BP156" s="276">
        <f>SUMIFS('Adv. Filter'!$BJ$1:$BJ$50000,'Adv. Filter'!$BT$1:$BT$50000,"Mahesh",'Adv. Filter'!$BQ$1:$BQ$50000,$AY156,'Adv. Filter'!$BH$1:$BH$50000,"Cash",'Adv. Filter'!$BO$1:$BO$50000,"&lt;"&amp;'Adv. Filter'!$A$15)</f>
        <v>0</v>
      </c>
      <c r="BQ156" s="277"/>
      <c r="BR156" s="277"/>
      <c r="BS156" s="277"/>
      <c r="BT156" s="277"/>
      <c r="BU156" s="277"/>
      <c r="BV156" s="277"/>
      <c r="BW156" s="277"/>
      <c r="BX156" s="277"/>
      <c r="BY156" s="278"/>
      <c r="BZ156" s="276">
        <f>SUMIFS('Adv. Filter'!$BJ$1:$BJ$50000,'Adv. Filter'!$BT$1:$BT$50000,"Mahesh",'Adv. Filter'!$BQ$1:$BQ$50000,$AY156,'Adv. Filter'!$BH$1:$BH$50000,"Bank",'Adv. Filter'!$BO$1:$BO$50000,"&lt;"&amp;'Adv. Filter'!$A$15)</f>
        <v>0</v>
      </c>
      <c r="CA156" s="277"/>
      <c r="CB156" s="277"/>
      <c r="CC156" s="277"/>
      <c r="CD156" s="277"/>
      <c r="CE156" s="277"/>
      <c r="CF156" s="277"/>
      <c r="CG156" s="277"/>
      <c r="CH156" s="277"/>
      <c r="CI156" s="278"/>
      <c r="CJ156" s="276">
        <f t="shared" si="11"/>
        <v>0</v>
      </c>
      <c r="CK156" s="277"/>
      <c r="CL156" s="277"/>
      <c r="CM156" s="277"/>
      <c r="CN156" s="277"/>
      <c r="CO156" s="277"/>
      <c r="CP156" s="277"/>
      <c r="CQ156" s="277"/>
      <c r="CR156" s="277"/>
      <c r="CS156" s="278"/>
      <c r="CT156" s="44"/>
      <c r="CU156" s="44"/>
      <c r="CV156" s="44"/>
      <c r="CW156" s="44"/>
      <c r="CX156" s="44"/>
      <c r="CY156" s="44"/>
      <c r="CZ156" s="44"/>
      <c r="DF156" s="131"/>
    </row>
    <row r="157" spans="1:206" s="44" customFormat="1" hidden="1">
      <c r="A157"/>
      <c r="B157"/>
      <c r="C157" s="308" t="s">
        <v>115</v>
      </c>
      <c r="D157" s="309"/>
      <c r="E157" s="309"/>
      <c r="F157" s="309"/>
      <c r="G157" s="309"/>
      <c r="H157" s="309"/>
      <c r="I157" s="309"/>
      <c r="J157" s="309"/>
      <c r="K157" s="309"/>
      <c r="L157" s="309"/>
      <c r="M157" s="309"/>
      <c r="N157" s="309"/>
      <c r="O157" s="309"/>
      <c r="P157" s="309"/>
      <c r="Q157" s="309"/>
      <c r="R157" s="309"/>
      <c r="S157" s="310"/>
      <c r="T157" s="267">
        <f>SUMIFS('Adv. Filter'!$BJ$1:$BJ$50000,'Adv. Filter'!$BT$1:$BT$50000,"Mahesh",'Adv. Filter'!$BQ$1:$BQ$50000,$C156,'Adv. Filter'!$BH$1:$BH$50000,"Cash",'Adv. Filter'!$BO$1:$BO$50000,'Adv. Filter'!$A$14,'Adv. Filter'!$BO$1:$BO$50000,'Adv. Filter'!$B$14,'Adv. Filter'!$BP$1:$BP$50000,"Project")</f>
        <v>0</v>
      </c>
      <c r="U157" s="268"/>
      <c r="V157" s="268"/>
      <c r="W157" s="268"/>
      <c r="X157" s="268"/>
      <c r="Y157" s="268"/>
      <c r="Z157" s="268"/>
      <c r="AA157" s="268"/>
      <c r="AB157" s="268"/>
      <c r="AC157" s="269"/>
      <c r="AD157" s="267">
        <f>SUMIFS('Adv. Filter'!$BJ$1:$BJ$50000,'Adv. Filter'!$BT$1:$BT$50000,"Mahesh",'Adv. Filter'!$BQ$1:$BQ$50000,$C156,'Adv. Filter'!$BH$1:$BH$50000,"Bank",'Adv. Filter'!$BO$1:$BO$50000,'Adv. Filter'!$A$14,'Adv. Filter'!$BO$1:$BO$50000,'Adv. Filter'!$B$14,'Adv. Filter'!$BP$1:$BP$50000,"Project")</f>
        <v>0</v>
      </c>
      <c r="AE157" s="268"/>
      <c r="AF157" s="268"/>
      <c r="AG157" s="268"/>
      <c r="AH157" s="268"/>
      <c r="AI157" s="268"/>
      <c r="AJ157" s="268"/>
      <c r="AK157" s="268"/>
      <c r="AL157" s="268"/>
      <c r="AM157" s="269"/>
      <c r="AN157" s="267">
        <f t="shared" si="10"/>
        <v>0</v>
      </c>
      <c r="AO157" s="268"/>
      <c r="AP157" s="268"/>
      <c r="AQ157" s="268"/>
      <c r="AR157" s="268"/>
      <c r="AS157" s="268"/>
      <c r="AT157" s="268"/>
      <c r="AU157" s="268"/>
      <c r="AV157" s="268"/>
      <c r="AW157" s="269"/>
      <c r="AX157" s="22"/>
      <c r="AY157" s="308" t="s">
        <v>115</v>
      </c>
      <c r="AZ157" s="309"/>
      <c r="BA157" s="309"/>
      <c r="BB157" s="309"/>
      <c r="BC157" s="309"/>
      <c r="BD157" s="309"/>
      <c r="BE157" s="309"/>
      <c r="BF157" s="309"/>
      <c r="BG157" s="309"/>
      <c r="BH157" s="309"/>
      <c r="BI157" s="309"/>
      <c r="BJ157" s="309"/>
      <c r="BK157" s="309"/>
      <c r="BL157" s="309"/>
      <c r="BM157" s="309"/>
      <c r="BN157" s="309"/>
      <c r="BO157" s="310"/>
      <c r="BP157" s="267">
        <f>SUMIFS('Adv. Filter'!$BJ$1:$BJ$50000,'Adv. Filter'!$BT$1:$BT$50000,"Mahesh",'Adv. Filter'!$BQ$1:$BQ$50000,$AY156,'Adv. Filter'!$BH$1:$BH$50000,"Cash",'Adv. Filter'!$BO$1:$BO$50000,"&lt;"&amp;'Adv. Filter'!$A$15,'Adv. Filter'!$BP$1:$BP$50000,"Project")</f>
        <v>0</v>
      </c>
      <c r="BQ157" s="268"/>
      <c r="BR157" s="268"/>
      <c r="BS157" s="268"/>
      <c r="BT157" s="268"/>
      <c r="BU157" s="268"/>
      <c r="BV157" s="268"/>
      <c r="BW157" s="268"/>
      <c r="BX157" s="268"/>
      <c r="BY157" s="269"/>
      <c r="BZ157" s="267">
        <f>SUMIFS('Adv. Filter'!$BJ$1:$BJ$50000,'Adv. Filter'!$BT$1:$BT$50000,"Mahesh",'Adv. Filter'!$BQ$1:$BQ$50000,$AY156,'Adv. Filter'!$BH$1:$BH$50000,"Bank",'Adv. Filter'!$BO$1:$BO$50000,"&lt;"&amp;'Adv. Filter'!$A$15,'Adv. Filter'!$BP$1:$BP$50000,"Project")</f>
        <v>0</v>
      </c>
      <c r="CA157" s="268"/>
      <c r="CB157" s="268"/>
      <c r="CC157" s="268"/>
      <c r="CD157" s="268"/>
      <c r="CE157" s="268"/>
      <c r="CF157" s="268"/>
      <c r="CG157" s="268"/>
      <c r="CH157" s="268"/>
      <c r="CI157" s="269"/>
      <c r="CJ157" s="267">
        <f t="shared" si="11"/>
        <v>0</v>
      </c>
      <c r="CK157" s="268"/>
      <c r="CL157" s="268"/>
      <c r="CM157" s="268"/>
      <c r="CN157" s="268"/>
      <c r="CO157" s="268"/>
      <c r="CP157" s="268"/>
      <c r="CQ157" s="268"/>
      <c r="CR157" s="268"/>
      <c r="CS157" s="269"/>
      <c r="CT157"/>
      <c r="CU157"/>
      <c r="CV157"/>
      <c r="CW157"/>
      <c r="CX157"/>
      <c r="CY157"/>
      <c r="CZ157"/>
      <c r="DF157" s="132"/>
      <c r="DR157"/>
      <c r="DS157"/>
      <c r="DT157"/>
      <c r="DU157"/>
      <c r="DV157"/>
      <c r="DW157"/>
      <c r="DX157"/>
      <c r="DY157"/>
      <c r="DZ157"/>
      <c r="EA157"/>
      <c r="EB157"/>
      <c r="EC157"/>
      <c r="ED157"/>
      <c r="EE157"/>
      <c r="EF157"/>
      <c r="EG157"/>
      <c r="EH157"/>
      <c r="EI157"/>
      <c r="EJ157"/>
      <c r="EK157"/>
      <c r="EL157"/>
      <c r="EM157"/>
      <c r="EN157"/>
      <c r="EO157"/>
      <c r="EP157"/>
      <c r="EQ157"/>
      <c r="ER157"/>
      <c r="ES157"/>
      <c r="ET157"/>
      <c r="EU157"/>
      <c r="EV157"/>
      <c r="EW157"/>
      <c r="EX157"/>
      <c r="EY157"/>
      <c r="EZ157"/>
      <c r="FA157"/>
      <c r="FB157"/>
      <c r="FC157"/>
      <c r="FD157"/>
      <c r="FE157"/>
      <c r="FF157"/>
      <c r="FG157"/>
      <c r="FH157"/>
      <c r="FI157"/>
      <c r="FJ157"/>
      <c r="FK157"/>
      <c r="FL157"/>
      <c r="FM157"/>
      <c r="FN157"/>
      <c r="FO157"/>
      <c r="FP157"/>
      <c r="FQ157"/>
      <c r="FR157"/>
      <c r="FS157"/>
      <c r="FT157"/>
      <c r="FU157"/>
      <c r="FV157"/>
      <c r="FW157"/>
      <c r="FX157"/>
      <c r="FY157"/>
      <c r="FZ157"/>
      <c r="GA157"/>
      <c r="GB157"/>
      <c r="GC157"/>
      <c r="GD157"/>
      <c r="GE157"/>
      <c r="GF157"/>
      <c r="GG157"/>
      <c r="GH157"/>
      <c r="GI157"/>
      <c r="GJ157"/>
      <c r="GK157"/>
      <c r="GL157"/>
      <c r="GM157"/>
      <c r="GN157"/>
      <c r="GO157"/>
      <c r="GP157"/>
      <c r="GQ157"/>
      <c r="GR157"/>
      <c r="GS157"/>
      <c r="GT157"/>
      <c r="GU157"/>
      <c r="GV157"/>
      <c r="GW157"/>
      <c r="GX157"/>
    </row>
    <row r="158" spans="1:206" hidden="1">
      <c r="C158" s="308" t="s">
        <v>510</v>
      </c>
      <c r="D158" s="309"/>
      <c r="E158" s="309"/>
      <c r="F158" s="309"/>
      <c r="G158" s="309"/>
      <c r="H158" s="309"/>
      <c r="I158" s="309"/>
      <c r="J158" s="309"/>
      <c r="K158" s="309"/>
      <c r="L158" s="309"/>
      <c r="M158" s="309"/>
      <c r="N158" s="309"/>
      <c r="O158" s="309"/>
      <c r="P158" s="309"/>
      <c r="Q158" s="309"/>
      <c r="R158" s="309"/>
      <c r="S158" s="310"/>
      <c r="T158" s="267">
        <v>0</v>
      </c>
      <c r="U158" s="268"/>
      <c r="V158" s="268"/>
      <c r="W158" s="268"/>
      <c r="X158" s="268"/>
      <c r="Y158" s="268"/>
      <c r="Z158" s="268"/>
      <c r="AA158" s="268"/>
      <c r="AB158" s="268"/>
      <c r="AC158" s="269"/>
      <c r="AD158" s="267">
        <v>0</v>
      </c>
      <c r="AE158" s="268"/>
      <c r="AF158" s="268"/>
      <c r="AG158" s="268"/>
      <c r="AH158" s="268"/>
      <c r="AI158" s="268"/>
      <c r="AJ158" s="268"/>
      <c r="AK158" s="268"/>
      <c r="AL158" s="268"/>
      <c r="AM158" s="269"/>
      <c r="AN158" s="267">
        <f t="shared" si="10"/>
        <v>0</v>
      </c>
      <c r="AO158" s="268"/>
      <c r="AP158" s="268"/>
      <c r="AQ158" s="268"/>
      <c r="AR158" s="268"/>
      <c r="AS158" s="268"/>
      <c r="AT158" s="268"/>
      <c r="AU158" s="268"/>
      <c r="AV158" s="268"/>
      <c r="AW158" s="269"/>
      <c r="AX158" s="22"/>
      <c r="AY158" s="308" t="s">
        <v>510</v>
      </c>
      <c r="AZ158" s="309"/>
      <c r="BA158" s="309"/>
      <c r="BB158" s="309"/>
      <c r="BC158" s="309"/>
      <c r="BD158" s="309"/>
      <c r="BE158" s="309"/>
      <c r="BF158" s="309"/>
      <c r="BG158" s="309"/>
      <c r="BH158" s="309"/>
      <c r="BI158" s="309"/>
      <c r="BJ158" s="309"/>
      <c r="BK158" s="309"/>
      <c r="BL158" s="309"/>
      <c r="BM158" s="309"/>
      <c r="BN158" s="309"/>
      <c r="BO158" s="310"/>
      <c r="BP158" s="267"/>
      <c r="BQ158" s="268"/>
      <c r="BR158" s="268"/>
      <c r="BS158" s="268"/>
      <c r="BT158" s="268"/>
      <c r="BU158" s="268"/>
      <c r="BV158" s="268"/>
      <c r="BW158" s="268"/>
      <c r="BX158" s="268"/>
      <c r="BY158" s="269"/>
      <c r="BZ158" s="267"/>
      <c r="CA158" s="268"/>
      <c r="CB158" s="268"/>
      <c r="CC158" s="268"/>
      <c r="CD158" s="268"/>
      <c r="CE158" s="268"/>
      <c r="CF158" s="268"/>
      <c r="CG158" s="268"/>
      <c r="CH158" s="268"/>
      <c r="CI158" s="269"/>
      <c r="CJ158" s="267">
        <f t="shared" si="11"/>
        <v>0</v>
      </c>
      <c r="CK158" s="268"/>
      <c r="CL158" s="268"/>
      <c r="CM158" s="268"/>
      <c r="CN158" s="268"/>
      <c r="CO158" s="268"/>
      <c r="CP158" s="268"/>
      <c r="CQ158" s="268"/>
      <c r="CR158" s="268"/>
      <c r="CS158" s="269"/>
      <c r="DF158" s="131"/>
    </row>
    <row r="159" spans="1:206" hidden="1">
      <c r="C159" s="43"/>
      <c r="D159" s="36" t="str">
        <f>IF(AN156=0,C156&amp;" -","")</f>
        <v>BOI -</v>
      </c>
      <c r="E159" s="42"/>
      <c r="F159" s="42"/>
      <c r="G159" s="42"/>
      <c r="H159" s="42"/>
      <c r="I159" s="42"/>
      <c r="J159" s="42"/>
      <c r="K159" s="42"/>
      <c r="L159" s="42"/>
      <c r="M159" s="42"/>
      <c r="N159" s="42"/>
      <c r="O159" s="42"/>
      <c r="P159" s="1"/>
      <c r="Q159" s="42"/>
      <c r="R159" s="41" t="s">
        <v>275</v>
      </c>
      <c r="S159" s="40"/>
      <c r="T159" s="267">
        <f>SUMIFS('Adv. Filter'!$CH$1:$CH$50000,'Adv. Filter'!$CD$1:$CD$50000,"Mahesh",'Adv. Filter'!$CE$1:$CE$50000,$C156,'Adv. Filter'!$CC$1:$CC$50000,"Suspense",'Adv. Filter'!$CF$1:$CF$50000,"Cash")</f>
        <v>20000</v>
      </c>
      <c r="U159" s="268"/>
      <c r="V159" s="268"/>
      <c r="W159" s="268"/>
      <c r="X159" s="268"/>
      <c r="Y159" s="268"/>
      <c r="Z159" s="268"/>
      <c r="AA159" s="268"/>
      <c r="AB159" s="268"/>
      <c r="AC159" s="269"/>
      <c r="AD159" s="267">
        <f>SUMIFS('Adv. Filter'!$CH$1:$CH$50000,'Adv. Filter'!$CD$1:$CD$50000,"Mahesh",'Adv. Filter'!$CE$1:$CE$50000,$C156,'Adv. Filter'!$CC$1:$CC$50000,"Suspense",'Adv. Filter'!$CF$1:$CF$50000,"Bank")</f>
        <v>0</v>
      </c>
      <c r="AE159" s="268"/>
      <c r="AF159" s="268"/>
      <c r="AG159" s="268"/>
      <c r="AH159" s="268"/>
      <c r="AI159" s="268"/>
      <c r="AJ159" s="268"/>
      <c r="AK159" s="268"/>
      <c r="AL159" s="268"/>
      <c r="AM159" s="269"/>
      <c r="AN159" s="267">
        <f t="shared" si="10"/>
        <v>20000</v>
      </c>
      <c r="AO159" s="268"/>
      <c r="AP159" s="268"/>
      <c r="AQ159" s="268"/>
      <c r="AR159" s="268"/>
      <c r="AS159" s="268"/>
      <c r="AT159" s="268"/>
      <c r="AU159" s="268"/>
      <c r="AV159" s="268"/>
      <c r="AW159" s="269"/>
      <c r="AX159" s="22"/>
      <c r="AY159" s="43"/>
      <c r="AZ159" s="36" t="str">
        <f>IF(CJ156=0,AY156&amp;" -","")</f>
        <v>BOI -</v>
      </c>
      <c r="BA159" s="42"/>
      <c r="BB159" s="42"/>
      <c r="BC159" s="42"/>
      <c r="BD159" s="42"/>
      <c r="BE159" s="42"/>
      <c r="BF159" s="42"/>
      <c r="BG159" s="42"/>
      <c r="BH159" s="42"/>
      <c r="BI159" s="42"/>
      <c r="BJ159" s="42"/>
      <c r="BK159" s="42"/>
      <c r="BL159" s="1"/>
      <c r="BM159" s="42"/>
      <c r="BN159" s="41" t="s">
        <v>275</v>
      </c>
      <c r="BO159" s="40"/>
      <c r="BP159" s="267"/>
      <c r="BQ159" s="268"/>
      <c r="BR159" s="268"/>
      <c r="BS159" s="268"/>
      <c r="BT159" s="268"/>
      <c r="BU159" s="268"/>
      <c r="BV159" s="268"/>
      <c r="BW159" s="268"/>
      <c r="BX159" s="268"/>
      <c r="BY159" s="269"/>
      <c r="BZ159" s="267"/>
      <c r="CA159" s="268"/>
      <c r="CB159" s="268"/>
      <c r="CC159" s="268"/>
      <c r="CD159" s="268"/>
      <c r="CE159" s="268"/>
      <c r="CF159" s="268"/>
      <c r="CG159" s="268"/>
      <c r="CH159" s="268"/>
      <c r="CI159" s="269"/>
      <c r="CJ159" s="267">
        <f t="shared" si="11"/>
        <v>0</v>
      </c>
      <c r="CK159" s="268"/>
      <c r="CL159" s="268"/>
      <c r="CM159" s="268"/>
      <c r="CN159" s="268"/>
      <c r="CO159" s="268"/>
      <c r="CP159" s="268"/>
      <c r="CQ159" s="268"/>
      <c r="CR159" s="268"/>
      <c r="CS159" s="269"/>
    </row>
    <row r="160" spans="1:206" hidden="1">
      <c r="A160" s="44"/>
      <c r="B160" s="44"/>
      <c r="C160" s="293" t="s">
        <v>59</v>
      </c>
      <c r="D160" s="294"/>
      <c r="E160" s="294"/>
      <c r="F160" s="294"/>
      <c r="G160" s="294"/>
      <c r="H160" s="294"/>
      <c r="I160" s="294"/>
      <c r="J160" s="294"/>
      <c r="K160" s="294"/>
      <c r="L160" s="294"/>
      <c r="M160" s="294"/>
      <c r="N160" s="294"/>
      <c r="O160" s="294"/>
      <c r="P160" s="294"/>
      <c r="Q160" s="294"/>
      <c r="R160" s="294"/>
      <c r="S160" s="295"/>
      <c r="T160" s="276">
        <f>SUMIFS('Adv. Filter'!$BJ$1:$BJ$50000,'Adv. Filter'!$BT$1:$BT$50000,"Mahesh",'Adv. Filter'!$BQ$1:$BQ$50000,$C160,'Adv. Filter'!$BH$1:$BH$50000,"Cash",'Adv. Filter'!$BO$1:$BO$50000,'Adv. Filter'!$A$14,'Adv. Filter'!$BO$1:$BO$50000,'Adv. Filter'!$B$14)</f>
        <v>0</v>
      </c>
      <c r="U160" s="277"/>
      <c r="V160" s="277"/>
      <c r="W160" s="277"/>
      <c r="X160" s="277"/>
      <c r="Y160" s="277"/>
      <c r="Z160" s="277"/>
      <c r="AA160" s="277"/>
      <c r="AB160" s="277"/>
      <c r="AC160" s="278"/>
      <c r="AD160" s="276">
        <f>SUMIFS('Adv. Filter'!$BJ$1:$BJ$50000,'Adv. Filter'!$BT$1:$BT$50000,"Mahesh",'Adv. Filter'!$BQ$1:$BQ$50000,$C160,'Adv. Filter'!$BH$1:$BH$50000,"Bank",'Adv. Filter'!$BO$1:$BO$50000,'Adv. Filter'!$A$14,'Adv. Filter'!$BO$1:$BO$50000,'Adv. Filter'!$B$14)</f>
        <v>0</v>
      </c>
      <c r="AE160" s="277"/>
      <c r="AF160" s="277"/>
      <c r="AG160" s="277"/>
      <c r="AH160" s="277"/>
      <c r="AI160" s="277"/>
      <c r="AJ160" s="277"/>
      <c r="AK160" s="277"/>
      <c r="AL160" s="277"/>
      <c r="AM160" s="278"/>
      <c r="AN160" s="276">
        <f t="shared" si="10"/>
        <v>0</v>
      </c>
      <c r="AO160" s="277"/>
      <c r="AP160" s="277"/>
      <c r="AQ160" s="277"/>
      <c r="AR160" s="277"/>
      <c r="AS160" s="277"/>
      <c r="AT160" s="277"/>
      <c r="AU160" s="277"/>
      <c r="AV160" s="277"/>
      <c r="AW160" s="278"/>
      <c r="AX160" s="45"/>
      <c r="AY160" s="293" t="s">
        <v>59</v>
      </c>
      <c r="AZ160" s="294"/>
      <c r="BA160" s="294"/>
      <c r="BB160" s="294"/>
      <c r="BC160" s="294"/>
      <c r="BD160" s="294"/>
      <c r="BE160" s="294"/>
      <c r="BF160" s="294"/>
      <c r="BG160" s="294"/>
      <c r="BH160" s="294"/>
      <c r="BI160" s="294"/>
      <c r="BJ160" s="294"/>
      <c r="BK160" s="294"/>
      <c r="BL160" s="294"/>
      <c r="BM160" s="294"/>
      <c r="BN160" s="294"/>
      <c r="BO160" s="295"/>
      <c r="BP160" s="276">
        <f>SUMIFS('Adv. Filter'!$BJ$1:$BJ$50000,'Adv. Filter'!$BT$1:$BT$50000,"Mahesh",'Adv. Filter'!$BQ$1:$BQ$50000,$AY160,'Adv. Filter'!$BH$1:$BH$50000,"Cash",'Adv. Filter'!$BO$1:$BO$50000,"&lt;"&amp;'Adv. Filter'!$A$15)</f>
        <v>0</v>
      </c>
      <c r="BQ160" s="277"/>
      <c r="BR160" s="277"/>
      <c r="BS160" s="277"/>
      <c r="BT160" s="277"/>
      <c r="BU160" s="277"/>
      <c r="BV160" s="277"/>
      <c r="BW160" s="277"/>
      <c r="BX160" s="277"/>
      <c r="BY160" s="278"/>
      <c r="BZ160" s="276">
        <f>SUMIFS('Adv. Filter'!$BJ$1:$BJ$50000,'Adv. Filter'!$BT$1:$BT$50000,"Mahesh",'Adv. Filter'!$BQ$1:$BQ$50000,$AY160,'Adv. Filter'!$BH$1:$BH$50000,"Bank",'Adv. Filter'!$BO$1:$BO$50000,"&lt;"&amp;'Adv. Filter'!$A$15)</f>
        <v>0</v>
      </c>
      <c r="CA160" s="277"/>
      <c r="CB160" s="277"/>
      <c r="CC160" s="277"/>
      <c r="CD160" s="277"/>
      <c r="CE160" s="277"/>
      <c r="CF160" s="277"/>
      <c r="CG160" s="277"/>
      <c r="CH160" s="277"/>
      <c r="CI160" s="278"/>
      <c r="CJ160" s="276">
        <f t="shared" si="11"/>
        <v>0</v>
      </c>
      <c r="CK160" s="277"/>
      <c r="CL160" s="277"/>
      <c r="CM160" s="277"/>
      <c r="CN160" s="277"/>
      <c r="CO160" s="277"/>
      <c r="CP160" s="277"/>
      <c r="CQ160" s="277"/>
      <c r="CR160" s="277"/>
      <c r="CS160" s="278"/>
      <c r="CT160" s="44"/>
      <c r="CU160" s="44"/>
      <c r="CV160" s="44"/>
      <c r="CW160" s="44"/>
      <c r="CX160" s="44"/>
      <c r="CY160" s="44"/>
      <c r="CZ160" s="44"/>
    </row>
    <row r="161" spans="1:206" s="44" customFormat="1" hidden="1">
      <c r="A161"/>
      <c r="B161"/>
      <c r="C161" s="308" t="s">
        <v>115</v>
      </c>
      <c r="D161" s="309"/>
      <c r="E161" s="309"/>
      <c r="F161" s="309"/>
      <c r="G161" s="309"/>
      <c r="H161" s="309"/>
      <c r="I161" s="309"/>
      <c r="J161" s="309"/>
      <c r="K161" s="309"/>
      <c r="L161" s="309"/>
      <c r="M161" s="309"/>
      <c r="N161" s="309"/>
      <c r="O161" s="309"/>
      <c r="P161" s="309"/>
      <c r="Q161" s="309"/>
      <c r="R161" s="309"/>
      <c r="S161" s="310"/>
      <c r="T161" s="267">
        <f>SUMIFS('Adv. Filter'!$BJ$1:$BJ$50000,'Adv. Filter'!$BT$1:$BT$50000,"Mahesh",'Adv. Filter'!$BQ$1:$BQ$50000,$C160,'Adv. Filter'!$BH$1:$BH$50000,"Cash",'Adv. Filter'!$BO$1:$BO$50000,'Adv. Filter'!$A$14,'Adv. Filter'!$BO$1:$BO$50000,'Adv. Filter'!$B$14,'Adv. Filter'!$BP$1:$BP$50000,"Project")</f>
        <v>0</v>
      </c>
      <c r="U161" s="268"/>
      <c r="V161" s="268"/>
      <c r="W161" s="268"/>
      <c r="X161" s="268"/>
      <c r="Y161" s="268"/>
      <c r="Z161" s="268"/>
      <c r="AA161" s="268"/>
      <c r="AB161" s="268"/>
      <c r="AC161" s="269"/>
      <c r="AD161" s="267">
        <f>SUMIFS('Adv. Filter'!$BJ$1:$BJ$50000,'Adv. Filter'!$BT$1:$BT$50000,"Mahesh",'Adv. Filter'!$BQ$1:$BQ$50000,$C160,'Adv. Filter'!$BH$1:$BH$50000,"Bank",'Adv. Filter'!$BO$1:$BO$50000,'Adv. Filter'!$A$14,'Adv. Filter'!$BO$1:$BO$50000,'Adv. Filter'!$B$14,'Adv. Filter'!$BP$1:$BP$50000,"Project")</f>
        <v>0</v>
      </c>
      <c r="AE161" s="268"/>
      <c r="AF161" s="268"/>
      <c r="AG161" s="268"/>
      <c r="AH161" s="268"/>
      <c r="AI161" s="268"/>
      <c r="AJ161" s="268"/>
      <c r="AK161" s="268"/>
      <c r="AL161" s="268"/>
      <c r="AM161" s="269"/>
      <c r="AN161" s="267">
        <f t="shared" si="10"/>
        <v>0</v>
      </c>
      <c r="AO161" s="268"/>
      <c r="AP161" s="268"/>
      <c r="AQ161" s="268"/>
      <c r="AR161" s="268"/>
      <c r="AS161" s="268"/>
      <c r="AT161" s="268"/>
      <c r="AU161" s="268"/>
      <c r="AV161" s="268"/>
      <c r="AW161" s="269"/>
      <c r="AX161" s="22"/>
      <c r="AY161" s="308" t="s">
        <v>115</v>
      </c>
      <c r="AZ161" s="309"/>
      <c r="BA161" s="309"/>
      <c r="BB161" s="309"/>
      <c r="BC161" s="309"/>
      <c r="BD161" s="309"/>
      <c r="BE161" s="309"/>
      <c r="BF161" s="309"/>
      <c r="BG161" s="309"/>
      <c r="BH161" s="309"/>
      <c r="BI161" s="309"/>
      <c r="BJ161" s="309"/>
      <c r="BK161" s="309"/>
      <c r="BL161" s="309"/>
      <c r="BM161" s="309"/>
      <c r="BN161" s="309"/>
      <c r="BO161" s="310"/>
      <c r="BP161" s="267">
        <f>SUMIFS('Adv. Filter'!$BJ$1:$BJ$50000,'Adv. Filter'!$BT$1:$BT$50000,"Mahesh",'Adv. Filter'!$BQ$1:$BQ$50000,$AY160,'Adv. Filter'!$BH$1:$BH$50000,"Cash",'Adv. Filter'!$BO$1:$BO$50000,"&lt;"&amp;'Adv. Filter'!$A$15,'Adv. Filter'!$BP$1:$BP$50000,"Project")</f>
        <v>0</v>
      </c>
      <c r="BQ161" s="268"/>
      <c r="BR161" s="268"/>
      <c r="BS161" s="268"/>
      <c r="BT161" s="268"/>
      <c r="BU161" s="268"/>
      <c r="BV161" s="268"/>
      <c r="BW161" s="268"/>
      <c r="BX161" s="268"/>
      <c r="BY161" s="269"/>
      <c r="BZ161" s="267">
        <f>SUMIFS('Adv. Filter'!$BJ$1:$BJ$50000,'Adv. Filter'!$BT$1:$BT$50000,"Mahesh",'Adv. Filter'!$BQ$1:$BQ$50000,$AY160,'Adv. Filter'!$BH$1:$BH$50000,"Bank",'Adv. Filter'!$BO$1:$BO$50000,"&lt;"&amp;'Adv. Filter'!$A$15,'Adv. Filter'!$BP$1:$BP$50000,"Project")</f>
        <v>0</v>
      </c>
      <c r="CA161" s="268"/>
      <c r="CB161" s="268"/>
      <c r="CC161" s="268"/>
      <c r="CD161" s="268"/>
      <c r="CE161" s="268"/>
      <c r="CF161" s="268"/>
      <c r="CG161" s="268"/>
      <c r="CH161" s="268"/>
      <c r="CI161" s="269"/>
      <c r="CJ161" s="267">
        <f t="shared" si="11"/>
        <v>0</v>
      </c>
      <c r="CK161" s="268"/>
      <c r="CL161" s="268"/>
      <c r="CM161" s="268"/>
      <c r="CN161" s="268"/>
      <c r="CO161" s="268"/>
      <c r="CP161" s="268"/>
      <c r="CQ161" s="268"/>
      <c r="CR161" s="268"/>
      <c r="CS161" s="269"/>
      <c r="CT161"/>
      <c r="CU161"/>
      <c r="CV161"/>
      <c r="CW161"/>
      <c r="CX161"/>
      <c r="CY161"/>
      <c r="CZ161"/>
      <c r="DR161"/>
      <c r="DS161"/>
      <c r="DT161"/>
      <c r="DU161"/>
      <c r="DV161"/>
      <c r="DW161"/>
      <c r="DX161"/>
      <c r="DY161"/>
      <c r="DZ161"/>
      <c r="EA161"/>
      <c r="EB161"/>
      <c r="EC161"/>
      <c r="ED161"/>
      <c r="EE161"/>
      <c r="EF161"/>
      <c r="EG161"/>
      <c r="EH161"/>
      <c r="EI161"/>
      <c r="EJ161"/>
      <c r="EK161"/>
      <c r="EL161"/>
      <c r="EM161"/>
      <c r="EN161"/>
      <c r="EO161"/>
      <c r="EP161"/>
      <c r="EQ161"/>
      <c r="ER161"/>
      <c r="ES161"/>
      <c r="ET161"/>
      <c r="EU161"/>
      <c r="EV161"/>
      <c r="EW161"/>
      <c r="EX161"/>
      <c r="EY161"/>
      <c r="EZ161"/>
      <c r="FA161"/>
      <c r="FB161"/>
      <c r="FC161"/>
      <c r="FD161"/>
      <c r="FE161"/>
      <c r="FF161"/>
      <c r="FG161"/>
      <c r="FH161"/>
      <c r="FI161"/>
      <c r="FJ161"/>
      <c r="FK161"/>
      <c r="FL161"/>
      <c r="FM161"/>
      <c r="FN161"/>
      <c r="FO161"/>
      <c r="FP161"/>
      <c r="FQ161"/>
      <c r="FR161"/>
      <c r="FS161"/>
      <c r="FT161"/>
      <c r="FU161"/>
      <c r="FV161"/>
      <c r="FW161"/>
      <c r="FX161"/>
      <c r="FY161"/>
      <c r="FZ161"/>
      <c r="GA161"/>
      <c r="GB161"/>
      <c r="GC161"/>
      <c r="GD161"/>
      <c r="GE161"/>
      <c r="GF161"/>
      <c r="GG161"/>
      <c r="GH161"/>
      <c r="GI161"/>
      <c r="GJ161"/>
      <c r="GK161"/>
      <c r="GL161"/>
      <c r="GM161"/>
      <c r="GN161"/>
      <c r="GO161"/>
      <c r="GP161"/>
      <c r="GQ161"/>
      <c r="GR161"/>
      <c r="GS161"/>
      <c r="GT161"/>
      <c r="GU161"/>
      <c r="GV161"/>
      <c r="GW161"/>
      <c r="GX161"/>
    </row>
    <row r="162" spans="1:206" hidden="1">
      <c r="C162" s="308" t="s">
        <v>510</v>
      </c>
      <c r="D162" s="309"/>
      <c r="E162" s="309"/>
      <c r="F162" s="309"/>
      <c r="G162" s="309"/>
      <c r="H162" s="309"/>
      <c r="I162" s="309"/>
      <c r="J162" s="309"/>
      <c r="K162" s="309"/>
      <c r="L162" s="309"/>
      <c r="M162" s="309"/>
      <c r="N162" s="309"/>
      <c r="O162" s="309"/>
      <c r="P162" s="309"/>
      <c r="Q162" s="309"/>
      <c r="R162" s="309"/>
      <c r="S162" s="310"/>
      <c r="T162" s="267">
        <v>0</v>
      </c>
      <c r="U162" s="268"/>
      <c r="V162" s="268"/>
      <c r="W162" s="268"/>
      <c r="X162" s="268"/>
      <c r="Y162" s="268"/>
      <c r="Z162" s="268"/>
      <c r="AA162" s="268"/>
      <c r="AB162" s="268"/>
      <c r="AC162" s="269"/>
      <c r="AD162" s="267">
        <v>0</v>
      </c>
      <c r="AE162" s="268"/>
      <c r="AF162" s="268"/>
      <c r="AG162" s="268"/>
      <c r="AH162" s="268"/>
      <c r="AI162" s="268"/>
      <c r="AJ162" s="268"/>
      <c r="AK162" s="268"/>
      <c r="AL162" s="268"/>
      <c r="AM162" s="269"/>
      <c r="AN162" s="267">
        <f t="shared" si="10"/>
        <v>0</v>
      </c>
      <c r="AO162" s="268"/>
      <c r="AP162" s="268"/>
      <c r="AQ162" s="268"/>
      <c r="AR162" s="268"/>
      <c r="AS162" s="268"/>
      <c r="AT162" s="268"/>
      <c r="AU162" s="268"/>
      <c r="AV162" s="268"/>
      <c r="AW162" s="269"/>
      <c r="AX162" s="22"/>
      <c r="AY162" s="308" t="s">
        <v>510</v>
      </c>
      <c r="AZ162" s="309"/>
      <c r="BA162" s="309"/>
      <c r="BB162" s="309"/>
      <c r="BC162" s="309"/>
      <c r="BD162" s="309"/>
      <c r="BE162" s="309"/>
      <c r="BF162" s="309"/>
      <c r="BG162" s="309"/>
      <c r="BH162" s="309"/>
      <c r="BI162" s="309"/>
      <c r="BJ162" s="309"/>
      <c r="BK162" s="309"/>
      <c r="BL162" s="309"/>
      <c r="BM162" s="309"/>
      <c r="BN162" s="309"/>
      <c r="BO162" s="310"/>
      <c r="BP162" s="267"/>
      <c r="BQ162" s="268"/>
      <c r="BR162" s="268"/>
      <c r="BS162" s="268"/>
      <c r="BT162" s="268"/>
      <c r="BU162" s="268"/>
      <c r="BV162" s="268"/>
      <c r="BW162" s="268"/>
      <c r="BX162" s="268"/>
      <c r="BY162" s="269"/>
      <c r="BZ162" s="267"/>
      <c r="CA162" s="268"/>
      <c r="CB162" s="268"/>
      <c r="CC162" s="268"/>
      <c r="CD162" s="268"/>
      <c r="CE162" s="268"/>
      <c r="CF162" s="268"/>
      <c r="CG162" s="268"/>
      <c r="CH162" s="268"/>
      <c r="CI162" s="269"/>
      <c r="CJ162" s="267">
        <f t="shared" si="11"/>
        <v>0</v>
      </c>
      <c r="CK162" s="268"/>
      <c r="CL162" s="268"/>
      <c r="CM162" s="268"/>
      <c r="CN162" s="268"/>
      <c r="CO162" s="268"/>
      <c r="CP162" s="268"/>
      <c r="CQ162" s="268"/>
      <c r="CR162" s="268"/>
      <c r="CS162" s="269"/>
    </row>
    <row r="163" spans="1:206" hidden="1">
      <c r="C163" s="43"/>
      <c r="D163" s="36" t="str">
        <f>IF(AN160=0,C160&amp;" -","")</f>
        <v>Canara -</v>
      </c>
      <c r="E163" s="42"/>
      <c r="F163" s="42"/>
      <c r="G163" s="42"/>
      <c r="H163" s="42"/>
      <c r="I163" s="42"/>
      <c r="J163" s="42"/>
      <c r="K163" s="42"/>
      <c r="L163" s="42"/>
      <c r="M163" s="42"/>
      <c r="N163" s="42"/>
      <c r="O163" s="42"/>
      <c r="P163" s="1"/>
      <c r="Q163" s="42"/>
      <c r="R163" s="41" t="s">
        <v>275</v>
      </c>
      <c r="S163" s="40"/>
      <c r="T163" s="267">
        <f>SUMIFS('Adv. Filter'!$CH$1:$CH$50000,'Adv. Filter'!$CD$1:$CD$50000,"Mahesh",'Adv. Filter'!$CE$1:$CE$50000,$C160,'Adv. Filter'!$CC$1:$CC$50000,"Suspense",'Adv. Filter'!$CF$1:$CF$50000,"Cash")</f>
        <v>0</v>
      </c>
      <c r="U163" s="268"/>
      <c r="V163" s="268"/>
      <c r="W163" s="268"/>
      <c r="X163" s="268"/>
      <c r="Y163" s="268"/>
      <c r="Z163" s="268"/>
      <c r="AA163" s="268"/>
      <c r="AB163" s="268"/>
      <c r="AC163" s="269"/>
      <c r="AD163" s="267">
        <f>SUMIFS('Adv. Filter'!$CH$1:$CH$50000,'Adv. Filter'!$CD$1:$CD$50000,"Mahesh",'Adv. Filter'!$CE$1:$CE$50000,$C160,'Adv. Filter'!$CC$1:$CC$50000,"Suspense",'Adv. Filter'!$CF$1:$CF$50000,"Bank")</f>
        <v>0</v>
      </c>
      <c r="AE163" s="268"/>
      <c r="AF163" s="268"/>
      <c r="AG163" s="268"/>
      <c r="AH163" s="268"/>
      <c r="AI163" s="268"/>
      <c r="AJ163" s="268"/>
      <c r="AK163" s="268"/>
      <c r="AL163" s="268"/>
      <c r="AM163" s="269"/>
      <c r="AN163" s="267">
        <f t="shared" si="10"/>
        <v>0</v>
      </c>
      <c r="AO163" s="268"/>
      <c r="AP163" s="268"/>
      <c r="AQ163" s="268"/>
      <c r="AR163" s="268"/>
      <c r="AS163" s="268"/>
      <c r="AT163" s="268"/>
      <c r="AU163" s="268"/>
      <c r="AV163" s="268"/>
      <c r="AW163" s="269"/>
      <c r="AX163" s="22"/>
      <c r="AY163" s="43"/>
      <c r="AZ163" s="36" t="str">
        <f>IF(CJ160=0,AY160&amp;" -","")</f>
        <v>Canara -</v>
      </c>
      <c r="BA163" s="42"/>
      <c r="BB163" s="42"/>
      <c r="BC163" s="42"/>
      <c r="BD163" s="42"/>
      <c r="BE163" s="42"/>
      <c r="BF163" s="42"/>
      <c r="BG163" s="42"/>
      <c r="BH163" s="42"/>
      <c r="BI163" s="42"/>
      <c r="BJ163" s="42"/>
      <c r="BK163" s="42"/>
      <c r="BL163" s="1"/>
      <c r="BM163" s="42"/>
      <c r="BN163" s="41" t="s">
        <v>275</v>
      </c>
      <c r="BO163" s="40"/>
      <c r="BP163" s="267"/>
      <c r="BQ163" s="268"/>
      <c r="BR163" s="268"/>
      <c r="BS163" s="268"/>
      <c r="BT163" s="268"/>
      <c r="BU163" s="268"/>
      <c r="BV163" s="268"/>
      <c r="BW163" s="268"/>
      <c r="BX163" s="268"/>
      <c r="BY163" s="269"/>
      <c r="BZ163" s="267"/>
      <c r="CA163" s="268"/>
      <c r="CB163" s="268"/>
      <c r="CC163" s="268"/>
      <c r="CD163" s="268"/>
      <c r="CE163" s="268"/>
      <c r="CF163" s="268"/>
      <c r="CG163" s="268"/>
      <c r="CH163" s="268"/>
      <c r="CI163" s="269"/>
      <c r="CJ163" s="267">
        <f t="shared" si="11"/>
        <v>0</v>
      </c>
      <c r="CK163" s="268"/>
      <c r="CL163" s="268"/>
      <c r="CM163" s="268"/>
      <c r="CN163" s="268"/>
      <c r="CO163" s="268"/>
      <c r="CP163" s="268"/>
      <c r="CQ163" s="268"/>
      <c r="CR163" s="268"/>
      <c r="CS163" s="269"/>
    </row>
    <row r="164" spans="1:206" hidden="1">
      <c r="A164" s="44"/>
      <c r="B164" s="44"/>
      <c r="C164" s="293" t="s">
        <v>70</v>
      </c>
      <c r="D164" s="294"/>
      <c r="E164" s="294"/>
      <c r="F164" s="294"/>
      <c r="G164" s="294"/>
      <c r="H164" s="294"/>
      <c r="I164" s="294"/>
      <c r="J164" s="294"/>
      <c r="K164" s="294"/>
      <c r="L164" s="294"/>
      <c r="M164" s="294"/>
      <c r="N164" s="294"/>
      <c r="O164" s="294"/>
      <c r="P164" s="294"/>
      <c r="Q164" s="294"/>
      <c r="R164" s="294"/>
      <c r="S164" s="295"/>
      <c r="T164" s="276">
        <f>SUMIFS('Adv. Filter'!$BJ$1:$BJ$50000,'Adv. Filter'!$BT$1:$BT$50000,"Mahesh",'Adv. Filter'!$BQ$1:$BQ$50000,$C164,'Adv. Filter'!$BH$1:$BH$50000,"Cash",'Adv. Filter'!$BO$1:$BO$50000,'Adv. Filter'!$A$14,'Adv. Filter'!$BO$1:$BO$50000,'Adv. Filter'!$B$14)</f>
        <v>0</v>
      </c>
      <c r="U164" s="277"/>
      <c r="V164" s="277"/>
      <c r="W164" s="277"/>
      <c r="X164" s="277"/>
      <c r="Y164" s="277"/>
      <c r="Z164" s="277"/>
      <c r="AA164" s="277"/>
      <c r="AB164" s="277"/>
      <c r="AC164" s="278"/>
      <c r="AD164" s="276">
        <f>SUMIFS('Adv. Filter'!$BJ$1:$BJ$50000,'Adv. Filter'!$BT$1:$BT$50000,"Mahesh",'Adv. Filter'!$BQ$1:$BQ$50000,$C164,'Adv. Filter'!$BH$1:$BH$50000,"Bank",'Adv. Filter'!$BO$1:$BO$50000,'Adv. Filter'!$A$14,'Adv. Filter'!$BO$1:$BO$50000,'Adv. Filter'!$B$14)</f>
        <v>0</v>
      </c>
      <c r="AE164" s="277"/>
      <c r="AF164" s="277"/>
      <c r="AG164" s="277"/>
      <c r="AH164" s="277"/>
      <c r="AI164" s="277"/>
      <c r="AJ164" s="277"/>
      <c r="AK164" s="277"/>
      <c r="AL164" s="277"/>
      <c r="AM164" s="278"/>
      <c r="AN164" s="276">
        <f t="shared" si="10"/>
        <v>0</v>
      </c>
      <c r="AO164" s="277"/>
      <c r="AP164" s="277"/>
      <c r="AQ164" s="277"/>
      <c r="AR164" s="277"/>
      <c r="AS164" s="277"/>
      <c r="AT164" s="277"/>
      <c r="AU164" s="277"/>
      <c r="AV164" s="277"/>
      <c r="AW164" s="278"/>
      <c r="AX164" s="45"/>
      <c r="AY164" s="293" t="s">
        <v>70</v>
      </c>
      <c r="AZ164" s="294"/>
      <c r="BA164" s="294"/>
      <c r="BB164" s="294"/>
      <c r="BC164" s="294"/>
      <c r="BD164" s="294"/>
      <c r="BE164" s="294"/>
      <c r="BF164" s="294"/>
      <c r="BG164" s="294"/>
      <c r="BH164" s="294"/>
      <c r="BI164" s="294"/>
      <c r="BJ164" s="294"/>
      <c r="BK164" s="294"/>
      <c r="BL164" s="294"/>
      <c r="BM164" s="294"/>
      <c r="BN164" s="294"/>
      <c r="BO164" s="295"/>
      <c r="BP164" s="276">
        <f>SUMIFS('Adv. Filter'!$BJ$1:$BJ$50000,'Adv. Filter'!$BT$1:$BT$50000,"Mahesh",'Adv. Filter'!$BQ$1:$BQ$50000,$AY164,'Adv. Filter'!$BH$1:$BH$50000,"Cash",'Adv. Filter'!$BO$1:$BO$50000,"&lt;"&amp;'Adv. Filter'!$A$15)</f>
        <v>0</v>
      </c>
      <c r="BQ164" s="277"/>
      <c r="BR164" s="277"/>
      <c r="BS164" s="277"/>
      <c r="BT164" s="277"/>
      <c r="BU164" s="277"/>
      <c r="BV164" s="277"/>
      <c r="BW164" s="277"/>
      <c r="BX164" s="277"/>
      <c r="BY164" s="278"/>
      <c r="BZ164" s="276">
        <f>SUMIFS('Adv. Filter'!$BJ$1:$BJ$50000,'Adv. Filter'!$BT$1:$BT$50000,"Mahesh",'Adv. Filter'!$BQ$1:$BQ$50000,$AY164,'Adv. Filter'!$BH$1:$BH$50000,"Bank",'Adv. Filter'!$BO$1:$BO$50000,"&lt;"&amp;'Adv. Filter'!$A$15)</f>
        <v>0</v>
      </c>
      <c r="CA164" s="277"/>
      <c r="CB164" s="277"/>
      <c r="CC164" s="277"/>
      <c r="CD164" s="277"/>
      <c r="CE164" s="277"/>
      <c r="CF164" s="277"/>
      <c r="CG164" s="277"/>
      <c r="CH164" s="277"/>
      <c r="CI164" s="278"/>
      <c r="CJ164" s="276">
        <f t="shared" si="11"/>
        <v>0</v>
      </c>
      <c r="CK164" s="277"/>
      <c r="CL164" s="277"/>
      <c r="CM164" s="277"/>
      <c r="CN164" s="277"/>
      <c r="CO164" s="277"/>
      <c r="CP164" s="277"/>
      <c r="CQ164" s="277"/>
      <c r="CR164" s="277"/>
      <c r="CS164" s="278"/>
      <c r="CT164" s="44"/>
      <c r="CU164" s="44"/>
      <c r="CV164" s="44"/>
      <c r="CW164" s="44"/>
      <c r="CX164" s="44"/>
      <c r="CY164" s="44"/>
      <c r="CZ164" s="44"/>
    </row>
    <row r="165" spans="1:206" s="44" customFormat="1" hidden="1">
      <c r="A165"/>
      <c r="B165"/>
      <c r="C165" s="308" t="s">
        <v>115</v>
      </c>
      <c r="D165" s="309"/>
      <c r="E165" s="309"/>
      <c r="F165" s="309"/>
      <c r="G165" s="309"/>
      <c r="H165" s="309"/>
      <c r="I165" s="309"/>
      <c r="J165" s="309"/>
      <c r="K165" s="309"/>
      <c r="L165" s="309"/>
      <c r="M165" s="309"/>
      <c r="N165" s="309"/>
      <c r="O165" s="309"/>
      <c r="P165" s="309"/>
      <c r="Q165" s="309"/>
      <c r="R165" s="309"/>
      <c r="S165" s="310"/>
      <c r="T165" s="267">
        <f>SUMIFS('Adv. Filter'!$BJ$1:$BJ$50000,'Adv. Filter'!$BT$1:$BT$50000,"Mahesh",'Adv. Filter'!$BQ$1:$BQ$50000,$C164,'Adv. Filter'!$BH$1:$BH$50000,"Cash",'Adv. Filter'!$BO$1:$BO$50000,'Adv. Filter'!$A$14,'Adv. Filter'!$BO$1:$BO$50000,'Adv. Filter'!$B$14,'Adv. Filter'!$BP$1:$BP$50000,"Project")</f>
        <v>0</v>
      </c>
      <c r="U165" s="268"/>
      <c r="V165" s="268"/>
      <c r="W165" s="268"/>
      <c r="X165" s="268"/>
      <c r="Y165" s="268"/>
      <c r="Z165" s="268"/>
      <c r="AA165" s="268"/>
      <c r="AB165" s="268"/>
      <c r="AC165" s="269"/>
      <c r="AD165" s="267">
        <f>SUMIFS('Adv. Filter'!$BJ$1:$BJ$50000,'Adv. Filter'!$BT$1:$BT$50000,"Mahesh",'Adv. Filter'!$BQ$1:$BQ$50000,$C164,'Adv. Filter'!$BH$1:$BH$50000,"Bank",'Adv. Filter'!$BO$1:$BO$50000,'Adv. Filter'!$A$14,'Adv. Filter'!$BO$1:$BO$50000,'Adv. Filter'!$B$14,'Adv. Filter'!$BP$1:$BP$50000,"Project")</f>
        <v>0</v>
      </c>
      <c r="AE165" s="268"/>
      <c r="AF165" s="268"/>
      <c r="AG165" s="268"/>
      <c r="AH165" s="268"/>
      <c r="AI165" s="268"/>
      <c r="AJ165" s="268"/>
      <c r="AK165" s="268"/>
      <c r="AL165" s="268"/>
      <c r="AM165" s="269"/>
      <c r="AN165" s="267">
        <f t="shared" si="10"/>
        <v>0</v>
      </c>
      <c r="AO165" s="268"/>
      <c r="AP165" s="268"/>
      <c r="AQ165" s="268"/>
      <c r="AR165" s="268"/>
      <c r="AS165" s="268"/>
      <c r="AT165" s="268"/>
      <c r="AU165" s="268"/>
      <c r="AV165" s="268"/>
      <c r="AW165" s="269"/>
      <c r="AX165" s="22"/>
      <c r="AY165" s="308" t="s">
        <v>115</v>
      </c>
      <c r="AZ165" s="309"/>
      <c r="BA165" s="309"/>
      <c r="BB165" s="309"/>
      <c r="BC165" s="309"/>
      <c r="BD165" s="309"/>
      <c r="BE165" s="309"/>
      <c r="BF165" s="309"/>
      <c r="BG165" s="309"/>
      <c r="BH165" s="309"/>
      <c r="BI165" s="309"/>
      <c r="BJ165" s="309"/>
      <c r="BK165" s="309"/>
      <c r="BL165" s="309"/>
      <c r="BM165" s="309"/>
      <c r="BN165" s="309"/>
      <c r="BO165" s="310"/>
      <c r="BP165" s="267">
        <f>SUMIFS('Adv. Filter'!$BJ$1:$BJ$50000,'Adv. Filter'!$BT$1:$BT$50000,"Mahesh",'Adv. Filter'!$BQ$1:$BQ$50000,$AY164,'Adv. Filter'!$BH$1:$BH$50000,"Cash",'Adv. Filter'!$BO$1:$BO$50000,"&lt;"&amp;'Adv. Filter'!$A$15,'Adv. Filter'!$BP$1:$BP$50000,"Project")</f>
        <v>0</v>
      </c>
      <c r="BQ165" s="268"/>
      <c r="BR165" s="268"/>
      <c r="BS165" s="268"/>
      <c r="BT165" s="268"/>
      <c r="BU165" s="268"/>
      <c r="BV165" s="268"/>
      <c r="BW165" s="268"/>
      <c r="BX165" s="268"/>
      <c r="BY165" s="269"/>
      <c r="BZ165" s="267">
        <f>SUMIFS('Adv. Filter'!$BJ$1:$BJ$50000,'Adv. Filter'!$BT$1:$BT$50000,"Mahesh",'Adv. Filter'!$BQ$1:$BQ$50000,$AY164,'Adv. Filter'!$BH$1:$BH$50000,"Bank",'Adv. Filter'!$BO$1:$BO$50000,"&lt;"&amp;'Adv. Filter'!$A$15,'Adv. Filter'!$BP$1:$BP$50000,"Project")</f>
        <v>0</v>
      </c>
      <c r="CA165" s="268"/>
      <c r="CB165" s="268"/>
      <c r="CC165" s="268"/>
      <c r="CD165" s="268"/>
      <c r="CE165" s="268"/>
      <c r="CF165" s="268"/>
      <c r="CG165" s="268"/>
      <c r="CH165" s="268"/>
      <c r="CI165" s="269"/>
      <c r="CJ165" s="267">
        <f t="shared" si="11"/>
        <v>0</v>
      </c>
      <c r="CK165" s="268"/>
      <c r="CL165" s="268"/>
      <c r="CM165" s="268"/>
      <c r="CN165" s="268"/>
      <c r="CO165" s="268"/>
      <c r="CP165" s="268"/>
      <c r="CQ165" s="268"/>
      <c r="CR165" s="268"/>
      <c r="CS165" s="269"/>
      <c r="CT165"/>
      <c r="CU165"/>
      <c r="CV165"/>
      <c r="CW165"/>
      <c r="CX165"/>
      <c r="CY165"/>
      <c r="CZ165"/>
      <c r="DR165"/>
      <c r="DS165"/>
      <c r="DT165"/>
      <c r="DU165"/>
      <c r="DV165"/>
      <c r="DW165"/>
      <c r="DX165"/>
      <c r="DY165"/>
      <c r="DZ165"/>
      <c r="EA165"/>
      <c r="EB165"/>
      <c r="EC165"/>
      <c r="ED165"/>
      <c r="EE165"/>
      <c r="EF165"/>
      <c r="EG165"/>
      <c r="EH165"/>
      <c r="EI165"/>
      <c r="EJ165"/>
      <c r="EK165"/>
      <c r="EL165"/>
      <c r="EM165"/>
      <c r="EN165"/>
      <c r="EO165"/>
      <c r="EP165"/>
      <c r="EQ165"/>
      <c r="ER165"/>
      <c r="ES165"/>
      <c r="ET165"/>
      <c r="EU165"/>
      <c r="EV165"/>
      <c r="EW165"/>
      <c r="EX165"/>
      <c r="EY165"/>
      <c r="EZ165"/>
      <c r="FA165"/>
      <c r="FB165"/>
      <c r="FC165"/>
      <c r="FD165"/>
      <c r="FE165"/>
      <c r="FF165"/>
      <c r="FG165"/>
      <c r="FH165"/>
      <c r="FI165"/>
      <c r="FJ165"/>
      <c r="FK165"/>
      <c r="FL165"/>
      <c r="FM165"/>
      <c r="FN165"/>
      <c r="FO165"/>
      <c r="FP165"/>
      <c r="FQ165"/>
      <c r="FR165"/>
      <c r="FS165"/>
      <c r="FT165"/>
      <c r="FU165"/>
      <c r="FV165"/>
      <c r="FW165"/>
      <c r="FX165"/>
      <c r="FY165"/>
      <c r="FZ165"/>
      <c r="GA165"/>
      <c r="GB165"/>
      <c r="GC165"/>
      <c r="GD165"/>
      <c r="GE165"/>
      <c r="GF165"/>
      <c r="GG165"/>
      <c r="GH165"/>
      <c r="GI165"/>
      <c r="GJ165"/>
      <c r="GK165"/>
      <c r="GL165"/>
      <c r="GM165"/>
      <c r="GN165"/>
      <c r="GO165"/>
      <c r="GP165"/>
      <c r="GQ165"/>
      <c r="GR165"/>
      <c r="GS165"/>
      <c r="GT165"/>
      <c r="GU165"/>
      <c r="GV165"/>
      <c r="GW165"/>
      <c r="GX165"/>
    </row>
    <row r="166" spans="1:206" hidden="1">
      <c r="C166" s="308" t="s">
        <v>510</v>
      </c>
      <c r="D166" s="309"/>
      <c r="E166" s="309"/>
      <c r="F166" s="309"/>
      <c r="G166" s="309"/>
      <c r="H166" s="309"/>
      <c r="I166" s="309"/>
      <c r="J166" s="309"/>
      <c r="K166" s="309"/>
      <c r="L166" s="309"/>
      <c r="M166" s="309"/>
      <c r="N166" s="309"/>
      <c r="O166" s="309"/>
      <c r="P166" s="309"/>
      <c r="Q166" s="309"/>
      <c r="R166" s="309"/>
      <c r="S166" s="310"/>
      <c r="T166" s="267">
        <v>0</v>
      </c>
      <c r="U166" s="268"/>
      <c r="V166" s="268"/>
      <c r="W166" s="268"/>
      <c r="X166" s="268"/>
      <c r="Y166" s="268"/>
      <c r="Z166" s="268"/>
      <c r="AA166" s="268"/>
      <c r="AB166" s="268"/>
      <c r="AC166" s="269"/>
      <c r="AD166" s="267">
        <v>0</v>
      </c>
      <c r="AE166" s="268"/>
      <c r="AF166" s="268"/>
      <c r="AG166" s="268"/>
      <c r="AH166" s="268"/>
      <c r="AI166" s="268"/>
      <c r="AJ166" s="268"/>
      <c r="AK166" s="268"/>
      <c r="AL166" s="268"/>
      <c r="AM166" s="269"/>
      <c r="AN166" s="267">
        <f t="shared" si="10"/>
        <v>0</v>
      </c>
      <c r="AO166" s="268"/>
      <c r="AP166" s="268"/>
      <c r="AQ166" s="268"/>
      <c r="AR166" s="268"/>
      <c r="AS166" s="268"/>
      <c r="AT166" s="268"/>
      <c r="AU166" s="268"/>
      <c r="AV166" s="268"/>
      <c r="AW166" s="269"/>
      <c r="AX166" s="22"/>
      <c r="AY166" s="308" t="s">
        <v>510</v>
      </c>
      <c r="AZ166" s="309"/>
      <c r="BA166" s="309"/>
      <c r="BB166" s="309"/>
      <c r="BC166" s="309"/>
      <c r="BD166" s="309"/>
      <c r="BE166" s="309"/>
      <c r="BF166" s="309"/>
      <c r="BG166" s="309"/>
      <c r="BH166" s="309"/>
      <c r="BI166" s="309"/>
      <c r="BJ166" s="309"/>
      <c r="BK166" s="309"/>
      <c r="BL166" s="309"/>
      <c r="BM166" s="309"/>
      <c r="BN166" s="309"/>
      <c r="BO166" s="310"/>
      <c r="BP166" s="267"/>
      <c r="BQ166" s="268"/>
      <c r="BR166" s="268"/>
      <c r="BS166" s="268"/>
      <c r="BT166" s="268"/>
      <c r="BU166" s="268"/>
      <c r="BV166" s="268"/>
      <c r="BW166" s="268"/>
      <c r="BX166" s="268"/>
      <c r="BY166" s="269"/>
      <c r="BZ166" s="267"/>
      <c r="CA166" s="268"/>
      <c r="CB166" s="268"/>
      <c r="CC166" s="268"/>
      <c r="CD166" s="268"/>
      <c r="CE166" s="268"/>
      <c r="CF166" s="268"/>
      <c r="CG166" s="268"/>
      <c r="CH166" s="268"/>
      <c r="CI166" s="269"/>
      <c r="CJ166" s="267">
        <f t="shared" si="11"/>
        <v>0</v>
      </c>
      <c r="CK166" s="268"/>
      <c r="CL166" s="268"/>
      <c r="CM166" s="268"/>
      <c r="CN166" s="268"/>
      <c r="CO166" s="268"/>
      <c r="CP166" s="268"/>
      <c r="CQ166" s="268"/>
      <c r="CR166" s="268"/>
      <c r="CS166" s="269"/>
    </row>
    <row r="167" spans="1:206" hidden="1">
      <c r="C167" s="43"/>
      <c r="D167" s="36" t="str">
        <f>IF(AN164=0,C164&amp;" -","")</f>
        <v>Cosmos -</v>
      </c>
      <c r="E167" s="42"/>
      <c r="F167" s="42"/>
      <c r="G167" s="42"/>
      <c r="H167" s="42"/>
      <c r="I167" s="42"/>
      <c r="J167" s="42"/>
      <c r="K167" s="42"/>
      <c r="L167" s="42"/>
      <c r="M167" s="42"/>
      <c r="N167" s="42"/>
      <c r="O167" s="42"/>
      <c r="P167" s="1"/>
      <c r="Q167" s="42"/>
      <c r="R167" s="41" t="s">
        <v>275</v>
      </c>
      <c r="S167" s="40"/>
      <c r="T167" s="267">
        <f>SUMIFS('Adv. Filter'!$CH$1:$CH$50000,'Adv. Filter'!$CD$1:$CD$50000,"Mahesh",'Adv. Filter'!$CE$1:$CE$50000,$C164,'Adv. Filter'!$CC$1:$CC$50000,"Suspense",'Adv. Filter'!$CF$1:$CF$50000,"Cash")</f>
        <v>0</v>
      </c>
      <c r="U167" s="268"/>
      <c r="V167" s="268"/>
      <c r="W167" s="268"/>
      <c r="X167" s="268"/>
      <c r="Y167" s="268"/>
      <c r="Z167" s="268"/>
      <c r="AA167" s="268"/>
      <c r="AB167" s="268"/>
      <c r="AC167" s="269"/>
      <c r="AD167" s="267">
        <f>SUMIFS('Adv. Filter'!$CH$1:$CH$50000,'Adv. Filter'!$CD$1:$CD$50000,"Mahesh",'Adv. Filter'!$CE$1:$CE$50000,$C164,'Adv. Filter'!$CC$1:$CC$50000,"Suspense",'Adv. Filter'!$CF$1:$CF$50000,"Bank")</f>
        <v>0</v>
      </c>
      <c r="AE167" s="268"/>
      <c r="AF167" s="268"/>
      <c r="AG167" s="268"/>
      <c r="AH167" s="268"/>
      <c r="AI167" s="268"/>
      <c r="AJ167" s="268"/>
      <c r="AK167" s="268"/>
      <c r="AL167" s="268"/>
      <c r="AM167" s="269"/>
      <c r="AN167" s="267">
        <f t="shared" si="10"/>
        <v>0</v>
      </c>
      <c r="AO167" s="268"/>
      <c r="AP167" s="268"/>
      <c r="AQ167" s="268"/>
      <c r="AR167" s="268"/>
      <c r="AS167" s="268"/>
      <c r="AT167" s="268"/>
      <c r="AU167" s="268"/>
      <c r="AV167" s="268"/>
      <c r="AW167" s="269"/>
      <c r="AX167" s="22"/>
      <c r="AY167" s="43"/>
      <c r="AZ167" s="36" t="str">
        <f>IF(CJ164=0,AY164&amp;" -","")</f>
        <v>Cosmos -</v>
      </c>
      <c r="BA167" s="42"/>
      <c r="BB167" s="42"/>
      <c r="BC167" s="42"/>
      <c r="BD167" s="42"/>
      <c r="BE167" s="42"/>
      <c r="BF167" s="42"/>
      <c r="BG167" s="42"/>
      <c r="BH167" s="42"/>
      <c r="BI167" s="42"/>
      <c r="BJ167" s="42"/>
      <c r="BK167" s="42"/>
      <c r="BL167" s="1"/>
      <c r="BM167" s="42"/>
      <c r="BN167" s="41" t="s">
        <v>275</v>
      </c>
      <c r="BO167" s="40"/>
      <c r="BP167" s="267"/>
      <c r="BQ167" s="268"/>
      <c r="BR167" s="268"/>
      <c r="BS167" s="268"/>
      <c r="BT167" s="268"/>
      <c r="BU167" s="268"/>
      <c r="BV167" s="268"/>
      <c r="BW167" s="268"/>
      <c r="BX167" s="268"/>
      <c r="BY167" s="269"/>
      <c r="BZ167" s="267"/>
      <c r="CA167" s="268"/>
      <c r="CB167" s="268"/>
      <c r="CC167" s="268"/>
      <c r="CD167" s="268"/>
      <c r="CE167" s="268"/>
      <c r="CF167" s="268"/>
      <c r="CG167" s="268"/>
      <c r="CH167" s="268"/>
      <c r="CI167" s="269"/>
      <c r="CJ167" s="267">
        <f t="shared" si="11"/>
        <v>0</v>
      </c>
      <c r="CK167" s="268"/>
      <c r="CL167" s="268"/>
      <c r="CM167" s="268"/>
      <c r="CN167" s="268"/>
      <c r="CO167" s="268"/>
      <c r="CP167" s="268"/>
      <c r="CQ167" s="268"/>
      <c r="CR167" s="268"/>
      <c r="CS167" s="269"/>
    </row>
    <row r="168" spans="1:206" hidden="1">
      <c r="A168" s="44"/>
      <c r="B168" s="44"/>
      <c r="C168" s="293" t="s">
        <v>77</v>
      </c>
      <c r="D168" s="294"/>
      <c r="E168" s="294"/>
      <c r="F168" s="294"/>
      <c r="G168" s="294"/>
      <c r="H168" s="294"/>
      <c r="I168" s="294"/>
      <c r="J168" s="294"/>
      <c r="K168" s="294"/>
      <c r="L168" s="294"/>
      <c r="M168" s="294"/>
      <c r="N168" s="294"/>
      <c r="O168" s="294"/>
      <c r="P168" s="294"/>
      <c r="Q168" s="294"/>
      <c r="R168" s="294"/>
      <c r="S168" s="295"/>
      <c r="T168" s="276">
        <f>SUMIFS('Adv. Filter'!$BJ$1:$BJ$50000,'Adv. Filter'!$BT$1:$BT$50000,"Mahesh",'Adv. Filter'!$BQ$1:$BQ$50000,$C168,'Adv. Filter'!$BH$1:$BH$50000,"Cash",'Adv. Filter'!$BO$1:$BO$50000,'Adv. Filter'!$A$14,'Adv. Filter'!$BO$1:$BO$50000,'Adv. Filter'!$B$14)</f>
        <v>0</v>
      </c>
      <c r="U168" s="277"/>
      <c r="V168" s="277"/>
      <c r="W168" s="277"/>
      <c r="X168" s="277"/>
      <c r="Y168" s="277"/>
      <c r="Z168" s="277"/>
      <c r="AA168" s="277"/>
      <c r="AB168" s="277"/>
      <c r="AC168" s="278"/>
      <c r="AD168" s="276">
        <f>SUMIFS('Adv. Filter'!$BJ$1:$BJ$50000,'Adv. Filter'!$BT$1:$BT$50000,"Mahesh",'Adv. Filter'!$BQ$1:$BQ$50000,$C168,'Adv. Filter'!$BH$1:$BH$50000,"Bank",'Adv. Filter'!$BO$1:$BO$50000,'Adv. Filter'!$A$14,'Adv. Filter'!$BO$1:$BO$50000,'Adv. Filter'!$B$14)</f>
        <v>0</v>
      </c>
      <c r="AE168" s="277"/>
      <c r="AF168" s="277"/>
      <c r="AG168" s="277"/>
      <c r="AH168" s="277"/>
      <c r="AI168" s="277"/>
      <c r="AJ168" s="277"/>
      <c r="AK168" s="277"/>
      <c r="AL168" s="277"/>
      <c r="AM168" s="278"/>
      <c r="AN168" s="276">
        <f t="shared" si="10"/>
        <v>0</v>
      </c>
      <c r="AO168" s="277"/>
      <c r="AP168" s="277"/>
      <c r="AQ168" s="277"/>
      <c r="AR168" s="277"/>
      <c r="AS168" s="277"/>
      <c r="AT168" s="277"/>
      <c r="AU168" s="277"/>
      <c r="AV168" s="277"/>
      <c r="AW168" s="278"/>
      <c r="AX168" s="45"/>
      <c r="AY168" s="293" t="s">
        <v>77</v>
      </c>
      <c r="AZ168" s="294"/>
      <c r="BA168" s="294"/>
      <c r="BB168" s="294"/>
      <c r="BC168" s="294"/>
      <c r="BD168" s="294"/>
      <c r="BE168" s="294"/>
      <c r="BF168" s="294"/>
      <c r="BG168" s="294"/>
      <c r="BH168" s="294"/>
      <c r="BI168" s="294"/>
      <c r="BJ168" s="294"/>
      <c r="BK168" s="294"/>
      <c r="BL168" s="294"/>
      <c r="BM168" s="294"/>
      <c r="BN168" s="294"/>
      <c r="BO168" s="295"/>
      <c r="BP168" s="276">
        <f>SUMIFS('Adv. Filter'!$BJ$1:$BJ$50000,'Adv. Filter'!$BT$1:$BT$50000,"Mahesh",'Adv. Filter'!$BQ$1:$BQ$50000,$AY168,'Adv. Filter'!$BH$1:$BH$50000,"Cash",'Adv. Filter'!$BO$1:$BO$50000,"&lt;"&amp;'Adv. Filter'!$A$15)</f>
        <v>0</v>
      </c>
      <c r="BQ168" s="277"/>
      <c r="BR168" s="277"/>
      <c r="BS168" s="277"/>
      <c r="BT168" s="277"/>
      <c r="BU168" s="277"/>
      <c r="BV168" s="277"/>
      <c r="BW168" s="277"/>
      <c r="BX168" s="277"/>
      <c r="BY168" s="278"/>
      <c r="BZ168" s="276">
        <f>SUMIFS('Adv. Filter'!$BJ$1:$BJ$50000,'Adv. Filter'!$BT$1:$BT$50000,"Mahesh",'Adv. Filter'!$BQ$1:$BQ$50000,$AY168,'Adv. Filter'!$BH$1:$BH$50000,"Bank",'Adv. Filter'!$BO$1:$BO$50000,"&lt;"&amp;'Adv. Filter'!$A$15)</f>
        <v>0</v>
      </c>
      <c r="CA168" s="277"/>
      <c r="CB168" s="277"/>
      <c r="CC168" s="277"/>
      <c r="CD168" s="277"/>
      <c r="CE168" s="277"/>
      <c r="CF168" s="277"/>
      <c r="CG168" s="277"/>
      <c r="CH168" s="277"/>
      <c r="CI168" s="278"/>
      <c r="CJ168" s="276">
        <f t="shared" si="11"/>
        <v>0</v>
      </c>
      <c r="CK168" s="277"/>
      <c r="CL168" s="277"/>
      <c r="CM168" s="277"/>
      <c r="CN168" s="277"/>
      <c r="CO168" s="277"/>
      <c r="CP168" s="277"/>
      <c r="CQ168" s="277"/>
      <c r="CR168" s="277"/>
      <c r="CS168" s="278"/>
      <c r="CT168" s="44"/>
      <c r="CU168" s="44"/>
      <c r="CV168" s="44"/>
      <c r="CW168" s="44"/>
      <c r="CX168" s="44"/>
      <c r="CY168" s="44"/>
      <c r="CZ168" s="44"/>
    </row>
    <row r="169" spans="1:206" s="44" customFormat="1" hidden="1">
      <c r="A169"/>
      <c r="B169"/>
      <c r="C169" s="308" t="s">
        <v>115</v>
      </c>
      <c r="D169" s="309"/>
      <c r="E169" s="309"/>
      <c r="F169" s="309"/>
      <c r="G169" s="309"/>
      <c r="H169" s="309"/>
      <c r="I169" s="309"/>
      <c r="J169" s="309"/>
      <c r="K169" s="309"/>
      <c r="L169" s="309"/>
      <c r="M169" s="309"/>
      <c r="N169" s="309"/>
      <c r="O169" s="309"/>
      <c r="P169" s="309"/>
      <c r="Q169" s="309"/>
      <c r="R169" s="309"/>
      <c r="S169" s="310"/>
      <c r="T169" s="267">
        <f>SUMIFS('Adv. Filter'!$BJ$1:$BJ$50000,'Adv. Filter'!$BT$1:$BT$50000,"Mahesh",'Adv. Filter'!$BQ$1:$BQ$50000,$C168,'Adv. Filter'!$BH$1:$BH$50000,"Cash",'Adv. Filter'!$BO$1:$BO$50000,'Adv. Filter'!$A$14,'Adv. Filter'!$BO$1:$BO$50000,'Adv. Filter'!$B$14,'Adv. Filter'!$BP$1:$BP$50000,"Project")</f>
        <v>0</v>
      </c>
      <c r="U169" s="268"/>
      <c r="V169" s="268"/>
      <c r="W169" s="268"/>
      <c r="X169" s="268"/>
      <c r="Y169" s="268"/>
      <c r="Z169" s="268"/>
      <c r="AA169" s="268"/>
      <c r="AB169" s="268"/>
      <c r="AC169" s="269"/>
      <c r="AD169" s="267">
        <f>SUMIFS('Adv. Filter'!$BJ$1:$BJ$50000,'Adv. Filter'!$BT$1:$BT$50000,"Mahesh",'Adv. Filter'!$BQ$1:$BQ$50000,$C168,'Adv. Filter'!$BH$1:$BH$50000,"Bank",'Adv. Filter'!$BO$1:$BO$50000,'Adv. Filter'!$A$14,'Adv. Filter'!$BO$1:$BO$50000,'Adv. Filter'!$B$14,'Adv. Filter'!$BP$1:$BP$50000,"Project")</f>
        <v>0</v>
      </c>
      <c r="AE169" s="268"/>
      <c r="AF169" s="268"/>
      <c r="AG169" s="268"/>
      <c r="AH169" s="268"/>
      <c r="AI169" s="268"/>
      <c r="AJ169" s="268"/>
      <c r="AK169" s="268"/>
      <c r="AL169" s="268"/>
      <c r="AM169" s="269"/>
      <c r="AN169" s="267">
        <f t="shared" si="10"/>
        <v>0</v>
      </c>
      <c r="AO169" s="268"/>
      <c r="AP169" s="268"/>
      <c r="AQ169" s="268"/>
      <c r="AR169" s="268"/>
      <c r="AS169" s="268"/>
      <c r="AT169" s="268"/>
      <c r="AU169" s="268"/>
      <c r="AV169" s="268"/>
      <c r="AW169" s="269"/>
      <c r="AX169" s="22"/>
      <c r="AY169" s="308" t="s">
        <v>115</v>
      </c>
      <c r="AZ169" s="309"/>
      <c r="BA169" s="309"/>
      <c r="BB169" s="309"/>
      <c r="BC169" s="309"/>
      <c r="BD169" s="309"/>
      <c r="BE169" s="309"/>
      <c r="BF169" s="309"/>
      <c r="BG169" s="309"/>
      <c r="BH169" s="309"/>
      <c r="BI169" s="309"/>
      <c r="BJ169" s="309"/>
      <c r="BK169" s="309"/>
      <c r="BL169" s="309"/>
      <c r="BM169" s="309"/>
      <c r="BN169" s="309"/>
      <c r="BO169" s="310"/>
      <c r="BP169" s="267">
        <f>SUMIFS('Adv. Filter'!$BJ$1:$BJ$50000,'Adv. Filter'!$BT$1:$BT$50000,"Mahesh",'Adv. Filter'!$BQ$1:$BQ$50000,$AY168,'Adv. Filter'!$BH$1:$BH$50000,"Cash",'Adv. Filter'!$BO$1:$BO$50000,"&lt;"&amp;'Adv. Filter'!$A$15,'Adv. Filter'!$BP$1:$BP$50000,"Project")</f>
        <v>0</v>
      </c>
      <c r="BQ169" s="268"/>
      <c r="BR169" s="268"/>
      <c r="BS169" s="268"/>
      <c r="BT169" s="268"/>
      <c r="BU169" s="268"/>
      <c r="BV169" s="268"/>
      <c r="BW169" s="268"/>
      <c r="BX169" s="268"/>
      <c r="BY169" s="269"/>
      <c r="BZ169" s="267">
        <f>SUMIFS('Adv. Filter'!$BJ$1:$BJ$50000,'Adv. Filter'!$BT$1:$BT$50000,"Mahesh",'Adv. Filter'!$BQ$1:$BQ$50000,$AY168,'Adv. Filter'!$BH$1:$BH$50000,"Bank",'Adv. Filter'!$BO$1:$BO$50000,"&lt;"&amp;'Adv. Filter'!$A$15,'Adv. Filter'!$BP$1:$BP$50000,"Project")</f>
        <v>0</v>
      </c>
      <c r="CA169" s="268"/>
      <c r="CB169" s="268"/>
      <c r="CC169" s="268"/>
      <c r="CD169" s="268"/>
      <c r="CE169" s="268"/>
      <c r="CF169" s="268"/>
      <c r="CG169" s="268"/>
      <c r="CH169" s="268"/>
      <c r="CI169" s="269"/>
      <c r="CJ169" s="267">
        <f t="shared" si="11"/>
        <v>0</v>
      </c>
      <c r="CK169" s="268"/>
      <c r="CL169" s="268"/>
      <c r="CM169" s="268"/>
      <c r="CN169" s="268"/>
      <c r="CO169" s="268"/>
      <c r="CP169" s="268"/>
      <c r="CQ169" s="268"/>
      <c r="CR169" s="268"/>
      <c r="CS169" s="269"/>
      <c r="CT169"/>
      <c r="CU169"/>
      <c r="CV169"/>
      <c r="CW169"/>
      <c r="CX169"/>
      <c r="CY169"/>
      <c r="CZ169"/>
      <c r="DR169"/>
      <c r="DS169"/>
      <c r="DT169"/>
      <c r="DU169"/>
      <c r="DV169"/>
      <c r="DW169"/>
      <c r="DX169"/>
      <c r="DY169"/>
      <c r="DZ169"/>
      <c r="EA169"/>
      <c r="EB169"/>
      <c r="EC169"/>
      <c r="ED169"/>
      <c r="EE169"/>
      <c r="EF169"/>
      <c r="EG169"/>
      <c r="EH169"/>
      <c r="EI169"/>
      <c r="EJ169"/>
      <c r="EK169"/>
      <c r="EL169"/>
      <c r="EM169"/>
      <c r="EN169"/>
      <c r="EO169"/>
      <c r="EP169"/>
      <c r="EQ169"/>
      <c r="ER169"/>
      <c r="ES169"/>
      <c r="ET169"/>
      <c r="EU169"/>
      <c r="EV169"/>
      <c r="EW169"/>
      <c r="EX169"/>
      <c r="EY169"/>
      <c r="EZ169"/>
      <c r="FA169"/>
      <c r="FB169"/>
      <c r="FC169"/>
      <c r="FD169"/>
      <c r="FE169"/>
      <c r="FF169"/>
      <c r="FG169"/>
      <c r="FH169"/>
      <c r="FI169"/>
      <c r="FJ169"/>
      <c r="FK169"/>
      <c r="FL169"/>
      <c r="FM169"/>
      <c r="FN169"/>
      <c r="FO169"/>
      <c r="FP169"/>
      <c r="FQ169"/>
      <c r="FR169"/>
      <c r="FS169"/>
      <c r="FT169"/>
      <c r="FU169"/>
      <c r="FV169"/>
      <c r="FW169"/>
      <c r="FX169"/>
      <c r="FY169"/>
      <c r="FZ169"/>
      <c r="GA169"/>
      <c r="GB169"/>
      <c r="GC169"/>
      <c r="GD169"/>
      <c r="GE169"/>
      <c r="GF169"/>
      <c r="GG169"/>
      <c r="GH169"/>
      <c r="GI169"/>
      <c r="GJ169"/>
      <c r="GK169"/>
      <c r="GL169"/>
      <c r="GM169"/>
      <c r="GN169"/>
      <c r="GO169"/>
      <c r="GP169"/>
      <c r="GQ169"/>
      <c r="GR169"/>
      <c r="GS169"/>
      <c r="GT169"/>
      <c r="GU169"/>
      <c r="GV169"/>
      <c r="GW169"/>
      <c r="GX169"/>
    </row>
    <row r="170" spans="1:206" hidden="1">
      <c r="C170" s="308" t="s">
        <v>510</v>
      </c>
      <c r="D170" s="309"/>
      <c r="E170" s="309"/>
      <c r="F170" s="309"/>
      <c r="G170" s="309"/>
      <c r="H170" s="309"/>
      <c r="I170" s="309"/>
      <c r="J170" s="309"/>
      <c r="K170" s="309"/>
      <c r="L170" s="309"/>
      <c r="M170" s="309"/>
      <c r="N170" s="309"/>
      <c r="O170" s="309"/>
      <c r="P170" s="309"/>
      <c r="Q170" s="309"/>
      <c r="R170" s="309"/>
      <c r="S170" s="310"/>
      <c r="T170" s="267">
        <v>0</v>
      </c>
      <c r="U170" s="268"/>
      <c r="V170" s="268"/>
      <c r="W170" s="268"/>
      <c r="X170" s="268"/>
      <c r="Y170" s="268"/>
      <c r="Z170" s="268"/>
      <c r="AA170" s="268"/>
      <c r="AB170" s="268"/>
      <c r="AC170" s="269"/>
      <c r="AD170" s="267">
        <v>0</v>
      </c>
      <c r="AE170" s="268"/>
      <c r="AF170" s="268"/>
      <c r="AG170" s="268"/>
      <c r="AH170" s="268"/>
      <c r="AI170" s="268"/>
      <c r="AJ170" s="268"/>
      <c r="AK170" s="268"/>
      <c r="AL170" s="268"/>
      <c r="AM170" s="269"/>
      <c r="AN170" s="267">
        <f t="shared" si="10"/>
        <v>0</v>
      </c>
      <c r="AO170" s="268"/>
      <c r="AP170" s="268"/>
      <c r="AQ170" s="268"/>
      <c r="AR170" s="268"/>
      <c r="AS170" s="268"/>
      <c r="AT170" s="268"/>
      <c r="AU170" s="268"/>
      <c r="AV170" s="268"/>
      <c r="AW170" s="269"/>
      <c r="AX170" s="22"/>
      <c r="AY170" s="308" t="s">
        <v>510</v>
      </c>
      <c r="AZ170" s="309"/>
      <c r="BA170" s="309"/>
      <c r="BB170" s="309"/>
      <c r="BC170" s="309"/>
      <c r="BD170" s="309"/>
      <c r="BE170" s="309"/>
      <c r="BF170" s="309"/>
      <c r="BG170" s="309"/>
      <c r="BH170" s="309"/>
      <c r="BI170" s="309"/>
      <c r="BJ170" s="309"/>
      <c r="BK170" s="309"/>
      <c r="BL170" s="309"/>
      <c r="BM170" s="309"/>
      <c r="BN170" s="309"/>
      <c r="BO170" s="310"/>
      <c r="BP170" s="267"/>
      <c r="BQ170" s="268"/>
      <c r="BR170" s="268"/>
      <c r="BS170" s="268"/>
      <c r="BT170" s="268"/>
      <c r="BU170" s="268"/>
      <c r="BV170" s="268"/>
      <c r="BW170" s="268"/>
      <c r="BX170" s="268"/>
      <c r="BY170" s="269"/>
      <c r="BZ170" s="267"/>
      <c r="CA170" s="268"/>
      <c r="CB170" s="268"/>
      <c r="CC170" s="268"/>
      <c r="CD170" s="268"/>
      <c r="CE170" s="268"/>
      <c r="CF170" s="268"/>
      <c r="CG170" s="268"/>
      <c r="CH170" s="268"/>
      <c r="CI170" s="269"/>
      <c r="CJ170" s="267">
        <f t="shared" si="11"/>
        <v>0</v>
      </c>
      <c r="CK170" s="268"/>
      <c r="CL170" s="268"/>
      <c r="CM170" s="268"/>
      <c r="CN170" s="268"/>
      <c r="CO170" s="268"/>
      <c r="CP170" s="268"/>
      <c r="CQ170" s="268"/>
      <c r="CR170" s="268"/>
      <c r="CS170" s="269"/>
    </row>
    <row r="171" spans="1:206" hidden="1">
      <c r="C171" s="43"/>
      <c r="D171" s="36" t="str">
        <f>IF(AN168=0,C168&amp;" -","")</f>
        <v>Indian -</v>
      </c>
      <c r="E171" s="42"/>
      <c r="F171" s="42"/>
      <c r="G171" s="42"/>
      <c r="H171" s="42"/>
      <c r="I171" s="42"/>
      <c r="J171" s="42"/>
      <c r="K171" s="42"/>
      <c r="L171" s="42"/>
      <c r="M171" s="42"/>
      <c r="N171" s="42"/>
      <c r="O171" s="42"/>
      <c r="P171" s="1"/>
      <c r="Q171" s="42"/>
      <c r="R171" s="41" t="s">
        <v>275</v>
      </c>
      <c r="S171" s="40"/>
      <c r="T171" s="267">
        <f>SUMIFS('Adv. Filter'!$CH$1:$CH$50000,'Adv. Filter'!$CD$1:$CD$50000,"Mahesh",'Adv. Filter'!$CE$1:$CE$50000,$C168,'Adv. Filter'!$CC$1:$CC$50000,"Suspense",'Adv. Filter'!$CF$1:$CF$50000,"Cash")</f>
        <v>0</v>
      </c>
      <c r="U171" s="268"/>
      <c r="V171" s="268"/>
      <c r="W171" s="268"/>
      <c r="X171" s="268"/>
      <c r="Y171" s="268"/>
      <c r="Z171" s="268"/>
      <c r="AA171" s="268"/>
      <c r="AB171" s="268"/>
      <c r="AC171" s="269"/>
      <c r="AD171" s="267">
        <f>SUMIFS('Adv. Filter'!$CH$1:$CH$50000,'Adv. Filter'!$CD$1:$CD$50000,"Mahesh",'Adv. Filter'!$CE$1:$CE$50000,$C168,'Adv. Filter'!$CC$1:$CC$50000,"Suspense",'Adv. Filter'!$CF$1:$CF$50000,"Bank")</f>
        <v>0</v>
      </c>
      <c r="AE171" s="268"/>
      <c r="AF171" s="268"/>
      <c r="AG171" s="268"/>
      <c r="AH171" s="268"/>
      <c r="AI171" s="268"/>
      <c r="AJ171" s="268"/>
      <c r="AK171" s="268"/>
      <c r="AL171" s="268"/>
      <c r="AM171" s="269"/>
      <c r="AN171" s="267">
        <f t="shared" si="10"/>
        <v>0</v>
      </c>
      <c r="AO171" s="268"/>
      <c r="AP171" s="268"/>
      <c r="AQ171" s="268"/>
      <c r="AR171" s="268"/>
      <c r="AS171" s="268"/>
      <c r="AT171" s="268"/>
      <c r="AU171" s="268"/>
      <c r="AV171" s="268"/>
      <c r="AW171" s="269"/>
      <c r="AX171" s="22"/>
      <c r="AY171" s="43"/>
      <c r="AZ171" s="36" t="str">
        <f>IF(CJ168=0,AY168&amp;" -","")</f>
        <v>Indian -</v>
      </c>
      <c r="BA171" s="42"/>
      <c r="BB171" s="42"/>
      <c r="BC171" s="42"/>
      <c r="BD171" s="42"/>
      <c r="BE171" s="42"/>
      <c r="BF171" s="42"/>
      <c r="BG171" s="42"/>
      <c r="BH171" s="42"/>
      <c r="BI171" s="42"/>
      <c r="BJ171" s="42"/>
      <c r="BK171" s="42"/>
      <c r="BL171" s="1"/>
      <c r="BM171" s="42"/>
      <c r="BN171" s="41" t="s">
        <v>275</v>
      </c>
      <c r="BO171" s="40"/>
      <c r="BP171" s="267"/>
      <c r="BQ171" s="268"/>
      <c r="BR171" s="268"/>
      <c r="BS171" s="268"/>
      <c r="BT171" s="268"/>
      <c r="BU171" s="268"/>
      <c r="BV171" s="268"/>
      <c r="BW171" s="268"/>
      <c r="BX171" s="268"/>
      <c r="BY171" s="269"/>
      <c r="BZ171" s="267"/>
      <c r="CA171" s="268"/>
      <c r="CB171" s="268"/>
      <c r="CC171" s="268"/>
      <c r="CD171" s="268"/>
      <c r="CE171" s="268"/>
      <c r="CF171" s="268"/>
      <c r="CG171" s="268"/>
      <c r="CH171" s="268"/>
      <c r="CI171" s="269"/>
      <c r="CJ171" s="267">
        <f t="shared" si="11"/>
        <v>0</v>
      </c>
      <c r="CK171" s="268"/>
      <c r="CL171" s="268"/>
      <c r="CM171" s="268"/>
      <c r="CN171" s="268"/>
      <c r="CO171" s="268"/>
      <c r="CP171" s="268"/>
      <c r="CQ171" s="268"/>
      <c r="CR171" s="268"/>
      <c r="CS171" s="269"/>
    </row>
    <row r="172" spans="1:206" hidden="1">
      <c r="A172" s="44"/>
      <c r="B172" s="44"/>
      <c r="C172" s="293" t="s">
        <v>138</v>
      </c>
      <c r="D172" s="294"/>
      <c r="E172" s="294"/>
      <c r="F172" s="294"/>
      <c r="G172" s="294"/>
      <c r="H172" s="294"/>
      <c r="I172" s="294"/>
      <c r="J172" s="294"/>
      <c r="K172" s="294"/>
      <c r="L172" s="294"/>
      <c r="M172" s="294"/>
      <c r="N172" s="294"/>
      <c r="O172" s="294"/>
      <c r="P172" s="294"/>
      <c r="Q172" s="294"/>
      <c r="R172" s="294"/>
      <c r="S172" s="295"/>
      <c r="T172" s="276">
        <f>SUMIFS('Adv. Filter'!$BJ$1:$BJ$50000,'Adv. Filter'!$BT$1:$BT$50000,"Mahesh",'Adv. Filter'!$BQ$1:$BQ$50000,$C172,'Adv. Filter'!$BH$1:$BH$50000,"Cash",'Adv. Filter'!$BO$1:$BO$50000,'Adv. Filter'!$A$14,'Adv. Filter'!$BO$1:$BO$50000,'Adv. Filter'!$B$14)</f>
        <v>0</v>
      </c>
      <c r="U172" s="277"/>
      <c r="V172" s="277"/>
      <c r="W172" s="277"/>
      <c r="X172" s="277"/>
      <c r="Y172" s="277"/>
      <c r="Z172" s="277"/>
      <c r="AA172" s="277"/>
      <c r="AB172" s="277"/>
      <c r="AC172" s="278"/>
      <c r="AD172" s="276">
        <f>SUMIFS('Adv. Filter'!$BJ$1:$BJ$50000,'Adv. Filter'!$BT$1:$BT$50000,"Mahesh",'Adv. Filter'!$BQ$1:$BQ$50000,$C172,'Adv. Filter'!$BH$1:$BH$50000,"Bank",'Adv. Filter'!$BO$1:$BO$50000,'Adv. Filter'!$A$14,'Adv. Filter'!$BO$1:$BO$50000,'Adv. Filter'!$B$14)</f>
        <v>0</v>
      </c>
      <c r="AE172" s="277"/>
      <c r="AF172" s="277"/>
      <c r="AG172" s="277"/>
      <c r="AH172" s="277"/>
      <c r="AI172" s="277"/>
      <c r="AJ172" s="277"/>
      <c r="AK172" s="277"/>
      <c r="AL172" s="277"/>
      <c r="AM172" s="278"/>
      <c r="AN172" s="276">
        <f t="shared" si="10"/>
        <v>0</v>
      </c>
      <c r="AO172" s="277"/>
      <c r="AP172" s="277"/>
      <c r="AQ172" s="277"/>
      <c r="AR172" s="277"/>
      <c r="AS172" s="277"/>
      <c r="AT172" s="277"/>
      <c r="AU172" s="277"/>
      <c r="AV172" s="277"/>
      <c r="AW172" s="278"/>
      <c r="AX172" s="45"/>
      <c r="AY172" s="293" t="s">
        <v>138</v>
      </c>
      <c r="AZ172" s="294"/>
      <c r="BA172" s="294"/>
      <c r="BB172" s="294"/>
      <c r="BC172" s="294"/>
      <c r="BD172" s="294"/>
      <c r="BE172" s="294"/>
      <c r="BF172" s="294"/>
      <c r="BG172" s="294"/>
      <c r="BH172" s="294"/>
      <c r="BI172" s="294"/>
      <c r="BJ172" s="294"/>
      <c r="BK172" s="294"/>
      <c r="BL172" s="294"/>
      <c r="BM172" s="294"/>
      <c r="BN172" s="294"/>
      <c r="BO172" s="295"/>
      <c r="BP172" s="276">
        <f>SUMIFS('Adv. Filter'!$BJ$1:$BJ$50000,'Adv. Filter'!$BT$1:$BT$50000,"Mahesh",'Adv. Filter'!$BQ$1:$BQ$50000,$AY172,'Adv. Filter'!$BH$1:$BH$50000,"Cash",'Adv. Filter'!$BO$1:$BO$50000,"&lt;"&amp;'Adv. Filter'!$A$15)</f>
        <v>0</v>
      </c>
      <c r="BQ172" s="277"/>
      <c r="BR172" s="277"/>
      <c r="BS172" s="277"/>
      <c r="BT172" s="277"/>
      <c r="BU172" s="277"/>
      <c r="BV172" s="277"/>
      <c r="BW172" s="277"/>
      <c r="BX172" s="277"/>
      <c r="BY172" s="278"/>
      <c r="BZ172" s="276">
        <f>SUMIFS('Adv. Filter'!$BJ$1:$BJ$50000,'Adv. Filter'!$BT$1:$BT$50000,"Mahesh",'Adv. Filter'!$BQ$1:$BQ$50000,$AY172,'Adv. Filter'!$BH$1:$BH$50000,"Bank",'Adv. Filter'!$BO$1:$BO$50000,"&lt;"&amp;'Adv. Filter'!$A$15)</f>
        <v>0</v>
      </c>
      <c r="CA172" s="277"/>
      <c r="CB172" s="277"/>
      <c r="CC172" s="277"/>
      <c r="CD172" s="277"/>
      <c r="CE172" s="277"/>
      <c r="CF172" s="277"/>
      <c r="CG172" s="277"/>
      <c r="CH172" s="277"/>
      <c r="CI172" s="278"/>
      <c r="CJ172" s="276">
        <f t="shared" si="11"/>
        <v>0</v>
      </c>
      <c r="CK172" s="277"/>
      <c r="CL172" s="277"/>
      <c r="CM172" s="277"/>
      <c r="CN172" s="277"/>
      <c r="CO172" s="277"/>
      <c r="CP172" s="277"/>
      <c r="CQ172" s="277"/>
      <c r="CR172" s="277"/>
      <c r="CS172" s="278"/>
      <c r="CT172" s="44"/>
      <c r="CU172" s="44"/>
      <c r="CV172" s="44"/>
      <c r="CW172" s="44"/>
      <c r="CX172" s="44"/>
      <c r="CY172" s="44"/>
      <c r="CZ172" s="44"/>
    </row>
    <row r="173" spans="1:206" s="44" customFormat="1" hidden="1">
      <c r="A173"/>
      <c r="B173"/>
      <c r="C173" s="308" t="s">
        <v>115</v>
      </c>
      <c r="D173" s="309"/>
      <c r="E173" s="309"/>
      <c r="F173" s="309"/>
      <c r="G173" s="309"/>
      <c r="H173" s="309"/>
      <c r="I173" s="309"/>
      <c r="J173" s="309"/>
      <c r="K173" s="309"/>
      <c r="L173" s="309"/>
      <c r="M173" s="309"/>
      <c r="N173" s="309"/>
      <c r="O173" s="309"/>
      <c r="P173" s="309"/>
      <c r="Q173" s="309"/>
      <c r="R173" s="309"/>
      <c r="S173" s="310"/>
      <c r="T173" s="267">
        <f>SUMIFS('Adv. Filter'!$BJ$1:$BJ$50000,'Adv. Filter'!$BT$1:$BT$50000,"Mahesh",'Adv. Filter'!$BQ$1:$BQ$50000,$C172,'Adv. Filter'!$BH$1:$BH$50000,"Cash",'Adv. Filter'!$BO$1:$BO$50000,'Adv. Filter'!$A$14,'Adv. Filter'!$BO$1:$BO$50000,'Adv. Filter'!$B$14,'Adv. Filter'!$BP$1:$BP$50000,"Project")</f>
        <v>0</v>
      </c>
      <c r="U173" s="268"/>
      <c r="V173" s="268"/>
      <c r="W173" s="268"/>
      <c r="X173" s="268"/>
      <c r="Y173" s="268"/>
      <c r="Z173" s="268"/>
      <c r="AA173" s="268"/>
      <c r="AB173" s="268"/>
      <c r="AC173" s="269"/>
      <c r="AD173" s="267">
        <f>SUMIFS('Adv. Filter'!$BJ$1:$BJ$50000,'Adv. Filter'!$BT$1:$BT$50000,"Mahesh",'Adv. Filter'!$BQ$1:$BQ$50000,$C172,'Adv. Filter'!$BH$1:$BH$50000,"Bank",'Adv. Filter'!$BO$1:$BO$50000,'Adv. Filter'!$A$14,'Adv. Filter'!$BO$1:$BO$50000,'Adv. Filter'!$B$14,'Adv. Filter'!$BP$1:$BP$50000,"Project")</f>
        <v>0</v>
      </c>
      <c r="AE173" s="268"/>
      <c r="AF173" s="268"/>
      <c r="AG173" s="268"/>
      <c r="AH173" s="268"/>
      <c r="AI173" s="268"/>
      <c r="AJ173" s="268"/>
      <c r="AK173" s="268"/>
      <c r="AL173" s="268"/>
      <c r="AM173" s="269"/>
      <c r="AN173" s="267">
        <f t="shared" si="10"/>
        <v>0</v>
      </c>
      <c r="AO173" s="268"/>
      <c r="AP173" s="268"/>
      <c r="AQ173" s="268"/>
      <c r="AR173" s="268"/>
      <c r="AS173" s="268"/>
      <c r="AT173" s="268"/>
      <c r="AU173" s="268"/>
      <c r="AV173" s="268"/>
      <c r="AW173" s="269"/>
      <c r="AX173" s="22"/>
      <c r="AY173" s="308" t="s">
        <v>115</v>
      </c>
      <c r="AZ173" s="309"/>
      <c r="BA173" s="309"/>
      <c r="BB173" s="309"/>
      <c r="BC173" s="309"/>
      <c r="BD173" s="309"/>
      <c r="BE173" s="309"/>
      <c r="BF173" s="309"/>
      <c r="BG173" s="309"/>
      <c r="BH173" s="309"/>
      <c r="BI173" s="309"/>
      <c r="BJ173" s="309"/>
      <c r="BK173" s="309"/>
      <c r="BL173" s="309"/>
      <c r="BM173" s="309"/>
      <c r="BN173" s="309"/>
      <c r="BO173" s="310"/>
      <c r="BP173" s="267">
        <f>SUMIFS('Adv. Filter'!$BJ$1:$BJ$50000,'Adv. Filter'!$BT$1:$BT$50000,"Mahesh",'Adv. Filter'!$BQ$1:$BQ$50000,$AY172,'Adv. Filter'!$BH$1:$BH$50000,"Cash",'Adv. Filter'!$BO$1:$BO$50000,"&lt;"&amp;'Adv. Filter'!$A$15,'Adv. Filter'!$BP$1:$BP$50000,"Project")</f>
        <v>0</v>
      </c>
      <c r="BQ173" s="268"/>
      <c r="BR173" s="268"/>
      <c r="BS173" s="268"/>
      <c r="BT173" s="268"/>
      <c r="BU173" s="268"/>
      <c r="BV173" s="268"/>
      <c r="BW173" s="268"/>
      <c r="BX173" s="268"/>
      <c r="BY173" s="269"/>
      <c r="BZ173" s="267">
        <f>SUMIFS('Adv. Filter'!$BJ$1:$BJ$50000,'Adv. Filter'!$BT$1:$BT$50000,"Mahesh",'Adv. Filter'!$BQ$1:$BQ$50000,$AY172,'Adv. Filter'!$BH$1:$BH$50000,"Bank",'Adv. Filter'!$BO$1:$BO$50000,"&lt;"&amp;'Adv. Filter'!$A$15,'Adv. Filter'!$BP$1:$BP$50000,"Project")</f>
        <v>0</v>
      </c>
      <c r="CA173" s="268"/>
      <c r="CB173" s="268"/>
      <c r="CC173" s="268"/>
      <c r="CD173" s="268"/>
      <c r="CE173" s="268"/>
      <c r="CF173" s="268"/>
      <c r="CG173" s="268"/>
      <c r="CH173" s="268"/>
      <c r="CI173" s="269"/>
      <c r="CJ173" s="267">
        <f t="shared" si="11"/>
        <v>0</v>
      </c>
      <c r="CK173" s="268"/>
      <c r="CL173" s="268"/>
      <c r="CM173" s="268"/>
      <c r="CN173" s="268"/>
      <c r="CO173" s="268"/>
      <c r="CP173" s="268"/>
      <c r="CQ173" s="268"/>
      <c r="CR173" s="268"/>
      <c r="CS173" s="269"/>
      <c r="CT173"/>
      <c r="CU173"/>
      <c r="CV173"/>
      <c r="CW173"/>
      <c r="CX173"/>
      <c r="CY173"/>
      <c r="CZ173"/>
      <c r="DR173"/>
      <c r="DS173"/>
      <c r="DT173"/>
      <c r="DU173"/>
      <c r="DV173"/>
      <c r="DW173"/>
      <c r="DX173"/>
      <c r="DY173"/>
      <c r="DZ173"/>
      <c r="EA173"/>
      <c r="EB173"/>
      <c r="EC173"/>
      <c r="ED173"/>
      <c r="EE173"/>
      <c r="EF173"/>
      <c r="EG173"/>
      <c r="EH173"/>
      <c r="EI173"/>
      <c r="EJ173"/>
      <c r="EK173"/>
      <c r="EL173"/>
      <c r="EM173"/>
      <c r="EN173"/>
      <c r="EO173"/>
      <c r="EP173"/>
      <c r="EQ173"/>
      <c r="ER173"/>
      <c r="ES173"/>
      <c r="ET173"/>
      <c r="EU173"/>
      <c r="EV173"/>
      <c r="EW173"/>
      <c r="EX173"/>
      <c r="EY173"/>
      <c r="EZ173"/>
      <c r="FA173"/>
      <c r="FB173"/>
      <c r="FC173"/>
      <c r="FD173"/>
      <c r="FE173"/>
      <c r="FF173"/>
      <c r="FG173"/>
      <c r="FH173"/>
      <c r="FI173"/>
      <c r="FJ173"/>
      <c r="FK173"/>
      <c r="FL173"/>
      <c r="FM173"/>
      <c r="FN173"/>
      <c r="FO173"/>
      <c r="FP173"/>
      <c r="FQ173"/>
      <c r="FR173"/>
      <c r="FS173"/>
      <c r="FT173"/>
      <c r="FU173"/>
      <c r="FV173"/>
      <c r="FW173"/>
      <c r="FX173"/>
      <c r="FY173"/>
      <c r="FZ173"/>
      <c r="GA173"/>
      <c r="GB173"/>
      <c r="GC173"/>
      <c r="GD173"/>
      <c r="GE173"/>
      <c r="GF173"/>
      <c r="GG173"/>
      <c r="GH173"/>
      <c r="GI173"/>
      <c r="GJ173"/>
      <c r="GK173"/>
      <c r="GL173"/>
      <c r="GM173"/>
      <c r="GN173"/>
      <c r="GO173"/>
      <c r="GP173"/>
      <c r="GQ173"/>
      <c r="GR173"/>
      <c r="GS173"/>
      <c r="GT173"/>
      <c r="GU173"/>
      <c r="GV173"/>
      <c r="GW173"/>
      <c r="GX173"/>
    </row>
    <row r="174" spans="1:206" hidden="1">
      <c r="C174" s="308" t="s">
        <v>510</v>
      </c>
      <c r="D174" s="309"/>
      <c r="E174" s="309"/>
      <c r="F174" s="309"/>
      <c r="G174" s="309"/>
      <c r="H174" s="309"/>
      <c r="I174" s="309"/>
      <c r="J174" s="309"/>
      <c r="K174" s="309"/>
      <c r="L174" s="309"/>
      <c r="M174" s="309"/>
      <c r="N174" s="309"/>
      <c r="O174" s="309"/>
      <c r="P174" s="309"/>
      <c r="Q174" s="309"/>
      <c r="R174" s="309"/>
      <c r="S174" s="310"/>
      <c r="T174" s="267">
        <v>0</v>
      </c>
      <c r="U174" s="268"/>
      <c r="V174" s="268"/>
      <c r="W174" s="268"/>
      <c r="X174" s="268"/>
      <c r="Y174" s="268"/>
      <c r="Z174" s="268"/>
      <c r="AA174" s="268"/>
      <c r="AB174" s="268"/>
      <c r="AC174" s="269"/>
      <c r="AD174" s="267">
        <v>0</v>
      </c>
      <c r="AE174" s="268"/>
      <c r="AF174" s="268"/>
      <c r="AG174" s="268"/>
      <c r="AH174" s="268"/>
      <c r="AI174" s="268"/>
      <c r="AJ174" s="268"/>
      <c r="AK174" s="268"/>
      <c r="AL174" s="268"/>
      <c r="AM174" s="269"/>
      <c r="AN174" s="267">
        <f t="shared" si="10"/>
        <v>0</v>
      </c>
      <c r="AO174" s="268"/>
      <c r="AP174" s="268"/>
      <c r="AQ174" s="268"/>
      <c r="AR174" s="268"/>
      <c r="AS174" s="268"/>
      <c r="AT174" s="268"/>
      <c r="AU174" s="268"/>
      <c r="AV174" s="268"/>
      <c r="AW174" s="269"/>
      <c r="AX174" s="22"/>
      <c r="AY174" s="308" t="s">
        <v>510</v>
      </c>
      <c r="AZ174" s="309"/>
      <c r="BA174" s="309"/>
      <c r="BB174" s="309"/>
      <c r="BC174" s="309"/>
      <c r="BD174" s="309"/>
      <c r="BE174" s="309"/>
      <c r="BF174" s="309"/>
      <c r="BG174" s="309"/>
      <c r="BH174" s="309"/>
      <c r="BI174" s="309"/>
      <c r="BJ174" s="309"/>
      <c r="BK174" s="309"/>
      <c r="BL174" s="309"/>
      <c r="BM174" s="309"/>
      <c r="BN174" s="309"/>
      <c r="BO174" s="310"/>
      <c r="BP174" s="267"/>
      <c r="BQ174" s="268"/>
      <c r="BR174" s="268"/>
      <c r="BS174" s="268"/>
      <c r="BT174" s="268"/>
      <c r="BU174" s="268"/>
      <c r="BV174" s="268"/>
      <c r="BW174" s="268"/>
      <c r="BX174" s="268"/>
      <c r="BY174" s="269"/>
      <c r="BZ174" s="267"/>
      <c r="CA174" s="268"/>
      <c r="CB174" s="268"/>
      <c r="CC174" s="268"/>
      <c r="CD174" s="268"/>
      <c r="CE174" s="268"/>
      <c r="CF174" s="268"/>
      <c r="CG174" s="268"/>
      <c r="CH174" s="268"/>
      <c r="CI174" s="269"/>
      <c r="CJ174" s="267">
        <f t="shared" si="11"/>
        <v>0</v>
      </c>
      <c r="CK174" s="268"/>
      <c r="CL174" s="268"/>
      <c r="CM174" s="268"/>
      <c r="CN174" s="268"/>
      <c r="CO174" s="268"/>
      <c r="CP174" s="268"/>
      <c r="CQ174" s="268"/>
      <c r="CR174" s="268"/>
      <c r="CS174" s="269"/>
    </row>
    <row r="175" spans="1:206" hidden="1">
      <c r="C175" s="43"/>
      <c r="D175" s="36" t="str">
        <f>IF(AN172=0,C172&amp;" -","")</f>
        <v>Indus Ind -</v>
      </c>
      <c r="E175" s="42"/>
      <c r="F175" s="42"/>
      <c r="G175" s="42"/>
      <c r="H175" s="42"/>
      <c r="I175" s="42"/>
      <c r="J175" s="42"/>
      <c r="K175" s="42"/>
      <c r="L175" s="42"/>
      <c r="M175" s="42"/>
      <c r="N175" s="42"/>
      <c r="O175" s="42"/>
      <c r="P175" s="1"/>
      <c r="Q175" s="42"/>
      <c r="R175" s="41" t="s">
        <v>275</v>
      </c>
      <c r="S175" s="40"/>
      <c r="T175" s="267">
        <f>SUMIFS('Adv. Filter'!$CH$1:$CH$50000,'Adv. Filter'!$CD$1:$CD$50000,"Mahesh",'Adv. Filter'!$CE$1:$CE$50000,$C172,'Adv. Filter'!$CC$1:$CC$50000,"Suspense",'Adv. Filter'!$CF$1:$CF$50000,"Cash")</f>
        <v>0</v>
      </c>
      <c r="U175" s="268"/>
      <c r="V175" s="268"/>
      <c r="W175" s="268"/>
      <c r="X175" s="268"/>
      <c r="Y175" s="268"/>
      <c r="Z175" s="268"/>
      <c r="AA175" s="268"/>
      <c r="AB175" s="268"/>
      <c r="AC175" s="269"/>
      <c r="AD175" s="267">
        <f>SUMIFS('Adv. Filter'!$CH$1:$CH$50000,'Adv. Filter'!$CD$1:$CD$50000,"Mahesh",'Adv. Filter'!$CE$1:$CE$50000,$C172,'Adv. Filter'!$CC$1:$CC$50000,"Suspense",'Adv. Filter'!$CF$1:$CF$50000,"Bank")</f>
        <v>0</v>
      </c>
      <c r="AE175" s="268"/>
      <c r="AF175" s="268"/>
      <c r="AG175" s="268"/>
      <c r="AH175" s="268"/>
      <c r="AI175" s="268"/>
      <c r="AJ175" s="268"/>
      <c r="AK175" s="268"/>
      <c r="AL175" s="268"/>
      <c r="AM175" s="269"/>
      <c r="AN175" s="267">
        <f t="shared" si="10"/>
        <v>0</v>
      </c>
      <c r="AO175" s="268"/>
      <c r="AP175" s="268"/>
      <c r="AQ175" s="268"/>
      <c r="AR175" s="268"/>
      <c r="AS175" s="268"/>
      <c r="AT175" s="268"/>
      <c r="AU175" s="268"/>
      <c r="AV175" s="268"/>
      <c r="AW175" s="269"/>
      <c r="AX175" s="22"/>
      <c r="AY175" s="43"/>
      <c r="AZ175" s="36" t="str">
        <f>IF(CJ172=0,AY172&amp;" -","")</f>
        <v>Indus Ind -</v>
      </c>
      <c r="BA175" s="42"/>
      <c r="BB175" s="42"/>
      <c r="BC175" s="42"/>
      <c r="BD175" s="42"/>
      <c r="BE175" s="42"/>
      <c r="BF175" s="42"/>
      <c r="BG175" s="42"/>
      <c r="BH175" s="42"/>
      <c r="BI175" s="42"/>
      <c r="BJ175" s="42"/>
      <c r="BK175" s="42"/>
      <c r="BL175" s="1"/>
      <c r="BM175" s="42"/>
      <c r="BN175" s="41" t="s">
        <v>275</v>
      </c>
      <c r="BO175" s="40"/>
      <c r="BP175" s="267"/>
      <c r="BQ175" s="268"/>
      <c r="BR175" s="268"/>
      <c r="BS175" s="268"/>
      <c r="BT175" s="268"/>
      <c r="BU175" s="268"/>
      <c r="BV175" s="268"/>
      <c r="BW175" s="268"/>
      <c r="BX175" s="268"/>
      <c r="BY175" s="269"/>
      <c r="BZ175" s="267"/>
      <c r="CA175" s="268"/>
      <c r="CB175" s="268"/>
      <c r="CC175" s="268"/>
      <c r="CD175" s="268"/>
      <c r="CE175" s="268"/>
      <c r="CF175" s="268"/>
      <c r="CG175" s="268"/>
      <c r="CH175" s="268"/>
      <c r="CI175" s="269"/>
      <c r="CJ175" s="267">
        <f t="shared" si="11"/>
        <v>0</v>
      </c>
      <c r="CK175" s="268"/>
      <c r="CL175" s="268"/>
      <c r="CM175" s="268"/>
      <c r="CN175" s="268"/>
      <c r="CO175" s="268"/>
      <c r="CP175" s="268"/>
      <c r="CQ175" s="268"/>
      <c r="CR175" s="268"/>
      <c r="CS175" s="269"/>
    </row>
    <row r="176" spans="1:206" hidden="1">
      <c r="A176" s="44"/>
      <c r="B176" s="44"/>
      <c r="C176" s="293" t="s">
        <v>84</v>
      </c>
      <c r="D176" s="294"/>
      <c r="E176" s="294"/>
      <c r="F176" s="294"/>
      <c r="G176" s="294"/>
      <c r="H176" s="294"/>
      <c r="I176" s="294"/>
      <c r="J176" s="294"/>
      <c r="K176" s="294"/>
      <c r="L176" s="294"/>
      <c r="M176" s="294"/>
      <c r="N176" s="294"/>
      <c r="O176" s="294"/>
      <c r="P176" s="294"/>
      <c r="Q176" s="294"/>
      <c r="R176" s="294"/>
      <c r="S176" s="295"/>
      <c r="T176" s="276">
        <f>SUMIFS('Adv. Filter'!$BJ$1:$BJ$50000,'Adv. Filter'!$BT$1:$BT$50000,"Mahesh",'Adv. Filter'!$BQ$1:$BQ$50000,$C176,'Adv. Filter'!$BH$1:$BH$50000,"Cash",'Adv. Filter'!$BO$1:$BO$50000,'Adv. Filter'!$A$14,'Adv. Filter'!$BO$1:$BO$50000,'Adv. Filter'!$B$14)</f>
        <v>184500</v>
      </c>
      <c r="U176" s="277"/>
      <c r="V176" s="277"/>
      <c r="W176" s="277"/>
      <c r="X176" s="277"/>
      <c r="Y176" s="277"/>
      <c r="Z176" s="277"/>
      <c r="AA176" s="277"/>
      <c r="AB176" s="277"/>
      <c r="AC176" s="278"/>
      <c r="AD176" s="276">
        <f>SUMIFS('Adv. Filter'!$BJ$1:$BJ$50000,'Adv. Filter'!$BT$1:$BT$50000,"Mahesh",'Adv. Filter'!$BQ$1:$BQ$50000,$C176,'Adv. Filter'!$BH$1:$BH$50000,"Bank",'Adv. Filter'!$BO$1:$BO$50000,'Adv. Filter'!$A$14,'Adv. Filter'!$BO$1:$BO$50000,'Adv. Filter'!$B$14)</f>
        <v>207000</v>
      </c>
      <c r="AE176" s="277"/>
      <c r="AF176" s="277"/>
      <c r="AG176" s="277"/>
      <c r="AH176" s="277"/>
      <c r="AI176" s="277"/>
      <c r="AJ176" s="277"/>
      <c r="AK176" s="277"/>
      <c r="AL176" s="277"/>
      <c r="AM176" s="278"/>
      <c r="AN176" s="276">
        <f t="shared" si="10"/>
        <v>391500</v>
      </c>
      <c r="AO176" s="277"/>
      <c r="AP176" s="277"/>
      <c r="AQ176" s="277"/>
      <c r="AR176" s="277"/>
      <c r="AS176" s="277"/>
      <c r="AT176" s="277"/>
      <c r="AU176" s="277"/>
      <c r="AV176" s="277"/>
      <c r="AW176" s="278"/>
      <c r="AX176" s="45"/>
      <c r="AY176" s="293" t="s">
        <v>84</v>
      </c>
      <c r="AZ176" s="294"/>
      <c r="BA176" s="294"/>
      <c r="BB176" s="294"/>
      <c r="BC176" s="294"/>
      <c r="BD176" s="294"/>
      <c r="BE176" s="294"/>
      <c r="BF176" s="294"/>
      <c r="BG176" s="294"/>
      <c r="BH176" s="294"/>
      <c r="BI176" s="294"/>
      <c r="BJ176" s="294"/>
      <c r="BK176" s="294"/>
      <c r="BL176" s="294"/>
      <c r="BM176" s="294"/>
      <c r="BN176" s="294"/>
      <c r="BO176" s="295"/>
      <c r="BP176" s="276">
        <f>SUMIFS('Adv. Filter'!$BJ$1:$BJ$50000,'Adv. Filter'!$BT$1:$BT$50000,"Mahesh",'Adv. Filter'!$BQ$1:$BQ$50000,$AY176,'Adv. Filter'!$BH$1:$BH$50000,"Cash",'Adv. Filter'!$BO$1:$BO$50000,"&lt;"&amp;'Adv. Filter'!$A$15)</f>
        <v>0</v>
      </c>
      <c r="BQ176" s="277"/>
      <c r="BR176" s="277"/>
      <c r="BS176" s="277"/>
      <c r="BT176" s="277"/>
      <c r="BU176" s="277"/>
      <c r="BV176" s="277"/>
      <c r="BW176" s="277"/>
      <c r="BX176" s="277"/>
      <c r="BY176" s="278"/>
      <c r="BZ176" s="276">
        <f>SUMIFS('Adv. Filter'!$BJ$1:$BJ$50000,'Adv. Filter'!$BT$1:$BT$50000,"Mahesh",'Adv. Filter'!$BQ$1:$BQ$50000,$AY176,'Adv. Filter'!$BH$1:$BH$50000,"Bank",'Adv. Filter'!$BO$1:$BO$50000,"&lt;"&amp;'Adv. Filter'!$A$15)</f>
        <v>0</v>
      </c>
      <c r="CA176" s="277"/>
      <c r="CB176" s="277"/>
      <c r="CC176" s="277"/>
      <c r="CD176" s="277"/>
      <c r="CE176" s="277"/>
      <c r="CF176" s="277"/>
      <c r="CG176" s="277"/>
      <c r="CH176" s="277"/>
      <c r="CI176" s="278"/>
      <c r="CJ176" s="276">
        <f t="shared" si="11"/>
        <v>0</v>
      </c>
      <c r="CK176" s="277"/>
      <c r="CL176" s="277"/>
      <c r="CM176" s="277"/>
      <c r="CN176" s="277"/>
      <c r="CO176" s="277"/>
      <c r="CP176" s="277"/>
      <c r="CQ176" s="277"/>
      <c r="CR176" s="277"/>
      <c r="CS176" s="278"/>
      <c r="CT176" s="44"/>
      <c r="CU176" s="44"/>
      <c r="CV176" s="44"/>
      <c r="CW176" s="44"/>
      <c r="CX176" s="44"/>
      <c r="CY176" s="44"/>
      <c r="CZ176" s="44"/>
    </row>
    <row r="177" spans="1:206" s="44" customFormat="1" hidden="1">
      <c r="A177"/>
      <c r="B177"/>
      <c r="C177" s="308" t="s">
        <v>115</v>
      </c>
      <c r="D177" s="309"/>
      <c r="E177" s="309"/>
      <c r="F177" s="309"/>
      <c r="G177" s="309"/>
      <c r="H177" s="309"/>
      <c r="I177" s="309"/>
      <c r="J177" s="309"/>
      <c r="K177" s="309"/>
      <c r="L177" s="309"/>
      <c r="M177" s="309"/>
      <c r="N177" s="309"/>
      <c r="O177" s="309"/>
      <c r="P177" s="309"/>
      <c r="Q177" s="309"/>
      <c r="R177" s="309"/>
      <c r="S177" s="310"/>
      <c r="T177" s="267">
        <f>SUMIFS('Adv. Filter'!$BJ$1:$BJ$50000,'Adv. Filter'!$BT$1:$BT$50000,"Mahesh",'Adv. Filter'!$BQ$1:$BQ$50000,$C176,'Adv. Filter'!$BH$1:$BH$50000,"Cash",'Adv. Filter'!$BO$1:$BO$50000,'Adv. Filter'!$A$14,'Adv. Filter'!$BO$1:$BO$50000,'Adv. Filter'!$B$14,'Adv. Filter'!$BP$1:$BP$50000,"Project")</f>
        <v>0</v>
      </c>
      <c r="U177" s="268"/>
      <c r="V177" s="268"/>
      <c r="W177" s="268"/>
      <c r="X177" s="268"/>
      <c r="Y177" s="268"/>
      <c r="Z177" s="268"/>
      <c r="AA177" s="268"/>
      <c r="AB177" s="268"/>
      <c r="AC177" s="269"/>
      <c r="AD177" s="267">
        <f>SUMIFS('Adv. Filter'!$BJ$1:$BJ$50000,'Adv. Filter'!$BT$1:$BT$50000,"Mahesh",'Adv. Filter'!$BQ$1:$BQ$50000,$C176,'Adv. Filter'!$BH$1:$BH$50000,"Bank",'Adv. Filter'!$BO$1:$BO$50000,'Adv. Filter'!$A$14,'Adv. Filter'!$BO$1:$BO$50000,'Adv. Filter'!$B$14,'Adv. Filter'!$BP$1:$BP$50000,"Project")</f>
        <v>0</v>
      </c>
      <c r="AE177" s="268"/>
      <c r="AF177" s="268"/>
      <c r="AG177" s="268"/>
      <c r="AH177" s="268"/>
      <c r="AI177" s="268"/>
      <c r="AJ177" s="268"/>
      <c r="AK177" s="268"/>
      <c r="AL177" s="268"/>
      <c r="AM177" s="269"/>
      <c r="AN177" s="267">
        <f t="shared" si="10"/>
        <v>0</v>
      </c>
      <c r="AO177" s="268"/>
      <c r="AP177" s="268"/>
      <c r="AQ177" s="268"/>
      <c r="AR177" s="268"/>
      <c r="AS177" s="268"/>
      <c r="AT177" s="268"/>
      <c r="AU177" s="268"/>
      <c r="AV177" s="268"/>
      <c r="AW177" s="269"/>
      <c r="AX177" s="22"/>
      <c r="AY177" s="308" t="s">
        <v>115</v>
      </c>
      <c r="AZ177" s="309"/>
      <c r="BA177" s="309"/>
      <c r="BB177" s="309"/>
      <c r="BC177" s="309"/>
      <c r="BD177" s="309"/>
      <c r="BE177" s="309"/>
      <c r="BF177" s="309"/>
      <c r="BG177" s="309"/>
      <c r="BH177" s="309"/>
      <c r="BI177" s="309"/>
      <c r="BJ177" s="309"/>
      <c r="BK177" s="309"/>
      <c r="BL177" s="309"/>
      <c r="BM177" s="309"/>
      <c r="BN177" s="309"/>
      <c r="BO177" s="310"/>
      <c r="BP177" s="267">
        <f>SUMIFS('Adv. Filter'!$BJ$1:$BJ$50000,'Adv. Filter'!$BT$1:$BT$50000,"Mahesh",'Adv. Filter'!$BQ$1:$BQ$50000,$AY176,'Adv. Filter'!$BH$1:$BH$50000,"Cash",'Adv. Filter'!$BO$1:$BO$50000,"&lt;"&amp;'Adv. Filter'!$A$15,'Adv. Filter'!$BP$1:$BP$50000,"Project")</f>
        <v>0</v>
      </c>
      <c r="BQ177" s="268"/>
      <c r="BR177" s="268"/>
      <c r="BS177" s="268"/>
      <c r="BT177" s="268"/>
      <c r="BU177" s="268"/>
      <c r="BV177" s="268"/>
      <c r="BW177" s="268"/>
      <c r="BX177" s="268"/>
      <c r="BY177" s="269"/>
      <c r="BZ177" s="267">
        <f>SUMIFS('Adv. Filter'!$BJ$1:$BJ$50000,'Adv. Filter'!$BT$1:$BT$50000,"Mahesh",'Adv. Filter'!$BQ$1:$BQ$50000,$AY176,'Adv. Filter'!$BH$1:$BH$50000,"Bank",'Adv. Filter'!$BO$1:$BO$50000,"&lt;"&amp;'Adv. Filter'!$A$15,'Adv. Filter'!$BP$1:$BP$50000,"Project")</f>
        <v>0</v>
      </c>
      <c r="CA177" s="268"/>
      <c r="CB177" s="268"/>
      <c r="CC177" s="268"/>
      <c r="CD177" s="268"/>
      <c r="CE177" s="268"/>
      <c r="CF177" s="268"/>
      <c r="CG177" s="268"/>
      <c r="CH177" s="268"/>
      <c r="CI177" s="269"/>
      <c r="CJ177" s="267">
        <f t="shared" si="11"/>
        <v>0</v>
      </c>
      <c r="CK177" s="268"/>
      <c r="CL177" s="268"/>
      <c r="CM177" s="268"/>
      <c r="CN177" s="268"/>
      <c r="CO177" s="268"/>
      <c r="CP177" s="268"/>
      <c r="CQ177" s="268"/>
      <c r="CR177" s="268"/>
      <c r="CS177" s="269"/>
      <c r="CT177"/>
      <c r="CU177"/>
      <c r="CV177"/>
      <c r="CW177"/>
      <c r="CX177"/>
      <c r="CY177"/>
      <c r="CZ177"/>
      <c r="DR177"/>
      <c r="DS177"/>
      <c r="DT177"/>
      <c r="DU177"/>
      <c r="DV177"/>
      <c r="DW177"/>
      <c r="DX177"/>
      <c r="DY177"/>
      <c r="DZ177"/>
      <c r="EA177"/>
      <c r="EB177"/>
      <c r="EC177"/>
      <c r="ED177"/>
      <c r="EE177"/>
      <c r="EF177"/>
      <c r="EG177"/>
      <c r="EH177"/>
      <c r="EI177"/>
      <c r="EJ177"/>
      <c r="EK177"/>
      <c r="EL177"/>
      <c r="EM177"/>
      <c r="EN177"/>
      <c r="EO177"/>
      <c r="EP177"/>
      <c r="EQ177"/>
      <c r="ER177"/>
      <c r="ES177"/>
      <c r="ET177"/>
      <c r="EU177"/>
      <c r="EV177"/>
      <c r="EW177"/>
      <c r="EX177"/>
      <c r="EY177"/>
      <c r="EZ177"/>
      <c r="FA177"/>
      <c r="FB177"/>
      <c r="FC177"/>
      <c r="FD177"/>
      <c r="FE177"/>
      <c r="FF177"/>
      <c r="FG177"/>
      <c r="FH177"/>
      <c r="FI177"/>
      <c r="FJ177"/>
      <c r="FK177"/>
      <c r="FL177"/>
      <c r="FM177"/>
      <c r="FN177"/>
      <c r="FO177"/>
      <c r="FP177"/>
      <c r="FQ177"/>
      <c r="FR177"/>
      <c r="FS177"/>
      <c r="FT177"/>
      <c r="FU177"/>
      <c r="FV177"/>
      <c r="FW177"/>
      <c r="FX177"/>
      <c r="FY177"/>
      <c r="FZ177"/>
      <c r="GA177"/>
      <c r="GB177"/>
      <c r="GC177"/>
      <c r="GD177"/>
      <c r="GE177"/>
      <c r="GF177"/>
      <c r="GG177"/>
      <c r="GH177"/>
      <c r="GI177"/>
      <c r="GJ177"/>
      <c r="GK177"/>
      <c r="GL177"/>
      <c r="GM177"/>
      <c r="GN177"/>
      <c r="GO177"/>
      <c r="GP177"/>
      <c r="GQ177"/>
      <c r="GR177"/>
      <c r="GS177"/>
      <c r="GT177"/>
      <c r="GU177"/>
      <c r="GV177"/>
      <c r="GW177"/>
      <c r="GX177"/>
    </row>
    <row r="178" spans="1:206" hidden="1">
      <c r="C178" s="308" t="s">
        <v>510</v>
      </c>
      <c r="D178" s="309"/>
      <c r="E178" s="309"/>
      <c r="F178" s="309"/>
      <c r="G178" s="309"/>
      <c r="H178" s="309"/>
      <c r="I178" s="309"/>
      <c r="J178" s="309"/>
      <c r="K178" s="309"/>
      <c r="L178" s="309"/>
      <c r="M178" s="309"/>
      <c r="N178" s="309"/>
      <c r="O178" s="309"/>
      <c r="P178" s="309"/>
      <c r="Q178" s="309"/>
      <c r="R178" s="309"/>
      <c r="S178" s="310"/>
      <c r="T178" s="267">
        <v>0</v>
      </c>
      <c r="U178" s="268"/>
      <c r="V178" s="268"/>
      <c r="W178" s="268"/>
      <c r="X178" s="268"/>
      <c r="Y178" s="268"/>
      <c r="Z178" s="268"/>
      <c r="AA178" s="268"/>
      <c r="AB178" s="268"/>
      <c r="AC178" s="269"/>
      <c r="AD178" s="267">
        <v>0</v>
      </c>
      <c r="AE178" s="268"/>
      <c r="AF178" s="268"/>
      <c r="AG178" s="268"/>
      <c r="AH178" s="268"/>
      <c r="AI178" s="268"/>
      <c r="AJ178" s="268"/>
      <c r="AK178" s="268"/>
      <c r="AL178" s="268"/>
      <c r="AM178" s="269"/>
      <c r="AN178" s="267">
        <f t="shared" si="10"/>
        <v>0</v>
      </c>
      <c r="AO178" s="268"/>
      <c r="AP178" s="268"/>
      <c r="AQ178" s="268"/>
      <c r="AR178" s="268"/>
      <c r="AS178" s="268"/>
      <c r="AT178" s="268"/>
      <c r="AU178" s="268"/>
      <c r="AV178" s="268"/>
      <c r="AW178" s="269"/>
      <c r="AX178" s="22"/>
      <c r="AY178" s="308" t="s">
        <v>510</v>
      </c>
      <c r="AZ178" s="309"/>
      <c r="BA178" s="309"/>
      <c r="BB178" s="309"/>
      <c r="BC178" s="309"/>
      <c r="BD178" s="309"/>
      <c r="BE178" s="309"/>
      <c r="BF178" s="309"/>
      <c r="BG178" s="309"/>
      <c r="BH178" s="309"/>
      <c r="BI178" s="309"/>
      <c r="BJ178" s="309"/>
      <c r="BK178" s="309"/>
      <c r="BL178" s="309"/>
      <c r="BM178" s="309"/>
      <c r="BN178" s="309"/>
      <c r="BO178" s="310"/>
      <c r="BP178" s="267"/>
      <c r="BQ178" s="268"/>
      <c r="BR178" s="268"/>
      <c r="BS178" s="268"/>
      <c r="BT178" s="268"/>
      <c r="BU178" s="268"/>
      <c r="BV178" s="268"/>
      <c r="BW178" s="268"/>
      <c r="BX178" s="268"/>
      <c r="BY178" s="269"/>
      <c r="BZ178" s="267"/>
      <c r="CA178" s="268"/>
      <c r="CB178" s="268"/>
      <c r="CC178" s="268"/>
      <c r="CD178" s="268"/>
      <c r="CE178" s="268"/>
      <c r="CF178" s="268"/>
      <c r="CG178" s="268"/>
      <c r="CH178" s="268"/>
      <c r="CI178" s="269"/>
      <c r="CJ178" s="267">
        <f t="shared" si="11"/>
        <v>0</v>
      </c>
      <c r="CK178" s="268"/>
      <c r="CL178" s="268"/>
      <c r="CM178" s="268"/>
      <c r="CN178" s="268"/>
      <c r="CO178" s="268"/>
      <c r="CP178" s="268"/>
      <c r="CQ178" s="268"/>
      <c r="CR178" s="268"/>
      <c r="CS178" s="269"/>
    </row>
    <row r="179" spans="1:206" hidden="1">
      <c r="C179" s="43"/>
      <c r="D179" s="36" t="str">
        <f>IF(AN176=0,C176&amp;" -","")</f>
        <v/>
      </c>
      <c r="E179" s="42"/>
      <c r="F179" s="42"/>
      <c r="G179" s="42"/>
      <c r="H179" s="42"/>
      <c r="I179" s="42"/>
      <c r="J179" s="42"/>
      <c r="K179" s="42"/>
      <c r="L179" s="42"/>
      <c r="M179" s="42"/>
      <c r="N179" s="42"/>
      <c r="O179" s="42"/>
      <c r="P179" s="1"/>
      <c r="Q179" s="42"/>
      <c r="R179" s="41" t="s">
        <v>275</v>
      </c>
      <c r="S179" s="40"/>
      <c r="T179" s="267">
        <f>SUMIFS('Adv. Filter'!$CH$1:$CH$50000,'Adv. Filter'!$CD$1:$CD$50000,"Mahesh",'Adv. Filter'!$CE$1:$CE$50000,$C176,'Adv. Filter'!$CC$1:$CC$50000,"Suspense",'Adv. Filter'!$CF$1:$CF$50000,"Cash")</f>
        <v>0</v>
      </c>
      <c r="U179" s="268"/>
      <c r="V179" s="268"/>
      <c r="W179" s="268"/>
      <c r="X179" s="268"/>
      <c r="Y179" s="268"/>
      <c r="Z179" s="268"/>
      <c r="AA179" s="268"/>
      <c r="AB179" s="268"/>
      <c r="AC179" s="269"/>
      <c r="AD179" s="267">
        <f>SUMIFS('Adv. Filter'!$CH$1:$CH$50000,'Adv. Filter'!$CD$1:$CD$50000,"Mahesh",'Adv. Filter'!$CE$1:$CE$50000,$C176,'Adv. Filter'!$CC$1:$CC$50000,"Suspense",'Adv. Filter'!$CF$1:$CF$50000,"Bank")</f>
        <v>0</v>
      </c>
      <c r="AE179" s="268"/>
      <c r="AF179" s="268"/>
      <c r="AG179" s="268"/>
      <c r="AH179" s="268"/>
      <c r="AI179" s="268"/>
      <c r="AJ179" s="268"/>
      <c r="AK179" s="268"/>
      <c r="AL179" s="268"/>
      <c r="AM179" s="269"/>
      <c r="AN179" s="267">
        <f t="shared" si="10"/>
        <v>0</v>
      </c>
      <c r="AO179" s="268"/>
      <c r="AP179" s="268"/>
      <c r="AQ179" s="268"/>
      <c r="AR179" s="268"/>
      <c r="AS179" s="268"/>
      <c r="AT179" s="268"/>
      <c r="AU179" s="268"/>
      <c r="AV179" s="268"/>
      <c r="AW179" s="269"/>
      <c r="AX179" s="22"/>
      <c r="AY179" s="43"/>
      <c r="AZ179" s="36" t="str">
        <f>IF(CJ176=0,AY176&amp;" -","")</f>
        <v>SBI -</v>
      </c>
      <c r="BA179" s="42"/>
      <c r="BB179" s="42"/>
      <c r="BC179" s="42"/>
      <c r="BD179" s="42"/>
      <c r="BE179" s="42"/>
      <c r="BF179" s="42"/>
      <c r="BG179" s="42"/>
      <c r="BH179" s="42"/>
      <c r="BI179" s="42"/>
      <c r="BJ179" s="42"/>
      <c r="BK179" s="42"/>
      <c r="BL179" s="1"/>
      <c r="BM179" s="42"/>
      <c r="BN179" s="41" t="s">
        <v>275</v>
      </c>
      <c r="BO179" s="40"/>
      <c r="BP179" s="267"/>
      <c r="BQ179" s="268"/>
      <c r="BR179" s="268"/>
      <c r="BS179" s="268"/>
      <c r="BT179" s="268"/>
      <c r="BU179" s="268"/>
      <c r="BV179" s="268"/>
      <c r="BW179" s="268"/>
      <c r="BX179" s="268"/>
      <c r="BY179" s="269"/>
      <c r="BZ179" s="267"/>
      <c r="CA179" s="268"/>
      <c r="CB179" s="268"/>
      <c r="CC179" s="268"/>
      <c r="CD179" s="268"/>
      <c r="CE179" s="268"/>
      <c r="CF179" s="268"/>
      <c r="CG179" s="268"/>
      <c r="CH179" s="268"/>
      <c r="CI179" s="269"/>
      <c r="CJ179" s="267">
        <f t="shared" si="11"/>
        <v>0</v>
      </c>
      <c r="CK179" s="268"/>
      <c r="CL179" s="268"/>
      <c r="CM179" s="268"/>
      <c r="CN179" s="268"/>
      <c r="CO179" s="268"/>
      <c r="CP179" s="268"/>
      <c r="CQ179" s="268"/>
      <c r="CR179" s="268"/>
      <c r="CS179" s="269"/>
    </row>
    <row r="180" spans="1:206" s="44" customFormat="1" hidden="1">
      <c r="C180" s="293" t="s">
        <v>551</v>
      </c>
      <c r="D180" s="294"/>
      <c r="E180" s="294"/>
      <c r="F180" s="294"/>
      <c r="G180" s="294"/>
      <c r="H180" s="294"/>
      <c r="I180" s="294"/>
      <c r="J180" s="294"/>
      <c r="K180" s="294"/>
      <c r="L180" s="294"/>
      <c r="M180" s="294"/>
      <c r="N180" s="294"/>
      <c r="O180" s="294"/>
      <c r="P180" s="294"/>
      <c r="Q180" s="294"/>
      <c r="R180" s="294"/>
      <c r="S180" s="295"/>
      <c r="T180" s="276">
        <f>SUMIFS('Adv. Filter'!$BJ$1:$BJ$50000,'Adv. Filter'!$BT$1:$BT$50000,"Mahesh",'Adv. Filter'!$BQ$1:$BQ$50000,$C180,'Adv. Filter'!$BH$1:$BH$50000,"Cash",'Adv. Filter'!$BO$1:$BO$50000,'Adv. Filter'!$A$14,'Adv. Filter'!$BO$1:$BO$50000,'Adv. Filter'!$B$14)</f>
        <v>0</v>
      </c>
      <c r="U180" s="277"/>
      <c r="V180" s="277"/>
      <c r="W180" s="277"/>
      <c r="X180" s="277"/>
      <c r="Y180" s="277"/>
      <c r="Z180" s="277"/>
      <c r="AA180" s="277"/>
      <c r="AB180" s="277"/>
      <c r="AC180" s="278"/>
      <c r="AD180" s="276">
        <f>SUMIFS('Adv. Filter'!$BJ$1:$BJ$50000,'Adv. Filter'!$BT$1:$BT$50000,"Mahesh",'Adv. Filter'!$BQ$1:$BQ$50000,$C180,'Adv. Filter'!$BH$1:$BH$50000,"Bank",'Adv. Filter'!$BO$1:$BO$50000,'Adv. Filter'!$A$14,'Adv. Filter'!$BO$1:$BO$50000,'Adv. Filter'!$B$14)</f>
        <v>0</v>
      </c>
      <c r="AE180" s="277"/>
      <c r="AF180" s="277"/>
      <c r="AG180" s="277"/>
      <c r="AH180" s="277"/>
      <c r="AI180" s="277"/>
      <c r="AJ180" s="277"/>
      <c r="AK180" s="277"/>
      <c r="AL180" s="277"/>
      <c r="AM180" s="278"/>
      <c r="AN180" s="276">
        <f t="shared" ref="AN180:AN215" si="12">T180+AD180</f>
        <v>0</v>
      </c>
      <c r="AO180" s="277"/>
      <c r="AP180" s="277"/>
      <c r="AQ180" s="277"/>
      <c r="AR180" s="277"/>
      <c r="AS180" s="277"/>
      <c r="AT180" s="277"/>
      <c r="AU180" s="277"/>
      <c r="AV180" s="277"/>
      <c r="AW180" s="278"/>
      <c r="AX180" s="45"/>
      <c r="AY180" s="293" t="s">
        <v>551</v>
      </c>
      <c r="AZ180" s="294"/>
      <c r="BA180" s="294"/>
      <c r="BB180" s="294"/>
      <c r="BC180" s="294"/>
      <c r="BD180" s="294"/>
      <c r="BE180" s="294"/>
      <c r="BF180" s="294"/>
      <c r="BG180" s="294"/>
      <c r="BH180" s="294"/>
      <c r="BI180" s="294"/>
      <c r="BJ180" s="294"/>
      <c r="BK180" s="294"/>
      <c r="BL180" s="294"/>
      <c r="BM180" s="294"/>
      <c r="BN180" s="294"/>
      <c r="BO180" s="295"/>
      <c r="BP180" s="276">
        <f>SUMIFS('Adv. Filter'!$BJ$1:$BJ$50000,'Adv. Filter'!$BT$1:$BT$50000,"Mahesh",'Adv. Filter'!$BQ$1:$BQ$50000,$AY180,'Adv. Filter'!$BH$1:$BH$50000,"Cash",'Adv. Filter'!$BO$1:$BO$50000,"&lt;"&amp;'Adv. Filter'!$A$15)</f>
        <v>0</v>
      </c>
      <c r="BQ180" s="277"/>
      <c r="BR180" s="277"/>
      <c r="BS180" s="277"/>
      <c r="BT180" s="277"/>
      <c r="BU180" s="277"/>
      <c r="BV180" s="277"/>
      <c r="BW180" s="277"/>
      <c r="BX180" s="277"/>
      <c r="BY180" s="278"/>
      <c r="BZ180" s="276">
        <f>SUMIFS('Adv. Filter'!$BJ$1:$BJ$50000,'Adv. Filter'!$BT$1:$BT$50000,"Mahesh",'Adv. Filter'!$BQ$1:$BQ$50000,$AY180,'Adv. Filter'!$BH$1:$BH$50000,"Bank",'Adv. Filter'!$BO$1:$BO$50000,"&lt;"&amp;'Adv. Filter'!$A$15)</f>
        <v>0</v>
      </c>
      <c r="CA180" s="277"/>
      <c r="CB180" s="277"/>
      <c r="CC180" s="277"/>
      <c r="CD180" s="277"/>
      <c r="CE180" s="277"/>
      <c r="CF180" s="277"/>
      <c r="CG180" s="277"/>
      <c r="CH180" s="277"/>
      <c r="CI180" s="278"/>
      <c r="CJ180" s="276">
        <f t="shared" ref="CJ180:CJ215" si="13">BP180+BZ180</f>
        <v>0</v>
      </c>
      <c r="CK180" s="277"/>
      <c r="CL180" s="277"/>
      <c r="CM180" s="277"/>
      <c r="CN180" s="277"/>
      <c r="CO180" s="277"/>
      <c r="CP180" s="277"/>
      <c r="CQ180" s="277"/>
      <c r="CR180" s="277"/>
      <c r="CS180" s="278"/>
      <c r="DR180"/>
      <c r="DS180"/>
      <c r="DT180"/>
      <c r="DU180"/>
      <c r="DV180"/>
      <c r="DW180"/>
      <c r="DX180"/>
      <c r="DY180"/>
      <c r="DZ180"/>
      <c r="EA180"/>
      <c r="EB180"/>
      <c r="EC180"/>
      <c r="ED180"/>
      <c r="EE180"/>
      <c r="EF180"/>
      <c r="EG180"/>
      <c r="EH180"/>
      <c r="EI180"/>
      <c r="EJ180"/>
      <c r="EK180"/>
      <c r="EL180"/>
      <c r="EM180"/>
      <c r="EN180"/>
      <c r="EO180"/>
      <c r="EP180"/>
      <c r="EQ180"/>
      <c r="ER180"/>
      <c r="ES180"/>
      <c r="ET180"/>
      <c r="EU180"/>
      <c r="EV180"/>
      <c r="EW180"/>
      <c r="EX180"/>
      <c r="EY180"/>
      <c r="EZ180"/>
      <c r="FA180"/>
      <c r="FB180"/>
      <c r="FC180"/>
      <c r="FD180"/>
      <c r="FE180"/>
      <c r="FF180"/>
      <c r="FG180"/>
      <c r="FH180"/>
      <c r="FI180"/>
      <c r="FJ180"/>
      <c r="FK180"/>
      <c r="FL180"/>
      <c r="FM180"/>
      <c r="FN180"/>
      <c r="FO180"/>
      <c r="FP180"/>
      <c r="FQ180"/>
      <c r="FR180"/>
      <c r="FS180"/>
      <c r="FT180"/>
      <c r="FU180"/>
      <c r="FV180"/>
      <c r="FW180"/>
      <c r="FX180"/>
      <c r="FY180"/>
      <c r="FZ180"/>
      <c r="GA180"/>
      <c r="GB180"/>
      <c r="GC180"/>
      <c r="GD180"/>
      <c r="GE180"/>
      <c r="GF180"/>
      <c r="GG180"/>
      <c r="GH180"/>
      <c r="GI180"/>
      <c r="GJ180"/>
      <c r="GK180"/>
      <c r="GL180"/>
      <c r="GM180"/>
      <c r="GN180"/>
      <c r="GO180"/>
      <c r="GP180"/>
      <c r="GQ180"/>
      <c r="GR180"/>
      <c r="GS180"/>
      <c r="GT180"/>
      <c r="GU180"/>
      <c r="GV180"/>
      <c r="GW180"/>
      <c r="GX180"/>
    </row>
    <row r="181" spans="1:206" hidden="1">
      <c r="C181" s="308" t="s">
        <v>115</v>
      </c>
      <c r="D181" s="309"/>
      <c r="E181" s="309"/>
      <c r="F181" s="309"/>
      <c r="G181" s="309"/>
      <c r="H181" s="309"/>
      <c r="I181" s="309"/>
      <c r="J181" s="309"/>
      <c r="K181" s="309"/>
      <c r="L181" s="309"/>
      <c r="M181" s="309"/>
      <c r="N181" s="309"/>
      <c r="O181" s="309"/>
      <c r="P181" s="309"/>
      <c r="Q181" s="309"/>
      <c r="R181" s="309"/>
      <c r="S181" s="310"/>
      <c r="T181" s="267">
        <f>SUMIFS('Adv. Filter'!$BJ$1:$BJ$50000,'Adv. Filter'!$BT$1:$BT$50000,"Mahesh",'Adv. Filter'!$BQ$1:$BQ$50000,$C180,'Adv. Filter'!$BH$1:$BH$50000,"Cash",'Adv. Filter'!$BO$1:$BO$50000,'Adv. Filter'!$A$14,'Adv. Filter'!$BO$1:$BO$50000,'Adv. Filter'!$B$14,'Adv. Filter'!$BP$1:$BP$50000,"Project")</f>
        <v>0</v>
      </c>
      <c r="U181" s="268"/>
      <c r="V181" s="268"/>
      <c r="W181" s="268"/>
      <c r="X181" s="268"/>
      <c r="Y181" s="268"/>
      <c r="Z181" s="268"/>
      <c r="AA181" s="268"/>
      <c r="AB181" s="268"/>
      <c r="AC181" s="269"/>
      <c r="AD181" s="267">
        <f>SUMIFS('Adv. Filter'!$BJ$1:$BJ$50000,'Adv. Filter'!$BT$1:$BT$50000,"Mahesh",'Adv. Filter'!$BQ$1:$BQ$50000,$C180,'Adv. Filter'!$BH$1:$BH$50000,"Bank",'Adv. Filter'!$BO$1:$BO$50000,'Adv. Filter'!$A$14,'Adv. Filter'!$BO$1:$BO$50000,'Adv. Filter'!$B$14,'Adv. Filter'!$BP$1:$BP$50000,"Project")</f>
        <v>0</v>
      </c>
      <c r="AE181" s="268"/>
      <c r="AF181" s="268"/>
      <c r="AG181" s="268"/>
      <c r="AH181" s="268"/>
      <c r="AI181" s="268"/>
      <c r="AJ181" s="268"/>
      <c r="AK181" s="268"/>
      <c r="AL181" s="268"/>
      <c r="AM181" s="269"/>
      <c r="AN181" s="267">
        <f t="shared" si="12"/>
        <v>0</v>
      </c>
      <c r="AO181" s="268"/>
      <c r="AP181" s="268"/>
      <c r="AQ181" s="268"/>
      <c r="AR181" s="268"/>
      <c r="AS181" s="268"/>
      <c r="AT181" s="268"/>
      <c r="AU181" s="268"/>
      <c r="AV181" s="268"/>
      <c r="AW181" s="269"/>
      <c r="AX181" s="22"/>
      <c r="AY181" s="308" t="s">
        <v>115</v>
      </c>
      <c r="AZ181" s="309"/>
      <c r="BA181" s="309"/>
      <c r="BB181" s="309"/>
      <c r="BC181" s="309"/>
      <c r="BD181" s="309"/>
      <c r="BE181" s="309"/>
      <c r="BF181" s="309"/>
      <c r="BG181" s="309"/>
      <c r="BH181" s="309"/>
      <c r="BI181" s="309"/>
      <c r="BJ181" s="309"/>
      <c r="BK181" s="309"/>
      <c r="BL181" s="309"/>
      <c r="BM181" s="309"/>
      <c r="BN181" s="309"/>
      <c r="BO181" s="310"/>
      <c r="BP181" s="267">
        <f>SUMIFS('Adv. Filter'!$BJ$1:$BJ$50000,'Adv. Filter'!$BT$1:$BT$50000,"Mahesh",'Adv. Filter'!$BQ$1:$BQ$50000,$AY180,'Adv. Filter'!$BH$1:$BH$50000,"Cash",'Adv. Filter'!$BO$1:$BO$50000,"&lt;"&amp;'Adv. Filter'!$A$15,'Adv. Filter'!$BP$1:$BP$50000,"Project")</f>
        <v>0</v>
      </c>
      <c r="BQ181" s="268"/>
      <c r="BR181" s="268"/>
      <c r="BS181" s="268"/>
      <c r="BT181" s="268"/>
      <c r="BU181" s="268"/>
      <c r="BV181" s="268"/>
      <c r="BW181" s="268"/>
      <c r="BX181" s="268"/>
      <c r="BY181" s="269"/>
      <c r="BZ181" s="267">
        <f>SUMIFS('Adv. Filter'!$BJ$1:$BJ$50000,'Adv. Filter'!$BT$1:$BT$50000,"Mahesh",'Adv. Filter'!$BQ$1:$BQ$50000,$AY180,'Adv. Filter'!$BH$1:$BH$50000,"Bank",'Adv. Filter'!$BO$1:$BO$50000,"&lt;"&amp;'Adv. Filter'!$A$15,'Adv. Filter'!$BP$1:$BP$50000,"Project")</f>
        <v>0</v>
      </c>
      <c r="CA181" s="268"/>
      <c r="CB181" s="268"/>
      <c r="CC181" s="268"/>
      <c r="CD181" s="268"/>
      <c r="CE181" s="268"/>
      <c r="CF181" s="268"/>
      <c r="CG181" s="268"/>
      <c r="CH181" s="268"/>
      <c r="CI181" s="269"/>
      <c r="CJ181" s="267">
        <f t="shared" si="13"/>
        <v>0</v>
      </c>
      <c r="CK181" s="268"/>
      <c r="CL181" s="268"/>
      <c r="CM181" s="268"/>
      <c r="CN181" s="268"/>
      <c r="CO181" s="268"/>
      <c r="CP181" s="268"/>
      <c r="CQ181" s="268"/>
      <c r="CR181" s="268"/>
      <c r="CS181" s="269"/>
    </row>
    <row r="182" spans="1:206" hidden="1">
      <c r="C182" s="308" t="s">
        <v>510</v>
      </c>
      <c r="D182" s="309"/>
      <c r="E182" s="309"/>
      <c r="F182" s="309"/>
      <c r="G182" s="309"/>
      <c r="H182" s="309"/>
      <c r="I182" s="309"/>
      <c r="J182" s="309"/>
      <c r="K182" s="309"/>
      <c r="L182" s="309"/>
      <c r="M182" s="309"/>
      <c r="N182" s="309"/>
      <c r="O182" s="309"/>
      <c r="P182" s="309"/>
      <c r="Q182" s="309"/>
      <c r="R182" s="309"/>
      <c r="S182" s="310"/>
      <c r="T182" s="267">
        <v>0</v>
      </c>
      <c r="U182" s="268"/>
      <c r="V182" s="268"/>
      <c r="W182" s="268"/>
      <c r="X182" s="268"/>
      <c r="Y182" s="268"/>
      <c r="Z182" s="268"/>
      <c r="AA182" s="268"/>
      <c r="AB182" s="268"/>
      <c r="AC182" s="269"/>
      <c r="AD182" s="267">
        <v>0</v>
      </c>
      <c r="AE182" s="268"/>
      <c r="AF182" s="268"/>
      <c r="AG182" s="268"/>
      <c r="AH182" s="268"/>
      <c r="AI182" s="268"/>
      <c r="AJ182" s="268"/>
      <c r="AK182" s="268"/>
      <c r="AL182" s="268"/>
      <c r="AM182" s="269"/>
      <c r="AN182" s="267">
        <f t="shared" si="12"/>
        <v>0</v>
      </c>
      <c r="AO182" s="268"/>
      <c r="AP182" s="268"/>
      <c r="AQ182" s="268"/>
      <c r="AR182" s="268"/>
      <c r="AS182" s="268"/>
      <c r="AT182" s="268"/>
      <c r="AU182" s="268"/>
      <c r="AV182" s="268"/>
      <c r="AW182" s="269"/>
      <c r="AX182" s="22"/>
      <c r="AY182" s="308" t="s">
        <v>510</v>
      </c>
      <c r="AZ182" s="309"/>
      <c r="BA182" s="309"/>
      <c r="BB182" s="309"/>
      <c r="BC182" s="309"/>
      <c r="BD182" s="309"/>
      <c r="BE182" s="309"/>
      <c r="BF182" s="309"/>
      <c r="BG182" s="309"/>
      <c r="BH182" s="309"/>
      <c r="BI182" s="309"/>
      <c r="BJ182" s="309"/>
      <c r="BK182" s="309"/>
      <c r="BL182" s="309"/>
      <c r="BM182" s="309"/>
      <c r="BN182" s="309"/>
      <c r="BO182" s="310"/>
      <c r="BP182" s="267"/>
      <c r="BQ182" s="268"/>
      <c r="BR182" s="268"/>
      <c r="BS182" s="268"/>
      <c r="BT182" s="268"/>
      <c r="BU182" s="268"/>
      <c r="BV182" s="268"/>
      <c r="BW182" s="268"/>
      <c r="BX182" s="268"/>
      <c r="BY182" s="269"/>
      <c r="BZ182" s="267"/>
      <c r="CA182" s="268"/>
      <c r="CB182" s="268"/>
      <c r="CC182" s="268"/>
      <c r="CD182" s="268"/>
      <c r="CE182" s="268"/>
      <c r="CF182" s="268"/>
      <c r="CG182" s="268"/>
      <c r="CH182" s="268"/>
      <c r="CI182" s="269"/>
      <c r="CJ182" s="267">
        <f t="shared" si="13"/>
        <v>0</v>
      </c>
      <c r="CK182" s="268"/>
      <c r="CL182" s="268"/>
      <c r="CM182" s="268"/>
      <c r="CN182" s="268"/>
      <c r="CO182" s="268"/>
      <c r="CP182" s="268"/>
      <c r="CQ182" s="268"/>
      <c r="CR182" s="268"/>
      <c r="CS182" s="269"/>
    </row>
    <row r="183" spans="1:206" hidden="1">
      <c r="A183" s="44"/>
      <c r="B183" s="44"/>
      <c r="C183" s="293" t="s">
        <v>121</v>
      </c>
      <c r="D183" s="294"/>
      <c r="E183" s="294"/>
      <c r="F183" s="294"/>
      <c r="G183" s="294"/>
      <c r="H183" s="294"/>
      <c r="I183" s="294"/>
      <c r="J183" s="294"/>
      <c r="K183" s="294"/>
      <c r="L183" s="294"/>
      <c r="M183" s="294"/>
      <c r="N183" s="294"/>
      <c r="O183" s="294"/>
      <c r="P183" s="294"/>
      <c r="Q183" s="294"/>
      <c r="R183" s="294"/>
      <c r="S183" s="295"/>
      <c r="T183" s="276">
        <f>SUMIFS('Adv. Filter'!$BJ$1:$BJ$50000,'Adv. Filter'!$BT$1:$BT$50000,"Mahesh",'Adv. Filter'!$BQ$1:$BQ$50000,$C183,'Adv. Filter'!$BH$1:$BH$50000,"Cash",'Adv. Filter'!$BO$1:$BO$50000,'Adv. Filter'!$A$14,'Adv. Filter'!$BO$1:$BO$50000,'Adv. Filter'!$B$14)</f>
        <v>0</v>
      </c>
      <c r="U183" s="277"/>
      <c r="V183" s="277"/>
      <c r="W183" s="277"/>
      <c r="X183" s="277"/>
      <c r="Y183" s="277"/>
      <c r="Z183" s="277"/>
      <c r="AA183" s="277"/>
      <c r="AB183" s="277"/>
      <c r="AC183" s="278"/>
      <c r="AD183" s="276">
        <f>SUMIFS('Adv. Filter'!$BJ$1:$BJ$50000,'Adv. Filter'!$BT$1:$BT$50000,"Mahesh",'Adv. Filter'!$BQ$1:$BQ$50000,$C183,'Adv. Filter'!$BH$1:$BH$50000,"Bank",'Adv. Filter'!$BO$1:$BO$50000,'Adv. Filter'!$A$14,'Adv. Filter'!$BO$1:$BO$50000,'Adv. Filter'!$B$14)</f>
        <v>4500</v>
      </c>
      <c r="AE183" s="277"/>
      <c r="AF183" s="277"/>
      <c r="AG183" s="277"/>
      <c r="AH183" s="277"/>
      <c r="AI183" s="277"/>
      <c r="AJ183" s="277"/>
      <c r="AK183" s="277"/>
      <c r="AL183" s="277"/>
      <c r="AM183" s="278"/>
      <c r="AN183" s="276">
        <f t="shared" si="12"/>
        <v>4500</v>
      </c>
      <c r="AO183" s="277"/>
      <c r="AP183" s="277"/>
      <c r="AQ183" s="277"/>
      <c r="AR183" s="277"/>
      <c r="AS183" s="277"/>
      <c r="AT183" s="277"/>
      <c r="AU183" s="277"/>
      <c r="AV183" s="277"/>
      <c r="AW183" s="278"/>
      <c r="AX183" s="45"/>
      <c r="AY183" s="293" t="s">
        <v>121</v>
      </c>
      <c r="AZ183" s="294"/>
      <c r="BA183" s="294"/>
      <c r="BB183" s="294"/>
      <c r="BC183" s="294"/>
      <c r="BD183" s="294"/>
      <c r="BE183" s="294"/>
      <c r="BF183" s="294"/>
      <c r="BG183" s="294"/>
      <c r="BH183" s="294"/>
      <c r="BI183" s="294"/>
      <c r="BJ183" s="294"/>
      <c r="BK183" s="294"/>
      <c r="BL183" s="294"/>
      <c r="BM183" s="294"/>
      <c r="BN183" s="294"/>
      <c r="BO183" s="295"/>
      <c r="BP183" s="276">
        <f>SUMIFS('Adv. Filter'!$BJ$1:$BJ$50000,'Adv. Filter'!$BT$1:$BT$50000,"Mahesh",'Adv. Filter'!$BQ$1:$BQ$50000,$AY183,'Adv. Filter'!$BH$1:$BH$50000,"Cash",'Adv. Filter'!$BO$1:$BO$50000,"&lt;"&amp;'Adv. Filter'!$A$15)</f>
        <v>0</v>
      </c>
      <c r="BQ183" s="277"/>
      <c r="BR183" s="277"/>
      <c r="BS183" s="277"/>
      <c r="BT183" s="277"/>
      <c r="BU183" s="277"/>
      <c r="BV183" s="277"/>
      <c r="BW183" s="277"/>
      <c r="BX183" s="277"/>
      <c r="BY183" s="278"/>
      <c r="BZ183" s="276">
        <f>SUMIFS('Adv. Filter'!$BJ$1:$BJ$50000,'Adv. Filter'!$BT$1:$BT$50000,"Mahesh",'Adv. Filter'!$BQ$1:$BQ$50000,$AY183,'Adv. Filter'!$BH$1:$BH$50000,"Bank",'Adv. Filter'!$BO$1:$BO$50000,"&lt;"&amp;'Adv. Filter'!$A$15)</f>
        <v>4000</v>
      </c>
      <c r="CA183" s="277"/>
      <c r="CB183" s="277"/>
      <c r="CC183" s="277"/>
      <c r="CD183" s="277"/>
      <c r="CE183" s="277"/>
      <c r="CF183" s="277"/>
      <c r="CG183" s="277"/>
      <c r="CH183" s="277"/>
      <c r="CI183" s="278"/>
      <c r="CJ183" s="276">
        <f t="shared" si="13"/>
        <v>4000</v>
      </c>
      <c r="CK183" s="277"/>
      <c r="CL183" s="277"/>
      <c r="CM183" s="277"/>
      <c r="CN183" s="277"/>
      <c r="CO183" s="277"/>
      <c r="CP183" s="277"/>
      <c r="CQ183" s="277"/>
      <c r="CR183" s="277"/>
      <c r="CS183" s="278"/>
      <c r="CT183" s="44"/>
      <c r="CU183" s="44"/>
      <c r="CV183" s="44"/>
      <c r="CW183" s="44"/>
      <c r="CX183" s="44"/>
      <c r="CY183" s="44"/>
      <c r="CZ183" s="44"/>
    </row>
    <row r="184" spans="1:206" s="44" customFormat="1" hidden="1">
      <c r="A184"/>
      <c r="B184"/>
      <c r="C184" s="308" t="s">
        <v>115</v>
      </c>
      <c r="D184" s="309"/>
      <c r="E184" s="309"/>
      <c r="F184" s="309"/>
      <c r="G184" s="309"/>
      <c r="H184" s="309"/>
      <c r="I184" s="309"/>
      <c r="J184" s="309"/>
      <c r="K184" s="309"/>
      <c r="L184" s="309"/>
      <c r="M184" s="309"/>
      <c r="N184" s="309"/>
      <c r="O184" s="309"/>
      <c r="P184" s="309"/>
      <c r="Q184" s="309"/>
      <c r="R184" s="309"/>
      <c r="S184" s="310"/>
      <c r="T184" s="267">
        <f>SUMIFS('Adv. Filter'!$BJ$1:$BJ$50000,'Adv. Filter'!$BT$1:$BT$50000,"Mahesh",'Adv. Filter'!$BQ$1:$BQ$50000,$C183,'Adv. Filter'!$BH$1:$BH$50000,"Cash",'Adv. Filter'!$BO$1:$BO$50000,'Adv. Filter'!$A$14,'Adv. Filter'!$BO$1:$BO$50000,'Adv. Filter'!$B$14,'Adv. Filter'!$BP$1:$BP$50000,"Project")</f>
        <v>0</v>
      </c>
      <c r="U184" s="268"/>
      <c r="V184" s="268"/>
      <c r="W184" s="268"/>
      <c r="X184" s="268"/>
      <c r="Y184" s="268"/>
      <c r="Z184" s="268"/>
      <c r="AA184" s="268"/>
      <c r="AB184" s="268"/>
      <c r="AC184" s="269"/>
      <c r="AD184" s="267">
        <f>SUMIFS('Adv. Filter'!$BJ$1:$BJ$50000,'Adv. Filter'!$BT$1:$BT$50000,"Mahesh",'Adv. Filter'!$BQ$1:$BQ$50000,$C183,'Adv. Filter'!$BH$1:$BH$50000,"Bank",'Adv. Filter'!$BO$1:$BO$50000,'Adv. Filter'!$A$14,'Adv. Filter'!$BO$1:$BO$50000,'Adv. Filter'!$B$14,'Adv. Filter'!$BP$1:$BP$50000,"Project")</f>
        <v>0</v>
      </c>
      <c r="AE184" s="268"/>
      <c r="AF184" s="268"/>
      <c r="AG184" s="268"/>
      <c r="AH184" s="268"/>
      <c r="AI184" s="268"/>
      <c r="AJ184" s="268"/>
      <c r="AK184" s="268"/>
      <c r="AL184" s="268"/>
      <c r="AM184" s="269"/>
      <c r="AN184" s="267">
        <f t="shared" si="12"/>
        <v>0</v>
      </c>
      <c r="AO184" s="268"/>
      <c r="AP184" s="268"/>
      <c r="AQ184" s="268"/>
      <c r="AR184" s="268"/>
      <c r="AS184" s="268"/>
      <c r="AT184" s="268"/>
      <c r="AU184" s="268"/>
      <c r="AV184" s="268"/>
      <c r="AW184" s="269"/>
      <c r="AX184" s="22"/>
      <c r="AY184" s="308" t="s">
        <v>115</v>
      </c>
      <c r="AZ184" s="309"/>
      <c r="BA184" s="309"/>
      <c r="BB184" s="309"/>
      <c r="BC184" s="309"/>
      <c r="BD184" s="309"/>
      <c r="BE184" s="309"/>
      <c r="BF184" s="309"/>
      <c r="BG184" s="309"/>
      <c r="BH184" s="309"/>
      <c r="BI184" s="309"/>
      <c r="BJ184" s="309"/>
      <c r="BK184" s="309"/>
      <c r="BL184" s="309"/>
      <c r="BM184" s="309"/>
      <c r="BN184" s="309"/>
      <c r="BO184" s="310"/>
      <c r="BP184" s="267">
        <f>SUMIFS('Adv. Filter'!$BJ$1:$BJ$50000,'Adv. Filter'!$BT$1:$BT$50000,"Mahesh",'Adv. Filter'!$BQ$1:$BQ$50000,$AY183,'Adv. Filter'!$BH$1:$BH$50000,"Cash",'Adv. Filter'!$BO$1:$BO$50000,"&lt;"&amp;'Adv. Filter'!$A$15,'Adv. Filter'!$BP$1:$BP$50000,"Project")</f>
        <v>0</v>
      </c>
      <c r="BQ184" s="268"/>
      <c r="BR184" s="268"/>
      <c r="BS184" s="268"/>
      <c r="BT184" s="268"/>
      <c r="BU184" s="268"/>
      <c r="BV184" s="268"/>
      <c r="BW184" s="268"/>
      <c r="BX184" s="268"/>
      <c r="BY184" s="269"/>
      <c r="BZ184" s="267">
        <f>SUMIFS('Adv. Filter'!$BJ$1:$BJ$50000,'Adv. Filter'!$BT$1:$BT$50000,"Mahesh",'Adv. Filter'!$BQ$1:$BQ$50000,$AY183,'Adv. Filter'!$BH$1:$BH$50000,"Bank",'Adv. Filter'!$BO$1:$BO$50000,"&lt;"&amp;'Adv. Filter'!$A$15,'Adv. Filter'!$BP$1:$BP$50000,"Project")</f>
        <v>0</v>
      </c>
      <c r="CA184" s="268"/>
      <c r="CB184" s="268"/>
      <c r="CC184" s="268"/>
      <c r="CD184" s="268"/>
      <c r="CE184" s="268"/>
      <c r="CF184" s="268"/>
      <c r="CG184" s="268"/>
      <c r="CH184" s="268"/>
      <c r="CI184" s="269"/>
      <c r="CJ184" s="267">
        <f t="shared" si="13"/>
        <v>0</v>
      </c>
      <c r="CK184" s="268"/>
      <c r="CL184" s="268"/>
      <c r="CM184" s="268"/>
      <c r="CN184" s="268"/>
      <c r="CO184" s="268"/>
      <c r="CP184" s="268"/>
      <c r="CQ184" s="268"/>
      <c r="CR184" s="268"/>
      <c r="CS184" s="269"/>
      <c r="CT184"/>
      <c r="CU184"/>
      <c r="CV184"/>
      <c r="CW184"/>
      <c r="CX184"/>
      <c r="CY184"/>
      <c r="CZ184"/>
      <c r="DR184"/>
      <c r="DS184"/>
      <c r="DT184"/>
      <c r="DU184"/>
      <c r="DV184"/>
      <c r="DW184"/>
      <c r="DX184"/>
      <c r="DY184"/>
      <c r="DZ184"/>
      <c r="EA184"/>
      <c r="EB184"/>
      <c r="EC184"/>
      <c r="ED184"/>
      <c r="EE184"/>
      <c r="EF184"/>
      <c r="EG184"/>
      <c r="EH184"/>
      <c r="EI184"/>
      <c r="EJ184"/>
      <c r="EK184"/>
      <c r="EL184"/>
      <c r="EM184"/>
      <c r="EN184"/>
      <c r="EO184"/>
      <c r="EP184"/>
      <c r="EQ184"/>
      <c r="ER184"/>
      <c r="ES184"/>
      <c r="ET184"/>
      <c r="EU184"/>
      <c r="EV184"/>
      <c r="EW184"/>
      <c r="EX184"/>
      <c r="EY184"/>
      <c r="EZ184"/>
      <c r="FA184"/>
      <c r="FB184"/>
      <c r="FC184"/>
      <c r="FD184"/>
      <c r="FE184"/>
      <c r="FF184"/>
      <c r="FG184"/>
      <c r="FH184"/>
      <c r="FI184"/>
      <c r="FJ184"/>
      <c r="FK184"/>
      <c r="FL184"/>
      <c r="FM184"/>
      <c r="FN184"/>
      <c r="FO184"/>
      <c r="FP184"/>
      <c r="FQ184"/>
      <c r="FR184"/>
      <c r="FS184"/>
      <c r="FT184"/>
      <c r="FU184"/>
      <c r="FV184"/>
      <c r="FW184"/>
      <c r="FX184"/>
      <c r="FY184"/>
      <c r="FZ184"/>
      <c r="GA184"/>
      <c r="GB184"/>
      <c r="GC184"/>
      <c r="GD184"/>
      <c r="GE184"/>
      <c r="GF184"/>
      <c r="GG184"/>
      <c r="GH184"/>
      <c r="GI184"/>
      <c r="GJ184"/>
      <c r="GK184"/>
      <c r="GL184"/>
      <c r="GM184"/>
      <c r="GN184"/>
      <c r="GO184"/>
      <c r="GP184"/>
      <c r="GQ184"/>
      <c r="GR184"/>
      <c r="GS184"/>
      <c r="GT184"/>
      <c r="GU184"/>
      <c r="GV184"/>
      <c r="GW184"/>
      <c r="GX184"/>
    </row>
    <row r="185" spans="1:206" hidden="1">
      <c r="C185" s="308" t="s">
        <v>510</v>
      </c>
      <c r="D185" s="309"/>
      <c r="E185" s="309"/>
      <c r="F185" s="309"/>
      <c r="G185" s="309"/>
      <c r="H185" s="309"/>
      <c r="I185" s="309"/>
      <c r="J185" s="309"/>
      <c r="K185" s="309"/>
      <c r="L185" s="309"/>
      <c r="M185" s="309"/>
      <c r="N185" s="309"/>
      <c r="O185" s="309"/>
      <c r="P185" s="309"/>
      <c r="Q185" s="309"/>
      <c r="R185" s="309"/>
      <c r="S185" s="310"/>
      <c r="T185" s="267">
        <v>0</v>
      </c>
      <c r="U185" s="268"/>
      <c r="V185" s="268"/>
      <c r="W185" s="268"/>
      <c r="X185" s="268"/>
      <c r="Y185" s="268"/>
      <c r="Z185" s="268"/>
      <c r="AA185" s="268"/>
      <c r="AB185" s="268"/>
      <c r="AC185" s="269"/>
      <c r="AD185" s="267">
        <v>0</v>
      </c>
      <c r="AE185" s="268"/>
      <c r="AF185" s="268"/>
      <c r="AG185" s="268"/>
      <c r="AH185" s="268"/>
      <c r="AI185" s="268"/>
      <c r="AJ185" s="268"/>
      <c r="AK185" s="268"/>
      <c r="AL185" s="268"/>
      <c r="AM185" s="269"/>
      <c r="AN185" s="267">
        <f t="shared" si="12"/>
        <v>0</v>
      </c>
      <c r="AO185" s="268"/>
      <c r="AP185" s="268"/>
      <c r="AQ185" s="268"/>
      <c r="AR185" s="268"/>
      <c r="AS185" s="268"/>
      <c r="AT185" s="268"/>
      <c r="AU185" s="268"/>
      <c r="AV185" s="268"/>
      <c r="AW185" s="269"/>
      <c r="AX185" s="22"/>
      <c r="AY185" s="308" t="s">
        <v>510</v>
      </c>
      <c r="AZ185" s="309"/>
      <c r="BA185" s="309"/>
      <c r="BB185" s="309"/>
      <c r="BC185" s="309"/>
      <c r="BD185" s="309"/>
      <c r="BE185" s="309"/>
      <c r="BF185" s="309"/>
      <c r="BG185" s="309"/>
      <c r="BH185" s="309"/>
      <c r="BI185" s="309"/>
      <c r="BJ185" s="309"/>
      <c r="BK185" s="309"/>
      <c r="BL185" s="309"/>
      <c r="BM185" s="309"/>
      <c r="BN185" s="309"/>
      <c r="BO185" s="310"/>
      <c r="BP185" s="267"/>
      <c r="BQ185" s="268"/>
      <c r="BR185" s="268"/>
      <c r="BS185" s="268"/>
      <c r="BT185" s="268"/>
      <c r="BU185" s="268"/>
      <c r="BV185" s="268"/>
      <c r="BW185" s="268"/>
      <c r="BX185" s="268"/>
      <c r="BY185" s="269"/>
      <c r="BZ185" s="267"/>
      <c r="CA185" s="268"/>
      <c r="CB185" s="268"/>
      <c r="CC185" s="268"/>
      <c r="CD185" s="268"/>
      <c r="CE185" s="268"/>
      <c r="CF185" s="268"/>
      <c r="CG185" s="268"/>
      <c r="CH185" s="268"/>
      <c r="CI185" s="269"/>
      <c r="CJ185" s="267">
        <f t="shared" si="13"/>
        <v>0</v>
      </c>
      <c r="CK185" s="268"/>
      <c r="CL185" s="268"/>
      <c r="CM185" s="268"/>
      <c r="CN185" s="268"/>
      <c r="CO185" s="268"/>
      <c r="CP185" s="268"/>
      <c r="CQ185" s="268"/>
      <c r="CR185" s="268"/>
      <c r="CS185" s="269"/>
    </row>
    <row r="186" spans="1:206" hidden="1">
      <c r="C186" s="43"/>
      <c r="D186" s="36" t="str">
        <f>IF(AN183=0,C183&amp;" -","")</f>
        <v/>
      </c>
      <c r="E186" s="42"/>
      <c r="F186" s="42"/>
      <c r="G186" s="42"/>
      <c r="H186" s="42"/>
      <c r="I186" s="42"/>
      <c r="J186" s="42"/>
      <c r="K186" s="42"/>
      <c r="L186" s="42"/>
      <c r="M186" s="42"/>
      <c r="N186" s="42"/>
      <c r="O186" s="42"/>
      <c r="P186" s="1"/>
      <c r="Q186" s="42"/>
      <c r="R186" s="41" t="s">
        <v>275</v>
      </c>
      <c r="S186" s="40"/>
      <c r="T186" s="267">
        <f>SUMIFS('Adv. Filter'!$CH$1:$CH$50000,'Adv. Filter'!$CD$1:$CD$50000,"Mahesh",'Adv. Filter'!$CE$1:$CE$50000,$C183,'Adv. Filter'!$CC$1:$CC$50000,"Suspense",'Adv. Filter'!$CF$1:$CF$50000,"Cash")</f>
        <v>0</v>
      </c>
      <c r="U186" s="268"/>
      <c r="V186" s="268"/>
      <c r="W186" s="268"/>
      <c r="X186" s="268"/>
      <c r="Y186" s="268"/>
      <c r="Z186" s="268"/>
      <c r="AA186" s="268"/>
      <c r="AB186" s="268"/>
      <c r="AC186" s="269"/>
      <c r="AD186" s="267">
        <f>SUMIFS('Adv. Filter'!$CH$1:$CH$50000,'Adv. Filter'!$CD$1:$CD$50000,"Mahesh",'Adv. Filter'!$CE$1:$CE$50000,$C183,'Adv. Filter'!$CC$1:$CC$50000,"Suspense",'Adv. Filter'!$CF$1:$CF$50000,"Bank")</f>
        <v>10000</v>
      </c>
      <c r="AE186" s="268"/>
      <c r="AF186" s="268"/>
      <c r="AG186" s="268"/>
      <c r="AH186" s="268"/>
      <c r="AI186" s="268"/>
      <c r="AJ186" s="268"/>
      <c r="AK186" s="268"/>
      <c r="AL186" s="268"/>
      <c r="AM186" s="269"/>
      <c r="AN186" s="267">
        <f t="shared" si="12"/>
        <v>10000</v>
      </c>
      <c r="AO186" s="268"/>
      <c r="AP186" s="268"/>
      <c r="AQ186" s="268"/>
      <c r="AR186" s="268"/>
      <c r="AS186" s="268"/>
      <c r="AT186" s="268"/>
      <c r="AU186" s="268"/>
      <c r="AV186" s="268"/>
      <c r="AW186" s="269"/>
      <c r="AX186" s="22"/>
      <c r="AY186" s="43"/>
      <c r="AZ186" s="36" t="str">
        <f>IF(CJ183=0,AY183&amp;" -","")</f>
        <v/>
      </c>
      <c r="BA186" s="42"/>
      <c r="BB186" s="42"/>
      <c r="BC186" s="42"/>
      <c r="BD186" s="42"/>
      <c r="BE186" s="42"/>
      <c r="BF186" s="42"/>
      <c r="BG186" s="42"/>
      <c r="BH186" s="42"/>
      <c r="BI186" s="42"/>
      <c r="BJ186" s="42"/>
      <c r="BK186" s="42"/>
      <c r="BL186" s="1"/>
      <c r="BM186" s="42"/>
      <c r="BN186" s="41" t="s">
        <v>275</v>
      </c>
      <c r="BO186" s="40"/>
      <c r="BP186" s="267"/>
      <c r="BQ186" s="268"/>
      <c r="BR186" s="268"/>
      <c r="BS186" s="268"/>
      <c r="BT186" s="268"/>
      <c r="BU186" s="268"/>
      <c r="BV186" s="268"/>
      <c r="BW186" s="268"/>
      <c r="BX186" s="268"/>
      <c r="BY186" s="269"/>
      <c r="BZ186" s="267"/>
      <c r="CA186" s="268"/>
      <c r="CB186" s="268"/>
      <c r="CC186" s="268"/>
      <c r="CD186" s="268"/>
      <c r="CE186" s="268"/>
      <c r="CF186" s="268"/>
      <c r="CG186" s="268"/>
      <c r="CH186" s="268"/>
      <c r="CI186" s="269"/>
      <c r="CJ186" s="267">
        <f t="shared" si="13"/>
        <v>0</v>
      </c>
      <c r="CK186" s="268"/>
      <c r="CL186" s="268"/>
      <c r="CM186" s="268"/>
      <c r="CN186" s="268"/>
      <c r="CO186" s="268"/>
      <c r="CP186" s="268"/>
      <c r="CQ186" s="268"/>
      <c r="CR186" s="268"/>
      <c r="CS186" s="269"/>
    </row>
    <row r="187" spans="1:206" hidden="1">
      <c r="A187" s="44"/>
      <c r="B187" s="44"/>
      <c r="C187" s="293" t="s">
        <v>111</v>
      </c>
      <c r="D187" s="294"/>
      <c r="E187" s="294"/>
      <c r="F187" s="294"/>
      <c r="G187" s="294"/>
      <c r="H187" s="294"/>
      <c r="I187" s="294"/>
      <c r="J187" s="294"/>
      <c r="K187" s="294"/>
      <c r="L187" s="294"/>
      <c r="M187" s="294"/>
      <c r="N187" s="294"/>
      <c r="O187" s="294"/>
      <c r="P187" s="294"/>
      <c r="Q187" s="294"/>
      <c r="R187" s="294"/>
      <c r="S187" s="295"/>
      <c r="T187" s="276">
        <f>SUMIFS('Adv. Filter'!$BJ$1:$BJ$50000,'Adv. Filter'!$BT$1:$BT$50000,"Mahesh",'Adv. Filter'!$BQ$1:$BQ$50000,$C187,'Adv. Filter'!$BH$1:$BH$50000,"Cash",'Adv. Filter'!$BO$1:$BO$50000,'Adv. Filter'!$A$14,'Adv. Filter'!$BO$1:$BO$50000,'Adv. Filter'!$B$14)</f>
        <v>7000</v>
      </c>
      <c r="U187" s="277"/>
      <c r="V187" s="277"/>
      <c r="W187" s="277"/>
      <c r="X187" s="277"/>
      <c r="Y187" s="277"/>
      <c r="Z187" s="277"/>
      <c r="AA187" s="277"/>
      <c r="AB187" s="277"/>
      <c r="AC187" s="278"/>
      <c r="AD187" s="276">
        <f>SUMIFS('Adv. Filter'!$BJ$1:$BJ$50000,'Adv. Filter'!$BT$1:$BT$50000,"Mahesh",'Adv. Filter'!$BQ$1:$BQ$50000,$C187,'Adv. Filter'!$BH$1:$BH$50000,"Bank",'Adv. Filter'!$BO$1:$BO$50000,'Adv. Filter'!$A$14,'Adv. Filter'!$BO$1:$BO$50000,'Adv. Filter'!$B$14)</f>
        <v>18500</v>
      </c>
      <c r="AE187" s="277"/>
      <c r="AF187" s="277"/>
      <c r="AG187" s="277"/>
      <c r="AH187" s="277"/>
      <c r="AI187" s="277"/>
      <c r="AJ187" s="277"/>
      <c r="AK187" s="277"/>
      <c r="AL187" s="277"/>
      <c r="AM187" s="278"/>
      <c r="AN187" s="276">
        <f t="shared" si="12"/>
        <v>25500</v>
      </c>
      <c r="AO187" s="277"/>
      <c r="AP187" s="277"/>
      <c r="AQ187" s="277"/>
      <c r="AR187" s="277"/>
      <c r="AS187" s="277"/>
      <c r="AT187" s="277"/>
      <c r="AU187" s="277"/>
      <c r="AV187" s="277"/>
      <c r="AW187" s="278"/>
      <c r="AX187" s="45"/>
      <c r="AY187" s="293" t="s">
        <v>111</v>
      </c>
      <c r="AZ187" s="294"/>
      <c r="BA187" s="294"/>
      <c r="BB187" s="294"/>
      <c r="BC187" s="294"/>
      <c r="BD187" s="294"/>
      <c r="BE187" s="294"/>
      <c r="BF187" s="294"/>
      <c r="BG187" s="294"/>
      <c r="BH187" s="294"/>
      <c r="BI187" s="294"/>
      <c r="BJ187" s="294"/>
      <c r="BK187" s="294"/>
      <c r="BL187" s="294"/>
      <c r="BM187" s="294"/>
      <c r="BN187" s="294"/>
      <c r="BO187" s="295"/>
      <c r="BP187" s="276">
        <f>SUMIFS('Adv. Filter'!$BJ$1:$BJ$50000,'Adv. Filter'!$BT$1:$BT$50000,"Mahesh",'Adv. Filter'!$BQ$1:$BQ$50000,$AY187,'Adv. Filter'!$BH$1:$BH$50000,"Cash",'Adv. Filter'!$BO$1:$BO$50000,"&lt;"&amp;'Adv. Filter'!$A$15)</f>
        <v>0</v>
      </c>
      <c r="BQ187" s="277"/>
      <c r="BR187" s="277"/>
      <c r="BS187" s="277"/>
      <c r="BT187" s="277"/>
      <c r="BU187" s="277"/>
      <c r="BV187" s="277"/>
      <c r="BW187" s="277"/>
      <c r="BX187" s="277"/>
      <c r="BY187" s="278"/>
      <c r="BZ187" s="276">
        <f>SUMIFS('Adv. Filter'!$BJ$1:$BJ$50000,'Adv. Filter'!$BT$1:$BT$50000,"Mahesh",'Adv. Filter'!$BQ$1:$BQ$50000,$AY187,'Adv. Filter'!$BH$1:$BH$50000,"Bank",'Adv. Filter'!$BO$1:$BO$50000,"&lt;"&amp;'Adv. Filter'!$A$15)</f>
        <v>0</v>
      </c>
      <c r="CA187" s="277"/>
      <c r="CB187" s="277"/>
      <c r="CC187" s="277"/>
      <c r="CD187" s="277"/>
      <c r="CE187" s="277"/>
      <c r="CF187" s="277"/>
      <c r="CG187" s="277"/>
      <c r="CH187" s="277"/>
      <c r="CI187" s="278"/>
      <c r="CJ187" s="276">
        <f t="shared" si="13"/>
        <v>0</v>
      </c>
      <c r="CK187" s="277"/>
      <c r="CL187" s="277"/>
      <c r="CM187" s="277"/>
      <c r="CN187" s="277"/>
      <c r="CO187" s="277"/>
      <c r="CP187" s="277"/>
      <c r="CQ187" s="277"/>
      <c r="CR187" s="277"/>
      <c r="CS187" s="278"/>
      <c r="CT187" s="44"/>
      <c r="CU187" s="44"/>
      <c r="CV187" s="44"/>
      <c r="CW187" s="44"/>
      <c r="CX187" s="44"/>
      <c r="CY187" s="44"/>
      <c r="CZ187" s="44"/>
    </row>
    <row r="188" spans="1:206" s="44" customFormat="1" hidden="1">
      <c r="A188"/>
      <c r="B188"/>
      <c r="C188" s="308" t="s">
        <v>115</v>
      </c>
      <c r="D188" s="309"/>
      <c r="E188" s="309"/>
      <c r="F188" s="309"/>
      <c r="G188" s="309"/>
      <c r="H188" s="309"/>
      <c r="I188" s="309"/>
      <c r="J188" s="309"/>
      <c r="K188" s="309"/>
      <c r="L188" s="309"/>
      <c r="M188" s="309"/>
      <c r="N188" s="309"/>
      <c r="O188" s="309"/>
      <c r="P188" s="309"/>
      <c r="Q188" s="309"/>
      <c r="R188" s="309"/>
      <c r="S188" s="310"/>
      <c r="T188" s="267">
        <f>SUMIFS('Adv. Filter'!$BJ$1:$BJ$50000,'Adv. Filter'!$BT$1:$BT$50000,"Mahesh",'Adv. Filter'!$BQ$1:$BQ$50000,$C187,'Adv. Filter'!$BH$1:$BH$50000,"Cash",'Adv. Filter'!$BO$1:$BO$50000,'Adv. Filter'!$A$14,'Adv. Filter'!$BO$1:$BO$50000,'Adv. Filter'!$B$14,'Adv. Filter'!$BP$1:$BP$50000,"Project")</f>
        <v>0</v>
      </c>
      <c r="U188" s="268"/>
      <c r="V188" s="268"/>
      <c r="W188" s="268"/>
      <c r="X188" s="268"/>
      <c r="Y188" s="268"/>
      <c r="Z188" s="268"/>
      <c r="AA188" s="268"/>
      <c r="AB188" s="268"/>
      <c r="AC188" s="269"/>
      <c r="AD188" s="267">
        <f>SUMIFS('Adv. Filter'!$BJ$1:$BJ$50000,'Adv. Filter'!$BT$1:$BT$50000,"Mahesh",'Adv. Filter'!$BQ$1:$BQ$50000,$C187,'Adv. Filter'!$BH$1:$BH$50000,"Bank",'Adv. Filter'!$BO$1:$BO$50000,'Adv. Filter'!$A$14,'Adv. Filter'!$BO$1:$BO$50000,'Adv. Filter'!$B$14,'Adv. Filter'!$BP$1:$BP$50000,"Project")</f>
        <v>0</v>
      </c>
      <c r="AE188" s="268"/>
      <c r="AF188" s="268"/>
      <c r="AG188" s="268"/>
      <c r="AH188" s="268"/>
      <c r="AI188" s="268"/>
      <c r="AJ188" s="268"/>
      <c r="AK188" s="268"/>
      <c r="AL188" s="268"/>
      <c r="AM188" s="269"/>
      <c r="AN188" s="267">
        <f t="shared" si="12"/>
        <v>0</v>
      </c>
      <c r="AO188" s="268"/>
      <c r="AP188" s="268"/>
      <c r="AQ188" s="268"/>
      <c r="AR188" s="268"/>
      <c r="AS188" s="268"/>
      <c r="AT188" s="268"/>
      <c r="AU188" s="268"/>
      <c r="AV188" s="268"/>
      <c r="AW188" s="269"/>
      <c r="AX188" s="22"/>
      <c r="AY188" s="308" t="s">
        <v>115</v>
      </c>
      <c r="AZ188" s="309"/>
      <c r="BA188" s="309"/>
      <c r="BB188" s="309"/>
      <c r="BC188" s="309"/>
      <c r="BD188" s="309"/>
      <c r="BE188" s="309"/>
      <c r="BF188" s="309"/>
      <c r="BG188" s="309"/>
      <c r="BH188" s="309"/>
      <c r="BI188" s="309"/>
      <c r="BJ188" s="309"/>
      <c r="BK188" s="309"/>
      <c r="BL188" s="309"/>
      <c r="BM188" s="309"/>
      <c r="BN188" s="309"/>
      <c r="BO188" s="310"/>
      <c r="BP188" s="267">
        <f>SUMIFS('Adv. Filter'!$BJ$1:$BJ$50000,'Adv. Filter'!$BT$1:$BT$50000,"Mahesh",'Adv. Filter'!$BQ$1:$BQ$50000,$AY187,'Adv. Filter'!$BH$1:$BH$50000,"Cash",'Adv. Filter'!$BO$1:$BO$50000,"&lt;"&amp;'Adv. Filter'!$A$15,'Adv. Filter'!$BP$1:$BP$50000,"Project")</f>
        <v>0</v>
      </c>
      <c r="BQ188" s="268"/>
      <c r="BR188" s="268"/>
      <c r="BS188" s="268"/>
      <c r="BT188" s="268"/>
      <c r="BU188" s="268"/>
      <c r="BV188" s="268"/>
      <c r="BW188" s="268"/>
      <c r="BX188" s="268"/>
      <c r="BY188" s="269"/>
      <c r="BZ188" s="267">
        <f>SUMIFS('Adv. Filter'!$BJ$1:$BJ$50000,'Adv. Filter'!$BT$1:$BT$50000,"Mahesh",'Adv. Filter'!$BQ$1:$BQ$50000,$AY187,'Adv. Filter'!$BH$1:$BH$50000,"Bank",'Adv. Filter'!$BO$1:$BO$50000,"&lt;"&amp;'Adv. Filter'!$A$15,'Adv. Filter'!$BP$1:$BP$50000,"Project")</f>
        <v>0</v>
      </c>
      <c r="CA188" s="268"/>
      <c r="CB188" s="268"/>
      <c r="CC188" s="268"/>
      <c r="CD188" s="268"/>
      <c r="CE188" s="268"/>
      <c r="CF188" s="268"/>
      <c r="CG188" s="268"/>
      <c r="CH188" s="268"/>
      <c r="CI188" s="269"/>
      <c r="CJ188" s="267">
        <f t="shared" si="13"/>
        <v>0</v>
      </c>
      <c r="CK188" s="268"/>
      <c r="CL188" s="268"/>
      <c r="CM188" s="268"/>
      <c r="CN188" s="268"/>
      <c r="CO188" s="268"/>
      <c r="CP188" s="268"/>
      <c r="CQ188" s="268"/>
      <c r="CR188" s="268"/>
      <c r="CS188" s="269"/>
      <c r="CT188"/>
      <c r="CU188"/>
      <c r="CV188"/>
      <c r="CW188"/>
      <c r="CX188"/>
      <c r="CY188"/>
      <c r="CZ188"/>
    </row>
    <row r="189" spans="1:206" hidden="1">
      <c r="C189" s="308" t="s">
        <v>510</v>
      </c>
      <c r="D189" s="309"/>
      <c r="E189" s="309"/>
      <c r="F189" s="309"/>
      <c r="G189" s="309"/>
      <c r="H189" s="309"/>
      <c r="I189" s="309"/>
      <c r="J189" s="309"/>
      <c r="K189" s="309"/>
      <c r="L189" s="309"/>
      <c r="M189" s="309"/>
      <c r="N189" s="309"/>
      <c r="O189" s="309"/>
      <c r="P189" s="309"/>
      <c r="Q189" s="309"/>
      <c r="R189" s="309"/>
      <c r="S189" s="310"/>
      <c r="T189" s="267">
        <v>0</v>
      </c>
      <c r="U189" s="268"/>
      <c r="V189" s="268"/>
      <c r="W189" s="268"/>
      <c r="X189" s="268"/>
      <c r="Y189" s="268"/>
      <c r="Z189" s="268"/>
      <c r="AA189" s="268"/>
      <c r="AB189" s="268"/>
      <c r="AC189" s="269"/>
      <c r="AD189" s="267">
        <v>0</v>
      </c>
      <c r="AE189" s="268"/>
      <c r="AF189" s="268"/>
      <c r="AG189" s="268"/>
      <c r="AH189" s="268"/>
      <c r="AI189" s="268"/>
      <c r="AJ189" s="268"/>
      <c r="AK189" s="268"/>
      <c r="AL189" s="268"/>
      <c r="AM189" s="269"/>
      <c r="AN189" s="267">
        <f t="shared" si="12"/>
        <v>0</v>
      </c>
      <c r="AO189" s="268"/>
      <c r="AP189" s="268"/>
      <c r="AQ189" s="268"/>
      <c r="AR189" s="268"/>
      <c r="AS189" s="268"/>
      <c r="AT189" s="268"/>
      <c r="AU189" s="268"/>
      <c r="AV189" s="268"/>
      <c r="AW189" s="269"/>
      <c r="AX189" s="22"/>
      <c r="AY189" s="308" t="s">
        <v>510</v>
      </c>
      <c r="AZ189" s="309"/>
      <c r="BA189" s="309"/>
      <c r="BB189" s="309"/>
      <c r="BC189" s="309"/>
      <c r="BD189" s="309"/>
      <c r="BE189" s="309"/>
      <c r="BF189" s="309"/>
      <c r="BG189" s="309"/>
      <c r="BH189" s="309"/>
      <c r="BI189" s="309"/>
      <c r="BJ189" s="309"/>
      <c r="BK189" s="309"/>
      <c r="BL189" s="309"/>
      <c r="BM189" s="309"/>
      <c r="BN189" s="309"/>
      <c r="BO189" s="310"/>
      <c r="BP189" s="267"/>
      <c r="BQ189" s="268"/>
      <c r="BR189" s="268"/>
      <c r="BS189" s="268"/>
      <c r="BT189" s="268"/>
      <c r="BU189" s="268"/>
      <c r="BV189" s="268"/>
      <c r="BW189" s="268"/>
      <c r="BX189" s="268"/>
      <c r="BY189" s="269"/>
      <c r="BZ189" s="267"/>
      <c r="CA189" s="268"/>
      <c r="CB189" s="268"/>
      <c r="CC189" s="268"/>
      <c r="CD189" s="268"/>
      <c r="CE189" s="268"/>
      <c r="CF189" s="268"/>
      <c r="CG189" s="268"/>
      <c r="CH189" s="268"/>
      <c r="CI189" s="269"/>
      <c r="CJ189" s="267">
        <f t="shared" si="13"/>
        <v>0</v>
      </c>
      <c r="CK189" s="268"/>
      <c r="CL189" s="268"/>
      <c r="CM189" s="268"/>
      <c r="CN189" s="268"/>
      <c r="CO189" s="268"/>
      <c r="CP189" s="268"/>
      <c r="CQ189" s="268"/>
      <c r="CR189" s="268"/>
      <c r="CS189" s="269"/>
    </row>
    <row r="190" spans="1:206" hidden="1">
      <c r="C190" s="43"/>
      <c r="D190" s="36" t="str">
        <f>IF(AN187=0,C187&amp;" -","")</f>
        <v/>
      </c>
      <c r="E190" s="42"/>
      <c r="F190" s="42"/>
      <c r="G190" s="42"/>
      <c r="H190" s="42"/>
      <c r="I190" s="42"/>
      <c r="J190" s="42"/>
      <c r="K190" s="42"/>
      <c r="L190" s="42"/>
      <c r="M190" s="42"/>
      <c r="N190" s="42"/>
      <c r="O190" s="42"/>
      <c r="P190" s="1"/>
      <c r="Q190" s="42"/>
      <c r="R190" s="41" t="s">
        <v>275</v>
      </c>
      <c r="S190" s="40"/>
      <c r="T190" s="267">
        <f>SUMIFS('Adv. Filter'!$CH$1:$CH$50000,'Adv. Filter'!$CD$1:$CD$50000,"Mahesh",'Adv. Filter'!$CE$1:$CE$50000,$C187,'Adv. Filter'!$CC$1:$CC$50000,"Suspense",'Adv. Filter'!$CF$1:$CF$50000,"Cash")</f>
        <v>0</v>
      </c>
      <c r="U190" s="268"/>
      <c r="V190" s="268"/>
      <c r="W190" s="268"/>
      <c r="X190" s="268"/>
      <c r="Y190" s="268"/>
      <c r="Z190" s="268"/>
      <c r="AA190" s="268"/>
      <c r="AB190" s="268"/>
      <c r="AC190" s="269"/>
      <c r="AD190" s="267">
        <f>SUMIFS('Adv. Filter'!$CH$1:$CH$50000,'Adv. Filter'!$CD$1:$CD$50000,"Mahesh",'Adv. Filter'!$CE$1:$CE$50000,$C187,'Adv. Filter'!$CC$1:$CC$50000,"Suspense",'Adv. Filter'!$CF$1:$CF$50000,"Bank")</f>
        <v>0</v>
      </c>
      <c r="AE190" s="268"/>
      <c r="AF190" s="268"/>
      <c r="AG190" s="268"/>
      <c r="AH190" s="268"/>
      <c r="AI190" s="268"/>
      <c r="AJ190" s="268"/>
      <c r="AK190" s="268"/>
      <c r="AL190" s="268"/>
      <c r="AM190" s="269"/>
      <c r="AN190" s="267">
        <f t="shared" si="12"/>
        <v>0</v>
      </c>
      <c r="AO190" s="268"/>
      <c r="AP190" s="268"/>
      <c r="AQ190" s="268"/>
      <c r="AR190" s="268"/>
      <c r="AS190" s="268"/>
      <c r="AT190" s="268"/>
      <c r="AU190" s="268"/>
      <c r="AV190" s="268"/>
      <c r="AW190" s="269"/>
      <c r="AX190" s="22"/>
      <c r="AY190" s="43"/>
      <c r="AZ190" s="36" t="str">
        <f>IF(CJ187=0,AY187&amp;" -","")</f>
        <v>SBM -</v>
      </c>
      <c r="BA190" s="42"/>
      <c r="BB190" s="42"/>
      <c r="BC190" s="42"/>
      <c r="BD190" s="42"/>
      <c r="BE190" s="42"/>
      <c r="BF190" s="42"/>
      <c r="BG190" s="42"/>
      <c r="BH190" s="42"/>
      <c r="BI190" s="42"/>
      <c r="BJ190" s="42"/>
      <c r="BK190" s="42"/>
      <c r="BL190" s="1"/>
      <c r="BM190" s="42"/>
      <c r="BN190" s="41" t="s">
        <v>275</v>
      </c>
      <c r="BO190" s="40"/>
      <c r="BP190" s="267"/>
      <c r="BQ190" s="268"/>
      <c r="BR190" s="268"/>
      <c r="BS190" s="268"/>
      <c r="BT190" s="268"/>
      <c r="BU190" s="268"/>
      <c r="BV190" s="268"/>
      <c r="BW190" s="268"/>
      <c r="BX190" s="268"/>
      <c r="BY190" s="269"/>
      <c r="BZ190" s="267"/>
      <c r="CA190" s="268"/>
      <c r="CB190" s="268"/>
      <c r="CC190" s="268"/>
      <c r="CD190" s="268"/>
      <c r="CE190" s="268"/>
      <c r="CF190" s="268"/>
      <c r="CG190" s="268"/>
      <c r="CH190" s="268"/>
      <c r="CI190" s="269"/>
      <c r="CJ190" s="267">
        <f t="shared" si="13"/>
        <v>0</v>
      </c>
      <c r="CK190" s="268"/>
      <c r="CL190" s="268"/>
      <c r="CM190" s="268"/>
      <c r="CN190" s="268"/>
      <c r="CO190" s="268"/>
      <c r="CP190" s="268"/>
      <c r="CQ190" s="268"/>
      <c r="CR190" s="268"/>
      <c r="CS190" s="269"/>
    </row>
    <row r="191" spans="1:206" hidden="1">
      <c r="A191" s="44"/>
      <c r="B191" s="44"/>
      <c r="C191" s="293" t="s">
        <v>116</v>
      </c>
      <c r="D191" s="294"/>
      <c r="E191" s="294"/>
      <c r="F191" s="294"/>
      <c r="G191" s="294"/>
      <c r="H191" s="294"/>
      <c r="I191" s="294"/>
      <c r="J191" s="294"/>
      <c r="K191" s="294"/>
      <c r="L191" s="294"/>
      <c r="M191" s="294"/>
      <c r="N191" s="294"/>
      <c r="O191" s="294"/>
      <c r="P191" s="294"/>
      <c r="Q191" s="294"/>
      <c r="R191" s="294"/>
      <c r="S191" s="295"/>
      <c r="T191" s="276">
        <f>SUMIFS('Adv. Filter'!$BJ$1:$BJ$50000,'Adv. Filter'!$BT$1:$BT$50000,"Mahesh",'Adv. Filter'!$BQ$1:$BQ$50000,$C191,'Adv. Filter'!$BH$1:$BH$50000,"Cash",'Adv. Filter'!$BO$1:$BO$50000,'Adv. Filter'!$A$14,'Adv. Filter'!$BO$1:$BO$50000,'Adv. Filter'!$B$14)</f>
        <v>0</v>
      </c>
      <c r="U191" s="277"/>
      <c r="V191" s="277"/>
      <c r="W191" s="277"/>
      <c r="X191" s="277"/>
      <c r="Y191" s="277"/>
      <c r="Z191" s="277"/>
      <c r="AA191" s="277"/>
      <c r="AB191" s="277"/>
      <c r="AC191" s="278"/>
      <c r="AD191" s="276">
        <f>SUMIFS('Adv. Filter'!$BJ$1:$BJ$50000,'Adv. Filter'!$BT$1:$BT$50000,"Mahesh",'Adv. Filter'!$BQ$1:$BQ$50000,$C191,'Adv. Filter'!$BH$1:$BH$50000,"Bank",'Adv. Filter'!$BO$1:$BO$50000,'Adv. Filter'!$A$14,'Adv. Filter'!$BO$1:$BO$50000,'Adv. Filter'!$B$14)</f>
        <v>5000</v>
      </c>
      <c r="AE191" s="277"/>
      <c r="AF191" s="277"/>
      <c r="AG191" s="277"/>
      <c r="AH191" s="277"/>
      <c r="AI191" s="277"/>
      <c r="AJ191" s="277"/>
      <c r="AK191" s="277"/>
      <c r="AL191" s="277"/>
      <c r="AM191" s="278"/>
      <c r="AN191" s="276">
        <f t="shared" si="12"/>
        <v>5000</v>
      </c>
      <c r="AO191" s="277"/>
      <c r="AP191" s="277"/>
      <c r="AQ191" s="277"/>
      <c r="AR191" s="277"/>
      <c r="AS191" s="277"/>
      <c r="AT191" s="277"/>
      <c r="AU191" s="277"/>
      <c r="AV191" s="277"/>
      <c r="AW191" s="278"/>
      <c r="AX191" s="45"/>
      <c r="AY191" s="293" t="s">
        <v>116</v>
      </c>
      <c r="AZ191" s="294"/>
      <c r="BA191" s="294"/>
      <c r="BB191" s="294"/>
      <c r="BC191" s="294"/>
      <c r="BD191" s="294"/>
      <c r="BE191" s="294"/>
      <c r="BF191" s="294"/>
      <c r="BG191" s="294"/>
      <c r="BH191" s="294"/>
      <c r="BI191" s="294"/>
      <c r="BJ191" s="294"/>
      <c r="BK191" s="294"/>
      <c r="BL191" s="294"/>
      <c r="BM191" s="294"/>
      <c r="BN191" s="294"/>
      <c r="BO191" s="295"/>
      <c r="BP191" s="276">
        <f>SUMIFS('Adv. Filter'!$BJ$1:$BJ$50000,'Adv. Filter'!$BT$1:$BT$50000,"Mahesh",'Adv. Filter'!$BQ$1:$BQ$50000,$AY191,'Adv. Filter'!$BH$1:$BH$50000,"Cash",'Adv. Filter'!$BO$1:$BO$50000,"&lt;"&amp;'Adv. Filter'!$A$15)</f>
        <v>0</v>
      </c>
      <c r="BQ191" s="277"/>
      <c r="BR191" s="277"/>
      <c r="BS191" s="277"/>
      <c r="BT191" s="277"/>
      <c r="BU191" s="277"/>
      <c r="BV191" s="277"/>
      <c r="BW191" s="277"/>
      <c r="BX191" s="277"/>
      <c r="BY191" s="278"/>
      <c r="BZ191" s="276">
        <f>SUMIFS('Adv. Filter'!$BJ$1:$BJ$50000,'Adv. Filter'!$BT$1:$BT$50000,"Mahesh",'Adv. Filter'!$BQ$1:$BQ$50000,$AY191,'Adv. Filter'!$BH$1:$BH$50000,"Bank",'Adv. Filter'!$BO$1:$BO$50000,"&lt;"&amp;'Adv. Filter'!$A$15)</f>
        <v>0</v>
      </c>
      <c r="CA191" s="277"/>
      <c r="CB191" s="277"/>
      <c r="CC191" s="277"/>
      <c r="CD191" s="277"/>
      <c r="CE191" s="277"/>
      <c r="CF191" s="277"/>
      <c r="CG191" s="277"/>
      <c r="CH191" s="277"/>
      <c r="CI191" s="278"/>
      <c r="CJ191" s="276">
        <f t="shared" si="13"/>
        <v>0</v>
      </c>
      <c r="CK191" s="277"/>
      <c r="CL191" s="277"/>
      <c r="CM191" s="277"/>
      <c r="CN191" s="277"/>
      <c r="CO191" s="277"/>
      <c r="CP191" s="277"/>
      <c r="CQ191" s="277"/>
      <c r="CR191" s="277"/>
      <c r="CS191" s="278"/>
      <c r="CT191" s="44"/>
      <c r="CU191" s="44"/>
      <c r="CV191" s="44"/>
      <c r="CW191" s="44"/>
      <c r="CX191" s="44"/>
      <c r="CY191" s="44"/>
      <c r="CZ191" s="44"/>
    </row>
    <row r="192" spans="1:206" s="44" customFormat="1" hidden="1">
      <c r="A192"/>
      <c r="B192"/>
      <c r="C192" s="308" t="s">
        <v>115</v>
      </c>
      <c r="D192" s="309"/>
      <c r="E192" s="309"/>
      <c r="F192" s="309"/>
      <c r="G192" s="309"/>
      <c r="H192" s="309"/>
      <c r="I192" s="309"/>
      <c r="J192" s="309"/>
      <c r="K192" s="309"/>
      <c r="L192" s="309"/>
      <c r="M192" s="309"/>
      <c r="N192" s="309"/>
      <c r="O192" s="309"/>
      <c r="P192" s="309"/>
      <c r="Q192" s="309"/>
      <c r="R192" s="309"/>
      <c r="S192" s="310"/>
      <c r="T192" s="267">
        <f>SUMIFS('Adv. Filter'!$BJ$1:$BJ$50000,'Adv. Filter'!$BT$1:$BT$50000,"Mahesh",'Adv. Filter'!$BQ$1:$BQ$50000,$C191,'Adv. Filter'!$BH$1:$BH$50000,"Cash",'Adv. Filter'!$BO$1:$BO$50000,'Adv. Filter'!$A$14,'Adv. Filter'!$BO$1:$BO$50000,'Adv. Filter'!$B$14,'Adv. Filter'!$BP$1:$BP$50000,"Project")</f>
        <v>0</v>
      </c>
      <c r="U192" s="268"/>
      <c r="V192" s="268"/>
      <c r="W192" s="268"/>
      <c r="X192" s="268"/>
      <c r="Y192" s="268"/>
      <c r="Z192" s="268"/>
      <c r="AA192" s="268"/>
      <c r="AB192" s="268"/>
      <c r="AC192" s="269"/>
      <c r="AD192" s="267">
        <f>SUMIFS('Adv. Filter'!$BJ$1:$BJ$50000,'Adv. Filter'!$BT$1:$BT$50000,"Mahesh",'Adv. Filter'!$BQ$1:$BQ$50000,$C191,'Adv. Filter'!$BH$1:$BH$50000,"Bank",'Adv. Filter'!$BO$1:$BO$50000,'Adv. Filter'!$A$14,'Adv. Filter'!$BO$1:$BO$50000,'Adv. Filter'!$B$14,'Adv. Filter'!$BP$1:$BP$50000,"Project")</f>
        <v>0</v>
      </c>
      <c r="AE192" s="268"/>
      <c r="AF192" s="268"/>
      <c r="AG192" s="268"/>
      <c r="AH192" s="268"/>
      <c r="AI192" s="268"/>
      <c r="AJ192" s="268"/>
      <c r="AK192" s="268"/>
      <c r="AL192" s="268"/>
      <c r="AM192" s="269"/>
      <c r="AN192" s="267">
        <f t="shared" si="12"/>
        <v>0</v>
      </c>
      <c r="AO192" s="268"/>
      <c r="AP192" s="268"/>
      <c r="AQ192" s="268"/>
      <c r="AR192" s="268"/>
      <c r="AS192" s="268"/>
      <c r="AT192" s="268"/>
      <c r="AU192" s="268"/>
      <c r="AV192" s="268"/>
      <c r="AW192" s="269"/>
      <c r="AX192" s="22"/>
      <c r="AY192" s="308" t="s">
        <v>115</v>
      </c>
      <c r="AZ192" s="309"/>
      <c r="BA192" s="309"/>
      <c r="BB192" s="309"/>
      <c r="BC192" s="309"/>
      <c r="BD192" s="309"/>
      <c r="BE192" s="309"/>
      <c r="BF192" s="309"/>
      <c r="BG192" s="309"/>
      <c r="BH192" s="309"/>
      <c r="BI192" s="309"/>
      <c r="BJ192" s="309"/>
      <c r="BK192" s="309"/>
      <c r="BL192" s="309"/>
      <c r="BM192" s="309"/>
      <c r="BN192" s="309"/>
      <c r="BO192" s="310"/>
      <c r="BP192" s="267">
        <f>SUMIFS('Adv. Filter'!$BJ$1:$BJ$50000,'Adv. Filter'!$BT$1:$BT$50000,"Mahesh",'Adv. Filter'!$BQ$1:$BQ$50000,$AY191,'Adv. Filter'!$BH$1:$BH$50000,"Cash",'Adv. Filter'!$BO$1:$BO$50000,"&lt;"&amp;'Adv. Filter'!$A$15,'Adv. Filter'!$BP$1:$BP$50000,"Project")</f>
        <v>0</v>
      </c>
      <c r="BQ192" s="268"/>
      <c r="BR192" s="268"/>
      <c r="BS192" s="268"/>
      <c r="BT192" s="268"/>
      <c r="BU192" s="268"/>
      <c r="BV192" s="268"/>
      <c r="BW192" s="268"/>
      <c r="BX192" s="268"/>
      <c r="BY192" s="269"/>
      <c r="BZ192" s="267">
        <f>SUMIFS('Adv. Filter'!$BJ$1:$BJ$50000,'Adv. Filter'!$BT$1:$BT$50000,"Mahesh",'Adv. Filter'!$BQ$1:$BQ$50000,$AY191,'Adv. Filter'!$BH$1:$BH$50000,"Bank",'Adv. Filter'!$BO$1:$BO$50000,"&lt;"&amp;'Adv. Filter'!$A$15,'Adv. Filter'!$BP$1:$BP$50000,"Project")</f>
        <v>0</v>
      </c>
      <c r="CA192" s="268"/>
      <c r="CB192" s="268"/>
      <c r="CC192" s="268"/>
      <c r="CD192" s="268"/>
      <c r="CE192" s="268"/>
      <c r="CF192" s="268"/>
      <c r="CG192" s="268"/>
      <c r="CH192" s="268"/>
      <c r="CI192" s="269"/>
      <c r="CJ192" s="267">
        <f t="shared" si="13"/>
        <v>0</v>
      </c>
      <c r="CK192" s="268"/>
      <c r="CL192" s="268"/>
      <c r="CM192" s="268"/>
      <c r="CN192" s="268"/>
      <c r="CO192" s="268"/>
      <c r="CP192" s="268"/>
      <c r="CQ192" s="268"/>
      <c r="CR192" s="268"/>
      <c r="CS192" s="269"/>
      <c r="CT192"/>
      <c r="CU192"/>
      <c r="CV192"/>
      <c r="CW192"/>
      <c r="CX192"/>
      <c r="CY192"/>
      <c r="CZ192"/>
    </row>
    <row r="193" spans="1:104" hidden="1">
      <c r="C193" s="308" t="s">
        <v>510</v>
      </c>
      <c r="D193" s="309"/>
      <c r="E193" s="309"/>
      <c r="F193" s="309"/>
      <c r="G193" s="309"/>
      <c r="H193" s="309"/>
      <c r="I193" s="309"/>
      <c r="J193" s="309"/>
      <c r="K193" s="309"/>
      <c r="L193" s="309"/>
      <c r="M193" s="309"/>
      <c r="N193" s="309"/>
      <c r="O193" s="309"/>
      <c r="P193" s="309"/>
      <c r="Q193" s="309"/>
      <c r="R193" s="309"/>
      <c r="S193" s="310"/>
      <c r="T193" s="267">
        <v>0</v>
      </c>
      <c r="U193" s="268"/>
      <c r="V193" s="268"/>
      <c r="W193" s="268"/>
      <c r="X193" s="268"/>
      <c r="Y193" s="268"/>
      <c r="Z193" s="268"/>
      <c r="AA193" s="268"/>
      <c r="AB193" s="268"/>
      <c r="AC193" s="269"/>
      <c r="AD193" s="267">
        <v>0</v>
      </c>
      <c r="AE193" s="268"/>
      <c r="AF193" s="268"/>
      <c r="AG193" s="268"/>
      <c r="AH193" s="268"/>
      <c r="AI193" s="268"/>
      <c r="AJ193" s="268"/>
      <c r="AK193" s="268"/>
      <c r="AL193" s="268"/>
      <c r="AM193" s="269"/>
      <c r="AN193" s="267">
        <f t="shared" si="12"/>
        <v>0</v>
      </c>
      <c r="AO193" s="268"/>
      <c r="AP193" s="268"/>
      <c r="AQ193" s="268"/>
      <c r="AR193" s="268"/>
      <c r="AS193" s="268"/>
      <c r="AT193" s="268"/>
      <c r="AU193" s="268"/>
      <c r="AV193" s="268"/>
      <c r="AW193" s="269"/>
      <c r="AX193" s="22"/>
      <c r="AY193" s="308" t="s">
        <v>510</v>
      </c>
      <c r="AZ193" s="309"/>
      <c r="BA193" s="309"/>
      <c r="BB193" s="309"/>
      <c r="BC193" s="309"/>
      <c r="BD193" s="309"/>
      <c r="BE193" s="309"/>
      <c r="BF193" s="309"/>
      <c r="BG193" s="309"/>
      <c r="BH193" s="309"/>
      <c r="BI193" s="309"/>
      <c r="BJ193" s="309"/>
      <c r="BK193" s="309"/>
      <c r="BL193" s="309"/>
      <c r="BM193" s="309"/>
      <c r="BN193" s="309"/>
      <c r="BO193" s="310"/>
      <c r="BP193" s="267"/>
      <c r="BQ193" s="268"/>
      <c r="BR193" s="268"/>
      <c r="BS193" s="268"/>
      <c r="BT193" s="268"/>
      <c r="BU193" s="268"/>
      <c r="BV193" s="268"/>
      <c r="BW193" s="268"/>
      <c r="BX193" s="268"/>
      <c r="BY193" s="269"/>
      <c r="BZ193" s="267"/>
      <c r="CA193" s="268"/>
      <c r="CB193" s="268"/>
      <c r="CC193" s="268"/>
      <c r="CD193" s="268"/>
      <c r="CE193" s="268"/>
      <c r="CF193" s="268"/>
      <c r="CG193" s="268"/>
      <c r="CH193" s="268"/>
      <c r="CI193" s="269"/>
      <c r="CJ193" s="267">
        <f t="shared" si="13"/>
        <v>0</v>
      </c>
      <c r="CK193" s="268"/>
      <c r="CL193" s="268"/>
      <c r="CM193" s="268"/>
      <c r="CN193" s="268"/>
      <c r="CO193" s="268"/>
      <c r="CP193" s="268"/>
      <c r="CQ193" s="268"/>
      <c r="CR193" s="268"/>
      <c r="CS193" s="269"/>
    </row>
    <row r="194" spans="1:104" hidden="1">
      <c r="C194" s="43"/>
      <c r="D194" s="36" t="str">
        <f>IF(AN191=0,C191&amp;" -","")</f>
        <v/>
      </c>
      <c r="E194" s="42"/>
      <c r="F194" s="42"/>
      <c r="G194" s="42"/>
      <c r="H194" s="42"/>
      <c r="I194" s="42"/>
      <c r="J194" s="42"/>
      <c r="K194" s="42"/>
      <c r="L194" s="42"/>
      <c r="M194" s="42"/>
      <c r="N194" s="42"/>
      <c r="O194" s="42"/>
      <c r="P194" s="1"/>
      <c r="Q194" s="42"/>
      <c r="R194" s="41" t="s">
        <v>275</v>
      </c>
      <c r="S194" s="40"/>
      <c r="T194" s="267">
        <f>SUMIFS('Adv. Filter'!$CH$1:$CH$50000,'Adv. Filter'!$CD$1:$CD$50000,"Mahesh",'Adv. Filter'!$CE$1:$CE$50000,$C191,'Adv. Filter'!$CC$1:$CC$50000,"Suspense",'Adv. Filter'!$CF$1:$CF$50000,"Cash")</f>
        <v>0</v>
      </c>
      <c r="U194" s="268"/>
      <c r="V194" s="268"/>
      <c r="W194" s="268"/>
      <c r="X194" s="268"/>
      <c r="Y194" s="268"/>
      <c r="Z194" s="268"/>
      <c r="AA194" s="268"/>
      <c r="AB194" s="268"/>
      <c r="AC194" s="269"/>
      <c r="AD194" s="267">
        <f>SUMIFS('Adv. Filter'!$CH$1:$CH$50000,'Adv. Filter'!$CD$1:$CD$50000,"Mahesh",'Adv. Filter'!$CE$1:$CE$50000,$C191,'Adv. Filter'!$CC$1:$CC$50000,"Suspense",'Adv. Filter'!$CF$1:$CF$50000,"Bank")</f>
        <v>0</v>
      </c>
      <c r="AE194" s="268"/>
      <c r="AF194" s="268"/>
      <c r="AG194" s="268"/>
      <c r="AH194" s="268"/>
      <c r="AI194" s="268"/>
      <c r="AJ194" s="268"/>
      <c r="AK194" s="268"/>
      <c r="AL194" s="268"/>
      <c r="AM194" s="269"/>
      <c r="AN194" s="267">
        <f t="shared" si="12"/>
        <v>0</v>
      </c>
      <c r="AO194" s="268"/>
      <c r="AP194" s="268"/>
      <c r="AQ194" s="268"/>
      <c r="AR194" s="268"/>
      <c r="AS194" s="268"/>
      <c r="AT194" s="268"/>
      <c r="AU194" s="268"/>
      <c r="AV194" s="268"/>
      <c r="AW194" s="269"/>
      <c r="AX194" s="22"/>
      <c r="AY194" s="43"/>
      <c r="AZ194" s="36" t="str">
        <f>IF(CJ191=0,AY191&amp;" -","")</f>
        <v>SBP -</v>
      </c>
      <c r="BA194" s="42"/>
      <c r="BB194" s="42"/>
      <c r="BC194" s="42"/>
      <c r="BD194" s="42"/>
      <c r="BE194" s="42"/>
      <c r="BF194" s="42"/>
      <c r="BG194" s="42"/>
      <c r="BH194" s="42"/>
      <c r="BI194" s="42"/>
      <c r="BJ194" s="42"/>
      <c r="BK194" s="42"/>
      <c r="BL194" s="1"/>
      <c r="BM194" s="42"/>
      <c r="BN194" s="41" t="s">
        <v>275</v>
      </c>
      <c r="BO194" s="40"/>
      <c r="BP194" s="267"/>
      <c r="BQ194" s="268"/>
      <c r="BR194" s="268"/>
      <c r="BS194" s="268"/>
      <c r="BT194" s="268"/>
      <c r="BU194" s="268"/>
      <c r="BV194" s="268"/>
      <c r="BW194" s="268"/>
      <c r="BX194" s="268"/>
      <c r="BY194" s="269"/>
      <c r="BZ194" s="267"/>
      <c r="CA194" s="268"/>
      <c r="CB194" s="268"/>
      <c r="CC194" s="268"/>
      <c r="CD194" s="268"/>
      <c r="CE194" s="268"/>
      <c r="CF194" s="268"/>
      <c r="CG194" s="268"/>
      <c r="CH194" s="268"/>
      <c r="CI194" s="269"/>
      <c r="CJ194" s="267">
        <f t="shared" si="13"/>
        <v>0</v>
      </c>
      <c r="CK194" s="268"/>
      <c r="CL194" s="268"/>
      <c r="CM194" s="268"/>
      <c r="CN194" s="268"/>
      <c r="CO194" s="268"/>
      <c r="CP194" s="268"/>
      <c r="CQ194" s="268"/>
      <c r="CR194" s="268"/>
      <c r="CS194" s="269"/>
    </row>
    <row r="195" spans="1:104" hidden="1">
      <c r="A195" s="44"/>
      <c r="B195" s="44"/>
      <c r="C195" s="293" t="s">
        <v>119</v>
      </c>
      <c r="D195" s="294"/>
      <c r="E195" s="294"/>
      <c r="F195" s="294"/>
      <c r="G195" s="294"/>
      <c r="H195" s="294"/>
      <c r="I195" s="294"/>
      <c r="J195" s="294"/>
      <c r="K195" s="294"/>
      <c r="L195" s="294"/>
      <c r="M195" s="294"/>
      <c r="N195" s="294"/>
      <c r="O195" s="294"/>
      <c r="P195" s="294"/>
      <c r="Q195" s="294"/>
      <c r="R195" s="294"/>
      <c r="S195" s="295"/>
      <c r="T195" s="276">
        <f>SUMIFS('Adv. Filter'!$BJ$1:$BJ$50000,'Adv. Filter'!$BT$1:$BT$50000,"Mahesh",'Adv. Filter'!$BQ$1:$BQ$50000,$C195,'Adv. Filter'!$BH$1:$BH$50000,"Cash",'Adv. Filter'!$BO$1:$BO$50000,'Adv. Filter'!$A$14,'Adv. Filter'!$BO$1:$BO$50000,'Adv. Filter'!$B$14)</f>
        <v>12000</v>
      </c>
      <c r="U195" s="277"/>
      <c r="V195" s="277"/>
      <c r="W195" s="277"/>
      <c r="X195" s="277"/>
      <c r="Y195" s="277"/>
      <c r="Z195" s="277"/>
      <c r="AA195" s="277"/>
      <c r="AB195" s="277"/>
      <c r="AC195" s="278"/>
      <c r="AD195" s="276">
        <f>SUMIFS('Adv. Filter'!$BJ$1:$BJ$50000,'Adv. Filter'!$BT$1:$BT$50000,"Mahesh",'Adv. Filter'!$BQ$1:$BQ$50000,$C195,'Adv. Filter'!$BH$1:$BH$50000,"Bank",'Adv. Filter'!$BO$1:$BO$50000,'Adv. Filter'!$A$14,'Adv. Filter'!$BO$1:$BO$50000,'Adv. Filter'!$B$14)</f>
        <v>7500</v>
      </c>
      <c r="AE195" s="277"/>
      <c r="AF195" s="277"/>
      <c r="AG195" s="277"/>
      <c r="AH195" s="277"/>
      <c r="AI195" s="277"/>
      <c r="AJ195" s="277"/>
      <c r="AK195" s="277"/>
      <c r="AL195" s="277"/>
      <c r="AM195" s="278"/>
      <c r="AN195" s="276">
        <f t="shared" si="12"/>
        <v>19500</v>
      </c>
      <c r="AO195" s="277"/>
      <c r="AP195" s="277"/>
      <c r="AQ195" s="277"/>
      <c r="AR195" s="277"/>
      <c r="AS195" s="277"/>
      <c r="AT195" s="277"/>
      <c r="AU195" s="277"/>
      <c r="AV195" s="277"/>
      <c r="AW195" s="278"/>
      <c r="AX195" s="45"/>
      <c r="AY195" s="293" t="s">
        <v>119</v>
      </c>
      <c r="AZ195" s="294"/>
      <c r="BA195" s="294"/>
      <c r="BB195" s="294"/>
      <c r="BC195" s="294"/>
      <c r="BD195" s="294"/>
      <c r="BE195" s="294"/>
      <c r="BF195" s="294"/>
      <c r="BG195" s="294"/>
      <c r="BH195" s="294"/>
      <c r="BI195" s="294"/>
      <c r="BJ195" s="294"/>
      <c r="BK195" s="294"/>
      <c r="BL195" s="294"/>
      <c r="BM195" s="294"/>
      <c r="BN195" s="294"/>
      <c r="BO195" s="295"/>
      <c r="BP195" s="276">
        <f>SUMIFS('Adv. Filter'!$BJ$1:$BJ$50000,'Adv. Filter'!$BT$1:$BT$50000,"Mahesh",'Adv. Filter'!$BQ$1:$BQ$50000,$AY195,'Adv. Filter'!$BH$1:$BH$50000,"Cash",'Adv. Filter'!$BO$1:$BO$50000,"&lt;"&amp;'Adv. Filter'!$A$15)</f>
        <v>0</v>
      </c>
      <c r="BQ195" s="277"/>
      <c r="BR195" s="277"/>
      <c r="BS195" s="277"/>
      <c r="BT195" s="277"/>
      <c r="BU195" s="277"/>
      <c r="BV195" s="277"/>
      <c r="BW195" s="277"/>
      <c r="BX195" s="277"/>
      <c r="BY195" s="278"/>
      <c r="BZ195" s="276">
        <f>SUMIFS('Adv. Filter'!$BJ$1:$BJ$50000,'Adv. Filter'!$BT$1:$BT$50000,"Mahesh",'Adv. Filter'!$BQ$1:$BQ$50000,$AY195,'Adv. Filter'!$BH$1:$BH$50000,"Bank",'Adv. Filter'!$BO$1:$BO$50000,"&lt;"&amp;'Adv. Filter'!$A$15)</f>
        <v>0</v>
      </c>
      <c r="CA195" s="277"/>
      <c r="CB195" s="277"/>
      <c r="CC195" s="277"/>
      <c r="CD195" s="277"/>
      <c r="CE195" s="277"/>
      <c r="CF195" s="277"/>
      <c r="CG195" s="277"/>
      <c r="CH195" s="277"/>
      <c r="CI195" s="278"/>
      <c r="CJ195" s="276">
        <f t="shared" si="13"/>
        <v>0</v>
      </c>
      <c r="CK195" s="277"/>
      <c r="CL195" s="277"/>
      <c r="CM195" s="277"/>
      <c r="CN195" s="277"/>
      <c r="CO195" s="277"/>
      <c r="CP195" s="277"/>
      <c r="CQ195" s="277"/>
      <c r="CR195" s="277"/>
      <c r="CS195" s="278"/>
      <c r="CT195" s="44"/>
      <c r="CU195" s="44"/>
      <c r="CV195" s="44"/>
      <c r="CW195" s="44"/>
      <c r="CX195" s="44"/>
      <c r="CY195" s="44"/>
      <c r="CZ195" s="44"/>
    </row>
    <row r="196" spans="1:104" s="44" customFormat="1" hidden="1">
      <c r="A196"/>
      <c r="B196"/>
      <c r="C196" s="308" t="s">
        <v>115</v>
      </c>
      <c r="D196" s="309"/>
      <c r="E196" s="309"/>
      <c r="F196" s="309"/>
      <c r="G196" s="309"/>
      <c r="H196" s="309"/>
      <c r="I196" s="309"/>
      <c r="J196" s="309"/>
      <c r="K196" s="309"/>
      <c r="L196" s="309"/>
      <c r="M196" s="309"/>
      <c r="N196" s="309"/>
      <c r="O196" s="309"/>
      <c r="P196" s="309"/>
      <c r="Q196" s="309"/>
      <c r="R196" s="309"/>
      <c r="S196" s="310"/>
      <c r="T196" s="267">
        <f>SUMIFS('Adv. Filter'!$BJ$1:$BJ$50000,'Adv. Filter'!$BT$1:$BT$50000,"Mahesh",'Adv. Filter'!$BQ$1:$BQ$50000,$C195,'Adv. Filter'!$BH$1:$BH$50000,"Cash",'Adv. Filter'!$BO$1:$BO$50000,'Adv. Filter'!$A$14,'Adv. Filter'!$BO$1:$BO$50000,'Adv. Filter'!$B$14,'Adv. Filter'!$BP$1:$BP$50000,"Project")</f>
        <v>0</v>
      </c>
      <c r="U196" s="268"/>
      <c r="V196" s="268"/>
      <c r="W196" s="268"/>
      <c r="X196" s="268"/>
      <c r="Y196" s="268"/>
      <c r="Z196" s="268"/>
      <c r="AA196" s="268"/>
      <c r="AB196" s="268"/>
      <c r="AC196" s="269"/>
      <c r="AD196" s="267">
        <f>SUMIFS('Adv. Filter'!$BJ$1:$BJ$50000,'Adv. Filter'!$BT$1:$BT$50000,"Mahesh",'Adv. Filter'!$BQ$1:$BQ$50000,$C195,'Adv. Filter'!$BH$1:$BH$50000,"Bank",'Adv. Filter'!$BO$1:$BO$50000,'Adv. Filter'!$A$14,'Adv. Filter'!$BO$1:$BO$50000,'Adv. Filter'!$B$14,'Adv. Filter'!$BP$1:$BP$50000,"Project")</f>
        <v>0</v>
      </c>
      <c r="AE196" s="268"/>
      <c r="AF196" s="268"/>
      <c r="AG196" s="268"/>
      <c r="AH196" s="268"/>
      <c r="AI196" s="268"/>
      <c r="AJ196" s="268"/>
      <c r="AK196" s="268"/>
      <c r="AL196" s="268"/>
      <c r="AM196" s="269"/>
      <c r="AN196" s="267">
        <f t="shared" si="12"/>
        <v>0</v>
      </c>
      <c r="AO196" s="268"/>
      <c r="AP196" s="268"/>
      <c r="AQ196" s="268"/>
      <c r="AR196" s="268"/>
      <c r="AS196" s="268"/>
      <c r="AT196" s="268"/>
      <c r="AU196" s="268"/>
      <c r="AV196" s="268"/>
      <c r="AW196" s="269"/>
      <c r="AX196" s="22"/>
      <c r="AY196" s="308" t="s">
        <v>115</v>
      </c>
      <c r="AZ196" s="309"/>
      <c r="BA196" s="309"/>
      <c r="BB196" s="309"/>
      <c r="BC196" s="309"/>
      <c r="BD196" s="309"/>
      <c r="BE196" s="309"/>
      <c r="BF196" s="309"/>
      <c r="BG196" s="309"/>
      <c r="BH196" s="309"/>
      <c r="BI196" s="309"/>
      <c r="BJ196" s="309"/>
      <c r="BK196" s="309"/>
      <c r="BL196" s="309"/>
      <c r="BM196" s="309"/>
      <c r="BN196" s="309"/>
      <c r="BO196" s="310"/>
      <c r="BP196" s="267">
        <f>SUMIFS('Adv. Filter'!$BJ$1:$BJ$50000,'Adv. Filter'!$BT$1:$BT$50000,"Mahesh",'Adv. Filter'!$BQ$1:$BQ$50000,$AY195,'Adv. Filter'!$BH$1:$BH$50000,"Cash",'Adv. Filter'!$BO$1:$BO$50000,"&lt;"&amp;'Adv. Filter'!$A$15,'Adv. Filter'!$BP$1:$BP$50000,"Project")</f>
        <v>0</v>
      </c>
      <c r="BQ196" s="268"/>
      <c r="BR196" s="268"/>
      <c r="BS196" s="268"/>
      <c r="BT196" s="268"/>
      <c r="BU196" s="268"/>
      <c r="BV196" s="268"/>
      <c r="BW196" s="268"/>
      <c r="BX196" s="268"/>
      <c r="BY196" s="269"/>
      <c r="BZ196" s="267">
        <f>SUMIFS('Adv. Filter'!$BJ$1:$BJ$50000,'Adv. Filter'!$BT$1:$BT$50000,"Mahesh",'Adv. Filter'!$BQ$1:$BQ$50000,$AY195,'Adv. Filter'!$BH$1:$BH$50000,"Bank",'Adv. Filter'!$BO$1:$BO$50000,"&lt;"&amp;'Adv. Filter'!$A$15,'Adv. Filter'!$BP$1:$BP$50000,"Project")</f>
        <v>0</v>
      </c>
      <c r="CA196" s="268"/>
      <c r="CB196" s="268"/>
      <c r="CC196" s="268"/>
      <c r="CD196" s="268"/>
      <c r="CE196" s="268"/>
      <c r="CF196" s="268"/>
      <c r="CG196" s="268"/>
      <c r="CH196" s="268"/>
      <c r="CI196" s="269"/>
      <c r="CJ196" s="267">
        <f t="shared" si="13"/>
        <v>0</v>
      </c>
      <c r="CK196" s="268"/>
      <c r="CL196" s="268"/>
      <c r="CM196" s="268"/>
      <c r="CN196" s="268"/>
      <c r="CO196" s="268"/>
      <c r="CP196" s="268"/>
      <c r="CQ196" s="268"/>
      <c r="CR196" s="268"/>
      <c r="CS196" s="269"/>
      <c r="CT196"/>
      <c r="CU196"/>
      <c r="CV196"/>
      <c r="CW196"/>
      <c r="CX196"/>
      <c r="CY196"/>
      <c r="CZ196"/>
    </row>
    <row r="197" spans="1:104" hidden="1">
      <c r="C197" s="308" t="s">
        <v>510</v>
      </c>
      <c r="D197" s="309"/>
      <c r="E197" s="309"/>
      <c r="F197" s="309"/>
      <c r="G197" s="309"/>
      <c r="H197" s="309"/>
      <c r="I197" s="309"/>
      <c r="J197" s="309"/>
      <c r="K197" s="309"/>
      <c r="L197" s="309"/>
      <c r="M197" s="309"/>
      <c r="N197" s="309"/>
      <c r="O197" s="309"/>
      <c r="P197" s="309"/>
      <c r="Q197" s="309"/>
      <c r="R197" s="309"/>
      <c r="S197" s="310"/>
      <c r="T197" s="267">
        <v>0</v>
      </c>
      <c r="U197" s="268"/>
      <c r="V197" s="268"/>
      <c r="W197" s="268"/>
      <c r="X197" s="268"/>
      <c r="Y197" s="268"/>
      <c r="Z197" s="268"/>
      <c r="AA197" s="268"/>
      <c r="AB197" s="268"/>
      <c r="AC197" s="269"/>
      <c r="AD197" s="267">
        <v>0</v>
      </c>
      <c r="AE197" s="268"/>
      <c r="AF197" s="268"/>
      <c r="AG197" s="268"/>
      <c r="AH197" s="268"/>
      <c r="AI197" s="268"/>
      <c r="AJ197" s="268"/>
      <c r="AK197" s="268"/>
      <c r="AL197" s="268"/>
      <c r="AM197" s="269"/>
      <c r="AN197" s="267">
        <f t="shared" si="12"/>
        <v>0</v>
      </c>
      <c r="AO197" s="268"/>
      <c r="AP197" s="268"/>
      <c r="AQ197" s="268"/>
      <c r="AR197" s="268"/>
      <c r="AS197" s="268"/>
      <c r="AT197" s="268"/>
      <c r="AU197" s="268"/>
      <c r="AV197" s="268"/>
      <c r="AW197" s="269"/>
      <c r="AX197" s="22"/>
      <c r="AY197" s="308" t="s">
        <v>510</v>
      </c>
      <c r="AZ197" s="309"/>
      <c r="BA197" s="309"/>
      <c r="BB197" s="309"/>
      <c r="BC197" s="309"/>
      <c r="BD197" s="309"/>
      <c r="BE197" s="309"/>
      <c r="BF197" s="309"/>
      <c r="BG197" s="309"/>
      <c r="BH197" s="309"/>
      <c r="BI197" s="309"/>
      <c r="BJ197" s="309"/>
      <c r="BK197" s="309"/>
      <c r="BL197" s="309"/>
      <c r="BM197" s="309"/>
      <c r="BN197" s="309"/>
      <c r="BO197" s="310"/>
      <c r="BP197" s="267"/>
      <c r="BQ197" s="268"/>
      <c r="BR197" s="268"/>
      <c r="BS197" s="268"/>
      <c r="BT197" s="268"/>
      <c r="BU197" s="268"/>
      <c r="BV197" s="268"/>
      <c r="BW197" s="268"/>
      <c r="BX197" s="268"/>
      <c r="BY197" s="269"/>
      <c r="BZ197" s="267"/>
      <c r="CA197" s="268"/>
      <c r="CB197" s="268"/>
      <c r="CC197" s="268"/>
      <c r="CD197" s="268"/>
      <c r="CE197" s="268"/>
      <c r="CF197" s="268"/>
      <c r="CG197" s="268"/>
      <c r="CH197" s="268"/>
      <c r="CI197" s="269"/>
      <c r="CJ197" s="267">
        <f t="shared" si="13"/>
        <v>0</v>
      </c>
      <c r="CK197" s="268"/>
      <c r="CL197" s="268"/>
      <c r="CM197" s="268"/>
      <c r="CN197" s="268"/>
      <c r="CO197" s="268"/>
      <c r="CP197" s="268"/>
      <c r="CQ197" s="268"/>
      <c r="CR197" s="268"/>
      <c r="CS197" s="269"/>
    </row>
    <row r="198" spans="1:104" hidden="1">
      <c r="C198" s="43"/>
      <c r="D198" s="36" t="str">
        <f>IF(AN195=0,C195&amp;" -","")</f>
        <v/>
      </c>
      <c r="E198" s="42"/>
      <c r="F198" s="42"/>
      <c r="G198" s="42"/>
      <c r="H198" s="42"/>
      <c r="I198" s="42"/>
      <c r="J198" s="42"/>
      <c r="K198" s="42"/>
      <c r="L198" s="42"/>
      <c r="M198" s="42"/>
      <c r="N198" s="42"/>
      <c r="O198" s="42"/>
      <c r="P198" s="1"/>
      <c r="Q198" s="42"/>
      <c r="R198" s="41" t="s">
        <v>275</v>
      </c>
      <c r="S198" s="40"/>
      <c r="T198" s="267">
        <f>SUMIFS('Adv. Filter'!$CH$1:$CH$50000,'Adv. Filter'!$CD$1:$CD$50000,"Mahesh",'Adv. Filter'!$CE$1:$CE$50000,$C195,'Adv. Filter'!$CC$1:$CC$50000,"Suspense",'Adv. Filter'!$CF$1:$CF$50000,"Cash")</f>
        <v>0</v>
      </c>
      <c r="U198" s="268"/>
      <c r="V198" s="268"/>
      <c r="W198" s="268"/>
      <c r="X198" s="268"/>
      <c r="Y198" s="268"/>
      <c r="Z198" s="268"/>
      <c r="AA198" s="268"/>
      <c r="AB198" s="268"/>
      <c r="AC198" s="269"/>
      <c r="AD198" s="267">
        <f>SUMIFS('Adv. Filter'!$CH$1:$CH$50000,'Adv. Filter'!$CD$1:$CD$50000,"Mahesh",'Adv. Filter'!$CE$1:$CE$50000,$C195,'Adv. Filter'!$CC$1:$CC$50000,"Suspense",'Adv. Filter'!$CF$1:$CF$50000,"Bank")</f>
        <v>0</v>
      </c>
      <c r="AE198" s="268"/>
      <c r="AF198" s="268"/>
      <c r="AG198" s="268"/>
      <c r="AH198" s="268"/>
      <c r="AI198" s="268"/>
      <c r="AJ198" s="268"/>
      <c r="AK198" s="268"/>
      <c r="AL198" s="268"/>
      <c r="AM198" s="269"/>
      <c r="AN198" s="267">
        <f t="shared" si="12"/>
        <v>0</v>
      </c>
      <c r="AO198" s="268"/>
      <c r="AP198" s="268"/>
      <c r="AQ198" s="268"/>
      <c r="AR198" s="268"/>
      <c r="AS198" s="268"/>
      <c r="AT198" s="268"/>
      <c r="AU198" s="268"/>
      <c r="AV198" s="268"/>
      <c r="AW198" s="269"/>
      <c r="AX198" s="22"/>
      <c r="AY198" s="43"/>
      <c r="AZ198" s="36" t="str">
        <f>IF(CJ195=0,AY195&amp;" -","")</f>
        <v>SBT -</v>
      </c>
      <c r="BA198" s="42"/>
      <c r="BB198" s="42"/>
      <c r="BC198" s="42"/>
      <c r="BD198" s="42"/>
      <c r="BE198" s="42"/>
      <c r="BF198" s="42"/>
      <c r="BG198" s="42"/>
      <c r="BH198" s="42"/>
      <c r="BI198" s="42"/>
      <c r="BJ198" s="42"/>
      <c r="BK198" s="42"/>
      <c r="BL198" s="1"/>
      <c r="BM198" s="42"/>
      <c r="BN198" s="41" t="s">
        <v>275</v>
      </c>
      <c r="BO198" s="40"/>
      <c r="BP198" s="267"/>
      <c r="BQ198" s="268"/>
      <c r="BR198" s="268"/>
      <c r="BS198" s="268"/>
      <c r="BT198" s="268"/>
      <c r="BU198" s="268"/>
      <c r="BV198" s="268"/>
      <c r="BW198" s="268"/>
      <c r="BX198" s="268"/>
      <c r="BY198" s="269"/>
      <c r="BZ198" s="267"/>
      <c r="CA198" s="268"/>
      <c r="CB198" s="268"/>
      <c r="CC198" s="268"/>
      <c r="CD198" s="268"/>
      <c r="CE198" s="268"/>
      <c r="CF198" s="268"/>
      <c r="CG198" s="268"/>
      <c r="CH198" s="268"/>
      <c r="CI198" s="269"/>
      <c r="CJ198" s="267">
        <f t="shared" si="13"/>
        <v>0</v>
      </c>
      <c r="CK198" s="268"/>
      <c r="CL198" s="268"/>
      <c r="CM198" s="268"/>
      <c r="CN198" s="268"/>
      <c r="CO198" s="268"/>
      <c r="CP198" s="268"/>
      <c r="CQ198" s="268"/>
      <c r="CR198" s="268"/>
      <c r="CS198" s="269"/>
    </row>
    <row r="199" spans="1:104" hidden="1">
      <c r="A199" s="44"/>
      <c r="B199" s="44"/>
      <c r="C199" s="293" t="s">
        <v>92</v>
      </c>
      <c r="D199" s="294"/>
      <c r="E199" s="294"/>
      <c r="F199" s="294"/>
      <c r="G199" s="294"/>
      <c r="H199" s="294"/>
      <c r="I199" s="294"/>
      <c r="J199" s="294"/>
      <c r="K199" s="294"/>
      <c r="L199" s="294"/>
      <c r="M199" s="294"/>
      <c r="N199" s="294"/>
      <c r="O199" s="294"/>
      <c r="P199" s="294"/>
      <c r="Q199" s="294"/>
      <c r="R199" s="294"/>
      <c r="S199" s="295"/>
      <c r="T199" s="276">
        <f>SUMIFS('Adv. Filter'!$BJ$1:$BJ$50000,'Adv. Filter'!$BT$1:$BT$50000,"Mahesh",'Adv. Filter'!$BQ$1:$BQ$50000,$C199,'Adv. Filter'!$BH$1:$BH$50000,"Cash",'Adv. Filter'!$BO$1:$BO$50000,'Adv. Filter'!$A$14,'Adv. Filter'!$BO$1:$BO$50000,'Adv. Filter'!$B$14)</f>
        <v>0</v>
      </c>
      <c r="U199" s="277"/>
      <c r="V199" s="277"/>
      <c r="W199" s="277"/>
      <c r="X199" s="277"/>
      <c r="Y199" s="277"/>
      <c r="Z199" s="277"/>
      <c r="AA199" s="277"/>
      <c r="AB199" s="277"/>
      <c r="AC199" s="278"/>
      <c r="AD199" s="276">
        <f>SUMIFS('Adv. Filter'!$BJ$1:$BJ$50000,'Adv. Filter'!$BT$1:$BT$50000,"Mahesh",'Adv. Filter'!$BQ$1:$BQ$50000,$C199,'Adv. Filter'!$BH$1:$BH$50000,"Bank",'Adv. Filter'!$BO$1:$BO$50000,'Adv. Filter'!$A$14,'Adv. Filter'!$BO$1:$BO$50000,'Adv. Filter'!$B$14)</f>
        <v>0</v>
      </c>
      <c r="AE199" s="277"/>
      <c r="AF199" s="277"/>
      <c r="AG199" s="277"/>
      <c r="AH199" s="277"/>
      <c r="AI199" s="277"/>
      <c r="AJ199" s="277"/>
      <c r="AK199" s="277"/>
      <c r="AL199" s="277"/>
      <c r="AM199" s="278"/>
      <c r="AN199" s="276">
        <f t="shared" si="12"/>
        <v>0</v>
      </c>
      <c r="AO199" s="277"/>
      <c r="AP199" s="277"/>
      <c r="AQ199" s="277"/>
      <c r="AR199" s="277"/>
      <c r="AS199" s="277"/>
      <c r="AT199" s="277"/>
      <c r="AU199" s="277"/>
      <c r="AV199" s="277"/>
      <c r="AW199" s="278"/>
      <c r="AX199" s="45"/>
      <c r="AY199" s="293" t="s">
        <v>92</v>
      </c>
      <c r="AZ199" s="294"/>
      <c r="BA199" s="294"/>
      <c r="BB199" s="294"/>
      <c r="BC199" s="294"/>
      <c r="BD199" s="294"/>
      <c r="BE199" s="294"/>
      <c r="BF199" s="294"/>
      <c r="BG199" s="294"/>
      <c r="BH199" s="294"/>
      <c r="BI199" s="294"/>
      <c r="BJ199" s="294"/>
      <c r="BK199" s="294"/>
      <c r="BL199" s="294"/>
      <c r="BM199" s="294"/>
      <c r="BN199" s="294"/>
      <c r="BO199" s="295"/>
      <c r="BP199" s="276">
        <f>SUMIFS('Adv. Filter'!$BJ$1:$BJ$50000,'Adv. Filter'!$BT$1:$BT$50000,"Mahesh",'Adv. Filter'!$BQ$1:$BQ$50000,$AY199,'Adv. Filter'!$BH$1:$BH$50000,"Cash",'Adv. Filter'!$BO$1:$BO$50000,"&lt;"&amp;'Adv. Filter'!$A$15)</f>
        <v>0</v>
      </c>
      <c r="BQ199" s="277"/>
      <c r="BR199" s="277"/>
      <c r="BS199" s="277"/>
      <c r="BT199" s="277"/>
      <c r="BU199" s="277"/>
      <c r="BV199" s="277"/>
      <c r="BW199" s="277"/>
      <c r="BX199" s="277"/>
      <c r="BY199" s="278"/>
      <c r="BZ199" s="276">
        <f>SUMIFS('Adv. Filter'!$BJ$1:$BJ$50000,'Adv. Filter'!$BT$1:$BT$50000,"Mahesh",'Adv. Filter'!$BQ$1:$BQ$50000,$AY199,'Adv. Filter'!$BH$1:$BH$50000,"Bank",'Adv. Filter'!$BO$1:$BO$50000,"&lt;"&amp;'Adv. Filter'!$A$15)</f>
        <v>0</v>
      </c>
      <c r="CA199" s="277"/>
      <c r="CB199" s="277"/>
      <c r="CC199" s="277"/>
      <c r="CD199" s="277"/>
      <c r="CE199" s="277"/>
      <c r="CF199" s="277"/>
      <c r="CG199" s="277"/>
      <c r="CH199" s="277"/>
      <c r="CI199" s="278"/>
      <c r="CJ199" s="276">
        <f t="shared" si="13"/>
        <v>0</v>
      </c>
      <c r="CK199" s="277"/>
      <c r="CL199" s="277"/>
      <c r="CM199" s="277"/>
      <c r="CN199" s="277"/>
      <c r="CO199" s="277"/>
      <c r="CP199" s="277"/>
      <c r="CQ199" s="277"/>
      <c r="CR199" s="277"/>
      <c r="CS199" s="278"/>
      <c r="CT199" s="44"/>
      <c r="CU199" s="44"/>
      <c r="CV199" s="44"/>
      <c r="CW199" s="44"/>
      <c r="CX199" s="44"/>
      <c r="CY199" s="44"/>
      <c r="CZ199" s="44"/>
    </row>
    <row r="200" spans="1:104" s="44" customFormat="1" hidden="1">
      <c r="A200"/>
      <c r="B200"/>
      <c r="C200" s="308" t="s">
        <v>115</v>
      </c>
      <c r="D200" s="309"/>
      <c r="E200" s="309"/>
      <c r="F200" s="309"/>
      <c r="G200" s="309"/>
      <c r="H200" s="309"/>
      <c r="I200" s="309"/>
      <c r="J200" s="309"/>
      <c r="K200" s="309"/>
      <c r="L200" s="309"/>
      <c r="M200" s="309"/>
      <c r="N200" s="309"/>
      <c r="O200" s="309"/>
      <c r="P200" s="309"/>
      <c r="Q200" s="309"/>
      <c r="R200" s="309"/>
      <c r="S200" s="310"/>
      <c r="T200" s="267">
        <f>SUMIFS('Adv. Filter'!$BJ$1:$BJ$50000,'Adv. Filter'!$BT$1:$BT$50000,"Mahesh",'Adv. Filter'!$BQ$1:$BQ$50000,$C199,'Adv. Filter'!$BH$1:$BH$50000,"Cash",'Adv. Filter'!$BO$1:$BO$50000,'Adv. Filter'!$A$14,'Adv. Filter'!$BO$1:$BO$50000,'Adv. Filter'!$B$14,'Adv. Filter'!$BP$1:$BP$50000,"Project")</f>
        <v>0</v>
      </c>
      <c r="U200" s="268"/>
      <c r="V200" s="268"/>
      <c r="W200" s="268"/>
      <c r="X200" s="268"/>
      <c r="Y200" s="268"/>
      <c r="Z200" s="268"/>
      <c r="AA200" s="268"/>
      <c r="AB200" s="268"/>
      <c r="AC200" s="269"/>
      <c r="AD200" s="267">
        <f>SUMIFS('Adv. Filter'!$BJ$1:$BJ$50000,'Adv. Filter'!$BT$1:$BT$50000,"Mahesh",'Adv. Filter'!$BQ$1:$BQ$50000,$C199,'Adv. Filter'!$BH$1:$BH$50000,"Bank",'Adv. Filter'!$BO$1:$BO$50000,'Adv. Filter'!$A$14,'Adv. Filter'!$BO$1:$BO$50000,'Adv. Filter'!$B$14,'Adv. Filter'!$BP$1:$BP$50000,"Project")</f>
        <v>0</v>
      </c>
      <c r="AE200" s="268"/>
      <c r="AF200" s="268"/>
      <c r="AG200" s="268"/>
      <c r="AH200" s="268"/>
      <c r="AI200" s="268"/>
      <c r="AJ200" s="268"/>
      <c r="AK200" s="268"/>
      <c r="AL200" s="268"/>
      <c r="AM200" s="269"/>
      <c r="AN200" s="267">
        <f t="shared" si="12"/>
        <v>0</v>
      </c>
      <c r="AO200" s="268"/>
      <c r="AP200" s="268"/>
      <c r="AQ200" s="268"/>
      <c r="AR200" s="268"/>
      <c r="AS200" s="268"/>
      <c r="AT200" s="268"/>
      <c r="AU200" s="268"/>
      <c r="AV200" s="268"/>
      <c r="AW200" s="269"/>
      <c r="AX200" s="22"/>
      <c r="AY200" s="308" t="s">
        <v>115</v>
      </c>
      <c r="AZ200" s="309"/>
      <c r="BA200" s="309"/>
      <c r="BB200" s="309"/>
      <c r="BC200" s="309"/>
      <c r="BD200" s="309"/>
      <c r="BE200" s="309"/>
      <c r="BF200" s="309"/>
      <c r="BG200" s="309"/>
      <c r="BH200" s="309"/>
      <c r="BI200" s="309"/>
      <c r="BJ200" s="309"/>
      <c r="BK200" s="309"/>
      <c r="BL200" s="309"/>
      <c r="BM200" s="309"/>
      <c r="BN200" s="309"/>
      <c r="BO200" s="310"/>
      <c r="BP200" s="267">
        <f>SUMIFS('Adv. Filter'!$BJ$1:$BJ$50000,'Adv. Filter'!$BT$1:$BT$50000,"Mahesh",'Adv. Filter'!$BQ$1:$BQ$50000,$AY199,'Adv. Filter'!$BH$1:$BH$50000,"Cash",'Adv. Filter'!$BO$1:$BO$50000,"&lt;"&amp;'Adv. Filter'!$A$15,'Adv. Filter'!$BP$1:$BP$50000,"Project")</f>
        <v>0</v>
      </c>
      <c r="BQ200" s="268"/>
      <c r="BR200" s="268"/>
      <c r="BS200" s="268"/>
      <c r="BT200" s="268"/>
      <c r="BU200" s="268"/>
      <c r="BV200" s="268"/>
      <c r="BW200" s="268"/>
      <c r="BX200" s="268"/>
      <c r="BY200" s="269"/>
      <c r="BZ200" s="267">
        <f>SUMIFS('Adv. Filter'!$BJ$1:$BJ$50000,'Adv. Filter'!$BT$1:$BT$50000,"Mahesh",'Adv. Filter'!$BQ$1:$BQ$50000,$AY199,'Adv. Filter'!$BH$1:$BH$50000,"Bank",'Adv. Filter'!$BO$1:$BO$50000,"&lt;"&amp;'Adv. Filter'!$A$15,'Adv. Filter'!$BP$1:$BP$50000,"Project")</f>
        <v>0</v>
      </c>
      <c r="CA200" s="268"/>
      <c r="CB200" s="268"/>
      <c r="CC200" s="268"/>
      <c r="CD200" s="268"/>
      <c r="CE200" s="268"/>
      <c r="CF200" s="268"/>
      <c r="CG200" s="268"/>
      <c r="CH200" s="268"/>
      <c r="CI200" s="269"/>
      <c r="CJ200" s="267">
        <f t="shared" si="13"/>
        <v>0</v>
      </c>
      <c r="CK200" s="268"/>
      <c r="CL200" s="268"/>
      <c r="CM200" s="268"/>
      <c r="CN200" s="268"/>
      <c r="CO200" s="268"/>
      <c r="CP200" s="268"/>
      <c r="CQ200" s="268"/>
      <c r="CR200" s="268"/>
      <c r="CS200" s="269"/>
      <c r="CT200"/>
      <c r="CU200"/>
      <c r="CV200"/>
      <c r="CW200"/>
      <c r="CX200"/>
      <c r="CY200"/>
      <c r="CZ200"/>
    </row>
    <row r="201" spans="1:104" hidden="1">
      <c r="C201" s="308" t="s">
        <v>510</v>
      </c>
      <c r="D201" s="309"/>
      <c r="E201" s="309"/>
      <c r="F201" s="309"/>
      <c r="G201" s="309"/>
      <c r="H201" s="309"/>
      <c r="I201" s="309"/>
      <c r="J201" s="309"/>
      <c r="K201" s="309"/>
      <c r="L201" s="309"/>
      <c r="M201" s="309"/>
      <c r="N201" s="309"/>
      <c r="O201" s="309"/>
      <c r="P201" s="309"/>
      <c r="Q201" s="309"/>
      <c r="R201" s="309"/>
      <c r="S201" s="310"/>
      <c r="T201" s="267">
        <v>0</v>
      </c>
      <c r="U201" s="268"/>
      <c r="V201" s="268"/>
      <c r="W201" s="268"/>
      <c r="X201" s="268"/>
      <c r="Y201" s="268"/>
      <c r="Z201" s="268"/>
      <c r="AA201" s="268"/>
      <c r="AB201" s="268"/>
      <c r="AC201" s="269"/>
      <c r="AD201" s="267">
        <v>0</v>
      </c>
      <c r="AE201" s="268"/>
      <c r="AF201" s="268"/>
      <c r="AG201" s="268"/>
      <c r="AH201" s="268"/>
      <c r="AI201" s="268"/>
      <c r="AJ201" s="268"/>
      <c r="AK201" s="268"/>
      <c r="AL201" s="268"/>
      <c r="AM201" s="269"/>
      <c r="AN201" s="267">
        <f t="shared" si="12"/>
        <v>0</v>
      </c>
      <c r="AO201" s="268"/>
      <c r="AP201" s="268"/>
      <c r="AQ201" s="268"/>
      <c r="AR201" s="268"/>
      <c r="AS201" s="268"/>
      <c r="AT201" s="268"/>
      <c r="AU201" s="268"/>
      <c r="AV201" s="268"/>
      <c r="AW201" s="269"/>
      <c r="AX201" s="22"/>
      <c r="AY201" s="308" t="s">
        <v>510</v>
      </c>
      <c r="AZ201" s="309"/>
      <c r="BA201" s="309"/>
      <c r="BB201" s="309"/>
      <c r="BC201" s="309"/>
      <c r="BD201" s="309"/>
      <c r="BE201" s="309"/>
      <c r="BF201" s="309"/>
      <c r="BG201" s="309"/>
      <c r="BH201" s="309"/>
      <c r="BI201" s="309"/>
      <c r="BJ201" s="309"/>
      <c r="BK201" s="309"/>
      <c r="BL201" s="309"/>
      <c r="BM201" s="309"/>
      <c r="BN201" s="309"/>
      <c r="BO201" s="310"/>
      <c r="BP201" s="267"/>
      <c r="BQ201" s="268"/>
      <c r="BR201" s="268"/>
      <c r="BS201" s="268"/>
      <c r="BT201" s="268"/>
      <c r="BU201" s="268"/>
      <c r="BV201" s="268"/>
      <c r="BW201" s="268"/>
      <c r="BX201" s="268"/>
      <c r="BY201" s="269"/>
      <c r="BZ201" s="267"/>
      <c r="CA201" s="268"/>
      <c r="CB201" s="268"/>
      <c r="CC201" s="268"/>
      <c r="CD201" s="268"/>
      <c r="CE201" s="268"/>
      <c r="CF201" s="268"/>
      <c r="CG201" s="268"/>
      <c r="CH201" s="268"/>
      <c r="CI201" s="269"/>
      <c r="CJ201" s="267">
        <f t="shared" si="13"/>
        <v>0</v>
      </c>
      <c r="CK201" s="268"/>
      <c r="CL201" s="268"/>
      <c r="CM201" s="268"/>
      <c r="CN201" s="268"/>
      <c r="CO201" s="268"/>
      <c r="CP201" s="268"/>
      <c r="CQ201" s="268"/>
      <c r="CR201" s="268"/>
      <c r="CS201" s="269"/>
    </row>
    <row r="202" spans="1:104" hidden="1">
      <c r="C202" s="43"/>
      <c r="D202" s="36" t="str">
        <f>IF(AN199=0,C199&amp;" -","")</f>
        <v>Syndicate -</v>
      </c>
      <c r="E202" s="42"/>
      <c r="F202" s="42"/>
      <c r="G202" s="42"/>
      <c r="H202" s="42"/>
      <c r="I202" s="42"/>
      <c r="J202" s="42"/>
      <c r="K202" s="42"/>
      <c r="L202" s="42"/>
      <c r="M202" s="42"/>
      <c r="N202" s="42"/>
      <c r="O202" s="42"/>
      <c r="P202" s="1"/>
      <c r="Q202" s="42"/>
      <c r="R202" s="41" t="s">
        <v>275</v>
      </c>
      <c r="S202" s="40"/>
      <c r="T202" s="267">
        <f>SUMIFS('Adv. Filter'!$CH$1:$CH$50000,'Adv. Filter'!$CD$1:$CD$50000,"Mahesh",'Adv. Filter'!$CE$1:$CE$50000,$C199,'Adv. Filter'!$CC$1:$CC$50000,"Suspense",'Adv. Filter'!$CF$1:$CF$50000,"Cash")</f>
        <v>0</v>
      </c>
      <c r="U202" s="268"/>
      <c r="V202" s="268"/>
      <c r="W202" s="268"/>
      <c r="X202" s="268"/>
      <c r="Y202" s="268"/>
      <c r="Z202" s="268"/>
      <c r="AA202" s="268"/>
      <c r="AB202" s="268"/>
      <c r="AC202" s="269"/>
      <c r="AD202" s="267">
        <f>SUMIFS('Adv. Filter'!$CH$1:$CH$50000,'Adv. Filter'!$CD$1:$CD$50000,"Mahesh",'Adv. Filter'!$CE$1:$CE$50000,$C199,'Adv. Filter'!$CC$1:$CC$50000,"Suspense",'Adv. Filter'!$CF$1:$CF$50000,"Bank")</f>
        <v>0</v>
      </c>
      <c r="AE202" s="268"/>
      <c r="AF202" s="268"/>
      <c r="AG202" s="268"/>
      <c r="AH202" s="268"/>
      <c r="AI202" s="268"/>
      <c r="AJ202" s="268"/>
      <c r="AK202" s="268"/>
      <c r="AL202" s="268"/>
      <c r="AM202" s="269"/>
      <c r="AN202" s="267">
        <f t="shared" si="12"/>
        <v>0</v>
      </c>
      <c r="AO202" s="268"/>
      <c r="AP202" s="268"/>
      <c r="AQ202" s="268"/>
      <c r="AR202" s="268"/>
      <c r="AS202" s="268"/>
      <c r="AT202" s="268"/>
      <c r="AU202" s="268"/>
      <c r="AV202" s="268"/>
      <c r="AW202" s="269"/>
      <c r="AX202" s="22"/>
      <c r="AY202" s="43"/>
      <c r="AZ202" s="36" t="str">
        <f>IF(CJ199=0,AY199&amp;" -","")</f>
        <v>Syndicate -</v>
      </c>
      <c r="BA202" s="42"/>
      <c r="BB202" s="42"/>
      <c r="BC202" s="42"/>
      <c r="BD202" s="42"/>
      <c r="BE202" s="42"/>
      <c r="BF202" s="42"/>
      <c r="BG202" s="42"/>
      <c r="BH202" s="42"/>
      <c r="BI202" s="42"/>
      <c r="BJ202" s="42"/>
      <c r="BK202" s="42"/>
      <c r="BL202" s="1"/>
      <c r="BM202" s="42"/>
      <c r="BN202" s="41" t="s">
        <v>275</v>
      </c>
      <c r="BO202" s="40"/>
      <c r="BP202" s="267"/>
      <c r="BQ202" s="268"/>
      <c r="BR202" s="268"/>
      <c r="BS202" s="268"/>
      <c r="BT202" s="268"/>
      <c r="BU202" s="268"/>
      <c r="BV202" s="268"/>
      <c r="BW202" s="268"/>
      <c r="BX202" s="268"/>
      <c r="BY202" s="269"/>
      <c r="BZ202" s="267"/>
      <c r="CA202" s="268"/>
      <c r="CB202" s="268"/>
      <c r="CC202" s="268"/>
      <c r="CD202" s="268"/>
      <c r="CE202" s="268"/>
      <c r="CF202" s="268"/>
      <c r="CG202" s="268"/>
      <c r="CH202" s="268"/>
      <c r="CI202" s="269"/>
      <c r="CJ202" s="267">
        <f t="shared" si="13"/>
        <v>0</v>
      </c>
      <c r="CK202" s="268"/>
      <c r="CL202" s="268"/>
      <c r="CM202" s="268"/>
      <c r="CN202" s="268"/>
      <c r="CO202" s="268"/>
      <c r="CP202" s="268"/>
      <c r="CQ202" s="268"/>
      <c r="CR202" s="268"/>
      <c r="CS202" s="269"/>
    </row>
    <row r="203" spans="1:104" hidden="1">
      <c r="A203" s="44"/>
      <c r="B203" s="44"/>
      <c r="C203" s="293" t="s">
        <v>97</v>
      </c>
      <c r="D203" s="294"/>
      <c r="E203" s="294"/>
      <c r="F203" s="294"/>
      <c r="G203" s="294"/>
      <c r="H203" s="294"/>
      <c r="I203" s="294"/>
      <c r="J203" s="294"/>
      <c r="K203" s="294"/>
      <c r="L203" s="294"/>
      <c r="M203" s="294"/>
      <c r="N203" s="294"/>
      <c r="O203" s="294"/>
      <c r="P203" s="294"/>
      <c r="Q203" s="294"/>
      <c r="R203" s="294"/>
      <c r="S203" s="295"/>
      <c r="T203" s="276">
        <f>SUMIFS('Adv. Filter'!$BJ$1:$BJ$50000,'Adv. Filter'!$BT$1:$BT$50000,"Mahesh",'Adv. Filter'!$BQ$1:$BQ$50000,$C203,'Adv. Filter'!$BH$1:$BH$50000,"Cash",'Adv. Filter'!$BO$1:$BO$50000,'Adv. Filter'!$A$14,'Adv. Filter'!$BO$1:$BO$50000,'Adv. Filter'!$B$14)</f>
        <v>0</v>
      </c>
      <c r="U203" s="277"/>
      <c r="V203" s="277"/>
      <c r="W203" s="277"/>
      <c r="X203" s="277"/>
      <c r="Y203" s="277"/>
      <c r="Z203" s="277"/>
      <c r="AA203" s="277"/>
      <c r="AB203" s="277"/>
      <c r="AC203" s="278"/>
      <c r="AD203" s="276">
        <f>SUMIFS('Adv. Filter'!$BJ$1:$BJ$50000,'Adv. Filter'!$BT$1:$BT$50000,"Mahesh",'Adv. Filter'!$BQ$1:$BQ$50000,$C203,'Adv. Filter'!$BH$1:$BH$50000,"Bank",'Adv. Filter'!$BO$1:$BO$50000,'Adv. Filter'!$A$14,'Adv. Filter'!$BO$1:$BO$50000,'Adv. Filter'!$B$14)</f>
        <v>0</v>
      </c>
      <c r="AE203" s="277"/>
      <c r="AF203" s="277"/>
      <c r="AG203" s="277"/>
      <c r="AH203" s="277"/>
      <c r="AI203" s="277"/>
      <c r="AJ203" s="277"/>
      <c r="AK203" s="277"/>
      <c r="AL203" s="277"/>
      <c r="AM203" s="278"/>
      <c r="AN203" s="276">
        <f t="shared" si="12"/>
        <v>0</v>
      </c>
      <c r="AO203" s="277"/>
      <c r="AP203" s="277"/>
      <c r="AQ203" s="277"/>
      <c r="AR203" s="277"/>
      <c r="AS203" s="277"/>
      <c r="AT203" s="277"/>
      <c r="AU203" s="277"/>
      <c r="AV203" s="277"/>
      <c r="AW203" s="278"/>
      <c r="AX203" s="45"/>
      <c r="AY203" s="293" t="s">
        <v>97</v>
      </c>
      <c r="AZ203" s="294"/>
      <c r="BA203" s="294"/>
      <c r="BB203" s="294"/>
      <c r="BC203" s="294"/>
      <c r="BD203" s="294"/>
      <c r="BE203" s="294"/>
      <c r="BF203" s="294"/>
      <c r="BG203" s="294"/>
      <c r="BH203" s="294"/>
      <c r="BI203" s="294"/>
      <c r="BJ203" s="294"/>
      <c r="BK203" s="294"/>
      <c r="BL203" s="294"/>
      <c r="BM203" s="294"/>
      <c r="BN203" s="294"/>
      <c r="BO203" s="295"/>
      <c r="BP203" s="276">
        <f>SUMIFS('Adv. Filter'!$BJ$1:$BJ$50000,'Adv. Filter'!$BT$1:$BT$50000,"Mahesh",'Adv. Filter'!$BQ$1:$BQ$50000,$AY203,'Adv. Filter'!$BH$1:$BH$50000,"Cash",'Adv. Filter'!$BO$1:$BO$50000,"&lt;"&amp;'Adv. Filter'!$A$15)</f>
        <v>0</v>
      </c>
      <c r="BQ203" s="277"/>
      <c r="BR203" s="277"/>
      <c r="BS203" s="277"/>
      <c r="BT203" s="277"/>
      <c r="BU203" s="277"/>
      <c r="BV203" s="277"/>
      <c r="BW203" s="277"/>
      <c r="BX203" s="277"/>
      <c r="BY203" s="278"/>
      <c r="BZ203" s="276">
        <f>SUMIFS('Adv. Filter'!$BJ$1:$BJ$50000,'Adv. Filter'!$BT$1:$BT$50000,"Mahesh",'Adv. Filter'!$BQ$1:$BQ$50000,$AY203,'Adv. Filter'!$BH$1:$BH$50000,"Bank",'Adv. Filter'!$BO$1:$BO$50000,"&lt;"&amp;'Adv. Filter'!$A$15)</f>
        <v>0</v>
      </c>
      <c r="CA203" s="277"/>
      <c r="CB203" s="277"/>
      <c r="CC203" s="277"/>
      <c r="CD203" s="277"/>
      <c r="CE203" s="277"/>
      <c r="CF203" s="277"/>
      <c r="CG203" s="277"/>
      <c r="CH203" s="277"/>
      <c r="CI203" s="278"/>
      <c r="CJ203" s="276">
        <f t="shared" si="13"/>
        <v>0</v>
      </c>
      <c r="CK203" s="277"/>
      <c r="CL203" s="277"/>
      <c r="CM203" s="277"/>
      <c r="CN203" s="277"/>
      <c r="CO203" s="277"/>
      <c r="CP203" s="277"/>
      <c r="CQ203" s="277"/>
      <c r="CR203" s="277"/>
      <c r="CS203" s="278"/>
      <c r="CT203" s="44"/>
      <c r="CU203" s="44"/>
      <c r="CV203" s="44"/>
      <c r="CW203" s="44"/>
      <c r="CX203" s="44"/>
      <c r="CY203" s="44"/>
      <c r="CZ203" s="44"/>
    </row>
    <row r="204" spans="1:104" s="44" customFormat="1" hidden="1">
      <c r="A204"/>
      <c r="B204"/>
      <c r="C204" s="308" t="s">
        <v>115</v>
      </c>
      <c r="D204" s="309"/>
      <c r="E204" s="309"/>
      <c r="F204" s="309"/>
      <c r="G204" s="309"/>
      <c r="H204" s="309"/>
      <c r="I204" s="309"/>
      <c r="J204" s="309"/>
      <c r="K204" s="309"/>
      <c r="L204" s="309"/>
      <c r="M204" s="309"/>
      <c r="N204" s="309"/>
      <c r="O204" s="309"/>
      <c r="P204" s="309"/>
      <c r="Q204" s="309"/>
      <c r="R204" s="309"/>
      <c r="S204" s="310"/>
      <c r="T204" s="267">
        <f>SUMIFS('Adv. Filter'!$BJ$1:$BJ$50000,'Adv. Filter'!$BT$1:$BT$50000,"Mahesh",'Adv. Filter'!$BQ$1:$BQ$50000,$C203,'Adv. Filter'!$BH$1:$BH$50000,"Cash",'Adv. Filter'!$BO$1:$BO$50000,'Adv. Filter'!$A$14,'Adv. Filter'!$BO$1:$BO$50000,'Adv. Filter'!$B$14,'Adv. Filter'!$BP$1:$BP$50000,"Project")</f>
        <v>0</v>
      </c>
      <c r="U204" s="268"/>
      <c r="V204" s="268"/>
      <c r="W204" s="268"/>
      <c r="X204" s="268"/>
      <c r="Y204" s="268"/>
      <c r="Z204" s="268"/>
      <c r="AA204" s="268"/>
      <c r="AB204" s="268"/>
      <c r="AC204" s="269"/>
      <c r="AD204" s="267">
        <f>SUMIFS('Adv. Filter'!$BJ$1:$BJ$50000,'Adv. Filter'!$BT$1:$BT$50000,"Mahesh",'Adv. Filter'!$BQ$1:$BQ$50000,$C203,'Adv. Filter'!$BH$1:$BH$50000,"Bank",'Adv. Filter'!$BO$1:$BO$50000,'Adv. Filter'!$A$14,'Adv. Filter'!$BO$1:$BO$50000,'Adv. Filter'!$B$14,'Adv. Filter'!$BP$1:$BP$50000,"Project")</f>
        <v>0</v>
      </c>
      <c r="AE204" s="268"/>
      <c r="AF204" s="268"/>
      <c r="AG204" s="268"/>
      <c r="AH204" s="268"/>
      <c r="AI204" s="268"/>
      <c r="AJ204" s="268"/>
      <c r="AK204" s="268"/>
      <c r="AL204" s="268"/>
      <c r="AM204" s="269"/>
      <c r="AN204" s="267">
        <f t="shared" si="12"/>
        <v>0</v>
      </c>
      <c r="AO204" s="268"/>
      <c r="AP204" s="268"/>
      <c r="AQ204" s="268"/>
      <c r="AR204" s="268"/>
      <c r="AS204" s="268"/>
      <c r="AT204" s="268"/>
      <c r="AU204" s="268"/>
      <c r="AV204" s="268"/>
      <c r="AW204" s="269"/>
      <c r="AX204" s="22"/>
      <c r="AY204" s="308" t="s">
        <v>115</v>
      </c>
      <c r="AZ204" s="309"/>
      <c r="BA204" s="309"/>
      <c r="BB204" s="309"/>
      <c r="BC204" s="309"/>
      <c r="BD204" s="309"/>
      <c r="BE204" s="309"/>
      <c r="BF204" s="309"/>
      <c r="BG204" s="309"/>
      <c r="BH204" s="309"/>
      <c r="BI204" s="309"/>
      <c r="BJ204" s="309"/>
      <c r="BK204" s="309"/>
      <c r="BL204" s="309"/>
      <c r="BM204" s="309"/>
      <c r="BN204" s="309"/>
      <c r="BO204" s="310"/>
      <c r="BP204" s="267">
        <f>SUMIFS('Adv. Filter'!$BJ$1:$BJ$50000,'Adv. Filter'!$BT$1:$BT$50000,"Mahesh",'Adv. Filter'!$BQ$1:$BQ$50000,$AY203,'Adv. Filter'!$BH$1:$BH$50000,"Cash",'Adv. Filter'!$BO$1:$BO$50000,"&lt;"&amp;'Adv. Filter'!$A$15,'Adv. Filter'!$BP$1:$BP$50000,"Project")</f>
        <v>0</v>
      </c>
      <c r="BQ204" s="268"/>
      <c r="BR204" s="268"/>
      <c r="BS204" s="268"/>
      <c r="BT204" s="268"/>
      <c r="BU204" s="268"/>
      <c r="BV204" s="268"/>
      <c r="BW204" s="268"/>
      <c r="BX204" s="268"/>
      <c r="BY204" s="269"/>
      <c r="BZ204" s="267">
        <f>SUMIFS('Adv. Filter'!$BJ$1:$BJ$50000,'Adv. Filter'!$BT$1:$BT$50000,"Mahesh",'Adv. Filter'!$BQ$1:$BQ$50000,$AY203,'Adv. Filter'!$BH$1:$BH$50000,"Bank",'Adv. Filter'!$BO$1:$BO$50000,"&lt;"&amp;'Adv. Filter'!$A$15,'Adv. Filter'!$BP$1:$BP$50000,"Project")</f>
        <v>0</v>
      </c>
      <c r="CA204" s="268"/>
      <c r="CB204" s="268"/>
      <c r="CC204" s="268"/>
      <c r="CD204" s="268"/>
      <c r="CE204" s="268"/>
      <c r="CF204" s="268"/>
      <c r="CG204" s="268"/>
      <c r="CH204" s="268"/>
      <c r="CI204" s="269"/>
      <c r="CJ204" s="267">
        <f t="shared" si="13"/>
        <v>0</v>
      </c>
      <c r="CK204" s="268"/>
      <c r="CL204" s="268"/>
      <c r="CM204" s="268"/>
      <c r="CN204" s="268"/>
      <c r="CO204" s="268"/>
      <c r="CP204" s="268"/>
      <c r="CQ204" s="268"/>
      <c r="CR204" s="268"/>
      <c r="CS204" s="269"/>
      <c r="CT204"/>
      <c r="CU204"/>
      <c r="CV204"/>
      <c r="CW204"/>
      <c r="CX204"/>
      <c r="CY204"/>
      <c r="CZ204"/>
    </row>
    <row r="205" spans="1:104" hidden="1">
      <c r="C205" s="308" t="s">
        <v>510</v>
      </c>
      <c r="D205" s="309"/>
      <c r="E205" s="309"/>
      <c r="F205" s="309"/>
      <c r="G205" s="309"/>
      <c r="H205" s="309"/>
      <c r="I205" s="309"/>
      <c r="J205" s="309"/>
      <c r="K205" s="309"/>
      <c r="L205" s="309"/>
      <c r="M205" s="309"/>
      <c r="N205" s="309"/>
      <c r="O205" s="309"/>
      <c r="P205" s="309"/>
      <c r="Q205" s="309"/>
      <c r="R205" s="309"/>
      <c r="S205" s="310"/>
      <c r="T205" s="267">
        <v>0</v>
      </c>
      <c r="U205" s="268"/>
      <c r="V205" s="268"/>
      <c r="W205" s="268"/>
      <c r="X205" s="268"/>
      <c r="Y205" s="268"/>
      <c r="Z205" s="268"/>
      <c r="AA205" s="268"/>
      <c r="AB205" s="268"/>
      <c r="AC205" s="269"/>
      <c r="AD205" s="267">
        <v>0</v>
      </c>
      <c r="AE205" s="268"/>
      <c r="AF205" s="268"/>
      <c r="AG205" s="268"/>
      <c r="AH205" s="268"/>
      <c r="AI205" s="268"/>
      <c r="AJ205" s="268"/>
      <c r="AK205" s="268"/>
      <c r="AL205" s="268"/>
      <c r="AM205" s="269"/>
      <c r="AN205" s="267">
        <f t="shared" si="12"/>
        <v>0</v>
      </c>
      <c r="AO205" s="268"/>
      <c r="AP205" s="268"/>
      <c r="AQ205" s="268"/>
      <c r="AR205" s="268"/>
      <c r="AS205" s="268"/>
      <c r="AT205" s="268"/>
      <c r="AU205" s="268"/>
      <c r="AV205" s="268"/>
      <c r="AW205" s="269"/>
      <c r="AX205" s="22"/>
      <c r="AY205" s="308" t="s">
        <v>510</v>
      </c>
      <c r="AZ205" s="309"/>
      <c r="BA205" s="309"/>
      <c r="BB205" s="309"/>
      <c r="BC205" s="309"/>
      <c r="BD205" s="309"/>
      <c r="BE205" s="309"/>
      <c r="BF205" s="309"/>
      <c r="BG205" s="309"/>
      <c r="BH205" s="309"/>
      <c r="BI205" s="309"/>
      <c r="BJ205" s="309"/>
      <c r="BK205" s="309"/>
      <c r="BL205" s="309"/>
      <c r="BM205" s="309"/>
      <c r="BN205" s="309"/>
      <c r="BO205" s="310"/>
      <c r="BP205" s="267"/>
      <c r="BQ205" s="268"/>
      <c r="BR205" s="268"/>
      <c r="BS205" s="268"/>
      <c r="BT205" s="268"/>
      <c r="BU205" s="268"/>
      <c r="BV205" s="268"/>
      <c r="BW205" s="268"/>
      <c r="BX205" s="268"/>
      <c r="BY205" s="269"/>
      <c r="BZ205" s="267"/>
      <c r="CA205" s="268"/>
      <c r="CB205" s="268"/>
      <c r="CC205" s="268"/>
      <c r="CD205" s="268"/>
      <c r="CE205" s="268"/>
      <c r="CF205" s="268"/>
      <c r="CG205" s="268"/>
      <c r="CH205" s="268"/>
      <c r="CI205" s="269"/>
      <c r="CJ205" s="267">
        <f t="shared" si="13"/>
        <v>0</v>
      </c>
      <c r="CK205" s="268"/>
      <c r="CL205" s="268"/>
      <c r="CM205" s="268"/>
      <c r="CN205" s="268"/>
      <c r="CO205" s="268"/>
      <c r="CP205" s="268"/>
      <c r="CQ205" s="268"/>
      <c r="CR205" s="268"/>
      <c r="CS205" s="269"/>
    </row>
    <row r="206" spans="1:104" hidden="1">
      <c r="C206" s="43"/>
      <c r="D206" s="36" t="str">
        <f>IF(AN203=0,C203&amp;" -","")</f>
        <v>TGB -</v>
      </c>
      <c r="E206" s="42"/>
      <c r="F206" s="42"/>
      <c r="G206" s="42"/>
      <c r="H206" s="42"/>
      <c r="I206" s="42"/>
      <c r="J206" s="42"/>
      <c r="K206" s="42"/>
      <c r="L206" s="42"/>
      <c r="M206" s="42"/>
      <c r="N206" s="42"/>
      <c r="O206" s="42"/>
      <c r="P206" s="1"/>
      <c r="Q206" s="42"/>
      <c r="R206" s="41" t="s">
        <v>275</v>
      </c>
      <c r="S206" s="40"/>
      <c r="T206" s="267">
        <f>SUMIFS('Adv. Filter'!$CH$1:$CH$50000,'Adv. Filter'!$CD$1:$CD$50000,"Mahesh",'Adv. Filter'!$CE$1:$CE$50000,$C203,'Adv. Filter'!$CC$1:$CC$50000,"Suspense",'Adv. Filter'!$CF$1:$CF$50000,"Cash")</f>
        <v>0</v>
      </c>
      <c r="U206" s="268"/>
      <c r="V206" s="268"/>
      <c r="W206" s="268"/>
      <c r="X206" s="268"/>
      <c r="Y206" s="268"/>
      <c r="Z206" s="268"/>
      <c r="AA206" s="268"/>
      <c r="AB206" s="268"/>
      <c r="AC206" s="269"/>
      <c r="AD206" s="267">
        <f>SUMIFS('Adv. Filter'!$CH$1:$CH$50000,'Adv. Filter'!$CD$1:$CD$50000,"Mahesh",'Adv. Filter'!$CE$1:$CE$50000,$C203,'Adv. Filter'!$CC$1:$CC$50000,"Suspense",'Adv. Filter'!$CF$1:$CF$50000,"Bank")</f>
        <v>0</v>
      </c>
      <c r="AE206" s="268"/>
      <c r="AF206" s="268"/>
      <c r="AG206" s="268"/>
      <c r="AH206" s="268"/>
      <c r="AI206" s="268"/>
      <c r="AJ206" s="268"/>
      <c r="AK206" s="268"/>
      <c r="AL206" s="268"/>
      <c r="AM206" s="269"/>
      <c r="AN206" s="267">
        <f t="shared" si="12"/>
        <v>0</v>
      </c>
      <c r="AO206" s="268"/>
      <c r="AP206" s="268"/>
      <c r="AQ206" s="268"/>
      <c r="AR206" s="268"/>
      <c r="AS206" s="268"/>
      <c r="AT206" s="268"/>
      <c r="AU206" s="268"/>
      <c r="AV206" s="268"/>
      <c r="AW206" s="269"/>
      <c r="AX206" s="22"/>
      <c r="AY206" s="43"/>
      <c r="AZ206" s="36" t="str">
        <f>IF(CJ203=0,AY203&amp;" -","")</f>
        <v>TGB -</v>
      </c>
      <c r="BA206" s="42"/>
      <c r="BB206" s="42"/>
      <c r="BC206" s="42"/>
      <c r="BD206" s="42"/>
      <c r="BE206" s="42"/>
      <c r="BF206" s="42"/>
      <c r="BG206" s="42"/>
      <c r="BH206" s="42"/>
      <c r="BI206" s="42"/>
      <c r="BJ206" s="42"/>
      <c r="BK206" s="42"/>
      <c r="BL206" s="1"/>
      <c r="BM206" s="42"/>
      <c r="BN206" s="41" t="s">
        <v>275</v>
      </c>
      <c r="BO206" s="40"/>
      <c r="BP206" s="267"/>
      <c r="BQ206" s="268"/>
      <c r="BR206" s="268"/>
      <c r="BS206" s="268"/>
      <c r="BT206" s="268"/>
      <c r="BU206" s="268"/>
      <c r="BV206" s="268"/>
      <c r="BW206" s="268"/>
      <c r="BX206" s="268"/>
      <c r="BY206" s="269"/>
      <c r="BZ206" s="267"/>
      <c r="CA206" s="268"/>
      <c r="CB206" s="268"/>
      <c r="CC206" s="268"/>
      <c r="CD206" s="268"/>
      <c r="CE206" s="268"/>
      <c r="CF206" s="268"/>
      <c r="CG206" s="268"/>
      <c r="CH206" s="268"/>
      <c r="CI206" s="269"/>
      <c r="CJ206" s="267">
        <f t="shared" si="13"/>
        <v>0</v>
      </c>
      <c r="CK206" s="268"/>
      <c r="CL206" s="268"/>
      <c r="CM206" s="268"/>
      <c r="CN206" s="268"/>
      <c r="CO206" s="268"/>
      <c r="CP206" s="268"/>
      <c r="CQ206" s="268"/>
      <c r="CR206" s="268"/>
      <c r="CS206" s="269"/>
    </row>
    <row r="207" spans="1:104" hidden="1">
      <c r="A207" s="44"/>
      <c r="B207" s="44"/>
      <c r="C207" s="293" t="s">
        <v>102</v>
      </c>
      <c r="D207" s="294"/>
      <c r="E207" s="294"/>
      <c r="F207" s="294"/>
      <c r="G207" s="294"/>
      <c r="H207" s="294"/>
      <c r="I207" s="294"/>
      <c r="J207" s="294"/>
      <c r="K207" s="294"/>
      <c r="L207" s="294"/>
      <c r="M207" s="294"/>
      <c r="N207" s="294"/>
      <c r="O207" s="294"/>
      <c r="P207" s="294"/>
      <c r="Q207" s="294"/>
      <c r="R207" s="294"/>
      <c r="S207" s="295"/>
      <c r="T207" s="276">
        <f>SUMIFS('Adv. Filter'!$BJ$1:$BJ$50000,'Adv. Filter'!$BT$1:$BT$50000,"Mahesh",'Adv. Filter'!$BQ$1:$BQ$50000,$C207,'Adv. Filter'!$BH$1:$BH$50000,"Cash",'Adv. Filter'!$BO$1:$BO$50000,'Adv. Filter'!$A$14,'Adv. Filter'!$BO$1:$BO$50000,'Adv. Filter'!$B$14)</f>
        <v>421500</v>
      </c>
      <c r="U207" s="277"/>
      <c r="V207" s="277"/>
      <c r="W207" s="277"/>
      <c r="X207" s="277"/>
      <c r="Y207" s="277"/>
      <c r="Z207" s="277"/>
      <c r="AA207" s="277"/>
      <c r="AB207" s="277"/>
      <c r="AC207" s="278"/>
      <c r="AD207" s="276">
        <f>SUMIFS('Adv. Filter'!$BJ$1:$BJ$50000,'Adv. Filter'!$BT$1:$BT$50000,"Mahesh",'Adv. Filter'!$BQ$1:$BQ$50000,$C207,'Adv. Filter'!$BH$1:$BH$50000,"Bank",'Adv. Filter'!$BO$1:$BO$50000,'Adv. Filter'!$A$14,'Adv. Filter'!$BO$1:$BO$50000,'Adv. Filter'!$B$14)</f>
        <v>198000</v>
      </c>
      <c r="AE207" s="277"/>
      <c r="AF207" s="277"/>
      <c r="AG207" s="277"/>
      <c r="AH207" s="277"/>
      <c r="AI207" s="277"/>
      <c r="AJ207" s="277"/>
      <c r="AK207" s="277"/>
      <c r="AL207" s="277"/>
      <c r="AM207" s="278"/>
      <c r="AN207" s="276">
        <f t="shared" si="12"/>
        <v>619500</v>
      </c>
      <c r="AO207" s="277"/>
      <c r="AP207" s="277"/>
      <c r="AQ207" s="277"/>
      <c r="AR207" s="277"/>
      <c r="AS207" s="277"/>
      <c r="AT207" s="277"/>
      <c r="AU207" s="277"/>
      <c r="AV207" s="277"/>
      <c r="AW207" s="278"/>
      <c r="AX207" s="45"/>
      <c r="AY207" s="293" t="s">
        <v>102</v>
      </c>
      <c r="AZ207" s="294"/>
      <c r="BA207" s="294"/>
      <c r="BB207" s="294"/>
      <c r="BC207" s="294"/>
      <c r="BD207" s="294"/>
      <c r="BE207" s="294"/>
      <c r="BF207" s="294"/>
      <c r="BG207" s="294"/>
      <c r="BH207" s="294"/>
      <c r="BI207" s="294"/>
      <c r="BJ207" s="294"/>
      <c r="BK207" s="294"/>
      <c r="BL207" s="294"/>
      <c r="BM207" s="294"/>
      <c r="BN207" s="294"/>
      <c r="BO207" s="295"/>
      <c r="BP207" s="276">
        <f>SUMIFS('Adv. Filter'!$BJ$1:$BJ$50000,'Adv. Filter'!$BT$1:$BT$50000,"Mahesh",'Adv. Filter'!$BQ$1:$BQ$50000,$AY207,'Adv. Filter'!$BH$1:$BH$50000,"Cash",'Adv. Filter'!$BO$1:$BO$50000,"&lt;"&amp;'Adv. Filter'!$A$15)</f>
        <v>0</v>
      </c>
      <c r="BQ207" s="277"/>
      <c r="BR207" s="277"/>
      <c r="BS207" s="277"/>
      <c r="BT207" s="277"/>
      <c r="BU207" s="277"/>
      <c r="BV207" s="277"/>
      <c r="BW207" s="277"/>
      <c r="BX207" s="277"/>
      <c r="BY207" s="278"/>
      <c r="BZ207" s="276">
        <f>SUMIFS('Adv. Filter'!$BJ$1:$BJ$50000,'Adv. Filter'!$BT$1:$BT$50000,"Mahesh",'Adv. Filter'!$BQ$1:$BQ$50000,$AY207,'Adv. Filter'!$BH$1:$BH$50000,"Bank",'Adv. Filter'!$BO$1:$BO$50000,"&lt;"&amp;'Adv. Filter'!$A$15)</f>
        <v>7500</v>
      </c>
      <c r="CA207" s="277"/>
      <c r="CB207" s="277"/>
      <c r="CC207" s="277"/>
      <c r="CD207" s="277"/>
      <c r="CE207" s="277"/>
      <c r="CF207" s="277"/>
      <c r="CG207" s="277"/>
      <c r="CH207" s="277"/>
      <c r="CI207" s="278"/>
      <c r="CJ207" s="276">
        <f t="shared" si="13"/>
        <v>7500</v>
      </c>
      <c r="CK207" s="277"/>
      <c r="CL207" s="277"/>
      <c r="CM207" s="277"/>
      <c r="CN207" s="277"/>
      <c r="CO207" s="277"/>
      <c r="CP207" s="277"/>
      <c r="CQ207" s="277"/>
      <c r="CR207" s="277"/>
      <c r="CS207" s="278"/>
      <c r="CT207" s="44"/>
      <c r="CU207" s="44"/>
      <c r="CV207" s="44"/>
      <c r="CW207" s="44"/>
      <c r="CX207" s="44"/>
      <c r="CY207" s="44"/>
      <c r="CZ207" s="44"/>
    </row>
    <row r="208" spans="1:104" s="44" customFormat="1" hidden="1">
      <c r="A208"/>
      <c r="B208"/>
      <c r="C208" s="308" t="s">
        <v>115</v>
      </c>
      <c r="D208" s="309"/>
      <c r="E208" s="309"/>
      <c r="F208" s="309"/>
      <c r="G208" s="309"/>
      <c r="H208" s="309"/>
      <c r="I208" s="309"/>
      <c r="J208" s="309"/>
      <c r="K208" s="309"/>
      <c r="L208" s="309"/>
      <c r="M208" s="309"/>
      <c r="N208" s="309"/>
      <c r="O208" s="309"/>
      <c r="P208" s="309"/>
      <c r="Q208" s="309"/>
      <c r="R208" s="309"/>
      <c r="S208" s="310"/>
      <c r="T208" s="267">
        <f>SUMIFS('Adv. Filter'!$BJ$1:$BJ$50000,'Adv. Filter'!$BT$1:$BT$50000,"Mahesh",'Adv. Filter'!$BQ$1:$BQ$50000,$C207,'Adv. Filter'!$BH$1:$BH$50000,"Cash",'Adv. Filter'!$BO$1:$BO$50000,'Adv. Filter'!$A$14,'Adv. Filter'!$BO$1:$BO$50000,'Adv. Filter'!$B$14,'Adv. Filter'!$BP$1:$BP$50000,"Project")</f>
        <v>0</v>
      </c>
      <c r="U208" s="268"/>
      <c r="V208" s="268"/>
      <c r="W208" s="268"/>
      <c r="X208" s="268"/>
      <c r="Y208" s="268"/>
      <c r="Z208" s="268"/>
      <c r="AA208" s="268"/>
      <c r="AB208" s="268"/>
      <c r="AC208" s="269"/>
      <c r="AD208" s="267">
        <f>SUMIFS('Adv. Filter'!$BJ$1:$BJ$50000,'Adv. Filter'!$BT$1:$BT$50000,"Mahesh",'Adv. Filter'!$BQ$1:$BQ$50000,$C207,'Adv. Filter'!$BH$1:$BH$50000,"Bank",'Adv. Filter'!$BO$1:$BO$50000,'Adv. Filter'!$A$14,'Adv. Filter'!$BO$1:$BO$50000,'Adv. Filter'!$B$14,'Adv. Filter'!$BP$1:$BP$50000,"Project")</f>
        <v>15000</v>
      </c>
      <c r="AE208" s="268"/>
      <c r="AF208" s="268"/>
      <c r="AG208" s="268"/>
      <c r="AH208" s="268"/>
      <c r="AI208" s="268"/>
      <c r="AJ208" s="268"/>
      <c r="AK208" s="268"/>
      <c r="AL208" s="268"/>
      <c r="AM208" s="269"/>
      <c r="AN208" s="267">
        <f t="shared" si="12"/>
        <v>15000</v>
      </c>
      <c r="AO208" s="268"/>
      <c r="AP208" s="268"/>
      <c r="AQ208" s="268"/>
      <c r="AR208" s="268"/>
      <c r="AS208" s="268"/>
      <c r="AT208" s="268"/>
      <c r="AU208" s="268"/>
      <c r="AV208" s="268"/>
      <c r="AW208" s="269"/>
      <c r="AX208" s="22"/>
      <c r="AY208" s="308" t="s">
        <v>115</v>
      </c>
      <c r="AZ208" s="309"/>
      <c r="BA208" s="309"/>
      <c r="BB208" s="309"/>
      <c r="BC208" s="309"/>
      <c r="BD208" s="309"/>
      <c r="BE208" s="309"/>
      <c r="BF208" s="309"/>
      <c r="BG208" s="309"/>
      <c r="BH208" s="309"/>
      <c r="BI208" s="309"/>
      <c r="BJ208" s="309"/>
      <c r="BK208" s="309"/>
      <c r="BL208" s="309"/>
      <c r="BM208" s="309"/>
      <c r="BN208" s="309"/>
      <c r="BO208" s="310"/>
      <c r="BP208" s="267">
        <f>SUMIFS('Adv. Filter'!$BJ$1:$BJ$50000,'Adv. Filter'!$BT$1:$BT$50000,"Mahesh",'Adv. Filter'!$BQ$1:$BQ$50000,$AY207,'Adv. Filter'!$BH$1:$BH$50000,"Cash",'Adv. Filter'!$BO$1:$BO$50000,"&lt;"&amp;'Adv. Filter'!$A$15,'Adv. Filter'!$BP$1:$BP$50000,"Project")</f>
        <v>0</v>
      </c>
      <c r="BQ208" s="268"/>
      <c r="BR208" s="268"/>
      <c r="BS208" s="268"/>
      <c r="BT208" s="268"/>
      <c r="BU208" s="268"/>
      <c r="BV208" s="268"/>
      <c r="BW208" s="268"/>
      <c r="BX208" s="268"/>
      <c r="BY208" s="269"/>
      <c r="BZ208" s="267">
        <f>SUMIFS('Adv. Filter'!$BJ$1:$BJ$50000,'Adv. Filter'!$BT$1:$BT$50000,"Mahesh",'Adv. Filter'!$BQ$1:$BQ$50000,$AY207,'Adv. Filter'!$BH$1:$BH$50000,"Bank",'Adv. Filter'!$BO$1:$BO$50000,"&lt;"&amp;'Adv. Filter'!$A$15,'Adv. Filter'!$BP$1:$BP$50000,"Project")</f>
        <v>0</v>
      </c>
      <c r="CA208" s="268"/>
      <c r="CB208" s="268"/>
      <c r="CC208" s="268"/>
      <c r="CD208" s="268"/>
      <c r="CE208" s="268"/>
      <c r="CF208" s="268"/>
      <c r="CG208" s="268"/>
      <c r="CH208" s="268"/>
      <c r="CI208" s="269"/>
      <c r="CJ208" s="267">
        <f t="shared" si="13"/>
        <v>0</v>
      </c>
      <c r="CK208" s="268"/>
      <c r="CL208" s="268"/>
      <c r="CM208" s="268"/>
      <c r="CN208" s="268"/>
      <c r="CO208" s="268"/>
      <c r="CP208" s="268"/>
      <c r="CQ208" s="268"/>
      <c r="CR208" s="268"/>
      <c r="CS208" s="269"/>
      <c r="CT208"/>
      <c r="CU208"/>
      <c r="CV208"/>
      <c r="CW208"/>
      <c r="CX208"/>
      <c r="CY208"/>
      <c r="CZ208"/>
    </row>
    <row r="209" spans="1:104" hidden="1">
      <c r="C209" s="308" t="s">
        <v>510</v>
      </c>
      <c r="D209" s="309"/>
      <c r="E209" s="309"/>
      <c r="F209" s="309"/>
      <c r="G209" s="309"/>
      <c r="H209" s="309"/>
      <c r="I209" s="309"/>
      <c r="J209" s="309"/>
      <c r="K209" s="309"/>
      <c r="L209" s="309"/>
      <c r="M209" s="309"/>
      <c r="N209" s="309"/>
      <c r="O209" s="309"/>
      <c r="P209" s="309"/>
      <c r="Q209" s="309"/>
      <c r="R209" s="309"/>
      <c r="S209" s="310"/>
      <c r="T209" s="267">
        <v>0</v>
      </c>
      <c r="U209" s="268"/>
      <c r="V209" s="268"/>
      <c r="W209" s="268"/>
      <c r="X209" s="268"/>
      <c r="Y209" s="268"/>
      <c r="Z209" s="268"/>
      <c r="AA209" s="268"/>
      <c r="AB209" s="268"/>
      <c r="AC209" s="269"/>
      <c r="AD209" s="267">
        <v>0</v>
      </c>
      <c r="AE209" s="268"/>
      <c r="AF209" s="268"/>
      <c r="AG209" s="268"/>
      <c r="AH209" s="268"/>
      <c r="AI209" s="268"/>
      <c r="AJ209" s="268"/>
      <c r="AK209" s="268"/>
      <c r="AL209" s="268"/>
      <c r="AM209" s="269"/>
      <c r="AN209" s="267">
        <f t="shared" si="12"/>
        <v>0</v>
      </c>
      <c r="AO209" s="268"/>
      <c r="AP209" s="268"/>
      <c r="AQ209" s="268"/>
      <c r="AR209" s="268"/>
      <c r="AS209" s="268"/>
      <c r="AT209" s="268"/>
      <c r="AU209" s="268"/>
      <c r="AV209" s="268"/>
      <c r="AW209" s="269"/>
      <c r="AX209" s="22"/>
      <c r="AY209" s="308" t="s">
        <v>510</v>
      </c>
      <c r="AZ209" s="309"/>
      <c r="BA209" s="309"/>
      <c r="BB209" s="309"/>
      <c r="BC209" s="309"/>
      <c r="BD209" s="309"/>
      <c r="BE209" s="309"/>
      <c r="BF209" s="309"/>
      <c r="BG209" s="309"/>
      <c r="BH209" s="309"/>
      <c r="BI209" s="309"/>
      <c r="BJ209" s="309"/>
      <c r="BK209" s="309"/>
      <c r="BL209" s="309"/>
      <c r="BM209" s="309"/>
      <c r="BN209" s="309"/>
      <c r="BO209" s="310"/>
      <c r="BP209" s="267"/>
      <c r="BQ209" s="268"/>
      <c r="BR209" s="268"/>
      <c r="BS209" s="268"/>
      <c r="BT209" s="268"/>
      <c r="BU209" s="268"/>
      <c r="BV209" s="268"/>
      <c r="BW209" s="268"/>
      <c r="BX209" s="268"/>
      <c r="BY209" s="269"/>
      <c r="BZ209" s="267"/>
      <c r="CA209" s="268"/>
      <c r="CB209" s="268"/>
      <c r="CC209" s="268"/>
      <c r="CD209" s="268"/>
      <c r="CE209" s="268"/>
      <c r="CF209" s="268"/>
      <c r="CG209" s="268"/>
      <c r="CH209" s="268"/>
      <c r="CI209" s="269"/>
      <c r="CJ209" s="267">
        <f t="shared" si="13"/>
        <v>0</v>
      </c>
      <c r="CK209" s="268"/>
      <c r="CL209" s="268"/>
      <c r="CM209" s="268"/>
      <c r="CN209" s="268"/>
      <c r="CO209" s="268"/>
      <c r="CP209" s="268"/>
      <c r="CQ209" s="268"/>
      <c r="CR209" s="268"/>
      <c r="CS209" s="269"/>
    </row>
    <row r="210" spans="1:104" ht="15.75" hidden="1" thickBot="1">
      <c r="C210" s="89"/>
      <c r="D210" s="36" t="str">
        <f>IF(AN207=0,C207&amp;" -","")</f>
        <v/>
      </c>
      <c r="E210" s="42"/>
      <c r="F210" s="42"/>
      <c r="G210" s="42"/>
      <c r="H210" s="42"/>
      <c r="I210" s="42"/>
      <c r="J210" s="42"/>
      <c r="K210" s="42"/>
      <c r="L210" s="42"/>
      <c r="M210" s="42"/>
      <c r="N210" s="42"/>
      <c r="O210" s="42"/>
      <c r="P210" s="90"/>
      <c r="Q210" s="42"/>
      <c r="R210" s="41" t="s">
        <v>275</v>
      </c>
      <c r="S210" s="91"/>
      <c r="T210" s="267">
        <f>SUMIFS('Adv. Filter'!$CH$1:$CH$50000,'Adv. Filter'!$CD$1:$CD$50000,"Mahesh",'Adv. Filter'!$CE$1:$CE$50000,$C207,'Adv. Filter'!$CC$1:$CC$50000,"Suspense",'Adv. Filter'!$CF$1:$CF$50000,"Cash")</f>
        <v>0</v>
      </c>
      <c r="U210" s="268"/>
      <c r="V210" s="268"/>
      <c r="W210" s="268"/>
      <c r="X210" s="268"/>
      <c r="Y210" s="268"/>
      <c r="Z210" s="268"/>
      <c r="AA210" s="268"/>
      <c r="AB210" s="268"/>
      <c r="AC210" s="269"/>
      <c r="AD210" s="267">
        <f>SUMIFS('Adv. Filter'!$CH$1:$CH$50000,'Adv. Filter'!$CD$1:$CD$50000,"Mahesh",'Adv. Filter'!$CE$1:$CE$50000,$C207,'Adv. Filter'!$CC$1:$CC$50000,"Suspense",'Adv. Filter'!$CF$1:$CF$50000,"Bank")</f>
        <v>5000</v>
      </c>
      <c r="AE210" s="268"/>
      <c r="AF210" s="268"/>
      <c r="AG210" s="268"/>
      <c r="AH210" s="268"/>
      <c r="AI210" s="268"/>
      <c r="AJ210" s="268"/>
      <c r="AK210" s="268"/>
      <c r="AL210" s="268"/>
      <c r="AM210" s="269"/>
      <c r="AN210" s="267">
        <f t="shared" si="12"/>
        <v>5000</v>
      </c>
      <c r="AO210" s="268"/>
      <c r="AP210" s="268"/>
      <c r="AQ210" s="268"/>
      <c r="AR210" s="268"/>
      <c r="AS210" s="268"/>
      <c r="AT210" s="268"/>
      <c r="AU210" s="268"/>
      <c r="AV210" s="268"/>
      <c r="AW210" s="269"/>
      <c r="AX210" s="22"/>
      <c r="AY210" s="43"/>
      <c r="AZ210" s="36" t="str">
        <f>IF(CJ207=0,AY207&amp;" -","")</f>
        <v/>
      </c>
      <c r="BA210" s="42"/>
      <c r="BB210" s="42"/>
      <c r="BC210" s="42"/>
      <c r="BD210" s="42"/>
      <c r="BE210" s="42"/>
      <c r="BF210" s="42"/>
      <c r="BG210" s="42"/>
      <c r="BH210" s="42"/>
      <c r="BI210" s="42"/>
      <c r="BJ210" s="42"/>
      <c r="BK210" s="42"/>
      <c r="BL210" s="1"/>
      <c r="BM210" s="42"/>
      <c r="BN210" s="41" t="s">
        <v>275</v>
      </c>
      <c r="BO210" s="40"/>
      <c r="BP210" s="267"/>
      <c r="BQ210" s="268"/>
      <c r="BR210" s="268"/>
      <c r="BS210" s="268"/>
      <c r="BT210" s="268"/>
      <c r="BU210" s="268"/>
      <c r="BV210" s="268"/>
      <c r="BW210" s="268"/>
      <c r="BX210" s="268"/>
      <c r="BY210" s="269"/>
      <c r="BZ210" s="267"/>
      <c r="CA210" s="268"/>
      <c r="CB210" s="268"/>
      <c r="CC210" s="268"/>
      <c r="CD210" s="268"/>
      <c r="CE210" s="268"/>
      <c r="CF210" s="268"/>
      <c r="CG210" s="268"/>
      <c r="CH210" s="268"/>
      <c r="CI210" s="269"/>
      <c r="CJ210" s="267">
        <f t="shared" si="13"/>
        <v>0</v>
      </c>
      <c r="CK210" s="268"/>
      <c r="CL210" s="268"/>
      <c r="CM210" s="268"/>
      <c r="CN210" s="268"/>
      <c r="CO210" s="268"/>
      <c r="CP210" s="268"/>
      <c r="CQ210" s="268"/>
      <c r="CR210" s="268"/>
      <c r="CS210" s="269"/>
    </row>
    <row r="211" spans="1:104" hidden="1">
      <c r="A211" s="44"/>
      <c r="B211" s="44"/>
      <c r="C211" s="293" t="s">
        <v>108</v>
      </c>
      <c r="D211" s="294"/>
      <c r="E211" s="294"/>
      <c r="F211" s="294"/>
      <c r="G211" s="294"/>
      <c r="H211" s="294"/>
      <c r="I211" s="294"/>
      <c r="J211" s="294"/>
      <c r="K211" s="294"/>
      <c r="L211" s="294"/>
      <c r="M211" s="294"/>
      <c r="N211" s="294"/>
      <c r="O211" s="294"/>
      <c r="P211" s="294"/>
      <c r="Q211" s="294"/>
      <c r="R211" s="294"/>
      <c r="S211" s="295"/>
      <c r="T211" s="276">
        <f>SUMIFS('Adv. Filter'!$BJ$1:$BJ$50000,'Adv. Filter'!$BT$1:$BT$50000,"Mahesh",'Adv. Filter'!$BQ$1:$BQ$50000,$C211,'Adv. Filter'!$BH$1:$BH$50000,"Cash",'Adv. Filter'!$BO$1:$BO$50000,'Adv. Filter'!$A$14,'Adv. Filter'!$BO$1:$BO$50000,'Adv. Filter'!$B$14)</f>
        <v>0</v>
      </c>
      <c r="U211" s="277"/>
      <c r="V211" s="277"/>
      <c r="W211" s="277"/>
      <c r="X211" s="277"/>
      <c r="Y211" s="277"/>
      <c r="Z211" s="277"/>
      <c r="AA211" s="277"/>
      <c r="AB211" s="277"/>
      <c r="AC211" s="278"/>
      <c r="AD211" s="276">
        <f>SUMIFS('Adv. Filter'!$BJ$1:$BJ$50000,'Adv. Filter'!$BT$1:$BT$50000,"Mahesh",'Adv. Filter'!$BQ$1:$BQ$50000,$C211,'Adv. Filter'!$BH$1:$BH$50000,"Bank",'Adv. Filter'!$BO$1:$BO$50000,'Adv. Filter'!$A$14,'Adv. Filter'!$BO$1:$BO$50000,'Adv. Filter'!$B$14)</f>
        <v>0</v>
      </c>
      <c r="AE211" s="277"/>
      <c r="AF211" s="277"/>
      <c r="AG211" s="277"/>
      <c r="AH211" s="277"/>
      <c r="AI211" s="277"/>
      <c r="AJ211" s="277"/>
      <c r="AK211" s="277"/>
      <c r="AL211" s="277"/>
      <c r="AM211" s="278"/>
      <c r="AN211" s="276">
        <f t="shared" si="12"/>
        <v>0</v>
      </c>
      <c r="AO211" s="277"/>
      <c r="AP211" s="277"/>
      <c r="AQ211" s="277"/>
      <c r="AR211" s="277"/>
      <c r="AS211" s="277"/>
      <c r="AT211" s="277"/>
      <c r="AU211" s="277"/>
      <c r="AV211" s="277"/>
      <c r="AW211" s="278"/>
      <c r="AX211" s="45"/>
      <c r="AY211" s="293" t="s">
        <v>108</v>
      </c>
      <c r="AZ211" s="294"/>
      <c r="BA211" s="294"/>
      <c r="BB211" s="294"/>
      <c r="BC211" s="294"/>
      <c r="BD211" s="294"/>
      <c r="BE211" s="294"/>
      <c r="BF211" s="294"/>
      <c r="BG211" s="294"/>
      <c r="BH211" s="294"/>
      <c r="BI211" s="294"/>
      <c r="BJ211" s="294"/>
      <c r="BK211" s="294"/>
      <c r="BL211" s="294"/>
      <c r="BM211" s="294"/>
      <c r="BN211" s="294"/>
      <c r="BO211" s="295"/>
      <c r="BP211" s="276">
        <f>SUMIFS('Adv. Filter'!$BJ$1:$BJ$50000,'Adv. Filter'!$BT$1:$BT$50000,"Mahesh",'Adv. Filter'!$BQ$1:$BQ$50000,$AY211,'Adv. Filter'!$BH$1:$BH$50000,"Cash",'Adv. Filter'!$BO$1:$BO$50000,"&lt;"&amp;'Adv. Filter'!$A$15)</f>
        <v>0</v>
      </c>
      <c r="BQ211" s="277"/>
      <c r="BR211" s="277"/>
      <c r="BS211" s="277"/>
      <c r="BT211" s="277"/>
      <c r="BU211" s="277"/>
      <c r="BV211" s="277"/>
      <c r="BW211" s="277"/>
      <c r="BX211" s="277"/>
      <c r="BY211" s="278"/>
      <c r="BZ211" s="276">
        <f>SUMIFS('Adv. Filter'!$BJ$1:$BJ$50000,'Adv. Filter'!$BT$1:$BT$50000,"Mahesh",'Adv. Filter'!$BQ$1:$BQ$50000,$AY211,'Adv. Filter'!$BH$1:$BH$50000,"Bank",'Adv. Filter'!$BO$1:$BO$50000,"&lt;"&amp;'Adv. Filter'!$A$15)</f>
        <v>0</v>
      </c>
      <c r="CA211" s="277"/>
      <c r="CB211" s="277"/>
      <c r="CC211" s="277"/>
      <c r="CD211" s="277"/>
      <c r="CE211" s="277"/>
      <c r="CF211" s="277"/>
      <c r="CG211" s="277"/>
      <c r="CH211" s="277"/>
      <c r="CI211" s="278"/>
      <c r="CJ211" s="276">
        <f t="shared" si="13"/>
        <v>0</v>
      </c>
      <c r="CK211" s="277"/>
      <c r="CL211" s="277"/>
      <c r="CM211" s="277"/>
      <c r="CN211" s="277"/>
      <c r="CO211" s="277"/>
      <c r="CP211" s="277"/>
      <c r="CQ211" s="277"/>
      <c r="CR211" s="277"/>
      <c r="CS211" s="278"/>
      <c r="CT211" s="44"/>
      <c r="CU211" s="44"/>
      <c r="CV211" s="44"/>
      <c r="CW211" s="44"/>
      <c r="CX211" s="44"/>
      <c r="CY211" s="44"/>
      <c r="CZ211" s="44"/>
    </row>
    <row r="212" spans="1:104" hidden="1">
      <c r="C212" s="308" t="s">
        <v>115</v>
      </c>
      <c r="D212" s="309"/>
      <c r="E212" s="309"/>
      <c r="F212" s="309"/>
      <c r="G212" s="309"/>
      <c r="H212" s="309"/>
      <c r="I212" s="309"/>
      <c r="J212" s="309"/>
      <c r="K212" s="309"/>
      <c r="L212" s="309"/>
      <c r="M212" s="309"/>
      <c r="N212" s="309"/>
      <c r="O212" s="309"/>
      <c r="P212" s="309"/>
      <c r="Q212" s="309"/>
      <c r="R212" s="309"/>
      <c r="S212" s="310"/>
      <c r="T212" s="267">
        <f>SUMIFS('Adv. Filter'!$BJ$1:$BJ$50000,'Adv. Filter'!$BT$1:$BT$50000,"Mahesh",'Adv. Filter'!$BQ$1:$BQ$50000,$C211,'Adv. Filter'!$BH$1:$BH$50000,"Cash",'Adv. Filter'!$BO$1:$BO$50000,'Adv. Filter'!$A$14,'Adv. Filter'!$BO$1:$BO$50000,'Adv. Filter'!$B$14,'Adv. Filter'!$BP$1:$BP$50000,"Project")</f>
        <v>0</v>
      </c>
      <c r="U212" s="268"/>
      <c r="V212" s="268"/>
      <c r="W212" s="268"/>
      <c r="X212" s="268"/>
      <c r="Y212" s="268"/>
      <c r="Z212" s="268"/>
      <c r="AA212" s="268"/>
      <c r="AB212" s="268"/>
      <c r="AC212" s="269"/>
      <c r="AD212" s="267">
        <f>SUMIFS('Adv. Filter'!$BJ$1:$BJ$50000,'Adv. Filter'!$BT$1:$BT$50000,"Mahesh",'Adv. Filter'!$BQ$1:$BQ$50000,$C211,'Adv. Filter'!$BH$1:$BH$50000,"Bank",'Adv. Filter'!$BO$1:$BO$50000,'Adv. Filter'!$A$14,'Adv. Filter'!$BO$1:$BO$50000,'Adv. Filter'!$B$14,'Adv. Filter'!$BP$1:$BP$50000,"Project")</f>
        <v>0</v>
      </c>
      <c r="AE212" s="268"/>
      <c r="AF212" s="268"/>
      <c r="AG212" s="268"/>
      <c r="AH212" s="268"/>
      <c r="AI212" s="268"/>
      <c r="AJ212" s="268"/>
      <c r="AK212" s="268"/>
      <c r="AL212" s="268"/>
      <c r="AM212" s="269"/>
      <c r="AN212" s="267">
        <f t="shared" si="12"/>
        <v>0</v>
      </c>
      <c r="AO212" s="268"/>
      <c r="AP212" s="268"/>
      <c r="AQ212" s="268"/>
      <c r="AR212" s="268"/>
      <c r="AS212" s="268"/>
      <c r="AT212" s="268"/>
      <c r="AU212" s="268"/>
      <c r="AV212" s="268"/>
      <c r="AW212" s="269"/>
      <c r="AX212" s="22"/>
      <c r="AY212" s="308" t="s">
        <v>115</v>
      </c>
      <c r="AZ212" s="309"/>
      <c r="BA212" s="309"/>
      <c r="BB212" s="309"/>
      <c r="BC212" s="309"/>
      <c r="BD212" s="309"/>
      <c r="BE212" s="309"/>
      <c r="BF212" s="309"/>
      <c r="BG212" s="309"/>
      <c r="BH212" s="309"/>
      <c r="BI212" s="309"/>
      <c r="BJ212" s="309"/>
      <c r="BK212" s="309"/>
      <c r="BL212" s="309"/>
      <c r="BM212" s="309"/>
      <c r="BN212" s="309"/>
      <c r="BO212" s="310"/>
      <c r="BP212" s="267">
        <f>SUMIFS('Adv. Filter'!$BJ$1:$BJ$50000,'Adv. Filter'!$BT$1:$BT$50000,"Mahesh",'Adv. Filter'!$BQ$1:$BQ$50000,$AY211,'Adv. Filter'!$BH$1:$BH$50000,"Cash",'Adv. Filter'!$BO$1:$BO$50000,"&lt;"&amp;'Adv. Filter'!$A$15,'Adv. Filter'!$BP$1:$BP$50000,"Project")</f>
        <v>0</v>
      </c>
      <c r="BQ212" s="268"/>
      <c r="BR212" s="268"/>
      <c r="BS212" s="268"/>
      <c r="BT212" s="268"/>
      <c r="BU212" s="268"/>
      <c r="BV212" s="268"/>
      <c r="BW212" s="268"/>
      <c r="BX212" s="268"/>
      <c r="BY212" s="269"/>
      <c r="BZ212" s="267">
        <f>SUMIFS('Adv. Filter'!$BJ$1:$BJ$50000,'Adv. Filter'!$BT$1:$BT$50000,"Mahesh",'Adv. Filter'!$BQ$1:$BQ$50000,$AY211,'Adv. Filter'!$BH$1:$BH$50000,"Bank",'Adv. Filter'!$BO$1:$BO$50000,"&lt;"&amp;'Adv. Filter'!$A$15,'Adv. Filter'!$BP$1:$BP$50000,"Project")</f>
        <v>0</v>
      </c>
      <c r="CA212" s="268"/>
      <c r="CB212" s="268"/>
      <c r="CC212" s="268"/>
      <c r="CD212" s="268"/>
      <c r="CE212" s="268"/>
      <c r="CF212" s="268"/>
      <c r="CG212" s="268"/>
      <c r="CH212" s="268"/>
      <c r="CI212" s="269"/>
      <c r="CJ212" s="267">
        <f t="shared" si="13"/>
        <v>0</v>
      </c>
      <c r="CK212" s="268"/>
      <c r="CL212" s="268"/>
      <c r="CM212" s="268"/>
      <c r="CN212" s="268"/>
      <c r="CO212" s="268"/>
      <c r="CP212" s="268"/>
      <c r="CQ212" s="268"/>
      <c r="CR212" s="268"/>
      <c r="CS212" s="269"/>
    </row>
    <row r="213" spans="1:104" hidden="1">
      <c r="C213" s="308" t="s">
        <v>510</v>
      </c>
      <c r="D213" s="309"/>
      <c r="E213" s="309"/>
      <c r="F213" s="309"/>
      <c r="G213" s="309"/>
      <c r="H213" s="309"/>
      <c r="I213" s="309"/>
      <c r="J213" s="309"/>
      <c r="K213" s="309"/>
      <c r="L213" s="309"/>
      <c r="M213" s="309"/>
      <c r="N213" s="309"/>
      <c r="O213" s="309"/>
      <c r="P213" s="309"/>
      <c r="Q213" s="309"/>
      <c r="R213" s="309"/>
      <c r="S213" s="310"/>
      <c r="T213" s="267">
        <v>0</v>
      </c>
      <c r="U213" s="268"/>
      <c r="V213" s="268"/>
      <c r="W213" s="268"/>
      <c r="X213" s="268"/>
      <c r="Y213" s="268"/>
      <c r="Z213" s="268"/>
      <c r="AA213" s="268"/>
      <c r="AB213" s="268"/>
      <c r="AC213" s="269"/>
      <c r="AD213" s="267">
        <v>0</v>
      </c>
      <c r="AE213" s="268"/>
      <c r="AF213" s="268"/>
      <c r="AG213" s="268"/>
      <c r="AH213" s="268"/>
      <c r="AI213" s="268"/>
      <c r="AJ213" s="268"/>
      <c r="AK213" s="268"/>
      <c r="AL213" s="268"/>
      <c r="AM213" s="269"/>
      <c r="AN213" s="267">
        <f t="shared" si="12"/>
        <v>0</v>
      </c>
      <c r="AO213" s="268"/>
      <c r="AP213" s="268"/>
      <c r="AQ213" s="268"/>
      <c r="AR213" s="268"/>
      <c r="AS213" s="268"/>
      <c r="AT213" s="268"/>
      <c r="AU213" s="268"/>
      <c r="AV213" s="268"/>
      <c r="AW213" s="269"/>
      <c r="AX213" s="22"/>
      <c r="AY213" s="308" t="s">
        <v>510</v>
      </c>
      <c r="AZ213" s="309"/>
      <c r="BA213" s="309"/>
      <c r="BB213" s="309"/>
      <c r="BC213" s="309"/>
      <c r="BD213" s="309"/>
      <c r="BE213" s="309"/>
      <c r="BF213" s="309"/>
      <c r="BG213" s="309"/>
      <c r="BH213" s="309"/>
      <c r="BI213" s="309"/>
      <c r="BJ213" s="309"/>
      <c r="BK213" s="309"/>
      <c r="BL213" s="309"/>
      <c r="BM213" s="309"/>
      <c r="BN213" s="309"/>
      <c r="BO213" s="310"/>
      <c r="BP213" s="267"/>
      <c r="BQ213" s="268"/>
      <c r="BR213" s="268"/>
      <c r="BS213" s="268"/>
      <c r="BT213" s="268"/>
      <c r="BU213" s="268"/>
      <c r="BV213" s="268"/>
      <c r="BW213" s="268"/>
      <c r="BX213" s="268"/>
      <c r="BY213" s="269"/>
      <c r="BZ213" s="267"/>
      <c r="CA213" s="268"/>
      <c r="CB213" s="268"/>
      <c r="CC213" s="268"/>
      <c r="CD213" s="268"/>
      <c r="CE213" s="268"/>
      <c r="CF213" s="268"/>
      <c r="CG213" s="268"/>
      <c r="CH213" s="268"/>
      <c r="CI213" s="269"/>
      <c r="CJ213" s="267">
        <f t="shared" si="13"/>
        <v>0</v>
      </c>
      <c r="CK213" s="268"/>
      <c r="CL213" s="268"/>
      <c r="CM213" s="268"/>
      <c r="CN213" s="268"/>
      <c r="CO213" s="268"/>
      <c r="CP213" s="268"/>
      <c r="CQ213" s="268"/>
      <c r="CR213" s="268"/>
      <c r="CS213" s="269"/>
    </row>
    <row r="214" spans="1:104" ht="15.75" hidden="1" thickBot="1">
      <c r="C214" s="93"/>
      <c r="D214" s="85" t="str">
        <f>IF(AN211=0,C211&amp;" -","")</f>
        <v>Vijaya -</v>
      </c>
      <c r="E214" s="80"/>
      <c r="F214" s="80"/>
      <c r="G214" s="80"/>
      <c r="H214" s="80"/>
      <c r="I214" s="80"/>
      <c r="J214" s="80"/>
      <c r="K214" s="80"/>
      <c r="L214" s="80"/>
      <c r="M214" s="80"/>
      <c r="N214" s="80"/>
      <c r="O214" s="80"/>
      <c r="P214" s="94"/>
      <c r="Q214" s="80"/>
      <c r="R214" s="82" t="s">
        <v>275</v>
      </c>
      <c r="S214" s="95"/>
      <c r="T214" s="252">
        <f>SUMIFS('Adv. Filter'!$CH$1:$CH$50000,'Adv. Filter'!$CD$1:$CD$50000,"Mahesh",'Adv. Filter'!$CE$1:$CE$50000,$C211,'Adv. Filter'!$CC$1:$CC$50000,"Suspense",'Adv. Filter'!$CF$1:$CF$50000,"Cash")</f>
        <v>0</v>
      </c>
      <c r="U214" s="253"/>
      <c r="V214" s="253"/>
      <c r="W214" s="253"/>
      <c r="X214" s="253"/>
      <c r="Y214" s="253"/>
      <c r="Z214" s="253"/>
      <c r="AA214" s="253"/>
      <c r="AB214" s="253"/>
      <c r="AC214" s="254"/>
      <c r="AD214" s="252">
        <f>SUMIFS('Adv. Filter'!$CH$1:$CH$50000,'Adv. Filter'!$CD$1:$CD$50000,"Mahesh",'Adv. Filter'!$CE$1:$CE$50000,$C211,'Adv. Filter'!$CC$1:$CC$50000,"Suspense",'Adv. Filter'!$CF$1:$CF$50000,"Bank")</f>
        <v>0</v>
      </c>
      <c r="AE214" s="253"/>
      <c r="AF214" s="253"/>
      <c r="AG214" s="253"/>
      <c r="AH214" s="253"/>
      <c r="AI214" s="253"/>
      <c r="AJ214" s="253"/>
      <c r="AK214" s="253"/>
      <c r="AL214" s="253"/>
      <c r="AM214" s="254"/>
      <c r="AN214" s="252">
        <f t="shared" si="12"/>
        <v>0</v>
      </c>
      <c r="AO214" s="253"/>
      <c r="AP214" s="253"/>
      <c r="AQ214" s="253"/>
      <c r="AR214" s="253"/>
      <c r="AS214" s="253"/>
      <c r="AT214" s="253"/>
      <c r="AU214" s="253"/>
      <c r="AV214" s="253"/>
      <c r="AW214" s="254"/>
      <c r="AX214" s="22"/>
      <c r="AY214" s="43"/>
      <c r="AZ214" s="36" t="str">
        <f>IF(CJ211=0,AY211&amp;" -","")</f>
        <v>Vijaya -</v>
      </c>
      <c r="BA214" s="42"/>
      <c r="BB214" s="42"/>
      <c r="BC214" s="42"/>
      <c r="BD214" s="42"/>
      <c r="BE214" s="42"/>
      <c r="BF214" s="42"/>
      <c r="BG214" s="42"/>
      <c r="BH214" s="42"/>
      <c r="BI214" s="42"/>
      <c r="BJ214" s="42"/>
      <c r="BK214" s="42"/>
      <c r="BL214" s="1"/>
      <c r="BM214" s="42"/>
      <c r="BN214" s="41" t="s">
        <v>275</v>
      </c>
      <c r="BO214" s="40"/>
      <c r="BP214" s="267"/>
      <c r="BQ214" s="268"/>
      <c r="BR214" s="268"/>
      <c r="BS214" s="268"/>
      <c r="BT214" s="268"/>
      <c r="BU214" s="268"/>
      <c r="BV214" s="268"/>
      <c r="BW214" s="268"/>
      <c r="BX214" s="268"/>
      <c r="BY214" s="269"/>
      <c r="BZ214" s="267"/>
      <c r="CA214" s="268"/>
      <c r="CB214" s="268"/>
      <c r="CC214" s="268"/>
      <c r="CD214" s="268"/>
      <c r="CE214" s="268"/>
      <c r="CF214" s="268"/>
      <c r="CG214" s="268"/>
      <c r="CH214" s="268"/>
      <c r="CI214" s="269"/>
      <c r="CJ214" s="267">
        <f t="shared" si="13"/>
        <v>0</v>
      </c>
      <c r="CK214" s="268"/>
      <c r="CL214" s="268"/>
      <c r="CM214" s="268"/>
      <c r="CN214" s="268"/>
      <c r="CO214" s="268"/>
      <c r="CP214" s="268"/>
      <c r="CQ214" s="268"/>
      <c r="CR214" s="268"/>
      <c r="CS214" s="269"/>
    </row>
    <row r="215" spans="1:104" ht="15" hidden="1" customHeight="1" thickTop="1">
      <c r="C215" s="459" t="s">
        <v>503</v>
      </c>
      <c r="D215" s="459"/>
      <c r="E215" s="459"/>
      <c r="F215" s="459"/>
      <c r="G215" s="459"/>
      <c r="H215" s="459"/>
      <c r="I215" s="459"/>
      <c r="J215" s="459"/>
      <c r="K215" s="459"/>
      <c r="L215" s="459"/>
      <c r="M215" s="459"/>
      <c r="N215" s="459"/>
      <c r="O215" s="459"/>
      <c r="P215" s="459"/>
      <c r="Q215" s="459"/>
      <c r="R215" s="459"/>
      <c r="S215" s="459"/>
      <c r="T215" s="273">
        <f>T148+T152+T156+T160+T164+T168+T172+T176+T180+T183+T187+T191+T195+T199+T203+T207+T211+T151+T155+T159+T163+T167+T171+T175+T179+T186+T190+T194+T198+T202+T206+T210+T214</f>
        <v>680000</v>
      </c>
      <c r="U215" s="274"/>
      <c r="V215" s="274"/>
      <c r="W215" s="274"/>
      <c r="X215" s="274"/>
      <c r="Y215" s="274"/>
      <c r="Z215" s="274"/>
      <c r="AA215" s="274"/>
      <c r="AB215" s="274"/>
      <c r="AC215" s="275"/>
      <c r="AD215" s="273">
        <f>AD148+AD152+AD156+AD160+AD164+AD168+AD172+AD176+AD180+AD183+AD187+AD191+AD195+AD199+AD203+AD207+AD211+AD151+AD155+AD159+AD163+AD167+AD171+AD175+AD179+AD186+AD190+AD194+AD198+AD202+AD206+AD210+AD214</f>
        <v>644500</v>
      </c>
      <c r="AE215" s="274"/>
      <c r="AF215" s="274"/>
      <c r="AG215" s="274"/>
      <c r="AH215" s="274"/>
      <c r="AI215" s="274"/>
      <c r="AJ215" s="274"/>
      <c r="AK215" s="274"/>
      <c r="AL215" s="274"/>
      <c r="AM215" s="275"/>
      <c r="AN215" s="273">
        <f t="shared" si="12"/>
        <v>1324500</v>
      </c>
      <c r="AO215" s="274"/>
      <c r="AP215" s="274"/>
      <c r="AQ215" s="274"/>
      <c r="AR215" s="274"/>
      <c r="AS215" s="274"/>
      <c r="AT215" s="274"/>
      <c r="AU215" s="274"/>
      <c r="AV215" s="274"/>
      <c r="AW215" s="275"/>
      <c r="AX215" s="39"/>
      <c r="AY215" s="459" t="s">
        <v>503</v>
      </c>
      <c r="AZ215" s="459"/>
      <c r="BA215" s="459"/>
      <c r="BB215" s="459"/>
      <c r="BC215" s="459"/>
      <c r="BD215" s="459"/>
      <c r="BE215" s="459"/>
      <c r="BF215" s="459"/>
      <c r="BG215" s="459"/>
      <c r="BH215" s="459"/>
      <c r="BI215" s="459"/>
      <c r="BJ215" s="459"/>
      <c r="BK215" s="459"/>
      <c r="BL215" s="459"/>
      <c r="BM215" s="459"/>
      <c r="BN215" s="459"/>
      <c r="BO215" s="459"/>
      <c r="BP215" s="273">
        <f>BP148+BP152+BP156+BP160+BP164+BP168+BP172+BP176+BP180+BP183+BP187+BP191+BP195+BP199+BP203+BP207+BP211</f>
        <v>0</v>
      </c>
      <c r="BQ215" s="274"/>
      <c r="BR215" s="274"/>
      <c r="BS215" s="274"/>
      <c r="BT215" s="274"/>
      <c r="BU215" s="274"/>
      <c r="BV215" s="274"/>
      <c r="BW215" s="274"/>
      <c r="BX215" s="274"/>
      <c r="BY215" s="275"/>
      <c r="BZ215" s="273">
        <f>BZ148+BZ152+BZ156+BZ160+BZ164+BZ168+BZ172+BZ176+BZ180+BZ183+BZ187+BZ191+BZ195+BZ199+BZ203+BZ207+BZ211</f>
        <v>11500</v>
      </c>
      <c r="CA215" s="274"/>
      <c r="CB215" s="274"/>
      <c r="CC215" s="274"/>
      <c r="CD215" s="274"/>
      <c r="CE215" s="274"/>
      <c r="CF215" s="274"/>
      <c r="CG215" s="274"/>
      <c r="CH215" s="274"/>
      <c r="CI215" s="275"/>
      <c r="CJ215" s="273">
        <f t="shared" si="13"/>
        <v>11500</v>
      </c>
      <c r="CK215" s="274"/>
      <c r="CL215" s="274"/>
      <c r="CM215" s="274"/>
      <c r="CN215" s="274"/>
      <c r="CO215" s="274"/>
      <c r="CP215" s="274"/>
      <c r="CQ215" s="274"/>
      <c r="CR215" s="274"/>
      <c r="CS215" s="275"/>
    </row>
    <row r="216" spans="1:104" ht="15" hidden="1" customHeight="1"/>
    <row r="217" spans="1:104" hidden="1">
      <c r="E217" s="261" t="s">
        <v>509</v>
      </c>
      <c r="F217" s="262"/>
      <c r="G217" s="262"/>
      <c r="H217" s="262"/>
      <c r="I217" s="262"/>
      <c r="J217" s="262"/>
      <c r="K217" s="262"/>
      <c r="L217" s="262"/>
      <c r="M217" s="262"/>
      <c r="N217" s="262"/>
      <c r="O217" s="262"/>
      <c r="P217" s="262"/>
      <c r="Q217" s="262"/>
      <c r="R217" s="262"/>
      <c r="S217" s="262"/>
      <c r="T217" s="262"/>
      <c r="U217" s="262"/>
      <c r="V217" s="262"/>
      <c r="W217" s="262"/>
      <c r="X217" s="262"/>
      <c r="Y217" s="262"/>
      <c r="Z217" s="262"/>
      <c r="AA217" s="262"/>
      <c r="AB217" s="262"/>
      <c r="AC217" s="262"/>
      <c r="AD217" s="262"/>
      <c r="AE217" s="262"/>
      <c r="AF217" s="262"/>
      <c r="AG217" s="262"/>
      <c r="AH217" s="262"/>
      <c r="AI217" s="262"/>
      <c r="AJ217" s="262"/>
      <c r="AK217" s="262"/>
      <c r="AL217" s="262"/>
      <c r="AM217" s="262"/>
      <c r="AN217" s="262"/>
      <c r="AO217" s="262"/>
      <c r="AP217" s="262"/>
      <c r="AQ217" s="262"/>
      <c r="AR217" s="262"/>
      <c r="AS217" s="262"/>
      <c r="AT217" s="262"/>
      <c r="AU217" s="262"/>
      <c r="AV217" s="262"/>
      <c r="AW217" s="263"/>
      <c r="AY217" s="261" t="s">
        <v>508</v>
      </c>
      <c r="AZ217" s="262"/>
      <c r="BA217" s="262"/>
      <c r="BB217" s="262"/>
      <c r="BC217" s="262"/>
      <c r="BD217" s="262"/>
      <c r="BE217" s="262"/>
      <c r="BF217" s="262"/>
      <c r="BG217" s="262"/>
      <c r="BH217" s="262"/>
      <c r="BI217" s="262"/>
      <c r="BJ217" s="262"/>
      <c r="BK217" s="262"/>
      <c r="BL217" s="262"/>
      <c r="BM217" s="262"/>
      <c r="BN217" s="262"/>
      <c r="BO217" s="262"/>
      <c r="BP217" s="262"/>
      <c r="BQ217" s="262"/>
      <c r="BR217" s="262"/>
      <c r="BS217" s="262"/>
      <c r="BT217" s="262"/>
      <c r="BU217" s="262"/>
      <c r="BV217" s="262"/>
      <c r="BW217" s="262"/>
      <c r="BX217" s="262"/>
      <c r="BY217" s="262"/>
      <c r="BZ217" s="262"/>
      <c r="CA217" s="262"/>
      <c r="CB217" s="262"/>
      <c r="CC217" s="262"/>
      <c r="CD217" s="262"/>
      <c r="CE217" s="262"/>
      <c r="CF217" s="262"/>
      <c r="CG217" s="262"/>
      <c r="CH217" s="262"/>
      <c r="CI217" s="262"/>
      <c r="CJ217" s="262"/>
      <c r="CK217" s="262"/>
      <c r="CL217" s="262"/>
      <c r="CM217" s="262"/>
      <c r="CN217" s="262"/>
      <c r="CO217" s="262"/>
      <c r="CP217" s="262"/>
      <c r="CQ217" s="263"/>
    </row>
    <row r="218" spans="1:104" hidden="1">
      <c r="E218" s="231" t="s">
        <v>317</v>
      </c>
      <c r="F218" s="232"/>
      <c r="G218" s="232"/>
      <c r="H218" s="232"/>
      <c r="I218" s="232"/>
      <c r="J218" s="232"/>
      <c r="K218" s="232"/>
      <c r="L218" s="232"/>
      <c r="M218" s="232"/>
      <c r="N218" s="232"/>
      <c r="O218" s="232"/>
      <c r="P218" s="232"/>
      <c r="Q218" s="232"/>
      <c r="R218" s="232"/>
      <c r="S218" s="233"/>
      <c r="T218" s="445" t="s">
        <v>34</v>
      </c>
      <c r="U218" s="446"/>
      <c r="V218" s="446"/>
      <c r="W218" s="446"/>
      <c r="X218" s="446"/>
      <c r="Y218" s="446"/>
      <c r="Z218" s="446"/>
      <c r="AA218" s="446"/>
      <c r="AB218" s="446"/>
      <c r="AC218" s="447"/>
      <c r="AD218" s="445" t="s">
        <v>10</v>
      </c>
      <c r="AE218" s="446"/>
      <c r="AF218" s="446"/>
      <c r="AG218" s="446"/>
      <c r="AH218" s="446"/>
      <c r="AI218" s="446"/>
      <c r="AJ218" s="446"/>
      <c r="AK218" s="446"/>
      <c r="AL218" s="446"/>
      <c r="AM218" s="447"/>
      <c r="AN218" s="445" t="s">
        <v>503</v>
      </c>
      <c r="AO218" s="446"/>
      <c r="AP218" s="446"/>
      <c r="AQ218" s="446"/>
      <c r="AR218" s="446"/>
      <c r="AS218" s="446"/>
      <c r="AT218" s="446"/>
      <c r="AU218" s="446"/>
      <c r="AV218" s="446"/>
      <c r="AW218" s="447"/>
      <c r="AY218" s="231" t="s">
        <v>317</v>
      </c>
      <c r="AZ218" s="232"/>
      <c r="BA218" s="232"/>
      <c r="BB218" s="232"/>
      <c r="BC218" s="232"/>
      <c r="BD218" s="232"/>
      <c r="BE218" s="232"/>
      <c r="BF218" s="232"/>
      <c r="BG218" s="232"/>
      <c r="BH218" s="232"/>
      <c r="BI218" s="232"/>
      <c r="BJ218" s="232"/>
      <c r="BK218" s="232"/>
      <c r="BL218" s="232"/>
      <c r="BM218" s="233"/>
      <c r="BN218" s="445" t="s">
        <v>34</v>
      </c>
      <c r="BO218" s="446"/>
      <c r="BP218" s="446"/>
      <c r="BQ218" s="446"/>
      <c r="BR218" s="446"/>
      <c r="BS218" s="446"/>
      <c r="BT218" s="446"/>
      <c r="BU218" s="446"/>
      <c r="BV218" s="446"/>
      <c r="BW218" s="447"/>
      <c r="BX218" s="445" t="s">
        <v>10</v>
      </c>
      <c r="BY218" s="446"/>
      <c r="BZ218" s="446"/>
      <c r="CA218" s="446"/>
      <c r="CB218" s="446"/>
      <c r="CC218" s="446"/>
      <c r="CD218" s="446"/>
      <c r="CE218" s="446"/>
      <c r="CF218" s="446"/>
      <c r="CG218" s="447"/>
      <c r="CH218" s="445" t="s">
        <v>503</v>
      </c>
      <c r="CI218" s="446"/>
      <c r="CJ218" s="446"/>
      <c r="CK218" s="446"/>
      <c r="CL218" s="446"/>
      <c r="CM218" s="446"/>
      <c r="CN218" s="446"/>
      <c r="CO218" s="446"/>
      <c r="CP218" s="446"/>
      <c r="CQ218" s="447"/>
    </row>
    <row r="219" spans="1:104" hidden="1">
      <c r="E219" s="460" t="s">
        <v>495</v>
      </c>
      <c r="F219" s="461"/>
      <c r="G219" s="461"/>
      <c r="H219" s="461"/>
      <c r="I219" s="461"/>
      <c r="J219" s="461"/>
      <c r="K219" s="461"/>
      <c r="L219" s="461"/>
      <c r="M219" s="461"/>
      <c r="N219" s="461"/>
      <c r="O219" s="461"/>
      <c r="P219" s="461"/>
      <c r="Q219" s="461"/>
      <c r="R219" s="461"/>
      <c r="S219" s="462"/>
      <c r="T219" s="304">
        <f>SUMIFS('Adv. Filter'!$CH$1:$CH$50000,'Adv. Filter'!$CD$1:$CD$50000,"Mahesh",'Adv. Filter'!$CB$1:$CB$50000,E219,'Adv. Filter'!$CF$1:$CF$50000,"Cash")</f>
        <v>5300</v>
      </c>
      <c r="U219" s="463"/>
      <c r="V219" s="463"/>
      <c r="W219" s="463"/>
      <c r="X219" s="463"/>
      <c r="Y219" s="463"/>
      <c r="Z219" s="463"/>
      <c r="AA219" s="463"/>
      <c r="AB219" s="463"/>
      <c r="AC219" s="464"/>
      <c r="AD219" s="304">
        <f>SUMIFS('Adv. Filter'!$CH$1:$CH$50000,'Adv. Filter'!$CD$1:$CD$50000,"Mahesh",'Adv. Filter'!$CB$1:$CB$50000,E219,'Adv. Filter'!$CF$1:$CF$50000,"Bank")</f>
        <v>0</v>
      </c>
      <c r="AE219" s="463"/>
      <c r="AF219" s="463"/>
      <c r="AG219" s="463"/>
      <c r="AH219" s="463"/>
      <c r="AI219" s="463"/>
      <c r="AJ219" s="463"/>
      <c r="AK219" s="463"/>
      <c r="AL219" s="463"/>
      <c r="AM219" s="464"/>
      <c r="AN219" s="304">
        <f>T219+AD219</f>
        <v>5300</v>
      </c>
      <c r="AO219" s="463"/>
      <c r="AP219" s="463"/>
      <c r="AQ219" s="463"/>
      <c r="AR219" s="463"/>
      <c r="AS219" s="463"/>
      <c r="AT219" s="463"/>
      <c r="AU219" s="463"/>
      <c r="AV219" s="463"/>
      <c r="AW219" s="464"/>
      <c r="AY219" s="465" t="s">
        <v>507</v>
      </c>
      <c r="AZ219" s="466"/>
      <c r="BA219" s="466"/>
      <c r="BB219" s="466"/>
      <c r="BC219" s="466"/>
      <c r="BD219" s="466"/>
      <c r="BE219" s="466"/>
      <c r="BF219" s="466"/>
      <c r="BG219" s="466"/>
      <c r="BH219" s="466"/>
      <c r="BI219" s="466"/>
      <c r="BJ219" s="466"/>
      <c r="BK219" s="466"/>
      <c r="BL219" s="466"/>
      <c r="BM219" s="467"/>
      <c r="BN219" s="304">
        <f>T215</f>
        <v>680000</v>
      </c>
      <c r="BO219" s="463"/>
      <c r="BP219" s="463"/>
      <c r="BQ219" s="463"/>
      <c r="BR219" s="463"/>
      <c r="BS219" s="463"/>
      <c r="BT219" s="463"/>
      <c r="BU219" s="463"/>
      <c r="BV219" s="463"/>
      <c r="BW219" s="464"/>
      <c r="BX219" s="304">
        <f>AD215</f>
        <v>644500</v>
      </c>
      <c r="BY219" s="463"/>
      <c r="BZ219" s="463"/>
      <c r="CA219" s="463"/>
      <c r="CB219" s="463"/>
      <c r="CC219" s="463"/>
      <c r="CD219" s="463"/>
      <c r="CE219" s="463"/>
      <c r="CF219" s="463"/>
      <c r="CG219" s="464"/>
      <c r="CH219" s="304">
        <f>BN219+BX219</f>
        <v>1324500</v>
      </c>
      <c r="CI219" s="463"/>
      <c r="CJ219" s="463"/>
      <c r="CK219" s="463"/>
      <c r="CL219" s="463"/>
      <c r="CM219" s="463"/>
      <c r="CN219" s="463"/>
      <c r="CO219" s="463"/>
      <c r="CP219" s="463"/>
      <c r="CQ219" s="464"/>
    </row>
    <row r="220" spans="1:104" hidden="1">
      <c r="E220" s="264" t="s">
        <v>496</v>
      </c>
      <c r="F220" s="265"/>
      <c r="G220" s="265"/>
      <c r="H220" s="265"/>
      <c r="I220" s="265"/>
      <c r="J220" s="265"/>
      <c r="K220" s="265"/>
      <c r="L220" s="265"/>
      <c r="M220" s="265"/>
      <c r="N220" s="265"/>
      <c r="O220" s="265"/>
      <c r="P220" s="265"/>
      <c r="Q220" s="265"/>
      <c r="R220" s="265"/>
      <c r="S220" s="266"/>
      <c r="T220" s="267">
        <f>SUMIFS('Adv. Filter'!$CH$1:$CH$50000,'Adv. Filter'!$CD$1:$CD$50000,"Mahesh",'Adv. Filter'!$CB$1:$CB$50000,E220,'Adv. Filter'!$CF$1:$CF$50000,"Cash")</f>
        <v>500</v>
      </c>
      <c r="U220" s="268"/>
      <c r="V220" s="268"/>
      <c r="W220" s="268"/>
      <c r="X220" s="268"/>
      <c r="Y220" s="268"/>
      <c r="Z220" s="268"/>
      <c r="AA220" s="268"/>
      <c r="AB220" s="268"/>
      <c r="AC220" s="269"/>
      <c r="AD220" s="267">
        <f>SUMIFS('Adv. Filter'!$CH$1:$CH$50000,'Adv. Filter'!$CD$1:$CD$50000,"Mahesh",'Adv. Filter'!$CB$1:$CB$50000,E220,'Adv. Filter'!$CF$1:$CF$50000,"Bank")</f>
        <v>0</v>
      </c>
      <c r="AE220" s="268"/>
      <c r="AF220" s="268"/>
      <c r="AG220" s="268"/>
      <c r="AH220" s="268"/>
      <c r="AI220" s="268"/>
      <c r="AJ220" s="268"/>
      <c r="AK220" s="268"/>
      <c r="AL220" s="268"/>
      <c r="AM220" s="269"/>
      <c r="AN220" s="267">
        <f>T220+AD220</f>
        <v>500</v>
      </c>
      <c r="AO220" s="268"/>
      <c r="AP220" s="268"/>
      <c r="AQ220" s="268"/>
      <c r="AR220" s="268"/>
      <c r="AS220" s="268"/>
      <c r="AT220" s="268"/>
      <c r="AU220" s="268"/>
      <c r="AV220" s="268"/>
      <c r="AW220" s="269"/>
      <c r="AY220" s="468" t="s">
        <v>506</v>
      </c>
      <c r="AZ220" s="469"/>
      <c r="BA220" s="469"/>
      <c r="BB220" s="469"/>
      <c r="BC220" s="469"/>
      <c r="BD220" s="469"/>
      <c r="BE220" s="469"/>
      <c r="BF220" s="469"/>
      <c r="BG220" s="469"/>
      <c r="BH220" s="469"/>
      <c r="BI220" s="469"/>
      <c r="BJ220" s="469"/>
      <c r="BK220" s="469"/>
      <c r="BL220" s="469"/>
      <c r="BM220" s="470"/>
      <c r="BN220" s="267">
        <f>BP215</f>
        <v>0</v>
      </c>
      <c r="BO220" s="268"/>
      <c r="BP220" s="268"/>
      <c r="BQ220" s="268"/>
      <c r="BR220" s="268"/>
      <c r="BS220" s="268"/>
      <c r="BT220" s="268"/>
      <c r="BU220" s="268"/>
      <c r="BV220" s="268"/>
      <c r="BW220" s="269"/>
      <c r="BX220" s="267">
        <f>BZ215</f>
        <v>11500</v>
      </c>
      <c r="BY220" s="268"/>
      <c r="BZ220" s="268"/>
      <c r="CA220" s="268"/>
      <c r="CB220" s="268"/>
      <c r="CC220" s="268"/>
      <c r="CD220" s="268"/>
      <c r="CE220" s="268"/>
      <c r="CF220" s="268"/>
      <c r="CG220" s="269"/>
      <c r="CH220" s="267">
        <f>BN220+BX220</f>
        <v>11500</v>
      </c>
      <c r="CI220" s="268"/>
      <c r="CJ220" s="268"/>
      <c r="CK220" s="268"/>
      <c r="CL220" s="268"/>
      <c r="CM220" s="268"/>
      <c r="CN220" s="268"/>
      <c r="CO220" s="268"/>
      <c r="CP220" s="268"/>
      <c r="CQ220" s="269"/>
    </row>
    <row r="221" spans="1:104" hidden="1">
      <c r="E221" s="264" t="s">
        <v>505</v>
      </c>
      <c r="F221" s="265"/>
      <c r="G221" s="265"/>
      <c r="H221" s="265"/>
      <c r="I221" s="265"/>
      <c r="J221" s="265"/>
      <c r="K221" s="265"/>
      <c r="L221" s="265"/>
      <c r="M221" s="265"/>
      <c r="N221" s="265"/>
      <c r="O221" s="265"/>
      <c r="P221" s="265"/>
      <c r="Q221" s="265"/>
      <c r="R221" s="265"/>
      <c r="S221" s="266"/>
      <c r="T221" s="267">
        <f>SUMIFS('Adv. Filter'!$CH$1:$CH$50000,'Adv. Filter'!$CD$1:$CD$50000,"Mahesh",'Adv. Filter'!$CB$1:$CB$50000,E221,'Adv. Filter'!$CF$1:$CF$50000,"Cash")</f>
        <v>0</v>
      </c>
      <c r="U221" s="268"/>
      <c r="V221" s="268"/>
      <c r="W221" s="268"/>
      <c r="X221" s="268"/>
      <c r="Y221" s="268"/>
      <c r="Z221" s="268"/>
      <c r="AA221" s="268"/>
      <c r="AB221" s="268"/>
      <c r="AC221" s="269"/>
      <c r="AD221" s="267">
        <f>SUMIFS('Adv. Filter'!$CH$1:$CH$50000,'Adv. Filter'!$CD$1:$CD$50000,"Mahesh",'Adv. Filter'!$CB$1:$CB$50000,E221,'Adv. Filter'!$CF$1:$CF$50000,"Bank")</f>
        <v>0</v>
      </c>
      <c r="AE221" s="268"/>
      <c r="AF221" s="268"/>
      <c r="AG221" s="268"/>
      <c r="AH221" s="268"/>
      <c r="AI221" s="268"/>
      <c r="AJ221" s="268"/>
      <c r="AK221" s="268"/>
      <c r="AL221" s="268"/>
      <c r="AM221" s="269"/>
      <c r="AN221" s="267">
        <f>T221+AD221</f>
        <v>0</v>
      </c>
      <c r="AO221" s="268"/>
      <c r="AP221" s="268"/>
      <c r="AQ221" s="268"/>
      <c r="AR221" s="268"/>
      <c r="AS221" s="268"/>
      <c r="AT221" s="268"/>
      <c r="AU221" s="268"/>
      <c r="AV221" s="268"/>
      <c r="AW221" s="269"/>
      <c r="AY221" s="270"/>
      <c r="AZ221" s="271"/>
      <c r="BA221" s="271"/>
      <c r="BB221" s="271"/>
      <c r="BC221" s="271"/>
      <c r="BD221" s="271"/>
      <c r="BE221" s="271"/>
      <c r="BF221" s="271"/>
      <c r="BG221" s="271"/>
      <c r="BH221" s="271"/>
      <c r="BI221" s="271"/>
      <c r="BJ221" s="271"/>
      <c r="BK221" s="271"/>
      <c r="BL221" s="271"/>
      <c r="BM221" s="272"/>
      <c r="BN221" s="267"/>
      <c r="BO221" s="268"/>
      <c r="BP221" s="268"/>
      <c r="BQ221" s="268"/>
      <c r="BR221" s="268"/>
      <c r="BS221" s="268"/>
      <c r="BT221" s="268"/>
      <c r="BU221" s="268"/>
      <c r="BV221" s="268"/>
      <c r="BW221" s="269"/>
      <c r="BX221" s="267"/>
      <c r="BY221" s="268"/>
      <c r="BZ221" s="268"/>
      <c r="CA221" s="268"/>
      <c r="CB221" s="268"/>
      <c r="CC221" s="268"/>
      <c r="CD221" s="268"/>
      <c r="CE221" s="268"/>
      <c r="CF221" s="268"/>
      <c r="CG221" s="269"/>
      <c r="CH221" s="267"/>
      <c r="CI221" s="268"/>
      <c r="CJ221" s="268"/>
      <c r="CK221" s="268"/>
      <c r="CL221" s="268"/>
      <c r="CM221" s="268"/>
      <c r="CN221" s="268"/>
      <c r="CO221" s="268"/>
      <c r="CP221" s="268"/>
      <c r="CQ221" s="269"/>
    </row>
    <row r="222" spans="1:104" ht="15.75" hidden="1" thickBot="1">
      <c r="E222" s="285" t="s">
        <v>504</v>
      </c>
      <c r="F222" s="286"/>
      <c r="G222" s="286"/>
      <c r="H222" s="286"/>
      <c r="I222" s="286"/>
      <c r="J222" s="286"/>
      <c r="K222" s="286"/>
      <c r="L222" s="286"/>
      <c r="M222" s="286"/>
      <c r="N222" s="286"/>
      <c r="O222" s="286"/>
      <c r="P222" s="286"/>
      <c r="Q222" s="286"/>
      <c r="R222" s="286"/>
      <c r="S222" s="287"/>
      <c r="T222" s="252">
        <f>SUMIFS('Adv. Filter'!$CH$1:$CH$50000,'Adv. Filter'!$CD$1:$CD$50000,"Mahesh",'Adv. Filter'!$CB$1:$CB$50000,E222,'Adv. Filter'!$CF$1:$CF$50000,"Cash")</f>
        <v>1000</v>
      </c>
      <c r="U222" s="253"/>
      <c r="V222" s="253"/>
      <c r="W222" s="253"/>
      <c r="X222" s="253"/>
      <c r="Y222" s="253"/>
      <c r="Z222" s="253"/>
      <c r="AA222" s="253"/>
      <c r="AB222" s="253"/>
      <c r="AC222" s="254"/>
      <c r="AD222" s="252">
        <f>SUMIFS('Adv. Filter'!$CH$1:$CH$50000,'Adv. Filter'!$CD$1:$CD$50000,"Mahesh",'Adv. Filter'!$CB$1:$CB$50000,E222,'Adv. Filter'!$CF$1:$CF$50000,"Bank")</f>
        <v>0</v>
      </c>
      <c r="AE222" s="253"/>
      <c r="AF222" s="253"/>
      <c r="AG222" s="253"/>
      <c r="AH222" s="253"/>
      <c r="AI222" s="253"/>
      <c r="AJ222" s="253"/>
      <c r="AK222" s="253"/>
      <c r="AL222" s="253"/>
      <c r="AM222" s="254"/>
      <c r="AN222" s="252">
        <f>T222+AD222</f>
        <v>1000</v>
      </c>
      <c r="AO222" s="253"/>
      <c r="AP222" s="253"/>
      <c r="AQ222" s="253"/>
      <c r="AR222" s="253"/>
      <c r="AS222" s="253"/>
      <c r="AT222" s="253"/>
      <c r="AU222" s="253"/>
      <c r="AV222" s="253"/>
      <c r="AW222" s="254"/>
      <c r="AX222" s="86"/>
      <c r="AY222" s="255" t="s">
        <v>329</v>
      </c>
      <c r="AZ222" s="256"/>
      <c r="BA222" s="256"/>
      <c r="BB222" s="256"/>
      <c r="BC222" s="256"/>
      <c r="BD222" s="256"/>
      <c r="BE222" s="256"/>
      <c r="BF222" s="256"/>
      <c r="BG222" s="256"/>
      <c r="BH222" s="256"/>
      <c r="BI222" s="256"/>
      <c r="BJ222" s="256"/>
      <c r="BK222" s="256"/>
      <c r="BL222" s="256"/>
      <c r="BM222" s="257"/>
      <c r="BN222" s="252">
        <f>SUMIFS('Adv. Filter'!$CH$1:$CH$50000,'Adv. Filter'!$CD$1:$CD$50000,"Mahesh",'Adv. Filter'!$CC$1:$CC$50000,"TDS",'Adv. Filter'!$CF$1:$CF$50000,"Cash")</f>
        <v>0</v>
      </c>
      <c r="BO222" s="253"/>
      <c r="BP222" s="253"/>
      <c r="BQ222" s="253"/>
      <c r="BR222" s="253"/>
      <c r="BS222" s="253"/>
      <c r="BT222" s="253"/>
      <c r="BU222" s="253"/>
      <c r="BV222" s="253"/>
      <c r="BW222" s="254"/>
      <c r="BX222" s="252">
        <f>SUMIFS('Adv. Filter'!$CH$1:$CH$50000,'Adv. Filter'!$CD$1:$CD$50000,"Mahesh",'Adv. Filter'!$CC$1:$CC$50000,"TDS",'Adv. Filter'!$CF$1:$CF$50000,"Bank")</f>
        <v>19200</v>
      </c>
      <c r="BY222" s="253"/>
      <c r="BZ222" s="253"/>
      <c r="CA222" s="253"/>
      <c r="CB222" s="253"/>
      <c r="CC222" s="253"/>
      <c r="CD222" s="253"/>
      <c r="CE222" s="253"/>
      <c r="CF222" s="253"/>
      <c r="CG222" s="254"/>
      <c r="CH222" s="252">
        <f>BN222+BX222</f>
        <v>19200</v>
      </c>
      <c r="CI222" s="253"/>
      <c r="CJ222" s="253"/>
      <c r="CK222" s="253"/>
      <c r="CL222" s="253"/>
      <c r="CM222" s="253"/>
      <c r="CN222" s="253"/>
      <c r="CO222" s="253"/>
      <c r="CP222" s="253"/>
      <c r="CQ222" s="254"/>
    </row>
    <row r="223" spans="1:104" ht="16.5" hidden="1" thickTop="1">
      <c r="E223" s="279" t="s">
        <v>503</v>
      </c>
      <c r="F223" s="280"/>
      <c r="G223" s="280"/>
      <c r="H223" s="280"/>
      <c r="I223" s="280"/>
      <c r="J223" s="280"/>
      <c r="K223" s="280"/>
      <c r="L223" s="280"/>
      <c r="M223" s="280"/>
      <c r="N223" s="280"/>
      <c r="O223" s="280"/>
      <c r="P223" s="280"/>
      <c r="Q223" s="280"/>
      <c r="R223" s="280"/>
      <c r="S223" s="281"/>
      <c r="T223" s="258">
        <f>SUM(T219:AC222)</f>
        <v>6800</v>
      </c>
      <c r="U223" s="259"/>
      <c r="V223" s="259"/>
      <c r="W223" s="259"/>
      <c r="X223" s="259"/>
      <c r="Y223" s="259"/>
      <c r="Z223" s="259"/>
      <c r="AA223" s="259"/>
      <c r="AB223" s="259"/>
      <c r="AC223" s="260"/>
      <c r="AD223" s="258">
        <f>SUM(AD219:AM222)</f>
        <v>0</v>
      </c>
      <c r="AE223" s="259"/>
      <c r="AF223" s="259"/>
      <c r="AG223" s="259"/>
      <c r="AH223" s="259"/>
      <c r="AI223" s="259"/>
      <c r="AJ223" s="259"/>
      <c r="AK223" s="259"/>
      <c r="AL223" s="259"/>
      <c r="AM223" s="260"/>
      <c r="AN223" s="258">
        <f>T223+AD223</f>
        <v>6800</v>
      </c>
      <c r="AO223" s="259"/>
      <c r="AP223" s="259"/>
      <c r="AQ223" s="259"/>
      <c r="AR223" s="259"/>
      <c r="AS223" s="259"/>
      <c r="AT223" s="259"/>
      <c r="AU223" s="259"/>
      <c r="AV223" s="259"/>
      <c r="AW223" s="260"/>
      <c r="AX223" s="87"/>
      <c r="AY223" s="282" t="s">
        <v>503</v>
      </c>
      <c r="AZ223" s="283"/>
      <c r="BA223" s="283"/>
      <c r="BB223" s="283"/>
      <c r="BC223" s="283"/>
      <c r="BD223" s="283"/>
      <c r="BE223" s="283"/>
      <c r="BF223" s="283"/>
      <c r="BG223" s="283"/>
      <c r="BH223" s="283"/>
      <c r="BI223" s="283"/>
      <c r="BJ223" s="283"/>
      <c r="BK223" s="283"/>
      <c r="BL223" s="283"/>
      <c r="BM223" s="284"/>
      <c r="BN223" s="258">
        <f>SUM(BN219:BW222)</f>
        <v>680000</v>
      </c>
      <c r="BO223" s="259"/>
      <c r="BP223" s="259"/>
      <c r="BQ223" s="259"/>
      <c r="BR223" s="259"/>
      <c r="BS223" s="259"/>
      <c r="BT223" s="259"/>
      <c r="BU223" s="259"/>
      <c r="BV223" s="259"/>
      <c r="BW223" s="260"/>
      <c r="BX223" s="258">
        <f>SUM(BX219:CG222)</f>
        <v>675200</v>
      </c>
      <c r="BY223" s="259"/>
      <c r="BZ223" s="259"/>
      <c r="CA223" s="259"/>
      <c r="CB223" s="259"/>
      <c r="CC223" s="259"/>
      <c r="CD223" s="259"/>
      <c r="CE223" s="259"/>
      <c r="CF223" s="259"/>
      <c r="CG223" s="260"/>
      <c r="CH223" s="258">
        <f>BN223+BX223</f>
        <v>1355200</v>
      </c>
      <c r="CI223" s="259"/>
      <c r="CJ223" s="259"/>
      <c r="CK223" s="259"/>
      <c r="CL223" s="259"/>
      <c r="CM223" s="259"/>
      <c r="CN223" s="259"/>
      <c r="CO223" s="259"/>
      <c r="CP223" s="259"/>
      <c r="CQ223" s="260"/>
    </row>
    <row r="224" spans="1:104" hidden="1"/>
    <row r="225" spans="3:135" ht="15.75" hidden="1">
      <c r="C225" s="453" t="str">
        <f>CONCATENATE("PRESENT FORMS    ",TEXT('Adv. Filter'!$A$15,"( DD-MMM-YY"), " TO ",TEXT('Adv. Filter'!$B$15,"DD-MMM-YY )"))</f>
        <v>PRESENT FORMS    ( 01-Jan-17 TO 13-Oct-17 )</v>
      </c>
      <c r="D225" s="454"/>
      <c r="E225" s="454"/>
      <c r="F225" s="454"/>
      <c r="G225" s="454"/>
      <c r="H225" s="454"/>
      <c r="I225" s="454"/>
      <c r="J225" s="454"/>
      <c r="K225" s="454"/>
      <c r="L225" s="454"/>
      <c r="M225" s="454"/>
      <c r="N225" s="454"/>
      <c r="O225" s="454"/>
      <c r="P225" s="454"/>
      <c r="Q225" s="454"/>
      <c r="R225" s="454"/>
      <c r="S225" s="454"/>
      <c r="T225" s="454"/>
      <c r="U225" s="454"/>
      <c r="V225" s="454"/>
      <c r="W225" s="454"/>
      <c r="X225" s="454"/>
      <c r="Y225" s="454"/>
      <c r="Z225" s="454"/>
      <c r="AA225" s="454"/>
      <c r="AB225" s="454"/>
      <c r="AC225" s="454"/>
      <c r="AD225" s="454"/>
      <c r="AE225" s="454"/>
      <c r="AF225" s="454"/>
      <c r="AG225" s="454"/>
      <c r="AH225" s="454"/>
      <c r="AI225" s="454"/>
      <c r="AJ225" s="454"/>
      <c r="AK225" s="454"/>
      <c r="AL225" s="454"/>
      <c r="AM225" s="454"/>
      <c r="AN225" s="454"/>
      <c r="AO225" s="454"/>
      <c r="AP225" s="454"/>
      <c r="AQ225" s="454"/>
      <c r="AR225" s="454"/>
      <c r="AS225" s="454"/>
      <c r="AT225" s="454"/>
      <c r="AU225" s="454"/>
      <c r="AV225" s="454"/>
      <c r="AW225" s="454"/>
      <c r="AX225" s="454"/>
      <c r="AY225" s="454"/>
      <c r="AZ225" s="454"/>
      <c r="BA225" s="454"/>
      <c r="BB225" s="454"/>
      <c r="BC225" s="454"/>
      <c r="BD225" s="454"/>
      <c r="BE225" s="454"/>
      <c r="BF225" s="454"/>
      <c r="BG225" s="454"/>
      <c r="BH225" s="454"/>
      <c r="BI225" s="454"/>
      <c r="BJ225" s="454"/>
      <c r="BK225" s="454"/>
      <c r="BL225" s="454"/>
      <c r="BM225" s="454"/>
      <c r="BN225" s="454"/>
      <c r="BO225" s="454"/>
      <c r="BP225" s="454"/>
      <c r="BQ225" s="454"/>
      <c r="BR225" s="454"/>
      <c r="BS225" s="454"/>
      <c r="BT225" s="454"/>
      <c r="BU225" s="454"/>
      <c r="BV225" s="454"/>
      <c r="BW225" s="454"/>
      <c r="BX225" s="454"/>
      <c r="BY225" s="454"/>
      <c r="BZ225" s="454"/>
      <c r="CA225" s="454"/>
      <c r="CB225" s="454"/>
      <c r="CC225" s="454"/>
      <c r="CD225" s="454"/>
      <c r="CE225" s="454"/>
      <c r="CF225" s="454"/>
      <c r="CG225" s="454"/>
      <c r="CH225" s="454"/>
      <c r="CI225" s="454"/>
      <c r="CJ225" s="454"/>
      <c r="CK225" s="454"/>
      <c r="CL225" s="454"/>
      <c r="CM225" s="454"/>
      <c r="CN225" s="454"/>
      <c r="CO225" s="454"/>
      <c r="CP225" s="454"/>
      <c r="CQ225" s="454"/>
      <c r="CR225" s="454"/>
      <c r="CS225" s="454"/>
      <c r="CT225" s="454"/>
      <c r="CU225" s="454"/>
      <c r="CV225" s="454"/>
      <c r="CW225" s="454"/>
      <c r="CX225" s="454"/>
      <c r="CY225" s="454"/>
      <c r="CZ225" s="454"/>
      <c r="DA225" s="454"/>
      <c r="DB225" s="454"/>
      <c r="DC225" s="454"/>
      <c r="DD225" s="454"/>
      <c r="DE225" s="454"/>
      <c r="DF225" s="454"/>
      <c r="DG225" s="454"/>
      <c r="DH225" s="454"/>
      <c r="DI225" s="454"/>
      <c r="DJ225" s="454"/>
      <c r="DK225" s="454"/>
      <c r="DL225" s="454"/>
      <c r="DM225" s="454"/>
      <c r="DN225" s="454"/>
      <c r="DO225" s="454"/>
      <c r="DP225" s="454"/>
      <c r="DQ225" s="454"/>
      <c r="DR225" s="454"/>
      <c r="DS225" s="454"/>
      <c r="DT225" s="454"/>
      <c r="DU225" s="454"/>
      <c r="DV225" s="454"/>
      <c r="DW225" s="454"/>
      <c r="DX225" s="454"/>
      <c r="DY225" s="454"/>
      <c r="DZ225" s="454"/>
      <c r="EA225" s="454"/>
      <c r="EB225" s="454"/>
      <c r="EC225" s="454"/>
      <c r="ED225" s="454"/>
      <c r="EE225" s="455"/>
    </row>
    <row r="226" spans="3:135" hidden="1">
      <c r="C226" s="478" t="s">
        <v>513</v>
      </c>
      <c r="D226" s="478"/>
      <c r="E226" s="478"/>
      <c r="F226" s="478"/>
      <c r="G226" s="478"/>
      <c r="H226" s="478"/>
      <c r="I226" s="478"/>
      <c r="J226" s="478"/>
      <c r="K226" s="478"/>
      <c r="L226" s="478"/>
      <c r="M226" s="478"/>
      <c r="N226" s="478"/>
      <c r="O226" s="209" t="s">
        <v>117</v>
      </c>
      <c r="P226" s="209"/>
      <c r="Q226" s="209"/>
      <c r="R226" s="209"/>
      <c r="S226" s="209"/>
      <c r="T226" s="209"/>
      <c r="U226" s="209"/>
      <c r="V226" s="99"/>
      <c r="W226" s="231" t="s">
        <v>511</v>
      </c>
      <c r="X226" s="232"/>
      <c r="Y226" s="232"/>
      <c r="Z226" s="232"/>
      <c r="AA226" s="232"/>
      <c r="AB226" s="232"/>
      <c r="AC226" s="232"/>
      <c r="AD226" s="232"/>
      <c r="AE226" s="232"/>
      <c r="AF226" s="232"/>
      <c r="AG226" s="232"/>
      <c r="AH226" s="232"/>
      <c r="AI226" s="232"/>
      <c r="AJ226" s="232"/>
      <c r="AK226" s="232"/>
      <c r="AL226" s="232"/>
      <c r="AM226" s="232"/>
      <c r="AN226" s="232"/>
      <c r="AO226" s="232"/>
      <c r="AP226" s="232"/>
      <c r="AQ226" s="232"/>
      <c r="AR226" s="232"/>
      <c r="AS226" s="232"/>
      <c r="AT226" s="232"/>
      <c r="AU226" s="232"/>
      <c r="AV226" s="232"/>
      <c r="AW226" s="232"/>
      <c r="AX226" s="232"/>
      <c r="AY226" s="232"/>
      <c r="AZ226" s="232"/>
      <c r="BA226" s="232"/>
      <c r="BB226" s="232"/>
      <c r="BC226" s="232"/>
      <c r="BD226" s="232"/>
      <c r="BE226" s="232"/>
      <c r="BF226" s="232"/>
      <c r="BG226" s="232"/>
      <c r="BH226" s="232"/>
      <c r="BI226" s="232"/>
      <c r="BJ226" s="232"/>
      <c r="BK226" s="232"/>
      <c r="BL226" s="232"/>
      <c r="BM226" s="232"/>
      <c r="BN226" s="232"/>
      <c r="BO226" s="232"/>
      <c r="BP226" s="232"/>
      <c r="BQ226" s="232"/>
      <c r="BR226" s="232"/>
      <c r="BS226" s="233"/>
      <c r="BT226" s="99"/>
      <c r="BU226" s="231" t="s">
        <v>571</v>
      </c>
      <c r="BV226" s="232"/>
      <c r="BW226" s="232"/>
      <c r="BX226" s="232"/>
      <c r="BY226" s="232"/>
      <c r="BZ226" s="232"/>
      <c r="CA226" s="232"/>
      <c r="CB226" s="232"/>
      <c r="CC226" s="232"/>
      <c r="CD226" s="232"/>
      <c r="CE226" s="232"/>
      <c r="CF226" s="232"/>
      <c r="CG226" s="232"/>
      <c r="CH226" s="232"/>
      <c r="CI226" s="232"/>
      <c r="CJ226" s="232"/>
      <c r="CK226" s="232"/>
      <c r="CL226" s="232"/>
      <c r="CM226" s="232"/>
      <c r="CN226" s="232"/>
      <c r="CO226" s="232"/>
      <c r="CP226" s="232"/>
      <c r="CQ226" s="232"/>
      <c r="CR226" s="232"/>
      <c r="CS226" s="232"/>
      <c r="CT226" s="232"/>
      <c r="CU226" s="232"/>
      <c r="CV226" s="232"/>
      <c r="CW226" s="232"/>
      <c r="CX226" s="232"/>
      <c r="CY226" s="232"/>
      <c r="CZ226" s="232"/>
      <c r="DA226" s="232"/>
      <c r="DB226" s="232"/>
      <c r="DC226" s="232"/>
      <c r="DD226" s="232"/>
      <c r="DE226" s="232"/>
      <c r="DF226" s="232"/>
      <c r="DG226" s="232"/>
      <c r="DH226" s="232"/>
      <c r="DI226" s="232"/>
      <c r="DJ226" s="232"/>
      <c r="DK226" s="232"/>
      <c r="DL226" s="232"/>
      <c r="DM226" s="232"/>
      <c r="DN226" s="232"/>
      <c r="DO226" s="232"/>
      <c r="DP226" s="232"/>
      <c r="DQ226" s="232"/>
      <c r="DR226" s="232"/>
      <c r="DS226" s="232"/>
      <c r="DT226" s="232"/>
      <c r="DU226" s="232"/>
      <c r="DV226" s="232"/>
      <c r="DW226" s="232"/>
      <c r="DX226" s="232"/>
      <c r="DY226" s="232"/>
      <c r="DZ226" s="232"/>
      <c r="EA226" s="232"/>
      <c r="EB226" s="232"/>
      <c r="EC226" s="232"/>
      <c r="ED226" s="232"/>
      <c r="EE226" s="233"/>
    </row>
    <row r="227" spans="3:135" hidden="1">
      <c r="C227" s="478"/>
      <c r="D227" s="478"/>
      <c r="E227" s="478"/>
      <c r="F227" s="478"/>
      <c r="G227" s="478"/>
      <c r="H227" s="478"/>
      <c r="I227" s="478"/>
      <c r="J227" s="478"/>
      <c r="K227" s="478"/>
      <c r="L227" s="478"/>
      <c r="M227" s="478"/>
      <c r="N227" s="478"/>
      <c r="O227" s="208" t="s">
        <v>569</v>
      </c>
      <c r="P227" s="208"/>
      <c r="Q227" s="208"/>
      <c r="R227" s="208"/>
      <c r="S227" s="208"/>
      <c r="T227" s="208"/>
      <c r="U227" s="208"/>
      <c r="V227" s="99"/>
      <c r="W227" s="250" t="s">
        <v>511</v>
      </c>
      <c r="X227" s="251"/>
      <c r="Y227" s="251"/>
      <c r="Z227" s="251"/>
      <c r="AA227" s="251"/>
      <c r="AB227" s="251"/>
      <c r="AC227" s="245"/>
      <c r="AD227" s="250" t="s">
        <v>493</v>
      </c>
      <c r="AE227" s="251"/>
      <c r="AF227" s="251"/>
      <c r="AG227" s="251"/>
      <c r="AH227" s="251"/>
      <c r="AI227" s="251"/>
      <c r="AJ227" s="245"/>
      <c r="AK227" s="250" t="s">
        <v>485</v>
      </c>
      <c r="AL227" s="251"/>
      <c r="AM227" s="251"/>
      <c r="AN227" s="251"/>
      <c r="AO227" s="251"/>
      <c r="AP227" s="251"/>
      <c r="AQ227" s="245"/>
      <c r="AR227" s="250" t="s">
        <v>575</v>
      </c>
      <c r="AS227" s="251"/>
      <c r="AT227" s="251"/>
      <c r="AU227" s="251"/>
      <c r="AV227" s="251"/>
      <c r="AW227" s="251"/>
      <c r="AX227" s="245"/>
      <c r="AY227" s="250" t="s">
        <v>568</v>
      </c>
      <c r="AZ227" s="251"/>
      <c r="BA227" s="251"/>
      <c r="BB227" s="251"/>
      <c r="BC227" s="251"/>
      <c r="BD227" s="251"/>
      <c r="BE227" s="245"/>
      <c r="BF227" s="250" t="s">
        <v>492</v>
      </c>
      <c r="BG227" s="251"/>
      <c r="BH227" s="251"/>
      <c r="BI227" s="251"/>
      <c r="BJ227" s="251"/>
      <c r="BK227" s="251"/>
      <c r="BL227" s="245"/>
      <c r="BM227" s="250" t="s">
        <v>567</v>
      </c>
      <c r="BN227" s="251"/>
      <c r="BO227" s="251"/>
      <c r="BP227" s="251"/>
      <c r="BQ227" s="251"/>
      <c r="BR227" s="251"/>
      <c r="BS227" s="245"/>
      <c r="BT227" s="99"/>
      <c r="BU227" s="208" t="s">
        <v>570</v>
      </c>
      <c r="BV227" s="208"/>
      <c r="BW227" s="208"/>
      <c r="BX227" s="208"/>
      <c r="BY227" s="208"/>
      <c r="BZ227" s="208"/>
      <c r="CA227" s="208"/>
      <c r="CB227" s="208" t="s">
        <v>559</v>
      </c>
      <c r="CC227" s="208"/>
      <c r="CD227" s="208"/>
      <c r="CE227" s="208"/>
      <c r="CF227" s="208"/>
      <c r="CG227" s="208"/>
      <c r="CH227" s="208"/>
      <c r="CI227" s="208" t="s">
        <v>560</v>
      </c>
      <c r="CJ227" s="208"/>
      <c r="CK227" s="208"/>
      <c r="CL227" s="208"/>
      <c r="CM227" s="208"/>
      <c r="CN227" s="208"/>
      <c r="CO227" s="208"/>
      <c r="CP227" s="208" t="s">
        <v>561</v>
      </c>
      <c r="CQ227" s="208"/>
      <c r="CR227" s="208"/>
      <c r="CS227" s="208"/>
      <c r="CT227" s="208"/>
      <c r="CU227" s="208"/>
      <c r="CV227" s="208"/>
      <c r="CW227" s="208" t="s">
        <v>562</v>
      </c>
      <c r="CX227" s="208"/>
      <c r="CY227" s="208"/>
      <c r="CZ227" s="208"/>
      <c r="DA227" s="208"/>
      <c r="DB227" s="208"/>
      <c r="DC227" s="208"/>
      <c r="DD227" s="208" t="s">
        <v>563</v>
      </c>
      <c r="DE227" s="208"/>
      <c r="DF227" s="208"/>
      <c r="DG227" s="208"/>
      <c r="DH227" s="208"/>
      <c r="DI227" s="208"/>
      <c r="DJ227" s="208"/>
      <c r="DK227" s="208" t="s">
        <v>564</v>
      </c>
      <c r="DL227" s="208"/>
      <c r="DM227" s="208"/>
      <c r="DN227" s="208"/>
      <c r="DO227" s="208"/>
      <c r="DP227" s="208"/>
      <c r="DQ227" s="208"/>
      <c r="DR227" s="208" t="s">
        <v>565</v>
      </c>
      <c r="DS227" s="208"/>
      <c r="DT227" s="208"/>
      <c r="DU227" s="208"/>
      <c r="DV227" s="208"/>
      <c r="DW227" s="208"/>
      <c r="DX227" s="208"/>
      <c r="DY227" s="208" t="s">
        <v>566</v>
      </c>
      <c r="DZ227" s="208"/>
      <c r="EA227" s="208"/>
      <c r="EB227" s="208"/>
      <c r="EC227" s="208"/>
      <c r="ED227" s="208"/>
      <c r="EE227" s="208"/>
    </row>
    <row r="228" spans="3:135" hidden="1">
      <c r="C228" s="248" t="s">
        <v>26</v>
      </c>
      <c r="D228" s="249"/>
      <c r="E228" s="249"/>
      <c r="F228" s="249"/>
      <c r="G228" s="249"/>
      <c r="H228" s="249"/>
      <c r="I228" s="249"/>
      <c r="J228" s="249"/>
      <c r="K228" s="249"/>
      <c r="L228" s="249"/>
      <c r="M228" s="249"/>
      <c r="N228" s="249"/>
      <c r="O228" s="234">
        <f>SUM(COUNTIFS('Form Details'!$AA:$AA,{"Yes","No","-"},'Form Details'!$N:$N,"Mahesh",'Form Details'!$J:$J,$C228,'Form Details'!$D:$D,'Adv. Filter'!$A$14,'Form Details'!$D:$D,'Adv. Filter'!$B$14))</f>
        <v>0</v>
      </c>
      <c r="P228" s="235"/>
      <c r="Q228" s="235"/>
      <c r="R228" s="235"/>
      <c r="S228" s="235"/>
      <c r="T228" s="235"/>
      <c r="U228" s="236"/>
      <c r="V228" s="99"/>
      <c r="W228" s="234">
        <f>COUNTIFS('Form Details'!$AA:$AA,"Yes",'Form Details'!$N:$N,"Mahesh",'Form Details'!$J:$J,$C228,'Form Details'!$D:$D,'Adv. Filter'!$A$14,'Form Details'!$D:$D,'Adv. Filter'!$B$14)</f>
        <v>0</v>
      </c>
      <c r="X228" s="235"/>
      <c r="Y228" s="235"/>
      <c r="Z228" s="235"/>
      <c r="AA228" s="235"/>
      <c r="AB228" s="235"/>
      <c r="AC228" s="236"/>
      <c r="AD228" s="234">
        <f>COUNTIFS('Form Details'!$W:$W,"Paid",'Form Details'!$N:$N,"Mahesh",'Form Details'!$J:$J,$C228,'Form Details'!$D:$D,'Adv. Filter'!$A$14,'Form Details'!$D:$D,'Adv. Filter'!$B$14)</f>
        <v>0</v>
      </c>
      <c r="AE228" s="235"/>
      <c r="AF228" s="235"/>
      <c r="AG228" s="235"/>
      <c r="AH228" s="235"/>
      <c r="AI228" s="235"/>
      <c r="AJ228" s="236"/>
      <c r="AK228" s="234">
        <f>COUNTIFS('Form Details'!$W:$W,"Due",'Form Details'!$N:$N,"Mahesh",'Form Details'!$J:$J,$C228,'Form Details'!$D:$D,'Adv. Filter'!$A$14,'Form Details'!$D:$D,'Adv. Filter'!$B$14)</f>
        <v>0</v>
      </c>
      <c r="AL228" s="235"/>
      <c r="AM228" s="235"/>
      <c r="AN228" s="235"/>
      <c r="AO228" s="235"/>
      <c r="AP228" s="235"/>
      <c r="AQ228" s="236"/>
      <c r="AR228" s="234">
        <f>COUNTIFS('Form Details'!$W:$W,"No Fee",'Form Details'!$N:$N,"Mahesh",'Form Details'!$J:$J,$C228,'Form Details'!$D:$D,'Adv. Filter'!$A$14,'Form Details'!$D:$D,'Adv. Filter'!$B$14)</f>
        <v>0</v>
      </c>
      <c r="AS228" s="235"/>
      <c r="AT228" s="235"/>
      <c r="AU228" s="235"/>
      <c r="AV228" s="235"/>
      <c r="AW228" s="235"/>
      <c r="AX228" s="236"/>
      <c r="AY228" s="234">
        <f>COUNTIFS('Form Details'!$W:$W,"Paid/Reject",'Form Details'!$N:$N,"Mahesh",'Form Details'!$J:$J,$C228,'Form Details'!$D:$D,'Adv. Filter'!$A$14,'Form Details'!$D:$D,'Adv. Filter'!$B$14)</f>
        <v>0</v>
      </c>
      <c r="AZ228" s="235"/>
      <c r="BA228" s="235"/>
      <c r="BB228" s="235"/>
      <c r="BC228" s="235"/>
      <c r="BD228" s="235"/>
      <c r="BE228" s="236"/>
      <c r="BF228" s="234">
        <f>COUNTIFS('Form Details'!$W:$W,"Staff",'Form Details'!$N:$N,"Mahesh",'Form Details'!$J:$J,$C228,'Form Details'!$D:$D,'Adv. Filter'!$A$14,'Form Details'!$D:$D,'Adv. Filter'!$B$14)</f>
        <v>0</v>
      </c>
      <c r="BG228" s="235"/>
      <c r="BH228" s="235"/>
      <c r="BI228" s="235"/>
      <c r="BJ228" s="235"/>
      <c r="BK228" s="235"/>
      <c r="BL228" s="236"/>
      <c r="BM228" s="234">
        <f>COUNTIFS('Form Details'!$W:$W,"File in Office",'Form Details'!$N:$N,"Mahesh",'Form Details'!$J:$J,$C228,'Form Details'!$D:$D,'Adv. Filter'!$A$14,'Form Details'!$D:$D,'Adv. Filter'!$B$14)</f>
        <v>0</v>
      </c>
      <c r="BN228" s="235"/>
      <c r="BO228" s="235"/>
      <c r="BP228" s="235"/>
      <c r="BQ228" s="235"/>
      <c r="BR228" s="235"/>
      <c r="BS228" s="236"/>
      <c r="BT228" s="99"/>
      <c r="BU228" s="234">
        <f>COUNTIFS('Form Details'!$AA:$AA,"No",'Form Details'!$N:$N,"Mahesh",'Form Details'!$J:$J,$C228,'Form Details'!$D:$D,'Adv. Filter'!$A$14,'Form Details'!$D:$D,'Adv. Filter'!$B$14)</f>
        <v>0</v>
      </c>
      <c r="BV228" s="235"/>
      <c r="BW228" s="235"/>
      <c r="BX228" s="235"/>
      <c r="BY228" s="235"/>
      <c r="BZ228" s="235"/>
      <c r="CA228" s="236"/>
      <c r="CB228" s="234">
        <f>COUNTIFS('Form Details'!$W:$W,"Adv/Paid",'Form Details'!$N:$N,"Mahesh",'Form Details'!$J:$J,$C228,'Form Details'!$D:$D,'Adv. Filter'!$A$14,'Form Details'!$D:$D,'Adv. Filter'!$B$14)</f>
        <v>0</v>
      </c>
      <c r="CC228" s="235"/>
      <c r="CD228" s="235"/>
      <c r="CE228" s="235"/>
      <c r="CF228" s="235"/>
      <c r="CG228" s="235"/>
      <c r="CH228" s="236"/>
      <c r="CI228" s="234">
        <f>COUNTIFS('Form Details'!$W:$W,"Adv/Paid/Reject",'Form Details'!$N:$N,"Mahesh",'Form Details'!$J:$J,$C228,'Form Details'!$D:$D,'Adv. Filter'!$A$14,'Form Details'!$D:$D,'Adv. Filter'!$B$14)</f>
        <v>0</v>
      </c>
      <c r="CJ228" s="235"/>
      <c r="CK228" s="235"/>
      <c r="CL228" s="235"/>
      <c r="CM228" s="235"/>
      <c r="CN228" s="235"/>
      <c r="CO228" s="236"/>
      <c r="CP228" s="234">
        <f>COUNTIFS('Form Details'!$W:$W,"Reject",'Form Details'!$N:$N,"Mahesh",'Form Details'!$J:$J,$C228,'Form Details'!$D:$D,'Adv. Filter'!$A$14,'Form Details'!$D:$D,'Adv. Filter'!$B$14)</f>
        <v>0</v>
      </c>
      <c r="CQ228" s="235"/>
      <c r="CR228" s="235"/>
      <c r="CS228" s="235"/>
      <c r="CT228" s="235"/>
      <c r="CU228" s="235"/>
      <c r="CV228" s="236"/>
      <c r="CW228" s="234">
        <f>COUNTIFS('Form Details'!$W:$W,"Adv/Paid/Pending",'Form Details'!$N:$N,"Mahesh",'Form Details'!$J:$J,$C228,'Form Details'!$D:$D,'Adv. Filter'!$A$14,'Form Details'!$D:$D,'Adv. Filter'!$B$14)</f>
        <v>0</v>
      </c>
      <c r="CX228" s="235"/>
      <c r="CY228" s="235"/>
      <c r="CZ228" s="235"/>
      <c r="DA228" s="235"/>
      <c r="DB228" s="235"/>
      <c r="DC228" s="236"/>
      <c r="DD228" s="234">
        <f>COUNTIFS('Form Details'!$W:$W,"Pending",'Form Details'!$N:$N,"Mahesh",'Form Details'!$J:$J,$C228,'Form Details'!$D:$D,'Adv. Filter'!$A$14,'Form Details'!$D:$D,'Adv. Filter'!$B$14)</f>
        <v>0</v>
      </c>
      <c r="DE228" s="235"/>
      <c r="DF228" s="235"/>
      <c r="DG228" s="235"/>
      <c r="DH228" s="235"/>
      <c r="DI228" s="235"/>
      <c r="DJ228" s="236"/>
      <c r="DK228" s="234">
        <f>COUNTIFS('Form Details'!$W:$W,"Adv/Paid/NoStatus",'Form Details'!$N:$N,"Mahesh",'Form Details'!$J:$J,$C228,'Form Details'!$D:$D,'Adv. Filter'!$A$14,'Form Details'!$D:$D,'Adv. Filter'!$B$14)</f>
        <v>0</v>
      </c>
      <c r="DL228" s="235"/>
      <c r="DM228" s="235"/>
      <c r="DN228" s="235"/>
      <c r="DO228" s="235"/>
      <c r="DP228" s="235"/>
      <c r="DQ228" s="236"/>
      <c r="DR228" s="234">
        <f>COUNTIFS('Form Details'!$W:$W,"No Status",'Form Details'!$N:$N,"Mahesh",'Form Details'!$J:$J,$C228,'Form Details'!$D:$D,'Adv. Filter'!$A$14,'Form Details'!$D:$D,'Adv. Filter'!$B$14)</f>
        <v>0</v>
      </c>
      <c r="DS228" s="235"/>
      <c r="DT228" s="235"/>
      <c r="DU228" s="235"/>
      <c r="DV228" s="235"/>
      <c r="DW228" s="235"/>
      <c r="DX228" s="236"/>
      <c r="DY228" s="234">
        <f>SUM(COUNTIFS('Form Details'!$W:$W,{"Wrong Entry ","Double Entry"},'Form Details'!$N:$N,"Mahesh",'Form Details'!$J:$J,$C228,'Form Details'!$D:$D,'Adv. Filter'!$A$14,'Form Details'!$D:$D,'Adv. Filter'!$B$14))</f>
        <v>0</v>
      </c>
      <c r="DZ228" s="235"/>
      <c r="EA228" s="235"/>
      <c r="EB228" s="235"/>
      <c r="EC228" s="235"/>
      <c r="ED228" s="235"/>
      <c r="EE228" s="236"/>
    </row>
    <row r="229" spans="3:135" hidden="1">
      <c r="C229" s="248" t="s">
        <v>38</v>
      </c>
      <c r="D229" s="249"/>
      <c r="E229" s="249"/>
      <c r="F229" s="249"/>
      <c r="G229" s="249"/>
      <c r="H229" s="249"/>
      <c r="I229" s="249"/>
      <c r="J229" s="249"/>
      <c r="K229" s="249"/>
      <c r="L229" s="249"/>
      <c r="M229" s="249"/>
      <c r="N229" s="249"/>
      <c r="O229" s="237">
        <f>SUM(COUNTIFS('Form Details'!$AA:$AA,{"Yes","No","-"},'Form Details'!$N:$N,"Mahesh",'Form Details'!$J:$J,$C229,'Form Details'!$D:$D,'Adv. Filter'!$A$14,'Form Details'!$D:$D,'Adv. Filter'!$B$14))</f>
        <v>77</v>
      </c>
      <c r="P229" s="238"/>
      <c r="Q229" s="238"/>
      <c r="R229" s="238"/>
      <c r="S229" s="238"/>
      <c r="T229" s="238"/>
      <c r="U229" s="239"/>
      <c r="V229" s="99"/>
      <c r="W229" s="237">
        <f>COUNTIFS('Form Details'!$AA:$AA,"Yes",'Form Details'!$N:$N,"Mahesh",'Form Details'!$J:$J,$C229,'Form Details'!$D:$D,'Adv. Filter'!$A$14,'Form Details'!$D:$D,'Adv. Filter'!$B$14)</f>
        <v>55</v>
      </c>
      <c r="X229" s="238"/>
      <c r="Y229" s="238"/>
      <c r="Z229" s="238"/>
      <c r="AA229" s="238"/>
      <c r="AB229" s="238"/>
      <c r="AC229" s="239"/>
      <c r="AD229" s="237">
        <f>COUNTIFS('Form Details'!$W:$W,"Paid",'Form Details'!$N:$N,"Mahesh",'Form Details'!$J:$J,$C229,'Form Details'!$D:$D,'Adv. Filter'!$A$14,'Form Details'!$D:$D,'Adv. Filter'!$B$14)</f>
        <v>27</v>
      </c>
      <c r="AE229" s="238"/>
      <c r="AF229" s="238"/>
      <c r="AG229" s="238"/>
      <c r="AH229" s="238"/>
      <c r="AI229" s="238"/>
      <c r="AJ229" s="239"/>
      <c r="AK229" s="237">
        <f>COUNTIFS('Form Details'!$W:$W,"Due",'Form Details'!$N:$N,"Mahesh",'Form Details'!$J:$J,$C229,'Form Details'!$D:$D,'Adv. Filter'!$A$14,'Form Details'!$D:$D,'Adv. Filter'!$B$14)</f>
        <v>28</v>
      </c>
      <c r="AL229" s="238"/>
      <c r="AM229" s="238"/>
      <c r="AN229" s="238"/>
      <c r="AO229" s="238"/>
      <c r="AP229" s="238"/>
      <c r="AQ229" s="239"/>
      <c r="AR229" s="237">
        <f>COUNTIFS('Form Details'!$W:$W,"No Fee",'Form Details'!$N:$N,"Mahesh",'Form Details'!$J:$J,$C229,'Form Details'!$D:$D,'Adv. Filter'!$A$14,'Form Details'!$D:$D,'Adv. Filter'!$B$14)</f>
        <v>0</v>
      </c>
      <c r="AS229" s="238"/>
      <c r="AT229" s="238"/>
      <c r="AU229" s="238"/>
      <c r="AV229" s="238"/>
      <c r="AW229" s="238"/>
      <c r="AX229" s="239"/>
      <c r="AY229" s="237">
        <f>COUNTIFS('Form Details'!$W:$W,"Paid/Reject",'Form Details'!$N:$N,"Mahesh",'Form Details'!$J:$J,$C229,'Form Details'!$D:$D,'Adv. Filter'!$A$14,'Form Details'!$D:$D,'Adv. Filter'!$B$14)</f>
        <v>0</v>
      </c>
      <c r="AZ229" s="238"/>
      <c r="BA229" s="238"/>
      <c r="BB229" s="238"/>
      <c r="BC229" s="238"/>
      <c r="BD229" s="238"/>
      <c r="BE229" s="239"/>
      <c r="BF229" s="237">
        <f>COUNTIFS('Form Details'!$W:$W,"Staff",'Form Details'!$N:$N,"Mahesh",'Form Details'!$J:$J,$C229,'Form Details'!$D:$D,'Adv. Filter'!$A$14,'Form Details'!$D:$D,'Adv. Filter'!$B$14)</f>
        <v>0</v>
      </c>
      <c r="BG229" s="238"/>
      <c r="BH229" s="238"/>
      <c r="BI229" s="238"/>
      <c r="BJ229" s="238"/>
      <c r="BK229" s="238"/>
      <c r="BL229" s="239"/>
      <c r="BM229" s="237">
        <f>COUNTIFS('Form Details'!$W:$W,"File in Office",'Form Details'!$N:$N,"Mahesh",'Form Details'!$J:$J,$C229,'Form Details'!$D:$D,'Adv. Filter'!$A$14,'Form Details'!$D:$D,'Adv. Filter'!$B$14)</f>
        <v>0</v>
      </c>
      <c r="BN229" s="238"/>
      <c r="BO229" s="238"/>
      <c r="BP229" s="238"/>
      <c r="BQ229" s="238"/>
      <c r="BR229" s="238"/>
      <c r="BS229" s="239"/>
      <c r="BT229" s="99"/>
      <c r="BU229" s="237">
        <f>COUNTIFS('Form Details'!$AA:$AA,"No",'Form Details'!$N:$N,"Mahesh",'Form Details'!$J:$J,$C229,'Form Details'!$D:$D,'Adv. Filter'!$A$14,'Form Details'!$D:$D,'Adv. Filter'!$B$14)</f>
        <v>22</v>
      </c>
      <c r="BV229" s="238"/>
      <c r="BW229" s="238"/>
      <c r="BX229" s="238"/>
      <c r="BY229" s="238"/>
      <c r="BZ229" s="238"/>
      <c r="CA229" s="239"/>
      <c r="CB229" s="237">
        <f>COUNTIFS('Form Details'!$W:$W,"Adv/Paid",'Form Details'!$N:$N,"Mahesh",'Form Details'!$J:$J,$C229,'Form Details'!$D:$D,'Adv. Filter'!$A$14,'Form Details'!$D:$D,'Adv. Filter'!$B$14)</f>
        <v>0</v>
      </c>
      <c r="CC229" s="238"/>
      <c r="CD229" s="238"/>
      <c r="CE229" s="238"/>
      <c r="CF229" s="238"/>
      <c r="CG229" s="238"/>
      <c r="CH229" s="239"/>
      <c r="CI229" s="237">
        <f>COUNTIFS('Form Details'!$W:$W,"Adv/Paid/Reject",'Form Details'!$N:$N,"Mahesh",'Form Details'!$J:$J,$C229,'Form Details'!$D:$D,'Adv. Filter'!$A$14,'Form Details'!$D:$D,'Adv. Filter'!$B$14)</f>
        <v>0</v>
      </c>
      <c r="CJ229" s="238"/>
      <c r="CK229" s="238"/>
      <c r="CL229" s="238"/>
      <c r="CM229" s="238"/>
      <c r="CN229" s="238"/>
      <c r="CO229" s="239"/>
      <c r="CP229" s="237">
        <f>COUNTIFS('Form Details'!$W:$W,"Reject",'Form Details'!$N:$N,"Mahesh",'Form Details'!$J:$J,$C229,'Form Details'!$D:$D,'Adv. Filter'!$A$14,'Form Details'!$D:$D,'Adv. Filter'!$B$14)</f>
        <v>0</v>
      </c>
      <c r="CQ229" s="238"/>
      <c r="CR229" s="238"/>
      <c r="CS229" s="238"/>
      <c r="CT229" s="238"/>
      <c r="CU229" s="238"/>
      <c r="CV229" s="239"/>
      <c r="CW229" s="237">
        <f>COUNTIFS('Form Details'!$W:$W,"Adv/Paid/Pending",'Form Details'!$N:$N,"Mahesh",'Form Details'!$J:$J,$C229,'Form Details'!$D:$D,'Adv. Filter'!$A$14,'Form Details'!$D:$D,'Adv. Filter'!$B$14)</f>
        <v>0</v>
      </c>
      <c r="CX229" s="238"/>
      <c r="CY229" s="238"/>
      <c r="CZ229" s="238"/>
      <c r="DA229" s="238"/>
      <c r="DB229" s="238"/>
      <c r="DC229" s="239"/>
      <c r="DD229" s="237">
        <f>COUNTIFS('Form Details'!$W:$W,"Pending",'Form Details'!$N:$N,"Mahesh",'Form Details'!$J:$J,$C229,'Form Details'!$D:$D,'Adv. Filter'!$A$14,'Form Details'!$D:$D,'Adv. Filter'!$B$14)</f>
        <v>1</v>
      </c>
      <c r="DE229" s="238"/>
      <c r="DF229" s="238"/>
      <c r="DG229" s="238"/>
      <c r="DH229" s="238"/>
      <c r="DI229" s="238"/>
      <c r="DJ229" s="239"/>
      <c r="DK229" s="237">
        <f>COUNTIFS('Form Details'!$W:$W,"Adv/Paid/NoStatus",'Form Details'!$N:$N,"Mahesh",'Form Details'!$J:$J,$C229,'Form Details'!$D:$D,'Adv. Filter'!$A$14,'Form Details'!$D:$D,'Adv. Filter'!$B$14)</f>
        <v>0</v>
      </c>
      <c r="DL229" s="238"/>
      <c r="DM229" s="238"/>
      <c r="DN229" s="238"/>
      <c r="DO229" s="238"/>
      <c r="DP229" s="238"/>
      <c r="DQ229" s="239"/>
      <c r="DR229" s="237">
        <f>COUNTIFS('Form Details'!$W:$W,"No Status",'Form Details'!$N:$N,"Mahesh",'Form Details'!$J:$J,$C229,'Form Details'!$D:$D,'Adv. Filter'!$A$14,'Form Details'!$D:$D,'Adv. Filter'!$B$14)</f>
        <v>21</v>
      </c>
      <c r="DS229" s="238"/>
      <c r="DT229" s="238"/>
      <c r="DU229" s="238"/>
      <c r="DV229" s="238"/>
      <c r="DW229" s="238"/>
      <c r="DX229" s="239"/>
      <c r="DY229" s="237">
        <f>SUM(COUNTIFS('Form Details'!$W:$W,{"Wrong Entry ","Double Entry"},'Form Details'!$N:$N,"Mahesh",'Form Details'!$J:$J,$C229,'Form Details'!$D:$D,'Adv. Filter'!$A$14,'Form Details'!$D:$D,'Adv. Filter'!$B$14))</f>
        <v>0</v>
      </c>
      <c r="DZ229" s="238"/>
      <c r="EA229" s="238"/>
      <c r="EB229" s="238"/>
      <c r="EC229" s="238"/>
      <c r="ED229" s="238"/>
      <c r="EE229" s="239"/>
    </row>
    <row r="230" spans="3:135" hidden="1">
      <c r="C230" s="248" t="s">
        <v>49</v>
      </c>
      <c r="D230" s="249"/>
      <c r="E230" s="249"/>
      <c r="F230" s="249"/>
      <c r="G230" s="249"/>
      <c r="H230" s="249"/>
      <c r="I230" s="249"/>
      <c r="J230" s="249"/>
      <c r="K230" s="249"/>
      <c r="L230" s="249"/>
      <c r="M230" s="249"/>
      <c r="N230" s="249"/>
      <c r="O230" s="237">
        <f>SUM(COUNTIFS('Form Details'!$AA:$AA,{"Yes","No","-"},'Form Details'!$N:$N,"Mahesh",'Form Details'!$J:$J,$C230,'Form Details'!$D:$D,'Adv. Filter'!$A$14,'Form Details'!$D:$D,'Adv. Filter'!$B$14))</f>
        <v>0</v>
      </c>
      <c r="P230" s="238"/>
      <c r="Q230" s="238"/>
      <c r="R230" s="238"/>
      <c r="S230" s="238"/>
      <c r="T230" s="238"/>
      <c r="U230" s="239"/>
      <c r="V230" s="99"/>
      <c r="W230" s="237">
        <f>COUNTIFS('Form Details'!$AA:$AA,"Yes",'Form Details'!$N:$N,"Mahesh",'Form Details'!$J:$J,$C230,'Form Details'!$D:$D,'Adv. Filter'!$A$14,'Form Details'!$D:$D,'Adv. Filter'!$B$14)</f>
        <v>0</v>
      </c>
      <c r="X230" s="238"/>
      <c r="Y230" s="238"/>
      <c r="Z230" s="238"/>
      <c r="AA230" s="238"/>
      <c r="AB230" s="238"/>
      <c r="AC230" s="239"/>
      <c r="AD230" s="237">
        <f>COUNTIFS('Form Details'!$W:$W,"Paid",'Form Details'!$N:$N,"Mahesh",'Form Details'!$J:$J,$C230,'Form Details'!$D:$D,'Adv. Filter'!$A$14,'Form Details'!$D:$D,'Adv. Filter'!$B$14)</f>
        <v>0</v>
      </c>
      <c r="AE230" s="238"/>
      <c r="AF230" s="238"/>
      <c r="AG230" s="238"/>
      <c r="AH230" s="238"/>
      <c r="AI230" s="238"/>
      <c r="AJ230" s="239"/>
      <c r="AK230" s="237">
        <f>COUNTIFS('Form Details'!$W:$W,"Due",'Form Details'!$N:$N,"Mahesh",'Form Details'!$J:$J,$C230,'Form Details'!$D:$D,'Adv. Filter'!$A$14,'Form Details'!$D:$D,'Adv. Filter'!$B$14)</f>
        <v>0</v>
      </c>
      <c r="AL230" s="238"/>
      <c r="AM230" s="238"/>
      <c r="AN230" s="238"/>
      <c r="AO230" s="238"/>
      <c r="AP230" s="238"/>
      <c r="AQ230" s="239"/>
      <c r="AR230" s="237">
        <f>COUNTIFS('Form Details'!$W:$W,"No Fee",'Form Details'!$N:$N,"Mahesh",'Form Details'!$J:$J,$C230,'Form Details'!$D:$D,'Adv. Filter'!$A$14,'Form Details'!$D:$D,'Adv. Filter'!$B$14)</f>
        <v>0</v>
      </c>
      <c r="AS230" s="238"/>
      <c r="AT230" s="238"/>
      <c r="AU230" s="238"/>
      <c r="AV230" s="238"/>
      <c r="AW230" s="238"/>
      <c r="AX230" s="239"/>
      <c r="AY230" s="237">
        <f>COUNTIFS('Form Details'!$W:$W,"Paid/Reject",'Form Details'!$N:$N,"Mahesh",'Form Details'!$J:$J,$C230,'Form Details'!$D:$D,'Adv. Filter'!$A$14,'Form Details'!$D:$D,'Adv. Filter'!$B$14)</f>
        <v>0</v>
      </c>
      <c r="AZ230" s="238"/>
      <c r="BA230" s="238"/>
      <c r="BB230" s="238"/>
      <c r="BC230" s="238"/>
      <c r="BD230" s="238"/>
      <c r="BE230" s="239"/>
      <c r="BF230" s="237">
        <f>COUNTIFS('Form Details'!$W:$W,"Staff",'Form Details'!$N:$N,"Mahesh",'Form Details'!$J:$J,$C230,'Form Details'!$D:$D,'Adv. Filter'!$A$14,'Form Details'!$D:$D,'Adv. Filter'!$B$14)</f>
        <v>0</v>
      </c>
      <c r="BG230" s="238"/>
      <c r="BH230" s="238"/>
      <c r="BI230" s="238"/>
      <c r="BJ230" s="238"/>
      <c r="BK230" s="238"/>
      <c r="BL230" s="239"/>
      <c r="BM230" s="237">
        <f>COUNTIFS('Form Details'!$W:$W,"File in Office",'Form Details'!$N:$N,"Mahesh",'Form Details'!$J:$J,$C230,'Form Details'!$D:$D,'Adv. Filter'!$A$14,'Form Details'!$D:$D,'Adv. Filter'!$B$14)</f>
        <v>0</v>
      </c>
      <c r="BN230" s="238"/>
      <c r="BO230" s="238"/>
      <c r="BP230" s="238"/>
      <c r="BQ230" s="238"/>
      <c r="BR230" s="238"/>
      <c r="BS230" s="239"/>
      <c r="BT230" s="99"/>
      <c r="BU230" s="237">
        <f>COUNTIFS('Form Details'!$AA:$AA,"No",'Form Details'!$N:$N,"Mahesh",'Form Details'!$J:$J,$C230,'Form Details'!$D:$D,'Adv. Filter'!$A$14,'Form Details'!$D:$D,'Adv. Filter'!$B$14)</f>
        <v>0</v>
      </c>
      <c r="BV230" s="238"/>
      <c r="BW230" s="238"/>
      <c r="BX230" s="238"/>
      <c r="BY230" s="238"/>
      <c r="BZ230" s="238"/>
      <c r="CA230" s="239"/>
      <c r="CB230" s="237">
        <f>COUNTIFS('Form Details'!$W:$W,"Adv/Paid",'Form Details'!$N:$N,"Mahesh",'Form Details'!$J:$J,$C230,'Form Details'!$D:$D,'Adv. Filter'!$A$14,'Form Details'!$D:$D,'Adv. Filter'!$B$14)</f>
        <v>0</v>
      </c>
      <c r="CC230" s="238"/>
      <c r="CD230" s="238"/>
      <c r="CE230" s="238"/>
      <c r="CF230" s="238"/>
      <c r="CG230" s="238"/>
      <c r="CH230" s="239"/>
      <c r="CI230" s="237">
        <f>COUNTIFS('Form Details'!$W:$W,"Adv/Paid/Reject",'Form Details'!$N:$N,"Mahesh",'Form Details'!$J:$J,$C230,'Form Details'!$D:$D,'Adv. Filter'!$A$14,'Form Details'!$D:$D,'Adv. Filter'!$B$14)</f>
        <v>0</v>
      </c>
      <c r="CJ230" s="238"/>
      <c r="CK230" s="238"/>
      <c r="CL230" s="238"/>
      <c r="CM230" s="238"/>
      <c r="CN230" s="238"/>
      <c r="CO230" s="239"/>
      <c r="CP230" s="237">
        <f>COUNTIFS('Form Details'!$W:$W,"Reject",'Form Details'!$N:$N,"Mahesh",'Form Details'!$J:$J,$C230,'Form Details'!$D:$D,'Adv. Filter'!$A$14,'Form Details'!$D:$D,'Adv. Filter'!$B$14)</f>
        <v>0</v>
      </c>
      <c r="CQ230" s="238"/>
      <c r="CR230" s="238"/>
      <c r="CS230" s="238"/>
      <c r="CT230" s="238"/>
      <c r="CU230" s="238"/>
      <c r="CV230" s="239"/>
      <c r="CW230" s="237">
        <f>COUNTIFS('Form Details'!$W:$W,"Adv/Paid/Pending",'Form Details'!$N:$N,"Mahesh",'Form Details'!$J:$J,$C230,'Form Details'!$D:$D,'Adv. Filter'!$A$14,'Form Details'!$D:$D,'Adv. Filter'!$B$14)</f>
        <v>0</v>
      </c>
      <c r="CX230" s="238"/>
      <c r="CY230" s="238"/>
      <c r="CZ230" s="238"/>
      <c r="DA230" s="238"/>
      <c r="DB230" s="238"/>
      <c r="DC230" s="239"/>
      <c r="DD230" s="237">
        <f>COUNTIFS('Form Details'!$W:$W,"Pending",'Form Details'!$N:$N,"Mahesh",'Form Details'!$J:$J,$C230,'Form Details'!$D:$D,'Adv. Filter'!$A$14,'Form Details'!$D:$D,'Adv. Filter'!$B$14)</f>
        <v>0</v>
      </c>
      <c r="DE230" s="238"/>
      <c r="DF230" s="238"/>
      <c r="DG230" s="238"/>
      <c r="DH230" s="238"/>
      <c r="DI230" s="238"/>
      <c r="DJ230" s="239"/>
      <c r="DK230" s="237">
        <f>COUNTIFS('Form Details'!$W:$W,"Adv/Paid/NoStatus",'Form Details'!$N:$N,"Mahesh",'Form Details'!$J:$J,$C230,'Form Details'!$D:$D,'Adv. Filter'!$A$14,'Form Details'!$D:$D,'Adv. Filter'!$B$14)</f>
        <v>0</v>
      </c>
      <c r="DL230" s="238"/>
      <c r="DM230" s="238"/>
      <c r="DN230" s="238"/>
      <c r="DO230" s="238"/>
      <c r="DP230" s="238"/>
      <c r="DQ230" s="239"/>
      <c r="DR230" s="237">
        <f>COUNTIFS('Form Details'!$W:$W,"No Status",'Form Details'!$N:$N,"Mahesh",'Form Details'!$J:$J,$C230,'Form Details'!$D:$D,'Adv. Filter'!$A$14,'Form Details'!$D:$D,'Adv. Filter'!$B$14)</f>
        <v>0</v>
      </c>
      <c r="DS230" s="238"/>
      <c r="DT230" s="238"/>
      <c r="DU230" s="238"/>
      <c r="DV230" s="238"/>
      <c r="DW230" s="238"/>
      <c r="DX230" s="239"/>
      <c r="DY230" s="237">
        <f>SUM(COUNTIFS('Form Details'!$W:$W,{"Wrong Entry ","Double Entry"},'Form Details'!$N:$N,"Mahesh",'Form Details'!$J:$J,$C230,'Form Details'!$D:$D,'Adv. Filter'!$A$14,'Form Details'!$D:$D,'Adv. Filter'!$B$14))</f>
        <v>0</v>
      </c>
      <c r="DZ230" s="238"/>
      <c r="EA230" s="238"/>
      <c r="EB230" s="238"/>
      <c r="EC230" s="238"/>
      <c r="ED230" s="238"/>
      <c r="EE230" s="239"/>
    </row>
    <row r="231" spans="3:135" hidden="1">
      <c r="C231" s="248" t="s">
        <v>59</v>
      </c>
      <c r="D231" s="249"/>
      <c r="E231" s="249"/>
      <c r="F231" s="249"/>
      <c r="G231" s="249"/>
      <c r="H231" s="249"/>
      <c r="I231" s="249"/>
      <c r="J231" s="249"/>
      <c r="K231" s="249"/>
      <c r="L231" s="249"/>
      <c r="M231" s="249"/>
      <c r="N231" s="249"/>
      <c r="O231" s="237">
        <f>SUM(COUNTIFS('Form Details'!$AA:$AA,{"Yes","No","-"},'Form Details'!$N:$N,"Mahesh",'Form Details'!$J:$J,$C231,'Form Details'!$D:$D,'Adv. Filter'!$A$14,'Form Details'!$D:$D,'Adv. Filter'!$B$14))</f>
        <v>0</v>
      </c>
      <c r="P231" s="238"/>
      <c r="Q231" s="238"/>
      <c r="R231" s="238"/>
      <c r="S231" s="238"/>
      <c r="T231" s="238"/>
      <c r="U231" s="239"/>
      <c r="V231" s="99"/>
      <c r="W231" s="237">
        <f>COUNTIFS('Form Details'!$AA:$AA,"Yes",'Form Details'!$N:$N,"Mahesh",'Form Details'!$J:$J,$C231,'Form Details'!$D:$D,'Adv. Filter'!$A$14,'Form Details'!$D:$D,'Adv. Filter'!$B$14)</f>
        <v>0</v>
      </c>
      <c r="X231" s="238"/>
      <c r="Y231" s="238"/>
      <c r="Z231" s="238"/>
      <c r="AA231" s="238"/>
      <c r="AB231" s="238"/>
      <c r="AC231" s="239"/>
      <c r="AD231" s="237">
        <f>COUNTIFS('Form Details'!$W:$W,"Paid",'Form Details'!$N:$N,"Mahesh",'Form Details'!$J:$J,$C231,'Form Details'!$D:$D,'Adv. Filter'!$A$14,'Form Details'!$D:$D,'Adv. Filter'!$B$14)</f>
        <v>0</v>
      </c>
      <c r="AE231" s="238"/>
      <c r="AF231" s="238"/>
      <c r="AG231" s="238"/>
      <c r="AH231" s="238"/>
      <c r="AI231" s="238"/>
      <c r="AJ231" s="239"/>
      <c r="AK231" s="237">
        <f>COUNTIFS('Form Details'!$W:$W,"Due",'Form Details'!$N:$N,"Mahesh",'Form Details'!$J:$J,$C231,'Form Details'!$D:$D,'Adv. Filter'!$A$14,'Form Details'!$D:$D,'Adv. Filter'!$B$14)</f>
        <v>0</v>
      </c>
      <c r="AL231" s="238"/>
      <c r="AM231" s="238"/>
      <c r="AN231" s="238"/>
      <c r="AO231" s="238"/>
      <c r="AP231" s="238"/>
      <c r="AQ231" s="239"/>
      <c r="AR231" s="237">
        <f>COUNTIFS('Form Details'!$W:$W,"No Fee",'Form Details'!$N:$N,"Mahesh",'Form Details'!$J:$J,$C231,'Form Details'!$D:$D,'Adv. Filter'!$A$14,'Form Details'!$D:$D,'Adv. Filter'!$B$14)</f>
        <v>0</v>
      </c>
      <c r="AS231" s="238"/>
      <c r="AT231" s="238"/>
      <c r="AU231" s="238"/>
      <c r="AV231" s="238"/>
      <c r="AW231" s="238"/>
      <c r="AX231" s="239"/>
      <c r="AY231" s="237">
        <f>COUNTIFS('Form Details'!$W:$W,"Paid/Reject",'Form Details'!$N:$N,"Mahesh",'Form Details'!$J:$J,$C231,'Form Details'!$D:$D,'Adv. Filter'!$A$14,'Form Details'!$D:$D,'Adv. Filter'!$B$14)</f>
        <v>0</v>
      </c>
      <c r="AZ231" s="238"/>
      <c r="BA231" s="238"/>
      <c r="BB231" s="238"/>
      <c r="BC231" s="238"/>
      <c r="BD231" s="238"/>
      <c r="BE231" s="239"/>
      <c r="BF231" s="237">
        <f>COUNTIFS('Form Details'!$W:$W,"Staff",'Form Details'!$N:$N,"Mahesh",'Form Details'!$J:$J,$C231,'Form Details'!$D:$D,'Adv. Filter'!$A$14,'Form Details'!$D:$D,'Adv. Filter'!$B$14)</f>
        <v>0</v>
      </c>
      <c r="BG231" s="238"/>
      <c r="BH231" s="238"/>
      <c r="BI231" s="238"/>
      <c r="BJ231" s="238"/>
      <c r="BK231" s="238"/>
      <c r="BL231" s="239"/>
      <c r="BM231" s="237">
        <f>COUNTIFS('Form Details'!$W:$W,"File in Office",'Form Details'!$N:$N,"Mahesh",'Form Details'!$J:$J,$C231,'Form Details'!$D:$D,'Adv. Filter'!$A$14,'Form Details'!$D:$D,'Adv. Filter'!$B$14)</f>
        <v>0</v>
      </c>
      <c r="BN231" s="238"/>
      <c r="BO231" s="238"/>
      <c r="BP231" s="238"/>
      <c r="BQ231" s="238"/>
      <c r="BR231" s="238"/>
      <c r="BS231" s="239"/>
      <c r="BT231" s="99"/>
      <c r="BU231" s="237">
        <f>COUNTIFS('Form Details'!$AA:$AA,"No",'Form Details'!$N:$N,"Mahesh",'Form Details'!$J:$J,$C231,'Form Details'!$D:$D,'Adv. Filter'!$A$14,'Form Details'!$D:$D,'Adv. Filter'!$B$14)</f>
        <v>0</v>
      </c>
      <c r="BV231" s="238"/>
      <c r="BW231" s="238"/>
      <c r="BX231" s="238"/>
      <c r="BY231" s="238"/>
      <c r="BZ231" s="238"/>
      <c r="CA231" s="239"/>
      <c r="CB231" s="237">
        <f>COUNTIFS('Form Details'!$W:$W,"Adv/Paid",'Form Details'!$N:$N,"Mahesh",'Form Details'!$J:$J,$C231,'Form Details'!$D:$D,'Adv. Filter'!$A$14,'Form Details'!$D:$D,'Adv. Filter'!$B$14)</f>
        <v>0</v>
      </c>
      <c r="CC231" s="238"/>
      <c r="CD231" s="238"/>
      <c r="CE231" s="238"/>
      <c r="CF231" s="238"/>
      <c r="CG231" s="238"/>
      <c r="CH231" s="239"/>
      <c r="CI231" s="237">
        <f>COUNTIFS('Form Details'!$W:$W,"Adv/Paid/Reject",'Form Details'!$N:$N,"Mahesh",'Form Details'!$J:$J,$C231,'Form Details'!$D:$D,'Adv. Filter'!$A$14,'Form Details'!$D:$D,'Adv. Filter'!$B$14)</f>
        <v>0</v>
      </c>
      <c r="CJ231" s="238"/>
      <c r="CK231" s="238"/>
      <c r="CL231" s="238"/>
      <c r="CM231" s="238"/>
      <c r="CN231" s="238"/>
      <c r="CO231" s="239"/>
      <c r="CP231" s="237">
        <f>COUNTIFS('Form Details'!$W:$W,"Reject",'Form Details'!$N:$N,"Mahesh",'Form Details'!$J:$J,$C231,'Form Details'!$D:$D,'Adv. Filter'!$A$14,'Form Details'!$D:$D,'Adv. Filter'!$B$14)</f>
        <v>0</v>
      </c>
      <c r="CQ231" s="238"/>
      <c r="CR231" s="238"/>
      <c r="CS231" s="238"/>
      <c r="CT231" s="238"/>
      <c r="CU231" s="238"/>
      <c r="CV231" s="239"/>
      <c r="CW231" s="237">
        <f>COUNTIFS('Form Details'!$W:$W,"Adv/Paid/Pending",'Form Details'!$N:$N,"Mahesh",'Form Details'!$J:$J,$C231,'Form Details'!$D:$D,'Adv. Filter'!$A$14,'Form Details'!$D:$D,'Adv. Filter'!$B$14)</f>
        <v>0</v>
      </c>
      <c r="CX231" s="238"/>
      <c r="CY231" s="238"/>
      <c r="CZ231" s="238"/>
      <c r="DA231" s="238"/>
      <c r="DB231" s="238"/>
      <c r="DC231" s="239"/>
      <c r="DD231" s="237">
        <f>COUNTIFS('Form Details'!$W:$W,"Pending",'Form Details'!$N:$N,"Mahesh",'Form Details'!$J:$J,$C231,'Form Details'!$D:$D,'Adv. Filter'!$A$14,'Form Details'!$D:$D,'Adv. Filter'!$B$14)</f>
        <v>0</v>
      </c>
      <c r="DE231" s="238"/>
      <c r="DF231" s="238"/>
      <c r="DG231" s="238"/>
      <c r="DH231" s="238"/>
      <c r="DI231" s="238"/>
      <c r="DJ231" s="239"/>
      <c r="DK231" s="237">
        <f>COUNTIFS('Form Details'!$W:$W,"Adv/Paid/NoStatus",'Form Details'!$N:$N,"Mahesh",'Form Details'!$J:$J,$C231,'Form Details'!$D:$D,'Adv. Filter'!$A$14,'Form Details'!$D:$D,'Adv. Filter'!$B$14)</f>
        <v>0</v>
      </c>
      <c r="DL231" s="238"/>
      <c r="DM231" s="238"/>
      <c r="DN231" s="238"/>
      <c r="DO231" s="238"/>
      <c r="DP231" s="238"/>
      <c r="DQ231" s="239"/>
      <c r="DR231" s="237">
        <f>COUNTIFS('Form Details'!$W:$W,"No Status",'Form Details'!$N:$N,"Mahesh",'Form Details'!$J:$J,$C231,'Form Details'!$D:$D,'Adv. Filter'!$A$14,'Form Details'!$D:$D,'Adv. Filter'!$B$14)</f>
        <v>0</v>
      </c>
      <c r="DS231" s="238"/>
      <c r="DT231" s="238"/>
      <c r="DU231" s="238"/>
      <c r="DV231" s="238"/>
      <c r="DW231" s="238"/>
      <c r="DX231" s="239"/>
      <c r="DY231" s="237">
        <f>SUM(COUNTIFS('Form Details'!$W:$W,{"Wrong Entry ","Double Entry"},'Form Details'!$N:$N,"Mahesh",'Form Details'!$J:$J,$C231,'Form Details'!$D:$D,'Adv. Filter'!$A$14,'Form Details'!$D:$D,'Adv. Filter'!$B$14))</f>
        <v>0</v>
      </c>
      <c r="DZ231" s="238"/>
      <c r="EA231" s="238"/>
      <c r="EB231" s="238"/>
      <c r="EC231" s="238"/>
      <c r="ED231" s="238"/>
      <c r="EE231" s="239"/>
    </row>
    <row r="232" spans="3:135" hidden="1">
      <c r="C232" s="248" t="s">
        <v>70</v>
      </c>
      <c r="D232" s="249"/>
      <c r="E232" s="249"/>
      <c r="F232" s="249"/>
      <c r="G232" s="249"/>
      <c r="H232" s="249"/>
      <c r="I232" s="249"/>
      <c r="J232" s="249"/>
      <c r="K232" s="249"/>
      <c r="L232" s="249"/>
      <c r="M232" s="249"/>
      <c r="N232" s="249"/>
      <c r="O232" s="237">
        <f>SUM(COUNTIFS('Form Details'!$AA:$AA,{"Yes","No","-"},'Form Details'!$N:$N,"Mahesh",'Form Details'!$J:$J,$C232,'Form Details'!$D:$D,'Adv. Filter'!$A$14,'Form Details'!$D:$D,'Adv. Filter'!$B$14))</f>
        <v>0</v>
      </c>
      <c r="P232" s="238"/>
      <c r="Q232" s="238"/>
      <c r="R232" s="238"/>
      <c r="S232" s="238"/>
      <c r="T232" s="238"/>
      <c r="U232" s="239"/>
      <c r="V232" s="99"/>
      <c r="W232" s="237">
        <f>COUNTIFS('Form Details'!$AA:$AA,"Yes",'Form Details'!$N:$N,"Mahesh",'Form Details'!$J:$J,$C232,'Form Details'!$D:$D,'Adv. Filter'!$A$14,'Form Details'!$D:$D,'Adv. Filter'!$B$14)</f>
        <v>0</v>
      </c>
      <c r="X232" s="238"/>
      <c r="Y232" s="238"/>
      <c r="Z232" s="238"/>
      <c r="AA232" s="238"/>
      <c r="AB232" s="238"/>
      <c r="AC232" s="239"/>
      <c r="AD232" s="237">
        <f>COUNTIFS('Form Details'!$W:$W,"Paid",'Form Details'!$N:$N,"Mahesh",'Form Details'!$J:$J,$C232,'Form Details'!$D:$D,'Adv. Filter'!$A$14,'Form Details'!$D:$D,'Adv. Filter'!$B$14)</f>
        <v>0</v>
      </c>
      <c r="AE232" s="238"/>
      <c r="AF232" s="238"/>
      <c r="AG232" s="238"/>
      <c r="AH232" s="238"/>
      <c r="AI232" s="238"/>
      <c r="AJ232" s="239"/>
      <c r="AK232" s="237">
        <f>COUNTIFS('Form Details'!$W:$W,"Due",'Form Details'!$N:$N,"Mahesh",'Form Details'!$J:$J,$C232,'Form Details'!$D:$D,'Adv. Filter'!$A$14,'Form Details'!$D:$D,'Adv. Filter'!$B$14)</f>
        <v>0</v>
      </c>
      <c r="AL232" s="238"/>
      <c r="AM232" s="238"/>
      <c r="AN232" s="238"/>
      <c r="AO232" s="238"/>
      <c r="AP232" s="238"/>
      <c r="AQ232" s="239"/>
      <c r="AR232" s="237">
        <f>COUNTIFS('Form Details'!$W:$W,"No Fee",'Form Details'!$N:$N,"Mahesh",'Form Details'!$J:$J,$C232,'Form Details'!$D:$D,'Adv. Filter'!$A$14,'Form Details'!$D:$D,'Adv. Filter'!$B$14)</f>
        <v>0</v>
      </c>
      <c r="AS232" s="238"/>
      <c r="AT232" s="238"/>
      <c r="AU232" s="238"/>
      <c r="AV232" s="238"/>
      <c r="AW232" s="238"/>
      <c r="AX232" s="239"/>
      <c r="AY232" s="237">
        <f>COUNTIFS('Form Details'!$W:$W,"Paid/Reject",'Form Details'!$N:$N,"Mahesh",'Form Details'!$J:$J,$C232,'Form Details'!$D:$D,'Adv. Filter'!$A$14,'Form Details'!$D:$D,'Adv. Filter'!$B$14)</f>
        <v>0</v>
      </c>
      <c r="AZ232" s="238"/>
      <c r="BA232" s="238"/>
      <c r="BB232" s="238"/>
      <c r="BC232" s="238"/>
      <c r="BD232" s="238"/>
      <c r="BE232" s="239"/>
      <c r="BF232" s="237">
        <f>COUNTIFS('Form Details'!$W:$W,"Staff",'Form Details'!$N:$N,"Mahesh",'Form Details'!$J:$J,$C232,'Form Details'!$D:$D,'Adv. Filter'!$A$14,'Form Details'!$D:$D,'Adv. Filter'!$B$14)</f>
        <v>0</v>
      </c>
      <c r="BG232" s="238"/>
      <c r="BH232" s="238"/>
      <c r="BI232" s="238"/>
      <c r="BJ232" s="238"/>
      <c r="BK232" s="238"/>
      <c r="BL232" s="239"/>
      <c r="BM232" s="237">
        <f>COUNTIFS('Form Details'!$W:$W,"File in Office",'Form Details'!$N:$N,"Mahesh",'Form Details'!$J:$J,$C232,'Form Details'!$D:$D,'Adv. Filter'!$A$14,'Form Details'!$D:$D,'Adv. Filter'!$B$14)</f>
        <v>0</v>
      </c>
      <c r="BN232" s="238"/>
      <c r="BO232" s="238"/>
      <c r="BP232" s="238"/>
      <c r="BQ232" s="238"/>
      <c r="BR232" s="238"/>
      <c r="BS232" s="239"/>
      <c r="BT232" s="99"/>
      <c r="BU232" s="237">
        <f>COUNTIFS('Form Details'!$AA:$AA,"No",'Form Details'!$N:$N,"Mahesh",'Form Details'!$J:$J,$C232,'Form Details'!$D:$D,'Adv. Filter'!$A$14,'Form Details'!$D:$D,'Adv. Filter'!$B$14)</f>
        <v>0</v>
      </c>
      <c r="BV232" s="238"/>
      <c r="BW232" s="238"/>
      <c r="BX232" s="238"/>
      <c r="BY232" s="238"/>
      <c r="BZ232" s="238"/>
      <c r="CA232" s="239"/>
      <c r="CB232" s="237">
        <f>COUNTIFS('Form Details'!$W:$W,"Adv/Paid",'Form Details'!$N:$N,"Mahesh",'Form Details'!$J:$J,$C232,'Form Details'!$D:$D,'Adv. Filter'!$A$14,'Form Details'!$D:$D,'Adv. Filter'!$B$14)</f>
        <v>0</v>
      </c>
      <c r="CC232" s="238"/>
      <c r="CD232" s="238"/>
      <c r="CE232" s="238"/>
      <c r="CF232" s="238"/>
      <c r="CG232" s="238"/>
      <c r="CH232" s="239"/>
      <c r="CI232" s="237">
        <f>COUNTIFS('Form Details'!$W:$W,"Adv/Paid/Reject",'Form Details'!$N:$N,"Mahesh",'Form Details'!$J:$J,$C232,'Form Details'!$D:$D,'Adv. Filter'!$A$14,'Form Details'!$D:$D,'Adv. Filter'!$B$14)</f>
        <v>0</v>
      </c>
      <c r="CJ232" s="238"/>
      <c r="CK232" s="238"/>
      <c r="CL232" s="238"/>
      <c r="CM232" s="238"/>
      <c r="CN232" s="238"/>
      <c r="CO232" s="239"/>
      <c r="CP232" s="237">
        <f>COUNTIFS('Form Details'!$W:$W,"Reject",'Form Details'!$N:$N,"Mahesh",'Form Details'!$J:$J,$C232,'Form Details'!$D:$D,'Adv. Filter'!$A$14,'Form Details'!$D:$D,'Adv. Filter'!$B$14)</f>
        <v>0</v>
      </c>
      <c r="CQ232" s="238"/>
      <c r="CR232" s="238"/>
      <c r="CS232" s="238"/>
      <c r="CT232" s="238"/>
      <c r="CU232" s="238"/>
      <c r="CV232" s="239"/>
      <c r="CW232" s="237">
        <f>COUNTIFS('Form Details'!$W:$W,"Adv/Paid/Pending",'Form Details'!$N:$N,"Mahesh",'Form Details'!$J:$J,$C232,'Form Details'!$D:$D,'Adv. Filter'!$A$14,'Form Details'!$D:$D,'Adv. Filter'!$B$14)</f>
        <v>0</v>
      </c>
      <c r="CX232" s="238"/>
      <c r="CY232" s="238"/>
      <c r="CZ232" s="238"/>
      <c r="DA232" s="238"/>
      <c r="DB232" s="238"/>
      <c r="DC232" s="239"/>
      <c r="DD232" s="237">
        <f>COUNTIFS('Form Details'!$W:$W,"Pending",'Form Details'!$N:$N,"Mahesh",'Form Details'!$J:$J,$C232,'Form Details'!$D:$D,'Adv. Filter'!$A$14,'Form Details'!$D:$D,'Adv. Filter'!$B$14)</f>
        <v>0</v>
      </c>
      <c r="DE232" s="238"/>
      <c r="DF232" s="238"/>
      <c r="DG232" s="238"/>
      <c r="DH232" s="238"/>
      <c r="DI232" s="238"/>
      <c r="DJ232" s="239"/>
      <c r="DK232" s="237">
        <f>COUNTIFS('Form Details'!$W:$W,"Adv/Paid/NoStatus",'Form Details'!$N:$N,"Mahesh",'Form Details'!$J:$J,$C232,'Form Details'!$D:$D,'Adv. Filter'!$A$14,'Form Details'!$D:$D,'Adv. Filter'!$B$14)</f>
        <v>0</v>
      </c>
      <c r="DL232" s="238"/>
      <c r="DM232" s="238"/>
      <c r="DN232" s="238"/>
      <c r="DO232" s="238"/>
      <c r="DP232" s="238"/>
      <c r="DQ232" s="239"/>
      <c r="DR232" s="237">
        <f>COUNTIFS('Form Details'!$W:$W,"No Status",'Form Details'!$N:$N,"Mahesh",'Form Details'!$J:$J,$C232,'Form Details'!$D:$D,'Adv. Filter'!$A$14,'Form Details'!$D:$D,'Adv. Filter'!$B$14)</f>
        <v>0</v>
      </c>
      <c r="DS232" s="238"/>
      <c r="DT232" s="238"/>
      <c r="DU232" s="238"/>
      <c r="DV232" s="238"/>
      <c r="DW232" s="238"/>
      <c r="DX232" s="239"/>
      <c r="DY232" s="237">
        <f>SUM(COUNTIFS('Form Details'!$W:$W,{"Wrong Entry ","Double Entry"},'Form Details'!$N:$N,"Mahesh",'Form Details'!$J:$J,$C232,'Form Details'!$D:$D,'Adv. Filter'!$A$14,'Form Details'!$D:$D,'Adv. Filter'!$B$14))</f>
        <v>0</v>
      </c>
      <c r="DZ232" s="238"/>
      <c r="EA232" s="238"/>
      <c r="EB232" s="238"/>
      <c r="EC232" s="238"/>
      <c r="ED232" s="238"/>
      <c r="EE232" s="239"/>
    </row>
    <row r="233" spans="3:135" hidden="1">
      <c r="C233" s="248" t="s">
        <v>77</v>
      </c>
      <c r="D233" s="249"/>
      <c r="E233" s="249"/>
      <c r="F233" s="249"/>
      <c r="G233" s="249"/>
      <c r="H233" s="249"/>
      <c r="I233" s="249"/>
      <c r="J233" s="249"/>
      <c r="K233" s="249"/>
      <c r="L233" s="249"/>
      <c r="M233" s="249"/>
      <c r="N233" s="249"/>
      <c r="O233" s="237">
        <f>SUM(COUNTIFS('Form Details'!$AA:$AA,{"Yes","No","-"},'Form Details'!$N:$N,"Mahesh",'Form Details'!$J:$J,$C233,'Form Details'!$D:$D,'Adv. Filter'!$A$14,'Form Details'!$D:$D,'Adv. Filter'!$B$14))</f>
        <v>0</v>
      </c>
      <c r="P233" s="238"/>
      <c r="Q233" s="238"/>
      <c r="R233" s="238"/>
      <c r="S233" s="238"/>
      <c r="T233" s="238"/>
      <c r="U233" s="239"/>
      <c r="V233" s="99"/>
      <c r="W233" s="237">
        <f>COUNTIFS('Form Details'!$AA:$AA,"Yes",'Form Details'!$N:$N,"Mahesh",'Form Details'!$J:$J,$C233,'Form Details'!$D:$D,'Adv. Filter'!$A$14,'Form Details'!$D:$D,'Adv. Filter'!$B$14)</f>
        <v>0</v>
      </c>
      <c r="X233" s="238"/>
      <c r="Y233" s="238"/>
      <c r="Z233" s="238"/>
      <c r="AA233" s="238"/>
      <c r="AB233" s="238"/>
      <c r="AC233" s="239"/>
      <c r="AD233" s="237">
        <f>COUNTIFS('Form Details'!$W:$W,"Paid",'Form Details'!$N:$N,"Mahesh",'Form Details'!$J:$J,$C233,'Form Details'!$D:$D,'Adv. Filter'!$A$14,'Form Details'!$D:$D,'Adv. Filter'!$B$14)</f>
        <v>0</v>
      </c>
      <c r="AE233" s="238"/>
      <c r="AF233" s="238"/>
      <c r="AG233" s="238"/>
      <c r="AH233" s="238"/>
      <c r="AI233" s="238"/>
      <c r="AJ233" s="239"/>
      <c r="AK233" s="237">
        <f>COUNTIFS('Form Details'!$W:$W,"Due",'Form Details'!$N:$N,"Mahesh",'Form Details'!$J:$J,$C233,'Form Details'!$D:$D,'Adv. Filter'!$A$14,'Form Details'!$D:$D,'Adv. Filter'!$B$14)</f>
        <v>0</v>
      </c>
      <c r="AL233" s="238"/>
      <c r="AM233" s="238"/>
      <c r="AN233" s="238"/>
      <c r="AO233" s="238"/>
      <c r="AP233" s="238"/>
      <c r="AQ233" s="239"/>
      <c r="AR233" s="237">
        <f>COUNTIFS('Form Details'!$W:$W,"No Fee",'Form Details'!$N:$N,"Mahesh",'Form Details'!$J:$J,$C233,'Form Details'!$D:$D,'Adv. Filter'!$A$14,'Form Details'!$D:$D,'Adv. Filter'!$B$14)</f>
        <v>0</v>
      </c>
      <c r="AS233" s="238"/>
      <c r="AT233" s="238"/>
      <c r="AU233" s="238"/>
      <c r="AV233" s="238"/>
      <c r="AW233" s="238"/>
      <c r="AX233" s="239"/>
      <c r="AY233" s="237">
        <f>COUNTIFS('Form Details'!$W:$W,"Paid/Reject",'Form Details'!$N:$N,"Mahesh",'Form Details'!$J:$J,$C233,'Form Details'!$D:$D,'Adv. Filter'!$A$14,'Form Details'!$D:$D,'Adv. Filter'!$B$14)</f>
        <v>0</v>
      </c>
      <c r="AZ233" s="238"/>
      <c r="BA233" s="238"/>
      <c r="BB233" s="238"/>
      <c r="BC233" s="238"/>
      <c r="BD233" s="238"/>
      <c r="BE233" s="239"/>
      <c r="BF233" s="237">
        <f>COUNTIFS('Form Details'!$W:$W,"Staff",'Form Details'!$N:$N,"Mahesh",'Form Details'!$J:$J,$C233,'Form Details'!$D:$D,'Adv. Filter'!$A$14,'Form Details'!$D:$D,'Adv. Filter'!$B$14)</f>
        <v>0</v>
      </c>
      <c r="BG233" s="238"/>
      <c r="BH233" s="238"/>
      <c r="BI233" s="238"/>
      <c r="BJ233" s="238"/>
      <c r="BK233" s="238"/>
      <c r="BL233" s="239"/>
      <c r="BM233" s="237">
        <f>COUNTIFS('Form Details'!$W:$W,"File in Office",'Form Details'!$N:$N,"Mahesh",'Form Details'!$J:$J,$C233,'Form Details'!$D:$D,'Adv. Filter'!$A$14,'Form Details'!$D:$D,'Adv. Filter'!$B$14)</f>
        <v>0</v>
      </c>
      <c r="BN233" s="238"/>
      <c r="BO233" s="238"/>
      <c r="BP233" s="238"/>
      <c r="BQ233" s="238"/>
      <c r="BR233" s="238"/>
      <c r="BS233" s="239"/>
      <c r="BT233" s="99"/>
      <c r="BU233" s="237">
        <f>COUNTIFS('Form Details'!$AA:$AA,"No",'Form Details'!$N:$N,"Mahesh",'Form Details'!$J:$J,$C233,'Form Details'!$D:$D,'Adv. Filter'!$A$14,'Form Details'!$D:$D,'Adv. Filter'!$B$14)</f>
        <v>0</v>
      </c>
      <c r="BV233" s="238"/>
      <c r="BW233" s="238"/>
      <c r="BX233" s="238"/>
      <c r="BY233" s="238"/>
      <c r="BZ233" s="238"/>
      <c r="CA233" s="239"/>
      <c r="CB233" s="237">
        <f>COUNTIFS('Form Details'!$W:$W,"Adv/Paid",'Form Details'!$N:$N,"Mahesh",'Form Details'!$J:$J,$C233,'Form Details'!$D:$D,'Adv. Filter'!$A$14,'Form Details'!$D:$D,'Adv. Filter'!$B$14)</f>
        <v>0</v>
      </c>
      <c r="CC233" s="238"/>
      <c r="CD233" s="238"/>
      <c r="CE233" s="238"/>
      <c r="CF233" s="238"/>
      <c r="CG233" s="238"/>
      <c r="CH233" s="239"/>
      <c r="CI233" s="237">
        <f>COUNTIFS('Form Details'!$W:$W,"Adv/Paid/Reject",'Form Details'!$N:$N,"Mahesh",'Form Details'!$J:$J,$C233,'Form Details'!$D:$D,'Adv. Filter'!$A$14,'Form Details'!$D:$D,'Adv. Filter'!$B$14)</f>
        <v>0</v>
      </c>
      <c r="CJ233" s="238"/>
      <c r="CK233" s="238"/>
      <c r="CL233" s="238"/>
      <c r="CM233" s="238"/>
      <c r="CN233" s="238"/>
      <c r="CO233" s="239"/>
      <c r="CP233" s="237">
        <f>COUNTIFS('Form Details'!$W:$W,"Reject",'Form Details'!$N:$N,"Mahesh",'Form Details'!$J:$J,$C233,'Form Details'!$D:$D,'Adv. Filter'!$A$14,'Form Details'!$D:$D,'Adv. Filter'!$B$14)</f>
        <v>0</v>
      </c>
      <c r="CQ233" s="238"/>
      <c r="CR233" s="238"/>
      <c r="CS233" s="238"/>
      <c r="CT233" s="238"/>
      <c r="CU233" s="238"/>
      <c r="CV233" s="239"/>
      <c r="CW233" s="237">
        <f>COUNTIFS('Form Details'!$W:$W,"Adv/Paid/Pending",'Form Details'!$N:$N,"Mahesh",'Form Details'!$J:$J,$C233,'Form Details'!$D:$D,'Adv. Filter'!$A$14,'Form Details'!$D:$D,'Adv. Filter'!$B$14)</f>
        <v>0</v>
      </c>
      <c r="CX233" s="238"/>
      <c r="CY233" s="238"/>
      <c r="CZ233" s="238"/>
      <c r="DA233" s="238"/>
      <c r="DB233" s="238"/>
      <c r="DC233" s="239"/>
      <c r="DD233" s="237">
        <f>COUNTIFS('Form Details'!$W:$W,"Pending",'Form Details'!$N:$N,"Mahesh",'Form Details'!$J:$J,$C233,'Form Details'!$D:$D,'Adv. Filter'!$A$14,'Form Details'!$D:$D,'Adv. Filter'!$B$14)</f>
        <v>0</v>
      </c>
      <c r="DE233" s="238"/>
      <c r="DF233" s="238"/>
      <c r="DG233" s="238"/>
      <c r="DH233" s="238"/>
      <c r="DI233" s="238"/>
      <c r="DJ233" s="239"/>
      <c r="DK233" s="237">
        <f>COUNTIFS('Form Details'!$W:$W,"Adv/Paid/NoStatus",'Form Details'!$N:$N,"Mahesh",'Form Details'!$J:$J,$C233,'Form Details'!$D:$D,'Adv. Filter'!$A$14,'Form Details'!$D:$D,'Adv. Filter'!$B$14)</f>
        <v>0</v>
      </c>
      <c r="DL233" s="238"/>
      <c r="DM233" s="238"/>
      <c r="DN233" s="238"/>
      <c r="DO233" s="238"/>
      <c r="DP233" s="238"/>
      <c r="DQ233" s="239"/>
      <c r="DR233" s="237">
        <f>COUNTIFS('Form Details'!$W:$W,"No Status",'Form Details'!$N:$N,"Mahesh",'Form Details'!$J:$J,$C233,'Form Details'!$D:$D,'Adv. Filter'!$A$14,'Form Details'!$D:$D,'Adv. Filter'!$B$14)</f>
        <v>0</v>
      </c>
      <c r="DS233" s="238"/>
      <c r="DT233" s="238"/>
      <c r="DU233" s="238"/>
      <c r="DV233" s="238"/>
      <c r="DW233" s="238"/>
      <c r="DX233" s="239"/>
      <c r="DY233" s="237">
        <f>SUM(COUNTIFS('Form Details'!$W:$W,{"Wrong Entry ","Double Entry"},'Form Details'!$N:$N,"Mahesh",'Form Details'!$J:$J,$C233,'Form Details'!$D:$D,'Adv. Filter'!$A$14,'Form Details'!$D:$D,'Adv. Filter'!$B$14))</f>
        <v>0</v>
      </c>
      <c r="DZ233" s="238"/>
      <c r="EA233" s="238"/>
      <c r="EB233" s="238"/>
      <c r="EC233" s="238"/>
      <c r="ED233" s="238"/>
      <c r="EE233" s="239"/>
    </row>
    <row r="234" spans="3:135" hidden="1">
      <c r="C234" s="248" t="s">
        <v>138</v>
      </c>
      <c r="D234" s="249"/>
      <c r="E234" s="249"/>
      <c r="F234" s="249"/>
      <c r="G234" s="249"/>
      <c r="H234" s="249"/>
      <c r="I234" s="249"/>
      <c r="J234" s="249"/>
      <c r="K234" s="249"/>
      <c r="L234" s="249"/>
      <c r="M234" s="249"/>
      <c r="N234" s="249"/>
      <c r="O234" s="237">
        <f>SUM(COUNTIFS('Form Details'!$AA:$AA,{"Yes","No","-"},'Form Details'!$N:$N,"Mahesh",'Form Details'!$J:$J,$C234,'Form Details'!$D:$D,'Adv. Filter'!$A$14,'Form Details'!$D:$D,'Adv. Filter'!$B$14))</f>
        <v>0</v>
      </c>
      <c r="P234" s="238"/>
      <c r="Q234" s="238"/>
      <c r="R234" s="238"/>
      <c r="S234" s="238"/>
      <c r="T234" s="238"/>
      <c r="U234" s="239"/>
      <c r="V234" s="99"/>
      <c r="W234" s="237">
        <f>COUNTIFS('Form Details'!$AA:$AA,"Yes",'Form Details'!$N:$N,"Mahesh",'Form Details'!$J:$J,$C234,'Form Details'!$D:$D,'Adv. Filter'!$A$14,'Form Details'!$D:$D,'Adv. Filter'!$B$14)</f>
        <v>0</v>
      </c>
      <c r="X234" s="238"/>
      <c r="Y234" s="238"/>
      <c r="Z234" s="238"/>
      <c r="AA234" s="238"/>
      <c r="AB234" s="238"/>
      <c r="AC234" s="239"/>
      <c r="AD234" s="237">
        <f>COUNTIFS('Form Details'!$W:$W,"Paid",'Form Details'!$N:$N,"Mahesh",'Form Details'!$J:$J,$C234,'Form Details'!$D:$D,'Adv. Filter'!$A$14,'Form Details'!$D:$D,'Adv. Filter'!$B$14)</f>
        <v>0</v>
      </c>
      <c r="AE234" s="238"/>
      <c r="AF234" s="238"/>
      <c r="AG234" s="238"/>
      <c r="AH234" s="238"/>
      <c r="AI234" s="238"/>
      <c r="AJ234" s="239"/>
      <c r="AK234" s="237">
        <f>COUNTIFS('Form Details'!$W:$W,"Due",'Form Details'!$N:$N,"Mahesh",'Form Details'!$J:$J,$C234,'Form Details'!$D:$D,'Adv. Filter'!$A$14,'Form Details'!$D:$D,'Adv. Filter'!$B$14)</f>
        <v>0</v>
      </c>
      <c r="AL234" s="238"/>
      <c r="AM234" s="238"/>
      <c r="AN234" s="238"/>
      <c r="AO234" s="238"/>
      <c r="AP234" s="238"/>
      <c r="AQ234" s="239"/>
      <c r="AR234" s="237">
        <f>COUNTIFS('Form Details'!$W:$W,"No Fee",'Form Details'!$N:$N,"Mahesh",'Form Details'!$J:$J,$C234,'Form Details'!$D:$D,'Adv. Filter'!$A$14,'Form Details'!$D:$D,'Adv. Filter'!$B$14)</f>
        <v>0</v>
      </c>
      <c r="AS234" s="238"/>
      <c r="AT234" s="238"/>
      <c r="AU234" s="238"/>
      <c r="AV234" s="238"/>
      <c r="AW234" s="238"/>
      <c r="AX234" s="239"/>
      <c r="AY234" s="237">
        <f>COUNTIFS('Form Details'!$W:$W,"Paid/Reject",'Form Details'!$N:$N,"Mahesh",'Form Details'!$J:$J,$C234,'Form Details'!$D:$D,'Adv. Filter'!$A$14,'Form Details'!$D:$D,'Adv. Filter'!$B$14)</f>
        <v>0</v>
      </c>
      <c r="AZ234" s="238"/>
      <c r="BA234" s="238"/>
      <c r="BB234" s="238"/>
      <c r="BC234" s="238"/>
      <c r="BD234" s="238"/>
      <c r="BE234" s="239"/>
      <c r="BF234" s="237">
        <f>COUNTIFS('Form Details'!$W:$W,"Staff",'Form Details'!$N:$N,"Mahesh",'Form Details'!$J:$J,$C234,'Form Details'!$D:$D,'Adv. Filter'!$A$14,'Form Details'!$D:$D,'Adv. Filter'!$B$14)</f>
        <v>0</v>
      </c>
      <c r="BG234" s="238"/>
      <c r="BH234" s="238"/>
      <c r="BI234" s="238"/>
      <c r="BJ234" s="238"/>
      <c r="BK234" s="238"/>
      <c r="BL234" s="239"/>
      <c r="BM234" s="237">
        <f>COUNTIFS('Form Details'!$W:$W,"File in Office",'Form Details'!$N:$N,"Mahesh",'Form Details'!$J:$J,$C234,'Form Details'!$D:$D,'Adv. Filter'!$A$14,'Form Details'!$D:$D,'Adv. Filter'!$B$14)</f>
        <v>0</v>
      </c>
      <c r="BN234" s="238"/>
      <c r="BO234" s="238"/>
      <c r="BP234" s="238"/>
      <c r="BQ234" s="238"/>
      <c r="BR234" s="238"/>
      <c r="BS234" s="239"/>
      <c r="BT234" s="99"/>
      <c r="BU234" s="237">
        <f>COUNTIFS('Form Details'!$AA:$AA,"No",'Form Details'!$N:$N,"Mahesh",'Form Details'!$J:$J,$C234,'Form Details'!$D:$D,'Adv. Filter'!$A$14,'Form Details'!$D:$D,'Adv. Filter'!$B$14)</f>
        <v>0</v>
      </c>
      <c r="BV234" s="238"/>
      <c r="BW234" s="238"/>
      <c r="BX234" s="238"/>
      <c r="BY234" s="238"/>
      <c r="BZ234" s="238"/>
      <c r="CA234" s="239"/>
      <c r="CB234" s="237">
        <f>COUNTIFS('Form Details'!$W:$W,"Adv/Paid",'Form Details'!$N:$N,"Mahesh",'Form Details'!$J:$J,$C234,'Form Details'!$D:$D,'Adv. Filter'!$A$14,'Form Details'!$D:$D,'Adv. Filter'!$B$14)</f>
        <v>0</v>
      </c>
      <c r="CC234" s="238"/>
      <c r="CD234" s="238"/>
      <c r="CE234" s="238"/>
      <c r="CF234" s="238"/>
      <c r="CG234" s="238"/>
      <c r="CH234" s="239"/>
      <c r="CI234" s="237">
        <f>COUNTIFS('Form Details'!$W:$W,"Adv/Paid/Reject",'Form Details'!$N:$N,"Mahesh",'Form Details'!$J:$J,$C234,'Form Details'!$D:$D,'Adv. Filter'!$A$14,'Form Details'!$D:$D,'Adv. Filter'!$B$14)</f>
        <v>0</v>
      </c>
      <c r="CJ234" s="238"/>
      <c r="CK234" s="238"/>
      <c r="CL234" s="238"/>
      <c r="CM234" s="238"/>
      <c r="CN234" s="238"/>
      <c r="CO234" s="239"/>
      <c r="CP234" s="237">
        <f>COUNTIFS('Form Details'!$W:$W,"Reject",'Form Details'!$N:$N,"Mahesh",'Form Details'!$J:$J,$C234,'Form Details'!$D:$D,'Adv. Filter'!$A$14,'Form Details'!$D:$D,'Adv. Filter'!$B$14)</f>
        <v>0</v>
      </c>
      <c r="CQ234" s="238"/>
      <c r="CR234" s="238"/>
      <c r="CS234" s="238"/>
      <c r="CT234" s="238"/>
      <c r="CU234" s="238"/>
      <c r="CV234" s="239"/>
      <c r="CW234" s="237">
        <f>COUNTIFS('Form Details'!$W:$W,"Adv/Paid/Pending",'Form Details'!$N:$N,"Mahesh",'Form Details'!$J:$J,$C234,'Form Details'!$D:$D,'Adv. Filter'!$A$14,'Form Details'!$D:$D,'Adv. Filter'!$B$14)</f>
        <v>0</v>
      </c>
      <c r="CX234" s="238"/>
      <c r="CY234" s="238"/>
      <c r="CZ234" s="238"/>
      <c r="DA234" s="238"/>
      <c r="DB234" s="238"/>
      <c r="DC234" s="239"/>
      <c r="DD234" s="237">
        <f>COUNTIFS('Form Details'!$W:$W,"Pending",'Form Details'!$N:$N,"Mahesh",'Form Details'!$J:$J,$C234,'Form Details'!$D:$D,'Adv. Filter'!$A$14,'Form Details'!$D:$D,'Adv. Filter'!$B$14)</f>
        <v>0</v>
      </c>
      <c r="DE234" s="238"/>
      <c r="DF234" s="238"/>
      <c r="DG234" s="238"/>
      <c r="DH234" s="238"/>
      <c r="DI234" s="238"/>
      <c r="DJ234" s="239"/>
      <c r="DK234" s="237">
        <f>COUNTIFS('Form Details'!$W:$W,"Adv/Paid/NoStatus",'Form Details'!$N:$N,"Mahesh",'Form Details'!$J:$J,$C234,'Form Details'!$D:$D,'Adv. Filter'!$A$14,'Form Details'!$D:$D,'Adv. Filter'!$B$14)</f>
        <v>0</v>
      </c>
      <c r="DL234" s="238"/>
      <c r="DM234" s="238"/>
      <c r="DN234" s="238"/>
      <c r="DO234" s="238"/>
      <c r="DP234" s="238"/>
      <c r="DQ234" s="239"/>
      <c r="DR234" s="237">
        <f>COUNTIFS('Form Details'!$W:$W,"No Status",'Form Details'!$N:$N,"Mahesh",'Form Details'!$J:$J,$C234,'Form Details'!$D:$D,'Adv. Filter'!$A$14,'Form Details'!$D:$D,'Adv. Filter'!$B$14)</f>
        <v>0</v>
      </c>
      <c r="DS234" s="238"/>
      <c r="DT234" s="238"/>
      <c r="DU234" s="238"/>
      <c r="DV234" s="238"/>
      <c r="DW234" s="238"/>
      <c r="DX234" s="239"/>
      <c r="DY234" s="237">
        <f>SUM(COUNTIFS('Form Details'!$W:$W,{"Wrong Entry ","Double Entry"},'Form Details'!$N:$N,"Mahesh",'Form Details'!$J:$J,$C234,'Form Details'!$D:$D,'Adv. Filter'!$A$14,'Form Details'!$D:$D,'Adv. Filter'!$B$14))</f>
        <v>0</v>
      </c>
      <c r="DZ234" s="238"/>
      <c r="EA234" s="238"/>
      <c r="EB234" s="238"/>
      <c r="EC234" s="238"/>
      <c r="ED234" s="238"/>
      <c r="EE234" s="239"/>
    </row>
    <row r="235" spans="3:135" hidden="1">
      <c r="C235" s="248" t="s">
        <v>84</v>
      </c>
      <c r="D235" s="249"/>
      <c r="E235" s="249"/>
      <c r="F235" s="249"/>
      <c r="G235" s="249"/>
      <c r="H235" s="249"/>
      <c r="I235" s="249"/>
      <c r="J235" s="249"/>
      <c r="K235" s="249"/>
      <c r="L235" s="249"/>
      <c r="M235" s="249"/>
      <c r="N235" s="249"/>
      <c r="O235" s="237">
        <f>SUM(COUNTIFS('Form Details'!$AA:$AA,{"Yes","No","-"},'Form Details'!$N:$N,"Mahesh",'Form Details'!$J:$J,$C235,'Form Details'!$D:$D,'Adv. Filter'!$A$14,'Form Details'!$D:$D,'Adv. Filter'!$B$14))</f>
        <v>175</v>
      </c>
      <c r="P235" s="238"/>
      <c r="Q235" s="238"/>
      <c r="R235" s="238"/>
      <c r="S235" s="238"/>
      <c r="T235" s="238"/>
      <c r="U235" s="239"/>
      <c r="V235" s="99"/>
      <c r="W235" s="237">
        <f>COUNTIFS('Form Details'!$AA:$AA,"Yes",'Form Details'!$N:$N,"Mahesh",'Form Details'!$J:$J,$C235,'Form Details'!$D:$D,'Adv. Filter'!$A$14,'Form Details'!$D:$D,'Adv. Filter'!$B$14)</f>
        <v>117</v>
      </c>
      <c r="X235" s="238"/>
      <c r="Y235" s="238"/>
      <c r="Z235" s="238"/>
      <c r="AA235" s="238"/>
      <c r="AB235" s="238"/>
      <c r="AC235" s="239"/>
      <c r="AD235" s="237">
        <f>COUNTIFS('Form Details'!$W:$W,"Paid",'Form Details'!$N:$N,"Mahesh",'Form Details'!$J:$J,$C235,'Form Details'!$D:$D,'Adv. Filter'!$A$14,'Form Details'!$D:$D,'Adv. Filter'!$B$14)</f>
        <v>76</v>
      </c>
      <c r="AE235" s="238"/>
      <c r="AF235" s="238"/>
      <c r="AG235" s="238"/>
      <c r="AH235" s="238"/>
      <c r="AI235" s="238"/>
      <c r="AJ235" s="239"/>
      <c r="AK235" s="237">
        <f>COUNTIFS('Form Details'!$W:$W,"Due",'Form Details'!$N:$N,"Mahesh",'Form Details'!$J:$J,$C235,'Form Details'!$D:$D,'Adv. Filter'!$A$14,'Form Details'!$D:$D,'Adv. Filter'!$B$14)</f>
        <v>38</v>
      </c>
      <c r="AL235" s="238"/>
      <c r="AM235" s="238"/>
      <c r="AN235" s="238"/>
      <c r="AO235" s="238"/>
      <c r="AP235" s="238"/>
      <c r="AQ235" s="239"/>
      <c r="AR235" s="237">
        <f>COUNTIFS('Form Details'!$W:$W,"No Fee",'Form Details'!$N:$N,"Mahesh",'Form Details'!$J:$J,$C235,'Form Details'!$D:$D,'Adv. Filter'!$A$14,'Form Details'!$D:$D,'Adv. Filter'!$B$14)</f>
        <v>0</v>
      </c>
      <c r="AS235" s="238"/>
      <c r="AT235" s="238"/>
      <c r="AU235" s="238"/>
      <c r="AV235" s="238"/>
      <c r="AW235" s="238"/>
      <c r="AX235" s="239"/>
      <c r="AY235" s="237">
        <f>COUNTIFS('Form Details'!$W:$W,"Paid/Reject",'Form Details'!$N:$N,"Mahesh",'Form Details'!$J:$J,$C235,'Form Details'!$D:$D,'Adv. Filter'!$A$14,'Form Details'!$D:$D,'Adv. Filter'!$B$14)</f>
        <v>0</v>
      </c>
      <c r="AZ235" s="238"/>
      <c r="BA235" s="238"/>
      <c r="BB235" s="238"/>
      <c r="BC235" s="238"/>
      <c r="BD235" s="238"/>
      <c r="BE235" s="239"/>
      <c r="BF235" s="237">
        <f>COUNTIFS('Form Details'!$W:$W,"Staff",'Form Details'!$N:$N,"Mahesh",'Form Details'!$J:$J,$C235,'Form Details'!$D:$D,'Adv. Filter'!$A$14,'Form Details'!$D:$D,'Adv. Filter'!$B$14)</f>
        <v>0</v>
      </c>
      <c r="BG235" s="238"/>
      <c r="BH235" s="238"/>
      <c r="BI235" s="238"/>
      <c r="BJ235" s="238"/>
      <c r="BK235" s="238"/>
      <c r="BL235" s="239"/>
      <c r="BM235" s="237">
        <f>COUNTIFS('Form Details'!$W:$W,"File in Office",'Form Details'!$N:$N,"Mahesh",'Form Details'!$J:$J,$C235,'Form Details'!$D:$D,'Adv. Filter'!$A$14,'Form Details'!$D:$D,'Adv. Filter'!$B$14)</f>
        <v>3</v>
      </c>
      <c r="BN235" s="238"/>
      <c r="BO235" s="238"/>
      <c r="BP235" s="238"/>
      <c r="BQ235" s="238"/>
      <c r="BR235" s="238"/>
      <c r="BS235" s="239"/>
      <c r="BT235" s="99"/>
      <c r="BU235" s="237">
        <f>COUNTIFS('Form Details'!$AA:$AA,"No",'Form Details'!$N:$N,"Mahesh",'Form Details'!$J:$J,$C235,'Form Details'!$D:$D,'Adv. Filter'!$A$14,'Form Details'!$D:$D,'Adv. Filter'!$B$14)</f>
        <v>57</v>
      </c>
      <c r="BV235" s="238"/>
      <c r="BW235" s="238"/>
      <c r="BX235" s="238"/>
      <c r="BY235" s="238"/>
      <c r="BZ235" s="238"/>
      <c r="CA235" s="239"/>
      <c r="CB235" s="237">
        <f>COUNTIFS('Form Details'!$W:$W,"Adv/Paid",'Form Details'!$N:$N,"Mahesh",'Form Details'!$J:$J,$C235,'Form Details'!$D:$D,'Adv. Filter'!$A$14,'Form Details'!$D:$D,'Adv. Filter'!$B$14)</f>
        <v>11</v>
      </c>
      <c r="CC235" s="238"/>
      <c r="CD235" s="238"/>
      <c r="CE235" s="238"/>
      <c r="CF235" s="238"/>
      <c r="CG235" s="238"/>
      <c r="CH235" s="239"/>
      <c r="CI235" s="237">
        <f>COUNTIFS('Form Details'!$W:$W,"Adv/Paid/Reject",'Form Details'!$N:$N,"Mahesh",'Form Details'!$J:$J,$C235,'Form Details'!$D:$D,'Adv. Filter'!$A$14,'Form Details'!$D:$D,'Adv. Filter'!$B$14)</f>
        <v>0</v>
      </c>
      <c r="CJ235" s="238"/>
      <c r="CK235" s="238"/>
      <c r="CL235" s="238"/>
      <c r="CM235" s="238"/>
      <c r="CN235" s="238"/>
      <c r="CO235" s="239"/>
      <c r="CP235" s="237">
        <f>COUNTIFS('Form Details'!$W:$W,"Reject",'Form Details'!$N:$N,"Mahesh",'Form Details'!$J:$J,$C235,'Form Details'!$D:$D,'Adv. Filter'!$A$14,'Form Details'!$D:$D,'Adv. Filter'!$B$14)</f>
        <v>5</v>
      </c>
      <c r="CQ235" s="238"/>
      <c r="CR235" s="238"/>
      <c r="CS235" s="238"/>
      <c r="CT235" s="238"/>
      <c r="CU235" s="238"/>
      <c r="CV235" s="239"/>
      <c r="CW235" s="237">
        <f>COUNTIFS('Form Details'!$W:$W,"Adv/Paid/Pending",'Form Details'!$N:$N,"Mahesh",'Form Details'!$J:$J,$C235,'Form Details'!$D:$D,'Adv. Filter'!$A$14,'Form Details'!$D:$D,'Adv. Filter'!$B$14)</f>
        <v>2</v>
      </c>
      <c r="CX235" s="238"/>
      <c r="CY235" s="238"/>
      <c r="CZ235" s="238"/>
      <c r="DA235" s="238"/>
      <c r="DB235" s="238"/>
      <c r="DC235" s="239"/>
      <c r="DD235" s="237">
        <f>COUNTIFS('Form Details'!$W:$W,"Pending",'Form Details'!$N:$N,"Mahesh",'Form Details'!$J:$J,$C235,'Form Details'!$D:$D,'Adv. Filter'!$A$14,'Form Details'!$D:$D,'Adv. Filter'!$B$14)</f>
        <v>7</v>
      </c>
      <c r="DE235" s="238"/>
      <c r="DF235" s="238"/>
      <c r="DG235" s="238"/>
      <c r="DH235" s="238"/>
      <c r="DI235" s="238"/>
      <c r="DJ235" s="239"/>
      <c r="DK235" s="237">
        <f>COUNTIFS('Form Details'!$W:$W,"Adv/Paid/NoStatus",'Form Details'!$N:$N,"Mahesh",'Form Details'!$J:$J,$C235,'Form Details'!$D:$D,'Adv. Filter'!$A$14,'Form Details'!$D:$D,'Adv. Filter'!$B$14)</f>
        <v>3</v>
      </c>
      <c r="DL235" s="238"/>
      <c r="DM235" s="238"/>
      <c r="DN235" s="238"/>
      <c r="DO235" s="238"/>
      <c r="DP235" s="238"/>
      <c r="DQ235" s="239"/>
      <c r="DR235" s="237">
        <f>COUNTIFS('Form Details'!$W:$W,"No Status",'Form Details'!$N:$N,"Mahesh",'Form Details'!$J:$J,$C235,'Form Details'!$D:$D,'Adv. Filter'!$A$14,'Form Details'!$D:$D,'Adv. Filter'!$B$14)</f>
        <v>25</v>
      </c>
      <c r="DS235" s="238"/>
      <c r="DT235" s="238"/>
      <c r="DU235" s="238"/>
      <c r="DV235" s="238"/>
      <c r="DW235" s="238"/>
      <c r="DX235" s="239"/>
      <c r="DY235" s="237">
        <f>SUM(COUNTIFS('Form Details'!$W:$W,{"Wrong Entry ","Double Entry"},'Form Details'!$N:$N,"Mahesh",'Form Details'!$J:$J,$C235,'Form Details'!$D:$D,'Adv. Filter'!$A$14,'Form Details'!$D:$D,'Adv. Filter'!$B$14))</f>
        <v>4</v>
      </c>
      <c r="DZ235" s="238"/>
      <c r="EA235" s="238"/>
      <c r="EB235" s="238"/>
      <c r="EC235" s="238"/>
      <c r="ED235" s="238"/>
      <c r="EE235" s="239"/>
    </row>
    <row r="236" spans="3:135" ht="15" hidden="1" customHeight="1">
      <c r="C236" s="248" t="s">
        <v>551</v>
      </c>
      <c r="D236" s="249"/>
      <c r="E236" s="249"/>
      <c r="F236" s="249"/>
      <c r="G236" s="249"/>
      <c r="H236" s="249"/>
      <c r="I236" s="249"/>
      <c r="J236" s="249"/>
      <c r="K236" s="249"/>
      <c r="L236" s="249"/>
      <c r="M236" s="249"/>
      <c r="N236" s="249"/>
      <c r="O236" s="237">
        <f>SUM(COUNTIFS('Form Details'!$AA:$AA,{"Yes","No","-"},'Form Details'!$N:$N,"Mahesh",'Form Details'!$J:$J,$C236,'Form Details'!$D:$D,'Adv. Filter'!$A$14,'Form Details'!$D:$D,'Adv. Filter'!$B$14))</f>
        <v>0</v>
      </c>
      <c r="P236" s="238"/>
      <c r="Q236" s="238"/>
      <c r="R236" s="238"/>
      <c r="S236" s="238"/>
      <c r="T236" s="238"/>
      <c r="U236" s="239"/>
      <c r="V236" s="99"/>
      <c r="W236" s="237">
        <f>COUNTIFS('Form Details'!$AA:$AA,"Yes",'Form Details'!$N:$N,"Mahesh",'Form Details'!$J:$J,$C236,'Form Details'!$D:$D,'Adv. Filter'!$A$14,'Form Details'!$D:$D,'Adv. Filter'!$B$14)</f>
        <v>0</v>
      </c>
      <c r="X236" s="238"/>
      <c r="Y236" s="238"/>
      <c r="Z236" s="238"/>
      <c r="AA236" s="238"/>
      <c r="AB236" s="238"/>
      <c r="AC236" s="239"/>
      <c r="AD236" s="237">
        <f>COUNTIFS('Form Details'!$W:$W,"Paid",'Form Details'!$N:$N,"Mahesh",'Form Details'!$J:$J,$C236,'Form Details'!$D:$D,'Adv. Filter'!$A$14,'Form Details'!$D:$D,'Adv. Filter'!$B$14)</f>
        <v>0</v>
      </c>
      <c r="AE236" s="238"/>
      <c r="AF236" s="238"/>
      <c r="AG236" s="238"/>
      <c r="AH236" s="238"/>
      <c r="AI236" s="238"/>
      <c r="AJ236" s="239"/>
      <c r="AK236" s="237">
        <f>COUNTIFS('Form Details'!$W:$W,"Due",'Form Details'!$N:$N,"Mahesh",'Form Details'!$J:$J,$C236,'Form Details'!$D:$D,'Adv. Filter'!$A$14,'Form Details'!$D:$D,'Adv. Filter'!$B$14)</f>
        <v>0</v>
      </c>
      <c r="AL236" s="238"/>
      <c r="AM236" s="238"/>
      <c r="AN236" s="238"/>
      <c r="AO236" s="238"/>
      <c r="AP236" s="238"/>
      <c r="AQ236" s="239"/>
      <c r="AR236" s="237">
        <f>COUNTIFS('Form Details'!$W:$W,"No Fee",'Form Details'!$N:$N,"Mahesh",'Form Details'!$J:$J,$C236,'Form Details'!$D:$D,'Adv. Filter'!$A$14,'Form Details'!$D:$D,'Adv. Filter'!$B$14)</f>
        <v>0</v>
      </c>
      <c r="AS236" s="238"/>
      <c r="AT236" s="238"/>
      <c r="AU236" s="238"/>
      <c r="AV236" s="238"/>
      <c r="AW236" s="238"/>
      <c r="AX236" s="239"/>
      <c r="AY236" s="237">
        <f>COUNTIFS('Form Details'!$W:$W,"Paid/Reject",'Form Details'!$N:$N,"Mahesh",'Form Details'!$J:$J,$C236,'Form Details'!$D:$D,'Adv. Filter'!$A$14,'Form Details'!$D:$D,'Adv. Filter'!$B$14)</f>
        <v>0</v>
      </c>
      <c r="AZ236" s="238"/>
      <c r="BA236" s="238"/>
      <c r="BB236" s="238"/>
      <c r="BC236" s="238"/>
      <c r="BD236" s="238"/>
      <c r="BE236" s="239"/>
      <c r="BF236" s="237">
        <f>COUNTIFS('Form Details'!$W:$W,"Staff",'Form Details'!$N:$N,"Mahesh",'Form Details'!$J:$J,$C236,'Form Details'!$D:$D,'Adv. Filter'!$A$14,'Form Details'!$D:$D,'Adv. Filter'!$B$14)</f>
        <v>0</v>
      </c>
      <c r="BG236" s="238"/>
      <c r="BH236" s="238"/>
      <c r="BI236" s="238"/>
      <c r="BJ236" s="238"/>
      <c r="BK236" s="238"/>
      <c r="BL236" s="239"/>
      <c r="BM236" s="237">
        <f>COUNTIFS('Form Details'!$W:$W,"File in Office",'Form Details'!$N:$N,"Mahesh",'Form Details'!$J:$J,$C236,'Form Details'!$D:$D,'Adv. Filter'!$A$14,'Form Details'!$D:$D,'Adv. Filter'!$B$14)</f>
        <v>0</v>
      </c>
      <c r="BN236" s="238"/>
      <c r="BO236" s="238"/>
      <c r="BP236" s="238"/>
      <c r="BQ236" s="238"/>
      <c r="BR236" s="238"/>
      <c r="BS236" s="239"/>
      <c r="BT236" s="99"/>
      <c r="BU236" s="237">
        <f>COUNTIFS('Form Details'!$AA:$AA,"No",'Form Details'!$N:$N,"Mahesh",'Form Details'!$J:$J,$C236,'Form Details'!$D:$D,'Adv. Filter'!$A$14,'Form Details'!$D:$D,'Adv. Filter'!$B$14)</f>
        <v>0</v>
      </c>
      <c r="BV236" s="238"/>
      <c r="BW236" s="238"/>
      <c r="BX236" s="238"/>
      <c r="BY236" s="238"/>
      <c r="BZ236" s="238"/>
      <c r="CA236" s="239"/>
      <c r="CB236" s="237">
        <f>COUNTIFS('Form Details'!$W:$W,"Adv/Paid",'Form Details'!$N:$N,"Mahesh",'Form Details'!$J:$J,$C236,'Form Details'!$D:$D,'Adv. Filter'!$A$14,'Form Details'!$D:$D,'Adv. Filter'!$B$14)</f>
        <v>0</v>
      </c>
      <c r="CC236" s="238"/>
      <c r="CD236" s="238"/>
      <c r="CE236" s="238"/>
      <c r="CF236" s="238"/>
      <c r="CG236" s="238"/>
      <c r="CH236" s="239"/>
      <c r="CI236" s="237">
        <f>COUNTIFS('Form Details'!$W:$W,"Adv/Paid/Reject",'Form Details'!$N:$N,"Mahesh",'Form Details'!$J:$J,$C236,'Form Details'!$D:$D,'Adv. Filter'!$A$14,'Form Details'!$D:$D,'Adv. Filter'!$B$14)</f>
        <v>0</v>
      </c>
      <c r="CJ236" s="238"/>
      <c r="CK236" s="238"/>
      <c r="CL236" s="238"/>
      <c r="CM236" s="238"/>
      <c r="CN236" s="238"/>
      <c r="CO236" s="239"/>
      <c r="CP236" s="237">
        <f>COUNTIFS('Form Details'!$W:$W,"Reject",'Form Details'!$N:$N,"Mahesh",'Form Details'!$J:$J,$C236,'Form Details'!$D:$D,'Adv. Filter'!$A$14,'Form Details'!$D:$D,'Adv. Filter'!$B$14)</f>
        <v>0</v>
      </c>
      <c r="CQ236" s="238"/>
      <c r="CR236" s="238"/>
      <c r="CS236" s="238"/>
      <c r="CT236" s="238"/>
      <c r="CU236" s="238"/>
      <c r="CV236" s="239"/>
      <c r="CW236" s="237">
        <f>COUNTIFS('Form Details'!$W:$W,"Adv/Paid/Pending",'Form Details'!$N:$N,"Mahesh",'Form Details'!$J:$J,$C236,'Form Details'!$D:$D,'Adv. Filter'!$A$14,'Form Details'!$D:$D,'Adv. Filter'!$B$14)</f>
        <v>0</v>
      </c>
      <c r="CX236" s="238"/>
      <c r="CY236" s="238"/>
      <c r="CZ236" s="238"/>
      <c r="DA236" s="238"/>
      <c r="DB236" s="238"/>
      <c r="DC236" s="239"/>
      <c r="DD236" s="237">
        <f>COUNTIFS('Form Details'!$W:$W,"Pending",'Form Details'!$N:$N,"Mahesh",'Form Details'!$J:$J,$C236,'Form Details'!$D:$D,'Adv. Filter'!$A$14,'Form Details'!$D:$D,'Adv. Filter'!$B$14)</f>
        <v>0</v>
      </c>
      <c r="DE236" s="238"/>
      <c r="DF236" s="238"/>
      <c r="DG236" s="238"/>
      <c r="DH236" s="238"/>
      <c r="DI236" s="238"/>
      <c r="DJ236" s="239"/>
      <c r="DK236" s="237">
        <f>COUNTIFS('Form Details'!$W:$W,"Adv/Paid/NoStatus",'Form Details'!$N:$N,"Mahesh",'Form Details'!$J:$J,$C236,'Form Details'!$D:$D,'Adv. Filter'!$A$14,'Form Details'!$D:$D,'Adv. Filter'!$B$14)</f>
        <v>0</v>
      </c>
      <c r="DL236" s="238"/>
      <c r="DM236" s="238"/>
      <c r="DN236" s="238"/>
      <c r="DO236" s="238"/>
      <c r="DP236" s="238"/>
      <c r="DQ236" s="239"/>
      <c r="DR236" s="237">
        <f>COUNTIFS('Form Details'!$W:$W,"No Status",'Form Details'!$N:$N,"Mahesh",'Form Details'!$J:$J,$C236,'Form Details'!$D:$D,'Adv. Filter'!$A$14,'Form Details'!$D:$D,'Adv. Filter'!$B$14)</f>
        <v>0</v>
      </c>
      <c r="DS236" s="238"/>
      <c r="DT236" s="238"/>
      <c r="DU236" s="238"/>
      <c r="DV236" s="238"/>
      <c r="DW236" s="238"/>
      <c r="DX236" s="239"/>
      <c r="DY236" s="237">
        <f>SUM(COUNTIFS('Form Details'!$W:$W,{"Wrong Entry ","Double Entry"},'Form Details'!$N:$N,"Mahesh",'Form Details'!$J:$J,$C236,'Form Details'!$D:$D,'Adv. Filter'!$A$14,'Form Details'!$D:$D,'Adv. Filter'!$B$14))</f>
        <v>0</v>
      </c>
      <c r="DZ236" s="238"/>
      <c r="EA236" s="238"/>
      <c r="EB236" s="238"/>
      <c r="EC236" s="238"/>
      <c r="ED236" s="238"/>
      <c r="EE236" s="239"/>
    </row>
    <row r="237" spans="3:135" hidden="1">
      <c r="C237" s="248" t="s">
        <v>121</v>
      </c>
      <c r="D237" s="249"/>
      <c r="E237" s="249"/>
      <c r="F237" s="249"/>
      <c r="G237" s="249"/>
      <c r="H237" s="249"/>
      <c r="I237" s="249"/>
      <c r="J237" s="249"/>
      <c r="K237" s="249"/>
      <c r="L237" s="249"/>
      <c r="M237" s="249"/>
      <c r="N237" s="249"/>
      <c r="O237" s="237">
        <f>SUM(COUNTIFS('Form Details'!$AA:$AA,{"Yes","No","-"},'Form Details'!$N:$N,"Mahesh",'Form Details'!$J:$J,$C237,'Form Details'!$D:$D,'Adv. Filter'!$A$14,'Form Details'!$D:$D,'Adv. Filter'!$B$14))</f>
        <v>11</v>
      </c>
      <c r="P237" s="238"/>
      <c r="Q237" s="238"/>
      <c r="R237" s="238"/>
      <c r="S237" s="238"/>
      <c r="T237" s="238"/>
      <c r="U237" s="239"/>
      <c r="V237" s="99"/>
      <c r="W237" s="237">
        <f>COUNTIFS('Form Details'!$AA:$AA,"Yes",'Form Details'!$N:$N,"Mahesh",'Form Details'!$J:$J,$C237,'Form Details'!$D:$D,'Adv. Filter'!$A$14,'Form Details'!$D:$D,'Adv. Filter'!$B$14)</f>
        <v>11</v>
      </c>
      <c r="X237" s="238"/>
      <c r="Y237" s="238"/>
      <c r="Z237" s="238"/>
      <c r="AA237" s="238"/>
      <c r="AB237" s="238"/>
      <c r="AC237" s="239"/>
      <c r="AD237" s="237">
        <f>COUNTIFS('Form Details'!$W:$W,"Paid",'Form Details'!$N:$N,"Mahesh",'Form Details'!$J:$J,$C237,'Form Details'!$D:$D,'Adv. Filter'!$A$14,'Form Details'!$D:$D,'Adv. Filter'!$B$14)</f>
        <v>2</v>
      </c>
      <c r="AE237" s="238"/>
      <c r="AF237" s="238"/>
      <c r="AG237" s="238"/>
      <c r="AH237" s="238"/>
      <c r="AI237" s="238"/>
      <c r="AJ237" s="239"/>
      <c r="AK237" s="237">
        <f>COUNTIFS('Form Details'!$W:$W,"Due",'Form Details'!$N:$N,"Mahesh",'Form Details'!$J:$J,$C237,'Form Details'!$D:$D,'Adv. Filter'!$A$14,'Form Details'!$D:$D,'Adv. Filter'!$B$14)</f>
        <v>9</v>
      </c>
      <c r="AL237" s="238"/>
      <c r="AM237" s="238"/>
      <c r="AN237" s="238"/>
      <c r="AO237" s="238"/>
      <c r="AP237" s="238"/>
      <c r="AQ237" s="239"/>
      <c r="AR237" s="237">
        <f>COUNTIFS('Form Details'!$W:$W,"No Fee",'Form Details'!$N:$N,"Mahesh",'Form Details'!$J:$J,$C237,'Form Details'!$D:$D,'Adv. Filter'!$A$14,'Form Details'!$D:$D,'Adv. Filter'!$B$14)</f>
        <v>0</v>
      </c>
      <c r="AS237" s="238"/>
      <c r="AT237" s="238"/>
      <c r="AU237" s="238"/>
      <c r="AV237" s="238"/>
      <c r="AW237" s="238"/>
      <c r="AX237" s="239"/>
      <c r="AY237" s="237">
        <f>COUNTIFS('Form Details'!$W:$W,"Paid/Reject",'Form Details'!$N:$N,"Mahesh",'Form Details'!$J:$J,$C237,'Form Details'!$D:$D,'Adv. Filter'!$A$14,'Form Details'!$D:$D,'Adv. Filter'!$B$14)</f>
        <v>0</v>
      </c>
      <c r="AZ237" s="238"/>
      <c r="BA237" s="238"/>
      <c r="BB237" s="238"/>
      <c r="BC237" s="238"/>
      <c r="BD237" s="238"/>
      <c r="BE237" s="239"/>
      <c r="BF237" s="237">
        <f>COUNTIFS('Form Details'!$W:$W,"Staff",'Form Details'!$N:$N,"Mahesh",'Form Details'!$J:$J,$C237,'Form Details'!$D:$D,'Adv. Filter'!$A$14,'Form Details'!$D:$D,'Adv. Filter'!$B$14)</f>
        <v>0</v>
      </c>
      <c r="BG237" s="238"/>
      <c r="BH237" s="238"/>
      <c r="BI237" s="238"/>
      <c r="BJ237" s="238"/>
      <c r="BK237" s="238"/>
      <c r="BL237" s="239"/>
      <c r="BM237" s="237">
        <f>COUNTIFS('Form Details'!$W:$W,"File in Office",'Form Details'!$N:$N,"Mahesh",'Form Details'!$J:$J,$C237,'Form Details'!$D:$D,'Adv. Filter'!$A$14,'Form Details'!$D:$D,'Adv. Filter'!$B$14)</f>
        <v>0</v>
      </c>
      <c r="BN237" s="238"/>
      <c r="BO237" s="238"/>
      <c r="BP237" s="238"/>
      <c r="BQ237" s="238"/>
      <c r="BR237" s="238"/>
      <c r="BS237" s="239"/>
      <c r="BT237" s="99"/>
      <c r="BU237" s="237">
        <f>COUNTIFS('Form Details'!$AA:$AA,"No",'Form Details'!$N:$N,"Mahesh",'Form Details'!$J:$J,$C237,'Form Details'!$D:$D,'Adv. Filter'!$A$14,'Form Details'!$D:$D,'Adv. Filter'!$B$14)</f>
        <v>0</v>
      </c>
      <c r="BV237" s="238"/>
      <c r="BW237" s="238"/>
      <c r="BX237" s="238"/>
      <c r="BY237" s="238"/>
      <c r="BZ237" s="238"/>
      <c r="CA237" s="239"/>
      <c r="CB237" s="237">
        <f>COUNTIFS('Form Details'!$W:$W,"Adv/Paid",'Form Details'!$N:$N,"Mahesh",'Form Details'!$J:$J,$C237,'Form Details'!$D:$D,'Adv. Filter'!$A$14,'Form Details'!$D:$D,'Adv. Filter'!$B$14)</f>
        <v>0</v>
      </c>
      <c r="CC237" s="238"/>
      <c r="CD237" s="238"/>
      <c r="CE237" s="238"/>
      <c r="CF237" s="238"/>
      <c r="CG237" s="238"/>
      <c r="CH237" s="239"/>
      <c r="CI237" s="237">
        <f>COUNTIFS('Form Details'!$W:$W,"Adv/Paid/Reject",'Form Details'!$N:$N,"Mahesh",'Form Details'!$J:$J,$C237,'Form Details'!$D:$D,'Adv. Filter'!$A$14,'Form Details'!$D:$D,'Adv. Filter'!$B$14)</f>
        <v>0</v>
      </c>
      <c r="CJ237" s="238"/>
      <c r="CK237" s="238"/>
      <c r="CL237" s="238"/>
      <c r="CM237" s="238"/>
      <c r="CN237" s="238"/>
      <c r="CO237" s="239"/>
      <c r="CP237" s="237">
        <f>COUNTIFS('Form Details'!$W:$W,"Reject",'Form Details'!$N:$N,"Mahesh",'Form Details'!$J:$J,$C237,'Form Details'!$D:$D,'Adv. Filter'!$A$14,'Form Details'!$D:$D,'Adv. Filter'!$B$14)</f>
        <v>0</v>
      </c>
      <c r="CQ237" s="238"/>
      <c r="CR237" s="238"/>
      <c r="CS237" s="238"/>
      <c r="CT237" s="238"/>
      <c r="CU237" s="238"/>
      <c r="CV237" s="239"/>
      <c r="CW237" s="237">
        <f>COUNTIFS('Form Details'!$W:$W,"Adv/Paid/Pending",'Form Details'!$N:$N,"Mahesh",'Form Details'!$J:$J,$C237,'Form Details'!$D:$D,'Adv. Filter'!$A$14,'Form Details'!$D:$D,'Adv. Filter'!$B$14)</f>
        <v>0</v>
      </c>
      <c r="CX237" s="238"/>
      <c r="CY237" s="238"/>
      <c r="CZ237" s="238"/>
      <c r="DA237" s="238"/>
      <c r="DB237" s="238"/>
      <c r="DC237" s="239"/>
      <c r="DD237" s="237">
        <f>COUNTIFS('Form Details'!$W:$W,"Pending",'Form Details'!$N:$N,"Mahesh",'Form Details'!$J:$J,$C237,'Form Details'!$D:$D,'Adv. Filter'!$A$14,'Form Details'!$D:$D,'Adv. Filter'!$B$14)</f>
        <v>0</v>
      </c>
      <c r="DE237" s="238"/>
      <c r="DF237" s="238"/>
      <c r="DG237" s="238"/>
      <c r="DH237" s="238"/>
      <c r="DI237" s="238"/>
      <c r="DJ237" s="239"/>
      <c r="DK237" s="237">
        <f>COUNTIFS('Form Details'!$W:$W,"Adv/Paid/NoStatus",'Form Details'!$N:$N,"Mahesh",'Form Details'!$J:$J,$C237,'Form Details'!$D:$D,'Adv. Filter'!$A$14,'Form Details'!$D:$D,'Adv. Filter'!$B$14)</f>
        <v>0</v>
      </c>
      <c r="DL237" s="238"/>
      <c r="DM237" s="238"/>
      <c r="DN237" s="238"/>
      <c r="DO237" s="238"/>
      <c r="DP237" s="238"/>
      <c r="DQ237" s="239"/>
      <c r="DR237" s="237">
        <f>COUNTIFS('Form Details'!$W:$W,"No Status",'Form Details'!$N:$N,"Mahesh",'Form Details'!$J:$J,$C237,'Form Details'!$D:$D,'Adv. Filter'!$A$14,'Form Details'!$D:$D,'Adv. Filter'!$B$14)</f>
        <v>0</v>
      </c>
      <c r="DS237" s="238"/>
      <c r="DT237" s="238"/>
      <c r="DU237" s="238"/>
      <c r="DV237" s="238"/>
      <c r="DW237" s="238"/>
      <c r="DX237" s="239"/>
      <c r="DY237" s="237">
        <f>SUM(COUNTIFS('Form Details'!$W:$W,{"Wrong Entry ","Double Entry"},'Form Details'!$N:$N,"Mahesh",'Form Details'!$J:$J,$C237,'Form Details'!$D:$D,'Adv. Filter'!$A$14,'Form Details'!$D:$D,'Adv. Filter'!$B$14))</f>
        <v>0</v>
      </c>
      <c r="DZ237" s="238"/>
      <c r="EA237" s="238"/>
      <c r="EB237" s="238"/>
      <c r="EC237" s="238"/>
      <c r="ED237" s="238"/>
      <c r="EE237" s="239"/>
    </row>
    <row r="238" spans="3:135" hidden="1">
      <c r="C238" s="248" t="s">
        <v>111</v>
      </c>
      <c r="D238" s="249"/>
      <c r="E238" s="249"/>
      <c r="F238" s="249"/>
      <c r="G238" s="249"/>
      <c r="H238" s="249"/>
      <c r="I238" s="249"/>
      <c r="J238" s="249"/>
      <c r="K238" s="249"/>
      <c r="L238" s="249"/>
      <c r="M238" s="249"/>
      <c r="N238" s="249"/>
      <c r="O238" s="237">
        <f>SUM(COUNTIFS('Form Details'!$AA:$AA,{"Yes","No","-"},'Form Details'!$N:$N,"Mahesh",'Form Details'!$J:$J,$C238,'Form Details'!$D:$D,'Adv. Filter'!$A$14,'Form Details'!$D:$D,'Adv. Filter'!$B$14))</f>
        <v>6</v>
      </c>
      <c r="P238" s="238"/>
      <c r="Q238" s="238"/>
      <c r="R238" s="238"/>
      <c r="S238" s="238"/>
      <c r="T238" s="238"/>
      <c r="U238" s="239"/>
      <c r="V238" s="99"/>
      <c r="W238" s="237">
        <f>COUNTIFS('Form Details'!$AA:$AA,"Yes",'Form Details'!$N:$N,"Mahesh",'Form Details'!$J:$J,$C238,'Form Details'!$D:$D,'Adv. Filter'!$A$14,'Form Details'!$D:$D,'Adv. Filter'!$B$14)</f>
        <v>5</v>
      </c>
      <c r="X238" s="238"/>
      <c r="Y238" s="238"/>
      <c r="Z238" s="238"/>
      <c r="AA238" s="238"/>
      <c r="AB238" s="238"/>
      <c r="AC238" s="239"/>
      <c r="AD238" s="237">
        <f>COUNTIFS('Form Details'!$W:$W,"Paid",'Form Details'!$N:$N,"Mahesh",'Form Details'!$J:$J,$C238,'Form Details'!$D:$D,'Adv. Filter'!$A$14,'Form Details'!$D:$D,'Adv. Filter'!$B$14)</f>
        <v>5</v>
      </c>
      <c r="AE238" s="238"/>
      <c r="AF238" s="238"/>
      <c r="AG238" s="238"/>
      <c r="AH238" s="238"/>
      <c r="AI238" s="238"/>
      <c r="AJ238" s="239"/>
      <c r="AK238" s="237">
        <f>COUNTIFS('Form Details'!$W:$W,"Due",'Form Details'!$N:$N,"Mahesh",'Form Details'!$J:$J,$C238,'Form Details'!$D:$D,'Adv. Filter'!$A$14,'Form Details'!$D:$D,'Adv. Filter'!$B$14)</f>
        <v>0</v>
      </c>
      <c r="AL238" s="238"/>
      <c r="AM238" s="238"/>
      <c r="AN238" s="238"/>
      <c r="AO238" s="238"/>
      <c r="AP238" s="238"/>
      <c r="AQ238" s="239"/>
      <c r="AR238" s="237">
        <f>COUNTIFS('Form Details'!$W:$W,"No Fee",'Form Details'!$N:$N,"Mahesh",'Form Details'!$J:$J,$C238,'Form Details'!$D:$D,'Adv. Filter'!$A$14,'Form Details'!$D:$D,'Adv. Filter'!$B$14)</f>
        <v>0</v>
      </c>
      <c r="AS238" s="238"/>
      <c r="AT238" s="238"/>
      <c r="AU238" s="238"/>
      <c r="AV238" s="238"/>
      <c r="AW238" s="238"/>
      <c r="AX238" s="239"/>
      <c r="AY238" s="237">
        <f>COUNTIFS('Form Details'!$W:$W,"Paid/Reject",'Form Details'!$N:$N,"Mahesh",'Form Details'!$J:$J,$C238,'Form Details'!$D:$D,'Adv. Filter'!$A$14,'Form Details'!$D:$D,'Adv. Filter'!$B$14)</f>
        <v>0</v>
      </c>
      <c r="AZ238" s="238"/>
      <c r="BA238" s="238"/>
      <c r="BB238" s="238"/>
      <c r="BC238" s="238"/>
      <c r="BD238" s="238"/>
      <c r="BE238" s="239"/>
      <c r="BF238" s="237">
        <f>COUNTIFS('Form Details'!$W:$W,"Staff",'Form Details'!$N:$N,"Mahesh",'Form Details'!$J:$J,$C238,'Form Details'!$D:$D,'Adv. Filter'!$A$14,'Form Details'!$D:$D,'Adv. Filter'!$B$14)</f>
        <v>0</v>
      </c>
      <c r="BG238" s="238"/>
      <c r="BH238" s="238"/>
      <c r="BI238" s="238"/>
      <c r="BJ238" s="238"/>
      <c r="BK238" s="238"/>
      <c r="BL238" s="239"/>
      <c r="BM238" s="237">
        <f>COUNTIFS('Form Details'!$W:$W,"File in Office",'Form Details'!$N:$N,"Mahesh",'Form Details'!$J:$J,$C238,'Form Details'!$D:$D,'Adv. Filter'!$A$14,'Form Details'!$D:$D,'Adv. Filter'!$B$14)</f>
        <v>0</v>
      </c>
      <c r="BN238" s="238"/>
      <c r="BO238" s="238"/>
      <c r="BP238" s="238"/>
      <c r="BQ238" s="238"/>
      <c r="BR238" s="238"/>
      <c r="BS238" s="239"/>
      <c r="BT238" s="99"/>
      <c r="BU238" s="237">
        <f>COUNTIFS('Form Details'!$AA:$AA,"No",'Form Details'!$N:$N,"Mahesh",'Form Details'!$J:$J,$C238,'Form Details'!$D:$D,'Adv. Filter'!$A$14,'Form Details'!$D:$D,'Adv. Filter'!$B$14)</f>
        <v>1</v>
      </c>
      <c r="BV238" s="238"/>
      <c r="BW238" s="238"/>
      <c r="BX238" s="238"/>
      <c r="BY238" s="238"/>
      <c r="BZ238" s="238"/>
      <c r="CA238" s="239"/>
      <c r="CB238" s="237">
        <f>COUNTIFS('Form Details'!$W:$W,"Adv/Paid",'Form Details'!$N:$N,"Mahesh",'Form Details'!$J:$J,$C238,'Form Details'!$D:$D,'Adv. Filter'!$A$14,'Form Details'!$D:$D,'Adv. Filter'!$B$14)</f>
        <v>0</v>
      </c>
      <c r="CC238" s="238"/>
      <c r="CD238" s="238"/>
      <c r="CE238" s="238"/>
      <c r="CF238" s="238"/>
      <c r="CG238" s="238"/>
      <c r="CH238" s="239"/>
      <c r="CI238" s="237">
        <f>COUNTIFS('Form Details'!$W:$W,"Adv/Paid/Reject",'Form Details'!$N:$N,"Mahesh",'Form Details'!$J:$J,$C238,'Form Details'!$D:$D,'Adv. Filter'!$A$14,'Form Details'!$D:$D,'Adv. Filter'!$B$14)</f>
        <v>0</v>
      </c>
      <c r="CJ238" s="238"/>
      <c r="CK238" s="238"/>
      <c r="CL238" s="238"/>
      <c r="CM238" s="238"/>
      <c r="CN238" s="238"/>
      <c r="CO238" s="239"/>
      <c r="CP238" s="237">
        <f>COUNTIFS('Form Details'!$W:$W,"Reject",'Form Details'!$N:$N,"Mahesh",'Form Details'!$J:$J,$C238,'Form Details'!$D:$D,'Adv. Filter'!$A$14,'Form Details'!$D:$D,'Adv. Filter'!$B$14)</f>
        <v>0</v>
      </c>
      <c r="CQ238" s="238"/>
      <c r="CR238" s="238"/>
      <c r="CS238" s="238"/>
      <c r="CT238" s="238"/>
      <c r="CU238" s="238"/>
      <c r="CV238" s="239"/>
      <c r="CW238" s="237">
        <f>COUNTIFS('Form Details'!$W:$W,"Adv/Paid/Pending",'Form Details'!$N:$N,"Mahesh",'Form Details'!$J:$J,$C238,'Form Details'!$D:$D,'Adv. Filter'!$A$14,'Form Details'!$D:$D,'Adv. Filter'!$B$14)</f>
        <v>0</v>
      </c>
      <c r="CX238" s="238"/>
      <c r="CY238" s="238"/>
      <c r="CZ238" s="238"/>
      <c r="DA238" s="238"/>
      <c r="DB238" s="238"/>
      <c r="DC238" s="239"/>
      <c r="DD238" s="237">
        <f>COUNTIFS('Form Details'!$W:$W,"Pending",'Form Details'!$N:$N,"Mahesh",'Form Details'!$J:$J,$C238,'Form Details'!$D:$D,'Adv. Filter'!$A$14,'Form Details'!$D:$D,'Adv. Filter'!$B$14)</f>
        <v>0</v>
      </c>
      <c r="DE238" s="238"/>
      <c r="DF238" s="238"/>
      <c r="DG238" s="238"/>
      <c r="DH238" s="238"/>
      <c r="DI238" s="238"/>
      <c r="DJ238" s="239"/>
      <c r="DK238" s="237">
        <f>COUNTIFS('Form Details'!$W:$W,"Adv/Paid/NoStatus",'Form Details'!$N:$N,"Mahesh",'Form Details'!$J:$J,$C238,'Form Details'!$D:$D,'Adv. Filter'!$A$14,'Form Details'!$D:$D,'Adv. Filter'!$B$14)</f>
        <v>0</v>
      </c>
      <c r="DL238" s="238"/>
      <c r="DM238" s="238"/>
      <c r="DN238" s="238"/>
      <c r="DO238" s="238"/>
      <c r="DP238" s="238"/>
      <c r="DQ238" s="239"/>
      <c r="DR238" s="237">
        <f>COUNTIFS('Form Details'!$W:$W,"No Status",'Form Details'!$N:$N,"Mahesh",'Form Details'!$J:$J,$C238,'Form Details'!$D:$D,'Adv. Filter'!$A$14,'Form Details'!$D:$D,'Adv. Filter'!$B$14)</f>
        <v>1</v>
      </c>
      <c r="DS238" s="238"/>
      <c r="DT238" s="238"/>
      <c r="DU238" s="238"/>
      <c r="DV238" s="238"/>
      <c r="DW238" s="238"/>
      <c r="DX238" s="239"/>
      <c r="DY238" s="237">
        <f>SUM(COUNTIFS('Form Details'!$W:$W,{"Wrong Entry ","Double Entry"},'Form Details'!$N:$N,"Mahesh",'Form Details'!$J:$J,$C238,'Form Details'!$D:$D,'Adv. Filter'!$A$14,'Form Details'!$D:$D,'Adv. Filter'!$B$14))</f>
        <v>0</v>
      </c>
      <c r="DZ238" s="238"/>
      <c r="EA238" s="238"/>
      <c r="EB238" s="238"/>
      <c r="EC238" s="238"/>
      <c r="ED238" s="238"/>
      <c r="EE238" s="239"/>
    </row>
    <row r="239" spans="3:135" hidden="1">
      <c r="C239" s="248" t="s">
        <v>116</v>
      </c>
      <c r="D239" s="249"/>
      <c r="E239" s="249"/>
      <c r="F239" s="249"/>
      <c r="G239" s="249"/>
      <c r="H239" s="249"/>
      <c r="I239" s="249"/>
      <c r="J239" s="249"/>
      <c r="K239" s="249"/>
      <c r="L239" s="249"/>
      <c r="M239" s="249"/>
      <c r="N239" s="249"/>
      <c r="O239" s="237">
        <f>SUM(COUNTIFS('Form Details'!$AA:$AA,{"Yes","No","-"},'Form Details'!$N:$N,"Mahesh",'Form Details'!$J:$J,$C239,'Form Details'!$D:$D,'Adv. Filter'!$A$14,'Form Details'!$D:$D,'Adv. Filter'!$B$14))</f>
        <v>3</v>
      </c>
      <c r="P239" s="238"/>
      <c r="Q239" s="238"/>
      <c r="R239" s="238"/>
      <c r="S239" s="238"/>
      <c r="T239" s="238"/>
      <c r="U239" s="239"/>
      <c r="V239" s="99"/>
      <c r="W239" s="237">
        <f>COUNTIFS('Form Details'!$AA:$AA,"Yes",'Form Details'!$N:$N,"Mahesh",'Form Details'!$J:$J,$C239,'Form Details'!$D:$D,'Adv. Filter'!$A$14,'Form Details'!$D:$D,'Adv. Filter'!$B$14)</f>
        <v>3</v>
      </c>
      <c r="X239" s="238"/>
      <c r="Y239" s="238"/>
      <c r="Z239" s="238"/>
      <c r="AA239" s="238"/>
      <c r="AB239" s="238"/>
      <c r="AC239" s="239"/>
      <c r="AD239" s="237">
        <f>COUNTIFS('Form Details'!$W:$W,"Paid",'Form Details'!$N:$N,"Mahesh",'Form Details'!$J:$J,$C239,'Form Details'!$D:$D,'Adv. Filter'!$A$14,'Form Details'!$D:$D,'Adv. Filter'!$B$14)</f>
        <v>1</v>
      </c>
      <c r="AE239" s="238"/>
      <c r="AF239" s="238"/>
      <c r="AG239" s="238"/>
      <c r="AH239" s="238"/>
      <c r="AI239" s="238"/>
      <c r="AJ239" s="239"/>
      <c r="AK239" s="237">
        <f>COUNTIFS('Form Details'!$W:$W,"Due",'Form Details'!$N:$N,"Mahesh",'Form Details'!$J:$J,$C239,'Form Details'!$D:$D,'Adv. Filter'!$A$14,'Form Details'!$D:$D,'Adv. Filter'!$B$14)</f>
        <v>2</v>
      </c>
      <c r="AL239" s="238"/>
      <c r="AM239" s="238"/>
      <c r="AN239" s="238"/>
      <c r="AO239" s="238"/>
      <c r="AP239" s="238"/>
      <c r="AQ239" s="239"/>
      <c r="AR239" s="237">
        <f>COUNTIFS('Form Details'!$W:$W,"No Fee",'Form Details'!$N:$N,"Mahesh",'Form Details'!$J:$J,$C239,'Form Details'!$D:$D,'Adv. Filter'!$A$14,'Form Details'!$D:$D,'Adv. Filter'!$B$14)</f>
        <v>0</v>
      </c>
      <c r="AS239" s="238"/>
      <c r="AT239" s="238"/>
      <c r="AU239" s="238"/>
      <c r="AV239" s="238"/>
      <c r="AW239" s="238"/>
      <c r="AX239" s="239"/>
      <c r="AY239" s="237">
        <f>COUNTIFS('Form Details'!$W:$W,"Paid/Reject",'Form Details'!$N:$N,"Mahesh",'Form Details'!$J:$J,$C239,'Form Details'!$D:$D,'Adv. Filter'!$A$14,'Form Details'!$D:$D,'Adv. Filter'!$B$14)</f>
        <v>0</v>
      </c>
      <c r="AZ239" s="238"/>
      <c r="BA239" s="238"/>
      <c r="BB239" s="238"/>
      <c r="BC239" s="238"/>
      <c r="BD239" s="238"/>
      <c r="BE239" s="239"/>
      <c r="BF239" s="237">
        <f>COUNTIFS('Form Details'!$W:$W,"Staff",'Form Details'!$N:$N,"Mahesh",'Form Details'!$J:$J,$C239,'Form Details'!$D:$D,'Adv. Filter'!$A$14,'Form Details'!$D:$D,'Adv. Filter'!$B$14)</f>
        <v>0</v>
      </c>
      <c r="BG239" s="238"/>
      <c r="BH239" s="238"/>
      <c r="BI239" s="238"/>
      <c r="BJ239" s="238"/>
      <c r="BK239" s="238"/>
      <c r="BL239" s="239"/>
      <c r="BM239" s="237">
        <f>COUNTIFS('Form Details'!$W:$W,"File in Office",'Form Details'!$N:$N,"Mahesh",'Form Details'!$J:$J,$C239,'Form Details'!$D:$D,'Adv. Filter'!$A$14,'Form Details'!$D:$D,'Adv. Filter'!$B$14)</f>
        <v>0</v>
      </c>
      <c r="BN239" s="238"/>
      <c r="BO239" s="238"/>
      <c r="BP239" s="238"/>
      <c r="BQ239" s="238"/>
      <c r="BR239" s="238"/>
      <c r="BS239" s="239"/>
      <c r="BT239" s="99"/>
      <c r="BU239" s="237">
        <f>COUNTIFS('Form Details'!$AA:$AA,"No",'Form Details'!$N:$N,"Mahesh",'Form Details'!$J:$J,$C239,'Form Details'!$D:$D,'Adv. Filter'!$A$14,'Form Details'!$D:$D,'Adv. Filter'!$B$14)</f>
        <v>0</v>
      </c>
      <c r="BV239" s="238"/>
      <c r="BW239" s="238"/>
      <c r="BX239" s="238"/>
      <c r="BY239" s="238"/>
      <c r="BZ239" s="238"/>
      <c r="CA239" s="239"/>
      <c r="CB239" s="237">
        <f>COUNTIFS('Form Details'!$W:$W,"Adv/Paid",'Form Details'!$N:$N,"Mahesh",'Form Details'!$J:$J,$C239,'Form Details'!$D:$D,'Adv. Filter'!$A$14,'Form Details'!$D:$D,'Adv. Filter'!$B$14)</f>
        <v>0</v>
      </c>
      <c r="CC239" s="238"/>
      <c r="CD239" s="238"/>
      <c r="CE239" s="238"/>
      <c r="CF239" s="238"/>
      <c r="CG239" s="238"/>
      <c r="CH239" s="239"/>
      <c r="CI239" s="237">
        <f>COUNTIFS('Form Details'!$W:$W,"Adv/Paid/Reject",'Form Details'!$N:$N,"Mahesh",'Form Details'!$J:$J,$C239,'Form Details'!$D:$D,'Adv. Filter'!$A$14,'Form Details'!$D:$D,'Adv. Filter'!$B$14)</f>
        <v>0</v>
      </c>
      <c r="CJ239" s="238"/>
      <c r="CK239" s="238"/>
      <c r="CL239" s="238"/>
      <c r="CM239" s="238"/>
      <c r="CN239" s="238"/>
      <c r="CO239" s="239"/>
      <c r="CP239" s="237">
        <f>COUNTIFS('Form Details'!$W:$W,"Reject",'Form Details'!$N:$N,"Mahesh",'Form Details'!$J:$J,$C239,'Form Details'!$D:$D,'Adv. Filter'!$A$14,'Form Details'!$D:$D,'Adv. Filter'!$B$14)</f>
        <v>0</v>
      </c>
      <c r="CQ239" s="238"/>
      <c r="CR239" s="238"/>
      <c r="CS239" s="238"/>
      <c r="CT239" s="238"/>
      <c r="CU239" s="238"/>
      <c r="CV239" s="239"/>
      <c r="CW239" s="237">
        <f>COUNTIFS('Form Details'!$W:$W,"Adv/Paid/Pending",'Form Details'!$N:$N,"Mahesh",'Form Details'!$J:$J,$C239,'Form Details'!$D:$D,'Adv. Filter'!$A$14,'Form Details'!$D:$D,'Adv. Filter'!$B$14)</f>
        <v>0</v>
      </c>
      <c r="CX239" s="238"/>
      <c r="CY239" s="238"/>
      <c r="CZ239" s="238"/>
      <c r="DA239" s="238"/>
      <c r="DB239" s="238"/>
      <c r="DC239" s="239"/>
      <c r="DD239" s="237">
        <f>COUNTIFS('Form Details'!$W:$W,"Pending",'Form Details'!$N:$N,"Mahesh",'Form Details'!$J:$J,$C239,'Form Details'!$D:$D,'Adv. Filter'!$A$14,'Form Details'!$D:$D,'Adv. Filter'!$B$14)</f>
        <v>0</v>
      </c>
      <c r="DE239" s="238"/>
      <c r="DF239" s="238"/>
      <c r="DG239" s="238"/>
      <c r="DH239" s="238"/>
      <c r="DI239" s="238"/>
      <c r="DJ239" s="239"/>
      <c r="DK239" s="237">
        <f>COUNTIFS('Form Details'!$W:$W,"Adv/Paid/NoStatus",'Form Details'!$N:$N,"Mahesh",'Form Details'!$J:$J,$C239,'Form Details'!$D:$D,'Adv. Filter'!$A$14,'Form Details'!$D:$D,'Adv. Filter'!$B$14)</f>
        <v>0</v>
      </c>
      <c r="DL239" s="238"/>
      <c r="DM239" s="238"/>
      <c r="DN239" s="238"/>
      <c r="DO239" s="238"/>
      <c r="DP239" s="238"/>
      <c r="DQ239" s="239"/>
      <c r="DR239" s="237">
        <f>COUNTIFS('Form Details'!$W:$W,"No Status",'Form Details'!$N:$N,"Mahesh",'Form Details'!$J:$J,$C239,'Form Details'!$D:$D,'Adv. Filter'!$A$14,'Form Details'!$D:$D,'Adv. Filter'!$B$14)</f>
        <v>0</v>
      </c>
      <c r="DS239" s="238"/>
      <c r="DT239" s="238"/>
      <c r="DU239" s="238"/>
      <c r="DV239" s="238"/>
      <c r="DW239" s="238"/>
      <c r="DX239" s="239"/>
      <c r="DY239" s="237">
        <f>SUM(COUNTIFS('Form Details'!$W:$W,{"Wrong Entry ","Double Entry"},'Form Details'!$N:$N,"Mahesh",'Form Details'!$J:$J,$C239,'Form Details'!$D:$D,'Adv. Filter'!$A$14,'Form Details'!$D:$D,'Adv. Filter'!$B$14))</f>
        <v>0</v>
      </c>
      <c r="DZ239" s="238"/>
      <c r="EA239" s="238"/>
      <c r="EB239" s="238"/>
      <c r="EC239" s="238"/>
      <c r="ED239" s="238"/>
      <c r="EE239" s="239"/>
    </row>
    <row r="240" spans="3:135" hidden="1">
      <c r="C240" s="248" t="s">
        <v>119</v>
      </c>
      <c r="D240" s="249"/>
      <c r="E240" s="249"/>
      <c r="F240" s="249"/>
      <c r="G240" s="249"/>
      <c r="H240" s="249"/>
      <c r="I240" s="249"/>
      <c r="J240" s="249"/>
      <c r="K240" s="249"/>
      <c r="L240" s="249"/>
      <c r="M240" s="249"/>
      <c r="N240" s="249"/>
      <c r="O240" s="237">
        <f>SUM(COUNTIFS('Form Details'!$AA:$AA,{"Yes","No","-"},'Form Details'!$N:$N,"Mahesh",'Form Details'!$J:$J,$C240,'Form Details'!$D:$D,'Adv. Filter'!$A$14,'Form Details'!$D:$D,'Adv. Filter'!$B$14))</f>
        <v>5</v>
      </c>
      <c r="P240" s="238"/>
      <c r="Q240" s="238"/>
      <c r="R240" s="238"/>
      <c r="S240" s="238"/>
      <c r="T240" s="238"/>
      <c r="U240" s="239"/>
      <c r="V240" s="99"/>
      <c r="W240" s="237">
        <f>COUNTIFS('Form Details'!$AA:$AA,"Yes",'Form Details'!$N:$N,"Mahesh",'Form Details'!$J:$J,$C240,'Form Details'!$D:$D,'Adv. Filter'!$A$14,'Form Details'!$D:$D,'Adv. Filter'!$B$14)</f>
        <v>5</v>
      </c>
      <c r="X240" s="238"/>
      <c r="Y240" s="238"/>
      <c r="Z240" s="238"/>
      <c r="AA240" s="238"/>
      <c r="AB240" s="238"/>
      <c r="AC240" s="239"/>
      <c r="AD240" s="237">
        <f>COUNTIFS('Form Details'!$W:$W,"Paid",'Form Details'!$N:$N,"Mahesh",'Form Details'!$J:$J,$C240,'Form Details'!$D:$D,'Adv. Filter'!$A$14,'Form Details'!$D:$D,'Adv. Filter'!$B$14)</f>
        <v>3</v>
      </c>
      <c r="AE240" s="238"/>
      <c r="AF240" s="238"/>
      <c r="AG240" s="238"/>
      <c r="AH240" s="238"/>
      <c r="AI240" s="238"/>
      <c r="AJ240" s="239"/>
      <c r="AK240" s="237">
        <f>COUNTIFS('Form Details'!$W:$W,"Due",'Form Details'!$N:$N,"Mahesh",'Form Details'!$J:$J,$C240,'Form Details'!$D:$D,'Adv. Filter'!$A$14,'Form Details'!$D:$D,'Adv. Filter'!$B$14)</f>
        <v>2</v>
      </c>
      <c r="AL240" s="238"/>
      <c r="AM240" s="238"/>
      <c r="AN240" s="238"/>
      <c r="AO240" s="238"/>
      <c r="AP240" s="238"/>
      <c r="AQ240" s="239"/>
      <c r="AR240" s="237">
        <f>COUNTIFS('Form Details'!$W:$W,"No Fee",'Form Details'!$N:$N,"Mahesh",'Form Details'!$J:$J,$C240,'Form Details'!$D:$D,'Adv. Filter'!$A$14,'Form Details'!$D:$D,'Adv. Filter'!$B$14)</f>
        <v>0</v>
      </c>
      <c r="AS240" s="238"/>
      <c r="AT240" s="238"/>
      <c r="AU240" s="238"/>
      <c r="AV240" s="238"/>
      <c r="AW240" s="238"/>
      <c r="AX240" s="239"/>
      <c r="AY240" s="237">
        <f>COUNTIFS('Form Details'!$W:$W,"Paid/Reject",'Form Details'!$N:$N,"Mahesh",'Form Details'!$J:$J,$C240,'Form Details'!$D:$D,'Adv. Filter'!$A$14,'Form Details'!$D:$D,'Adv. Filter'!$B$14)</f>
        <v>0</v>
      </c>
      <c r="AZ240" s="238"/>
      <c r="BA240" s="238"/>
      <c r="BB240" s="238"/>
      <c r="BC240" s="238"/>
      <c r="BD240" s="238"/>
      <c r="BE240" s="239"/>
      <c r="BF240" s="237">
        <f>COUNTIFS('Form Details'!$W:$W,"Staff",'Form Details'!$N:$N,"Mahesh",'Form Details'!$J:$J,$C240,'Form Details'!$D:$D,'Adv. Filter'!$A$14,'Form Details'!$D:$D,'Adv. Filter'!$B$14)</f>
        <v>0</v>
      </c>
      <c r="BG240" s="238"/>
      <c r="BH240" s="238"/>
      <c r="BI240" s="238"/>
      <c r="BJ240" s="238"/>
      <c r="BK240" s="238"/>
      <c r="BL240" s="239"/>
      <c r="BM240" s="237">
        <f>COUNTIFS('Form Details'!$W:$W,"File in Office",'Form Details'!$N:$N,"Mahesh",'Form Details'!$J:$J,$C240,'Form Details'!$D:$D,'Adv. Filter'!$A$14,'Form Details'!$D:$D,'Adv. Filter'!$B$14)</f>
        <v>0</v>
      </c>
      <c r="BN240" s="238"/>
      <c r="BO240" s="238"/>
      <c r="BP240" s="238"/>
      <c r="BQ240" s="238"/>
      <c r="BR240" s="238"/>
      <c r="BS240" s="239"/>
      <c r="BT240" s="99"/>
      <c r="BU240" s="237">
        <f>COUNTIFS('Form Details'!$AA:$AA,"No",'Form Details'!$N:$N,"Mahesh",'Form Details'!$J:$J,$C240,'Form Details'!$D:$D,'Adv. Filter'!$A$14,'Form Details'!$D:$D,'Adv. Filter'!$B$14)</f>
        <v>0</v>
      </c>
      <c r="BV240" s="238"/>
      <c r="BW240" s="238"/>
      <c r="BX240" s="238"/>
      <c r="BY240" s="238"/>
      <c r="BZ240" s="238"/>
      <c r="CA240" s="239"/>
      <c r="CB240" s="237">
        <f>COUNTIFS('Form Details'!$W:$W,"Adv/Paid",'Form Details'!$N:$N,"Mahesh",'Form Details'!$J:$J,$C240,'Form Details'!$D:$D,'Adv. Filter'!$A$14,'Form Details'!$D:$D,'Adv. Filter'!$B$14)</f>
        <v>0</v>
      </c>
      <c r="CC240" s="238"/>
      <c r="CD240" s="238"/>
      <c r="CE240" s="238"/>
      <c r="CF240" s="238"/>
      <c r="CG240" s="238"/>
      <c r="CH240" s="239"/>
      <c r="CI240" s="237">
        <f>COUNTIFS('Form Details'!$W:$W,"Adv/Paid/Reject",'Form Details'!$N:$N,"Mahesh",'Form Details'!$J:$J,$C240,'Form Details'!$D:$D,'Adv. Filter'!$A$14,'Form Details'!$D:$D,'Adv. Filter'!$B$14)</f>
        <v>0</v>
      </c>
      <c r="CJ240" s="238"/>
      <c r="CK240" s="238"/>
      <c r="CL240" s="238"/>
      <c r="CM240" s="238"/>
      <c r="CN240" s="238"/>
      <c r="CO240" s="239"/>
      <c r="CP240" s="237">
        <f>COUNTIFS('Form Details'!$W:$W,"Reject",'Form Details'!$N:$N,"Mahesh",'Form Details'!$J:$J,$C240,'Form Details'!$D:$D,'Adv. Filter'!$A$14,'Form Details'!$D:$D,'Adv. Filter'!$B$14)</f>
        <v>0</v>
      </c>
      <c r="CQ240" s="238"/>
      <c r="CR240" s="238"/>
      <c r="CS240" s="238"/>
      <c r="CT240" s="238"/>
      <c r="CU240" s="238"/>
      <c r="CV240" s="239"/>
      <c r="CW240" s="237">
        <f>COUNTIFS('Form Details'!$W:$W,"Adv/Paid/Pending",'Form Details'!$N:$N,"Mahesh",'Form Details'!$J:$J,$C240,'Form Details'!$D:$D,'Adv. Filter'!$A$14,'Form Details'!$D:$D,'Adv. Filter'!$B$14)</f>
        <v>0</v>
      </c>
      <c r="CX240" s="238"/>
      <c r="CY240" s="238"/>
      <c r="CZ240" s="238"/>
      <c r="DA240" s="238"/>
      <c r="DB240" s="238"/>
      <c r="DC240" s="239"/>
      <c r="DD240" s="237">
        <f>COUNTIFS('Form Details'!$W:$W,"Pending",'Form Details'!$N:$N,"Mahesh",'Form Details'!$J:$J,$C240,'Form Details'!$D:$D,'Adv. Filter'!$A$14,'Form Details'!$D:$D,'Adv. Filter'!$B$14)</f>
        <v>0</v>
      </c>
      <c r="DE240" s="238"/>
      <c r="DF240" s="238"/>
      <c r="DG240" s="238"/>
      <c r="DH240" s="238"/>
      <c r="DI240" s="238"/>
      <c r="DJ240" s="239"/>
      <c r="DK240" s="237">
        <f>COUNTIFS('Form Details'!$W:$W,"Adv/Paid/NoStatus",'Form Details'!$N:$N,"Mahesh",'Form Details'!$J:$J,$C240,'Form Details'!$D:$D,'Adv. Filter'!$A$14,'Form Details'!$D:$D,'Adv. Filter'!$B$14)</f>
        <v>0</v>
      </c>
      <c r="DL240" s="238"/>
      <c r="DM240" s="238"/>
      <c r="DN240" s="238"/>
      <c r="DO240" s="238"/>
      <c r="DP240" s="238"/>
      <c r="DQ240" s="239"/>
      <c r="DR240" s="237">
        <f>COUNTIFS('Form Details'!$W:$W,"No Status",'Form Details'!$N:$N,"Mahesh",'Form Details'!$J:$J,$C240,'Form Details'!$D:$D,'Adv. Filter'!$A$14,'Form Details'!$D:$D,'Adv. Filter'!$B$14)</f>
        <v>0</v>
      </c>
      <c r="DS240" s="238"/>
      <c r="DT240" s="238"/>
      <c r="DU240" s="238"/>
      <c r="DV240" s="238"/>
      <c r="DW240" s="238"/>
      <c r="DX240" s="239"/>
      <c r="DY240" s="237">
        <f>SUM(COUNTIFS('Form Details'!$W:$W,{"Wrong Entry ","Double Entry"},'Form Details'!$N:$N,"Mahesh",'Form Details'!$J:$J,$C240,'Form Details'!$D:$D,'Adv. Filter'!$A$14,'Form Details'!$D:$D,'Adv. Filter'!$B$14))</f>
        <v>0</v>
      </c>
      <c r="DZ240" s="238"/>
      <c r="EA240" s="238"/>
      <c r="EB240" s="238"/>
      <c r="EC240" s="238"/>
      <c r="ED240" s="238"/>
      <c r="EE240" s="239"/>
    </row>
    <row r="241" spans="3:135" hidden="1">
      <c r="C241" s="248" t="s">
        <v>92</v>
      </c>
      <c r="D241" s="249"/>
      <c r="E241" s="249"/>
      <c r="F241" s="249"/>
      <c r="G241" s="249"/>
      <c r="H241" s="249"/>
      <c r="I241" s="249"/>
      <c r="J241" s="249"/>
      <c r="K241" s="249"/>
      <c r="L241" s="249"/>
      <c r="M241" s="249"/>
      <c r="N241" s="249"/>
      <c r="O241" s="237">
        <f>SUM(COUNTIFS('Form Details'!$AA:$AA,{"Yes","No","-"},'Form Details'!$N:$N,"Mahesh",'Form Details'!$J:$J,$C241,'Form Details'!$D:$D,'Adv. Filter'!$A$14,'Form Details'!$D:$D,'Adv. Filter'!$B$14))</f>
        <v>0</v>
      </c>
      <c r="P241" s="238"/>
      <c r="Q241" s="238"/>
      <c r="R241" s="238"/>
      <c r="S241" s="238"/>
      <c r="T241" s="238"/>
      <c r="U241" s="239"/>
      <c r="V241" s="99"/>
      <c r="W241" s="237">
        <f>COUNTIFS('Form Details'!$AA:$AA,"Yes",'Form Details'!$N:$N,"Mahesh",'Form Details'!$J:$J,$C241,'Form Details'!$D:$D,'Adv. Filter'!$A$14,'Form Details'!$D:$D,'Adv. Filter'!$B$14)</f>
        <v>0</v>
      </c>
      <c r="X241" s="238"/>
      <c r="Y241" s="238"/>
      <c r="Z241" s="238"/>
      <c r="AA241" s="238"/>
      <c r="AB241" s="238"/>
      <c r="AC241" s="239"/>
      <c r="AD241" s="237">
        <f>COUNTIFS('Form Details'!$W:$W,"Paid",'Form Details'!$N:$N,"Mahesh",'Form Details'!$J:$J,$C241,'Form Details'!$D:$D,'Adv. Filter'!$A$14,'Form Details'!$D:$D,'Adv. Filter'!$B$14)</f>
        <v>0</v>
      </c>
      <c r="AE241" s="238"/>
      <c r="AF241" s="238"/>
      <c r="AG241" s="238"/>
      <c r="AH241" s="238"/>
      <c r="AI241" s="238"/>
      <c r="AJ241" s="239"/>
      <c r="AK241" s="237">
        <f>COUNTIFS('Form Details'!$W:$W,"Due",'Form Details'!$N:$N,"Mahesh",'Form Details'!$J:$J,$C241,'Form Details'!$D:$D,'Adv. Filter'!$A$14,'Form Details'!$D:$D,'Adv. Filter'!$B$14)</f>
        <v>0</v>
      </c>
      <c r="AL241" s="238"/>
      <c r="AM241" s="238"/>
      <c r="AN241" s="238"/>
      <c r="AO241" s="238"/>
      <c r="AP241" s="238"/>
      <c r="AQ241" s="239"/>
      <c r="AR241" s="237">
        <f>COUNTIFS('Form Details'!$W:$W,"No Fee",'Form Details'!$N:$N,"Mahesh",'Form Details'!$J:$J,$C241,'Form Details'!$D:$D,'Adv. Filter'!$A$14,'Form Details'!$D:$D,'Adv. Filter'!$B$14)</f>
        <v>0</v>
      </c>
      <c r="AS241" s="238"/>
      <c r="AT241" s="238"/>
      <c r="AU241" s="238"/>
      <c r="AV241" s="238"/>
      <c r="AW241" s="238"/>
      <c r="AX241" s="239"/>
      <c r="AY241" s="237">
        <f>COUNTIFS('Form Details'!$W:$W,"Paid/Reject",'Form Details'!$N:$N,"Mahesh",'Form Details'!$J:$J,$C241,'Form Details'!$D:$D,'Adv. Filter'!$A$14,'Form Details'!$D:$D,'Adv. Filter'!$B$14)</f>
        <v>0</v>
      </c>
      <c r="AZ241" s="238"/>
      <c r="BA241" s="238"/>
      <c r="BB241" s="238"/>
      <c r="BC241" s="238"/>
      <c r="BD241" s="238"/>
      <c r="BE241" s="239"/>
      <c r="BF241" s="237">
        <f>COUNTIFS('Form Details'!$W:$W,"Staff",'Form Details'!$N:$N,"Mahesh",'Form Details'!$J:$J,$C241,'Form Details'!$D:$D,'Adv. Filter'!$A$14,'Form Details'!$D:$D,'Adv. Filter'!$B$14)</f>
        <v>0</v>
      </c>
      <c r="BG241" s="238"/>
      <c r="BH241" s="238"/>
      <c r="BI241" s="238"/>
      <c r="BJ241" s="238"/>
      <c r="BK241" s="238"/>
      <c r="BL241" s="239"/>
      <c r="BM241" s="237">
        <f>COUNTIFS('Form Details'!$W:$W,"File in Office",'Form Details'!$N:$N,"Mahesh",'Form Details'!$J:$J,$C241,'Form Details'!$D:$D,'Adv. Filter'!$A$14,'Form Details'!$D:$D,'Adv. Filter'!$B$14)</f>
        <v>0</v>
      </c>
      <c r="BN241" s="238"/>
      <c r="BO241" s="238"/>
      <c r="BP241" s="238"/>
      <c r="BQ241" s="238"/>
      <c r="BR241" s="238"/>
      <c r="BS241" s="239"/>
      <c r="BT241" s="99"/>
      <c r="BU241" s="237">
        <f>COUNTIFS('Form Details'!$AA:$AA,"No",'Form Details'!$N:$N,"Mahesh",'Form Details'!$J:$J,$C241,'Form Details'!$D:$D,'Adv. Filter'!$A$14,'Form Details'!$D:$D,'Adv. Filter'!$B$14)</f>
        <v>0</v>
      </c>
      <c r="BV241" s="238"/>
      <c r="BW241" s="238"/>
      <c r="BX241" s="238"/>
      <c r="BY241" s="238"/>
      <c r="BZ241" s="238"/>
      <c r="CA241" s="239"/>
      <c r="CB241" s="237">
        <f>COUNTIFS('Form Details'!$W:$W,"Adv/Paid",'Form Details'!$N:$N,"Mahesh",'Form Details'!$J:$J,$C241,'Form Details'!$D:$D,'Adv. Filter'!$A$14,'Form Details'!$D:$D,'Adv. Filter'!$B$14)</f>
        <v>0</v>
      </c>
      <c r="CC241" s="238"/>
      <c r="CD241" s="238"/>
      <c r="CE241" s="238"/>
      <c r="CF241" s="238"/>
      <c r="CG241" s="238"/>
      <c r="CH241" s="239"/>
      <c r="CI241" s="237">
        <f>COUNTIFS('Form Details'!$W:$W,"Adv/Paid/Reject",'Form Details'!$N:$N,"Mahesh",'Form Details'!$J:$J,$C241,'Form Details'!$D:$D,'Adv. Filter'!$A$14,'Form Details'!$D:$D,'Adv. Filter'!$B$14)</f>
        <v>0</v>
      </c>
      <c r="CJ241" s="238"/>
      <c r="CK241" s="238"/>
      <c r="CL241" s="238"/>
      <c r="CM241" s="238"/>
      <c r="CN241" s="238"/>
      <c r="CO241" s="239"/>
      <c r="CP241" s="237">
        <f>COUNTIFS('Form Details'!$W:$W,"Reject",'Form Details'!$N:$N,"Mahesh",'Form Details'!$J:$J,$C241,'Form Details'!$D:$D,'Adv. Filter'!$A$14,'Form Details'!$D:$D,'Adv. Filter'!$B$14)</f>
        <v>0</v>
      </c>
      <c r="CQ241" s="238"/>
      <c r="CR241" s="238"/>
      <c r="CS241" s="238"/>
      <c r="CT241" s="238"/>
      <c r="CU241" s="238"/>
      <c r="CV241" s="239"/>
      <c r="CW241" s="237">
        <f>COUNTIFS('Form Details'!$W:$W,"Adv/Paid/Pending",'Form Details'!$N:$N,"Mahesh",'Form Details'!$J:$J,$C241,'Form Details'!$D:$D,'Adv. Filter'!$A$14,'Form Details'!$D:$D,'Adv. Filter'!$B$14)</f>
        <v>0</v>
      </c>
      <c r="CX241" s="238"/>
      <c r="CY241" s="238"/>
      <c r="CZ241" s="238"/>
      <c r="DA241" s="238"/>
      <c r="DB241" s="238"/>
      <c r="DC241" s="239"/>
      <c r="DD241" s="237">
        <f>COUNTIFS('Form Details'!$W:$W,"Pending",'Form Details'!$N:$N,"Mahesh",'Form Details'!$J:$J,$C241,'Form Details'!$D:$D,'Adv. Filter'!$A$14,'Form Details'!$D:$D,'Adv. Filter'!$B$14)</f>
        <v>0</v>
      </c>
      <c r="DE241" s="238"/>
      <c r="DF241" s="238"/>
      <c r="DG241" s="238"/>
      <c r="DH241" s="238"/>
      <c r="DI241" s="238"/>
      <c r="DJ241" s="239"/>
      <c r="DK241" s="237">
        <f>COUNTIFS('Form Details'!$W:$W,"Adv/Paid/NoStatus",'Form Details'!$N:$N,"Mahesh",'Form Details'!$J:$J,$C241,'Form Details'!$D:$D,'Adv. Filter'!$A$14,'Form Details'!$D:$D,'Adv. Filter'!$B$14)</f>
        <v>0</v>
      </c>
      <c r="DL241" s="238"/>
      <c r="DM241" s="238"/>
      <c r="DN241" s="238"/>
      <c r="DO241" s="238"/>
      <c r="DP241" s="238"/>
      <c r="DQ241" s="239"/>
      <c r="DR241" s="237">
        <f>COUNTIFS('Form Details'!$W:$W,"No Status",'Form Details'!$N:$N,"Mahesh",'Form Details'!$J:$J,$C241,'Form Details'!$D:$D,'Adv. Filter'!$A$14,'Form Details'!$D:$D,'Adv. Filter'!$B$14)</f>
        <v>0</v>
      </c>
      <c r="DS241" s="238"/>
      <c r="DT241" s="238"/>
      <c r="DU241" s="238"/>
      <c r="DV241" s="238"/>
      <c r="DW241" s="238"/>
      <c r="DX241" s="239"/>
      <c r="DY241" s="237">
        <f>SUM(COUNTIFS('Form Details'!$W:$W,{"Wrong Entry ","Double Entry"},'Form Details'!$N:$N,"Mahesh",'Form Details'!$J:$J,$C241,'Form Details'!$D:$D,'Adv. Filter'!$A$14,'Form Details'!$D:$D,'Adv. Filter'!$B$14))</f>
        <v>0</v>
      </c>
      <c r="DZ241" s="238"/>
      <c r="EA241" s="238"/>
      <c r="EB241" s="238"/>
      <c r="EC241" s="238"/>
      <c r="ED241" s="238"/>
      <c r="EE241" s="239"/>
    </row>
    <row r="242" spans="3:135" hidden="1">
      <c r="C242" s="248" t="s">
        <v>97</v>
      </c>
      <c r="D242" s="249"/>
      <c r="E242" s="249"/>
      <c r="F242" s="249"/>
      <c r="G242" s="249"/>
      <c r="H242" s="249"/>
      <c r="I242" s="249"/>
      <c r="J242" s="249"/>
      <c r="K242" s="249"/>
      <c r="L242" s="249"/>
      <c r="M242" s="249"/>
      <c r="N242" s="249"/>
      <c r="O242" s="237">
        <f>SUM(COUNTIFS('Form Details'!$AA:$AA,{"Yes","No","-"},'Form Details'!$N:$N,"Mahesh",'Form Details'!$J:$J,$C242,'Form Details'!$D:$D,'Adv. Filter'!$A$14,'Form Details'!$D:$D,'Adv. Filter'!$B$14))</f>
        <v>0</v>
      </c>
      <c r="P242" s="238"/>
      <c r="Q242" s="238"/>
      <c r="R242" s="238"/>
      <c r="S242" s="238"/>
      <c r="T242" s="238"/>
      <c r="U242" s="239"/>
      <c r="V242" s="99"/>
      <c r="W242" s="237">
        <f>COUNTIFS('Form Details'!$AA:$AA,"Yes",'Form Details'!$N:$N,"Mahesh",'Form Details'!$J:$J,$C242,'Form Details'!$D:$D,'Adv. Filter'!$A$14,'Form Details'!$D:$D,'Adv. Filter'!$B$14)</f>
        <v>0</v>
      </c>
      <c r="X242" s="238"/>
      <c r="Y242" s="238"/>
      <c r="Z242" s="238"/>
      <c r="AA242" s="238"/>
      <c r="AB242" s="238"/>
      <c r="AC242" s="239"/>
      <c r="AD242" s="237">
        <f>COUNTIFS('Form Details'!$W:$W,"Paid",'Form Details'!$N:$N,"Mahesh",'Form Details'!$J:$J,$C242,'Form Details'!$D:$D,'Adv. Filter'!$A$14,'Form Details'!$D:$D,'Adv. Filter'!$B$14)</f>
        <v>0</v>
      </c>
      <c r="AE242" s="238"/>
      <c r="AF242" s="238"/>
      <c r="AG242" s="238"/>
      <c r="AH242" s="238"/>
      <c r="AI242" s="238"/>
      <c r="AJ242" s="239"/>
      <c r="AK242" s="237">
        <f>COUNTIFS('Form Details'!$W:$W,"Due",'Form Details'!$N:$N,"Mahesh",'Form Details'!$J:$J,$C242,'Form Details'!$D:$D,'Adv. Filter'!$A$14,'Form Details'!$D:$D,'Adv. Filter'!$B$14)</f>
        <v>0</v>
      </c>
      <c r="AL242" s="238"/>
      <c r="AM242" s="238"/>
      <c r="AN242" s="238"/>
      <c r="AO242" s="238"/>
      <c r="AP242" s="238"/>
      <c r="AQ242" s="239"/>
      <c r="AR242" s="237">
        <f>COUNTIFS('Form Details'!$W:$W,"No Fee",'Form Details'!$N:$N,"Mahesh",'Form Details'!$J:$J,$C242,'Form Details'!$D:$D,'Adv. Filter'!$A$14,'Form Details'!$D:$D,'Adv. Filter'!$B$14)</f>
        <v>0</v>
      </c>
      <c r="AS242" s="238"/>
      <c r="AT242" s="238"/>
      <c r="AU242" s="238"/>
      <c r="AV242" s="238"/>
      <c r="AW242" s="238"/>
      <c r="AX242" s="239"/>
      <c r="AY242" s="237">
        <f>COUNTIFS('Form Details'!$W:$W,"Paid/Reject",'Form Details'!$N:$N,"Mahesh",'Form Details'!$J:$J,$C242,'Form Details'!$D:$D,'Adv. Filter'!$A$14,'Form Details'!$D:$D,'Adv. Filter'!$B$14)</f>
        <v>0</v>
      </c>
      <c r="AZ242" s="238"/>
      <c r="BA242" s="238"/>
      <c r="BB242" s="238"/>
      <c r="BC242" s="238"/>
      <c r="BD242" s="238"/>
      <c r="BE242" s="239"/>
      <c r="BF242" s="237">
        <f>COUNTIFS('Form Details'!$W:$W,"Staff",'Form Details'!$N:$N,"Mahesh",'Form Details'!$J:$J,$C242,'Form Details'!$D:$D,'Adv. Filter'!$A$14,'Form Details'!$D:$D,'Adv. Filter'!$B$14)</f>
        <v>0</v>
      </c>
      <c r="BG242" s="238"/>
      <c r="BH242" s="238"/>
      <c r="BI242" s="238"/>
      <c r="BJ242" s="238"/>
      <c r="BK242" s="238"/>
      <c r="BL242" s="239"/>
      <c r="BM242" s="237">
        <f>COUNTIFS('Form Details'!$W:$W,"File in Office",'Form Details'!$N:$N,"Mahesh",'Form Details'!$J:$J,$C242,'Form Details'!$D:$D,'Adv. Filter'!$A$14,'Form Details'!$D:$D,'Adv. Filter'!$B$14)</f>
        <v>0</v>
      </c>
      <c r="BN242" s="238"/>
      <c r="BO242" s="238"/>
      <c r="BP242" s="238"/>
      <c r="BQ242" s="238"/>
      <c r="BR242" s="238"/>
      <c r="BS242" s="239"/>
      <c r="BT242" s="99"/>
      <c r="BU242" s="237">
        <f>COUNTIFS('Form Details'!$AA:$AA,"No",'Form Details'!$N:$N,"Mahesh",'Form Details'!$J:$J,$C242,'Form Details'!$D:$D,'Adv. Filter'!$A$14,'Form Details'!$D:$D,'Adv. Filter'!$B$14)</f>
        <v>0</v>
      </c>
      <c r="BV242" s="238"/>
      <c r="BW242" s="238"/>
      <c r="BX242" s="238"/>
      <c r="BY242" s="238"/>
      <c r="BZ242" s="238"/>
      <c r="CA242" s="239"/>
      <c r="CB242" s="237">
        <f>COUNTIFS('Form Details'!$W:$W,"Adv/Paid",'Form Details'!$N:$N,"Mahesh",'Form Details'!$J:$J,$C242,'Form Details'!$D:$D,'Adv. Filter'!$A$14,'Form Details'!$D:$D,'Adv. Filter'!$B$14)</f>
        <v>0</v>
      </c>
      <c r="CC242" s="238"/>
      <c r="CD242" s="238"/>
      <c r="CE242" s="238"/>
      <c r="CF242" s="238"/>
      <c r="CG242" s="238"/>
      <c r="CH242" s="239"/>
      <c r="CI242" s="237">
        <f>COUNTIFS('Form Details'!$W:$W,"Adv/Paid/Reject",'Form Details'!$N:$N,"Mahesh",'Form Details'!$J:$J,$C242,'Form Details'!$D:$D,'Adv. Filter'!$A$14,'Form Details'!$D:$D,'Adv. Filter'!$B$14)</f>
        <v>0</v>
      </c>
      <c r="CJ242" s="238"/>
      <c r="CK242" s="238"/>
      <c r="CL242" s="238"/>
      <c r="CM242" s="238"/>
      <c r="CN242" s="238"/>
      <c r="CO242" s="239"/>
      <c r="CP242" s="237">
        <f>COUNTIFS('Form Details'!$W:$W,"Reject",'Form Details'!$N:$N,"Mahesh",'Form Details'!$J:$J,$C242,'Form Details'!$D:$D,'Adv. Filter'!$A$14,'Form Details'!$D:$D,'Adv. Filter'!$B$14)</f>
        <v>0</v>
      </c>
      <c r="CQ242" s="238"/>
      <c r="CR242" s="238"/>
      <c r="CS242" s="238"/>
      <c r="CT242" s="238"/>
      <c r="CU242" s="238"/>
      <c r="CV242" s="239"/>
      <c r="CW242" s="237">
        <f>COUNTIFS('Form Details'!$W:$W,"Adv/Paid/Pending",'Form Details'!$N:$N,"Mahesh",'Form Details'!$J:$J,$C242,'Form Details'!$D:$D,'Adv. Filter'!$A$14,'Form Details'!$D:$D,'Adv. Filter'!$B$14)</f>
        <v>0</v>
      </c>
      <c r="CX242" s="238"/>
      <c r="CY242" s="238"/>
      <c r="CZ242" s="238"/>
      <c r="DA242" s="238"/>
      <c r="DB242" s="238"/>
      <c r="DC242" s="239"/>
      <c r="DD242" s="237">
        <f>COUNTIFS('Form Details'!$W:$W,"Pending",'Form Details'!$N:$N,"Mahesh",'Form Details'!$J:$J,$C242,'Form Details'!$D:$D,'Adv. Filter'!$A$14,'Form Details'!$D:$D,'Adv. Filter'!$B$14)</f>
        <v>0</v>
      </c>
      <c r="DE242" s="238"/>
      <c r="DF242" s="238"/>
      <c r="DG242" s="238"/>
      <c r="DH242" s="238"/>
      <c r="DI242" s="238"/>
      <c r="DJ242" s="239"/>
      <c r="DK242" s="237">
        <f>COUNTIFS('Form Details'!$W:$W,"Adv/Paid/NoStatus",'Form Details'!$N:$N,"Mahesh",'Form Details'!$J:$J,$C242,'Form Details'!$D:$D,'Adv. Filter'!$A$14,'Form Details'!$D:$D,'Adv. Filter'!$B$14)</f>
        <v>0</v>
      </c>
      <c r="DL242" s="238"/>
      <c r="DM242" s="238"/>
      <c r="DN242" s="238"/>
      <c r="DO242" s="238"/>
      <c r="DP242" s="238"/>
      <c r="DQ242" s="239"/>
      <c r="DR242" s="237">
        <f>COUNTIFS('Form Details'!$W:$W,"No Status",'Form Details'!$N:$N,"Mahesh",'Form Details'!$J:$J,$C242,'Form Details'!$D:$D,'Adv. Filter'!$A$14,'Form Details'!$D:$D,'Adv. Filter'!$B$14)</f>
        <v>0</v>
      </c>
      <c r="DS242" s="238"/>
      <c r="DT242" s="238"/>
      <c r="DU242" s="238"/>
      <c r="DV242" s="238"/>
      <c r="DW242" s="238"/>
      <c r="DX242" s="239"/>
      <c r="DY242" s="237">
        <f>SUM(COUNTIFS('Form Details'!$W:$W,{"Wrong Entry ","Double Entry"},'Form Details'!$N:$N,"Mahesh",'Form Details'!$J:$J,$C242,'Form Details'!$D:$D,'Adv. Filter'!$A$14,'Form Details'!$D:$D,'Adv. Filter'!$B$14))</f>
        <v>0</v>
      </c>
      <c r="DZ242" s="238"/>
      <c r="EA242" s="238"/>
      <c r="EB242" s="238"/>
      <c r="EC242" s="238"/>
      <c r="ED242" s="238"/>
      <c r="EE242" s="239"/>
    </row>
    <row r="243" spans="3:135" ht="15" hidden="1" customHeight="1" thickBot="1">
      <c r="C243" s="248" t="s">
        <v>102</v>
      </c>
      <c r="D243" s="249"/>
      <c r="E243" s="249"/>
      <c r="F243" s="249"/>
      <c r="G243" s="249"/>
      <c r="H243" s="249"/>
      <c r="I243" s="249"/>
      <c r="J243" s="249"/>
      <c r="K243" s="249"/>
      <c r="L243" s="249"/>
      <c r="M243" s="249"/>
      <c r="N243" s="249"/>
      <c r="O243" s="237">
        <f>SUM(COUNTIFS('Form Details'!$AA:$AA,{"Yes","No","-"},'Form Details'!$N:$N,"Mahesh",'Form Details'!$J:$J,$C243,'Form Details'!$D:$D,'Adv. Filter'!$A$14,'Form Details'!$D:$D,'Adv. Filter'!$B$14))</f>
        <v>199</v>
      </c>
      <c r="P243" s="238"/>
      <c r="Q243" s="238"/>
      <c r="R243" s="238"/>
      <c r="S243" s="238"/>
      <c r="T243" s="238"/>
      <c r="U243" s="239"/>
      <c r="V243" s="99"/>
      <c r="W243" s="237">
        <f>COUNTIFS('Form Details'!$AA:$AA,"Yes",'Form Details'!$N:$N,"Mahesh",'Form Details'!$J:$J,$C243,'Form Details'!$D:$D,'Adv. Filter'!$A$14,'Form Details'!$D:$D,'Adv. Filter'!$B$14)</f>
        <v>132</v>
      </c>
      <c r="X243" s="238"/>
      <c r="Y243" s="238"/>
      <c r="Z243" s="238"/>
      <c r="AA243" s="238"/>
      <c r="AB243" s="238"/>
      <c r="AC243" s="239"/>
      <c r="AD243" s="237">
        <f>COUNTIFS('Form Details'!$W:$W,"Paid",'Form Details'!$N:$N,"Mahesh",'Form Details'!$J:$J,$C243,'Form Details'!$D:$D,'Adv. Filter'!$A$14,'Form Details'!$D:$D,'Adv. Filter'!$B$14)</f>
        <v>100</v>
      </c>
      <c r="AE243" s="238"/>
      <c r="AF243" s="238"/>
      <c r="AG243" s="238"/>
      <c r="AH243" s="238"/>
      <c r="AI243" s="238"/>
      <c r="AJ243" s="239"/>
      <c r="AK243" s="237">
        <f>COUNTIFS('Form Details'!$W:$W,"Due",'Form Details'!$N:$N,"Mahesh",'Form Details'!$J:$J,$C243,'Form Details'!$D:$D,'Adv. Filter'!$A$14,'Form Details'!$D:$D,'Adv. Filter'!$B$14)</f>
        <v>32</v>
      </c>
      <c r="AL243" s="238"/>
      <c r="AM243" s="238"/>
      <c r="AN243" s="238"/>
      <c r="AO243" s="238"/>
      <c r="AP243" s="238"/>
      <c r="AQ243" s="239"/>
      <c r="AR243" s="237">
        <f>COUNTIFS('Form Details'!$W:$W,"No Fee",'Form Details'!$N:$N,"Mahesh",'Form Details'!$J:$J,$C243,'Form Details'!$D:$D,'Adv. Filter'!$A$14,'Form Details'!$D:$D,'Adv. Filter'!$B$14)</f>
        <v>0</v>
      </c>
      <c r="AS243" s="238"/>
      <c r="AT243" s="238"/>
      <c r="AU243" s="238"/>
      <c r="AV243" s="238"/>
      <c r="AW243" s="238"/>
      <c r="AX243" s="239"/>
      <c r="AY243" s="237">
        <f>COUNTIFS('Form Details'!$W:$W,"Paid/Reject",'Form Details'!$N:$N,"Mahesh",'Form Details'!$J:$J,$C243,'Form Details'!$D:$D,'Adv. Filter'!$A$14,'Form Details'!$D:$D,'Adv. Filter'!$B$14)</f>
        <v>0</v>
      </c>
      <c r="AZ243" s="238"/>
      <c r="BA243" s="238"/>
      <c r="BB243" s="238"/>
      <c r="BC243" s="238"/>
      <c r="BD243" s="238"/>
      <c r="BE243" s="239"/>
      <c r="BF243" s="237">
        <f>COUNTIFS('Form Details'!$W:$W,"Staff",'Form Details'!$N:$N,"Mahesh",'Form Details'!$J:$J,$C243,'Form Details'!$D:$D,'Adv. Filter'!$A$14,'Form Details'!$D:$D,'Adv. Filter'!$B$14)</f>
        <v>0</v>
      </c>
      <c r="BG243" s="238"/>
      <c r="BH243" s="238"/>
      <c r="BI243" s="238"/>
      <c r="BJ243" s="238"/>
      <c r="BK243" s="238"/>
      <c r="BL243" s="239"/>
      <c r="BM243" s="237">
        <f>COUNTIFS('Form Details'!$W:$W,"File in Office",'Form Details'!$N:$N,"Mahesh",'Form Details'!$J:$J,$C243,'Form Details'!$D:$D,'Adv. Filter'!$A$14,'Form Details'!$D:$D,'Adv. Filter'!$B$14)</f>
        <v>0</v>
      </c>
      <c r="BN243" s="238"/>
      <c r="BO243" s="238"/>
      <c r="BP243" s="238"/>
      <c r="BQ243" s="238"/>
      <c r="BR243" s="238"/>
      <c r="BS243" s="239"/>
      <c r="BT243" s="99"/>
      <c r="BU243" s="237">
        <f>COUNTIFS('Form Details'!$AA:$AA,"No",'Form Details'!$N:$N,"Mahesh",'Form Details'!$J:$J,$C243,'Form Details'!$D:$D,'Adv. Filter'!$A$14,'Form Details'!$D:$D,'Adv. Filter'!$B$14)</f>
        <v>65</v>
      </c>
      <c r="BV243" s="238"/>
      <c r="BW243" s="238"/>
      <c r="BX243" s="238"/>
      <c r="BY243" s="238"/>
      <c r="BZ243" s="238"/>
      <c r="CA243" s="239"/>
      <c r="CB243" s="237">
        <f>COUNTIFS('Form Details'!$W:$W,"Adv/Paid",'Form Details'!$N:$N,"Mahesh",'Form Details'!$J:$J,$C243,'Form Details'!$D:$D,'Adv. Filter'!$A$14,'Form Details'!$D:$D,'Adv. Filter'!$B$14)</f>
        <v>22</v>
      </c>
      <c r="CC243" s="238"/>
      <c r="CD243" s="238"/>
      <c r="CE243" s="238"/>
      <c r="CF243" s="238"/>
      <c r="CG243" s="238"/>
      <c r="CH243" s="239"/>
      <c r="CI243" s="237">
        <f>COUNTIFS('Form Details'!$W:$W,"Adv/Paid/Reject",'Form Details'!$N:$N,"Mahesh",'Form Details'!$J:$J,$C243,'Form Details'!$D:$D,'Adv. Filter'!$A$14,'Form Details'!$D:$D,'Adv. Filter'!$B$14)</f>
        <v>2</v>
      </c>
      <c r="CJ243" s="238"/>
      <c r="CK243" s="238"/>
      <c r="CL243" s="238"/>
      <c r="CM243" s="238"/>
      <c r="CN243" s="238"/>
      <c r="CO243" s="239"/>
      <c r="CP243" s="237">
        <f>COUNTIFS('Form Details'!$W:$W,"Reject",'Form Details'!$N:$N,"Mahesh",'Form Details'!$J:$J,$C243,'Form Details'!$D:$D,'Adv. Filter'!$A$14,'Form Details'!$D:$D,'Adv. Filter'!$B$14)</f>
        <v>4</v>
      </c>
      <c r="CQ243" s="238"/>
      <c r="CR243" s="238"/>
      <c r="CS243" s="238"/>
      <c r="CT243" s="238"/>
      <c r="CU243" s="238"/>
      <c r="CV243" s="239"/>
      <c r="CW243" s="237">
        <f>COUNTIFS('Form Details'!$W:$W,"Adv/Paid/Pending",'Form Details'!$N:$N,"Mahesh",'Form Details'!$J:$J,$C243,'Form Details'!$D:$D,'Adv. Filter'!$A$14,'Form Details'!$D:$D,'Adv. Filter'!$B$14)</f>
        <v>1</v>
      </c>
      <c r="CX243" s="238"/>
      <c r="CY243" s="238"/>
      <c r="CZ243" s="238"/>
      <c r="DA243" s="238"/>
      <c r="DB243" s="238"/>
      <c r="DC243" s="239"/>
      <c r="DD243" s="237">
        <f>COUNTIFS('Form Details'!$W:$W,"Pending",'Form Details'!$N:$N,"Mahesh",'Form Details'!$J:$J,$C243,'Form Details'!$D:$D,'Adv. Filter'!$A$14,'Form Details'!$D:$D,'Adv. Filter'!$B$14)</f>
        <v>1</v>
      </c>
      <c r="DE243" s="238"/>
      <c r="DF243" s="238"/>
      <c r="DG243" s="238"/>
      <c r="DH243" s="238"/>
      <c r="DI243" s="238"/>
      <c r="DJ243" s="239"/>
      <c r="DK243" s="237">
        <f>COUNTIFS('Form Details'!$W:$W,"Adv/Paid/NoStatus",'Form Details'!$N:$N,"Mahesh",'Form Details'!$J:$J,$C243,'Form Details'!$D:$D,'Adv. Filter'!$A$14,'Form Details'!$D:$D,'Adv. Filter'!$B$14)</f>
        <v>3</v>
      </c>
      <c r="DL243" s="238"/>
      <c r="DM243" s="238"/>
      <c r="DN243" s="238"/>
      <c r="DO243" s="238"/>
      <c r="DP243" s="238"/>
      <c r="DQ243" s="239"/>
      <c r="DR243" s="237">
        <f>COUNTIFS('Form Details'!$W:$W,"No Status",'Form Details'!$N:$N,"Mahesh",'Form Details'!$J:$J,$C243,'Form Details'!$D:$D,'Adv. Filter'!$A$14,'Form Details'!$D:$D,'Adv. Filter'!$B$14)</f>
        <v>30</v>
      </c>
      <c r="DS243" s="238"/>
      <c r="DT243" s="238"/>
      <c r="DU243" s="238"/>
      <c r="DV243" s="238"/>
      <c r="DW243" s="238"/>
      <c r="DX243" s="239"/>
      <c r="DY243" s="237">
        <f>SUM(COUNTIFS('Form Details'!$W:$W,{"Wrong Entry ","Double Entry"},'Form Details'!$N:$N,"Mahesh",'Form Details'!$J:$J,$C243,'Form Details'!$D:$D,'Adv. Filter'!$A$14,'Form Details'!$D:$D,'Adv. Filter'!$B$14))</f>
        <v>1</v>
      </c>
      <c r="DZ243" s="238"/>
      <c r="EA243" s="238"/>
      <c r="EB243" s="238"/>
      <c r="EC243" s="238"/>
      <c r="ED243" s="238"/>
      <c r="EE243" s="239"/>
    </row>
    <row r="244" spans="3:135" ht="15" hidden="1" customHeight="1" thickBot="1">
      <c r="C244" s="248" t="s">
        <v>108</v>
      </c>
      <c r="D244" s="249"/>
      <c r="E244" s="249"/>
      <c r="F244" s="249"/>
      <c r="G244" s="249"/>
      <c r="H244" s="249"/>
      <c r="I244" s="249"/>
      <c r="J244" s="249"/>
      <c r="K244" s="249"/>
      <c r="L244" s="249"/>
      <c r="M244" s="249"/>
      <c r="N244" s="249"/>
      <c r="O244" s="240">
        <f>SUM(COUNTIFS('Form Details'!$AA:$AA,{"Yes","No","-"},'Form Details'!$N:$N,"Mahesh",'Form Details'!$J:$J,$C244,'Form Details'!$D:$D,'Adv. Filter'!$A$14,'Form Details'!$D:$D,'Adv. Filter'!$B$14))</f>
        <v>0</v>
      </c>
      <c r="P244" s="241"/>
      <c r="Q244" s="241"/>
      <c r="R244" s="241"/>
      <c r="S244" s="241"/>
      <c r="T244" s="241"/>
      <c r="U244" s="242"/>
      <c r="V244" s="99"/>
      <c r="W244" s="240">
        <f>COUNTIFS('Form Details'!$AA:$AA,"Yes",'Form Details'!$N:$N,"Mahesh",'Form Details'!$J:$J,$C244,'Form Details'!$D:$D,'Adv. Filter'!$A$14,'Form Details'!$D:$D,'Adv. Filter'!$B$14)</f>
        <v>0</v>
      </c>
      <c r="X244" s="241"/>
      <c r="Y244" s="241"/>
      <c r="Z244" s="241"/>
      <c r="AA244" s="241"/>
      <c r="AB244" s="241"/>
      <c r="AC244" s="242"/>
      <c r="AD244" s="240">
        <f>COUNTIFS('Form Details'!$W:$W,"Paid",'Form Details'!$N:$N,"Mahesh",'Form Details'!$J:$J,$C244,'Form Details'!$D:$D,'Adv. Filter'!$A$14,'Form Details'!$D:$D,'Adv. Filter'!$B$14)</f>
        <v>0</v>
      </c>
      <c r="AE244" s="241"/>
      <c r="AF244" s="241"/>
      <c r="AG244" s="241"/>
      <c r="AH244" s="241"/>
      <c r="AI244" s="241"/>
      <c r="AJ244" s="242"/>
      <c r="AK244" s="240">
        <f>COUNTIFS('Form Details'!$W:$W,"Due",'Form Details'!$N:$N,"Mahesh",'Form Details'!$J:$J,$C244,'Form Details'!$D:$D,'Adv. Filter'!$A$14,'Form Details'!$D:$D,'Adv. Filter'!$B$14)</f>
        <v>0</v>
      </c>
      <c r="AL244" s="241"/>
      <c r="AM244" s="241"/>
      <c r="AN244" s="241"/>
      <c r="AO244" s="241"/>
      <c r="AP244" s="241"/>
      <c r="AQ244" s="242"/>
      <c r="AR244" s="240">
        <f>COUNTIFS('Form Details'!$W:$W,"No Fee",'Form Details'!$N:$N,"Mahesh",'Form Details'!$J:$J,$C244,'Form Details'!$D:$D,'Adv. Filter'!$A$14,'Form Details'!$D:$D,'Adv. Filter'!$B$14)</f>
        <v>0</v>
      </c>
      <c r="AS244" s="241"/>
      <c r="AT244" s="241"/>
      <c r="AU244" s="241"/>
      <c r="AV244" s="241"/>
      <c r="AW244" s="241"/>
      <c r="AX244" s="242"/>
      <c r="AY244" s="240">
        <f>COUNTIFS('Form Details'!$W:$W,"Paid/Reject",'Form Details'!$N:$N,"Mahesh",'Form Details'!$J:$J,$C244,'Form Details'!$D:$D,'Adv. Filter'!$A$14,'Form Details'!$D:$D,'Adv. Filter'!$B$14)</f>
        <v>0</v>
      </c>
      <c r="AZ244" s="241"/>
      <c r="BA244" s="241"/>
      <c r="BB244" s="241"/>
      <c r="BC244" s="241"/>
      <c r="BD244" s="241"/>
      <c r="BE244" s="242"/>
      <c r="BF244" s="240">
        <f>COUNTIFS('Form Details'!$W:$W,"Staff",'Form Details'!$N:$N,"Mahesh",'Form Details'!$J:$J,$C244,'Form Details'!$D:$D,'Adv. Filter'!$A$14,'Form Details'!$D:$D,'Adv. Filter'!$B$14)</f>
        <v>0</v>
      </c>
      <c r="BG244" s="241"/>
      <c r="BH244" s="241"/>
      <c r="BI244" s="241"/>
      <c r="BJ244" s="241"/>
      <c r="BK244" s="241"/>
      <c r="BL244" s="242"/>
      <c r="BM244" s="240">
        <f>COUNTIFS('Form Details'!$W:$W,"File in Office",'Form Details'!$N:$N,"Mahesh",'Form Details'!$J:$J,$C244,'Form Details'!$D:$D,'Adv. Filter'!$A$14,'Form Details'!$D:$D,'Adv. Filter'!$B$14)</f>
        <v>0</v>
      </c>
      <c r="BN244" s="241"/>
      <c r="BO244" s="241"/>
      <c r="BP244" s="241"/>
      <c r="BQ244" s="241"/>
      <c r="BR244" s="241"/>
      <c r="BS244" s="242"/>
      <c r="BT244" s="99"/>
      <c r="BU244" s="240">
        <f>COUNTIFS('Form Details'!$AA:$AA,"No",'Form Details'!$N:$N,"Mahesh",'Form Details'!$J:$J,$C244,'Form Details'!$D:$D,'Adv. Filter'!$A$14,'Form Details'!$D:$D,'Adv. Filter'!$B$14)</f>
        <v>0</v>
      </c>
      <c r="BV244" s="241"/>
      <c r="BW244" s="241"/>
      <c r="BX244" s="241"/>
      <c r="BY244" s="241"/>
      <c r="BZ244" s="241"/>
      <c r="CA244" s="242"/>
      <c r="CB244" s="240">
        <f>COUNTIFS('Form Details'!$W:$W,"Adv/Paid",'Form Details'!$N:$N,"Mahesh",'Form Details'!$J:$J,$C244,'Form Details'!$D:$D,'Adv. Filter'!$A$14,'Form Details'!$D:$D,'Adv. Filter'!$B$14)</f>
        <v>0</v>
      </c>
      <c r="CC244" s="241"/>
      <c r="CD244" s="241"/>
      <c r="CE244" s="241"/>
      <c r="CF244" s="241"/>
      <c r="CG244" s="241"/>
      <c r="CH244" s="242"/>
      <c r="CI244" s="240">
        <f>COUNTIFS('Form Details'!$W:$W,"Adv/Paid/Reject",'Form Details'!$N:$N,"Mahesh",'Form Details'!$J:$J,$C244,'Form Details'!$D:$D,'Adv. Filter'!$A$14,'Form Details'!$D:$D,'Adv. Filter'!$B$14)</f>
        <v>0</v>
      </c>
      <c r="CJ244" s="241"/>
      <c r="CK244" s="241"/>
      <c r="CL244" s="241"/>
      <c r="CM244" s="241"/>
      <c r="CN244" s="241"/>
      <c r="CO244" s="242"/>
      <c r="CP244" s="240">
        <f>COUNTIFS('Form Details'!$W:$W,"Reject",'Form Details'!$N:$N,"Mahesh",'Form Details'!$J:$J,$C244,'Form Details'!$D:$D,'Adv. Filter'!$A$14,'Form Details'!$D:$D,'Adv. Filter'!$B$14)</f>
        <v>0</v>
      </c>
      <c r="CQ244" s="241"/>
      <c r="CR244" s="241"/>
      <c r="CS244" s="241"/>
      <c r="CT244" s="241"/>
      <c r="CU244" s="241"/>
      <c r="CV244" s="242"/>
      <c r="CW244" s="240">
        <f>COUNTIFS('Form Details'!$W:$W,"Adv/Paid/Pending",'Form Details'!$N:$N,"Mahesh",'Form Details'!$J:$J,$C244,'Form Details'!$D:$D,'Adv. Filter'!$A$14,'Form Details'!$D:$D,'Adv. Filter'!$B$14)</f>
        <v>0</v>
      </c>
      <c r="CX244" s="241"/>
      <c r="CY244" s="241"/>
      <c r="CZ244" s="241"/>
      <c r="DA244" s="241"/>
      <c r="DB244" s="241"/>
      <c r="DC244" s="242"/>
      <c r="DD244" s="240">
        <f>COUNTIFS('Form Details'!$W:$W,"Pending",'Form Details'!$N:$N,"Mahesh",'Form Details'!$J:$J,$C244,'Form Details'!$D:$D,'Adv. Filter'!$A$14,'Form Details'!$D:$D,'Adv. Filter'!$B$14)</f>
        <v>0</v>
      </c>
      <c r="DE244" s="241"/>
      <c r="DF244" s="241"/>
      <c r="DG244" s="241"/>
      <c r="DH244" s="241"/>
      <c r="DI244" s="241"/>
      <c r="DJ244" s="242"/>
      <c r="DK244" s="240">
        <f>COUNTIFS('Form Details'!$W:$W,"Adv/Paid/NoStatus",'Form Details'!$N:$N,"Mahesh",'Form Details'!$J:$J,$C244,'Form Details'!$D:$D,'Adv. Filter'!$A$14,'Form Details'!$D:$D,'Adv. Filter'!$B$14)</f>
        <v>0</v>
      </c>
      <c r="DL244" s="241"/>
      <c r="DM244" s="241"/>
      <c r="DN244" s="241"/>
      <c r="DO244" s="241"/>
      <c r="DP244" s="241"/>
      <c r="DQ244" s="242"/>
      <c r="DR244" s="240">
        <f>COUNTIFS('Form Details'!$W:$W,"No Status",'Form Details'!$N:$N,"Mahesh",'Form Details'!$J:$J,$C244,'Form Details'!$D:$D,'Adv. Filter'!$A$14,'Form Details'!$D:$D,'Adv. Filter'!$B$14)</f>
        <v>0</v>
      </c>
      <c r="DS244" s="241"/>
      <c r="DT244" s="241"/>
      <c r="DU244" s="241"/>
      <c r="DV244" s="241"/>
      <c r="DW244" s="241"/>
      <c r="DX244" s="242"/>
      <c r="DY244" s="240">
        <f>SUM(COUNTIFS('Form Details'!$W:$W,{"Wrong Entry ","Double Entry"},'Form Details'!$N:$N,"Mahesh",'Form Details'!$J:$J,$C244,'Form Details'!$D:$D,'Adv. Filter'!$A$14,'Form Details'!$D:$D,'Adv. Filter'!$B$14))</f>
        <v>0</v>
      </c>
      <c r="DZ244" s="241"/>
      <c r="EA244" s="241"/>
      <c r="EB244" s="241"/>
      <c r="EC244" s="241"/>
      <c r="ED244" s="241"/>
      <c r="EE244" s="242"/>
    </row>
    <row r="245" spans="3:135" ht="15.75" hidden="1" thickTop="1">
      <c r="C245" s="246" t="s">
        <v>503</v>
      </c>
      <c r="D245" s="247"/>
      <c r="E245" s="247"/>
      <c r="F245" s="247"/>
      <c r="G245" s="247"/>
      <c r="H245" s="247"/>
      <c r="I245" s="247"/>
      <c r="J245" s="247"/>
      <c r="K245" s="247"/>
      <c r="L245" s="247"/>
      <c r="M245" s="247"/>
      <c r="N245" s="247"/>
      <c r="O245" s="243">
        <f>SUM(O228:U244)</f>
        <v>476</v>
      </c>
      <c r="P245" s="244"/>
      <c r="Q245" s="244"/>
      <c r="R245" s="244"/>
      <c r="S245" s="244"/>
      <c r="T245" s="244"/>
      <c r="U245" s="244"/>
      <c r="V245" s="106"/>
      <c r="W245" s="243">
        <f>SUM(W228:AC244)</f>
        <v>328</v>
      </c>
      <c r="X245" s="244"/>
      <c r="Y245" s="244"/>
      <c r="Z245" s="244"/>
      <c r="AA245" s="244"/>
      <c r="AB245" s="244"/>
      <c r="AC245" s="244"/>
      <c r="AD245" s="243">
        <f>SUM(AD228:AJ244)</f>
        <v>214</v>
      </c>
      <c r="AE245" s="244"/>
      <c r="AF245" s="244"/>
      <c r="AG245" s="244"/>
      <c r="AH245" s="244"/>
      <c r="AI245" s="244"/>
      <c r="AJ245" s="244"/>
      <c r="AK245" s="243">
        <f>SUM(AK228:AQ244)</f>
        <v>111</v>
      </c>
      <c r="AL245" s="244"/>
      <c r="AM245" s="244"/>
      <c r="AN245" s="244"/>
      <c r="AO245" s="244"/>
      <c r="AP245" s="244"/>
      <c r="AQ245" s="244"/>
      <c r="AR245" s="243">
        <f>SUM(AR228:AX244)</f>
        <v>0</v>
      </c>
      <c r="AS245" s="244"/>
      <c r="AT245" s="244"/>
      <c r="AU245" s="244"/>
      <c r="AV245" s="244"/>
      <c r="AW245" s="244"/>
      <c r="AX245" s="244"/>
      <c r="AY245" s="243">
        <f>SUM(AY228:BE244)</f>
        <v>0</v>
      </c>
      <c r="AZ245" s="244"/>
      <c r="BA245" s="244"/>
      <c r="BB245" s="244"/>
      <c r="BC245" s="244"/>
      <c r="BD245" s="244"/>
      <c r="BE245" s="244"/>
      <c r="BF245" s="243">
        <f>SUM(BF228:BL244)</f>
        <v>0</v>
      </c>
      <c r="BG245" s="244"/>
      <c r="BH245" s="244"/>
      <c r="BI245" s="244"/>
      <c r="BJ245" s="244"/>
      <c r="BK245" s="244"/>
      <c r="BL245" s="244"/>
      <c r="BM245" s="243">
        <f>SUM(BM228:BS244)</f>
        <v>3</v>
      </c>
      <c r="BN245" s="244"/>
      <c r="BO245" s="244"/>
      <c r="BP245" s="244"/>
      <c r="BQ245" s="244"/>
      <c r="BR245" s="244"/>
      <c r="BS245" s="244"/>
      <c r="BT245" s="106"/>
      <c r="BU245" s="243">
        <f>SUM(BU228:CA244)</f>
        <v>145</v>
      </c>
      <c r="BV245" s="244"/>
      <c r="BW245" s="244"/>
      <c r="BX245" s="244"/>
      <c r="BY245" s="244"/>
      <c r="BZ245" s="244"/>
      <c r="CA245" s="244"/>
      <c r="CB245" s="243">
        <f>SUM(CB228:CH244)</f>
        <v>33</v>
      </c>
      <c r="CC245" s="244"/>
      <c r="CD245" s="244"/>
      <c r="CE245" s="244"/>
      <c r="CF245" s="244"/>
      <c r="CG245" s="244"/>
      <c r="CH245" s="244"/>
      <c r="CI245" s="243">
        <f>SUM(CI228:CO244)</f>
        <v>2</v>
      </c>
      <c r="CJ245" s="244"/>
      <c r="CK245" s="244"/>
      <c r="CL245" s="244"/>
      <c r="CM245" s="244"/>
      <c r="CN245" s="244"/>
      <c r="CO245" s="244"/>
      <c r="CP245" s="243">
        <f>SUM(CP228:CV244)</f>
        <v>9</v>
      </c>
      <c r="CQ245" s="244"/>
      <c r="CR245" s="244"/>
      <c r="CS245" s="244"/>
      <c r="CT245" s="244"/>
      <c r="CU245" s="244"/>
      <c r="CV245" s="244"/>
      <c r="CW245" s="243">
        <f>SUM(CW228:DC244)</f>
        <v>3</v>
      </c>
      <c r="CX245" s="244"/>
      <c r="CY245" s="244"/>
      <c r="CZ245" s="244"/>
      <c r="DA245" s="244"/>
      <c r="DB245" s="244"/>
      <c r="DC245" s="244"/>
      <c r="DD245" s="243">
        <f>SUM(DD228:DJ244)</f>
        <v>9</v>
      </c>
      <c r="DE245" s="244"/>
      <c r="DF245" s="244"/>
      <c r="DG245" s="244"/>
      <c r="DH245" s="244"/>
      <c r="DI245" s="244"/>
      <c r="DJ245" s="244"/>
      <c r="DK245" s="243">
        <f>SUM(DK228:DQ244)</f>
        <v>6</v>
      </c>
      <c r="DL245" s="244"/>
      <c r="DM245" s="244"/>
      <c r="DN245" s="244"/>
      <c r="DO245" s="244"/>
      <c r="DP245" s="244"/>
      <c r="DQ245" s="244"/>
      <c r="DR245" s="243">
        <f>SUM(DR228:DX244)</f>
        <v>77</v>
      </c>
      <c r="DS245" s="244"/>
      <c r="DT245" s="244"/>
      <c r="DU245" s="244"/>
      <c r="DV245" s="244"/>
      <c r="DW245" s="244"/>
      <c r="DX245" s="244"/>
      <c r="DY245" s="243">
        <f>SUM(DY228:EE244)</f>
        <v>5</v>
      </c>
      <c r="DZ245" s="244"/>
      <c r="EA245" s="244"/>
      <c r="EB245" s="244"/>
      <c r="EC245" s="244"/>
      <c r="ED245" s="244"/>
      <c r="EE245" s="244"/>
    </row>
    <row r="246" spans="3:135" hidden="1"/>
    <row r="247" spans="3:135" ht="15.75" hidden="1">
      <c r="C247" s="452" t="str">
        <f>CONCATENATE("PREVIOUS FORMS   ",TEXT('Adv. Filter'!$A$15,"( up to  DD-MMM-YY )"))</f>
        <v>PREVIOUS FORMS   ( up to  01-Jan-17 )</v>
      </c>
      <c r="D247" s="452"/>
      <c r="E247" s="452"/>
      <c r="F247" s="452"/>
      <c r="G247" s="452"/>
      <c r="H247" s="452"/>
      <c r="I247" s="452"/>
      <c r="J247" s="452"/>
      <c r="K247" s="452"/>
      <c r="L247" s="452"/>
      <c r="M247" s="452"/>
      <c r="N247" s="452"/>
      <c r="O247" s="452"/>
      <c r="P247" s="452"/>
      <c r="Q247" s="452"/>
      <c r="R247" s="452"/>
      <c r="S247" s="452"/>
      <c r="T247" s="452"/>
      <c r="U247" s="452"/>
      <c r="V247" s="452"/>
      <c r="W247" s="452"/>
      <c r="X247" s="452"/>
      <c r="Y247" s="452"/>
      <c r="Z247" s="452"/>
      <c r="AA247" s="452"/>
      <c r="AB247" s="452"/>
      <c r="AC247" s="452"/>
      <c r="AD247" s="452"/>
      <c r="AE247" s="452"/>
      <c r="AF247" s="452"/>
      <c r="AG247" s="452"/>
      <c r="AH247" s="452"/>
      <c r="AI247" s="452"/>
      <c r="AJ247" s="452"/>
      <c r="AK247" s="452"/>
      <c r="AL247" s="452"/>
      <c r="AM247" s="452"/>
      <c r="AN247" s="452"/>
      <c r="AO247" s="452"/>
      <c r="AP247" s="452"/>
      <c r="AQ247" s="452"/>
      <c r="AR247" s="452"/>
      <c r="AS247" s="452"/>
      <c r="AT247" s="452"/>
      <c r="AU247" s="452"/>
      <c r="AV247" s="452"/>
      <c r="AW247" s="452"/>
      <c r="AX247" s="452"/>
      <c r="AY247" s="452"/>
      <c r="AZ247" s="452"/>
      <c r="BA247" s="452"/>
      <c r="BB247" s="452"/>
      <c r="BC247" s="452"/>
      <c r="BD247" s="452"/>
      <c r="BE247" s="452"/>
      <c r="BF247" s="452"/>
      <c r="BG247" s="452"/>
      <c r="BH247" s="452"/>
      <c r="BI247" s="452"/>
      <c r="BJ247" s="452"/>
      <c r="BK247" s="452"/>
      <c r="BL247" s="452"/>
      <c r="BM247" s="452"/>
      <c r="BN247" s="452"/>
      <c r="BO247" s="452"/>
      <c r="BP247" s="452"/>
      <c r="BQ247" s="452"/>
      <c r="BR247" s="452"/>
      <c r="BS247" s="452"/>
      <c r="BT247" s="452"/>
      <c r="BU247" s="452"/>
      <c r="BV247" s="452"/>
      <c r="BW247" s="452"/>
      <c r="BX247" s="452"/>
      <c r="BY247" s="452"/>
      <c r="BZ247" s="452"/>
      <c r="CA247" s="452"/>
      <c r="CB247" s="452"/>
      <c r="CC247" s="452"/>
      <c r="CD247" s="452"/>
      <c r="CE247" s="452"/>
      <c r="CF247" s="452"/>
      <c r="CG247" s="452"/>
      <c r="CH247" s="452"/>
      <c r="CI247" s="452"/>
      <c r="CJ247" s="452"/>
      <c r="CK247" s="452"/>
      <c r="CL247" s="452"/>
      <c r="CM247" s="452"/>
      <c r="CN247" s="452"/>
      <c r="CO247" s="452"/>
      <c r="CP247" s="452"/>
      <c r="CQ247" s="452"/>
      <c r="CR247" s="452"/>
      <c r="CS247" s="452"/>
      <c r="CT247" s="452"/>
      <c r="CU247" s="452"/>
      <c r="CV247" s="452"/>
      <c r="CW247" s="452"/>
      <c r="CX247" s="452"/>
      <c r="CY247" s="452"/>
      <c r="CZ247" s="452"/>
      <c r="DA247" s="452"/>
      <c r="DB247" s="452"/>
      <c r="DC247" s="452"/>
      <c r="DD247" s="452"/>
      <c r="DE247" s="452"/>
      <c r="DF247" s="452"/>
      <c r="DG247" s="452"/>
      <c r="DH247" s="452"/>
      <c r="DI247" s="452"/>
      <c r="DJ247" s="452"/>
      <c r="DK247" s="452"/>
      <c r="DL247" s="452"/>
      <c r="DM247" s="452"/>
      <c r="DN247" s="452"/>
      <c r="DO247" s="452"/>
      <c r="DP247" s="452"/>
      <c r="DQ247" s="452"/>
      <c r="DR247" s="452"/>
      <c r="DS247" s="452"/>
      <c r="DT247" s="452"/>
      <c r="DU247" s="452"/>
      <c r="DV247" s="452"/>
      <c r="DW247" s="452"/>
      <c r="DX247" s="452"/>
      <c r="DY247" s="452"/>
      <c r="DZ247" s="452"/>
      <c r="EA247" s="452"/>
      <c r="EB247" s="452"/>
      <c r="EC247" s="452"/>
      <c r="ED247" s="452"/>
      <c r="EE247" s="452"/>
    </row>
    <row r="248" spans="3:135" hidden="1">
      <c r="C248" s="478" t="s">
        <v>513</v>
      </c>
      <c r="D248" s="478"/>
      <c r="E248" s="478"/>
      <c r="F248" s="478"/>
      <c r="G248" s="478"/>
      <c r="H248" s="478"/>
      <c r="I248" s="478"/>
      <c r="J248" s="478"/>
      <c r="K248" s="478"/>
      <c r="L248" s="478"/>
      <c r="M248" s="478"/>
      <c r="N248" s="478"/>
      <c r="O248" s="209" t="s">
        <v>117</v>
      </c>
      <c r="P248" s="209"/>
      <c r="Q248" s="209"/>
      <c r="R248" s="209"/>
      <c r="S248" s="209"/>
      <c r="T248" s="209"/>
      <c r="U248" s="209"/>
      <c r="W248" s="231" t="s">
        <v>511</v>
      </c>
      <c r="X248" s="232"/>
      <c r="Y248" s="232"/>
      <c r="Z248" s="232"/>
      <c r="AA248" s="232"/>
      <c r="AB248" s="232"/>
      <c r="AC248" s="232"/>
      <c r="AD248" s="232"/>
      <c r="AE248" s="232"/>
      <c r="AF248" s="232"/>
      <c r="AG248" s="232"/>
      <c r="AH248" s="232"/>
      <c r="AI248" s="232"/>
      <c r="AJ248" s="232"/>
      <c r="AK248" s="232"/>
      <c r="AL248" s="232"/>
      <c r="AM248" s="232"/>
      <c r="AN248" s="232"/>
      <c r="AO248" s="232"/>
      <c r="AP248" s="232"/>
      <c r="AQ248" s="232"/>
      <c r="AR248" s="232"/>
      <c r="AS248" s="232"/>
      <c r="AT248" s="232"/>
      <c r="AU248" s="232"/>
      <c r="AV248" s="232"/>
      <c r="AW248" s="232"/>
      <c r="AX248" s="232"/>
      <c r="AY248" s="232"/>
      <c r="AZ248" s="232"/>
      <c r="BA248" s="232"/>
      <c r="BB248" s="232"/>
      <c r="BC248" s="232"/>
      <c r="BD248" s="232"/>
      <c r="BE248" s="232"/>
      <c r="BF248" s="232"/>
      <c r="BG248" s="232"/>
      <c r="BH248" s="232"/>
      <c r="BI248" s="232"/>
      <c r="BJ248" s="232"/>
      <c r="BK248" s="232"/>
      <c r="BL248" s="232"/>
      <c r="BM248" s="232"/>
      <c r="BN248" s="232"/>
      <c r="BO248" s="232"/>
      <c r="BP248" s="232"/>
      <c r="BQ248" s="232"/>
      <c r="BR248" s="232"/>
      <c r="BS248" s="233"/>
      <c r="BU248" s="231" t="s">
        <v>571</v>
      </c>
      <c r="BV248" s="232"/>
      <c r="BW248" s="232"/>
      <c r="BX248" s="232"/>
      <c r="BY248" s="232"/>
      <c r="BZ248" s="232"/>
      <c r="CA248" s="232"/>
      <c r="CB248" s="232"/>
      <c r="CC248" s="232"/>
      <c r="CD248" s="232"/>
      <c r="CE248" s="232"/>
      <c r="CF248" s="232"/>
      <c r="CG248" s="232"/>
      <c r="CH248" s="232"/>
      <c r="CI248" s="232"/>
      <c r="CJ248" s="232"/>
      <c r="CK248" s="232"/>
      <c r="CL248" s="232"/>
      <c r="CM248" s="232"/>
      <c r="CN248" s="232"/>
      <c r="CO248" s="232"/>
      <c r="CP248" s="232"/>
      <c r="CQ248" s="232"/>
      <c r="CR248" s="232"/>
      <c r="CS248" s="232"/>
      <c r="CT248" s="232"/>
      <c r="CU248" s="232"/>
      <c r="CV248" s="232"/>
      <c r="CW248" s="232"/>
      <c r="CX248" s="232"/>
      <c r="CY248" s="232"/>
      <c r="CZ248" s="232"/>
      <c r="DA248" s="232"/>
      <c r="DB248" s="232"/>
      <c r="DC248" s="232"/>
      <c r="DD248" s="232"/>
      <c r="DE248" s="232"/>
      <c r="DF248" s="232"/>
      <c r="DG248" s="232"/>
      <c r="DH248" s="232"/>
      <c r="DI248" s="232"/>
      <c r="DJ248" s="232"/>
      <c r="DK248" s="232"/>
      <c r="DL248" s="232"/>
      <c r="DM248" s="232"/>
      <c r="DN248" s="232"/>
      <c r="DO248" s="232"/>
      <c r="DP248" s="232"/>
      <c r="DQ248" s="232"/>
      <c r="DR248" s="232"/>
      <c r="DS248" s="232"/>
      <c r="DT248" s="232"/>
      <c r="DU248" s="232"/>
      <c r="DV248" s="232"/>
      <c r="DW248" s="232"/>
      <c r="DX248" s="232"/>
      <c r="DY248" s="232"/>
      <c r="DZ248" s="232"/>
      <c r="EA248" s="232"/>
      <c r="EB248" s="232"/>
      <c r="EC248" s="232"/>
      <c r="ED248" s="232"/>
      <c r="EE248" s="233"/>
    </row>
    <row r="249" spans="3:135" hidden="1">
      <c r="C249" s="478"/>
      <c r="D249" s="478"/>
      <c r="E249" s="478"/>
      <c r="F249" s="478"/>
      <c r="G249" s="478"/>
      <c r="H249" s="478"/>
      <c r="I249" s="478"/>
      <c r="J249" s="478"/>
      <c r="K249" s="478"/>
      <c r="L249" s="478"/>
      <c r="M249" s="478"/>
      <c r="N249" s="478"/>
      <c r="O249" s="208" t="s">
        <v>569</v>
      </c>
      <c r="P249" s="208"/>
      <c r="Q249" s="208"/>
      <c r="R249" s="208"/>
      <c r="S249" s="208"/>
      <c r="T249" s="208"/>
      <c r="U249" s="208"/>
      <c r="W249" s="208" t="s">
        <v>511</v>
      </c>
      <c r="X249" s="208"/>
      <c r="Y249" s="208"/>
      <c r="Z249" s="208"/>
      <c r="AA249" s="208"/>
      <c r="AB249" s="208"/>
      <c r="AC249" s="208"/>
      <c r="AD249" s="245" t="s">
        <v>493</v>
      </c>
      <c r="AE249" s="208"/>
      <c r="AF249" s="208"/>
      <c r="AG249" s="208"/>
      <c r="AH249" s="208"/>
      <c r="AI249" s="208"/>
      <c r="AJ249" s="208"/>
      <c r="AK249" s="208" t="s">
        <v>485</v>
      </c>
      <c r="AL249" s="208"/>
      <c r="AM249" s="208"/>
      <c r="AN249" s="208"/>
      <c r="AO249" s="208"/>
      <c r="AP249" s="208"/>
      <c r="AQ249" s="208"/>
      <c r="AR249" s="208" t="s">
        <v>575</v>
      </c>
      <c r="AS249" s="208"/>
      <c r="AT249" s="208"/>
      <c r="AU249" s="208"/>
      <c r="AV249" s="208"/>
      <c r="AW249" s="208"/>
      <c r="AX249" s="208"/>
      <c r="AY249" s="208" t="s">
        <v>568</v>
      </c>
      <c r="AZ249" s="208"/>
      <c r="BA249" s="208"/>
      <c r="BB249" s="208"/>
      <c r="BC249" s="208"/>
      <c r="BD249" s="208"/>
      <c r="BE249" s="208"/>
      <c r="BF249" s="208" t="s">
        <v>492</v>
      </c>
      <c r="BG249" s="208"/>
      <c r="BH249" s="208"/>
      <c r="BI249" s="208"/>
      <c r="BJ249" s="208"/>
      <c r="BK249" s="208"/>
      <c r="BL249" s="208"/>
      <c r="BM249" s="208" t="s">
        <v>567</v>
      </c>
      <c r="BN249" s="208"/>
      <c r="BO249" s="208"/>
      <c r="BP249" s="208"/>
      <c r="BQ249" s="208"/>
      <c r="BR249" s="208"/>
      <c r="BS249" s="208"/>
      <c r="BU249" s="208" t="s">
        <v>570</v>
      </c>
      <c r="BV249" s="208"/>
      <c r="BW249" s="208"/>
      <c r="BX249" s="208"/>
      <c r="BY249" s="208"/>
      <c r="BZ249" s="208"/>
      <c r="CA249" s="208"/>
      <c r="CB249" s="208" t="s">
        <v>559</v>
      </c>
      <c r="CC249" s="208"/>
      <c r="CD249" s="208"/>
      <c r="CE249" s="208"/>
      <c r="CF249" s="208"/>
      <c r="CG249" s="208"/>
      <c r="CH249" s="208"/>
      <c r="CI249" s="208" t="s">
        <v>560</v>
      </c>
      <c r="CJ249" s="208"/>
      <c r="CK249" s="208"/>
      <c r="CL249" s="208"/>
      <c r="CM249" s="208"/>
      <c r="CN249" s="208"/>
      <c r="CO249" s="208"/>
      <c r="CP249" s="208" t="s">
        <v>561</v>
      </c>
      <c r="CQ249" s="208"/>
      <c r="CR249" s="208"/>
      <c r="CS249" s="208"/>
      <c r="CT249" s="208"/>
      <c r="CU249" s="208"/>
      <c r="CV249" s="208"/>
      <c r="CW249" s="208" t="s">
        <v>562</v>
      </c>
      <c r="CX249" s="208"/>
      <c r="CY249" s="208"/>
      <c r="CZ249" s="208"/>
      <c r="DA249" s="208"/>
      <c r="DB249" s="208"/>
      <c r="DC249" s="208"/>
      <c r="DD249" s="208" t="s">
        <v>563</v>
      </c>
      <c r="DE249" s="208"/>
      <c r="DF249" s="208"/>
      <c r="DG249" s="208"/>
      <c r="DH249" s="208"/>
      <c r="DI249" s="208"/>
      <c r="DJ249" s="208"/>
      <c r="DK249" s="208" t="s">
        <v>564</v>
      </c>
      <c r="DL249" s="208"/>
      <c r="DM249" s="208"/>
      <c r="DN249" s="208"/>
      <c r="DO249" s="208"/>
      <c r="DP249" s="208"/>
      <c r="DQ249" s="208"/>
      <c r="DR249" s="208" t="s">
        <v>565</v>
      </c>
      <c r="DS249" s="208"/>
      <c r="DT249" s="208"/>
      <c r="DU249" s="208"/>
      <c r="DV249" s="208"/>
      <c r="DW249" s="208"/>
      <c r="DX249" s="208"/>
      <c r="DY249" s="208" t="s">
        <v>566</v>
      </c>
      <c r="DZ249" s="208"/>
      <c r="EA249" s="208"/>
      <c r="EB249" s="208"/>
      <c r="EC249" s="208"/>
      <c r="ED249" s="208"/>
      <c r="EE249" s="208"/>
    </row>
    <row r="250" spans="3:135" hidden="1">
      <c r="C250" s="248" t="s">
        <v>26</v>
      </c>
      <c r="D250" s="249"/>
      <c r="E250" s="249"/>
      <c r="F250" s="249"/>
      <c r="G250" s="249"/>
      <c r="H250" s="249"/>
      <c r="I250" s="249"/>
      <c r="J250" s="249"/>
      <c r="K250" s="249"/>
      <c r="L250" s="249"/>
      <c r="M250" s="249"/>
      <c r="N250" s="249"/>
      <c r="O250" s="237">
        <f>COUNTIFS('Form Details'!$D:$D,"&lt;"&amp;'Adv. Filter'!$A$15,'Form Details'!$N:$N,"Mahesh",'Form Details'!$J:$J,$C250)</f>
        <v>0</v>
      </c>
      <c r="P250" s="238"/>
      <c r="Q250" s="238"/>
      <c r="R250" s="238"/>
      <c r="S250" s="238"/>
      <c r="T250" s="238"/>
      <c r="U250" s="239"/>
      <c r="W250" s="237">
        <f>COUNTIFS('Form Details'!$D:$D,"&lt;"&amp;'Adv. Filter'!$A$15,'Form Details'!$N:$N,"Mahesh",'Form Details'!$J:$J,$C250,'Form Details'!$AA:$AA,"Yes")</f>
        <v>0</v>
      </c>
      <c r="X250" s="238"/>
      <c r="Y250" s="238"/>
      <c r="Z250" s="238"/>
      <c r="AA250" s="238"/>
      <c r="AB250" s="238"/>
      <c r="AC250" s="239"/>
      <c r="AD250" s="237">
        <f>COUNTIFS('Form Details'!$D:$D,"&lt;"&amp;'Adv. Filter'!$A$15,'Form Details'!$N:$N,"Mahesh",'Form Details'!$J:$J,$C250,'Form Details'!$W:$W,"Paid",'Form Details'!$S:$S,'Adv. Filter'!$A$14,'Form Details'!$S:$S,'Adv. Filter'!$B$14)</f>
        <v>0</v>
      </c>
      <c r="AE250" s="238"/>
      <c r="AF250" s="238"/>
      <c r="AG250" s="238"/>
      <c r="AH250" s="238"/>
      <c r="AI250" s="238"/>
      <c r="AJ250" s="239"/>
      <c r="AK250" s="237">
        <f>COUNTIFS('Form Details'!$D:$D,"&lt;"&amp;'Adv. Filter'!$A$15,'Form Details'!$N:$N,"Mahesh",'Form Details'!$J:$J,$C250,'Form Details'!$W:$W,"Due")</f>
        <v>0</v>
      </c>
      <c r="AL250" s="238"/>
      <c r="AM250" s="238"/>
      <c r="AN250" s="238"/>
      <c r="AO250" s="238"/>
      <c r="AP250" s="238"/>
      <c r="AQ250" s="239"/>
      <c r="AR250" s="234">
        <f>COUNTIFS('Form Details'!$D:$D,"&lt;"&amp;'Adv. Filter'!$A$15,'Form Details'!$N:$N,"Mahesh",'Form Details'!$J:$J,$C250,'Form Details'!$W:$W,"No Fee")</f>
        <v>0</v>
      </c>
      <c r="AS250" s="235"/>
      <c r="AT250" s="235"/>
      <c r="AU250" s="235"/>
      <c r="AV250" s="235"/>
      <c r="AW250" s="235"/>
      <c r="AX250" s="236"/>
      <c r="AY250" s="234">
        <f>COUNTIFS('Form Details'!$D:$D,"&lt;"&amp;'Adv. Filter'!$A$15,'Form Details'!$N:$N,"Mahesh",'Form Details'!$J:$J,$C250,'Form Details'!$W:$W,"Paid/Reject")</f>
        <v>0</v>
      </c>
      <c r="AZ250" s="235"/>
      <c r="BA250" s="235"/>
      <c r="BB250" s="235"/>
      <c r="BC250" s="235"/>
      <c r="BD250" s="235"/>
      <c r="BE250" s="236"/>
      <c r="BF250" s="234">
        <f>COUNTIFS('Form Details'!$D:$D,"&lt;"&amp;'Adv. Filter'!$A$15,'Form Details'!$N:$N,"Mahesh",'Form Details'!$J:$J,$C250,'Form Details'!$W:$W,"Staff")</f>
        <v>0</v>
      </c>
      <c r="BG250" s="235"/>
      <c r="BH250" s="235"/>
      <c r="BI250" s="235"/>
      <c r="BJ250" s="235"/>
      <c r="BK250" s="235"/>
      <c r="BL250" s="236"/>
      <c r="BM250" s="234">
        <f>COUNTIFS('Form Details'!$D:$D,"&lt;"&amp;'Adv. Filter'!$A$15,'Form Details'!$N:$N,"Mahesh",'Form Details'!$J:$J,$C250,'Form Details'!$W:$W,"File In Office")</f>
        <v>0</v>
      </c>
      <c r="BN250" s="235"/>
      <c r="BO250" s="235"/>
      <c r="BP250" s="235"/>
      <c r="BQ250" s="235"/>
      <c r="BR250" s="235"/>
      <c r="BS250" s="236"/>
      <c r="BU250" s="234">
        <f>COUNTIFS('Form Details'!$D:$D,"&lt;"&amp;'Adv. Filter'!$A$15,'Form Details'!$N:$N,"Mahesh",'Form Details'!$J:$J,$C250,'Form Details'!$AA:$AA,"No")</f>
        <v>0</v>
      </c>
      <c r="BV250" s="235"/>
      <c r="BW250" s="235"/>
      <c r="BX250" s="235"/>
      <c r="BY250" s="235"/>
      <c r="BZ250" s="235"/>
      <c r="CA250" s="236"/>
      <c r="CB250" s="234">
        <f>COUNTIFS('Form Details'!$D:$D,"&lt;"&amp;'Adv. Filter'!$A$15,'Form Details'!$N:$N,"Mahesh",'Form Details'!$J:$J,$C250,'Form Details'!$W:$W,"Adv/Paid")</f>
        <v>0</v>
      </c>
      <c r="CC250" s="235"/>
      <c r="CD250" s="235"/>
      <c r="CE250" s="235"/>
      <c r="CF250" s="235"/>
      <c r="CG250" s="235"/>
      <c r="CH250" s="236"/>
      <c r="CI250" s="234">
        <f>COUNTIFS('Form Details'!$D:$D,"&lt;"&amp;'Adv. Filter'!$A$15,'Form Details'!$N:$N,"Mahesh",'Form Details'!$J:$J,$C250,'Form Details'!$W:$W,"Adv/Paid/Reject")</f>
        <v>0</v>
      </c>
      <c r="CJ250" s="235"/>
      <c r="CK250" s="235"/>
      <c r="CL250" s="235"/>
      <c r="CM250" s="235"/>
      <c r="CN250" s="235"/>
      <c r="CO250" s="236"/>
      <c r="CP250" s="234">
        <f>COUNTIFS('Form Details'!$D:$D,"&lt;"&amp;'Adv. Filter'!$A$15,'Form Details'!$N:$N,"Mahesh",'Form Details'!$J:$J,$C250,'Form Details'!$W:$W,"Reject")</f>
        <v>0</v>
      </c>
      <c r="CQ250" s="235"/>
      <c r="CR250" s="235"/>
      <c r="CS250" s="235"/>
      <c r="CT250" s="235"/>
      <c r="CU250" s="235"/>
      <c r="CV250" s="236"/>
      <c r="CW250" s="234">
        <f>COUNTIFS('Form Details'!$D:$D,"&lt;"&amp;'Adv. Filter'!$A$15,'Form Details'!$N:$N,"Mahesh",'Form Details'!$J:$J,$C250,'Form Details'!$W:$W,"Adv/Paid/Pending")</f>
        <v>0</v>
      </c>
      <c r="CX250" s="235"/>
      <c r="CY250" s="235"/>
      <c r="CZ250" s="235"/>
      <c r="DA250" s="235"/>
      <c r="DB250" s="235"/>
      <c r="DC250" s="236"/>
      <c r="DD250" s="234">
        <f>COUNTIFS('Form Details'!$D:$D,"&lt;"&amp;'Adv. Filter'!$A$15,'Form Details'!$N:$N,"Mahesh",'Form Details'!$J:$J,$C250,'Form Details'!$W:$W,"Pending")</f>
        <v>0</v>
      </c>
      <c r="DE250" s="235"/>
      <c r="DF250" s="235"/>
      <c r="DG250" s="235"/>
      <c r="DH250" s="235"/>
      <c r="DI250" s="235"/>
      <c r="DJ250" s="236"/>
      <c r="DK250" s="234">
        <f>COUNTIFS('Form Details'!$D:$D,"&lt;"&amp;'Adv. Filter'!$A$15,'Form Details'!$N:$N,"Mahesh",'Form Details'!$J:$J,$C250,'Form Details'!$W:$W,"Adv/Paid/NoStatus")</f>
        <v>0</v>
      </c>
      <c r="DL250" s="235"/>
      <c r="DM250" s="235"/>
      <c r="DN250" s="235"/>
      <c r="DO250" s="235"/>
      <c r="DP250" s="235"/>
      <c r="DQ250" s="236"/>
      <c r="DR250" s="234">
        <f>COUNTIFS('Form Details'!$D:$D,"&lt;"&amp;'Adv. Filter'!$A$15,'Form Details'!$N:$N,"Mahesh",'Form Details'!$J:$J,$C250,'Form Details'!$W:$W,"No Status")</f>
        <v>0</v>
      </c>
      <c r="DS250" s="235"/>
      <c r="DT250" s="235"/>
      <c r="DU250" s="235"/>
      <c r="DV250" s="235"/>
      <c r="DW250" s="235"/>
      <c r="DX250" s="236"/>
      <c r="DY250" s="234">
        <f>SUM(COUNTIFS('Form Details'!$D:$D,"&lt;"&amp;'Adv. Filter'!$A$15,'Form Details'!$N:$N,"Mahesh",'Form Details'!$J:$J,$C250,'Form Details'!$W:$W,{"Wrong Entry ","Double Entry"}))</f>
        <v>0</v>
      </c>
      <c r="DZ250" s="235"/>
      <c r="EA250" s="235"/>
      <c r="EB250" s="235"/>
      <c r="EC250" s="235"/>
      <c r="ED250" s="235"/>
      <c r="EE250" s="236"/>
    </row>
    <row r="251" spans="3:135" hidden="1">
      <c r="C251" s="248" t="s">
        <v>38</v>
      </c>
      <c r="D251" s="249"/>
      <c r="E251" s="249"/>
      <c r="F251" s="249"/>
      <c r="G251" s="249"/>
      <c r="H251" s="249"/>
      <c r="I251" s="249"/>
      <c r="J251" s="249"/>
      <c r="K251" s="249"/>
      <c r="L251" s="249"/>
      <c r="M251" s="249"/>
      <c r="N251" s="249"/>
      <c r="O251" s="237">
        <f>COUNTIFS('Form Details'!$D:$D,"&lt;"&amp;'Adv. Filter'!$A$15,'Form Details'!$N:$N,"Mahesh",'Form Details'!$J:$J,$C251)</f>
        <v>0</v>
      </c>
      <c r="P251" s="238"/>
      <c r="Q251" s="238"/>
      <c r="R251" s="238"/>
      <c r="S251" s="238"/>
      <c r="T251" s="238"/>
      <c r="U251" s="239"/>
      <c r="W251" s="237">
        <f>COUNTIFS('Form Details'!$D:$D,"&lt;"&amp;'Adv. Filter'!$A$15,'Form Details'!$N:$N,"Mahesh",'Form Details'!$J:$J,$C251,'Form Details'!$AA:$AA,"Yes")</f>
        <v>0</v>
      </c>
      <c r="X251" s="238"/>
      <c r="Y251" s="238"/>
      <c r="Z251" s="238"/>
      <c r="AA251" s="238"/>
      <c r="AB251" s="238"/>
      <c r="AC251" s="239"/>
      <c r="AD251" s="237">
        <f>COUNTIFS('Form Details'!$D:$D,"&lt;"&amp;'Adv. Filter'!$A$15,'Form Details'!$N:$N,"Mahesh",'Form Details'!$J:$J,$C251,'Form Details'!$W:$W,"Paid",'Form Details'!$S:$S,'Adv. Filter'!$A$14,'Form Details'!$S:$S,'Adv. Filter'!$B$14)</f>
        <v>0</v>
      </c>
      <c r="AE251" s="238"/>
      <c r="AF251" s="238"/>
      <c r="AG251" s="238"/>
      <c r="AH251" s="238"/>
      <c r="AI251" s="238"/>
      <c r="AJ251" s="239"/>
      <c r="AK251" s="237">
        <f>COUNTIFS('Form Details'!$D:$D,"&lt;"&amp;'Adv. Filter'!$A$15,'Form Details'!$N:$N,"Mahesh",'Form Details'!$J:$J,$C251,'Form Details'!$W:$W,"Due")</f>
        <v>0</v>
      </c>
      <c r="AL251" s="238"/>
      <c r="AM251" s="238"/>
      <c r="AN251" s="238"/>
      <c r="AO251" s="238"/>
      <c r="AP251" s="238"/>
      <c r="AQ251" s="239"/>
      <c r="AR251" s="237">
        <f>COUNTIFS('Form Details'!$D:$D,"&lt;"&amp;'Adv. Filter'!$A$15,'Form Details'!$N:$N,"Mahesh",'Form Details'!$J:$J,$C251,'Form Details'!$W:$W,"No Fee")</f>
        <v>0</v>
      </c>
      <c r="AS251" s="238"/>
      <c r="AT251" s="238"/>
      <c r="AU251" s="238"/>
      <c r="AV251" s="238"/>
      <c r="AW251" s="238"/>
      <c r="AX251" s="239"/>
      <c r="AY251" s="237">
        <f>COUNTIFS('Form Details'!$D:$D,"&lt;"&amp;'Adv. Filter'!$A$15,'Form Details'!$N:$N,"Mahesh",'Form Details'!$J:$J,$C251,'Form Details'!$W:$W,"Paid/Reject")</f>
        <v>0</v>
      </c>
      <c r="AZ251" s="238"/>
      <c r="BA251" s="238"/>
      <c r="BB251" s="238"/>
      <c r="BC251" s="238"/>
      <c r="BD251" s="238"/>
      <c r="BE251" s="239"/>
      <c r="BF251" s="237">
        <f>COUNTIFS('Form Details'!$D:$D,"&lt;"&amp;'Adv. Filter'!$A$15,'Form Details'!$N:$N,"Mahesh",'Form Details'!$J:$J,$C251,'Form Details'!$W:$W,"Staff")</f>
        <v>0</v>
      </c>
      <c r="BG251" s="238"/>
      <c r="BH251" s="238"/>
      <c r="BI251" s="238"/>
      <c r="BJ251" s="238"/>
      <c r="BK251" s="238"/>
      <c r="BL251" s="239"/>
      <c r="BM251" s="237">
        <f>COUNTIFS('Form Details'!$D:$D,"&lt;"&amp;'Adv. Filter'!$A$15,'Form Details'!$N:$N,"Mahesh",'Form Details'!$J:$J,$C251,'Form Details'!$W:$W,"File In Office")</f>
        <v>0</v>
      </c>
      <c r="BN251" s="238"/>
      <c r="BO251" s="238"/>
      <c r="BP251" s="238"/>
      <c r="BQ251" s="238"/>
      <c r="BR251" s="238"/>
      <c r="BS251" s="239"/>
      <c r="BU251" s="237">
        <f>COUNTIFS('Form Details'!$D:$D,"&lt;"&amp;'Adv. Filter'!$A$15,'Form Details'!$N:$N,"Mahesh",'Form Details'!$J:$J,$C251,'Form Details'!$AA:$AA,"No")</f>
        <v>0</v>
      </c>
      <c r="BV251" s="238"/>
      <c r="BW251" s="238"/>
      <c r="BX251" s="238"/>
      <c r="BY251" s="238"/>
      <c r="BZ251" s="238"/>
      <c r="CA251" s="239"/>
      <c r="CB251" s="237">
        <f>COUNTIFS('Form Details'!$D:$D,"&lt;"&amp;'Adv. Filter'!$A$15,'Form Details'!$N:$N,"Mahesh",'Form Details'!$J:$J,$C251,'Form Details'!$W:$W,"Adv/Paid")</f>
        <v>0</v>
      </c>
      <c r="CC251" s="238"/>
      <c r="CD251" s="238"/>
      <c r="CE251" s="238"/>
      <c r="CF251" s="238"/>
      <c r="CG251" s="238"/>
      <c r="CH251" s="239"/>
      <c r="CI251" s="237">
        <f>COUNTIFS('Form Details'!$D:$D,"&lt;"&amp;'Adv. Filter'!$A$15,'Form Details'!$N:$N,"Mahesh",'Form Details'!$J:$J,$C251,'Form Details'!$W:$W,"Adv/Paid/Reject")</f>
        <v>0</v>
      </c>
      <c r="CJ251" s="238"/>
      <c r="CK251" s="238"/>
      <c r="CL251" s="238"/>
      <c r="CM251" s="238"/>
      <c r="CN251" s="238"/>
      <c r="CO251" s="239"/>
      <c r="CP251" s="237">
        <f>COUNTIFS('Form Details'!$D:$D,"&lt;"&amp;'Adv. Filter'!$A$15,'Form Details'!$N:$N,"Mahesh",'Form Details'!$J:$J,$C251,'Form Details'!$W:$W,"Reject")</f>
        <v>0</v>
      </c>
      <c r="CQ251" s="238"/>
      <c r="CR251" s="238"/>
      <c r="CS251" s="238"/>
      <c r="CT251" s="238"/>
      <c r="CU251" s="238"/>
      <c r="CV251" s="239"/>
      <c r="CW251" s="237">
        <f>COUNTIFS('Form Details'!$D:$D,"&lt;"&amp;'Adv. Filter'!$A$15,'Form Details'!$N:$N,"Mahesh",'Form Details'!$J:$J,$C251,'Form Details'!$W:$W,"Adv/Paid/Pending")</f>
        <v>0</v>
      </c>
      <c r="CX251" s="238"/>
      <c r="CY251" s="238"/>
      <c r="CZ251" s="238"/>
      <c r="DA251" s="238"/>
      <c r="DB251" s="238"/>
      <c r="DC251" s="239"/>
      <c r="DD251" s="237">
        <f>COUNTIFS('Form Details'!$D:$D,"&lt;"&amp;'Adv. Filter'!$A$15,'Form Details'!$N:$N,"Mahesh",'Form Details'!$J:$J,$C251,'Form Details'!$W:$W,"Pending")</f>
        <v>0</v>
      </c>
      <c r="DE251" s="238"/>
      <c r="DF251" s="238"/>
      <c r="DG251" s="238"/>
      <c r="DH251" s="238"/>
      <c r="DI251" s="238"/>
      <c r="DJ251" s="239"/>
      <c r="DK251" s="237">
        <f>COUNTIFS('Form Details'!$D:$D,"&lt;"&amp;'Adv. Filter'!$A$15,'Form Details'!$N:$N,"Mahesh",'Form Details'!$J:$J,$C251,'Form Details'!$W:$W,"Adv/Paid/NoStatus")</f>
        <v>0</v>
      </c>
      <c r="DL251" s="238"/>
      <c r="DM251" s="238"/>
      <c r="DN251" s="238"/>
      <c r="DO251" s="238"/>
      <c r="DP251" s="238"/>
      <c r="DQ251" s="239"/>
      <c r="DR251" s="237">
        <f>COUNTIFS('Form Details'!$D:$D,"&lt;"&amp;'Adv. Filter'!$A$15,'Form Details'!$N:$N,"Mahesh",'Form Details'!$J:$J,$C251,'Form Details'!$W:$W,"No Status")</f>
        <v>0</v>
      </c>
      <c r="DS251" s="238"/>
      <c r="DT251" s="238"/>
      <c r="DU251" s="238"/>
      <c r="DV251" s="238"/>
      <c r="DW251" s="238"/>
      <c r="DX251" s="239"/>
      <c r="DY251" s="237">
        <f>SUM(COUNTIFS('Form Details'!$D:$D,"&lt;"&amp;'Adv. Filter'!$A$15,'Form Details'!$N:$N,"Mahesh",'Form Details'!$J:$J,$C251,'Form Details'!$W:$W,{"Wrong Entry ","Double Entry"}))</f>
        <v>0</v>
      </c>
      <c r="DZ251" s="238"/>
      <c r="EA251" s="238"/>
      <c r="EB251" s="238"/>
      <c r="EC251" s="238"/>
      <c r="ED251" s="238"/>
      <c r="EE251" s="239"/>
    </row>
    <row r="252" spans="3:135" hidden="1">
      <c r="C252" s="248" t="s">
        <v>49</v>
      </c>
      <c r="D252" s="249"/>
      <c r="E252" s="249"/>
      <c r="F252" s="249"/>
      <c r="G252" s="249"/>
      <c r="H252" s="249"/>
      <c r="I252" s="249"/>
      <c r="J252" s="249"/>
      <c r="K252" s="249"/>
      <c r="L252" s="249"/>
      <c r="M252" s="249"/>
      <c r="N252" s="249"/>
      <c r="O252" s="237">
        <f>COUNTIFS('Form Details'!$D:$D,"&lt;"&amp;'Adv. Filter'!$A$15,'Form Details'!$N:$N,"Mahesh",'Form Details'!$J:$J,$C252)</f>
        <v>0</v>
      </c>
      <c r="P252" s="238"/>
      <c r="Q252" s="238"/>
      <c r="R252" s="238"/>
      <c r="S252" s="238"/>
      <c r="T252" s="238"/>
      <c r="U252" s="239"/>
      <c r="W252" s="237">
        <f>COUNTIFS('Form Details'!$D:$D,"&lt;"&amp;'Adv. Filter'!$A$15,'Form Details'!$N:$N,"Mahesh",'Form Details'!$J:$J,$C252,'Form Details'!$AA:$AA,"Yes")</f>
        <v>0</v>
      </c>
      <c r="X252" s="238"/>
      <c r="Y252" s="238"/>
      <c r="Z252" s="238"/>
      <c r="AA252" s="238"/>
      <c r="AB252" s="238"/>
      <c r="AC252" s="239"/>
      <c r="AD252" s="237">
        <f>COUNTIFS('Form Details'!$D:$D,"&lt;"&amp;'Adv. Filter'!$A$15,'Form Details'!$N:$N,"Mahesh",'Form Details'!$J:$J,$C252,'Form Details'!$W:$W,"Paid",'Form Details'!$S:$S,'Adv. Filter'!$A$14,'Form Details'!$S:$S,'Adv. Filter'!$B$14)</f>
        <v>0</v>
      </c>
      <c r="AE252" s="238"/>
      <c r="AF252" s="238"/>
      <c r="AG252" s="238"/>
      <c r="AH252" s="238"/>
      <c r="AI252" s="238"/>
      <c r="AJ252" s="239"/>
      <c r="AK252" s="237">
        <f>COUNTIFS('Form Details'!$D:$D,"&lt;"&amp;'Adv. Filter'!$A$15,'Form Details'!$N:$N,"Mahesh",'Form Details'!$J:$J,$C252,'Form Details'!$W:$W,"Due")</f>
        <v>0</v>
      </c>
      <c r="AL252" s="238"/>
      <c r="AM252" s="238"/>
      <c r="AN252" s="238"/>
      <c r="AO252" s="238"/>
      <c r="AP252" s="238"/>
      <c r="AQ252" s="239"/>
      <c r="AR252" s="237">
        <f>COUNTIFS('Form Details'!$D:$D,"&lt;"&amp;'Adv. Filter'!$A$15,'Form Details'!$N:$N,"Mahesh",'Form Details'!$J:$J,$C252,'Form Details'!$W:$W,"No Fee")</f>
        <v>0</v>
      </c>
      <c r="AS252" s="238"/>
      <c r="AT252" s="238"/>
      <c r="AU252" s="238"/>
      <c r="AV252" s="238"/>
      <c r="AW252" s="238"/>
      <c r="AX252" s="239"/>
      <c r="AY252" s="237">
        <f>COUNTIFS('Form Details'!$D:$D,"&lt;"&amp;'Adv. Filter'!$A$15,'Form Details'!$N:$N,"Mahesh",'Form Details'!$J:$J,$C252,'Form Details'!$W:$W,"Paid/Reject")</f>
        <v>0</v>
      </c>
      <c r="AZ252" s="238"/>
      <c r="BA252" s="238"/>
      <c r="BB252" s="238"/>
      <c r="BC252" s="238"/>
      <c r="BD252" s="238"/>
      <c r="BE252" s="239"/>
      <c r="BF252" s="237">
        <f>COUNTIFS('Form Details'!$D:$D,"&lt;"&amp;'Adv. Filter'!$A$15,'Form Details'!$N:$N,"Mahesh",'Form Details'!$J:$J,$C252,'Form Details'!$W:$W,"Staff")</f>
        <v>0</v>
      </c>
      <c r="BG252" s="238"/>
      <c r="BH252" s="238"/>
      <c r="BI252" s="238"/>
      <c r="BJ252" s="238"/>
      <c r="BK252" s="238"/>
      <c r="BL252" s="239"/>
      <c r="BM252" s="237">
        <f>COUNTIFS('Form Details'!$D:$D,"&lt;"&amp;'Adv. Filter'!$A$15,'Form Details'!$N:$N,"Mahesh",'Form Details'!$J:$J,$C252,'Form Details'!$W:$W,"File In Office")</f>
        <v>0</v>
      </c>
      <c r="BN252" s="238"/>
      <c r="BO252" s="238"/>
      <c r="BP252" s="238"/>
      <c r="BQ252" s="238"/>
      <c r="BR252" s="238"/>
      <c r="BS252" s="239"/>
      <c r="BU252" s="237">
        <f>COUNTIFS('Form Details'!$D:$D,"&lt;"&amp;'Adv. Filter'!$A$15,'Form Details'!$N:$N,"Mahesh",'Form Details'!$J:$J,$C252,'Form Details'!$AA:$AA,"No")</f>
        <v>0</v>
      </c>
      <c r="BV252" s="238"/>
      <c r="BW252" s="238"/>
      <c r="BX252" s="238"/>
      <c r="BY252" s="238"/>
      <c r="BZ252" s="238"/>
      <c r="CA252" s="239"/>
      <c r="CB252" s="237">
        <f>COUNTIFS('Form Details'!$D:$D,"&lt;"&amp;'Adv. Filter'!$A$15,'Form Details'!$N:$N,"Mahesh",'Form Details'!$J:$J,$C252,'Form Details'!$W:$W,"Adv/Paid")</f>
        <v>0</v>
      </c>
      <c r="CC252" s="238"/>
      <c r="CD252" s="238"/>
      <c r="CE252" s="238"/>
      <c r="CF252" s="238"/>
      <c r="CG252" s="238"/>
      <c r="CH252" s="239"/>
      <c r="CI252" s="237">
        <f>COUNTIFS('Form Details'!$D:$D,"&lt;"&amp;'Adv. Filter'!$A$15,'Form Details'!$N:$N,"Mahesh",'Form Details'!$J:$J,$C252,'Form Details'!$W:$W,"Adv/Paid/Reject")</f>
        <v>0</v>
      </c>
      <c r="CJ252" s="238"/>
      <c r="CK252" s="238"/>
      <c r="CL252" s="238"/>
      <c r="CM252" s="238"/>
      <c r="CN252" s="238"/>
      <c r="CO252" s="239"/>
      <c r="CP252" s="237">
        <f>COUNTIFS('Form Details'!$D:$D,"&lt;"&amp;'Adv. Filter'!$A$15,'Form Details'!$N:$N,"Mahesh",'Form Details'!$J:$J,$C252,'Form Details'!$W:$W,"Reject")</f>
        <v>0</v>
      </c>
      <c r="CQ252" s="238"/>
      <c r="CR252" s="238"/>
      <c r="CS252" s="238"/>
      <c r="CT252" s="238"/>
      <c r="CU252" s="238"/>
      <c r="CV252" s="239"/>
      <c r="CW252" s="237">
        <f>COUNTIFS('Form Details'!$D:$D,"&lt;"&amp;'Adv. Filter'!$A$15,'Form Details'!$N:$N,"Mahesh",'Form Details'!$J:$J,$C252,'Form Details'!$W:$W,"Adv/Paid/Pending")</f>
        <v>0</v>
      </c>
      <c r="CX252" s="238"/>
      <c r="CY252" s="238"/>
      <c r="CZ252" s="238"/>
      <c r="DA252" s="238"/>
      <c r="DB252" s="238"/>
      <c r="DC252" s="239"/>
      <c r="DD252" s="237">
        <f>COUNTIFS('Form Details'!$D:$D,"&lt;"&amp;'Adv. Filter'!$A$15,'Form Details'!$N:$N,"Mahesh",'Form Details'!$J:$J,$C252,'Form Details'!$W:$W,"Pending")</f>
        <v>0</v>
      </c>
      <c r="DE252" s="238"/>
      <c r="DF252" s="238"/>
      <c r="DG252" s="238"/>
      <c r="DH252" s="238"/>
      <c r="DI252" s="238"/>
      <c r="DJ252" s="239"/>
      <c r="DK252" s="237">
        <f>COUNTIFS('Form Details'!$D:$D,"&lt;"&amp;'Adv. Filter'!$A$15,'Form Details'!$N:$N,"Mahesh",'Form Details'!$J:$J,$C252,'Form Details'!$W:$W,"Adv/Paid/NoStatus")</f>
        <v>0</v>
      </c>
      <c r="DL252" s="238"/>
      <c r="DM252" s="238"/>
      <c r="DN252" s="238"/>
      <c r="DO252" s="238"/>
      <c r="DP252" s="238"/>
      <c r="DQ252" s="239"/>
      <c r="DR252" s="237">
        <f>COUNTIFS('Form Details'!$D:$D,"&lt;"&amp;'Adv. Filter'!$A$15,'Form Details'!$N:$N,"Mahesh",'Form Details'!$J:$J,$C252,'Form Details'!$W:$W,"No Status")</f>
        <v>0</v>
      </c>
      <c r="DS252" s="238"/>
      <c r="DT252" s="238"/>
      <c r="DU252" s="238"/>
      <c r="DV252" s="238"/>
      <c r="DW252" s="238"/>
      <c r="DX252" s="239"/>
      <c r="DY252" s="237">
        <f>SUM(COUNTIFS('Form Details'!$D:$D,"&lt;"&amp;'Adv. Filter'!$A$15,'Form Details'!$N:$N,"Mahesh",'Form Details'!$J:$J,$C252,'Form Details'!$W:$W,{"Wrong Entry ","Double Entry"}))</f>
        <v>0</v>
      </c>
      <c r="DZ252" s="238"/>
      <c r="EA252" s="238"/>
      <c r="EB252" s="238"/>
      <c r="EC252" s="238"/>
      <c r="ED252" s="238"/>
      <c r="EE252" s="239"/>
    </row>
    <row r="253" spans="3:135" hidden="1">
      <c r="C253" s="248" t="s">
        <v>59</v>
      </c>
      <c r="D253" s="249"/>
      <c r="E253" s="249"/>
      <c r="F253" s="249"/>
      <c r="G253" s="249"/>
      <c r="H253" s="249"/>
      <c r="I253" s="249"/>
      <c r="J253" s="249"/>
      <c r="K253" s="249"/>
      <c r="L253" s="249"/>
      <c r="M253" s="249"/>
      <c r="N253" s="249"/>
      <c r="O253" s="237">
        <f>COUNTIFS('Form Details'!$D:$D,"&lt;"&amp;'Adv. Filter'!$A$15,'Form Details'!$N:$N,"Mahesh",'Form Details'!$J:$J,$C253)</f>
        <v>0</v>
      </c>
      <c r="P253" s="238"/>
      <c r="Q253" s="238"/>
      <c r="R253" s="238"/>
      <c r="S253" s="238"/>
      <c r="T253" s="238"/>
      <c r="U253" s="239"/>
      <c r="W253" s="237">
        <f>COUNTIFS('Form Details'!$D:$D,"&lt;"&amp;'Adv. Filter'!$A$15,'Form Details'!$N:$N,"Mahesh",'Form Details'!$J:$J,$C253,'Form Details'!$AA:$AA,"Yes")</f>
        <v>0</v>
      </c>
      <c r="X253" s="238"/>
      <c r="Y253" s="238"/>
      <c r="Z253" s="238"/>
      <c r="AA253" s="238"/>
      <c r="AB253" s="238"/>
      <c r="AC253" s="239"/>
      <c r="AD253" s="237">
        <f>COUNTIFS('Form Details'!$D:$D,"&lt;"&amp;'Adv. Filter'!$A$15,'Form Details'!$N:$N,"Mahesh",'Form Details'!$J:$J,$C253,'Form Details'!$W:$W,"Paid",'Form Details'!$S:$S,'Adv. Filter'!$A$14,'Form Details'!$S:$S,'Adv. Filter'!$B$14)</f>
        <v>0</v>
      </c>
      <c r="AE253" s="238"/>
      <c r="AF253" s="238"/>
      <c r="AG253" s="238"/>
      <c r="AH253" s="238"/>
      <c r="AI253" s="238"/>
      <c r="AJ253" s="239"/>
      <c r="AK253" s="237">
        <f>COUNTIFS('Form Details'!$D:$D,"&lt;"&amp;'Adv. Filter'!$A$15,'Form Details'!$N:$N,"Mahesh",'Form Details'!$J:$J,$C253,'Form Details'!$W:$W,"Due")</f>
        <v>0</v>
      </c>
      <c r="AL253" s="238"/>
      <c r="AM253" s="238"/>
      <c r="AN253" s="238"/>
      <c r="AO253" s="238"/>
      <c r="AP253" s="238"/>
      <c r="AQ253" s="239"/>
      <c r="AR253" s="237">
        <f>COUNTIFS('Form Details'!$D:$D,"&lt;"&amp;'Adv. Filter'!$A$15,'Form Details'!$N:$N,"Mahesh",'Form Details'!$J:$J,$C253,'Form Details'!$W:$W,"No Fee")</f>
        <v>0</v>
      </c>
      <c r="AS253" s="238"/>
      <c r="AT253" s="238"/>
      <c r="AU253" s="238"/>
      <c r="AV253" s="238"/>
      <c r="AW253" s="238"/>
      <c r="AX253" s="239"/>
      <c r="AY253" s="237">
        <f>COUNTIFS('Form Details'!$D:$D,"&lt;"&amp;'Adv. Filter'!$A$15,'Form Details'!$N:$N,"Mahesh",'Form Details'!$J:$J,$C253,'Form Details'!$W:$W,"Paid/Reject")</f>
        <v>0</v>
      </c>
      <c r="AZ253" s="238"/>
      <c r="BA253" s="238"/>
      <c r="BB253" s="238"/>
      <c r="BC253" s="238"/>
      <c r="BD253" s="238"/>
      <c r="BE253" s="239"/>
      <c r="BF253" s="237">
        <f>COUNTIFS('Form Details'!$D:$D,"&lt;"&amp;'Adv. Filter'!$A$15,'Form Details'!$N:$N,"Mahesh",'Form Details'!$J:$J,$C253,'Form Details'!$W:$W,"Staff")</f>
        <v>0</v>
      </c>
      <c r="BG253" s="238"/>
      <c r="BH253" s="238"/>
      <c r="BI253" s="238"/>
      <c r="BJ253" s="238"/>
      <c r="BK253" s="238"/>
      <c r="BL253" s="239"/>
      <c r="BM253" s="237">
        <f>COUNTIFS('Form Details'!$D:$D,"&lt;"&amp;'Adv. Filter'!$A$15,'Form Details'!$N:$N,"Mahesh",'Form Details'!$J:$J,$C253,'Form Details'!$W:$W,"File In Office")</f>
        <v>0</v>
      </c>
      <c r="BN253" s="238"/>
      <c r="BO253" s="238"/>
      <c r="BP253" s="238"/>
      <c r="BQ253" s="238"/>
      <c r="BR253" s="238"/>
      <c r="BS253" s="239"/>
      <c r="BU253" s="237">
        <f>COUNTIFS('Form Details'!$D:$D,"&lt;"&amp;'Adv. Filter'!$A$15,'Form Details'!$N:$N,"Mahesh",'Form Details'!$J:$J,$C253,'Form Details'!$AA:$AA,"No")</f>
        <v>0</v>
      </c>
      <c r="BV253" s="238"/>
      <c r="BW253" s="238"/>
      <c r="BX253" s="238"/>
      <c r="BY253" s="238"/>
      <c r="BZ253" s="238"/>
      <c r="CA253" s="239"/>
      <c r="CB253" s="237">
        <f>COUNTIFS('Form Details'!$D:$D,"&lt;"&amp;'Adv. Filter'!$A$15,'Form Details'!$N:$N,"Mahesh",'Form Details'!$J:$J,$C253,'Form Details'!$W:$W,"Adv/Paid")</f>
        <v>0</v>
      </c>
      <c r="CC253" s="238"/>
      <c r="CD253" s="238"/>
      <c r="CE253" s="238"/>
      <c r="CF253" s="238"/>
      <c r="CG253" s="238"/>
      <c r="CH253" s="239"/>
      <c r="CI253" s="237">
        <f>COUNTIFS('Form Details'!$D:$D,"&lt;"&amp;'Adv. Filter'!$A$15,'Form Details'!$N:$N,"Mahesh",'Form Details'!$J:$J,$C253,'Form Details'!$W:$W,"Adv/Paid/Reject")</f>
        <v>0</v>
      </c>
      <c r="CJ253" s="238"/>
      <c r="CK253" s="238"/>
      <c r="CL253" s="238"/>
      <c r="CM253" s="238"/>
      <c r="CN253" s="238"/>
      <c r="CO253" s="239"/>
      <c r="CP253" s="237">
        <f>COUNTIFS('Form Details'!$D:$D,"&lt;"&amp;'Adv. Filter'!$A$15,'Form Details'!$N:$N,"Mahesh",'Form Details'!$J:$J,$C253,'Form Details'!$W:$W,"Reject")</f>
        <v>0</v>
      </c>
      <c r="CQ253" s="238"/>
      <c r="CR253" s="238"/>
      <c r="CS253" s="238"/>
      <c r="CT253" s="238"/>
      <c r="CU253" s="238"/>
      <c r="CV253" s="239"/>
      <c r="CW253" s="237">
        <f>COUNTIFS('Form Details'!$D:$D,"&lt;"&amp;'Adv. Filter'!$A$15,'Form Details'!$N:$N,"Mahesh",'Form Details'!$J:$J,$C253,'Form Details'!$W:$W,"Adv/Paid/Pending")</f>
        <v>0</v>
      </c>
      <c r="CX253" s="238"/>
      <c r="CY253" s="238"/>
      <c r="CZ253" s="238"/>
      <c r="DA253" s="238"/>
      <c r="DB253" s="238"/>
      <c r="DC253" s="239"/>
      <c r="DD253" s="237">
        <f>COUNTIFS('Form Details'!$D:$D,"&lt;"&amp;'Adv. Filter'!$A$15,'Form Details'!$N:$N,"Mahesh",'Form Details'!$J:$J,$C253,'Form Details'!$W:$W,"Pending")</f>
        <v>0</v>
      </c>
      <c r="DE253" s="238"/>
      <c r="DF253" s="238"/>
      <c r="DG253" s="238"/>
      <c r="DH253" s="238"/>
      <c r="DI253" s="238"/>
      <c r="DJ253" s="239"/>
      <c r="DK253" s="237">
        <f>COUNTIFS('Form Details'!$D:$D,"&lt;"&amp;'Adv. Filter'!$A$15,'Form Details'!$N:$N,"Mahesh",'Form Details'!$J:$J,$C253,'Form Details'!$W:$W,"Adv/Paid/NoStatus")</f>
        <v>0</v>
      </c>
      <c r="DL253" s="238"/>
      <c r="DM253" s="238"/>
      <c r="DN253" s="238"/>
      <c r="DO253" s="238"/>
      <c r="DP253" s="238"/>
      <c r="DQ253" s="239"/>
      <c r="DR253" s="237">
        <f>COUNTIFS('Form Details'!$D:$D,"&lt;"&amp;'Adv. Filter'!$A$15,'Form Details'!$N:$N,"Mahesh",'Form Details'!$J:$J,$C253,'Form Details'!$W:$W,"No Status")</f>
        <v>0</v>
      </c>
      <c r="DS253" s="238"/>
      <c r="DT253" s="238"/>
      <c r="DU253" s="238"/>
      <c r="DV253" s="238"/>
      <c r="DW253" s="238"/>
      <c r="DX253" s="239"/>
      <c r="DY253" s="237">
        <f>SUM(COUNTIFS('Form Details'!$D:$D,"&lt;"&amp;'Adv. Filter'!$A$15,'Form Details'!$N:$N,"Mahesh",'Form Details'!$J:$J,$C253,'Form Details'!$W:$W,{"Wrong Entry ","Double Entry"}))</f>
        <v>0</v>
      </c>
      <c r="DZ253" s="238"/>
      <c r="EA253" s="238"/>
      <c r="EB253" s="238"/>
      <c r="EC253" s="238"/>
      <c r="ED253" s="238"/>
      <c r="EE253" s="239"/>
    </row>
    <row r="254" spans="3:135" hidden="1">
      <c r="C254" s="248" t="s">
        <v>70</v>
      </c>
      <c r="D254" s="249"/>
      <c r="E254" s="249"/>
      <c r="F254" s="249"/>
      <c r="G254" s="249"/>
      <c r="H254" s="249"/>
      <c r="I254" s="249"/>
      <c r="J254" s="249"/>
      <c r="K254" s="249"/>
      <c r="L254" s="249"/>
      <c r="M254" s="249"/>
      <c r="N254" s="249"/>
      <c r="O254" s="237">
        <f>COUNTIFS('Form Details'!$D:$D,"&lt;"&amp;'Adv. Filter'!$A$15,'Form Details'!$N:$N,"Mahesh",'Form Details'!$J:$J,$C254)</f>
        <v>0</v>
      </c>
      <c r="P254" s="238"/>
      <c r="Q254" s="238"/>
      <c r="R254" s="238"/>
      <c r="S254" s="238"/>
      <c r="T254" s="238"/>
      <c r="U254" s="239"/>
      <c r="W254" s="237">
        <f>COUNTIFS('Form Details'!$D:$D,"&lt;"&amp;'Adv. Filter'!$A$15,'Form Details'!$N:$N,"Mahesh",'Form Details'!$J:$J,$C254,'Form Details'!$AA:$AA,"Yes")</f>
        <v>0</v>
      </c>
      <c r="X254" s="238"/>
      <c r="Y254" s="238"/>
      <c r="Z254" s="238"/>
      <c r="AA254" s="238"/>
      <c r="AB254" s="238"/>
      <c r="AC254" s="239"/>
      <c r="AD254" s="237">
        <f>COUNTIFS('Form Details'!$D:$D,"&lt;"&amp;'Adv. Filter'!$A$15,'Form Details'!$N:$N,"Mahesh",'Form Details'!$J:$J,$C254,'Form Details'!$W:$W,"Paid",'Form Details'!$S:$S,'Adv. Filter'!$A$14,'Form Details'!$S:$S,'Adv. Filter'!$B$14)</f>
        <v>0</v>
      </c>
      <c r="AE254" s="238"/>
      <c r="AF254" s="238"/>
      <c r="AG254" s="238"/>
      <c r="AH254" s="238"/>
      <c r="AI254" s="238"/>
      <c r="AJ254" s="239"/>
      <c r="AK254" s="237">
        <f>COUNTIFS('Form Details'!$D:$D,"&lt;"&amp;'Adv. Filter'!$A$15,'Form Details'!$N:$N,"Mahesh",'Form Details'!$J:$J,$C254,'Form Details'!$W:$W,"Due")</f>
        <v>0</v>
      </c>
      <c r="AL254" s="238"/>
      <c r="AM254" s="238"/>
      <c r="AN254" s="238"/>
      <c r="AO254" s="238"/>
      <c r="AP254" s="238"/>
      <c r="AQ254" s="239"/>
      <c r="AR254" s="237">
        <f>COUNTIFS('Form Details'!$D:$D,"&lt;"&amp;'Adv. Filter'!$A$15,'Form Details'!$N:$N,"Mahesh",'Form Details'!$J:$J,$C254,'Form Details'!$W:$W,"No Fee")</f>
        <v>0</v>
      </c>
      <c r="AS254" s="238"/>
      <c r="AT254" s="238"/>
      <c r="AU254" s="238"/>
      <c r="AV254" s="238"/>
      <c r="AW254" s="238"/>
      <c r="AX254" s="239"/>
      <c r="AY254" s="237">
        <f>COUNTIFS('Form Details'!$D:$D,"&lt;"&amp;'Adv. Filter'!$A$15,'Form Details'!$N:$N,"Mahesh",'Form Details'!$J:$J,$C254,'Form Details'!$W:$W,"Paid/Reject")</f>
        <v>0</v>
      </c>
      <c r="AZ254" s="238"/>
      <c r="BA254" s="238"/>
      <c r="BB254" s="238"/>
      <c r="BC254" s="238"/>
      <c r="BD254" s="238"/>
      <c r="BE254" s="239"/>
      <c r="BF254" s="237">
        <f>COUNTIFS('Form Details'!$D:$D,"&lt;"&amp;'Adv. Filter'!$A$15,'Form Details'!$N:$N,"Mahesh",'Form Details'!$J:$J,$C254,'Form Details'!$W:$W,"Staff")</f>
        <v>0</v>
      </c>
      <c r="BG254" s="238"/>
      <c r="BH254" s="238"/>
      <c r="BI254" s="238"/>
      <c r="BJ254" s="238"/>
      <c r="BK254" s="238"/>
      <c r="BL254" s="239"/>
      <c r="BM254" s="237">
        <f>COUNTIFS('Form Details'!$D:$D,"&lt;"&amp;'Adv. Filter'!$A$15,'Form Details'!$N:$N,"Mahesh",'Form Details'!$J:$J,$C254,'Form Details'!$W:$W,"File In Office")</f>
        <v>0</v>
      </c>
      <c r="BN254" s="238"/>
      <c r="BO254" s="238"/>
      <c r="BP254" s="238"/>
      <c r="BQ254" s="238"/>
      <c r="BR254" s="238"/>
      <c r="BS254" s="239"/>
      <c r="BU254" s="237">
        <f>COUNTIFS('Form Details'!$D:$D,"&lt;"&amp;'Adv. Filter'!$A$15,'Form Details'!$N:$N,"Mahesh",'Form Details'!$J:$J,$C254,'Form Details'!$AA:$AA,"No")</f>
        <v>0</v>
      </c>
      <c r="BV254" s="238"/>
      <c r="BW254" s="238"/>
      <c r="BX254" s="238"/>
      <c r="BY254" s="238"/>
      <c r="BZ254" s="238"/>
      <c r="CA254" s="239"/>
      <c r="CB254" s="237">
        <f>COUNTIFS('Form Details'!$D:$D,"&lt;"&amp;'Adv. Filter'!$A$15,'Form Details'!$N:$N,"Mahesh",'Form Details'!$J:$J,$C254,'Form Details'!$W:$W,"Adv/Paid")</f>
        <v>0</v>
      </c>
      <c r="CC254" s="238"/>
      <c r="CD254" s="238"/>
      <c r="CE254" s="238"/>
      <c r="CF254" s="238"/>
      <c r="CG254" s="238"/>
      <c r="CH254" s="239"/>
      <c r="CI254" s="237">
        <f>COUNTIFS('Form Details'!$D:$D,"&lt;"&amp;'Adv. Filter'!$A$15,'Form Details'!$N:$N,"Mahesh",'Form Details'!$J:$J,$C254,'Form Details'!$W:$W,"Adv/Paid/Reject")</f>
        <v>0</v>
      </c>
      <c r="CJ254" s="238"/>
      <c r="CK254" s="238"/>
      <c r="CL254" s="238"/>
      <c r="CM254" s="238"/>
      <c r="CN254" s="238"/>
      <c r="CO254" s="239"/>
      <c r="CP254" s="237">
        <f>COUNTIFS('Form Details'!$D:$D,"&lt;"&amp;'Adv. Filter'!$A$15,'Form Details'!$N:$N,"Mahesh",'Form Details'!$J:$J,$C254,'Form Details'!$W:$W,"Reject")</f>
        <v>0</v>
      </c>
      <c r="CQ254" s="238"/>
      <c r="CR254" s="238"/>
      <c r="CS254" s="238"/>
      <c r="CT254" s="238"/>
      <c r="CU254" s="238"/>
      <c r="CV254" s="239"/>
      <c r="CW254" s="237">
        <f>COUNTIFS('Form Details'!$D:$D,"&lt;"&amp;'Adv. Filter'!$A$15,'Form Details'!$N:$N,"Mahesh",'Form Details'!$J:$J,$C254,'Form Details'!$W:$W,"Adv/Paid/Pending")</f>
        <v>0</v>
      </c>
      <c r="CX254" s="238"/>
      <c r="CY254" s="238"/>
      <c r="CZ254" s="238"/>
      <c r="DA254" s="238"/>
      <c r="DB254" s="238"/>
      <c r="DC254" s="239"/>
      <c r="DD254" s="237">
        <f>COUNTIFS('Form Details'!$D:$D,"&lt;"&amp;'Adv. Filter'!$A$15,'Form Details'!$N:$N,"Mahesh",'Form Details'!$J:$J,$C254,'Form Details'!$W:$W,"Pending")</f>
        <v>0</v>
      </c>
      <c r="DE254" s="238"/>
      <c r="DF254" s="238"/>
      <c r="DG254" s="238"/>
      <c r="DH254" s="238"/>
      <c r="DI254" s="238"/>
      <c r="DJ254" s="239"/>
      <c r="DK254" s="237">
        <f>COUNTIFS('Form Details'!$D:$D,"&lt;"&amp;'Adv. Filter'!$A$15,'Form Details'!$N:$N,"Mahesh",'Form Details'!$J:$J,$C254,'Form Details'!$W:$W,"Adv/Paid/NoStatus")</f>
        <v>0</v>
      </c>
      <c r="DL254" s="238"/>
      <c r="DM254" s="238"/>
      <c r="DN254" s="238"/>
      <c r="DO254" s="238"/>
      <c r="DP254" s="238"/>
      <c r="DQ254" s="239"/>
      <c r="DR254" s="237">
        <f>COUNTIFS('Form Details'!$D:$D,"&lt;"&amp;'Adv. Filter'!$A$15,'Form Details'!$N:$N,"Mahesh",'Form Details'!$J:$J,$C254,'Form Details'!$W:$W,"No Status")</f>
        <v>0</v>
      </c>
      <c r="DS254" s="238"/>
      <c r="DT254" s="238"/>
      <c r="DU254" s="238"/>
      <c r="DV254" s="238"/>
      <c r="DW254" s="238"/>
      <c r="DX254" s="239"/>
      <c r="DY254" s="237">
        <f>SUM(COUNTIFS('Form Details'!$D:$D,"&lt;"&amp;'Adv. Filter'!$A$15,'Form Details'!$N:$N,"Mahesh",'Form Details'!$J:$J,$C254,'Form Details'!$W:$W,{"Wrong Entry ","Double Entry"}))</f>
        <v>0</v>
      </c>
      <c r="DZ254" s="238"/>
      <c r="EA254" s="238"/>
      <c r="EB254" s="238"/>
      <c r="EC254" s="238"/>
      <c r="ED254" s="238"/>
      <c r="EE254" s="239"/>
    </row>
    <row r="255" spans="3:135" hidden="1">
      <c r="C255" s="248" t="s">
        <v>77</v>
      </c>
      <c r="D255" s="249"/>
      <c r="E255" s="249"/>
      <c r="F255" s="249"/>
      <c r="G255" s="249"/>
      <c r="H255" s="249"/>
      <c r="I255" s="249"/>
      <c r="J255" s="249"/>
      <c r="K255" s="249"/>
      <c r="L255" s="249"/>
      <c r="M255" s="249"/>
      <c r="N255" s="249"/>
      <c r="O255" s="237">
        <f>COUNTIFS('Form Details'!$D:$D,"&lt;"&amp;'Adv. Filter'!$A$15,'Form Details'!$N:$N,"Mahesh",'Form Details'!$J:$J,$C255)</f>
        <v>0</v>
      </c>
      <c r="P255" s="238"/>
      <c r="Q255" s="238"/>
      <c r="R255" s="238"/>
      <c r="S255" s="238"/>
      <c r="T255" s="238"/>
      <c r="U255" s="239"/>
      <c r="W255" s="237">
        <f>COUNTIFS('Form Details'!$D:$D,"&lt;"&amp;'Adv. Filter'!$A$15,'Form Details'!$N:$N,"Mahesh",'Form Details'!$J:$J,$C255,'Form Details'!$AA:$AA,"Yes")</f>
        <v>0</v>
      </c>
      <c r="X255" s="238"/>
      <c r="Y255" s="238"/>
      <c r="Z255" s="238"/>
      <c r="AA255" s="238"/>
      <c r="AB255" s="238"/>
      <c r="AC255" s="239"/>
      <c r="AD255" s="237">
        <f>COUNTIFS('Form Details'!$D:$D,"&lt;"&amp;'Adv. Filter'!$A$15,'Form Details'!$N:$N,"Mahesh",'Form Details'!$J:$J,$C255,'Form Details'!$W:$W,"Paid",'Form Details'!$S:$S,'Adv. Filter'!$A$14,'Form Details'!$S:$S,'Adv. Filter'!$B$14)</f>
        <v>0</v>
      </c>
      <c r="AE255" s="238"/>
      <c r="AF255" s="238"/>
      <c r="AG255" s="238"/>
      <c r="AH255" s="238"/>
      <c r="AI255" s="238"/>
      <c r="AJ255" s="239"/>
      <c r="AK255" s="237">
        <f>COUNTIFS('Form Details'!$D:$D,"&lt;"&amp;'Adv. Filter'!$A$15,'Form Details'!$N:$N,"Mahesh",'Form Details'!$J:$J,$C255,'Form Details'!$W:$W,"Due")</f>
        <v>0</v>
      </c>
      <c r="AL255" s="238"/>
      <c r="AM255" s="238"/>
      <c r="AN255" s="238"/>
      <c r="AO255" s="238"/>
      <c r="AP255" s="238"/>
      <c r="AQ255" s="239"/>
      <c r="AR255" s="237">
        <f>COUNTIFS('Form Details'!$D:$D,"&lt;"&amp;'Adv. Filter'!$A$15,'Form Details'!$N:$N,"Mahesh",'Form Details'!$J:$J,$C255,'Form Details'!$W:$W,"No Fee")</f>
        <v>0</v>
      </c>
      <c r="AS255" s="238"/>
      <c r="AT255" s="238"/>
      <c r="AU255" s="238"/>
      <c r="AV255" s="238"/>
      <c r="AW255" s="238"/>
      <c r="AX255" s="239"/>
      <c r="AY255" s="237">
        <f>COUNTIFS('Form Details'!$D:$D,"&lt;"&amp;'Adv. Filter'!$A$15,'Form Details'!$N:$N,"Mahesh",'Form Details'!$J:$J,$C255,'Form Details'!$W:$W,"Paid/Reject")</f>
        <v>0</v>
      </c>
      <c r="AZ255" s="238"/>
      <c r="BA255" s="238"/>
      <c r="BB255" s="238"/>
      <c r="BC255" s="238"/>
      <c r="BD255" s="238"/>
      <c r="BE255" s="239"/>
      <c r="BF255" s="237">
        <f>COUNTIFS('Form Details'!$D:$D,"&lt;"&amp;'Adv. Filter'!$A$15,'Form Details'!$N:$N,"Mahesh",'Form Details'!$J:$J,$C255,'Form Details'!$W:$W,"Staff")</f>
        <v>0</v>
      </c>
      <c r="BG255" s="238"/>
      <c r="BH255" s="238"/>
      <c r="BI255" s="238"/>
      <c r="BJ255" s="238"/>
      <c r="BK255" s="238"/>
      <c r="BL255" s="239"/>
      <c r="BM255" s="237">
        <f>COUNTIFS('Form Details'!$D:$D,"&lt;"&amp;'Adv. Filter'!$A$15,'Form Details'!$N:$N,"Mahesh",'Form Details'!$J:$J,$C255,'Form Details'!$W:$W,"File In Office")</f>
        <v>0</v>
      </c>
      <c r="BN255" s="238"/>
      <c r="BO255" s="238"/>
      <c r="BP255" s="238"/>
      <c r="BQ255" s="238"/>
      <c r="BR255" s="238"/>
      <c r="BS255" s="239"/>
      <c r="BU255" s="237">
        <f>COUNTIFS('Form Details'!$D:$D,"&lt;"&amp;'Adv. Filter'!$A$15,'Form Details'!$N:$N,"Mahesh",'Form Details'!$J:$J,$C255,'Form Details'!$AA:$AA,"No")</f>
        <v>0</v>
      </c>
      <c r="BV255" s="238"/>
      <c r="BW255" s="238"/>
      <c r="BX255" s="238"/>
      <c r="BY255" s="238"/>
      <c r="BZ255" s="238"/>
      <c r="CA255" s="239"/>
      <c r="CB255" s="237">
        <f>COUNTIFS('Form Details'!$D:$D,"&lt;"&amp;'Adv. Filter'!$A$15,'Form Details'!$N:$N,"Mahesh",'Form Details'!$J:$J,$C255,'Form Details'!$W:$W,"Adv/Paid")</f>
        <v>0</v>
      </c>
      <c r="CC255" s="238"/>
      <c r="CD255" s="238"/>
      <c r="CE255" s="238"/>
      <c r="CF255" s="238"/>
      <c r="CG255" s="238"/>
      <c r="CH255" s="239"/>
      <c r="CI255" s="237">
        <f>COUNTIFS('Form Details'!$D:$D,"&lt;"&amp;'Adv. Filter'!$A$15,'Form Details'!$N:$N,"Mahesh",'Form Details'!$J:$J,$C255,'Form Details'!$W:$W,"Adv/Paid/Reject")</f>
        <v>0</v>
      </c>
      <c r="CJ255" s="238"/>
      <c r="CK255" s="238"/>
      <c r="CL255" s="238"/>
      <c r="CM255" s="238"/>
      <c r="CN255" s="238"/>
      <c r="CO255" s="239"/>
      <c r="CP255" s="237">
        <f>COUNTIFS('Form Details'!$D:$D,"&lt;"&amp;'Adv. Filter'!$A$15,'Form Details'!$N:$N,"Mahesh",'Form Details'!$J:$J,$C255,'Form Details'!$W:$W,"Reject")</f>
        <v>0</v>
      </c>
      <c r="CQ255" s="238"/>
      <c r="CR255" s="238"/>
      <c r="CS255" s="238"/>
      <c r="CT255" s="238"/>
      <c r="CU255" s="238"/>
      <c r="CV255" s="239"/>
      <c r="CW255" s="237">
        <f>COUNTIFS('Form Details'!$D:$D,"&lt;"&amp;'Adv. Filter'!$A$15,'Form Details'!$N:$N,"Mahesh",'Form Details'!$J:$J,$C255,'Form Details'!$W:$W,"Adv/Paid/Pending")</f>
        <v>0</v>
      </c>
      <c r="CX255" s="238"/>
      <c r="CY255" s="238"/>
      <c r="CZ255" s="238"/>
      <c r="DA255" s="238"/>
      <c r="DB255" s="238"/>
      <c r="DC255" s="239"/>
      <c r="DD255" s="237">
        <f>COUNTIFS('Form Details'!$D:$D,"&lt;"&amp;'Adv. Filter'!$A$15,'Form Details'!$N:$N,"Mahesh",'Form Details'!$J:$J,$C255,'Form Details'!$W:$W,"Pending")</f>
        <v>0</v>
      </c>
      <c r="DE255" s="238"/>
      <c r="DF255" s="238"/>
      <c r="DG255" s="238"/>
      <c r="DH255" s="238"/>
      <c r="DI255" s="238"/>
      <c r="DJ255" s="239"/>
      <c r="DK255" s="237">
        <f>COUNTIFS('Form Details'!$D:$D,"&lt;"&amp;'Adv. Filter'!$A$15,'Form Details'!$N:$N,"Mahesh",'Form Details'!$J:$J,$C255,'Form Details'!$W:$W,"Adv/Paid/NoStatus")</f>
        <v>0</v>
      </c>
      <c r="DL255" s="238"/>
      <c r="DM255" s="238"/>
      <c r="DN255" s="238"/>
      <c r="DO255" s="238"/>
      <c r="DP255" s="238"/>
      <c r="DQ255" s="239"/>
      <c r="DR255" s="237">
        <f>COUNTIFS('Form Details'!$D:$D,"&lt;"&amp;'Adv. Filter'!$A$15,'Form Details'!$N:$N,"Mahesh",'Form Details'!$J:$J,$C255,'Form Details'!$W:$W,"No Status")</f>
        <v>0</v>
      </c>
      <c r="DS255" s="238"/>
      <c r="DT255" s="238"/>
      <c r="DU255" s="238"/>
      <c r="DV255" s="238"/>
      <c r="DW255" s="238"/>
      <c r="DX255" s="239"/>
      <c r="DY255" s="237">
        <f>SUM(COUNTIFS('Form Details'!$D:$D,"&lt;"&amp;'Adv. Filter'!$A$15,'Form Details'!$N:$N,"Mahesh",'Form Details'!$J:$J,$C255,'Form Details'!$W:$W,{"Wrong Entry ","Double Entry"}))</f>
        <v>0</v>
      </c>
      <c r="DZ255" s="238"/>
      <c r="EA255" s="238"/>
      <c r="EB255" s="238"/>
      <c r="EC255" s="238"/>
      <c r="ED255" s="238"/>
      <c r="EE255" s="239"/>
    </row>
    <row r="256" spans="3:135" hidden="1">
      <c r="C256" s="248" t="s">
        <v>138</v>
      </c>
      <c r="D256" s="249"/>
      <c r="E256" s="249"/>
      <c r="F256" s="249"/>
      <c r="G256" s="249"/>
      <c r="H256" s="249"/>
      <c r="I256" s="249"/>
      <c r="J256" s="249"/>
      <c r="K256" s="249"/>
      <c r="L256" s="249"/>
      <c r="M256" s="249"/>
      <c r="N256" s="249"/>
      <c r="O256" s="237">
        <f>COUNTIFS('Form Details'!$D:$D,"&lt;"&amp;'Adv. Filter'!$A$15,'Form Details'!$N:$N,"Mahesh",'Form Details'!$J:$J,$C256)</f>
        <v>0</v>
      </c>
      <c r="P256" s="238"/>
      <c r="Q256" s="238"/>
      <c r="R256" s="238"/>
      <c r="S256" s="238"/>
      <c r="T256" s="238"/>
      <c r="U256" s="239"/>
      <c r="W256" s="237">
        <f>COUNTIFS('Form Details'!$D:$D,"&lt;"&amp;'Adv. Filter'!$A$15,'Form Details'!$N:$N,"Mahesh",'Form Details'!$J:$J,$C256,'Form Details'!$AA:$AA,"Yes")</f>
        <v>0</v>
      </c>
      <c r="X256" s="238"/>
      <c r="Y256" s="238"/>
      <c r="Z256" s="238"/>
      <c r="AA256" s="238"/>
      <c r="AB256" s="238"/>
      <c r="AC256" s="239"/>
      <c r="AD256" s="237">
        <f>COUNTIFS('Form Details'!$D:$D,"&lt;"&amp;'Adv. Filter'!$A$15,'Form Details'!$N:$N,"Mahesh",'Form Details'!$J:$J,$C256,'Form Details'!$W:$W,"Paid",'Form Details'!$S:$S,'Adv. Filter'!$A$14,'Form Details'!$S:$S,'Adv. Filter'!$B$14)</f>
        <v>0</v>
      </c>
      <c r="AE256" s="238"/>
      <c r="AF256" s="238"/>
      <c r="AG256" s="238"/>
      <c r="AH256" s="238"/>
      <c r="AI256" s="238"/>
      <c r="AJ256" s="239"/>
      <c r="AK256" s="237">
        <f>COUNTIFS('Form Details'!$D:$D,"&lt;"&amp;'Adv. Filter'!$A$15,'Form Details'!$N:$N,"Mahesh",'Form Details'!$J:$J,$C256,'Form Details'!$W:$W,"Due")</f>
        <v>0</v>
      </c>
      <c r="AL256" s="238"/>
      <c r="AM256" s="238"/>
      <c r="AN256" s="238"/>
      <c r="AO256" s="238"/>
      <c r="AP256" s="238"/>
      <c r="AQ256" s="239"/>
      <c r="AR256" s="237">
        <f>COUNTIFS('Form Details'!$D:$D,"&lt;"&amp;'Adv. Filter'!$A$15,'Form Details'!$N:$N,"Mahesh",'Form Details'!$J:$J,$C256,'Form Details'!$W:$W,"No Fee")</f>
        <v>0</v>
      </c>
      <c r="AS256" s="238"/>
      <c r="AT256" s="238"/>
      <c r="AU256" s="238"/>
      <c r="AV256" s="238"/>
      <c r="AW256" s="238"/>
      <c r="AX256" s="239"/>
      <c r="AY256" s="237">
        <f>COUNTIFS('Form Details'!$D:$D,"&lt;"&amp;'Adv. Filter'!$A$15,'Form Details'!$N:$N,"Mahesh",'Form Details'!$J:$J,$C256,'Form Details'!$W:$W,"Paid/Reject")</f>
        <v>0</v>
      </c>
      <c r="AZ256" s="238"/>
      <c r="BA256" s="238"/>
      <c r="BB256" s="238"/>
      <c r="BC256" s="238"/>
      <c r="BD256" s="238"/>
      <c r="BE256" s="239"/>
      <c r="BF256" s="237">
        <f>COUNTIFS('Form Details'!$D:$D,"&lt;"&amp;'Adv. Filter'!$A$15,'Form Details'!$N:$N,"Mahesh",'Form Details'!$J:$J,$C256,'Form Details'!$W:$W,"Staff")</f>
        <v>0</v>
      </c>
      <c r="BG256" s="238"/>
      <c r="BH256" s="238"/>
      <c r="BI256" s="238"/>
      <c r="BJ256" s="238"/>
      <c r="BK256" s="238"/>
      <c r="BL256" s="239"/>
      <c r="BM256" s="237">
        <f>COUNTIFS('Form Details'!$D:$D,"&lt;"&amp;'Adv. Filter'!$A$15,'Form Details'!$N:$N,"Mahesh",'Form Details'!$J:$J,$C256,'Form Details'!$W:$W,"File In Office")</f>
        <v>0</v>
      </c>
      <c r="BN256" s="238"/>
      <c r="BO256" s="238"/>
      <c r="BP256" s="238"/>
      <c r="BQ256" s="238"/>
      <c r="BR256" s="238"/>
      <c r="BS256" s="239"/>
      <c r="BU256" s="237">
        <f>COUNTIFS('Form Details'!$D:$D,"&lt;"&amp;'Adv. Filter'!$A$15,'Form Details'!$N:$N,"Mahesh",'Form Details'!$J:$J,$C256,'Form Details'!$AA:$AA,"No")</f>
        <v>0</v>
      </c>
      <c r="BV256" s="238"/>
      <c r="BW256" s="238"/>
      <c r="BX256" s="238"/>
      <c r="BY256" s="238"/>
      <c r="BZ256" s="238"/>
      <c r="CA256" s="239"/>
      <c r="CB256" s="237">
        <f>COUNTIFS('Form Details'!$D:$D,"&lt;"&amp;'Adv. Filter'!$A$15,'Form Details'!$N:$N,"Mahesh",'Form Details'!$J:$J,$C256,'Form Details'!$W:$W,"Adv/Paid")</f>
        <v>0</v>
      </c>
      <c r="CC256" s="238"/>
      <c r="CD256" s="238"/>
      <c r="CE256" s="238"/>
      <c r="CF256" s="238"/>
      <c r="CG256" s="238"/>
      <c r="CH256" s="239"/>
      <c r="CI256" s="237">
        <f>COUNTIFS('Form Details'!$D:$D,"&lt;"&amp;'Adv. Filter'!$A$15,'Form Details'!$N:$N,"Mahesh",'Form Details'!$J:$J,$C256,'Form Details'!$W:$W,"Adv/Paid/Reject")</f>
        <v>0</v>
      </c>
      <c r="CJ256" s="238"/>
      <c r="CK256" s="238"/>
      <c r="CL256" s="238"/>
      <c r="CM256" s="238"/>
      <c r="CN256" s="238"/>
      <c r="CO256" s="239"/>
      <c r="CP256" s="237">
        <f>COUNTIFS('Form Details'!$D:$D,"&lt;"&amp;'Adv. Filter'!$A$15,'Form Details'!$N:$N,"Mahesh",'Form Details'!$J:$J,$C256,'Form Details'!$W:$W,"Reject")</f>
        <v>0</v>
      </c>
      <c r="CQ256" s="238"/>
      <c r="CR256" s="238"/>
      <c r="CS256" s="238"/>
      <c r="CT256" s="238"/>
      <c r="CU256" s="238"/>
      <c r="CV256" s="239"/>
      <c r="CW256" s="237">
        <f>COUNTIFS('Form Details'!$D:$D,"&lt;"&amp;'Adv. Filter'!$A$15,'Form Details'!$N:$N,"Mahesh",'Form Details'!$J:$J,$C256,'Form Details'!$W:$W,"Adv/Paid/Pending")</f>
        <v>0</v>
      </c>
      <c r="CX256" s="238"/>
      <c r="CY256" s="238"/>
      <c r="CZ256" s="238"/>
      <c r="DA256" s="238"/>
      <c r="DB256" s="238"/>
      <c r="DC256" s="239"/>
      <c r="DD256" s="237">
        <f>COUNTIFS('Form Details'!$D:$D,"&lt;"&amp;'Adv. Filter'!$A$15,'Form Details'!$N:$N,"Mahesh",'Form Details'!$J:$J,$C256,'Form Details'!$W:$W,"Pending")</f>
        <v>0</v>
      </c>
      <c r="DE256" s="238"/>
      <c r="DF256" s="238"/>
      <c r="DG256" s="238"/>
      <c r="DH256" s="238"/>
      <c r="DI256" s="238"/>
      <c r="DJ256" s="239"/>
      <c r="DK256" s="237">
        <f>COUNTIFS('Form Details'!$D:$D,"&lt;"&amp;'Adv. Filter'!$A$15,'Form Details'!$N:$N,"Mahesh",'Form Details'!$J:$J,$C256,'Form Details'!$W:$W,"Adv/Paid/NoStatus")</f>
        <v>0</v>
      </c>
      <c r="DL256" s="238"/>
      <c r="DM256" s="238"/>
      <c r="DN256" s="238"/>
      <c r="DO256" s="238"/>
      <c r="DP256" s="238"/>
      <c r="DQ256" s="239"/>
      <c r="DR256" s="237">
        <f>COUNTIFS('Form Details'!$D:$D,"&lt;"&amp;'Adv. Filter'!$A$15,'Form Details'!$N:$N,"Mahesh",'Form Details'!$J:$J,$C256,'Form Details'!$W:$W,"No Status")</f>
        <v>0</v>
      </c>
      <c r="DS256" s="238"/>
      <c r="DT256" s="238"/>
      <c r="DU256" s="238"/>
      <c r="DV256" s="238"/>
      <c r="DW256" s="238"/>
      <c r="DX256" s="239"/>
      <c r="DY256" s="237">
        <f>SUM(COUNTIFS('Form Details'!$D:$D,"&lt;"&amp;'Adv. Filter'!$A$15,'Form Details'!$N:$N,"Mahesh",'Form Details'!$J:$J,$C256,'Form Details'!$W:$W,{"Wrong Entry ","Double Entry"}))</f>
        <v>0</v>
      </c>
      <c r="DZ256" s="238"/>
      <c r="EA256" s="238"/>
      <c r="EB256" s="238"/>
      <c r="EC256" s="238"/>
      <c r="ED256" s="238"/>
      <c r="EE256" s="239"/>
    </row>
    <row r="257" spans="3:135" hidden="1">
      <c r="C257" s="248" t="s">
        <v>84</v>
      </c>
      <c r="D257" s="249"/>
      <c r="E257" s="249"/>
      <c r="F257" s="249"/>
      <c r="G257" s="249"/>
      <c r="H257" s="249"/>
      <c r="I257" s="249"/>
      <c r="J257" s="249"/>
      <c r="K257" s="249"/>
      <c r="L257" s="249"/>
      <c r="M257" s="249"/>
      <c r="N257" s="249"/>
      <c r="O257" s="237">
        <f>COUNTIFS('Form Details'!$D:$D,"&lt;"&amp;'Adv. Filter'!$A$15,'Form Details'!$N:$N,"Mahesh",'Form Details'!$J:$J,$C257)</f>
        <v>0</v>
      </c>
      <c r="P257" s="238"/>
      <c r="Q257" s="238"/>
      <c r="R257" s="238"/>
      <c r="S257" s="238"/>
      <c r="T257" s="238"/>
      <c r="U257" s="239"/>
      <c r="W257" s="237">
        <f>COUNTIFS('Form Details'!$D:$D,"&lt;"&amp;'Adv. Filter'!$A$15,'Form Details'!$N:$N,"Mahesh",'Form Details'!$J:$J,$C257,'Form Details'!$AA:$AA,"Yes")</f>
        <v>0</v>
      </c>
      <c r="X257" s="238"/>
      <c r="Y257" s="238"/>
      <c r="Z257" s="238"/>
      <c r="AA257" s="238"/>
      <c r="AB257" s="238"/>
      <c r="AC257" s="239"/>
      <c r="AD257" s="237">
        <f>COUNTIFS('Form Details'!$D:$D,"&lt;"&amp;'Adv. Filter'!$A$15,'Form Details'!$N:$N,"Mahesh",'Form Details'!$J:$J,$C257,'Form Details'!$W:$W,"Paid",'Form Details'!$S:$S,'Adv. Filter'!$A$14,'Form Details'!$S:$S,'Adv. Filter'!$B$14)</f>
        <v>0</v>
      </c>
      <c r="AE257" s="238"/>
      <c r="AF257" s="238"/>
      <c r="AG257" s="238"/>
      <c r="AH257" s="238"/>
      <c r="AI257" s="238"/>
      <c r="AJ257" s="239"/>
      <c r="AK257" s="237">
        <f>COUNTIFS('Form Details'!$D:$D,"&lt;"&amp;'Adv. Filter'!$A$15,'Form Details'!$N:$N,"Mahesh",'Form Details'!$J:$J,$C257,'Form Details'!$W:$W,"Due")</f>
        <v>0</v>
      </c>
      <c r="AL257" s="238"/>
      <c r="AM257" s="238"/>
      <c r="AN257" s="238"/>
      <c r="AO257" s="238"/>
      <c r="AP257" s="238"/>
      <c r="AQ257" s="239"/>
      <c r="AR257" s="237">
        <f>COUNTIFS('Form Details'!$D:$D,"&lt;"&amp;'Adv. Filter'!$A$15,'Form Details'!$N:$N,"Mahesh",'Form Details'!$J:$J,$C257,'Form Details'!$W:$W,"No Fee")</f>
        <v>0</v>
      </c>
      <c r="AS257" s="238"/>
      <c r="AT257" s="238"/>
      <c r="AU257" s="238"/>
      <c r="AV257" s="238"/>
      <c r="AW257" s="238"/>
      <c r="AX257" s="239"/>
      <c r="AY257" s="237">
        <f>COUNTIFS('Form Details'!$D:$D,"&lt;"&amp;'Adv. Filter'!$A$15,'Form Details'!$N:$N,"Mahesh",'Form Details'!$J:$J,$C257,'Form Details'!$W:$W,"Paid/Reject")</f>
        <v>0</v>
      </c>
      <c r="AZ257" s="238"/>
      <c r="BA257" s="238"/>
      <c r="BB257" s="238"/>
      <c r="BC257" s="238"/>
      <c r="BD257" s="238"/>
      <c r="BE257" s="239"/>
      <c r="BF257" s="237">
        <f>COUNTIFS('Form Details'!$D:$D,"&lt;"&amp;'Adv. Filter'!$A$15,'Form Details'!$N:$N,"Mahesh",'Form Details'!$J:$J,$C257,'Form Details'!$W:$W,"Staff")</f>
        <v>0</v>
      </c>
      <c r="BG257" s="238"/>
      <c r="BH257" s="238"/>
      <c r="BI257" s="238"/>
      <c r="BJ257" s="238"/>
      <c r="BK257" s="238"/>
      <c r="BL257" s="239"/>
      <c r="BM257" s="237">
        <f>COUNTIFS('Form Details'!$D:$D,"&lt;"&amp;'Adv. Filter'!$A$15,'Form Details'!$N:$N,"Mahesh",'Form Details'!$J:$J,$C257,'Form Details'!$W:$W,"File In Office")</f>
        <v>0</v>
      </c>
      <c r="BN257" s="238"/>
      <c r="BO257" s="238"/>
      <c r="BP257" s="238"/>
      <c r="BQ257" s="238"/>
      <c r="BR257" s="238"/>
      <c r="BS257" s="239"/>
      <c r="BU257" s="237">
        <f>COUNTIFS('Form Details'!$D:$D,"&lt;"&amp;'Adv. Filter'!$A$15,'Form Details'!$N:$N,"Mahesh",'Form Details'!$J:$J,$C257,'Form Details'!$AA:$AA,"No")</f>
        <v>0</v>
      </c>
      <c r="BV257" s="238"/>
      <c r="BW257" s="238"/>
      <c r="BX257" s="238"/>
      <c r="BY257" s="238"/>
      <c r="BZ257" s="238"/>
      <c r="CA257" s="239"/>
      <c r="CB257" s="237">
        <f>COUNTIFS('Form Details'!$D:$D,"&lt;"&amp;'Adv. Filter'!$A$15,'Form Details'!$N:$N,"Mahesh",'Form Details'!$J:$J,$C257,'Form Details'!$W:$W,"Adv/Paid")</f>
        <v>0</v>
      </c>
      <c r="CC257" s="238"/>
      <c r="CD257" s="238"/>
      <c r="CE257" s="238"/>
      <c r="CF257" s="238"/>
      <c r="CG257" s="238"/>
      <c r="CH257" s="239"/>
      <c r="CI257" s="237">
        <f>COUNTIFS('Form Details'!$D:$D,"&lt;"&amp;'Adv. Filter'!$A$15,'Form Details'!$N:$N,"Mahesh",'Form Details'!$J:$J,$C257,'Form Details'!$W:$W,"Adv/Paid/Reject")</f>
        <v>0</v>
      </c>
      <c r="CJ257" s="238"/>
      <c r="CK257" s="238"/>
      <c r="CL257" s="238"/>
      <c r="CM257" s="238"/>
      <c r="CN257" s="238"/>
      <c r="CO257" s="239"/>
      <c r="CP257" s="237">
        <f>COUNTIFS('Form Details'!$D:$D,"&lt;"&amp;'Adv. Filter'!$A$15,'Form Details'!$N:$N,"Mahesh",'Form Details'!$J:$J,$C257,'Form Details'!$W:$W,"Reject")</f>
        <v>0</v>
      </c>
      <c r="CQ257" s="238"/>
      <c r="CR257" s="238"/>
      <c r="CS257" s="238"/>
      <c r="CT257" s="238"/>
      <c r="CU257" s="238"/>
      <c r="CV257" s="239"/>
      <c r="CW257" s="237">
        <f>COUNTIFS('Form Details'!$D:$D,"&lt;"&amp;'Adv. Filter'!$A$15,'Form Details'!$N:$N,"Mahesh",'Form Details'!$J:$J,$C257,'Form Details'!$W:$W,"Adv/Paid/Pending")</f>
        <v>0</v>
      </c>
      <c r="CX257" s="238"/>
      <c r="CY257" s="238"/>
      <c r="CZ257" s="238"/>
      <c r="DA257" s="238"/>
      <c r="DB257" s="238"/>
      <c r="DC257" s="239"/>
      <c r="DD257" s="237">
        <f>COUNTIFS('Form Details'!$D:$D,"&lt;"&amp;'Adv. Filter'!$A$15,'Form Details'!$N:$N,"Mahesh",'Form Details'!$J:$J,$C257,'Form Details'!$W:$W,"Pending")</f>
        <v>0</v>
      </c>
      <c r="DE257" s="238"/>
      <c r="DF257" s="238"/>
      <c r="DG257" s="238"/>
      <c r="DH257" s="238"/>
      <c r="DI257" s="238"/>
      <c r="DJ257" s="239"/>
      <c r="DK257" s="237">
        <f>COUNTIFS('Form Details'!$D:$D,"&lt;"&amp;'Adv. Filter'!$A$15,'Form Details'!$N:$N,"Mahesh",'Form Details'!$J:$J,$C257,'Form Details'!$W:$W,"Adv/Paid/NoStatus")</f>
        <v>0</v>
      </c>
      <c r="DL257" s="238"/>
      <c r="DM257" s="238"/>
      <c r="DN257" s="238"/>
      <c r="DO257" s="238"/>
      <c r="DP257" s="238"/>
      <c r="DQ257" s="239"/>
      <c r="DR257" s="237">
        <f>COUNTIFS('Form Details'!$D:$D,"&lt;"&amp;'Adv. Filter'!$A$15,'Form Details'!$N:$N,"Mahesh",'Form Details'!$J:$J,$C257,'Form Details'!$W:$W,"No Status")</f>
        <v>0</v>
      </c>
      <c r="DS257" s="238"/>
      <c r="DT257" s="238"/>
      <c r="DU257" s="238"/>
      <c r="DV257" s="238"/>
      <c r="DW257" s="238"/>
      <c r="DX257" s="239"/>
      <c r="DY257" s="237">
        <f>SUM(COUNTIFS('Form Details'!$D:$D,"&lt;"&amp;'Adv. Filter'!$A$15,'Form Details'!$N:$N,"Mahesh",'Form Details'!$J:$J,$C257,'Form Details'!$W:$W,{"Wrong Entry ","Double Entry"}))</f>
        <v>0</v>
      </c>
      <c r="DZ257" s="238"/>
      <c r="EA257" s="238"/>
      <c r="EB257" s="238"/>
      <c r="EC257" s="238"/>
      <c r="ED257" s="238"/>
      <c r="EE257" s="239"/>
    </row>
    <row r="258" spans="3:135" hidden="1">
      <c r="C258" s="248" t="s">
        <v>551</v>
      </c>
      <c r="D258" s="249"/>
      <c r="E258" s="249"/>
      <c r="F258" s="249"/>
      <c r="G258" s="249"/>
      <c r="H258" s="249"/>
      <c r="I258" s="249"/>
      <c r="J258" s="249"/>
      <c r="K258" s="249"/>
      <c r="L258" s="249"/>
      <c r="M258" s="249"/>
      <c r="N258" s="249"/>
      <c r="O258" s="237">
        <f>COUNTIFS('Form Details'!$D:$D,"&lt;"&amp;'Adv. Filter'!$A$15,'Form Details'!$N:$N,"Mahesh",'Form Details'!$J:$J,$C258)</f>
        <v>0</v>
      </c>
      <c r="P258" s="238"/>
      <c r="Q258" s="238"/>
      <c r="R258" s="238"/>
      <c r="S258" s="238"/>
      <c r="T258" s="238"/>
      <c r="U258" s="239"/>
      <c r="W258" s="237">
        <f>COUNTIFS('Form Details'!$D:$D,"&lt;"&amp;'Adv. Filter'!$A$15,'Form Details'!$N:$N,"Mahesh",'Form Details'!$J:$J,$C258,'Form Details'!$AA:$AA,"Yes")</f>
        <v>0</v>
      </c>
      <c r="X258" s="238"/>
      <c r="Y258" s="238"/>
      <c r="Z258" s="238"/>
      <c r="AA258" s="238"/>
      <c r="AB258" s="238"/>
      <c r="AC258" s="239"/>
      <c r="AD258" s="237">
        <f>COUNTIFS('Form Details'!$D:$D,"&lt;"&amp;'Adv. Filter'!$A$15,'Form Details'!$N:$N,"Mahesh",'Form Details'!$J:$J,$C258,'Form Details'!$W:$W,"Paid",'Form Details'!$S:$S,'Adv. Filter'!$A$14,'Form Details'!$S:$S,'Adv. Filter'!$B$14)</f>
        <v>0</v>
      </c>
      <c r="AE258" s="238"/>
      <c r="AF258" s="238"/>
      <c r="AG258" s="238"/>
      <c r="AH258" s="238"/>
      <c r="AI258" s="238"/>
      <c r="AJ258" s="239"/>
      <c r="AK258" s="237">
        <f>COUNTIFS('Form Details'!$D:$D,"&lt;"&amp;'Adv. Filter'!$A$15,'Form Details'!$N:$N,"Mahesh",'Form Details'!$J:$J,$C258,'Form Details'!$W:$W,"Due")</f>
        <v>0</v>
      </c>
      <c r="AL258" s="238"/>
      <c r="AM258" s="238"/>
      <c r="AN258" s="238"/>
      <c r="AO258" s="238"/>
      <c r="AP258" s="238"/>
      <c r="AQ258" s="239"/>
      <c r="AR258" s="237">
        <f>COUNTIFS('Form Details'!$D:$D,"&lt;"&amp;'Adv. Filter'!$A$15,'Form Details'!$N:$N,"Mahesh",'Form Details'!$J:$J,$C258,'Form Details'!$W:$W,"No Fee")</f>
        <v>0</v>
      </c>
      <c r="AS258" s="238"/>
      <c r="AT258" s="238"/>
      <c r="AU258" s="238"/>
      <c r="AV258" s="238"/>
      <c r="AW258" s="238"/>
      <c r="AX258" s="239"/>
      <c r="AY258" s="237">
        <f>COUNTIFS('Form Details'!$D:$D,"&lt;"&amp;'Adv. Filter'!$A$15,'Form Details'!$N:$N,"Mahesh",'Form Details'!$J:$J,$C258,'Form Details'!$W:$W,"Paid/Reject")</f>
        <v>0</v>
      </c>
      <c r="AZ258" s="238"/>
      <c r="BA258" s="238"/>
      <c r="BB258" s="238"/>
      <c r="BC258" s="238"/>
      <c r="BD258" s="238"/>
      <c r="BE258" s="239"/>
      <c r="BF258" s="237">
        <f>COUNTIFS('Form Details'!$D:$D,"&lt;"&amp;'Adv. Filter'!$A$15,'Form Details'!$N:$N,"Mahesh",'Form Details'!$J:$J,$C258,'Form Details'!$W:$W,"Staff")</f>
        <v>0</v>
      </c>
      <c r="BG258" s="238"/>
      <c r="BH258" s="238"/>
      <c r="BI258" s="238"/>
      <c r="BJ258" s="238"/>
      <c r="BK258" s="238"/>
      <c r="BL258" s="239"/>
      <c r="BM258" s="237">
        <f>COUNTIFS('Form Details'!$D:$D,"&lt;"&amp;'Adv. Filter'!$A$15,'Form Details'!$N:$N,"Mahesh",'Form Details'!$J:$J,$C258,'Form Details'!$W:$W,"File In Office")</f>
        <v>0</v>
      </c>
      <c r="BN258" s="238"/>
      <c r="BO258" s="238"/>
      <c r="BP258" s="238"/>
      <c r="BQ258" s="238"/>
      <c r="BR258" s="238"/>
      <c r="BS258" s="239"/>
      <c r="BU258" s="237">
        <f>COUNTIFS('Form Details'!$D:$D,"&lt;"&amp;'Adv. Filter'!$A$15,'Form Details'!$N:$N,"Mahesh",'Form Details'!$J:$J,$C258,'Form Details'!$AA:$AA,"No")</f>
        <v>0</v>
      </c>
      <c r="BV258" s="238"/>
      <c r="BW258" s="238"/>
      <c r="BX258" s="238"/>
      <c r="BY258" s="238"/>
      <c r="BZ258" s="238"/>
      <c r="CA258" s="239"/>
      <c r="CB258" s="237">
        <f>COUNTIFS('Form Details'!$D:$D,"&lt;"&amp;'Adv. Filter'!$A$15,'Form Details'!$N:$N,"Mahesh",'Form Details'!$J:$J,$C258,'Form Details'!$W:$W,"Adv/Paid")</f>
        <v>0</v>
      </c>
      <c r="CC258" s="238"/>
      <c r="CD258" s="238"/>
      <c r="CE258" s="238"/>
      <c r="CF258" s="238"/>
      <c r="CG258" s="238"/>
      <c r="CH258" s="239"/>
      <c r="CI258" s="237">
        <f>COUNTIFS('Form Details'!$D:$D,"&lt;"&amp;'Adv. Filter'!$A$15,'Form Details'!$N:$N,"Mahesh",'Form Details'!$J:$J,$C258,'Form Details'!$W:$W,"Adv/Paid/Reject")</f>
        <v>0</v>
      </c>
      <c r="CJ258" s="238"/>
      <c r="CK258" s="238"/>
      <c r="CL258" s="238"/>
      <c r="CM258" s="238"/>
      <c r="CN258" s="238"/>
      <c r="CO258" s="239"/>
      <c r="CP258" s="237">
        <f>COUNTIFS('Form Details'!$D:$D,"&lt;"&amp;'Adv. Filter'!$A$15,'Form Details'!$N:$N,"Mahesh",'Form Details'!$J:$J,$C258,'Form Details'!$W:$W,"Reject")</f>
        <v>0</v>
      </c>
      <c r="CQ258" s="238"/>
      <c r="CR258" s="238"/>
      <c r="CS258" s="238"/>
      <c r="CT258" s="238"/>
      <c r="CU258" s="238"/>
      <c r="CV258" s="239"/>
      <c r="CW258" s="237">
        <f>COUNTIFS('Form Details'!$D:$D,"&lt;"&amp;'Adv. Filter'!$A$15,'Form Details'!$N:$N,"Mahesh",'Form Details'!$J:$J,$C258,'Form Details'!$W:$W,"Adv/Paid/Pending")</f>
        <v>0</v>
      </c>
      <c r="CX258" s="238"/>
      <c r="CY258" s="238"/>
      <c r="CZ258" s="238"/>
      <c r="DA258" s="238"/>
      <c r="DB258" s="238"/>
      <c r="DC258" s="239"/>
      <c r="DD258" s="237">
        <f>COUNTIFS('Form Details'!$D:$D,"&lt;"&amp;'Adv. Filter'!$A$15,'Form Details'!$N:$N,"Mahesh",'Form Details'!$J:$J,$C258,'Form Details'!$W:$W,"Pending")</f>
        <v>0</v>
      </c>
      <c r="DE258" s="238"/>
      <c r="DF258" s="238"/>
      <c r="DG258" s="238"/>
      <c r="DH258" s="238"/>
      <c r="DI258" s="238"/>
      <c r="DJ258" s="239"/>
      <c r="DK258" s="237">
        <f>COUNTIFS('Form Details'!$D:$D,"&lt;"&amp;'Adv. Filter'!$A$15,'Form Details'!$N:$N,"Mahesh",'Form Details'!$J:$J,$C258,'Form Details'!$W:$W,"Adv/Paid/NoStatus")</f>
        <v>0</v>
      </c>
      <c r="DL258" s="238"/>
      <c r="DM258" s="238"/>
      <c r="DN258" s="238"/>
      <c r="DO258" s="238"/>
      <c r="DP258" s="238"/>
      <c r="DQ258" s="239"/>
      <c r="DR258" s="237">
        <f>COUNTIFS('Form Details'!$D:$D,"&lt;"&amp;'Adv. Filter'!$A$15,'Form Details'!$N:$N,"Mahesh",'Form Details'!$J:$J,$C258,'Form Details'!$W:$W,"No Status")</f>
        <v>0</v>
      </c>
      <c r="DS258" s="238"/>
      <c r="DT258" s="238"/>
      <c r="DU258" s="238"/>
      <c r="DV258" s="238"/>
      <c r="DW258" s="238"/>
      <c r="DX258" s="239"/>
      <c r="DY258" s="237">
        <f>SUM(COUNTIFS('Form Details'!$D:$D,"&lt;"&amp;'Adv. Filter'!$A$15,'Form Details'!$N:$N,"Mahesh",'Form Details'!$J:$J,$C258,'Form Details'!$W:$W,{"Wrong Entry ","Double Entry"}))</f>
        <v>0</v>
      </c>
      <c r="DZ258" s="238"/>
      <c r="EA258" s="238"/>
      <c r="EB258" s="238"/>
      <c r="EC258" s="238"/>
      <c r="ED258" s="238"/>
      <c r="EE258" s="239"/>
    </row>
    <row r="259" spans="3:135" hidden="1">
      <c r="C259" s="248" t="s">
        <v>121</v>
      </c>
      <c r="D259" s="249"/>
      <c r="E259" s="249"/>
      <c r="F259" s="249"/>
      <c r="G259" s="249"/>
      <c r="H259" s="249"/>
      <c r="I259" s="249"/>
      <c r="J259" s="249"/>
      <c r="K259" s="249"/>
      <c r="L259" s="249"/>
      <c r="M259" s="249"/>
      <c r="N259" s="249"/>
      <c r="O259" s="237">
        <f>COUNTIFS('Form Details'!$D:$D,"&lt;"&amp;'Adv. Filter'!$A$15,'Form Details'!$N:$N,"Mahesh",'Form Details'!$J:$J,$C259)</f>
        <v>86</v>
      </c>
      <c r="P259" s="238"/>
      <c r="Q259" s="238"/>
      <c r="R259" s="238"/>
      <c r="S259" s="238"/>
      <c r="T259" s="238"/>
      <c r="U259" s="239"/>
      <c r="W259" s="237">
        <f>COUNTIFS('Form Details'!$D:$D,"&lt;"&amp;'Adv. Filter'!$A$15,'Form Details'!$N:$N,"Mahesh",'Form Details'!$J:$J,$C259,'Form Details'!$AA:$AA,"Yes")</f>
        <v>86</v>
      </c>
      <c r="X259" s="238"/>
      <c r="Y259" s="238"/>
      <c r="Z259" s="238"/>
      <c r="AA259" s="238"/>
      <c r="AB259" s="238"/>
      <c r="AC259" s="239"/>
      <c r="AD259" s="237">
        <f>COUNTIFS('Form Details'!$D:$D,"&lt;"&amp;'Adv. Filter'!$A$15,'Form Details'!$N:$N,"Mahesh",'Form Details'!$J:$J,$C259,'Form Details'!$W:$W,"Paid",'Form Details'!$S:$S,'Adv. Filter'!$A$14,'Form Details'!$S:$S,'Adv. Filter'!$B$14)</f>
        <v>2</v>
      </c>
      <c r="AE259" s="238"/>
      <c r="AF259" s="238"/>
      <c r="AG259" s="238"/>
      <c r="AH259" s="238"/>
      <c r="AI259" s="238"/>
      <c r="AJ259" s="239"/>
      <c r="AK259" s="237">
        <f>COUNTIFS('Form Details'!$D:$D,"&lt;"&amp;'Adv. Filter'!$A$15,'Form Details'!$N:$N,"Mahesh",'Form Details'!$J:$J,$C259,'Form Details'!$W:$W,"Due")</f>
        <v>84</v>
      </c>
      <c r="AL259" s="238"/>
      <c r="AM259" s="238"/>
      <c r="AN259" s="238"/>
      <c r="AO259" s="238"/>
      <c r="AP259" s="238"/>
      <c r="AQ259" s="239"/>
      <c r="AR259" s="237">
        <f>COUNTIFS('Form Details'!$D:$D,"&lt;"&amp;'Adv. Filter'!$A$15,'Form Details'!$N:$N,"Mahesh",'Form Details'!$J:$J,$C259,'Form Details'!$W:$W,"No Fee")</f>
        <v>0</v>
      </c>
      <c r="AS259" s="238"/>
      <c r="AT259" s="238"/>
      <c r="AU259" s="238"/>
      <c r="AV259" s="238"/>
      <c r="AW259" s="238"/>
      <c r="AX259" s="239"/>
      <c r="AY259" s="237">
        <f>COUNTIFS('Form Details'!$D:$D,"&lt;"&amp;'Adv. Filter'!$A$15,'Form Details'!$N:$N,"Mahesh",'Form Details'!$J:$J,$C259,'Form Details'!$W:$W,"Paid/Reject")</f>
        <v>0</v>
      </c>
      <c r="AZ259" s="238"/>
      <c r="BA259" s="238"/>
      <c r="BB259" s="238"/>
      <c r="BC259" s="238"/>
      <c r="BD259" s="238"/>
      <c r="BE259" s="239"/>
      <c r="BF259" s="237">
        <f>COUNTIFS('Form Details'!$D:$D,"&lt;"&amp;'Adv. Filter'!$A$15,'Form Details'!$N:$N,"Mahesh",'Form Details'!$J:$J,$C259,'Form Details'!$W:$W,"Staff")</f>
        <v>0</v>
      </c>
      <c r="BG259" s="238"/>
      <c r="BH259" s="238"/>
      <c r="BI259" s="238"/>
      <c r="BJ259" s="238"/>
      <c r="BK259" s="238"/>
      <c r="BL259" s="239"/>
      <c r="BM259" s="237">
        <f>COUNTIFS('Form Details'!$D:$D,"&lt;"&amp;'Adv. Filter'!$A$15,'Form Details'!$N:$N,"Mahesh",'Form Details'!$J:$J,$C259,'Form Details'!$W:$W,"File In Office")</f>
        <v>0</v>
      </c>
      <c r="BN259" s="238"/>
      <c r="BO259" s="238"/>
      <c r="BP259" s="238"/>
      <c r="BQ259" s="238"/>
      <c r="BR259" s="238"/>
      <c r="BS259" s="239"/>
      <c r="BU259" s="237">
        <f>COUNTIFS('Form Details'!$D:$D,"&lt;"&amp;'Adv. Filter'!$A$15,'Form Details'!$N:$N,"Mahesh",'Form Details'!$J:$J,$C259,'Form Details'!$AA:$AA,"No")</f>
        <v>0</v>
      </c>
      <c r="BV259" s="238"/>
      <c r="BW259" s="238"/>
      <c r="BX259" s="238"/>
      <c r="BY259" s="238"/>
      <c r="BZ259" s="238"/>
      <c r="CA259" s="239"/>
      <c r="CB259" s="237">
        <f>COUNTIFS('Form Details'!$D:$D,"&lt;"&amp;'Adv. Filter'!$A$15,'Form Details'!$N:$N,"Mahesh",'Form Details'!$J:$J,$C259,'Form Details'!$W:$W,"Adv/Paid")</f>
        <v>0</v>
      </c>
      <c r="CC259" s="238"/>
      <c r="CD259" s="238"/>
      <c r="CE259" s="238"/>
      <c r="CF259" s="238"/>
      <c r="CG259" s="238"/>
      <c r="CH259" s="239"/>
      <c r="CI259" s="237">
        <f>COUNTIFS('Form Details'!$D:$D,"&lt;"&amp;'Adv. Filter'!$A$15,'Form Details'!$N:$N,"Mahesh",'Form Details'!$J:$J,$C259,'Form Details'!$W:$W,"Adv/Paid/Reject")</f>
        <v>0</v>
      </c>
      <c r="CJ259" s="238"/>
      <c r="CK259" s="238"/>
      <c r="CL259" s="238"/>
      <c r="CM259" s="238"/>
      <c r="CN259" s="238"/>
      <c r="CO259" s="239"/>
      <c r="CP259" s="237">
        <f>COUNTIFS('Form Details'!$D:$D,"&lt;"&amp;'Adv. Filter'!$A$15,'Form Details'!$N:$N,"Mahesh",'Form Details'!$J:$J,$C259,'Form Details'!$W:$W,"Reject")</f>
        <v>0</v>
      </c>
      <c r="CQ259" s="238"/>
      <c r="CR259" s="238"/>
      <c r="CS259" s="238"/>
      <c r="CT259" s="238"/>
      <c r="CU259" s="238"/>
      <c r="CV259" s="239"/>
      <c r="CW259" s="237">
        <f>COUNTIFS('Form Details'!$D:$D,"&lt;"&amp;'Adv. Filter'!$A$15,'Form Details'!$N:$N,"Mahesh",'Form Details'!$J:$J,$C259,'Form Details'!$W:$W,"Adv/Paid/Pending")</f>
        <v>0</v>
      </c>
      <c r="CX259" s="238"/>
      <c r="CY259" s="238"/>
      <c r="CZ259" s="238"/>
      <c r="DA259" s="238"/>
      <c r="DB259" s="238"/>
      <c r="DC259" s="239"/>
      <c r="DD259" s="237">
        <f>COUNTIFS('Form Details'!$D:$D,"&lt;"&amp;'Adv. Filter'!$A$15,'Form Details'!$N:$N,"Mahesh",'Form Details'!$J:$J,$C259,'Form Details'!$W:$W,"Pending")</f>
        <v>0</v>
      </c>
      <c r="DE259" s="238"/>
      <c r="DF259" s="238"/>
      <c r="DG259" s="238"/>
      <c r="DH259" s="238"/>
      <c r="DI259" s="238"/>
      <c r="DJ259" s="239"/>
      <c r="DK259" s="237">
        <f>COUNTIFS('Form Details'!$D:$D,"&lt;"&amp;'Adv. Filter'!$A$15,'Form Details'!$N:$N,"Mahesh",'Form Details'!$J:$J,$C259,'Form Details'!$W:$W,"Adv/Paid/NoStatus")</f>
        <v>0</v>
      </c>
      <c r="DL259" s="238"/>
      <c r="DM259" s="238"/>
      <c r="DN259" s="238"/>
      <c r="DO259" s="238"/>
      <c r="DP259" s="238"/>
      <c r="DQ259" s="239"/>
      <c r="DR259" s="237">
        <f>COUNTIFS('Form Details'!$D:$D,"&lt;"&amp;'Adv. Filter'!$A$15,'Form Details'!$N:$N,"Mahesh",'Form Details'!$J:$J,$C259,'Form Details'!$W:$W,"No Status")</f>
        <v>0</v>
      </c>
      <c r="DS259" s="238"/>
      <c r="DT259" s="238"/>
      <c r="DU259" s="238"/>
      <c r="DV259" s="238"/>
      <c r="DW259" s="238"/>
      <c r="DX259" s="239"/>
      <c r="DY259" s="237">
        <f>SUM(COUNTIFS('Form Details'!$D:$D,"&lt;"&amp;'Adv. Filter'!$A$15,'Form Details'!$N:$N,"Mahesh",'Form Details'!$J:$J,$C259,'Form Details'!$W:$W,{"Wrong Entry ","Double Entry"}))</f>
        <v>0</v>
      </c>
      <c r="DZ259" s="238"/>
      <c r="EA259" s="238"/>
      <c r="EB259" s="238"/>
      <c r="EC259" s="238"/>
      <c r="ED259" s="238"/>
      <c r="EE259" s="239"/>
    </row>
    <row r="260" spans="3:135" hidden="1">
      <c r="C260" s="248" t="s">
        <v>111</v>
      </c>
      <c r="D260" s="249"/>
      <c r="E260" s="249"/>
      <c r="F260" s="249"/>
      <c r="G260" s="249"/>
      <c r="H260" s="249"/>
      <c r="I260" s="249"/>
      <c r="J260" s="249"/>
      <c r="K260" s="249"/>
      <c r="L260" s="249"/>
      <c r="M260" s="249"/>
      <c r="N260" s="249"/>
      <c r="O260" s="237">
        <f>COUNTIFS('Form Details'!$D:$D,"&lt;"&amp;'Adv. Filter'!$A$15,'Form Details'!$N:$N,"Mahesh",'Form Details'!$J:$J,$C260)</f>
        <v>0</v>
      </c>
      <c r="P260" s="238"/>
      <c r="Q260" s="238"/>
      <c r="R260" s="238"/>
      <c r="S260" s="238"/>
      <c r="T260" s="238"/>
      <c r="U260" s="239"/>
      <c r="W260" s="237">
        <f>COUNTIFS('Form Details'!$D:$D,"&lt;"&amp;'Adv. Filter'!$A$15,'Form Details'!$N:$N,"Mahesh",'Form Details'!$J:$J,$C260,'Form Details'!$AA:$AA,"Yes")</f>
        <v>0</v>
      </c>
      <c r="X260" s="238"/>
      <c r="Y260" s="238"/>
      <c r="Z260" s="238"/>
      <c r="AA260" s="238"/>
      <c r="AB260" s="238"/>
      <c r="AC260" s="239"/>
      <c r="AD260" s="237">
        <f>COUNTIFS('Form Details'!$D:$D,"&lt;"&amp;'Adv. Filter'!$A$15,'Form Details'!$N:$N,"Mahesh",'Form Details'!$J:$J,$C260,'Form Details'!$W:$W,"Paid",'Form Details'!$S:$S,'Adv. Filter'!$A$14,'Form Details'!$S:$S,'Adv. Filter'!$B$14)</f>
        <v>0</v>
      </c>
      <c r="AE260" s="238"/>
      <c r="AF260" s="238"/>
      <c r="AG260" s="238"/>
      <c r="AH260" s="238"/>
      <c r="AI260" s="238"/>
      <c r="AJ260" s="239"/>
      <c r="AK260" s="237">
        <f>COUNTIFS('Form Details'!$D:$D,"&lt;"&amp;'Adv. Filter'!$A$15,'Form Details'!$N:$N,"Mahesh",'Form Details'!$J:$J,$C260,'Form Details'!$W:$W,"Due")</f>
        <v>0</v>
      </c>
      <c r="AL260" s="238"/>
      <c r="AM260" s="238"/>
      <c r="AN260" s="238"/>
      <c r="AO260" s="238"/>
      <c r="AP260" s="238"/>
      <c r="AQ260" s="239"/>
      <c r="AR260" s="237">
        <f>COUNTIFS('Form Details'!$D:$D,"&lt;"&amp;'Adv. Filter'!$A$15,'Form Details'!$N:$N,"Mahesh",'Form Details'!$J:$J,$C260,'Form Details'!$W:$W,"No Fee")</f>
        <v>0</v>
      </c>
      <c r="AS260" s="238"/>
      <c r="AT260" s="238"/>
      <c r="AU260" s="238"/>
      <c r="AV260" s="238"/>
      <c r="AW260" s="238"/>
      <c r="AX260" s="239"/>
      <c r="AY260" s="237">
        <f>COUNTIFS('Form Details'!$D:$D,"&lt;"&amp;'Adv. Filter'!$A$15,'Form Details'!$N:$N,"Mahesh",'Form Details'!$J:$J,$C260,'Form Details'!$W:$W,"Paid/Reject")</f>
        <v>0</v>
      </c>
      <c r="AZ260" s="238"/>
      <c r="BA260" s="238"/>
      <c r="BB260" s="238"/>
      <c r="BC260" s="238"/>
      <c r="BD260" s="238"/>
      <c r="BE260" s="239"/>
      <c r="BF260" s="237">
        <f>COUNTIFS('Form Details'!$D:$D,"&lt;"&amp;'Adv. Filter'!$A$15,'Form Details'!$N:$N,"Mahesh",'Form Details'!$J:$J,$C260,'Form Details'!$W:$W,"Staff")</f>
        <v>0</v>
      </c>
      <c r="BG260" s="238"/>
      <c r="BH260" s="238"/>
      <c r="BI260" s="238"/>
      <c r="BJ260" s="238"/>
      <c r="BK260" s="238"/>
      <c r="BL260" s="239"/>
      <c r="BM260" s="237">
        <f>COUNTIFS('Form Details'!$D:$D,"&lt;"&amp;'Adv. Filter'!$A$15,'Form Details'!$N:$N,"Mahesh",'Form Details'!$J:$J,$C260,'Form Details'!$W:$W,"File In Office")</f>
        <v>0</v>
      </c>
      <c r="BN260" s="238"/>
      <c r="BO260" s="238"/>
      <c r="BP260" s="238"/>
      <c r="BQ260" s="238"/>
      <c r="BR260" s="238"/>
      <c r="BS260" s="239"/>
      <c r="BU260" s="237">
        <f>COUNTIFS('Form Details'!$D:$D,"&lt;"&amp;'Adv. Filter'!$A$15,'Form Details'!$N:$N,"Mahesh",'Form Details'!$J:$J,$C260,'Form Details'!$AA:$AA,"No")</f>
        <v>0</v>
      </c>
      <c r="BV260" s="238"/>
      <c r="BW260" s="238"/>
      <c r="BX260" s="238"/>
      <c r="BY260" s="238"/>
      <c r="BZ260" s="238"/>
      <c r="CA260" s="239"/>
      <c r="CB260" s="237">
        <f>COUNTIFS('Form Details'!$D:$D,"&lt;"&amp;'Adv. Filter'!$A$15,'Form Details'!$N:$N,"Mahesh",'Form Details'!$J:$J,$C260,'Form Details'!$W:$W,"Adv/Paid")</f>
        <v>0</v>
      </c>
      <c r="CC260" s="238"/>
      <c r="CD260" s="238"/>
      <c r="CE260" s="238"/>
      <c r="CF260" s="238"/>
      <c r="CG260" s="238"/>
      <c r="CH260" s="239"/>
      <c r="CI260" s="237">
        <f>COUNTIFS('Form Details'!$D:$D,"&lt;"&amp;'Adv. Filter'!$A$15,'Form Details'!$N:$N,"Mahesh",'Form Details'!$J:$J,$C260,'Form Details'!$W:$W,"Adv/Paid/Reject")</f>
        <v>0</v>
      </c>
      <c r="CJ260" s="238"/>
      <c r="CK260" s="238"/>
      <c r="CL260" s="238"/>
      <c r="CM260" s="238"/>
      <c r="CN260" s="238"/>
      <c r="CO260" s="239"/>
      <c r="CP260" s="237">
        <f>COUNTIFS('Form Details'!$D:$D,"&lt;"&amp;'Adv. Filter'!$A$15,'Form Details'!$N:$N,"Mahesh",'Form Details'!$J:$J,$C260,'Form Details'!$W:$W,"Reject")</f>
        <v>0</v>
      </c>
      <c r="CQ260" s="238"/>
      <c r="CR260" s="238"/>
      <c r="CS260" s="238"/>
      <c r="CT260" s="238"/>
      <c r="CU260" s="238"/>
      <c r="CV260" s="239"/>
      <c r="CW260" s="237">
        <f>COUNTIFS('Form Details'!$D:$D,"&lt;"&amp;'Adv. Filter'!$A$15,'Form Details'!$N:$N,"Mahesh",'Form Details'!$J:$J,$C260,'Form Details'!$W:$W,"Adv/Paid/Pending")</f>
        <v>0</v>
      </c>
      <c r="CX260" s="238"/>
      <c r="CY260" s="238"/>
      <c r="CZ260" s="238"/>
      <c r="DA260" s="238"/>
      <c r="DB260" s="238"/>
      <c r="DC260" s="239"/>
      <c r="DD260" s="237">
        <f>COUNTIFS('Form Details'!$D:$D,"&lt;"&amp;'Adv. Filter'!$A$15,'Form Details'!$N:$N,"Mahesh",'Form Details'!$J:$J,$C260,'Form Details'!$W:$W,"Pending")</f>
        <v>0</v>
      </c>
      <c r="DE260" s="238"/>
      <c r="DF260" s="238"/>
      <c r="DG260" s="238"/>
      <c r="DH260" s="238"/>
      <c r="DI260" s="238"/>
      <c r="DJ260" s="239"/>
      <c r="DK260" s="237">
        <f>COUNTIFS('Form Details'!$D:$D,"&lt;"&amp;'Adv. Filter'!$A$15,'Form Details'!$N:$N,"Mahesh",'Form Details'!$J:$J,$C260,'Form Details'!$W:$W,"Adv/Paid/NoStatus")</f>
        <v>0</v>
      </c>
      <c r="DL260" s="238"/>
      <c r="DM260" s="238"/>
      <c r="DN260" s="238"/>
      <c r="DO260" s="238"/>
      <c r="DP260" s="238"/>
      <c r="DQ260" s="239"/>
      <c r="DR260" s="237">
        <f>COUNTIFS('Form Details'!$D:$D,"&lt;"&amp;'Adv. Filter'!$A$15,'Form Details'!$N:$N,"Mahesh",'Form Details'!$J:$J,$C260,'Form Details'!$W:$W,"No Status")</f>
        <v>0</v>
      </c>
      <c r="DS260" s="238"/>
      <c r="DT260" s="238"/>
      <c r="DU260" s="238"/>
      <c r="DV260" s="238"/>
      <c r="DW260" s="238"/>
      <c r="DX260" s="239"/>
      <c r="DY260" s="237">
        <f>SUM(COUNTIFS('Form Details'!$D:$D,"&lt;"&amp;'Adv. Filter'!$A$15,'Form Details'!$N:$N,"Mahesh",'Form Details'!$J:$J,$C260,'Form Details'!$W:$W,{"Wrong Entry ","Double Entry"}))</f>
        <v>0</v>
      </c>
      <c r="DZ260" s="238"/>
      <c r="EA260" s="238"/>
      <c r="EB260" s="238"/>
      <c r="EC260" s="238"/>
      <c r="ED260" s="238"/>
      <c r="EE260" s="239"/>
    </row>
    <row r="261" spans="3:135" hidden="1">
      <c r="C261" s="248" t="s">
        <v>116</v>
      </c>
      <c r="D261" s="249"/>
      <c r="E261" s="249"/>
      <c r="F261" s="249"/>
      <c r="G261" s="249"/>
      <c r="H261" s="249"/>
      <c r="I261" s="249"/>
      <c r="J261" s="249"/>
      <c r="K261" s="249"/>
      <c r="L261" s="249"/>
      <c r="M261" s="249"/>
      <c r="N261" s="249"/>
      <c r="O261" s="237">
        <f>COUNTIFS('Form Details'!$D:$D,"&lt;"&amp;'Adv. Filter'!$A$15,'Form Details'!$N:$N,"Mahesh",'Form Details'!$J:$J,$C261)</f>
        <v>3</v>
      </c>
      <c r="P261" s="238"/>
      <c r="Q261" s="238"/>
      <c r="R261" s="238"/>
      <c r="S261" s="238"/>
      <c r="T261" s="238"/>
      <c r="U261" s="239"/>
      <c r="W261" s="237">
        <f>COUNTIFS('Form Details'!$D:$D,"&lt;"&amp;'Adv. Filter'!$A$15,'Form Details'!$N:$N,"Mahesh",'Form Details'!$J:$J,$C261,'Form Details'!$AA:$AA,"Yes")</f>
        <v>3</v>
      </c>
      <c r="X261" s="238"/>
      <c r="Y261" s="238"/>
      <c r="Z261" s="238"/>
      <c r="AA261" s="238"/>
      <c r="AB261" s="238"/>
      <c r="AC261" s="239"/>
      <c r="AD261" s="237">
        <f>COUNTIFS('Form Details'!$D:$D,"&lt;"&amp;'Adv. Filter'!$A$15,'Form Details'!$N:$N,"Mahesh",'Form Details'!$J:$J,$C261,'Form Details'!$W:$W,"Paid",'Form Details'!$S:$S,'Adv. Filter'!$A$14,'Form Details'!$S:$S,'Adv. Filter'!$B$14)</f>
        <v>0</v>
      </c>
      <c r="AE261" s="238"/>
      <c r="AF261" s="238"/>
      <c r="AG261" s="238"/>
      <c r="AH261" s="238"/>
      <c r="AI261" s="238"/>
      <c r="AJ261" s="239"/>
      <c r="AK261" s="237">
        <f>COUNTIFS('Form Details'!$D:$D,"&lt;"&amp;'Adv. Filter'!$A$15,'Form Details'!$N:$N,"Mahesh",'Form Details'!$J:$J,$C261,'Form Details'!$W:$W,"Due")</f>
        <v>3</v>
      </c>
      <c r="AL261" s="238"/>
      <c r="AM261" s="238"/>
      <c r="AN261" s="238"/>
      <c r="AO261" s="238"/>
      <c r="AP261" s="238"/>
      <c r="AQ261" s="239"/>
      <c r="AR261" s="237">
        <f>COUNTIFS('Form Details'!$D:$D,"&lt;"&amp;'Adv. Filter'!$A$15,'Form Details'!$N:$N,"Mahesh",'Form Details'!$J:$J,$C261,'Form Details'!$W:$W,"No Fee")</f>
        <v>0</v>
      </c>
      <c r="AS261" s="238"/>
      <c r="AT261" s="238"/>
      <c r="AU261" s="238"/>
      <c r="AV261" s="238"/>
      <c r="AW261" s="238"/>
      <c r="AX261" s="239"/>
      <c r="AY261" s="237">
        <f>COUNTIFS('Form Details'!$D:$D,"&lt;"&amp;'Adv. Filter'!$A$15,'Form Details'!$N:$N,"Mahesh",'Form Details'!$J:$J,$C261,'Form Details'!$W:$W,"Paid/Reject")</f>
        <v>0</v>
      </c>
      <c r="AZ261" s="238"/>
      <c r="BA261" s="238"/>
      <c r="BB261" s="238"/>
      <c r="BC261" s="238"/>
      <c r="BD261" s="238"/>
      <c r="BE261" s="239"/>
      <c r="BF261" s="237">
        <f>COUNTIFS('Form Details'!$D:$D,"&lt;"&amp;'Adv. Filter'!$A$15,'Form Details'!$N:$N,"Mahesh",'Form Details'!$J:$J,$C261,'Form Details'!$W:$W,"Staff")</f>
        <v>0</v>
      </c>
      <c r="BG261" s="238"/>
      <c r="BH261" s="238"/>
      <c r="BI261" s="238"/>
      <c r="BJ261" s="238"/>
      <c r="BK261" s="238"/>
      <c r="BL261" s="239"/>
      <c r="BM261" s="237">
        <f>COUNTIFS('Form Details'!$D:$D,"&lt;"&amp;'Adv. Filter'!$A$15,'Form Details'!$N:$N,"Mahesh",'Form Details'!$J:$J,$C261,'Form Details'!$W:$W,"File In Office")</f>
        <v>0</v>
      </c>
      <c r="BN261" s="238"/>
      <c r="BO261" s="238"/>
      <c r="BP261" s="238"/>
      <c r="BQ261" s="238"/>
      <c r="BR261" s="238"/>
      <c r="BS261" s="239"/>
      <c r="BU261" s="237">
        <f>COUNTIFS('Form Details'!$D:$D,"&lt;"&amp;'Adv. Filter'!$A$15,'Form Details'!$N:$N,"Mahesh",'Form Details'!$J:$J,$C261,'Form Details'!$AA:$AA,"No")</f>
        <v>0</v>
      </c>
      <c r="BV261" s="238"/>
      <c r="BW261" s="238"/>
      <c r="BX261" s="238"/>
      <c r="BY261" s="238"/>
      <c r="BZ261" s="238"/>
      <c r="CA261" s="239"/>
      <c r="CB261" s="237">
        <f>COUNTIFS('Form Details'!$D:$D,"&lt;"&amp;'Adv. Filter'!$A$15,'Form Details'!$N:$N,"Mahesh",'Form Details'!$J:$J,$C261,'Form Details'!$W:$W,"Adv/Paid")</f>
        <v>0</v>
      </c>
      <c r="CC261" s="238"/>
      <c r="CD261" s="238"/>
      <c r="CE261" s="238"/>
      <c r="CF261" s="238"/>
      <c r="CG261" s="238"/>
      <c r="CH261" s="239"/>
      <c r="CI261" s="237">
        <f>COUNTIFS('Form Details'!$D:$D,"&lt;"&amp;'Adv. Filter'!$A$15,'Form Details'!$N:$N,"Mahesh",'Form Details'!$J:$J,$C261,'Form Details'!$W:$W,"Adv/Paid/Reject")</f>
        <v>0</v>
      </c>
      <c r="CJ261" s="238"/>
      <c r="CK261" s="238"/>
      <c r="CL261" s="238"/>
      <c r="CM261" s="238"/>
      <c r="CN261" s="238"/>
      <c r="CO261" s="239"/>
      <c r="CP261" s="237">
        <f>COUNTIFS('Form Details'!$D:$D,"&lt;"&amp;'Adv. Filter'!$A$15,'Form Details'!$N:$N,"Mahesh",'Form Details'!$J:$J,$C261,'Form Details'!$W:$W,"Reject")</f>
        <v>0</v>
      </c>
      <c r="CQ261" s="238"/>
      <c r="CR261" s="238"/>
      <c r="CS261" s="238"/>
      <c r="CT261" s="238"/>
      <c r="CU261" s="238"/>
      <c r="CV261" s="239"/>
      <c r="CW261" s="237">
        <f>COUNTIFS('Form Details'!$D:$D,"&lt;"&amp;'Adv. Filter'!$A$15,'Form Details'!$N:$N,"Mahesh",'Form Details'!$J:$J,$C261,'Form Details'!$W:$W,"Adv/Paid/Pending")</f>
        <v>0</v>
      </c>
      <c r="CX261" s="238"/>
      <c r="CY261" s="238"/>
      <c r="CZ261" s="238"/>
      <c r="DA261" s="238"/>
      <c r="DB261" s="238"/>
      <c r="DC261" s="239"/>
      <c r="DD261" s="237">
        <f>COUNTIFS('Form Details'!$D:$D,"&lt;"&amp;'Adv. Filter'!$A$15,'Form Details'!$N:$N,"Mahesh",'Form Details'!$J:$J,$C261,'Form Details'!$W:$W,"Pending")</f>
        <v>0</v>
      </c>
      <c r="DE261" s="238"/>
      <c r="DF261" s="238"/>
      <c r="DG261" s="238"/>
      <c r="DH261" s="238"/>
      <c r="DI261" s="238"/>
      <c r="DJ261" s="239"/>
      <c r="DK261" s="237">
        <f>COUNTIFS('Form Details'!$D:$D,"&lt;"&amp;'Adv. Filter'!$A$15,'Form Details'!$N:$N,"Mahesh",'Form Details'!$J:$J,$C261,'Form Details'!$W:$W,"Adv/Paid/NoStatus")</f>
        <v>0</v>
      </c>
      <c r="DL261" s="238"/>
      <c r="DM261" s="238"/>
      <c r="DN261" s="238"/>
      <c r="DO261" s="238"/>
      <c r="DP261" s="238"/>
      <c r="DQ261" s="239"/>
      <c r="DR261" s="237">
        <f>COUNTIFS('Form Details'!$D:$D,"&lt;"&amp;'Adv. Filter'!$A$15,'Form Details'!$N:$N,"Mahesh",'Form Details'!$J:$J,$C261,'Form Details'!$W:$W,"No Status")</f>
        <v>0</v>
      </c>
      <c r="DS261" s="238"/>
      <c r="DT261" s="238"/>
      <c r="DU261" s="238"/>
      <c r="DV261" s="238"/>
      <c r="DW261" s="238"/>
      <c r="DX261" s="239"/>
      <c r="DY261" s="237">
        <f>SUM(COUNTIFS('Form Details'!$D:$D,"&lt;"&amp;'Adv. Filter'!$A$15,'Form Details'!$N:$N,"Mahesh",'Form Details'!$J:$J,$C261,'Form Details'!$W:$W,{"Wrong Entry ","Double Entry"}))</f>
        <v>0</v>
      </c>
      <c r="DZ261" s="238"/>
      <c r="EA261" s="238"/>
      <c r="EB261" s="238"/>
      <c r="EC261" s="238"/>
      <c r="ED261" s="238"/>
      <c r="EE261" s="239"/>
    </row>
    <row r="262" spans="3:135" hidden="1">
      <c r="C262" s="248" t="s">
        <v>119</v>
      </c>
      <c r="D262" s="249"/>
      <c r="E262" s="249"/>
      <c r="F262" s="249"/>
      <c r="G262" s="249"/>
      <c r="H262" s="249"/>
      <c r="I262" s="249"/>
      <c r="J262" s="249"/>
      <c r="K262" s="249"/>
      <c r="L262" s="249"/>
      <c r="M262" s="249"/>
      <c r="N262" s="249"/>
      <c r="O262" s="237">
        <f>COUNTIFS('Form Details'!$D:$D,"&lt;"&amp;'Adv. Filter'!$A$15,'Form Details'!$N:$N,"Mahesh",'Form Details'!$J:$J,$C262)</f>
        <v>21</v>
      </c>
      <c r="P262" s="238"/>
      <c r="Q262" s="238"/>
      <c r="R262" s="238"/>
      <c r="S262" s="238"/>
      <c r="T262" s="238"/>
      <c r="U262" s="239"/>
      <c r="W262" s="237">
        <f>COUNTIFS('Form Details'!$D:$D,"&lt;"&amp;'Adv. Filter'!$A$15,'Form Details'!$N:$N,"Mahesh",'Form Details'!$J:$J,$C262,'Form Details'!$AA:$AA,"Yes")</f>
        <v>21</v>
      </c>
      <c r="X262" s="238"/>
      <c r="Y262" s="238"/>
      <c r="Z262" s="238"/>
      <c r="AA262" s="238"/>
      <c r="AB262" s="238"/>
      <c r="AC262" s="239"/>
      <c r="AD262" s="237">
        <f>COUNTIFS('Form Details'!$D:$D,"&lt;"&amp;'Adv. Filter'!$A$15,'Form Details'!$N:$N,"Mahesh",'Form Details'!$J:$J,$C262,'Form Details'!$W:$W,"Paid",'Form Details'!$S:$S,'Adv. Filter'!$A$14,'Form Details'!$S:$S,'Adv. Filter'!$B$14)</f>
        <v>0</v>
      </c>
      <c r="AE262" s="238"/>
      <c r="AF262" s="238"/>
      <c r="AG262" s="238"/>
      <c r="AH262" s="238"/>
      <c r="AI262" s="238"/>
      <c r="AJ262" s="239"/>
      <c r="AK262" s="237">
        <f>COUNTIFS('Form Details'!$D:$D,"&lt;"&amp;'Adv. Filter'!$A$15,'Form Details'!$N:$N,"Mahesh",'Form Details'!$J:$J,$C262,'Form Details'!$W:$W,"Due")</f>
        <v>21</v>
      </c>
      <c r="AL262" s="238"/>
      <c r="AM262" s="238"/>
      <c r="AN262" s="238"/>
      <c r="AO262" s="238"/>
      <c r="AP262" s="238"/>
      <c r="AQ262" s="239"/>
      <c r="AR262" s="237">
        <f>COUNTIFS('Form Details'!$D:$D,"&lt;"&amp;'Adv. Filter'!$A$15,'Form Details'!$N:$N,"Mahesh",'Form Details'!$J:$J,$C262,'Form Details'!$W:$W,"No Fee")</f>
        <v>0</v>
      </c>
      <c r="AS262" s="238"/>
      <c r="AT262" s="238"/>
      <c r="AU262" s="238"/>
      <c r="AV262" s="238"/>
      <c r="AW262" s="238"/>
      <c r="AX262" s="239"/>
      <c r="AY262" s="237">
        <f>COUNTIFS('Form Details'!$D:$D,"&lt;"&amp;'Adv. Filter'!$A$15,'Form Details'!$N:$N,"Mahesh",'Form Details'!$J:$J,$C262,'Form Details'!$W:$W,"Paid/Reject")</f>
        <v>0</v>
      </c>
      <c r="AZ262" s="238"/>
      <c r="BA262" s="238"/>
      <c r="BB262" s="238"/>
      <c r="BC262" s="238"/>
      <c r="BD262" s="238"/>
      <c r="BE262" s="239"/>
      <c r="BF262" s="237">
        <f>COUNTIFS('Form Details'!$D:$D,"&lt;"&amp;'Adv. Filter'!$A$15,'Form Details'!$N:$N,"Mahesh",'Form Details'!$J:$J,$C262,'Form Details'!$W:$W,"Staff")</f>
        <v>0</v>
      </c>
      <c r="BG262" s="238"/>
      <c r="BH262" s="238"/>
      <c r="BI262" s="238"/>
      <c r="BJ262" s="238"/>
      <c r="BK262" s="238"/>
      <c r="BL262" s="239"/>
      <c r="BM262" s="237">
        <f>COUNTIFS('Form Details'!$D:$D,"&lt;"&amp;'Adv. Filter'!$A$15,'Form Details'!$N:$N,"Mahesh",'Form Details'!$J:$J,$C262,'Form Details'!$W:$W,"File In Office")</f>
        <v>0</v>
      </c>
      <c r="BN262" s="238"/>
      <c r="BO262" s="238"/>
      <c r="BP262" s="238"/>
      <c r="BQ262" s="238"/>
      <c r="BR262" s="238"/>
      <c r="BS262" s="239"/>
      <c r="BU262" s="237">
        <f>COUNTIFS('Form Details'!$D:$D,"&lt;"&amp;'Adv. Filter'!$A$15,'Form Details'!$N:$N,"Mahesh",'Form Details'!$J:$J,$C262,'Form Details'!$AA:$AA,"No")</f>
        <v>0</v>
      </c>
      <c r="BV262" s="238"/>
      <c r="BW262" s="238"/>
      <c r="BX262" s="238"/>
      <c r="BY262" s="238"/>
      <c r="BZ262" s="238"/>
      <c r="CA262" s="239"/>
      <c r="CB262" s="237">
        <f>COUNTIFS('Form Details'!$D:$D,"&lt;"&amp;'Adv. Filter'!$A$15,'Form Details'!$N:$N,"Mahesh",'Form Details'!$J:$J,$C262,'Form Details'!$W:$W,"Adv/Paid")</f>
        <v>0</v>
      </c>
      <c r="CC262" s="238"/>
      <c r="CD262" s="238"/>
      <c r="CE262" s="238"/>
      <c r="CF262" s="238"/>
      <c r="CG262" s="238"/>
      <c r="CH262" s="239"/>
      <c r="CI262" s="237">
        <f>COUNTIFS('Form Details'!$D:$D,"&lt;"&amp;'Adv. Filter'!$A$15,'Form Details'!$N:$N,"Mahesh",'Form Details'!$J:$J,$C262,'Form Details'!$W:$W,"Adv/Paid/Reject")</f>
        <v>0</v>
      </c>
      <c r="CJ262" s="238"/>
      <c r="CK262" s="238"/>
      <c r="CL262" s="238"/>
      <c r="CM262" s="238"/>
      <c r="CN262" s="238"/>
      <c r="CO262" s="239"/>
      <c r="CP262" s="237">
        <f>COUNTIFS('Form Details'!$D:$D,"&lt;"&amp;'Adv. Filter'!$A$15,'Form Details'!$N:$N,"Mahesh",'Form Details'!$J:$J,$C262,'Form Details'!$W:$W,"Reject")</f>
        <v>0</v>
      </c>
      <c r="CQ262" s="238"/>
      <c r="CR262" s="238"/>
      <c r="CS262" s="238"/>
      <c r="CT262" s="238"/>
      <c r="CU262" s="238"/>
      <c r="CV262" s="239"/>
      <c r="CW262" s="237">
        <f>COUNTIFS('Form Details'!$D:$D,"&lt;"&amp;'Adv. Filter'!$A$15,'Form Details'!$N:$N,"Mahesh",'Form Details'!$J:$J,$C262,'Form Details'!$W:$W,"Adv/Paid/Pending")</f>
        <v>0</v>
      </c>
      <c r="CX262" s="238"/>
      <c r="CY262" s="238"/>
      <c r="CZ262" s="238"/>
      <c r="DA262" s="238"/>
      <c r="DB262" s="238"/>
      <c r="DC262" s="239"/>
      <c r="DD262" s="237">
        <f>COUNTIFS('Form Details'!$D:$D,"&lt;"&amp;'Adv. Filter'!$A$15,'Form Details'!$N:$N,"Mahesh",'Form Details'!$J:$J,$C262,'Form Details'!$W:$W,"Pending")</f>
        <v>0</v>
      </c>
      <c r="DE262" s="238"/>
      <c r="DF262" s="238"/>
      <c r="DG262" s="238"/>
      <c r="DH262" s="238"/>
      <c r="DI262" s="238"/>
      <c r="DJ262" s="239"/>
      <c r="DK262" s="237">
        <f>COUNTIFS('Form Details'!$D:$D,"&lt;"&amp;'Adv. Filter'!$A$15,'Form Details'!$N:$N,"Mahesh",'Form Details'!$J:$J,$C262,'Form Details'!$W:$W,"Adv/Paid/NoStatus")</f>
        <v>0</v>
      </c>
      <c r="DL262" s="238"/>
      <c r="DM262" s="238"/>
      <c r="DN262" s="238"/>
      <c r="DO262" s="238"/>
      <c r="DP262" s="238"/>
      <c r="DQ262" s="239"/>
      <c r="DR262" s="237">
        <f>COUNTIFS('Form Details'!$D:$D,"&lt;"&amp;'Adv. Filter'!$A$15,'Form Details'!$N:$N,"Mahesh",'Form Details'!$J:$J,$C262,'Form Details'!$W:$W,"No Status")</f>
        <v>0</v>
      </c>
      <c r="DS262" s="238"/>
      <c r="DT262" s="238"/>
      <c r="DU262" s="238"/>
      <c r="DV262" s="238"/>
      <c r="DW262" s="238"/>
      <c r="DX262" s="239"/>
      <c r="DY262" s="237">
        <f>SUM(COUNTIFS('Form Details'!$D:$D,"&lt;"&amp;'Adv. Filter'!$A$15,'Form Details'!$N:$N,"Mahesh",'Form Details'!$J:$J,$C262,'Form Details'!$W:$W,{"Wrong Entry ","Double Entry"}))</f>
        <v>0</v>
      </c>
      <c r="DZ262" s="238"/>
      <c r="EA262" s="238"/>
      <c r="EB262" s="238"/>
      <c r="EC262" s="238"/>
      <c r="ED262" s="238"/>
      <c r="EE262" s="239"/>
    </row>
    <row r="263" spans="3:135" hidden="1">
      <c r="C263" s="248" t="s">
        <v>92</v>
      </c>
      <c r="D263" s="249"/>
      <c r="E263" s="249"/>
      <c r="F263" s="249"/>
      <c r="G263" s="249"/>
      <c r="H263" s="249"/>
      <c r="I263" s="249"/>
      <c r="J263" s="249"/>
      <c r="K263" s="249"/>
      <c r="L263" s="249"/>
      <c r="M263" s="249"/>
      <c r="N263" s="249"/>
      <c r="O263" s="237">
        <f>COUNTIFS('Form Details'!$D:$D,"&lt;"&amp;'Adv. Filter'!$A$15,'Form Details'!$N:$N,"Mahesh",'Form Details'!$J:$J,$C263)</f>
        <v>0</v>
      </c>
      <c r="P263" s="238"/>
      <c r="Q263" s="238"/>
      <c r="R263" s="238"/>
      <c r="S263" s="238"/>
      <c r="T263" s="238"/>
      <c r="U263" s="239"/>
      <c r="W263" s="237">
        <f>COUNTIFS('Form Details'!$D:$D,"&lt;"&amp;'Adv. Filter'!$A$15,'Form Details'!$N:$N,"Mahesh",'Form Details'!$J:$J,$C263,'Form Details'!$AA:$AA,"Yes")</f>
        <v>0</v>
      </c>
      <c r="X263" s="238"/>
      <c r="Y263" s="238"/>
      <c r="Z263" s="238"/>
      <c r="AA263" s="238"/>
      <c r="AB263" s="238"/>
      <c r="AC263" s="239"/>
      <c r="AD263" s="237">
        <f>COUNTIFS('Form Details'!$D:$D,"&lt;"&amp;'Adv. Filter'!$A$15,'Form Details'!$N:$N,"Mahesh",'Form Details'!$J:$J,$C263,'Form Details'!$W:$W,"Paid",'Form Details'!$S:$S,'Adv. Filter'!$A$14,'Form Details'!$S:$S,'Adv. Filter'!$B$14)</f>
        <v>0</v>
      </c>
      <c r="AE263" s="238"/>
      <c r="AF263" s="238"/>
      <c r="AG263" s="238"/>
      <c r="AH263" s="238"/>
      <c r="AI263" s="238"/>
      <c r="AJ263" s="239"/>
      <c r="AK263" s="237">
        <f>COUNTIFS('Form Details'!$D:$D,"&lt;"&amp;'Adv. Filter'!$A$15,'Form Details'!$N:$N,"Mahesh",'Form Details'!$J:$J,$C263,'Form Details'!$W:$W,"Due")</f>
        <v>0</v>
      </c>
      <c r="AL263" s="238"/>
      <c r="AM263" s="238"/>
      <c r="AN263" s="238"/>
      <c r="AO263" s="238"/>
      <c r="AP263" s="238"/>
      <c r="AQ263" s="239"/>
      <c r="AR263" s="237">
        <f>COUNTIFS('Form Details'!$D:$D,"&lt;"&amp;'Adv. Filter'!$A$15,'Form Details'!$N:$N,"Mahesh",'Form Details'!$J:$J,$C263,'Form Details'!$W:$W,"No Fee")</f>
        <v>0</v>
      </c>
      <c r="AS263" s="238"/>
      <c r="AT263" s="238"/>
      <c r="AU263" s="238"/>
      <c r="AV263" s="238"/>
      <c r="AW263" s="238"/>
      <c r="AX263" s="239"/>
      <c r="AY263" s="237">
        <f>COUNTIFS('Form Details'!$D:$D,"&lt;"&amp;'Adv. Filter'!$A$15,'Form Details'!$N:$N,"Mahesh",'Form Details'!$J:$J,$C263,'Form Details'!$W:$W,"Paid/Reject")</f>
        <v>0</v>
      </c>
      <c r="AZ263" s="238"/>
      <c r="BA263" s="238"/>
      <c r="BB263" s="238"/>
      <c r="BC263" s="238"/>
      <c r="BD263" s="238"/>
      <c r="BE263" s="239"/>
      <c r="BF263" s="237">
        <f>COUNTIFS('Form Details'!$D:$D,"&lt;"&amp;'Adv. Filter'!$A$15,'Form Details'!$N:$N,"Mahesh",'Form Details'!$J:$J,$C263,'Form Details'!$W:$W,"Staff")</f>
        <v>0</v>
      </c>
      <c r="BG263" s="238"/>
      <c r="BH263" s="238"/>
      <c r="BI263" s="238"/>
      <c r="BJ263" s="238"/>
      <c r="BK263" s="238"/>
      <c r="BL263" s="239"/>
      <c r="BM263" s="237">
        <f>COUNTIFS('Form Details'!$D:$D,"&lt;"&amp;'Adv. Filter'!$A$15,'Form Details'!$N:$N,"Mahesh",'Form Details'!$J:$J,$C263,'Form Details'!$W:$W,"File In Office")</f>
        <v>0</v>
      </c>
      <c r="BN263" s="238"/>
      <c r="BO263" s="238"/>
      <c r="BP263" s="238"/>
      <c r="BQ263" s="238"/>
      <c r="BR263" s="238"/>
      <c r="BS263" s="239"/>
      <c r="BU263" s="237">
        <f>COUNTIFS('Form Details'!$D:$D,"&lt;"&amp;'Adv. Filter'!$A$15,'Form Details'!$N:$N,"Mahesh",'Form Details'!$J:$J,$C263,'Form Details'!$AA:$AA,"No")</f>
        <v>0</v>
      </c>
      <c r="BV263" s="238"/>
      <c r="BW263" s="238"/>
      <c r="BX263" s="238"/>
      <c r="BY263" s="238"/>
      <c r="BZ263" s="238"/>
      <c r="CA263" s="239"/>
      <c r="CB263" s="237">
        <f>COUNTIFS('Form Details'!$D:$D,"&lt;"&amp;'Adv. Filter'!$A$15,'Form Details'!$N:$N,"Mahesh",'Form Details'!$J:$J,$C263,'Form Details'!$W:$W,"Adv/Paid")</f>
        <v>0</v>
      </c>
      <c r="CC263" s="238"/>
      <c r="CD263" s="238"/>
      <c r="CE263" s="238"/>
      <c r="CF263" s="238"/>
      <c r="CG263" s="238"/>
      <c r="CH263" s="239"/>
      <c r="CI263" s="237">
        <f>COUNTIFS('Form Details'!$D:$D,"&lt;"&amp;'Adv. Filter'!$A$15,'Form Details'!$N:$N,"Mahesh",'Form Details'!$J:$J,$C263,'Form Details'!$W:$W,"Adv/Paid/Reject")</f>
        <v>0</v>
      </c>
      <c r="CJ263" s="238"/>
      <c r="CK263" s="238"/>
      <c r="CL263" s="238"/>
      <c r="CM263" s="238"/>
      <c r="CN263" s="238"/>
      <c r="CO263" s="239"/>
      <c r="CP263" s="237">
        <f>COUNTIFS('Form Details'!$D:$D,"&lt;"&amp;'Adv. Filter'!$A$15,'Form Details'!$N:$N,"Mahesh",'Form Details'!$J:$J,$C263,'Form Details'!$W:$W,"Reject")</f>
        <v>0</v>
      </c>
      <c r="CQ263" s="238"/>
      <c r="CR263" s="238"/>
      <c r="CS263" s="238"/>
      <c r="CT263" s="238"/>
      <c r="CU263" s="238"/>
      <c r="CV263" s="239"/>
      <c r="CW263" s="237">
        <f>COUNTIFS('Form Details'!$D:$D,"&lt;"&amp;'Adv. Filter'!$A$15,'Form Details'!$N:$N,"Mahesh",'Form Details'!$J:$J,$C263,'Form Details'!$W:$W,"Adv/Paid/Pending")</f>
        <v>0</v>
      </c>
      <c r="CX263" s="238"/>
      <c r="CY263" s="238"/>
      <c r="CZ263" s="238"/>
      <c r="DA263" s="238"/>
      <c r="DB263" s="238"/>
      <c r="DC263" s="239"/>
      <c r="DD263" s="237">
        <f>COUNTIFS('Form Details'!$D:$D,"&lt;"&amp;'Adv. Filter'!$A$15,'Form Details'!$N:$N,"Mahesh",'Form Details'!$J:$J,$C263,'Form Details'!$W:$W,"Pending")</f>
        <v>0</v>
      </c>
      <c r="DE263" s="238"/>
      <c r="DF263" s="238"/>
      <c r="DG263" s="238"/>
      <c r="DH263" s="238"/>
      <c r="DI263" s="238"/>
      <c r="DJ263" s="239"/>
      <c r="DK263" s="237">
        <f>COUNTIFS('Form Details'!$D:$D,"&lt;"&amp;'Adv. Filter'!$A$15,'Form Details'!$N:$N,"Mahesh",'Form Details'!$J:$J,$C263,'Form Details'!$W:$W,"Adv/Paid/NoStatus")</f>
        <v>0</v>
      </c>
      <c r="DL263" s="238"/>
      <c r="DM263" s="238"/>
      <c r="DN263" s="238"/>
      <c r="DO263" s="238"/>
      <c r="DP263" s="238"/>
      <c r="DQ263" s="239"/>
      <c r="DR263" s="237">
        <f>COUNTIFS('Form Details'!$D:$D,"&lt;"&amp;'Adv. Filter'!$A$15,'Form Details'!$N:$N,"Mahesh",'Form Details'!$J:$J,$C263,'Form Details'!$W:$W,"No Status")</f>
        <v>0</v>
      </c>
      <c r="DS263" s="238"/>
      <c r="DT263" s="238"/>
      <c r="DU263" s="238"/>
      <c r="DV263" s="238"/>
      <c r="DW263" s="238"/>
      <c r="DX263" s="239"/>
      <c r="DY263" s="237">
        <f>SUM(COUNTIFS('Form Details'!$D:$D,"&lt;"&amp;'Adv. Filter'!$A$15,'Form Details'!$N:$N,"Mahesh",'Form Details'!$J:$J,$C263,'Form Details'!$W:$W,{"Wrong Entry ","Double Entry"}))</f>
        <v>0</v>
      </c>
      <c r="DZ263" s="238"/>
      <c r="EA263" s="238"/>
      <c r="EB263" s="238"/>
      <c r="EC263" s="238"/>
      <c r="ED263" s="238"/>
      <c r="EE263" s="239"/>
    </row>
    <row r="264" spans="3:135" hidden="1">
      <c r="C264" s="248" t="s">
        <v>97</v>
      </c>
      <c r="D264" s="249"/>
      <c r="E264" s="249"/>
      <c r="F264" s="249"/>
      <c r="G264" s="249"/>
      <c r="H264" s="249"/>
      <c r="I264" s="249"/>
      <c r="J264" s="249"/>
      <c r="K264" s="249"/>
      <c r="L264" s="249"/>
      <c r="M264" s="249"/>
      <c r="N264" s="249"/>
      <c r="O264" s="237">
        <f>COUNTIFS('Form Details'!$D:$D,"&lt;"&amp;'Adv. Filter'!$A$15,'Form Details'!$N:$N,"Mahesh",'Form Details'!$J:$J,$C264)</f>
        <v>0</v>
      </c>
      <c r="P264" s="238"/>
      <c r="Q264" s="238"/>
      <c r="R264" s="238"/>
      <c r="S264" s="238"/>
      <c r="T264" s="238"/>
      <c r="U264" s="239"/>
      <c r="W264" s="237">
        <f>COUNTIFS('Form Details'!$D:$D,"&lt;"&amp;'Adv. Filter'!$A$15,'Form Details'!$N:$N,"Mahesh",'Form Details'!$J:$J,$C264,'Form Details'!$AA:$AA,"Yes")</f>
        <v>0</v>
      </c>
      <c r="X264" s="238"/>
      <c r="Y264" s="238"/>
      <c r="Z264" s="238"/>
      <c r="AA264" s="238"/>
      <c r="AB264" s="238"/>
      <c r="AC264" s="239"/>
      <c r="AD264" s="237">
        <f>COUNTIFS('Form Details'!$D:$D,"&lt;"&amp;'Adv. Filter'!$A$15,'Form Details'!$N:$N,"Mahesh",'Form Details'!$J:$J,$C264,'Form Details'!$W:$W,"Paid",'Form Details'!$S:$S,'Adv. Filter'!$A$14,'Form Details'!$S:$S,'Adv. Filter'!$B$14)</f>
        <v>0</v>
      </c>
      <c r="AE264" s="238"/>
      <c r="AF264" s="238"/>
      <c r="AG264" s="238"/>
      <c r="AH264" s="238"/>
      <c r="AI264" s="238"/>
      <c r="AJ264" s="239"/>
      <c r="AK264" s="237">
        <f>COUNTIFS('Form Details'!$D:$D,"&lt;"&amp;'Adv. Filter'!$A$15,'Form Details'!$N:$N,"Mahesh",'Form Details'!$J:$J,$C264,'Form Details'!$W:$W,"Due")</f>
        <v>0</v>
      </c>
      <c r="AL264" s="238"/>
      <c r="AM264" s="238"/>
      <c r="AN264" s="238"/>
      <c r="AO264" s="238"/>
      <c r="AP264" s="238"/>
      <c r="AQ264" s="239"/>
      <c r="AR264" s="237">
        <f>COUNTIFS('Form Details'!$D:$D,"&lt;"&amp;'Adv. Filter'!$A$15,'Form Details'!$N:$N,"Mahesh",'Form Details'!$J:$J,$C264,'Form Details'!$W:$W,"No Fee")</f>
        <v>0</v>
      </c>
      <c r="AS264" s="238"/>
      <c r="AT264" s="238"/>
      <c r="AU264" s="238"/>
      <c r="AV264" s="238"/>
      <c r="AW264" s="238"/>
      <c r="AX264" s="239"/>
      <c r="AY264" s="237">
        <f>COUNTIFS('Form Details'!$D:$D,"&lt;"&amp;'Adv. Filter'!$A$15,'Form Details'!$N:$N,"Mahesh",'Form Details'!$J:$J,$C264,'Form Details'!$W:$W,"Paid/Reject")</f>
        <v>0</v>
      </c>
      <c r="AZ264" s="238"/>
      <c r="BA264" s="238"/>
      <c r="BB264" s="238"/>
      <c r="BC264" s="238"/>
      <c r="BD264" s="238"/>
      <c r="BE264" s="239"/>
      <c r="BF264" s="237">
        <f>COUNTIFS('Form Details'!$D:$D,"&lt;"&amp;'Adv. Filter'!$A$15,'Form Details'!$N:$N,"Mahesh",'Form Details'!$J:$J,$C264,'Form Details'!$W:$W,"Staff")</f>
        <v>0</v>
      </c>
      <c r="BG264" s="238"/>
      <c r="BH264" s="238"/>
      <c r="BI264" s="238"/>
      <c r="BJ264" s="238"/>
      <c r="BK264" s="238"/>
      <c r="BL264" s="239"/>
      <c r="BM264" s="237">
        <f>COUNTIFS('Form Details'!$D:$D,"&lt;"&amp;'Adv. Filter'!$A$15,'Form Details'!$N:$N,"Mahesh",'Form Details'!$J:$J,$C264,'Form Details'!$W:$W,"File In Office")</f>
        <v>0</v>
      </c>
      <c r="BN264" s="238"/>
      <c r="BO264" s="238"/>
      <c r="BP264" s="238"/>
      <c r="BQ264" s="238"/>
      <c r="BR264" s="238"/>
      <c r="BS264" s="239"/>
      <c r="BU264" s="237">
        <f>COUNTIFS('Form Details'!$D:$D,"&lt;"&amp;'Adv. Filter'!$A$15,'Form Details'!$N:$N,"Mahesh",'Form Details'!$J:$J,$C264,'Form Details'!$AA:$AA,"No")</f>
        <v>0</v>
      </c>
      <c r="BV264" s="238"/>
      <c r="BW264" s="238"/>
      <c r="BX264" s="238"/>
      <c r="BY264" s="238"/>
      <c r="BZ264" s="238"/>
      <c r="CA264" s="239"/>
      <c r="CB264" s="237">
        <f>COUNTIFS('Form Details'!$D:$D,"&lt;"&amp;'Adv. Filter'!$A$15,'Form Details'!$N:$N,"Mahesh",'Form Details'!$J:$J,$C264,'Form Details'!$W:$W,"Adv/Paid")</f>
        <v>0</v>
      </c>
      <c r="CC264" s="238"/>
      <c r="CD264" s="238"/>
      <c r="CE264" s="238"/>
      <c r="CF264" s="238"/>
      <c r="CG264" s="238"/>
      <c r="CH264" s="239"/>
      <c r="CI264" s="237">
        <f>COUNTIFS('Form Details'!$D:$D,"&lt;"&amp;'Adv. Filter'!$A$15,'Form Details'!$N:$N,"Mahesh",'Form Details'!$J:$J,$C264,'Form Details'!$W:$W,"Adv/Paid/Reject")</f>
        <v>0</v>
      </c>
      <c r="CJ264" s="238"/>
      <c r="CK264" s="238"/>
      <c r="CL264" s="238"/>
      <c r="CM264" s="238"/>
      <c r="CN264" s="238"/>
      <c r="CO264" s="239"/>
      <c r="CP264" s="237">
        <f>COUNTIFS('Form Details'!$D:$D,"&lt;"&amp;'Adv. Filter'!$A$15,'Form Details'!$N:$N,"Mahesh",'Form Details'!$J:$J,$C264,'Form Details'!$W:$W,"Reject")</f>
        <v>0</v>
      </c>
      <c r="CQ264" s="238"/>
      <c r="CR264" s="238"/>
      <c r="CS264" s="238"/>
      <c r="CT264" s="238"/>
      <c r="CU264" s="238"/>
      <c r="CV264" s="239"/>
      <c r="CW264" s="237">
        <f>COUNTIFS('Form Details'!$D:$D,"&lt;"&amp;'Adv. Filter'!$A$15,'Form Details'!$N:$N,"Mahesh",'Form Details'!$J:$J,$C264,'Form Details'!$W:$W,"Adv/Paid/Pending")</f>
        <v>0</v>
      </c>
      <c r="CX264" s="238"/>
      <c r="CY264" s="238"/>
      <c r="CZ264" s="238"/>
      <c r="DA264" s="238"/>
      <c r="DB264" s="238"/>
      <c r="DC264" s="239"/>
      <c r="DD264" s="237">
        <f>COUNTIFS('Form Details'!$D:$D,"&lt;"&amp;'Adv. Filter'!$A$15,'Form Details'!$N:$N,"Mahesh",'Form Details'!$J:$J,$C264,'Form Details'!$W:$W,"Pending")</f>
        <v>0</v>
      </c>
      <c r="DE264" s="238"/>
      <c r="DF264" s="238"/>
      <c r="DG264" s="238"/>
      <c r="DH264" s="238"/>
      <c r="DI264" s="238"/>
      <c r="DJ264" s="239"/>
      <c r="DK264" s="237">
        <f>COUNTIFS('Form Details'!$D:$D,"&lt;"&amp;'Adv. Filter'!$A$15,'Form Details'!$N:$N,"Mahesh",'Form Details'!$J:$J,$C264,'Form Details'!$W:$W,"Adv/Paid/NoStatus")</f>
        <v>0</v>
      </c>
      <c r="DL264" s="238"/>
      <c r="DM264" s="238"/>
      <c r="DN264" s="238"/>
      <c r="DO264" s="238"/>
      <c r="DP264" s="238"/>
      <c r="DQ264" s="239"/>
      <c r="DR264" s="237">
        <f>COUNTIFS('Form Details'!$D:$D,"&lt;"&amp;'Adv. Filter'!$A$15,'Form Details'!$N:$N,"Mahesh",'Form Details'!$J:$J,$C264,'Form Details'!$W:$W,"No Status")</f>
        <v>0</v>
      </c>
      <c r="DS264" s="238"/>
      <c r="DT264" s="238"/>
      <c r="DU264" s="238"/>
      <c r="DV264" s="238"/>
      <c r="DW264" s="238"/>
      <c r="DX264" s="239"/>
      <c r="DY264" s="237">
        <f>SUM(COUNTIFS('Form Details'!$D:$D,"&lt;"&amp;'Adv. Filter'!$A$15,'Form Details'!$N:$N,"Mahesh",'Form Details'!$J:$J,$C264,'Form Details'!$W:$W,{"Wrong Entry ","Double Entry"}))</f>
        <v>0</v>
      </c>
      <c r="DZ264" s="238"/>
      <c r="EA264" s="238"/>
      <c r="EB264" s="238"/>
      <c r="EC264" s="238"/>
      <c r="ED264" s="238"/>
      <c r="EE264" s="239"/>
    </row>
    <row r="265" spans="3:135" ht="15.75" hidden="1" thickBot="1">
      <c r="C265" s="248" t="s">
        <v>102</v>
      </c>
      <c r="D265" s="249"/>
      <c r="E265" s="249"/>
      <c r="F265" s="249"/>
      <c r="G265" s="249"/>
      <c r="H265" s="249"/>
      <c r="I265" s="249"/>
      <c r="J265" s="249"/>
      <c r="K265" s="249"/>
      <c r="L265" s="249"/>
      <c r="M265" s="249"/>
      <c r="N265" s="249"/>
      <c r="O265" s="237">
        <f>COUNTIFS('Form Details'!$D:$D,"&lt;"&amp;'Adv. Filter'!$A$15,'Form Details'!$N:$N,"Mahesh",'Form Details'!$J:$J,$C265)</f>
        <v>20</v>
      </c>
      <c r="P265" s="238"/>
      <c r="Q265" s="238"/>
      <c r="R265" s="238"/>
      <c r="S265" s="238"/>
      <c r="T265" s="238"/>
      <c r="U265" s="239"/>
      <c r="W265" s="237">
        <f>COUNTIFS('Form Details'!$D:$D,"&lt;"&amp;'Adv. Filter'!$A$15,'Form Details'!$N:$N,"Mahesh",'Form Details'!$J:$J,$C265,'Form Details'!$AA:$AA,"Yes")</f>
        <v>20</v>
      </c>
      <c r="X265" s="238"/>
      <c r="Y265" s="238"/>
      <c r="Z265" s="238"/>
      <c r="AA265" s="238"/>
      <c r="AB265" s="238"/>
      <c r="AC265" s="239"/>
      <c r="AD265" s="237">
        <f>COUNTIFS('Form Details'!$D:$D,"&lt;"&amp;'Adv. Filter'!$A$15,'Form Details'!$N:$N,"Mahesh",'Form Details'!$J:$J,$C265,'Form Details'!$W:$W,"Paid",'Form Details'!$S:$S,'Adv. Filter'!$A$14,'Form Details'!$S:$S,'Adv. Filter'!$B$14)</f>
        <v>1</v>
      </c>
      <c r="AE265" s="238"/>
      <c r="AF265" s="238"/>
      <c r="AG265" s="238"/>
      <c r="AH265" s="238"/>
      <c r="AI265" s="238"/>
      <c r="AJ265" s="239"/>
      <c r="AK265" s="237">
        <f>COUNTIFS('Form Details'!$D:$D,"&lt;"&amp;'Adv. Filter'!$A$15,'Form Details'!$N:$N,"Mahesh",'Form Details'!$J:$J,$C265,'Form Details'!$W:$W,"Due")</f>
        <v>19</v>
      </c>
      <c r="AL265" s="238"/>
      <c r="AM265" s="238"/>
      <c r="AN265" s="238"/>
      <c r="AO265" s="238"/>
      <c r="AP265" s="238"/>
      <c r="AQ265" s="239"/>
      <c r="AR265" s="237">
        <f>COUNTIFS('Form Details'!$D:$D,"&lt;"&amp;'Adv. Filter'!$A$15,'Form Details'!$N:$N,"Mahesh",'Form Details'!$J:$J,$C265,'Form Details'!$W:$W,"No Fee")</f>
        <v>0</v>
      </c>
      <c r="AS265" s="238"/>
      <c r="AT265" s="238"/>
      <c r="AU265" s="238"/>
      <c r="AV265" s="238"/>
      <c r="AW265" s="238"/>
      <c r="AX265" s="239"/>
      <c r="AY265" s="237">
        <f>COUNTIFS('Form Details'!$D:$D,"&lt;"&amp;'Adv. Filter'!$A$15,'Form Details'!$N:$N,"Mahesh",'Form Details'!$J:$J,$C265,'Form Details'!$W:$W,"Paid/Reject")</f>
        <v>0</v>
      </c>
      <c r="AZ265" s="238"/>
      <c r="BA265" s="238"/>
      <c r="BB265" s="238"/>
      <c r="BC265" s="238"/>
      <c r="BD265" s="238"/>
      <c r="BE265" s="239"/>
      <c r="BF265" s="237">
        <f>COUNTIFS('Form Details'!$D:$D,"&lt;"&amp;'Adv. Filter'!$A$15,'Form Details'!$N:$N,"Mahesh",'Form Details'!$J:$J,$C265,'Form Details'!$W:$W,"Staff")</f>
        <v>0</v>
      </c>
      <c r="BG265" s="238"/>
      <c r="BH265" s="238"/>
      <c r="BI265" s="238"/>
      <c r="BJ265" s="238"/>
      <c r="BK265" s="238"/>
      <c r="BL265" s="239"/>
      <c r="BM265" s="237">
        <f>COUNTIFS('Form Details'!$D:$D,"&lt;"&amp;'Adv. Filter'!$A$15,'Form Details'!$N:$N,"Mahesh",'Form Details'!$J:$J,$C265,'Form Details'!$W:$W,"File In Office")</f>
        <v>0</v>
      </c>
      <c r="BN265" s="238"/>
      <c r="BO265" s="238"/>
      <c r="BP265" s="238"/>
      <c r="BQ265" s="238"/>
      <c r="BR265" s="238"/>
      <c r="BS265" s="239"/>
      <c r="BU265" s="237">
        <f>COUNTIFS('Form Details'!$D:$D,"&lt;"&amp;'Adv. Filter'!$A$15,'Form Details'!$N:$N,"Mahesh",'Form Details'!$J:$J,$C265,'Form Details'!$AA:$AA,"No")</f>
        <v>0</v>
      </c>
      <c r="BV265" s="238"/>
      <c r="BW265" s="238"/>
      <c r="BX265" s="238"/>
      <c r="BY265" s="238"/>
      <c r="BZ265" s="238"/>
      <c r="CA265" s="239"/>
      <c r="CB265" s="237">
        <f>COUNTIFS('Form Details'!$D:$D,"&lt;"&amp;'Adv. Filter'!$A$15,'Form Details'!$N:$N,"Mahesh",'Form Details'!$J:$J,$C265,'Form Details'!$W:$W,"Adv/Paid")</f>
        <v>0</v>
      </c>
      <c r="CC265" s="238"/>
      <c r="CD265" s="238"/>
      <c r="CE265" s="238"/>
      <c r="CF265" s="238"/>
      <c r="CG265" s="238"/>
      <c r="CH265" s="239"/>
      <c r="CI265" s="237">
        <f>COUNTIFS('Form Details'!$D:$D,"&lt;"&amp;'Adv. Filter'!$A$15,'Form Details'!$N:$N,"Mahesh",'Form Details'!$J:$J,$C265,'Form Details'!$W:$W,"Adv/Paid/Reject")</f>
        <v>0</v>
      </c>
      <c r="CJ265" s="238"/>
      <c r="CK265" s="238"/>
      <c r="CL265" s="238"/>
      <c r="CM265" s="238"/>
      <c r="CN265" s="238"/>
      <c r="CO265" s="239"/>
      <c r="CP265" s="237">
        <f>COUNTIFS('Form Details'!$D:$D,"&lt;"&amp;'Adv. Filter'!$A$15,'Form Details'!$N:$N,"Mahesh",'Form Details'!$J:$J,$C265,'Form Details'!$W:$W,"Reject")</f>
        <v>0</v>
      </c>
      <c r="CQ265" s="238"/>
      <c r="CR265" s="238"/>
      <c r="CS265" s="238"/>
      <c r="CT265" s="238"/>
      <c r="CU265" s="238"/>
      <c r="CV265" s="239"/>
      <c r="CW265" s="237">
        <f>COUNTIFS('Form Details'!$D:$D,"&lt;"&amp;'Adv. Filter'!$A$15,'Form Details'!$N:$N,"Mahesh",'Form Details'!$J:$J,$C265,'Form Details'!$W:$W,"Adv/Paid/Pending")</f>
        <v>0</v>
      </c>
      <c r="CX265" s="238"/>
      <c r="CY265" s="238"/>
      <c r="CZ265" s="238"/>
      <c r="DA265" s="238"/>
      <c r="DB265" s="238"/>
      <c r="DC265" s="239"/>
      <c r="DD265" s="237">
        <f>COUNTIFS('Form Details'!$D:$D,"&lt;"&amp;'Adv. Filter'!$A$15,'Form Details'!$N:$N,"Mahesh",'Form Details'!$J:$J,$C265,'Form Details'!$W:$W,"Pending")</f>
        <v>0</v>
      </c>
      <c r="DE265" s="238"/>
      <c r="DF265" s="238"/>
      <c r="DG265" s="238"/>
      <c r="DH265" s="238"/>
      <c r="DI265" s="238"/>
      <c r="DJ265" s="239"/>
      <c r="DK265" s="237">
        <f>COUNTIFS('Form Details'!$D:$D,"&lt;"&amp;'Adv. Filter'!$A$15,'Form Details'!$N:$N,"Mahesh",'Form Details'!$J:$J,$C265,'Form Details'!$W:$W,"Adv/Paid/NoStatus")</f>
        <v>0</v>
      </c>
      <c r="DL265" s="238"/>
      <c r="DM265" s="238"/>
      <c r="DN265" s="238"/>
      <c r="DO265" s="238"/>
      <c r="DP265" s="238"/>
      <c r="DQ265" s="239"/>
      <c r="DR265" s="237">
        <f>COUNTIFS('Form Details'!$D:$D,"&lt;"&amp;'Adv. Filter'!$A$15,'Form Details'!$N:$N,"Mahesh",'Form Details'!$J:$J,$C265,'Form Details'!$W:$W,"No Status")</f>
        <v>0</v>
      </c>
      <c r="DS265" s="238"/>
      <c r="DT265" s="238"/>
      <c r="DU265" s="238"/>
      <c r="DV265" s="238"/>
      <c r="DW265" s="238"/>
      <c r="DX265" s="239"/>
      <c r="DY265" s="237">
        <f>SUM(COUNTIFS('Form Details'!$D:$D,"&lt;"&amp;'Adv. Filter'!$A$15,'Form Details'!$N:$N,"Mahesh",'Form Details'!$J:$J,$C265,'Form Details'!$W:$W,{"Wrong Entry ","Double Entry"}))</f>
        <v>0</v>
      </c>
      <c r="DZ265" s="238"/>
      <c r="EA265" s="238"/>
      <c r="EB265" s="238"/>
      <c r="EC265" s="238"/>
      <c r="ED265" s="238"/>
      <c r="EE265" s="239"/>
    </row>
    <row r="266" spans="3:135" ht="15.75" hidden="1" thickBot="1">
      <c r="C266" s="248" t="s">
        <v>108</v>
      </c>
      <c r="D266" s="249"/>
      <c r="E266" s="249"/>
      <c r="F266" s="249"/>
      <c r="G266" s="249"/>
      <c r="H266" s="249"/>
      <c r="I266" s="249"/>
      <c r="J266" s="249"/>
      <c r="K266" s="249"/>
      <c r="L266" s="249"/>
      <c r="M266" s="249"/>
      <c r="N266" s="249"/>
      <c r="O266" s="237">
        <f>COUNTIFS('Form Details'!$D:$D,"&lt;"&amp;'Adv. Filter'!$A$15,'Form Details'!$N:$N,"Mahesh",'Form Details'!$J:$J,$C266)</f>
        <v>0</v>
      </c>
      <c r="P266" s="238"/>
      <c r="Q266" s="238"/>
      <c r="R266" s="238"/>
      <c r="S266" s="238"/>
      <c r="T266" s="238"/>
      <c r="U266" s="239"/>
      <c r="W266" s="237">
        <f>COUNTIFS('Form Details'!$D:$D,"&lt;"&amp;'Adv. Filter'!$A$15,'Form Details'!$N:$N,"Mahesh",'Form Details'!$J:$J,$C266,'Form Details'!$AA:$AA,"Yes")</f>
        <v>0</v>
      </c>
      <c r="X266" s="238"/>
      <c r="Y266" s="238"/>
      <c r="Z266" s="238"/>
      <c r="AA266" s="238"/>
      <c r="AB266" s="238"/>
      <c r="AC266" s="239"/>
      <c r="AD266" s="237">
        <f>COUNTIFS('Form Details'!$D:$D,"&lt;"&amp;'Adv. Filter'!$A$15,'Form Details'!$N:$N,"Mahesh",'Form Details'!$J:$J,$C266,'Form Details'!$W:$W,"Paid",'Form Details'!$S:$S,'Adv. Filter'!$A$14,'Form Details'!$S:$S,'Adv. Filter'!$B$14)</f>
        <v>0</v>
      </c>
      <c r="AE266" s="238"/>
      <c r="AF266" s="238"/>
      <c r="AG266" s="238"/>
      <c r="AH266" s="238"/>
      <c r="AI266" s="238"/>
      <c r="AJ266" s="239"/>
      <c r="AK266" s="237">
        <f>COUNTIFS('Form Details'!$D:$D,"&lt;"&amp;'Adv. Filter'!$A$15,'Form Details'!$N:$N,"Mahesh",'Form Details'!$J:$J,$C266,'Form Details'!$W:$W,"Due")</f>
        <v>0</v>
      </c>
      <c r="AL266" s="238"/>
      <c r="AM266" s="238"/>
      <c r="AN266" s="238"/>
      <c r="AO266" s="238"/>
      <c r="AP266" s="238"/>
      <c r="AQ266" s="239"/>
      <c r="AR266" s="240">
        <f>COUNTIFS('Form Details'!$D:$D,"&lt;"&amp;'Adv. Filter'!$A$15,'Form Details'!$N:$N,"Mahesh",'Form Details'!$J:$J,$C266,'Form Details'!$W:$W,"No Fee")</f>
        <v>0</v>
      </c>
      <c r="AS266" s="241"/>
      <c r="AT266" s="241"/>
      <c r="AU266" s="241"/>
      <c r="AV266" s="241"/>
      <c r="AW266" s="241"/>
      <c r="AX266" s="242"/>
      <c r="AY266" s="240">
        <f>COUNTIFS('Form Details'!$D:$D,"&lt;"&amp;'Adv. Filter'!$A$15,'Form Details'!$N:$N,"Mahesh",'Form Details'!$J:$J,$C266,'Form Details'!$W:$W,"Paid/Reject")</f>
        <v>0</v>
      </c>
      <c r="AZ266" s="241"/>
      <c r="BA266" s="241"/>
      <c r="BB266" s="241"/>
      <c r="BC266" s="241"/>
      <c r="BD266" s="241"/>
      <c r="BE266" s="242"/>
      <c r="BF266" s="240">
        <f>COUNTIFS('Form Details'!$D:$D,"&lt;"&amp;'Adv. Filter'!$A$15,'Form Details'!$N:$N,"Mahesh",'Form Details'!$J:$J,$C266,'Form Details'!$W:$W,"Staff")</f>
        <v>0</v>
      </c>
      <c r="BG266" s="241"/>
      <c r="BH266" s="241"/>
      <c r="BI266" s="241"/>
      <c r="BJ266" s="241"/>
      <c r="BK266" s="241"/>
      <c r="BL266" s="242"/>
      <c r="BM266" s="240">
        <f>COUNTIFS('Form Details'!$D:$D,"&lt;"&amp;'Adv. Filter'!$A$15,'Form Details'!$N:$N,"Mahesh",'Form Details'!$J:$J,$C266,'Form Details'!$W:$W,"File In Office")</f>
        <v>0</v>
      </c>
      <c r="BN266" s="241"/>
      <c r="BO266" s="241"/>
      <c r="BP266" s="241"/>
      <c r="BQ266" s="241"/>
      <c r="BR266" s="241"/>
      <c r="BS266" s="242"/>
      <c r="BU266" s="240">
        <f>COUNTIFS('Form Details'!$D:$D,"&lt;"&amp;'Adv. Filter'!$A$15,'Form Details'!$N:$N,"Mahesh",'Form Details'!$J:$J,$C266,'Form Details'!$AA:$AA,"No")</f>
        <v>0</v>
      </c>
      <c r="BV266" s="241"/>
      <c r="BW266" s="241"/>
      <c r="BX266" s="241"/>
      <c r="BY266" s="241"/>
      <c r="BZ266" s="241"/>
      <c r="CA266" s="242"/>
      <c r="CB266" s="240">
        <f>COUNTIFS('Form Details'!$D:$D,"&lt;"&amp;'Adv. Filter'!$A$15,'Form Details'!$N:$N,"Mahesh",'Form Details'!$J:$J,$C266,'Form Details'!$W:$W,"Adv/Paid")</f>
        <v>0</v>
      </c>
      <c r="CC266" s="241"/>
      <c r="CD266" s="241"/>
      <c r="CE266" s="241"/>
      <c r="CF266" s="241"/>
      <c r="CG266" s="241"/>
      <c r="CH266" s="242"/>
      <c r="CI266" s="240">
        <f>COUNTIFS('Form Details'!$D:$D,"&lt;"&amp;'Adv. Filter'!$A$15,'Form Details'!$N:$N,"Mahesh",'Form Details'!$J:$J,$C266,'Form Details'!$W:$W,"Adv/Paid/Reject")</f>
        <v>0</v>
      </c>
      <c r="CJ266" s="241"/>
      <c r="CK266" s="241"/>
      <c r="CL266" s="241"/>
      <c r="CM266" s="241"/>
      <c r="CN266" s="241"/>
      <c r="CO266" s="242"/>
      <c r="CP266" s="240">
        <f>COUNTIFS('Form Details'!$D:$D,"&lt;"&amp;'Adv. Filter'!$A$15,'Form Details'!$N:$N,"Mahesh",'Form Details'!$J:$J,$C266,'Form Details'!$W:$W,"Reject")</f>
        <v>0</v>
      </c>
      <c r="CQ266" s="241"/>
      <c r="CR266" s="241"/>
      <c r="CS266" s="241"/>
      <c r="CT266" s="241"/>
      <c r="CU266" s="241"/>
      <c r="CV266" s="242"/>
      <c r="CW266" s="240">
        <f>COUNTIFS('Form Details'!$D:$D,"&lt;"&amp;'Adv. Filter'!$A$15,'Form Details'!$N:$N,"Mahesh",'Form Details'!$J:$J,$C266,'Form Details'!$W:$W,"Adv/Paid/Pending")</f>
        <v>0</v>
      </c>
      <c r="CX266" s="241"/>
      <c r="CY266" s="241"/>
      <c r="CZ266" s="241"/>
      <c r="DA266" s="241"/>
      <c r="DB266" s="241"/>
      <c r="DC266" s="242"/>
      <c r="DD266" s="240">
        <f>COUNTIFS('Form Details'!$D:$D,"&lt;"&amp;'Adv. Filter'!$A$15,'Form Details'!$N:$N,"Mahesh",'Form Details'!$J:$J,$C266,'Form Details'!$W:$W,"Pending")</f>
        <v>0</v>
      </c>
      <c r="DE266" s="241"/>
      <c r="DF266" s="241"/>
      <c r="DG266" s="241"/>
      <c r="DH266" s="241"/>
      <c r="DI266" s="241"/>
      <c r="DJ266" s="242"/>
      <c r="DK266" s="240">
        <f>COUNTIFS('Form Details'!$D:$D,"&lt;"&amp;'Adv. Filter'!$A$15,'Form Details'!$N:$N,"Mahesh",'Form Details'!$J:$J,$C266,'Form Details'!$W:$W,"Adv/Paid/NoStatus")</f>
        <v>0</v>
      </c>
      <c r="DL266" s="241"/>
      <c r="DM266" s="241"/>
      <c r="DN266" s="241"/>
      <c r="DO266" s="241"/>
      <c r="DP266" s="241"/>
      <c r="DQ266" s="242"/>
      <c r="DR266" s="240">
        <f>COUNTIFS('Form Details'!$D:$D,"&lt;"&amp;'Adv. Filter'!$A$15,'Form Details'!$N:$N,"Mahesh",'Form Details'!$J:$J,$C266,'Form Details'!$W:$W,"No Status")</f>
        <v>0</v>
      </c>
      <c r="DS266" s="241"/>
      <c r="DT266" s="241"/>
      <c r="DU266" s="241"/>
      <c r="DV266" s="241"/>
      <c r="DW266" s="241"/>
      <c r="DX266" s="242"/>
      <c r="DY266" s="240">
        <f>SUM(COUNTIFS('Form Details'!$D:$D,"&lt;"&amp;'Adv. Filter'!$A$15,'Form Details'!$N:$N,"Mahesh",'Form Details'!$J:$J,$C266,'Form Details'!$W:$W,{"Wrong Entry ","Double Entry"}))</f>
        <v>0</v>
      </c>
      <c r="DZ266" s="241"/>
      <c r="EA266" s="241"/>
      <c r="EB266" s="241"/>
      <c r="EC266" s="241"/>
      <c r="ED266" s="241"/>
      <c r="EE266" s="242"/>
    </row>
    <row r="267" spans="3:135" ht="15.75" hidden="1" thickTop="1">
      <c r="C267" s="246" t="s">
        <v>503</v>
      </c>
      <c r="D267" s="247"/>
      <c r="E267" s="247"/>
      <c r="F267" s="247"/>
      <c r="G267" s="247"/>
      <c r="H267" s="247"/>
      <c r="I267" s="247"/>
      <c r="J267" s="247"/>
      <c r="K267" s="247"/>
      <c r="L267" s="247"/>
      <c r="M267" s="247"/>
      <c r="N267" s="247"/>
      <c r="O267" s="243">
        <f>SUM(O250:U266)</f>
        <v>130</v>
      </c>
      <c r="P267" s="244"/>
      <c r="Q267" s="244"/>
      <c r="R267" s="244"/>
      <c r="S267" s="244"/>
      <c r="T267" s="244"/>
      <c r="U267" s="244"/>
      <c r="V267" s="106"/>
      <c r="W267" s="243">
        <f>SUM(W250:AC266)</f>
        <v>130</v>
      </c>
      <c r="X267" s="244"/>
      <c r="Y267" s="244"/>
      <c r="Z267" s="244"/>
      <c r="AA267" s="244"/>
      <c r="AB267" s="244"/>
      <c r="AC267" s="244"/>
      <c r="AD267" s="243">
        <f>SUM(AD250:AJ266)</f>
        <v>3</v>
      </c>
      <c r="AE267" s="244"/>
      <c r="AF267" s="244"/>
      <c r="AG267" s="244"/>
      <c r="AH267" s="244"/>
      <c r="AI267" s="244"/>
      <c r="AJ267" s="244"/>
      <c r="AK267" s="243">
        <f>SUM(AK250:AQ266)</f>
        <v>127</v>
      </c>
      <c r="AL267" s="244"/>
      <c r="AM267" s="244"/>
      <c r="AN267" s="244"/>
      <c r="AO267" s="244"/>
      <c r="AP267" s="244"/>
      <c r="AQ267" s="244"/>
      <c r="AR267" s="243">
        <f>SUM(AR250:AX266)</f>
        <v>0</v>
      </c>
      <c r="AS267" s="244"/>
      <c r="AT267" s="244"/>
      <c r="AU267" s="244"/>
      <c r="AV267" s="244"/>
      <c r="AW267" s="244"/>
      <c r="AX267" s="244"/>
      <c r="AY267" s="243">
        <f>SUM(AY250:BE266)</f>
        <v>0</v>
      </c>
      <c r="AZ267" s="244"/>
      <c r="BA267" s="244"/>
      <c r="BB267" s="244"/>
      <c r="BC267" s="244"/>
      <c r="BD267" s="244"/>
      <c r="BE267" s="244"/>
      <c r="BF267" s="243">
        <f>SUM(BF250:BL266)</f>
        <v>0</v>
      </c>
      <c r="BG267" s="244"/>
      <c r="BH267" s="244"/>
      <c r="BI267" s="244"/>
      <c r="BJ267" s="244"/>
      <c r="BK267" s="244"/>
      <c r="BL267" s="244"/>
      <c r="BM267" s="243">
        <f>SUM(BM250:BS266)</f>
        <v>0</v>
      </c>
      <c r="BN267" s="244"/>
      <c r="BO267" s="244"/>
      <c r="BP267" s="244"/>
      <c r="BQ267" s="244"/>
      <c r="BR267" s="244"/>
      <c r="BS267" s="244"/>
      <c r="BT267" s="106"/>
      <c r="BU267" s="243">
        <f>SUM(BU250:CA266)</f>
        <v>0</v>
      </c>
      <c r="BV267" s="244"/>
      <c r="BW267" s="244"/>
      <c r="BX267" s="244"/>
      <c r="BY267" s="244"/>
      <c r="BZ267" s="244"/>
      <c r="CA267" s="244"/>
      <c r="CB267" s="243">
        <f>SUM(CB250:CH266)</f>
        <v>0</v>
      </c>
      <c r="CC267" s="244"/>
      <c r="CD267" s="244"/>
      <c r="CE267" s="244"/>
      <c r="CF267" s="244"/>
      <c r="CG267" s="244"/>
      <c r="CH267" s="244"/>
      <c r="CI267" s="243">
        <f>SUM(CI250:CO266)</f>
        <v>0</v>
      </c>
      <c r="CJ267" s="244"/>
      <c r="CK267" s="244"/>
      <c r="CL267" s="244"/>
      <c r="CM267" s="244"/>
      <c r="CN267" s="244"/>
      <c r="CO267" s="244"/>
      <c r="CP267" s="243">
        <f>SUM(CP250:CV266)</f>
        <v>0</v>
      </c>
      <c r="CQ267" s="244"/>
      <c r="CR267" s="244"/>
      <c r="CS267" s="244"/>
      <c r="CT267" s="244"/>
      <c r="CU267" s="244"/>
      <c r="CV267" s="244"/>
      <c r="CW267" s="243">
        <f>SUM(CW250:DC266)</f>
        <v>0</v>
      </c>
      <c r="CX267" s="244"/>
      <c r="CY267" s="244"/>
      <c r="CZ267" s="244"/>
      <c r="DA267" s="244"/>
      <c r="DB267" s="244"/>
      <c r="DC267" s="244"/>
      <c r="DD267" s="243">
        <f>SUM(DD250:DJ266)</f>
        <v>0</v>
      </c>
      <c r="DE267" s="244"/>
      <c r="DF267" s="244"/>
      <c r="DG267" s="244"/>
      <c r="DH267" s="244"/>
      <c r="DI267" s="244"/>
      <c r="DJ267" s="244"/>
      <c r="DK267" s="243">
        <f>SUM(DK250:DQ266)</f>
        <v>0</v>
      </c>
      <c r="DL267" s="244"/>
      <c r="DM267" s="244"/>
      <c r="DN267" s="244"/>
      <c r="DO267" s="244"/>
      <c r="DP267" s="244"/>
      <c r="DQ267" s="244"/>
      <c r="DR267" s="243">
        <f>SUM(DR250:DX266)</f>
        <v>0</v>
      </c>
      <c r="DS267" s="244"/>
      <c r="DT267" s="244"/>
      <c r="DU267" s="244"/>
      <c r="DV267" s="244"/>
      <c r="DW267" s="244"/>
      <c r="DX267" s="244"/>
      <c r="DY267" s="243">
        <f>SUM(DY250:EE266)</f>
        <v>0</v>
      </c>
      <c r="DZ267" s="244"/>
      <c r="EA267" s="244"/>
      <c r="EB267" s="244"/>
      <c r="EC267" s="244"/>
      <c r="ED267" s="244"/>
      <c r="EE267" s="244"/>
    </row>
    <row r="268" spans="3:135" hidden="1"/>
    <row r="269" spans="3:135" hidden="1"/>
    <row r="270" spans="3:135" hidden="1"/>
    <row r="271" spans="3:135" hidden="1"/>
    <row r="272" spans="3:135" hidden="1"/>
    <row r="273" hidden="1"/>
    <row r="274" hidden="1"/>
    <row r="275" hidden="1"/>
    <row r="276" hidden="1"/>
    <row r="277" hidden="1"/>
    <row r="278" hidden="1"/>
    <row r="279" hidden="1"/>
    <row r="280" hidden="1"/>
    <row r="281" hidden="1"/>
    <row r="282" hidden="1"/>
    <row r="283" hidden="1"/>
    <row r="284" hidden="1"/>
    <row r="285" hidden="1"/>
    <row r="286" hidden="1"/>
    <row r="287" hidden="1"/>
    <row r="288" hidden="1"/>
    <row r="289" spans="1:104" hidden="1"/>
    <row r="290" spans="1:104" hidden="1"/>
    <row r="291" spans="1:104" hidden="1"/>
    <row r="292" spans="1:104" hidden="1"/>
    <row r="293" spans="1:104" hidden="1"/>
    <row r="294" spans="1:104" hidden="1"/>
    <row r="295" spans="1:104" hidden="1"/>
    <row r="296" spans="1:104" hidden="1"/>
    <row r="297" spans="1:104" hidden="1"/>
    <row r="298" spans="1:104" hidden="1"/>
    <row r="299" spans="1:104" hidden="1"/>
    <row r="300" spans="1:104" hidden="1">
      <c r="A300" s="303"/>
      <c r="B300" s="303"/>
      <c r="C300" s="303"/>
      <c r="D300" s="303"/>
      <c r="E300" s="303"/>
      <c r="F300" s="303"/>
      <c r="G300" s="303"/>
      <c r="H300" s="303"/>
      <c r="I300" s="303"/>
      <c r="J300" s="303"/>
      <c r="K300" s="303"/>
      <c r="L300" s="303"/>
      <c r="M300" s="303"/>
      <c r="N300" s="303"/>
      <c r="O300" s="303"/>
      <c r="P300" s="303"/>
      <c r="Q300" s="303"/>
      <c r="R300" s="303"/>
      <c r="S300" s="303"/>
      <c r="T300" s="303"/>
      <c r="U300" s="303"/>
      <c r="V300" s="303"/>
      <c r="W300" s="303"/>
      <c r="X300" s="303"/>
      <c r="Y300" s="303"/>
      <c r="Z300" s="303"/>
      <c r="AA300" s="303"/>
      <c r="AB300" s="303"/>
      <c r="AC300" s="303"/>
      <c r="AD300" s="303"/>
      <c r="AE300" s="303"/>
      <c r="AF300" s="303"/>
      <c r="AG300" s="303"/>
      <c r="AH300" s="303"/>
      <c r="AI300" s="303"/>
      <c r="AJ300" s="303"/>
      <c r="AK300" s="303"/>
      <c r="AL300" s="303"/>
      <c r="AM300" s="303"/>
      <c r="AN300" s="303"/>
      <c r="AO300" s="303"/>
      <c r="AP300" s="303"/>
      <c r="AQ300" s="303"/>
      <c r="AR300" s="303"/>
      <c r="AS300" s="303"/>
      <c r="AT300" s="303"/>
      <c r="AU300" s="303"/>
      <c r="AV300" s="303"/>
      <c r="AW300" s="303"/>
      <c r="AX300" s="303"/>
      <c r="AY300" s="303"/>
      <c r="AZ300" s="303"/>
      <c r="BA300" s="303"/>
      <c r="BB300" s="303"/>
      <c r="BC300" s="303"/>
      <c r="BD300" s="303"/>
      <c r="BE300" s="303"/>
      <c r="BF300" s="303"/>
      <c r="BG300" s="303"/>
      <c r="BH300" s="303"/>
      <c r="BI300" s="303"/>
      <c r="BJ300" s="303"/>
      <c r="BK300" s="303"/>
      <c r="BL300" s="303"/>
      <c r="BM300" s="303"/>
      <c r="BN300" s="303"/>
      <c r="BO300" s="303"/>
      <c r="BP300" s="303"/>
      <c r="BQ300" s="303"/>
      <c r="BR300" s="303"/>
      <c r="BS300" s="303"/>
      <c r="BT300" s="303"/>
      <c r="BU300" s="303"/>
      <c r="BV300" s="303"/>
      <c r="BW300" s="303"/>
      <c r="BX300" s="303"/>
      <c r="BY300" s="303"/>
      <c r="BZ300" s="303"/>
      <c r="CA300" s="303"/>
      <c r="CB300" s="303"/>
      <c r="CC300" s="303"/>
      <c r="CD300" s="303"/>
      <c r="CE300" s="303"/>
      <c r="CF300" s="303"/>
      <c r="CG300" s="303"/>
      <c r="CH300" s="303"/>
      <c r="CI300" s="303"/>
      <c r="CJ300" s="303"/>
      <c r="CK300" s="303"/>
      <c r="CL300" s="303"/>
      <c r="CM300" s="303"/>
      <c r="CN300" s="303"/>
      <c r="CO300" s="303"/>
      <c r="CP300" s="303"/>
      <c r="CQ300" s="303"/>
      <c r="CR300" s="303"/>
      <c r="CS300" s="303"/>
      <c r="CT300" s="303"/>
      <c r="CU300" s="303"/>
      <c r="CV300" s="303"/>
      <c r="CW300" s="303"/>
      <c r="CX300" s="303"/>
      <c r="CY300" s="303"/>
      <c r="CZ300" s="303"/>
    </row>
    <row r="301" spans="1:104" hidden="1"/>
    <row r="302" spans="1:104" hidden="1"/>
    <row r="303" spans="1:104" ht="15" hidden="1" customHeight="1">
      <c r="AR303" s="441" t="s">
        <v>518</v>
      </c>
      <c r="AS303" s="441"/>
      <c r="AT303" s="441"/>
      <c r="AU303" s="441"/>
      <c r="AV303" s="441"/>
      <c r="AW303" s="441"/>
      <c r="AX303" s="441"/>
      <c r="AY303" s="441"/>
      <c r="AZ303" s="441"/>
      <c r="BA303" s="441"/>
      <c r="BB303" s="441"/>
      <c r="BC303" s="441"/>
      <c r="BD303" s="441"/>
      <c r="BE303" s="441"/>
      <c r="BF303" s="441"/>
      <c r="BG303" s="441"/>
      <c r="BH303" s="441"/>
      <c r="BI303" s="441"/>
      <c r="BJ303" s="441"/>
      <c r="BK303" s="441"/>
      <c r="BL303" s="441"/>
      <c r="BM303" s="441"/>
      <c r="BN303" s="441"/>
      <c r="BO303" s="441"/>
      <c r="BP303" s="441"/>
      <c r="BQ303" s="441"/>
      <c r="BR303" s="441"/>
      <c r="BS303" s="441"/>
      <c r="BT303" s="441"/>
      <c r="BU303" s="441"/>
      <c r="BV303" s="441"/>
      <c r="BW303" s="441"/>
      <c r="BX303" s="441"/>
      <c r="BY303" s="441"/>
      <c r="BZ303" s="441"/>
      <c r="CA303" s="441"/>
      <c r="CB303" s="441"/>
      <c r="CC303" s="441"/>
      <c r="CD303" s="441"/>
      <c r="CE303" s="441"/>
      <c r="CF303" s="441"/>
      <c r="CG303" s="441"/>
      <c r="CH303" s="441"/>
      <c r="CI303" s="441"/>
      <c r="CJ303" s="441"/>
      <c r="CK303" s="441"/>
      <c r="CL303" s="441"/>
      <c r="CM303" s="50"/>
      <c r="CN303" s="50"/>
      <c r="CO303" s="50"/>
      <c r="CP303" s="50"/>
      <c r="CQ303" s="50"/>
      <c r="CR303" s="50"/>
      <c r="CS303" s="50"/>
      <c r="CT303" s="50"/>
      <c r="CU303" s="50"/>
      <c r="CV303" s="50"/>
      <c r="CW303" s="50"/>
    </row>
    <row r="304" spans="1:104" ht="15" hidden="1" customHeight="1">
      <c r="AR304" s="451" t="str">
        <f>CONCATENATE("Statement As of  ",TEXT('Adv. Filter'!$A$15,"DD-MMM-YYYY"), " TO ",TEXT('Adv. Filter'!$B$15,"DD-MMM-YYYY"))</f>
        <v>Statement As of  01-Jan-2017 TO 13-Oct-2017</v>
      </c>
      <c r="AS304" s="451"/>
      <c r="AT304" s="451"/>
      <c r="AU304" s="451"/>
      <c r="AV304" s="451"/>
      <c r="AW304" s="451"/>
      <c r="AX304" s="451"/>
      <c r="AY304" s="451"/>
      <c r="AZ304" s="451"/>
      <c r="BA304" s="451"/>
      <c r="BB304" s="451"/>
      <c r="BC304" s="451"/>
      <c r="BD304" s="451"/>
      <c r="BE304" s="451"/>
      <c r="BF304" s="451"/>
      <c r="BG304" s="451"/>
      <c r="BH304" s="451"/>
      <c r="BI304" s="451"/>
      <c r="BJ304" s="451"/>
      <c r="BK304" s="451"/>
      <c r="BL304" s="451"/>
      <c r="BM304" s="451"/>
      <c r="BN304" s="451"/>
      <c r="BO304" s="451"/>
      <c r="BP304" s="451"/>
      <c r="BQ304" s="451"/>
      <c r="BR304" s="451"/>
      <c r="BS304" s="451"/>
      <c r="BT304" s="451"/>
      <c r="BU304" s="451"/>
      <c r="BV304" s="451"/>
      <c r="BW304" s="451"/>
      <c r="BX304" s="451"/>
      <c r="BY304" s="451"/>
      <c r="BZ304" s="451"/>
      <c r="CA304" s="451"/>
      <c r="CB304" s="451"/>
      <c r="CC304" s="451"/>
      <c r="CD304" s="451"/>
      <c r="CE304" s="451"/>
      <c r="CF304" s="451"/>
      <c r="CG304" s="451"/>
      <c r="CH304" s="451"/>
      <c r="CI304" s="451"/>
      <c r="CJ304" s="451"/>
      <c r="CK304" s="451"/>
      <c r="CL304" s="451"/>
      <c r="CM304" s="50"/>
      <c r="CN304" s="50"/>
      <c r="CO304" s="50"/>
      <c r="CP304" s="50"/>
      <c r="CQ304" s="50"/>
      <c r="CR304" s="50"/>
    </row>
    <row r="305" spans="1:112" hidden="1"/>
    <row r="306" spans="1:112" ht="15.75" hidden="1">
      <c r="C306" s="452" t="s">
        <v>513</v>
      </c>
      <c r="D306" s="452"/>
      <c r="E306" s="452"/>
      <c r="F306" s="452"/>
      <c r="G306" s="452"/>
      <c r="H306" s="452"/>
      <c r="I306" s="452"/>
      <c r="J306" s="452"/>
      <c r="K306" s="452"/>
      <c r="L306" s="452"/>
      <c r="M306" s="452"/>
      <c r="N306" s="452"/>
      <c r="O306" s="452"/>
      <c r="P306" s="452"/>
      <c r="Q306" s="452"/>
      <c r="R306" s="452"/>
      <c r="S306" s="452"/>
      <c r="T306" s="453" t="str">
        <f>CONCATENATE("PRESENT   ",TEXT('Adv. Filter'!$A$15,"( DD-MMM-YY"), " TO ",TEXT('Adv. Filter'!$B$15,"DD-MMM-YY )"))</f>
        <v>PRESENT   ( 01-Jan-17 TO 13-Oct-17 )</v>
      </c>
      <c r="U306" s="454"/>
      <c r="V306" s="454"/>
      <c r="W306" s="454"/>
      <c r="X306" s="454"/>
      <c r="Y306" s="454"/>
      <c r="Z306" s="454"/>
      <c r="AA306" s="454"/>
      <c r="AB306" s="454"/>
      <c r="AC306" s="454"/>
      <c r="AD306" s="454"/>
      <c r="AE306" s="454"/>
      <c r="AF306" s="454"/>
      <c r="AG306" s="454"/>
      <c r="AH306" s="454"/>
      <c r="AI306" s="454"/>
      <c r="AJ306" s="454"/>
      <c r="AK306" s="454"/>
      <c r="AL306" s="454"/>
      <c r="AM306" s="454"/>
      <c r="AN306" s="454"/>
      <c r="AO306" s="454"/>
      <c r="AP306" s="454"/>
      <c r="AQ306" s="454"/>
      <c r="AR306" s="454"/>
      <c r="AS306" s="454"/>
      <c r="AT306" s="454"/>
      <c r="AU306" s="454"/>
      <c r="AV306" s="454"/>
      <c r="AW306" s="455"/>
      <c r="AX306" s="49"/>
      <c r="AY306" s="452" t="s">
        <v>513</v>
      </c>
      <c r="AZ306" s="452"/>
      <c r="BA306" s="452"/>
      <c r="BB306" s="452"/>
      <c r="BC306" s="452"/>
      <c r="BD306" s="452"/>
      <c r="BE306" s="452"/>
      <c r="BF306" s="452"/>
      <c r="BG306" s="452"/>
      <c r="BH306" s="452"/>
      <c r="BI306" s="452"/>
      <c r="BJ306" s="452"/>
      <c r="BK306" s="452"/>
      <c r="BL306" s="452"/>
      <c r="BM306" s="452"/>
      <c r="BN306" s="452"/>
      <c r="BO306" s="452"/>
      <c r="BP306" s="453" t="str">
        <f>CONCATENATE("PREVIOUS   ",TEXT('Adv. Filter'!$A$15,"( up to  DD-MMM-YY )"))</f>
        <v>PREVIOUS   ( up to  01-Jan-17 )</v>
      </c>
      <c r="BQ306" s="454"/>
      <c r="BR306" s="454"/>
      <c r="BS306" s="454"/>
      <c r="BT306" s="454"/>
      <c r="BU306" s="454"/>
      <c r="BV306" s="454"/>
      <c r="BW306" s="454"/>
      <c r="BX306" s="454"/>
      <c r="BY306" s="454"/>
      <c r="BZ306" s="454"/>
      <c r="CA306" s="454"/>
      <c r="CB306" s="454"/>
      <c r="CC306" s="454"/>
      <c r="CD306" s="454"/>
      <c r="CE306" s="454"/>
      <c r="CF306" s="454"/>
      <c r="CG306" s="454"/>
      <c r="CH306" s="454"/>
      <c r="CI306" s="454"/>
      <c r="CJ306" s="454"/>
      <c r="CK306" s="454"/>
      <c r="CL306" s="454"/>
      <c r="CM306" s="454"/>
      <c r="CN306" s="454"/>
      <c r="CO306" s="454"/>
      <c r="CP306" s="454"/>
      <c r="CQ306" s="454"/>
      <c r="CR306" s="454"/>
      <c r="CS306" s="455"/>
      <c r="DA306" s="162"/>
      <c r="DH306" s="121" t="s">
        <v>42</v>
      </c>
    </row>
    <row r="307" spans="1:112" ht="15" hidden="1" customHeight="1">
      <c r="C307" s="452"/>
      <c r="D307" s="452"/>
      <c r="E307" s="452"/>
      <c r="F307" s="452"/>
      <c r="G307" s="452"/>
      <c r="H307" s="452"/>
      <c r="I307" s="452"/>
      <c r="J307" s="452"/>
      <c r="K307" s="452"/>
      <c r="L307" s="452"/>
      <c r="M307" s="452"/>
      <c r="N307" s="452"/>
      <c r="O307" s="452"/>
      <c r="P307" s="452"/>
      <c r="Q307" s="452"/>
      <c r="R307" s="452"/>
      <c r="S307" s="452"/>
      <c r="T307" s="442" t="s">
        <v>34</v>
      </c>
      <c r="U307" s="443"/>
      <c r="V307" s="443"/>
      <c r="W307" s="443"/>
      <c r="X307" s="443"/>
      <c r="Y307" s="443"/>
      <c r="Z307" s="443"/>
      <c r="AA307" s="443"/>
      <c r="AB307" s="443"/>
      <c r="AC307" s="444"/>
      <c r="AD307" s="442" t="s">
        <v>10</v>
      </c>
      <c r="AE307" s="443"/>
      <c r="AF307" s="443"/>
      <c r="AG307" s="443"/>
      <c r="AH307" s="443"/>
      <c r="AI307" s="443"/>
      <c r="AJ307" s="443"/>
      <c r="AK307" s="443"/>
      <c r="AL307" s="443"/>
      <c r="AM307" s="444"/>
      <c r="AN307" s="445" t="s">
        <v>503</v>
      </c>
      <c r="AO307" s="446"/>
      <c r="AP307" s="446"/>
      <c r="AQ307" s="446"/>
      <c r="AR307" s="446"/>
      <c r="AS307" s="446"/>
      <c r="AT307" s="446"/>
      <c r="AU307" s="446"/>
      <c r="AV307" s="446"/>
      <c r="AW307" s="447"/>
      <c r="AY307" s="452"/>
      <c r="AZ307" s="452"/>
      <c r="BA307" s="452"/>
      <c r="BB307" s="452"/>
      <c r="BC307" s="452"/>
      <c r="BD307" s="452"/>
      <c r="BE307" s="452"/>
      <c r="BF307" s="452"/>
      <c r="BG307" s="452"/>
      <c r="BH307" s="452"/>
      <c r="BI307" s="452"/>
      <c r="BJ307" s="452"/>
      <c r="BK307" s="452"/>
      <c r="BL307" s="452"/>
      <c r="BM307" s="452"/>
      <c r="BN307" s="452"/>
      <c r="BO307" s="452"/>
      <c r="BP307" s="442" t="s">
        <v>34</v>
      </c>
      <c r="BQ307" s="443"/>
      <c r="BR307" s="443"/>
      <c r="BS307" s="443"/>
      <c r="BT307" s="443"/>
      <c r="BU307" s="443"/>
      <c r="BV307" s="443"/>
      <c r="BW307" s="443"/>
      <c r="BX307" s="443"/>
      <c r="BY307" s="444"/>
      <c r="BZ307" s="442" t="s">
        <v>10</v>
      </c>
      <c r="CA307" s="443"/>
      <c r="CB307" s="443"/>
      <c r="CC307" s="443"/>
      <c r="CD307" s="443"/>
      <c r="CE307" s="443"/>
      <c r="CF307" s="443"/>
      <c r="CG307" s="443"/>
      <c r="CH307" s="443"/>
      <c r="CI307" s="444"/>
      <c r="CJ307" s="445" t="s">
        <v>503</v>
      </c>
      <c r="CK307" s="446"/>
      <c r="CL307" s="446"/>
      <c r="CM307" s="446"/>
      <c r="CN307" s="446"/>
      <c r="CO307" s="446"/>
      <c r="CP307" s="446"/>
      <c r="CQ307" s="446"/>
      <c r="CR307" s="446"/>
      <c r="CS307" s="447"/>
      <c r="DG307" s="131" t="s">
        <v>583</v>
      </c>
      <c r="DH307" s="123">
        <f>COUNTIFS('Form Details'!$W:$W,"Due",'Form Details'!$AB:$AB,"R",'Form Details'!$N:$N,DH306)</f>
        <v>176</v>
      </c>
    </row>
    <row r="308" spans="1:112" hidden="1">
      <c r="A308" s="44"/>
      <c r="B308" s="44"/>
      <c r="C308" s="299" t="s">
        <v>26</v>
      </c>
      <c r="D308" s="300"/>
      <c r="E308" s="300"/>
      <c r="F308" s="300"/>
      <c r="G308" s="300"/>
      <c r="H308" s="300"/>
      <c r="I308" s="300"/>
      <c r="J308" s="300"/>
      <c r="K308" s="300"/>
      <c r="L308" s="300"/>
      <c r="M308" s="300"/>
      <c r="N308" s="300"/>
      <c r="O308" s="300"/>
      <c r="P308" s="300"/>
      <c r="Q308" s="300"/>
      <c r="R308" s="300"/>
      <c r="S308" s="301"/>
      <c r="T308" s="276">
        <f>SUMIFS('Adv. Filter'!$BJ$1:$BJ$50000,'Adv. Filter'!$BT$1:$BT$50000,"Kiran",'Adv. Filter'!$BQ$1:$BQ$50000,$C308,'Adv. Filter'!$BH$1:$BH$50000,"Cash",'Adv. Filter'!$BO$1:$BO$50000,'Adv. Filter'!$A$14,'Adv. Filter'!$BO$1:$BO$50000,'Adv. Filter'!$B$14)</f>
        <v>0</v>
      </c>
      <c r="U308" s="277"/>
      <c r="V308" s="277"/>
      <c r="W308" s="277"/>
      <c r="X308" s="277"/>
      <c r="Y308" s="277"/>
      <c r="Z308" s="277"/>
      <c r="AA308" s="277"/>
      <c r="AB308" s="277"/>
      <c r="AC308" s="278"/>
      <c r="AD308" s="276">
        <f>SUMIFS('Adv. Filter'!$BJ$1:$BJ$50000,'Adv. Filter'!$BT$1:$BT$50000,"Kiran",'Adv. Filter'!$BQ$1:$BQ$50000,$C308,'Adv. Filter'!$BH$1:$BH$50000,"Bank",'Adv. Filter'!$BO$1:$BO$50000,'Adv. Filter'!$A$14,'Adv. Filter'!$BO$1:$BO$50000,'Adv. Filter'!$B$14)</f>
        <v>0</v>
      </c>
      <c r="AE308" s="277"/>
      <c r="AF308" s="277"/>
      <c r="AG308" s="277"/>
      <c r="AH308" s="277"/>
      <c r="AI308" s="277"/>
      <c r="AJ308" s="277"/>
      <c r="AK308" s="277"/>
      <c r="AL308" s="277"/>
      <c r="AM308" s="278"/>
      <c r="AN308" s="448">
        <f t="shared" ref="AN308:AN339" si="14">T308+AD308</f>
        <v>0</v>
      </c>
      <c r="AO308" s="449"/>
      <c r="AP308" s="449"/>
      <c r="AQ308" s="449"/>
      <c r="AR308" s="449"/>
      <c r="AS308" s="449"/>
      <c r="AT308" s="449"/>
      <c r="AU308" s="449"/>
      <c r="AV308" s="449"/>
      <c r="AW308" s="450"/>
      <c r="AX308" s="45"/>
      <c r="AY308" s="299" t="s">
        <v>26</v>
      </c>
      <c r="AZ308" s="300"/>
      <c r="BA308" s="300"/>
      <c r="BB308" s="300"/>
      <c r="BC308" s="300"/>
      <c r="BD308" s="300"/>
      <c r="BE308" s="300"/>
      <c r="BF308" s="300"/>
      <c r="BG308" s="300"/>
      <c r="BH308" s="300"/>
      <c r="BI308" s="300"/>
      <c r="BJ308" s="300"/>
      <c r="BK308" s="300"/>
      <c r="BL308" s="300"/>
      <c r="BM308" s="300"/>
      <c r="BN308" s="300"/>
      <c r="BO308" s="301"/>
      <c r="BP308" s="276">
        <f>SUMIFS('Adv. Filter'!$BJ$1:$BJ$50000,'Adv. Filter'!$BT$1:$BT$50000,"Kiran",'Adv. Filter'!$BQ$1:$BQ$50000,$AY308,'Adv. Filter'!$BH$1:$BH$50000,"Cash",'Adv. Filter'!$BO$1:$BO$50000,"&lt;"&amp;'Adv. Filter'!$A$15)</f>
        <v>0</v>
      </c>
      <c r="BQ308" s="277"/>
      <c r="BR308" s="277"/>
      <c r="BS308" s="277"/>
      <c r="BT308" s="277"/>
      <c r="BU308" s="277"/>
      <c r="BV308" s="277"/>
      <c r="BW308" s="277"/>
      <c r="BX308" s="277"/>
      <c r="BY308" s="278"/>
      <c r="BZ308" s="276">
        <f>SUMIFS('Adv. Filter'!$BJ$1:$BJ$50000,'Adv. Filter'!$BT$1:$BT$50000,"Kiran",'Adv. Filter'!$BQ$1:$BQ$50000,$AY308,'Adv. Filter'!$BH$1:$BH$50000,"Bank",'Adv. Filter'!$BO$1:$BO$50000,"&lt;"&amp;'Adv. Filter'!$A$15)</f>
        <v>0</v>
      </c>
      <c r="CA308" s="277"/>
      <c r="CB308" s="277"/>
      <c r="CC308" s="277"/>
      <c r="CD308" s="277"/>
      <c r="CE308" s="277"/>
      <c r="CF308" s="277"/>
      <c r="CG308" s="277"/>
      <c r="CH308" s="277"/>
      <c r="CI308" s="278"/>
      <c r="CJ308" s="448">
        <f t="shared" ref="CJ308:CJ339" si="15">BP308+BZ308</f>
        <v>0</v>
      </c>
      <c r="CK308" s="449"/>
      <c r="CL308" s="449"/>
      <c r="CM308" s="449"/>
      <c r="CN308" s="449"/>
      <c r="CO308" s="449"/>
      <c r="CP308" s="449"/>
      <c r="CQ308" s="449"/>
      <c r="CR308" s="449"/>
      <c r="CS308" s="450"/>
      <c r="CT308" s="44"/>
      <c r="CU308" s="44"/>
      <c r="CV308" s="44"/>
      <c r="CW308" s="44"/>
      <c r="CX308" s="44"/>
      <c r="CY308" s="44"/>
      <c r="CZ308" s="44"/>
      <c r="DG308" s="131" t="s">
        <v>584</v>
      </c>
      <c r="DH308" s="123">
        <f>COUNTIFS('Form Details'!$W:$W,"Due",'Form Details'!$AB:$AB,"Y",'Form Details'!$N:$N,DH306)</f>
        <v>0</v>
      </c>
    </row>
    <row r="309" spans="1:112" hidden="1">
      <c r="C309" s="308" t="s">
        <v>115</v>
      </c>
      <c r="D309" s="309"/>
      <c r="E309" s="309"/>
      <c r="F309" s="309"/>
      <c r="G309" s="309"/>
      <c r="H309" s="309"/>
      <c r="I309" s="309"/>
      <c r="J309" s="309"/>
      <c r="K309" s="309"/>
      <c r="L309" s="309"/>
      <c r="M309" s="309"/>
      <c r="N309" s="309"/>
      <c r="O309" s="309"/>
      <c r="P309" s="309"/>
      <c r="Q309" s="309"/>
      <c r="R309" s="309"/>
      <c r="S309" s="310"/>
      <c r="T309" s="267">
        <f>SUMIFS('Adv. Filter'!$BJ$1:$BJ$50000,'Adv. Filter'!$BT$1:$BT$50000,"Kiran",'Adv. Filter'!$BQ$1:$BQ$50000,$C308,'Adv. Filter'!$BH$1:$BH$50000,"Cash",'Adv. Filter'!$BO$1:$BO$50000,'Adv. Filter'!$A$14,'Adv. Filter'!$BO$1:$BO$50000,'Adv. Filter'!$B$14,'Adv. Filter'!$BP$1:$BP$50000,"Project")</f>
        <v>0</v>
      </c>
      <c r="U309" s="268"/>
      <c r="V309" s="268"/>
      <c r="W309" s="268"/>
      <c r="X309" s="268"/>
      <c r="Y309" s="268"/>
      <c r="Z309" s="268"/>
      <c r="AA309" s="268"/>
      <c r="AB309" s="268"/>
      <c r="AC309" s="269"/>
      <c r="AD309" s="267">
        <f>SUMIFS('Adv. Filter'!$BJ$1:$BJ$50000,'Adv. Filter'!$BT$1:$BT$50000,"Kiran",'Adv. Filter'!$BQ$1:$BQ$50000,$C308,'Adv. Filter'!$BH$1:$BH$50000,"Bank",'Adv. Filter'!$BO$1:$BO$50000,'Adv. Filter'!$A$14,'Adv. Filter'!$BO$1:$BO$50000,'Adv. Filter'!$B$14,'Adv. Filter'!$BP$1:$BP$50000,"Project")</f>
        <v>0</v>
      </c>
      <c r="AE309" s="268"/>
      <c r="AF309" s="268"/>
      <c r="AG309" s="268"/>
      <c r="AH309" s="268"/>
      <c r="AI309" s="268"/>
      <c r="AJ309" s="268"/>
      <c r="AK309" s="268"/>
      <c r="AL309" s="268"/>
      <c r="AM309" s="269"/>
      <c r="AN309" s="267">
        <f t="shared" si="14"/>
        <v>0</v>
      </c>
      <c r="AO309" s="268"/>
      <c r="AP309" s="268"/>
      <c r="AQ309" s="268"/>
      <c r="AR309" s="268"/>
      <c r="AS309" s="268"/>
      <c r="AT309" s="268"/>
      <c r="AU309" s="268"/>
      <c r="AV309" s="268"/>
      <c r="AW309" s="269"/>
      <c r="AX309" s="22"/>
      <c r="AY309" s="308" t="s">
        <v>115</v>
      </c>
      <c r="AZ309" s="309"/>
      <c r="BA309" s="309"/>
      <c r="BB309" s="309"/>
      <c r="BC309" s="309"/>
      <c r="BD309" s="309"/>
      <c r="BE309" s="309"/>
      <c r="BF309" s="309"/>
      <c r="BG309" s="309"/>
      <c r="BH309" s="309"/>
      <c r="BI309" s="309"/>
      <c r="BJ309" s="309"/>
      <c r="BK309" s="309"/>
      <c r="BL309" s="309"/>
      <c r="BM309" s="309"/>
      <c r="BN309" s="309"/>
      <c r="BO309" s="310"/>
      <c r="BP309" s="267">
        <f>SUMIFS('Adv. Filter'!$BJ$1:$BJ$50000,'Adv. Filter'!$BT$1:$BT$50000,"Kiran",'Adv. Filter'!$BQ$1:$BQ$50000,$AY308,'Adv. Filter'!$BH$1:$BH$50000,"Cash",'Adv. Filter'!$BO$1:$BO$50000,"&lt;"&amp;'Adv. Filter'!$A$15,'Adv. Filter'!$BP$1:$BP$50000,"Project")</f>
        <v>0</v>
      </c>
      <c r="BQ309" s="268"/>
      <c r="BR309" s="268"/>
      <c r="BS309" s="268"/>
      <c r="BT309" s="268"/>
      <c r="BU309" s="268"/>
      <c r="BV309" s="268"/>
      <c r="BW309" s="268"/>
      <c r="BX309" s="268"/>
      <c r="BY309" s="269"/>
      <c r="BZ309" s="267">
        <f>SUMIFS('Adv. Filter'!$BJ$1:$BJ$50000,'Adv. Filter'!$BT$1:$BT$50000,"Kiran",'Adv. Filter'!$BQ$1:$BQ$50000,$AY308,'Adv. Filter'!$BH$1:$BH$50000,"Bank",'Adv. Filter'!$BO$1:$BO$50000,"&lt;"&amp;'Adv. Filter'!$A$15,'Adv. Filter'!$BP$1:$BP$50000,"Project")</f>
        <v>0</v>
      </c>
      <c r="CA309" s="268"/>
      <c r="CB309" s="268"/>
      <c r="CC309" s="268"/>
      <c r="CD309" s="268"/>
      <c r="CE309" s="268"/>
      <c r="CF309" s="268"/>
      <c r="CG309" s="268"/>
      <c r="CH309" s="268"/>
      <c r="CI309" s="269"/>
      <c r="CJ309" s="267">
        <f t="shared" si="15"/>
        <v>0</v>
      </c>
      <c r="CK309" s="268"/>
      <c r="CL309" s="268"/>
      <c r="CM309" s="268"/>
      <c r="CN309" s="268"/>
      <c r="CO309" s="268"/>
      <c r="CP309" s="268"/>
      <c r="CQ309" s="268"/>
      <c r="CR309" s="268"/>
      <c r="CS309" s="269"/>
      <c r="DG309" s="131" t="s">
        <v>585</v>
      </c>
      <c r="DH309" s="123">
        <f>COUNTIFS('Form Details'!$W:$W,"Due",'Form Details'!$AB:$AB,"G",'Form Details'!$N:$N,DH306)</f>
        <v>0</v>
      </c>
    </row>
    <row r="310" spans="1:112" hidden="1">
      <c r="C310" s="308" t="s">
        <v>510</v>
      </c>
      <c r="D310" s="309"/>
      <c r="E310" s="309"/>
      <c r="F310" s="309"/>
      <c r="G310" s="309"/>
      <c r="H310" s="309"/>
      <c r="I310" s="309"/>
      <c r="J310" s="309"/>
      <c r="K310" s="309"/>
      <c r="L310" s="309"/>
      <c r="M310" s="309"/>
      <c r="N310" s="309"/>
      <c r="O310" s="309"/>
      <c r="P310" s="309"/>
      <c r="Q310" s="309"/>
      <c r="R310" s="309"/>
      <c r="S310" s="310"/>
      <c r="T310" s="267">
        <v>0</v>
      </c>
      <c r="U310" s="268"/>
      <c r="V310" s="268"/>
      <c r="W310" s="268"/>
      <c r="X310" s="268"/>
      <c r="Y310" s="268"/>
      <c r="Z310" s="268"/>
      <c r="AA310" s="268"/>
      <c r="AB310" s="268"/>
      <c r="AC310" s="269"/>
      <c r="AD310" s="267">
        <v>0</v>
      </c>
      <c r="AE310" s="268"/>
      <c r="AF310" s="268"/>
      <c r="AG310" s="268"/>
      <c r="AH310" s="268"/>
      <c r="AI310" s="268"/>
      <c r="AJ310" s="268"/>
      <c r="AK310" s="268"/>
      <c r="AL310" s="268"/>
      <c r="AM310" s="269"/>
      <c r="AN310" s="267">
        <f t="shared" si="14"/>
        <v>0</v>
      </c>
      <c r="AO310" s="268"/>
      <c r="AP310" s="268"/>
      <c r="AQ310" s="268"/>
      <c r="AR310" s="268"/>
      <c r="AS310" s="268"/>
      <c r="AT310" s="268"/>
      <c r="AU310" s="268"/>
      <c r="AV310" s="268"/>
      <c r="AW310" s="269"/>
      <c r="AX310" s="22"/>
      <c r="AY310" s="308" t="s">
        <v>510</v>
      </c>
      <c r="AZ310" s="309"/>
      <c r="BA310" s="309"/>
      <c r="BB310" s="309"/>
      <c r="BC310" s="309"/>
      <c r="BD310" s="309"/>
      <c r="BE310" s="309"/>
      <c r="BF310" s="309"/>
      <c r="BG310" s="309"/>
      <c r="BH310" s="309"/>
      <c r="BI310" s="309"/>
      <c r="BJ310" s="309"/>
      <c r="BK310" s="309"/>
      <c r="BL310" s="309"/>
      <c r="BM310" s="309"/>
      <c r="BN310" s="309"/>
      <c r="BO310" s="310"/>
      <c r="BP310" s="267"/>
      <c r="BQ310" s="268"/>
      <c r="BR310" s="268"/>
      <c r="BS310" s="268"/>
      <c r="BT310" s="268"/>
      <c r="BU310" s="268"/>
      <c r="BV310" s="268"/>
      <c r="BW310" s="268"/>
      <c r="BX310" s="268"/>
      <c r="BY310" s="269"/>
      <c r="BZ310" s="267"/>
      <c r="CA310" s="268"/>
      <c r="CB310" s="268"/>
      <c r="CC310" s="268"/>
      <c r="CD310" s="268"/>
      <c r="CE310" s="268"/>
      <c r="CF310" s="268"/>
      <c r="CG310" s="268"/>
      <c r="CH310" s="268"/>
      <c r="CI310" s="269"/>
      <c r="CJ310" s="267">
        <f t="shared" si="15"/>
        <v>0</v>
      </c>
      <c r="CK310" s="268"/>
      <c r="CL310" s="268"/>
      <c r="CM310" s="268"/>
      <c r="CN310" s="268"/>
      <c r="CO310" s="268"/>
      <c r="CP310" s="268"/>
      <c r="CQ310" s="268"/>
      <c r="CR310" s="268"/>
      <c r="CS310" s="269"/>
      <c r="DG310" s="131"/>
    </row>
    <row r="311" spans="1:112" hidden="1">
      <c r="C311" s="43"/>
      <c r="D311" s="36" t="str">
        <f>IF(AN308=0,C308&amp;" -","")</f>
        <v>Avanse -</v>
      </c>
      <c r="E311" s="42"/>
      <c r="F311" s="42"/>
      <c r="G311" s="42"/>
      <c r="H311" s="42"/>
      <c r="I311" s="42"/>
      <c r="J311" s="42"/>
      <c r="K311" s="42"/>
      <c r="L311" s="42"/>
      <c r="M311" s="42"/>
      <c r="N311" s="42"/>
      <c r="O311" s="42"/>
      <c r="P311" s="1"/>
      <c r="Q311" s="42"/>
      <c r="R311" s="41" t="s">
        <v>275</v>
      </c>
      <c r="S311" s="40"/>
      <c r="T311" s="267">
        <f>SUMIFS('Adv. Filter'!$CH$1:$CH$50000,'Adv. Filter'!$CD$1:$CD$50000,"Kiran",'Adv. Filter'!$CE$1:$CE$50000,$C308,'Adv. Filter'!$CC$1:$CC$50000,"Suspense",'Adv. Filter'!$CF$1:$CF$50000,"Cash")</f>
        <v>0</v>
      </c>
      <c r="U311" s="268"/>
      <c r="V311" s="268"/>
      <c r="W311" s="268"/>
      <c r="X311" s="268"/>
      <c r="Y311" s="268"/>
      <c r="Z311" s="268"/>
      <c r="AA311" s="268"/>
      <c r="AB311" s="268"/>
      <c r="AC311" s="269"/>
      <c r="AD311" s="267">
        <f>SUMIFS('Adv. Filter'!$CH$1:$CH$50000,'Adv. Filter'!$CD$1:$CD$50000,"Kiran",'Adv. Filter'!$CE$1:$CE$50000,$C308,'Adv. Filter'!$CC$1:$CC$50000,"Suspense",'Adv. Filter'!$CF$1:$CF$50000,"Bank")</f>
        <v>0</v>
      </c>
      <c r="AE311" s="268"/>
      <c r="AF311" s="268"/>
      <c r="AG311" s="268"/>
      <c r="AH311" s="268"/>
      <c r="AI311" s="268"/>
      <c r="AJ311" s="268"/>
      <c r="AK311" s="268"/>
      <c r="AL311" s="268"/>
      <c r="AM311" s="269"/>
      <c r="AN311" s="267">
        <f t="shared" si="14"/>
        <v>0</v>
      </c>
      <c r="AO311" s="268"/>
      <c r="AP311" s="268"/>
      <c r="AQ311" s="268"/>
      <c r="AR311" s="268"/>
      <c r="AS311" s="268"/>
      <c r="AT311" s="268"/>
      <c r="AU311" s="268"/>
      <c r="AV311" s="268"/>
      <c r="AW311" s="269"/>
      <c r="AX311" s="22"/>
      <c r="AY311" s="43"/>
      <c r="AZ311" s="36" t="str">
        <f>IF(CJ308=0,AY308&amp;" -","")</f>
        <v>Avanse -</v>
      </c>
      <c r="BA311" s="42"/>
      <c r="BB311" s="42"/>
      <c r="BC311" s="42"/>
      <c r="BD311" s="42"/>
      <c r="BE311" s="42"/>
      <c r="BF311" s="42"/>
      <c r="BG311" s="42"/>
      <c r="BH311" s="42"/>
      <c r="BI311" s="42"/>
      <c r="BJ311" s="42"/>
      <c r="BK311" s="42"/>
      <c r="BL311" s="1"/>
      <c r="BM311" s="42"/>
      <c r="BN311" s="41" t="s">
        <v>275</v>
      </c>
      <c r="BO311" s="40"/>
      <c r="BP311" s="267"/>
      <c r="BQ311" s="268"/>
      <c r="BR311" s="268"/>
      <c r="BS311" s="268"/>
      <c r="BT311" s="268"/>
      <c r="BU311" s="268"/>
      <c r="BV311" s="268"/>
      <c r="BW311" s="268"/>
      <c r="BX311" s="268"/>
      <c r="BY311" s="269"/>
      <c r="BZ311" s="267"/>
      <c r="CA311" s="268"/>
      <c r="CB311" s="268"/>
      <c r="CC311" s="268"/>
      <c r="CD311" s="268"/>
      <c r="CE311" s="268"/>
      <c r="CF311" s="268"/>
      <c r="CG311" s="268"/>
      <c r="CH311" s="268"/>
      <c r="CI311" s="269"/>
      <c r="CJ311" s="267">
        <f t="shared" si="15"/>
        <v>0</v>
      </c>
      <c r="CK311" s="268"/>
      <c r="CL311" s="268"/>
      <c r="CM311" s="268"/>
      <c r="CN311" s="268"/>
      <c r="CO311" s="268"/>
      <c r="CP311" s="268"/>
      <c r="CQ311" s="268"/>
      <c r="CR311" s="268"/>
      <c r="CS311" s="269"/>
      <c r="DG311" s="131"/>
    </row>
    <row r="312" spans="1:112" hidden="1">
      <c r="A312" s="44"/>
      <c r="B312" s="44"/>
      <c r="C312" s="293" t="s">
        <v>38</v>
      </c>
      <c r="D312" s="294"/>
      <c r="E312" s="294"/>
      <c r="F312" s="294"/>
      <c r="G312" s="294"/>
      <c r="H312" s="294"/>
      <c r="I312" s="294"/>
      <c r="J312" s="294"/>
      <c r="K312" s="294"/>
      <c r="L312" s="294"/>
      <c r="M312" s="294"/>
      <c r="N312" s="294"/>
      <c r="O312" s="294"/>
      <c r="P312" s="294"/>
      <c r="Q312" s="294"/>
      <c r="R312" s="294"/>
      <c r="S312" s="295"/>
      <c r="T312" s="276">
        <f>SUMIFS('Adv. Filter'!$BJ$1:$BJ$50000,'Adv. Filter'!$BT$1:$BT$50000,"Kiran",'Adv. Filter'!$BQ$1:$BQ$50000,$C312,'Adv. Filter'!$BH$1:$BH$50000,"Cash",'Adv. Filter'!$BO$1:$BO$50000,'Adv. Filter'!$A$14,'Adv. Filter'!$BO$1:$BO$50000,'Adv. Filter'!$B$14)</f>
        <v>0</v>
      </c>
      <c r="U312" s="277"/>
      <c r="V312" s="277"/>
      <c r="W312" s="277"/>
      <c r="X312" s="277"/>
      <c r="Y312" s="277"/>
      <c r="Z312" s="277"/>
      <c r="AA312" s="277"/>
      <c r="AB312" s="277"/>
      <c r="AC312" s="278"/>
      <c r="AD312" s="276">
        <f>SUMIFS('Adv. Filter'!$BJ$1:$BJ$50000,'Adv. Filter'!$BT$1:$BT$50000,"Kiran",'Adv. Filter'!$BQ$1:$BQ$50000,$C312,'Adv. Filter'!$BH$1:$BH$50000,"Bank",'Adv. Filter'!$BO$1:$BO$50000,'Adv. Filter'!$A$14,'Adv. Filter'!$BO$1:$BO$50000,'Adv. Filter'!$B$14)</f>
        <v>0</v>
      </c>
      <c r="AE312" s="277"/>
      <c r="AF312" s="277"/>
      <c r="AG312" s="277"/>
      <c r="AH312" s="277"/>
      <c r="AI312" s="277"/>
      <c r="AJ312" s="277"/>
      <c r="AK312" s="277"/>
      <c r="AL312" s="277"/>
      <c r="AM312" s="278"/>
      <c r="AN312" s="276">
        <f t="shared" si="14"/>
        <v>0</v>
      </c>
      <c r="AO312" s="277"/>
      <c r="AP312" s="277"/>
      <c r="AQ312" s="277"/>
      <c r="AR312" s="277"/>
      <c r="AS312" s="277"/>
      <c r="AT312" s="277"/>
      <c r="AU312" s="277"/>
      <c r="AV312" s="277"/>
      <c r="AW312" s="278"/>
      <c r="AX312" s="45"/>
      <c r="AY312" s="293" t="s">
        <v>38</v>
      </c>
      <c r="AZ312" s="294"/>
      <c r="BA312" s="294"/>
      <c r="BB312" s="294"/>
      <c r="BC312" s="294"/>
      <c r="BD312" s="294"/>
      <c r="BE312" s="294"/>
      <c r="BF312" s="294"/>
      <c r="BG312" s="294"/>
      <c r="BH312" s="294"/>
      <c r="BI312" s="294"/>
      <c r="BJ312" s="294"/>
      <c r="BK312" s="294"/>
      <c r="BL312" s="294"/>
      <c r="BM312" s="294"/>
      <c r="BN312" s="294"/>
      <c r="BO312" s="295"/>
      <c r="BP312" s="276">
        <f>SUMIFS('Adv. Filter'!$BJ$1:$BJ$50000,'Adv. Filter'!$BT$1:$BT$50000,"Kiran",'Adv. Filter'!$BQ$1:$BQ$50000,$AY312,'Adv. Filter'!$BH$1:$BH$50000,"Cash",'Adv. Filter'!$BO$1:$BO$50000,"&lt;"&amp;'Adv. Filter'!$A$15)</f>
        <v>0</v>
      </c>
      <c r="BQ312" s="277"/>
      <c r="BR312" s="277"/>
      <c r="BS312" s="277"/>
      <c r="BT312" s="277"/>
      <c r="BU312" s="277"/>
      <c r="BV312" s="277"/>
      <c r="BW312" s="277"/>
      <c r="BX312" s="277"/>
      <c r="BY312" s="278"/>
      <c r="BZ312" s="276">
        <f>SUMIFS('Adv. Filter'!$BJ$1:$BJ$50000,'Adv. Filter'!$BT$1:$BT$50000,"Kiran",'Adv. Filter'!$BQ$1:$BQ$50000,$AY312,'Adv. Filter'!$BH$1:$BH$50000,"Bank",'Adv. Filter'!$BO$1:$BO$50000,"&lt;"&amp;'Adv. Filter'!$A$15)</f>
        <v>0</v>
      </c>
      <c r="CA312" s="277"/>
      <c r="CB312" s="277"/>
      <c r="CC312" s="277"/>
      <c r="CD312" s="277"/>
      <c r="CE312" s="277"/>
      <c r="CF312" s="277"/>
      <c r="CG312" s="277"/>
      <c r="CH312" s="277"/>
      <c r="CI312" s="278"/>
      <c r="CJ312" s="276">
        <f t="shared" si="15"/>
        <v>0</v>
      </c>
      <c r="CK312" s="277"/>
      <c r="CL312" s="277"/>
      <c r="CM312" s="277"/>
      <c r="CN312" s="277"/>
      <c r="CO312" s="277"/>
      <c r="CP312" s="277"/>
      <c r="CQ312" s="277"/>
      <c r="CR312" s="277"/>
      <c r="CS312" s="278"/>
      <c r="CT312" s="44"/>
      <c r="CU312" s="44"/>
      <c r="CV312" s="44"/>
      <c r="CW312" s="44"/>
      <c r="CX312" s="44"/>
      <c r="CY312" s="44"/>
      <c r="CZ312" s="44"/>
      <c r="DG312" s="131"/>
    </row>
    <row r="313" spans="1:112" hidden="1">
      <c r="C313" s="308" t="s">
        <v>115</v>
      </c>
      <c r="D313" s="309"/>
      <c r="E313" s="309"/>
      <c r="F313" s="309"/>
      <c r="G313" s="309"/>
      <c r="H313" s="309"/>
      <c r="I313" s="309"/>
      <c r="J313" s="309"/>
      <c r="K313" s="309"/>
      <c r="L313" s="309"/>
      <c r="M313" s="309"/>
      <c r="N313" s="309"/>
      <c r="O313" s="309"/>
      <c r="P313" s="309"/>
      <c r="Q313" s="309"/>
      <c r="R313" s="309"/>
      <c r="S313" s="310"/>
      <c r="T313" s="267">
        <f>SUMIFS('Adv. Filter'!$BJ$1:$BJ$50000,'Adv. Filter'!$BT$1:$BT$50000,"Kiran",'Adv. Filter'!$BQ$1:$BQ$50000,$C312,'Adv. Filter'!$BH$1:$BH$50000,"Cash",'Adv. Filter'!$BO$1:$BO$50000,'Adv. Filter'!$A$14,'Adv. Filter'!$BO$1:$BO$50000,'Adv. Filter'!$B$14,'Adv. Filter'!$BP$1:$BP$50000,"Project")</f>
        <v>0</v>
      </c>
      <c r="U313" s="268"/>
      <c r="V313" s="268"/>
      <c r="W313" s="268"/>
      <c r="X313" s="268"/>
      <c r="Y313" s="268"/>
      <c r="Z313" s="268"/>
      <c r="AA313" s="268"/>
      <c r="AB313" s="268"/>
      <c r="AC313" s="269"/>
      <c r="AD313" s="267">
        <f>SUMIFS('Adv. Filter'!$BJ$1:$BJ$50000,'Adv. Filter'!$BT$1:$BT$50000,"Kiran",'Adv. Filter'!$BQ$1:$BQ$50000,$C312,'Adv. Filter'!$BH$1:$BH$50000,"Bank",'Adv. Filter'!$BO$1:$BO$50000,'Adv. Filter'!$A$14,'Adv. Filter'!$BO$1:$BO$50000,'Adv. Filter'!$B$14,'Adv. Filter'!$BP$1:$BP$50000,"Project")</f>
        <v>0</v>
      </c>
      <c r="AE313" s="268"/>
      <c r="AF313" s="268"/>
      <c r="AG313" s="268"/>
      <c r="AH313" s="268"/>
      <c r="AI313" s="268"/>
      <c r="AJ313" s="268"/>
      <c r="AK313" s="268"/>
      <c r="AL313" s="268"/>
      <c r="AM313" s="269"/>
      <c r="AN313" s="267">
        <f t="shared" si="14"/>
        <v>0</v>
      </c>
      <c r="AO313" s="268"/>
      <c r="AP313" s="268"/>
      <c r="AQ313" s="268"/>
      <c r="AR313" s="268"/>
      <c r="AS313" s="268"/>
      <c r="AT313" s="268"/>
      <c r="AU313" s="268"/>
      <c r="AV313" s="268"/>
      <c r="AW313" s="269"/>
      <c r="AX313" s="22"/>
      <c r="AY313" s="308" t="s">
        <v>115</v>
      </c>
      <c r="AZ313" s="309"/>
      <c r="BA313" s="309"/>
      <c r="BB313" s="309"/>
      <c r="BC313" s="309"/>
      <c r="BD313" s="309"/>
      <c r="BE313" s="309"/>
      <c r="BF313" s="309"/>
      <c r="BG313" s="309"/>
      <c r="BH313" s="309"/>
      <c r="BI313" s="309"/>
      <c r="BJ313" s="309"/>
      <c r="BK313" s="309"/>
      <c r="BL313" s="309"/>
      <c r="BM313" s="309"/>
      <c r="BN313" s="309"/>
      <c r="BO313" s="310"/>
      <c r="BP313" s="267">
        <f>SUMIFS('Adv. Filter'!$BJ$1:$BJ$50000,'Adv. Filter'!$BT$1:$BT$50000,"Kiran",'Adv. Filter'!$BQ$1:$BQ$50000,$AY312,'Adv. Filter'!$BH$1:$BH$50000,"Cash",'Adv. Filter'!$BO$1:$BO$50000,"&lt;"&amp;'Adv. Filter'!$A$15,'Adv. Filter'!$BP$1:$BP$50000,"Project")</f>
        <v>0</v>
      </c>
      <c r="BQ313" s="268"/>
      <c r="BR313" s="268"/>
      <c r="BS313" s="268"/>
      <c r="BT313" s="268"/>
      <c r="BU313" s="268"/>
      <c r="BV313" s="268"/>
      <c r="BW313" s="268"/>
      <c r="BX313" s="268"/>
      <c r="BY313" s="269"/>
      <c r="BZ313" s="267">
        <f>SUMIFS('Adv. Filter'!$BJ$1:$BJ$50000,'Adv. Filter'!$BT$1:$BT$50000,"Kiran",'Adv. Filter'!$BQ$1:$BQ$50000,$AY312,'Adv. Filter'!$BH$1:$BH$50000,"Bank",'Adv. Filter'!$BO$1:$BO$50000,"&lt;"&amp;'Adv. Filter'!$A$15,'Adv. Filter'!$BP$1:$BP$50000,"Project")</f>
        <v>0</v>
      </c>
      <c r="CA313" s="268"/>
      <c r="CB313" s="268"/>
      <c r="CC313" s="268"/>
      <c r="CD313" s="268"/>
      <c r="CE313" s="268"/>
      <c r="CF313" s="268"/>
      <c r="CG313" s="268"/>
      <c r="CH313" s="268"/>
      <c r="CI313" s="269"/>
      <c r="CJ313" s="267">
        <f t="shared" si="15"/>
        <v>0</v>
      </c>
      <c r="CK313" s="268"/>
      <c r="CL313" s="268"/>
      <c r="CM313" s="268"/>
      <c r="CN313" s="268"/>
      <c r="CO313" s="268"/>
      <c r="CP313" s="268"/>
      <c r="CQ313" s="268"/>
      <c r="CR313" s="268"/>
      <c r="CS313" s="269"/>
      <c r="DG313" s="131"/>
    </row>
    <row r="314" spans="1:112" hidden="1">
      <c r="C314" s="308" t="s">
        <v>510</v>
      </c>
      <c r="D314" s="309"/>
      <c r="E314" s="309"/>
      <c r="F314" s="309"/>
      <c r="G314" s="309"/>
      <c r="H314" s="309"/>
      <c r="I314" s="309"/>
      <c r="J314" s="309"/>
      <c r="K314" s="309"/>
      <c r="L314" s="309"/>
      <c r="M314" s="309"/>
      <c r="N314" s="309"/>
      <c r="O314" s="309"/>
      <c r="P314" s="309"/>
      <c r="Q314" s="309"/>
      <c r="R314" s="309"/>
      <c r="S314" s="310"/>
      <c r="T314" s="267">
        <v>0</v>
      </c>
      <c r="U314" s="268"/>
      <c r="V314" s="268"/>
      <c r="W314" s="268"/>
      <c r="X314" s="268"/>
      <c r="Y314" s="268"/>
      <c r="Z314" s="268"/>
      <c r="AA314" s="268"/>
      <c r="AB314" s="268"/>
      <c r="AC314" s="269"/>
      <c r="AD314" s="267">
        <v>0</v>
      </c>
      <c r="AE314" s="268"/>
      <c r="AF314" s="268"/>
      <c r="AG314" s="268"/>
      <c r="AH314" s="268"/>
      <c r="AI314" s="268"/>
      <c r="AJ314" s="268"/>
      <c r="AK314" s="268"/>
      <c r="AL314" s="268"/>
      <c r="AM314" s="269"/>
      <c r="AN314" s="267">
        <f t="shared" si="14"/>
        <v>0</v>
      </c>
      <c r="AO314" s="268"/>
      <c r="AP314" s="268"/>
      <c r="AQ314" s="268"/>
      <c r="AR314" s="268"/>
      <c r="AS314" s="268"/>
      <c r="AT314" s="268"/>
      <c r="AU314" s="268"/>
      <c r="AV314" s="268"/>
      <c r="AW314" s="269"/>
      <c r="AX314" s="22"/>
      <c r="AY314" s="308" t="s">
        <v>510</v>
      </c>
      <c r="AZ314" s="309"/>
      <c r="BA314" s="309"/>
      <c r="BB314" s="309"/>
      <c r="BC314" s="309"/>
      <c r="BD314" s="309"/>
      <c r="BE314" s="309"/>
      <c r="BF314" s="309"/>
      <c r="BG314" s="309"/>
      <c r="BH314" s="309"/>
      <c r="BI314" s="309"/>
      <c r="BJ314" s="309"/>
      <c r="BK314" s="309"/>
      <c r="BL314" s="309"/>
      <c r="BM314" s="309"/>
      <c r="BN314" s="309"/>
      <c r="BO314" s="310"/>
      <c r="BP314" s="267"/>
      <c r="BQ314" s="268"/>
      <c r="BR314" s="268"/>
      <c r="BS314" s="268"/>
      <c r="BT314" s="268"/>
      <c r="BU314" s="268"/>
      <c r="BV314" s="268"/>
      <c r="BW314" s="268"/>
      <c r="BX314" s="268"/>
      <c r="BY314" s="269"/>
      <c r="BZ314" s="267"/>
      <c r="CA314" s="268"/>
      <c r="CB314" s="268"/>
      <c r="CC314" s="268"/>
      <c r="CD314" s="268"/>
      <c r="CE314" s="268"/>
      <c r="CF314" s="268"/>
      <c r="CG314" s="268"/>
      <c r="CH314" s="268"/>
      <c r="CI314" s="269"/>
      <c r="CJ314" s="267">
        <f t="shared" si="15"/>
        <v>0</v>
      </c>
      <c r="CK314" s="268"/>
      <c r="CL314" s="268"/>
      <c r="CM314" s="268"/>
      <c r="CN314" s="268"/>
      <c r="CO314" s="268"/>
      <c r="CP314" s="268"/>
      <c r="CQ314" s="268"/>
      <c r="CR314" s="268"/>
      <c r="CS314" s="269"/>
      <c r="DG314" s="131"/>
    </row>
    <row r="315" spans="1:112" hidden="1">
      <c r="A315" s="44"/>
      <c r="B315" s="44"/>
      <c r="C315" s="48"/>
      <c r="D315" s="36" t="str">
        <f>IF(AN312=0,C312&amp;" -","")</f>
        <v>Axis -</v>
      </c>
      <c r="E315" s="42"/>
      <c r="F315" s="42"/>
      <c r="G315" s="42"/>
      <c r="H315" s="42"/>
      <c r="I315" s="42"/>
      <c r="J315" s="42"/>
      <c r="K315" s="42"/>
      <c r="L315" s="42"/>
      <c r="M315" s="42"/>
      <c r="N315" s="42"/>
      <c r="O315" s="42"/>
      <c r="P315" s="47"/>
      <c r="Q315" s="42"/>
      <c r="R315" s="41" t="s">
        <v>275</v>
      </c>
      <c r="S315" s="46"/>
      <c r="T315" s="267">
        <f>SUMIFS('Adv. Filter'!$CH$1:$CH$50000,'Adv. Filter'!$CD$1:$CD$50000,"Kiran",'Adv. Filter'!$CE$1:$CE$50000,$C312,'Adv. Filter'!$CC$1:$CC$50000,"Suspense",'Adv. Filter'!$CF$1:$CF$50000,"Cash")</f>
        <v>0</v>
      </c>
      <c r="U315" s="268"/>
      <c r="V315" s="268"/>
      <c r="W315" s="268"/>
      <c r="X315" s="268"/>
      <c r="Y315" s="268"/>
      <c r="Z315" s="268"/>
      <c r="AA315" s="268"/>
      <c r="AB315" s="268"/>
      <c r="AC315" s="269"/>
      <c r="AD315" s="267">
        <f>SUMIFS('Adv. Filter'!$CH$1:$CH$50000,'Adv. Filter'!$CD$1:$CD$50000,"Kiran",'Adv. Filter'!$CE$1:$CE$50000,$C312,'Adv. Filter'!$CC$1:$CC$50000,"Suspense",'Adv. Filter'!$CF$1:$CF$50000,"Bank")</f>
        <v>0</v>
      </c>
      <c r="AE315" s="268"/>
      <c r="AF315" s="268"/>
      <c r="AG315" s="268"/>
      <c r="AH315" s="268"/>
      <c r="AI315" s="268"/>
      <c r="AJ315" s="268"/>
      <c r="AK315" s="268"/>
      <c r="AL315" s="268"/>
      <c r="AM315" s="269"/>
      <c r="AN315" s="276">
        <f t="shared" si="14"/>
        <v>0</v>
      </c>
      <c r="AO315" s="277"/>
      <c r="AP315" s="277"/>
      <c r="AQ315" s="277"/>
      <c r="AR315" s="277"/>
      <c r="AS315" s="277"/>
      <c r="AT315" s="277"/>
      <c r="AU315" s="277"/>
      <c r="AV315" s="277"/>
      <c r="AW315" s="278"/>
      <c r="AX315" s="45"/>
      <c r="AY315" s="48"/>
      <c r="AZ315" s="36" t="str">
        <f>IF(CJ312=0,AY312&amp;" -","")</f>
        <v>Axis -</v>
      </c>
      <c r="BA315" s="42"/>
      <c r="BB315" s="42"/>
      <c r="BC315" s="42"/>
      <c r="BD315" s="42"/>
      <c r="BE315" s="42"/>
      <c r="BF315" s="42"/>
      <c r="BG315" s="42"/>
      <c r="BH315" s="42"/>
      <c r="BI315" s="42"/>
      <c r="BJ315" s="42"/>
      <c r="BK315" s="42"/>
      <c r="BL315" s="47"/>
      <c r="BM315" s="42"/>
      <c r="BN315" s="41" t="s">
        <v>275</v>
      </c>
      <c r="BO315" s="46"/>
      <c r="BP315" s="276"/>
      <c r="BQ315" s="277"/>
      <c r="BR315" s="277"/>
      <c r="BS315" s="277"/>
      <c r="BT315" s="277"/>
      <c r="BU315" s="277"/>
      <c r="BV315" s="277"/>
      <c r="BW315" s="277"/>
      <c r="BX315" s="277"/>
      <c r="BY315" s="278"/>
      <c r="BZ315" s="276"/>
      <c r="CA315" s="277"/>
      <c r="CB315" s="277"/>
      <c r="CC315" s="277"/>
      <c r="CD315" s="277"/>
      <c r="CE315" s="277"/>
      <c r="CF315" s="277"/>
      <c r="CG315" s="277"/>
      <c r="CH315" s="277"/>
      <c r="CI315" s="278"/>
      <c r="CJ315" s="276">
        <f t="shared" si="15"/>
        <v>0</v>
      </c>
      <c r="CK315" s="277"/>
      <c r="CL315" s="277"/>
      <c r="CM315" s="277"/>
      <c r="CN315" s="277"/>
      <c r="CO315" s="277"/>
      <c r="CP315" s="277"/>
      <c r="CQ315" s="277"/>
      <c r="CR315" s="277"/>
      <c r="CS315" s="278"/>
      <c r="CT315" s="44"/>
      <c r="CU315" s="44"/>
      <c r="CV315" s="44"/>
      <c r="CW315" s="44"/>
      <c r="CX315" s="44"/>
      <c r="CY315" s="44"/>
      <c r="CZ315" s="44"/>
      <c r="DG315" s="131"/>
    </row>
    <row r="316" spans="1:112" hidden="1">
      <c r="A316" s="44"/>
      <c r="B316" s="44"/>
      <c r="C316" s="293" t="s">
        <v>49</v>
      </c>
      <c r="D316" s="294"/>
      <c r="E316" s="294"/>
      <c r="F316" s="294"/>
      <c r="G316" s="294"/>
      <c r="H316" s="294"/>
      <c r="I316" s="294"/>
      <c r="J316" s="294"/>
      <c r="K316" s="294"/>
      <c r="L316" s="294"/>
      <c r="M316" s="294"/>
      <c r="N316" s="294"/>
      <c r="O316" s="294"/>
      <c r="P316" s="294"/>
      <c r="Q316" s="294"/>
      <c r="R316" s="294"/>
      <c r="S316" s="295"/>
      <c r="T316" s="276">
        <f>SUMIFS('Adv. Filter'!$BJ$1:$BJ$50000,'Adv. Filter'!$BT$1:$BT$50000,"Kiran",'Adv. Filter'!$BQ$1:$BQ$50000,$C316,'Adv. Filter'!$BH$1:$BH$50000,"Cash",'Adv. Filter'!$BO$1:$BO$50000,'Adv. Filter'!$A$14,'Adv. Filter'!$BO$1:$BO$50000,'Adv. Filter'!$B$14)</f>
        <v>0</v>
      </c>
      <c r="U316" s="277"/>
      <c r="V316" s="277"/>
      <c r="W316" s="277"/>
      <c r="X316" s="277"/>
      <c r="Y316" s="277"/>
      <c r="Z316" s="277"/>
      <c r="AA316" s="277"/>
      <c r="AB316" s="277"/>
      <c r="AC316" s="278"/>
      <c r="AD316" s="276">
        <f>SUMIFS('Adv. Filter'!$BJ$1:$BJ$50000,'Adv. Filter'!$BT$1:$BT$50000,"Kiran",'Adv. Filter'!$BQ$1:$BQ$50000,$C316,'Adv. Filter'!$BH$1:$BH$50000,"Bank",'Adv. Filter'!$BO$1:$BO$50000,'Adv. Filter'!$A$14,'Adv. Filter'!$BO$1:$BO$50000,'Adv. Filter'!$B$14)</f>
        <v>0</v>
      </c>
      <c r="AE316" s="277"/>
      <c r="AF316" s="277"/>
      <c r="AG316" s="277"/>
      <c r="AH316" s="277"/>
      <c r="AI316" s="277"/>
      <c r="AJ316" s="277"/>
      <c r="AK316" s="277"/>
      <c r="AL316" s="277"/>
      <c r="AM316" s="278"/>
      <c r="AN316" s="276">
        <f t="shared" si="14"/>
        <v>0</v>
      </c>
      <c r="AO316" s="277"/>
      <c r="AP316" s="277"/>
      <c r="AQ316" s="277"/>
      <c r="AR316" s="277"/>
      <c r="AS316" s="277"/>
      <c r="AT316" s="277"/>
      <c r="AU316" s="277"/>
      <c r="AV316" s="277"/>
      <c r="AW316" s="278"/>
      <c r="AX316" s="45"/>
      <c r="AY316" s="293" t="s">
        <v>49</v>
      </c>
      <c r="AZ316" s="294"/>
      <c r="BA316" s="294"/>
      <c r="BB316" s="294"/>
      <c r="BC316" s="294"/>
      <c r="BD316" s="294"/>
      <c r="BE316" s="294"/>
      <c r="BF316" s="294"/>
      <c r="BG316" s="294"/>
      <c r="BH316" s="294"/>
      <c r="BI316" s="294"/>
      <c r="BJ316" s="294"/>
      <c r="BK316" s="294"/>
      <c r="BL316" s="294"/>
      <c r="BM316" s="294"/>
      <c r="BN316" s="294"/>
      <c r="BO316" s="295"/>
      <c r="BP316" s="276">
        <f>SUMIFS('Adv. Filter'!$BJ$1:$BJ$50000,'Adv. Filter'!$BT$1:$BT$50000,"Kiran",'Adv. Filter'!$BQ$1:$BQ$50000,$AY316,'Adv. Filter'!$BH$1:$BH$50000,"Cash",'Adv. Filter'!$BO$1:$BO$50000,"&lt;"&amp;'Adv. Filter'!$A$15)</f>
        <v>0</v>
      </c>
      <c r="BQ316" s="277"/>
      <c r="BR316" s="277"/>
      <c r="BS316" s="277"/>
      <c r="BT316" s="277"/>
      <c r="BU316" s="277"/>
      <c r="BV316" s="277"/>
      <c r="BW316" s="277"/>
      <c r="BX316" s="277"/>
      <c r="BY316" s="278"/>
      <c r="BZ316" s="276">
        <f>SUMIFS('Adv. Filter'!$BJ$1:$BJ$50000,'Adv. Filter'!$BT$1:$BT$50000,"Kiran",'Adv. Filter'!$BQ$1:$BQ$50000,$AY316,'Adv. Filter'!$BH$1:$BH$50000,"Bank",'Adv. Filter'!$BO$1:$BO$50000,"&lt;"&amp;'Adv. Filter'!$A$15)</f>
        <v>0</v>
      </c>
      <c r="CA316" s="277"/>
      <c r="CB316" s="277"/>
      <c r="CC316" s="277"/>
      <c r="CD316" s="277"/>
      <c r="CE316" s="277"/>
      <c r="CF316" s="277"/>
      <c r="CG316" s="277"/>
      <c r="CH316" s="277"/>
      <c r="CI316" s="278"/>
      <c r="CJ316" s="276">
        <f t="shared" si="15"/>
        <v>0</v>
      </c>
      <c r="CK316" s="277"/>
      <c r="CL316" s="277"/>
      <c r="CM316" s="277"/>
      <c r="CN316" s="277"/>
      <c r="CO316" s="277"/>
      <c r="CP316" s="277"/>
      <c r="CQ316" s="277"/>
      <c r="CR316" s="277"/>
      <c r="CS316" s="278"/>
      <c r="CT316" s="44"/>
      <c r="CU316" s="44"/>
      <c r="CV316" s="44"/>
      <c r="CW316" s="44"/>
      <c r="CX316" s="44"/>
      <c r="CY316" s="44"/>
      <c r="CZ316" s="44"/>
      <c r="DG316" s="131"/>
    </row>
    <row r="317" spans="1:112" hidden="1">
      <c r="C317" s="308" t="s">
        <v>115</v>
      </c>
      <c r="D317" s="309"/>
      <c r="E317" s="309"/>
      <c r="F317" s="309"/>
      <c r="G317" s="309"/>
      <c r="H317" s="309"/>
      <c r="I317" s="309"/>
      <c r="J317" s="309"/>
      <c r="K317" s="309"/>
      <c r="L317" s="309"/>
      <c r="M317" s="309"/>
      <c r="N317" s="309"/>
      <c r="O317" s="309"/>
      <c r="P317" s="309"/>
      <c r="Q317" s="309"/>
      <c r="R317" s="309"/>
      <c r="S317" s="310"/>
      <c r="T317" s="267">
        <f>SUMIFS('Adv. Filter'!$BJ$1:$BJ$50000,'Adv. Filter'!$BT$1:$BT$50000,"Kiran",'Adv. Filter'!$BQ$1:$BQ$50000,$C316,'Adv. Filter'!$BH$1:$BH$50000,"Cash",'Adv. Filter'!$BO$1:$BO$50000,'Adv. Filter'!$A$14,'Adv. Filter'!$BO$1:$BO$50000,'Adv. Filter'!$B$14,'Adv. Filter'!$BP$1:$BP$50000,"Project")</f>
        <v>0</v>
      </c>
      <c r="U317" s="268"/>
      <c r="V317" s="268"/>
      <c r="W317" s="268"/>
      <c r="X317" s="268"/>
      <c r="Y317" s="268"/>
      <c r="Z317" s="268"/>
      <c r="AA317" s="268"/>
      <c r="AB317" s="268"/>
      <c r="AC317" s="269"/>
      <c r="AD317" s="267">
        <f>SUMIFS('Adv. Filter'!$BJ$1:$BJ$50000,'Adv. Filter'!$BT$1:$BT$50000,"Kiran",'Adv. Filter'!$BQ$1:$BQ$50000,$C316,'Adv. Filter'!$BH$1:$BH$50000,"Bank",'Adv. Filter'!$BO$1:$BO$50000,'Adv. Filter'!$A$14,'Adv. Filter'!$BO$1:$BO$50000,'Adv. Filter'!$B$14,'Adv. Filter'!$BP$1:$BP$50000,"Project")</f>
        <v>0</v>
      </c>
      <c r="AE317" s="268"/>
      <c r="AF317" s="268"/>
      <c r="AG317" s="268"/>
      <c r="AH317" s="268"/>
      <c r="AI317" s="268"/>
      <c r="AJ317" s="268"/>
      <c r="AK317" s="268"/>
      <c r="AL317" s="268"/>
      <c r="AM317" s="269"/>
      <c r="AN317" s="267">
        <f t="shared" si="14"/>
        <v>0</v>
      </c>
      <c r="AO317" s="268"/>
      <c r="AP317" s="268"/>
      <c r="AQ317" s="268"/>
      <c r="AR317" s="268"/>
      <c r="AS317" s="268"/>
      <c r="AT317" s="268"/>
      <c r="AU317" s="268"/>
      <c r="AV317" s="268"/>
      <c r="AW317" s="269"/>
      <c r="AX317" s="22"/>
      <c r="AY317" s="308" t="s">
        <v>115</v>
      </c>
      <c r="AZ317" s="309"/>
      <c r="BA317" s="309"/>
      <c r="BB317" s="309"/>
      <c r="BC317" s="309"/>
      <c r="BD317" s="309"/>
      <c r="BE317" s="309"/>
      <c r="BF317" s="309"/>
      <c r="BG317" s="309"/>
      <c r="BH317" s="309"/>
      <c r="BI317" s="309"/>
      <c r="BJ317" s="309"/>
      <c r="BK317" s="309"/>
      <c r="BL317" s="309"/>
      <c r="BM317" s="309"/>
      <c r="BN317" s="309"/>
      <c r="BO317" s="310"/>
      <c r="BP317" s="267">
        <f>SUMIFS('Adv. Filter'!$BJ$1:$BJ$50000,'Adv. Filter'!$BT$1:$BT$50000,"Kiran",'Adv. Filter'!$BQ$1:$BQ$50000,$AY316,'Adv. Filter'!$BH$1:$BH$50000,"Cash",'Adv. Filter'!$BO$1:$BO$50000,"&lt;"&amp;'Adv. Filter'!$A$15,'Adv. Filter'!$BP$1:$BP$50000,"Project")</f>
        <v>0</v>
      </c>
      <c r="BQ317" s="268"/>
      <c r="BR317" s="268"/>
      <c r="BS317" s="268"/>
      <c r="BT317" s="268"/>
      <c r="BU317" s="268"/>
      <c r="BV317" s="268"/>
      <c r="BW317" s="268"/>
      <c r="BX317" s="268"/>
      <c r="BY317" s="269"/>
      <c r="BZ317" s="267">
        <f>SUMIFS('Adv. Filter'!$BJ$1:$BJ$50000,'Adv. Filter'!$BT$1:$BT$50000,"Kiran",'Adv. Filter'!$BQ$1:$BQ$50000,$AY316,'Adv. Filter'!$BH$1:$BH$50000,"Bank",'Adv. Filter'!$BO$1:$BO$50000,"&lt;"&amp;'Adv. Filter'!$A$15,'Adv. Filter'!$BP$1:$BP$50000,"Project")</f>
        <v>0</v>
      </c>
      <c r="CA317" s="268"/>
      <c r="CB317" s="268"/>
      <c r="CC317" s="268"/>
      <c r="CD317" s="268"/>
      <c r="CE317" s="268"/>
      <c r="CF317" s="268"/>
      <c r="CG317" s="268"/>
      <c r="CH317" s="268"/>
      <c r="CI317" s="269"/>
      <c r="CJ317" s="267">
        <f t="shared" si="15"/>
        <v>0</v>
      </c>
      <c r="CK317" s="268"/>
      <c r="CL317" s="268"/>
      <c r="CM317" s="268"/>
      <c r="CN317" s="268"/>
      <c r="CO317" s="268"/>
      <c r="CP317" s="268"/>
      <c r="CQ317" s="268"/>
      <c r="CR317" s="268"/>
      <c r="CS317" s="269"/>
      <c r="DG317" s="131"/>
    </row>
    <row r="318" spans="1:112" hidden="1">
      <c r="C318" s="308" t="s">
        <v>510</v>
      </c>
      <c r="D318" s="309"/>
      <c r="E318" s="309"/>
      <c r="F318" s="309"/>
      <c r="G318" s="309"/>
      <c r="H318" s="309"/>
      <c r="I318" s="309"/>
      <c r="J318" s="309"/>
      <c r="K318" s="309"/>
      <c r="L318" s="309"/>
      <c r="M318" s="309"/>
      <c r="N318" s="309"/>
      <c r="O318" s="309"/>
      <c r="P318" s="309"/>
      <c r="Q318" s="309"/>
      <c r="R318" s="309"/>
      <c r="S318" s="310"/>
      <c r="T318" s="267">
        <v>0</v>
      </c>
      <c r="U318" s="268"/>
      <c r="V318" s="268"/>
      <c r="W318" s="268"/>
      <c r="X318" s="268"/>
      <c r="Y318" s="268"/>
      <c r="Z318" s="268"/>
      <c r="AA318" s="268"/>
      <c r="AB318" s="268"/>
      <c r="AC318" s="269"/>
      <c r="AD318" s="267">
        <v>0</v>
      </c>
      <c r="AE318" s="268"/>
      <c r="AF318" s="268"/>
      <c r="AG318" s="268"/>
      <c r="AH318" s="268"/>
      <c r="AI318" s="268"/>
      <c r="AJ318" s="268"/>
      <c r="AK318" s="268"/>
      <c r="AL318" s="268"/>
      <c r="AM318" s="269"/>
      <c r="AN318" s="267">
        <f t="shared" si="14"/>
        <v>0</v>
      </c>
      <c r="AO318" s="268"/>
      <c r="AP318" s="268"/>
      <c r="AQ318" s="268"/>
      <c r="AR318" s="268"/>
      <c r="AS318" s="268"/>
      <c r="AT318" s="268"/>
      <c r="AU318" s="268"/>
      <c r="AV318" s="268"/>
      <c r="AW318" s="269"/>
      <c r="AX318" s="22"/>
      <c r="AY318" s="308" t="s">
        <v>510</v>
      </c>
      <c r="AZ318" s="309"/>
      <c r="BA318" s="309"/>
      <c r="BB318" s="309"/>
      <c r="BC318" s="309"/>
      <c r="BD318" s="309"/>
      <c r="BE318" s="309"/>
      <c r="BF318" s="309"/>
      <c r="BG318" s="309"/>
      <c r="BH318" s="309"/>
      <c r="BI318" s="309"/>
      <c r="BJ318" s="309"/>
      <c r="BK318" s="309"/>
      <c r="BL318" s="309"/>
      <c r="BM318" s="309"/>
      <c r="BN318" s="309"/>
      <c r="BO318" s="310"/>
      <c r="BP318" s="267"/>
      <c r="BQ318" s="268"/>
      <c r="BR318" s="268"/>
      <c r="BS318" s="268"/>
      <c r="BT318" s="268"/>
      <c r="BU318" s="268"/>
      <c r="BV318" s="268"/>
      <c r="BW318" s="268"/>
      <c r="BX318" s="268"/>
      <c r="BY318" s="269"/>
      <c r="BZ318" s="267"/>
      <c r="CA318" s="268"/>
      <c r="CB318" s="268"/>
      <c r="CC318" s="268"/>
      <c r="CD318" s="268"/>
      <c r="CE318" s="268"/>
      <c r="CF318" s="268"/>
      <c r="CG318" s="268"/>
      <c r="CH318" s="268"/>
      <c r="CI318" s="269"/>
      <c r="CJ318" s="267">
        <f t="shared" si="15"/>
        <v>0</v>
      </c>
      <c r="CK318" s="268"/>
      <c r="CL318" s="268"/>
      <c r="CM318" s="268"/>
      <c r="CN318" s="268"/>
      <c r="CO318" s="268"/>
      <c r="CP318" s="268"/>
      <c r="CQ318" s="268"/>
      <c r="CR318" s="268"/>
      <c r="CS318" s="269"/>
      <c r="DG318" s="131"/>
    </row>
    <row r="319" spans="1:112" hidden="1">
      <c r="C319" s="43"/>
      <c r="D319" s="36" t="str">
        <f>IF(AN316=0,C316&amp;" -","")</f>
        <v>BOI -</v>
      </c>
      <c r="E319" s="42"/>
      <c r="F319" s="42"/>
      <c r="G319" s="42"/>
      <c r="H319" s="42"/>
      <c r="I319" s="42"/>
      <c r="J319" s="42"/>
      <c r="K319" s="42"/>
      <c r="L319" s="42"/>
      <c r="M319" s="42"/>
      <c r="N319" s="42"/>
      <c r="O319" s="42"/>
      <c r="P319" s="1"/>
      <c r="Q319" s="42"/>
      <c r="R319" s="41" t="s">
        <v>275</v>
      </c>
      <c r="S319" s="40"/>
      <c r="T319" s="267">
        <f>SUMIFS('Adv. Filter'!$CH$1:$CH$50000,'Adv. Filter'!$CD$1:$CD$50000,"Kiran",'Adv. Filter'!$CE$1:$CE$50000,$C316,'Adv. Filter'!$CC$1:$CC$50000,"Suspense",'Adv. Filter'!$CF$1:$CF$50000,"Cash")</f>
        <v>0</v>
      </c>
      <c r="U319" s="268"/>
      <c r="V319" s="268"/>
      <c r="W319" s="268"/>
      <c r="X319" s="268"/>
      <c r="Y319" s="268"/>
      <c r="Z319" s="268"/>
      <c r="AA319" s="268"/>
      <c r="AB319" s="268"/>
      <c r="AC319" s="269"/>
      <c r="AD319" s="267">
        <f>SUMIFS('Adv. Filter'!$CH$1:$CH$50000,'Adv. Filter'!$CD$1:$CD$50000,"Kiran",'Adv. Filter'!$CE$1:$CE$50000,$C316,'Adv. Filter'!$CC$1:$CC$50000,"Suspense",'Adv. Filter'!$CF$1:$CF$50000,"Bank")</f>
        <v>0</v>
      </c>
      <c r="AE319" s="268"/>
      <c r="AF319" s="268"/>
      <c r="AG319" s="268"/>
      <c r="AH319" s="268"/>
      <c r="AI319" s="268"/>
      <c r="AJ319" s="268"/>
      <c r="AK319" s="268"/>
      <c r="AL319" s="268"/>
      <c r="AM319" s="269"/>
      <c r="AN319" s="267">
        <f t="shared" si="14"/>
        <v>0</v>
      </c>
      <c r="AO319" s="268"/>
      <c r="AP319" s="268"/>
      <c r="AQ319" s="268"/>
      <c r="AR319" s="268"/>
      <c r="AS319" s="268"/>
      <c r="AT319" s="268"/>
      <c r="AU319" s="268"/>
      <c r="AV319" s="268"/>
      <c r="AW319" s="269"/>
      <c r="AX319" s="22"/>
      <c r="AY319" s="43"/>
      <c r="AZ319" s="36" t="str">
        <f>IF(CJ316=0,AY316&amp;" -","")</f>
        <v>BOI -</v>
      </c>
      <c r="BA319" s="42"/>
      <c r="BB319" s="42"/>
      <c r="BC319" s="42"/>
      <c r="BD319" s="42"/>
      <c r="BE319" s="42"/>
      <c r="BF319" s="42"/>
      <c r="BG319" s="42"/>
      <c r="BH319" s="42"/>
      <c r="BI319" s="42"/>
      <c r="BJ319" s="42"/>
      <c r="BK319" s="42"/>
      <c r="BL319" s="1"/>
      <c r="BM319" s="42"/>
      <c r="BN319" s="41" t="s">
        <v>275</v>
      </c>
      <c r="BO319" s="40"/>
      <c r="BP319" s="267"/>
      <c r="BQ319" s="268"/>
      <c r="BR319" s="268"/>
      <c r="BS319" s="268"/>
      <c r="BT319" s="268"/>
      <c r="BU319" s="268"/>
      <c r="BV319" s="268"/>
      <c r="BW319" s="268"/>
      <c r="BX319" s="268"/>
      <c r="BY319" s="269"/>
      <c r="BZ319" s="267"/>
      <c r="CA319" s="268"/>
      <c r="CB319" s="268"/>
      <c r="CC319" s="268"/>
      <c r="CD319" s="268"/>
      <c r="CE319" s="268"/>
      <c r="CF319" s="268"/>
      <c r="CG319" s="268"/>
      <c r="CH319" s="268"/>
      <c r="CI319" s="269"/>
      <c r="CJ319" s="267">
        <f t="shared" si="15"/>
        <v>0</v>
      </c>
      <c r="CK319" s="268"/>
      <c r="CL319" s="268"/>
      <c r="CM319" s="268"/>
      <c r="CN319" s="268"/>
      <c r="CO319" s="268"/>
      <c r="CP319" s="268"/>
      <c r="CQ319" s="268"/>
      <c r="CR319" s="268"/>
      <c r="CS319" s="269"/>
      <c r="DG319" s="131"/>
    </row>
    <row r="320" spans="1:112" hidden="1">
      <c r="A320" s="44"/>
      <c r="B320" s="44"/>
      <c r="C320" s="293" t="s">
        <v>59</v>
      </c>
      <c r="D320" s="294"/>
      <c r="E320" s="294"/>
      <c r="F320" s="294"/>
      <c r="G320" s="294"/>
      <c r="H320" s="294"/>
      <c r="I320" s="294"/>
      <c r="J320" s="294"/>
      <c r="K320" s="294"/>
      <c r="L320" s="294"/>
      <c r="M320" s="294"/>
      <c r="N320" s="294"/>
      <c r="O320" s="294"/>
      <c r="P320" s="294"/>
      <c r="Q320" s="294"/>
      <c r="R320" s="294"/>
      <c r="S320" s="295"/>
      <c r="T320" s="276">
        <f>SUMIFS('Adv. Filter'!$BJ$1:$BJ$50000,'Adv. Filter'!$BT$1:$BT$50000,"Kiran",'Adv. Filter'!$BQ$1:$BQ$50000,$C320,'Adv. Filter'!$BH$1:$BH$50000,"Cash",'Adv. Filter'!$BO$1:$BO$50000,'Adv. Filter'!$A$14,'Adv. Filter'!$BO$1:$BO$50000,'Adv. Filter'!$B$14)</f>
        <v>0</v>
      </c>
      <c r="U320" s="277"/>
      <c r="V320" s="277"/>
      <c r="W320" s="277"/>
      <c r="X320" s="277"/>
      <c r="Y320" s="277"/>
      <c r="Z320" s="277"/>
      <c r="AA320" s="277"/>
      <c r="AB320" s="277"/>
      <c r="AC320" s="278"/>
      <c r="AD320" s="276">
        <f>SUMIFS('Adv. Filter'!$BJ$1:$BJ$50000,'Adv. Filter'!$BT$1:$BT$50000,"Kiran",'Adv. Filter'!$BQ$1:$BQ$50000,$C320,'Adv. Filter'!$BH$1:$BH$50000,"Bank",'Adv. Filter'!$BO$1:$BO$50000,'Adv. Filter'!$A$14,'Adv. Filter'!$BO$1:$BO$50000,'Adv. Filter'!$B$14)</f>
        <v>0</v>
      </c>
      <c r="AE320" s="277"/>
      <c r="AF320" s="277"/>
      <c r="AG320" s="277"/>
      <c r="AH320" s="277"/>
      <c r="AI320" s="277"/>
      <c r="AJ320" s="277"/>
      <c r="AK320" s="277"/>
      <c r="AL320" s="277"/>
      <c r="AM320" s="278"/>
      <c r="AN320" s="276">
        <f t="shared" si="14"/>
        <v>0</v>
      </c>
      <c r="AO320" s="277"/>
      <c r="AP320" s="277"/>
      <c r="AQ320" s="277"/>
      <c r="AR320" s="277"/>
      <c r="AS320" s="277"/>
      <c r="AT320" s="277"/>
      <c r="AU320" s="277"/>
      <c r="AV320" s="277"/>
      <c r="AW320" s="278"/>
      <c r="AX320" s="45"/>
      <c r="AY320" s="293" t="s">
        <v>59</v>
      </c>
      <c r="AZ320" s="294"/>
      <c r="BA320" s="294"/>
      <c r="BB320" s="294"/>
      <c r="BC320" s="294"/>
      <c r="BD320" s="294"/>
      <c r="BE320" s="294"/>
      <c r="BF320" s="294"/>
      <c r="BG320" s="294"/>
      <c r="BH320" s="294"/>
      <c r="BI320" s="294"/>
      <c r="BJ320" s="294"/>
      <c r="BK320" s="294"/>
      <c r="BL320" s="294"/>
      <c r="BM320" s="294"/>
      <c r="BN320" s="294"/>
      <c r="BO320" s="295"/>
      <c r="BP320" s="276">
        <f>SUMIFS('Adv. Filter'!$BJ$1:$BJ$50000,'Adv. Filter'!$BT$1:$BT$50000,"Kiran",'Adv. Filter'!$BQ$1:$BQ$50000,$AY320,'Adv. Filter'!$BH$1:$BH$50000,"Cash",'Adv. Filter'!$BO$1:$BO$50000,"&lt;"&amp;'Adv. Filter'!$A$15)</f>
        <v>0</v>
      </c>
      <c r="BQ320" s="277"/>
      <c r="BR320" s="277"/>
      <c r="BS320" s="277"/>
      <c r="BT320" s="277"/>
      <c r="BU320" s="277"/>
      <c r="BV320" s="277"/>
      <c r="BW320" s="277"/>
      <c r="BX320" s="277"/>
      <c r="BY320" s="278"/>
      <c r="BZ320" s="276">
        <f>SUMIFS('Adv. Filter'!$BJ$1:$BJ$50000,'Adv. Filter'!$BT$1:$BT$50000,"Kiran",'Adv. Filter'!$BQ$1:$BQ$50000,$AY320,'Adv. Filter'!$BH$1:$BH$50000,"Bank",'Adv. Filter'!$BO$1:$BO$50000,"&lt;"&amp;'Adv. Filter'!$A$15)</f>
        <v>0</v>
      </c>
      <c r="CA320" s="277"/>
      <c r="CB320" s="277"/>
      <c r="CC320" s="277"/>
      <c r="CD320" s="277"/>
      <c r="CE320" s="277"/>
      <c r="CF320" s="277"/>
      <c r="CG320" s="277"/>
      <c r="CH320" s="277"/>
      <c r="CI320" s="278"/>
      <c r="CJ320" s="276">
        <f t="shared" si="15"/>
        <v>0</v>
      </c>
      <c r="CK320" s="277"/>
      <c r="CL320" s="277"/>
      <c r="CM320" s="277"/>
      <c r="CN320" s="277"/>
      <c r="CO320" s="277"/>
      <c r="CP320" s="277"/>
      <c r="CQ320" s="277"/>
      <c r="CR320" s="277"/>
      <c r="CS320" s="278"/>
      <c r="CT320" s="44"/>
      <c r="CU320" s="44"/>
      <c r="CV320" s="44"/>
      <c r="CW320" s="44"/>
      <c r="CX320" s="44"/>
      <c r="CY320" s="44"/>
      <c r="CZ320" s="44"/>
      <c r="DG320" s="131"/>
    </row>
    <row r="321" spans="1:111" hidden="1">
      <c r="C321" s="308" t="s">
        <v>115</v>
      </c>
      <c r="D321" s="309"/>
      <c r="E321" s="309"/>
      <c r="F321" s="309"/>
      <c r="G321" s="309"/>
      <c r="H321" s="309"/>
      <c r="I321" s="309"/>
      <c r="J321" s="309"/>
      <c r="K321" s="309"/>
      <c r="L321" s="309"/>
      <c r="M321" s="309"/>
      <c r="N321" s="309"/>
      <c r="O321" s="309"/>
      <c r="P321" s="309"/>
      <c r="Q321" s="309"/>
      <c r="R321" s="309"/>
      <c r="S321" s="310"/>
      <c r="T321" s="267">
        <f>SUMIFS('Adv. Filter'!$BJ$1:$BJ$50000,'Adv. Filter'!$BT$1:$BT$50000,"Kiran",'Adv. Filter'!$BQ$1:$BQ$50000,$C320,'Adv. Filter'!$BH$1:$BH$50000,"Cash",'Adv. Filter'!$BO$1:$BO$50000,'Adv. Filter'!$A$14,'Adv. Filter'!$BO$1:$BO$50000,'Adv. Filter'!$B$14,'Adv. Filter'!$BP$1:$BP$50000,"Project")</f>
        <v>0</v>
      </c>
      <c r="U321" s="268"/>
      <c r="V321" s="268"/>
      <c r="W321" s="268"/>
      <c r="X321" s="268"/>
      <c r="Y321" s="268"/>
      <c r="Z321" s="268"/>
      <c r="AA321" s="268"/>
      <c r="AB321" s="268"/>
      <c r="AC321" s="269"/>
      <c r="AD321" s="267">
        <f>SUMIFS('Adv. Filter'!$BJ$1:$BJ$50000,'Adv. Filter'!$BT$1:$BT$50000,"Kiran",'Adv. Filter'!$BQ$1:$BQ$50000,$C320,'Adv. Filter'!$BH$1:$BH$50000,"Bank",'Adv. Filter'!$BO$1:$BO$50000,'Adv. Filter'!$A$14,'Adv. Filter'!$BO$1:$BO$50000,'Adv. Filter'!$B$14,'Adv. Filter'!$BP$1:$BP$50000,"Project")</f>
        <v>0</v>
      </c>
      <c r="AE321" s="268"/>
      <c r="AF321" s="268"/>
      <c r="AG321" s="268"/>
      <c r="AH321" s="268"/>
      <c r="AI321" s="268"/>
      <c r="AJ321" s="268"/>
      <c r="AK321" s="268"/>
      <c r="AL321" s="268"/>
      <c r="AM321" s="269"/>
      <c r="AN321" s="267">
        <f t="shared" si="14"/>
        <v>0</v>
      </c>
      <c r="AO321" s="268"/>
      <c r="AP321" s="268"/>
      <c r="AQ321" s="268"/>
      <c r="AR321" s="268"/>
      <c r="AS321" s="268"/>
      <c r="AT321" s="268"/>
      <c r="AU321" s="268"/>
      <c r="AV321" s="268"/>
      <c r="AW321" s="269"/>
      <c r="AX321" s="22"/>
      <c r="AY321" s="308" t="s">
        <v>115</v>
      </c>
      <c r="AZ321" s="309"/>
      <c r="BA321" s="309"/>
      <c r="BB321" s="309"/>
      <c r="BC321" s="309"/>
      <c r="BD321" s="309"/>
      <c r="BE321" s="309"/>
      <c r="BF321" s="309"/>
      <c r="BG321" s="309"/>
      <c r="BH321" s="309"/>
      <c r="BI321" s="309"/>
      <c r="BJ321" s="309"/>
      <c r="BK321" s="309"/>
      <c r="BL321" s="309"/>
      <c r="BM321" s="309"/>
      <c r="BN321" s="309"/>
      <c r="BO321" s="310"/>
      <c r="BP321" s="267">
        <f>SUMIFS('Adv. Filter'!$BJ$1:$BJ$50000,'Adv. Filter'!$BT$1:$BT$50000,"Kiran",'Adv. Filter'!$BQ$1:$BQ$50000,$AY320,'Adv. Filter'!$BH$1:$BH$50000,"Cash",'Adv. Filter'!$BO$1:$BO$50000,"&lt;"&amp;'Adv. Filter'!$A$15,'Adv. Filter'!$BP$1:$BP$50000,"Project")</f>
        <v>0</v>
      </c>
      <c r="BQ321" s="268"/>
      <c r="BR321" s="268"/>
      <c r="BS321" s="268"/>
      <c r="BT321" s="268"/>
      <c r="BU321" s="268"/>
      <c r="BV321" s="268"/>
      <c r="BW321" s="268"/>
      <c r="BX321" s="268"/>
      <c r="BY321" s="269"/>
      <c r="BZ321" s="267">
        <f>SUMIFS('Adv. Filter'!$BJ$1:$BJ$50000,'Adv. Filter'!$BT$1:$BT$50000,"Kiran",'Adv. Filter'!$BQ$1:$BQ$50000,$AY320,'Adv. Filter'!$BH$1:$BH$50000,"Bank",'Adv. Filter'!$BO$1:$BO$50000,"&lt;"&amp;'Adv. Filter'!$A$15,'Adv. Filter'!$BP$1:$BP$50000,"Project")</f>
        <v>0</v>
      </c>
      <c r="CA321" s="268"/>
      <c r="CB321" s="268"/>
      <c r="CC321" s="268"/>
      <c r="CD321" s="268"/>
      <c r="CE321" s="268"/>
      <c r="CF321" s="268"/>
      <c r="CG321" s="268"/>
      <c r="CH321" s="268"/>
      <c r="CI321" s="269"/>
      <c r="CJ321" s="267">
        <f t="shared" si="15"/>
        <v>0</v>
      </c>
      <c r="CK321" s="268"/>
      <c r="CL321" s="268"/>
      <c r="CM321" s="268"/>
      <c r="CN321" s="268"/>
      <c r="CO321" s="268"/>
      <c r="CP321" s="268"/>
      <c r="CQ321" s="268"/>
      <c r="CR321" s="268"/>
      <c r="CS321" s="269"/>
      <c r="DG321" s="131"/>
    </row>
    <row r="322" spans="1:111" hidden="1">
      <c r="C322" s="308" t="s">
        <v>510</v>
      </c>
      <c r="D322" s="309"/>
      <c r="E322" s="309"/>
      <c r="F322" s="309"/>
      <c r="G322" s="309"/>
      <c r="H322" s="309"/>
      <c r="I322" s="309"/>
      <c r="J322" s="309"/>
      <c r="K322" s="309"/>
      <c r="L322" s="309"/>
      <c r="M322" s="309"/>
      <c r="N322" s="309"/>
      <c r="O322" s="309"/>
      <c r="P322" s="309"/>
      <c r="Q322" s="309"/>
      <c r="R322" s="309"/>
      <c r="S322" s="310"/>
      <c r="T322" s="267">
        <v>0</v>
      </c>
      <c r="U322" s="268"/>
      <c r="V322" s="268"/>
      <c r="W322" s="268"/>
      <c r="X322" s="268"/>
      <c r="Y322" s="268"/>
      <c r="Z322" s="268"/>
      <c r="AA322" s="268"/>
      <c r="AB322" s="268"/>
      <c r="AC322" s="269"/>
      <c r="AD322" s="267">
        <v>0</v>
      </c>
      <c r="AE322" s="268"/>
      <c r="AF322" s="268"/>
      <c r="AG322" s="268"/>
      <c r="AH322" s="268"/>
      <c r="AI322" s="268"/>
      <c r="AJ322" s="268"/>
      <c r="AK322" s="268"/>
      <c r="AL322" s="268"/>
      <c r="AM322" s="269"/>
      <c r="AN322" s="267">
        <f t="shared" si="14"/>
        <v>0</v>
      </c>
      <c r="AO322" s="268"/>
      <c r="AP322" s="268"/>
      <c r="AQ322" s="268"/>
      <c r="AR322" s="268"/>
      <c r="AS322" s="268"/>
      <c r="AT322" s="268"/>
      <c r="AU322" s="268"/>
      <c r="AV322" s="268"/>
      <c r="AW322" s="269"/>
      <c r="AX322" s="22"/>
      <c r="AY322" s="308" t="s">
        <v>510</v>
      </c>
      <c r="AZ322" s="309"/>
      <c r="BA322" s="309"/>
      <c r="BB322" s="309"/>
      <c r="BC322" s="309"/>
      <c r="BD322" s="309"/>
      <c r="BE322" s="309"/>
      <c r="BF322" s="309"/>
      <c r="BG322" s="309"/>
      <c r="BH322" s="309"/>
      <c r="BI322" s="309"/>
      <c r="BJ322" s="309"/>
      <c r="BK322" s="309"/>
      <c r="BL322" s="309"/>
      <c r="BM322" s="309"/>
      <c r="BN322" s="309"/>
      <c r="BO322" s="310"/>
      <c r="BP322" s="267"/>
      <c r="BQ322" s="268"/>
      <c r="BR322" s="268"/>
      <c r="BS322" s="268"/>
      <c r="BT322" s="268"/>
      <c r="BU322" s="268"/>
      <c r="BV322" s="268"/>
      <c r="BW322" s="268"/>
      <c r="BX322" s="268"/>
      <c r="BY322" s="269"/>
      <c r="BZ322" s="267"/>
      <c r="CA322" s="268"/>
      <c r="CB322" s="268"/>
      <c r="CC322" s="268"/>
      <c r="CD322" s="268"/>
      <c r="CE322" s="268"/>
      <c r="CF322" s="268"/>
      <c r="CG322" s="268"/>
      <c r="CH322" s="268"/>
      <c r="CI322" s="269"/>
      <c r="CJ322" s="267">
        <f t="shared" si="15"/>
        <v>0</v>
      </c>
      <c r="CK322" s="268"/>
      <c r="CL322" s="268"/>
      <c r="CM322" s="268"/>
      <c r="CN322" s="268"/>
      <c r="CO322" s="268"/>
      <c r="CP322" s="268"/>
      <c r="CQ322" s="268"/>
      <c r="CR322" s="268"/>
      <c r="CS322" s="269"/>
      <c r="DG322" s="131"/>
    </row>
    <row r="323" spans="1:111" hidden="1">
      <c r="C323" s="43"/>
      <c r="D323" s="36" t="str">
        <f>IF(AN320=0,C320&amp;" -","")</f>
        <v>Canara -</v>
      </c>
      <c r="E323" s="42"/>
      <c r="F323" s="42"/>
      <c r="G323" s="42"/>
      <c r="H323" s="42"/>
      <c r="I323" s="42"/>
      <c r="J323" s="42"/>
      <c r="K323" s="42"/>
      <c r="L323" s="42"/>
      <c r="M323" s="42"/>
      <c r="N323" s="42"/>
      <c r="O323" s="42"/>
      <c r="P323" s="1"/>
      <c r="Q323" s="42"/>
      <c r="R323" s="41" t="s">
        <v>275</v>
      </c>
      <c r="S323" s="40"/>
      <c r="T323" s="267">
        <f>SUMIFS('Adv. Filter'!$CH$1:$CH$50000,'Adv. Filter'!$CD$1:$CD$50000,"Kiran",'Adv. Filter'!$CE$1:$CE$50000,$C320,'Adv. Filter'!$CC$1:$CC$50000,"Suspense",'Adv. Filter'!$CF$1:$CF$50000,"Cash")</f>
        <v>0</v>
      </c>
      <c r="U323" s="268"/>
      <c r="V323" s="268"/>
      <c r="W323" s="268"/>
      <c r="X323" s="268"/>
      <c r="Y323" s="268"/>
      <c r="Z323" s="268"/>
      <c r="AA323" s="268"/>
      <c r="AB323" s="268"/>
      <c r="AC323" s="269"/>
      <c r="AD323" s="267">
        <f>SUMIFS('Adv. Filter'!$CH$1:$CH$50000,'Adv. Filter'!$CD$1:$CD$50000,"Kiran",'Adv. Filter'!$CE$1:$CE$50000,$C320,'Adv. Filter'!$CC$1:$CC$50000,"Suspense",'Adv. Filter'!$CF$1:$CF$50000,"Bank")</f>
        <v>0</v>
      </c>
      <c r="AE323" s="268"/>
      <c r="AF323" s="268"/>
      <c r="AG323" s="268"/>
      <c r="AH323" s="268"/>
      <c r="AI323" s="268"/>
      <c r="AJ323" s="268"/>
      <c r="AK323" s="268"/>
      <c r="AL323" s="268"/>
      <c r="AM323" s="269"/>
      <c r="AN323" s="267">
        <f t="shared" si="14"/>
        <v>0</v>
      </c>
      <c r="AO323" s="268"/>
      <c r="AP323" s="268"/>
      <c r="AQ323" s="268"/>
      <c r="AR323" s="268"/>
      <c r="AS323" s="268"/>
      <c r="AT323" s="268"/>
      <c r="AU323" s="268"/>
      <c r="AV323" s="268"/>
      <c r="AW323" s="269"/>
      <c r="AX323" s="22"/>
      <c r="AY323" s="43"/>
      <c r="AZ323" s="36" t="str">
        <f>IF(CJ320=0,AY320&amp;" -","")</f>
        <v>Canara -</v>
      </c>
      <c r="BA323" s="42"/>
      <c r="BB323" s="42"/>
      <c r="BC323" s="42"/>
      <c r="BD323" s="42"/>
      <c r="BE323" s="42"/>
      <c r="BF323" s="42"/>
      <c r="BG323" s="42"/>
      <c r="BH323" s="42"/>
      <c r="BI323" s="42"/>
      <c r="BJ323" s="42"/>
      <c r="BK323" s="42"/>
      <c r="BL323" s="1"/>
      <c r="BM323" s="42"/>
      <c r="BN323" s="41" t="s">
        <v>275</v>
      </c>
      <c r="BO323" s="40"/>
      <c r="BP323" s="267"/>
      <c r="BQ323" s="268"/>
      <c r="BR323" s="268"/>
      <c r="BS323" s="268"/>
      <c r="BT323" s="268"/>
      <c r="BU323" s="268"/>
      <c r="BV323" s="268"/>
      <c r="BW323" s="268"/>
      <c r="BX323" s="268"/>
      <c r="BY323" s="269"/>
      <c r="BZ323" s="267"/>
      <c r="CA323" s="268"/>
      <c r="CB323" s="268"/>
      <c r="CC323" s="268"/>
      <c r="CD323" s="268"/>
      <c r="CE323" s="268"/>
      <c r="CF323" s="268"/>
      <c r="CG323" s="268"/>
      <c r="CH323" s="268"/>
      <c r="CI323" s="269"/>
      <c r="CJ323" s="267">
        <f t="shared" si="15"/>
        <v>0</v>
      </c>
      <c r="CK323" s="268"/>
      <c r="CL323" s="268"/>
      <c r="CM323" s="268"/>
      <c r="CN323" s="268"/>
      <c r="CO323" s="268"/>
      <c r="CP323" s="268"/>
      <c r="CQ323" s="268"/>
      <c r="CR323" s="268"/>
      <c r="CS323" s="269"/>
      <c r="DG323" s="131"/>
    </row>
    <row r="324" spans="1:111" hidden="1">
      <c r="A324" s="44"/>
      <c r="B324" s="44"/>
      <c r="C324" s="293" t="s">
        <v>70</v>
      </c>
      <c r="D324" s="294"/>
      <c r="E324" s="294"/>
      <c r="F324" s="294"/>
      <c r="G324" s="294"/>
      <c r="H324" s="294"/>
      <c r="I324" s="294"/>
      <c r="J324" s="294"/>
      <c r="K324" s="294"/>
      <c r="L324" s="294"/>
      <c r="M324" s="294"/>
      <c r="N324" s="294"/>
      <c r="O324" s="294"/>
      <c r="P324" s="294"/>
      <c r="Q324" s="294"/>
      <c r="R324" s="294"/>
      <c r="S324" s="295"/>
      <c r="T324" s="276">
        <f>SUMIFS('Adv. Filter'!$BJ$1:$BJ$50000,'Adv. Filter'!$BT$1:$BT$50000,"Kiran",'Adv. Filter'!$BQ$1:$BQ$50000,$C324,'Adv. Filter'!$BH$1:$BH$50000,"Cash",'Adv. Filter'!$BO$1:$BO$50000,'Adv. Filter'!$A$14,'Adv. Filter'!$BO$1:$BO$50000,'Adv. Filter'!$B$14)</f>
        <v>13000</v>
      </c>
      <c r="U324" s="277"/>
      <c r="V324" s="277"/>
      <c r="W324" s="277"/>
      <c r="X324" s="277"/>
      <c r="Y324" s="277"/>
      <c r="Z324" s="277"/>
      <c r="AA324" s="277"/>
      <c r="AB324" s="277"/>
      <c r="AC324" s="278"/>
      <c r="AD324" s="276">
        <f>SUMIFS('Adv. Filter'!$BJ$1:$BJ$50000,'Adv. Filter'!$BT$1:$BT$50000,"Kiran",'Adv. Filter'!$BQ$1:$BQ$50000,$C324,'Adv. Filter'!$BH$1:$BH$50000,"Bank",'Adv. Filter'!$BO$1:$BO$50000,'Adv. Filter'!$A$14,'Adv. Filter'!$BO$1:$BO$50000,'Adv. Filter'!$B$14)</f>
        <v>53320</v>
      </c>
      <c r="AE324" s="277"/>
      <c r="AF324" s="277"/>
      <c r="AG324" s="277"/>
      <c r="AH324" s="277"/>
      <c r="AI324" s="277"/>
      <c r="AJ324" s="277"/>
      <c r="AK324" s="277"/>
      <c r="AL324" s="277"/>
      <c r="AM324" s="278"/>
      <c r="AN324" s="276">
        <f t="shared" si="14"/>
        <v>66320</v>
      </c>
      <c r="AO324" s="277"/>
      <c r="AP324" s="277"/>
      <c r="AQ324" s="277"/>
      <c r="AR324" s="277"/>
      <c r="AS324" s="277"/>
      <c r="AT324" s="277"/>
      <c r="AU324" s="277"/>
      <c r="AV324" s="277"/>
      <c r="AW324" s="278"/>
      <c r="AX324" s="45"/>
      <c r="AY324" s="293" t="s">
        <v>70</v>
      </c>
      <c r="AZ324" s="294"/>
      <c r="BA324" s="294"/>
      <c r="BB324" s="294"/>
      <c r="BC324" s="294"/>
      <c r="BD324" s="294"/>
      <c r="BE324" s="294"/>
      <c r="BF324" s="294"/>
      <c r="BG324" s="294"/>
      <c r="BH324" s="294"/>
      <c r="BI324" s="294"/>
      <c r="BJ324" s="294"/>
      <c r="BK324" s="294"/>
      <c r="BL324" s="294"/>
      <c r="BM324" s="294"/>
      <c r="BN324" s="294"/>
      <c r="BO324" s="295"/>
      <c r="BP324" s="276">
        <f>SUMIFS('Adv. Filter'!$BJ$1:$BJ$50000,'Adv. Filter'!$BT$1:$BT$50000,"Kiran",'Adv. Filter'!$BQ$1:$BQ$50000,$AY324,'Adv. Filter'!$BH$1:$BH$50000,"Cash",'Adv. Filter'!$BO$1:$BO$50000,"&lt;"&amp;'Adv. Filter'!$A$15)</f>
        <v>0</v>
      </c>
      <c r="BQ324" s="277"/>
      <c r="BR324" s="277"/>
      <c r="BS324" s="277"/>
      <c r="BT324" s="277"/>
      <c r="BU324" s="277"/>
      <c r="BV324" s="277"/>
      <c r="BW324" s="277"/>
      <c r="BX324" s="277"/>
      <c r="BY324" s="278"/>
      <c r="BZ324" s="276">
        <f>SUMIFS('Adv. Filter'!$BJ$1:$BJ$50000,'Adv. Filter'!$BT$1:$BT$50000,"Kiran",'Adv. Filter'!$BQ$1:$BQ$50000,$AY324,'Adv. Filter'!$BH$1:$BH$50000,"Bank",'Adv. Filter'!$BO$1:$BO$50000,"&lt;"&amp;'Adv. Filter'!$A$15)</f>
        <v>0</v>
      </c>
      <c r="CA324" s="277"/>
      <c r="CB324" s="277"/>
      <c r="CC324" s="277"/>
      <c r="CD324" s="277"/>
      <c r="CE324" s="277"/>
      <c r="CF324" s="277"/>
      <c r="CG324" s="277"/>
      <c r="CH324" s="277"/>
      <c r="CI324" s="278"/>
      <c r="CJ324" s="276">
        <f t="shared" si="15"/>
        <v>0</v>
      </c>
      <c r="CK324" s="277"/>
      <c r="CL324" s="277"/>
      <c r="CM324" s="277"/>
      <c r="CN324" s="277"/>
      <c r="CO324" s="277"/>
      <c r="CP324" s="277"/>
      <c r="CQ324" s="277"/>
      <c r="CR324" s="277"/>
      <c r="CS324" s="278"/>
      <c r="CT324" s="44"/>
      <c r="CU324" s="44"/>
      <c r="CV324" s="44"/>
      <c r="CW324" s="44"/>
      <c r="CX324" s="44"/>
      <c r="CY324" s="44"/>
      <c r="CZ324" s="44"/>
      <c r="DG324" s="131"/>
    </row>
    <row r="325" spans="1:111" hidden="1">
      <c r="C325" s="308" t="s">
        <v>115</v>
      </c>
      <c r="D325" s="309"/>
      <c r="E325" s="309"/>
      <c r="F325" s="309"/>
      <c r="G325" s="309"/>
      <c r="H325" s="309"/>
      <c r="I325" s="309"/>
      <c r="J325" s="309"/>
      <c r="K325" s="309"/>
      <c r="L325" s="309"/>
      <c r="M325" s="309"/>
      <c r="N325" s="309"/>
      <c r="O325" s="309"/>
      <c r="P325" s="309"/>
      <c r="Q325" s="309"/>
      <c r="R325" s="309"/>
      <c r="S325" s="310"/>
      <c r="T325" s="267">
        <f>SUMIFS('Adv. Filter'!$BJ$1:$BJ$50000,'Adv. Filter'!$BT$1:$BT$50000,"Kiran",'Adv. Filter'!$BQ$1:$BQ$50000,$C324,'Adv. Filter'!$BH$1:$BH$50000,"Cash",'Adv. Filter'!$BO$1:$BO$50000,'Adv. Filter'!$A$14,'Adv. Filter'!$BO$1:$BO$50000,'Adv. Filter'!$B$14,'Adv. Filter'!$BP$1:$BP$50000,"Project")</f>
        <v>0</v>
      </c>
      <c r="U325" s="268"/>
      <c r="V325" s="268"/>
      <c r="W325" s="268"/>
      <c r="X325" s="268"/>
      <c r="Y325" s="268"/>
      <c r="Z325" s="268"/>
      <c r="AA325" s="268"/>
      <c r="AB325" s="268"/>
      <c r="AC325" s="269"/>
      <c r="AD325" s="267">
        <f>SUMIFS('Adv. Filter'!$BJ$1:$BJ$50000,'Adv. Filter'!$BT$1:$BT$50000,"Kiran",'Adv. Filter'!$BQ$1:$BQ$50000,$C324,'Adv. Filter'!$BH$1:$BH$50000,"Bank",'Adv. Filter'!$BO$1:$BO$50000,'Adv. Filter'!$A$14,'Adv. Filter'!$BO$1:$BO$50000,'Adv. Filter'!$B$14,'Adv. Filter'!$BP$1:$BP$50000,"Project")</f>
        <v>0</v>
      </c>
      <c r="AE325" s="268"/>
      <c r="AF325" s="268"/>
      <c r="AG325" s="268"/>
      <c r="AH325" s="268"/>
      <c r="AI325" s="268"/>
      <c r="AJ325" s="268"/>
      <c r="AK325" s="268"/>
      <c r="AL325" s="268"/>
      <c r="AM325" s="269"/>
      <c r="AN325" s="267">
        <f t="shared" si="14"/>
        <v>0</v>
      </c>
      <c r="AO325" s="268"/>
      <c r="AP325" s="268"/>
      <c r="AQ325" s="268"/>
      <c r="AR325" s="268"/>
      <c r="AS325" s="268"/>
      <c r="AT325" s="268"/>
      <c r="AU325" s="268"/>
      <c r="AV325" s="268"/>
      <c r="AW325" s="269"/>
      <c r="AX325" s="22"/>
      <c r="AY325" s="308" t="s">
        <v>115</v>
      </c>
      <c r="AZ325" s="309"/>
      <c r="BA325" s="309"/>
      <c r="BB325" s="309"/>
      <c r="BC325" s="309"/>
      <c r="BD325" s="309"/>
      <c r="BE325" s="309"/>
      <c r="BF325" s="309"/>
      <c r="BG325" s="309"/>
      <c r="BH325" s="309"/>
      <c r="BI325" s="309"/>
      <c r="BJ325" s="309"/>
      <c r="BK325" s="309"/>
      <c r="BL325" s="309"/>
      <c r="BM325" s="309"/>
      <c r="BN325" s="309"/>
      <c r="BO325" s="310"/>
      <c r="BP325" s="267">
        <f>SUMIFS('Adv. Filter'!$BJ$1:$BJ$50000,'Adv. Filter'!$BT$1:$BT$50000,"Kiran",'Adv. Filter'!$BQ$1:$BQ$50000,$AY324,'Adv. Filter'!$BH$1:$BH$50000,"Cash",'Adv. Filter'!$BO$1:$BO$50000,"&lt;"&amp;'Adv. Filter'!$A$15,'Adv. Filter'!$BP$1:$BP$50000,"Project")</f>
        <v>0</v>
      </c>
      <c r="BQ325" s="268"/>
      <c r="BR325" s="268"/>
      <c r="BS325" s="268"/>
      <c r="BT325" s="268"/>
      <c r="BU325" s="268"/>
      <c r="BV325" s="268"/>
      <c r="BW325" s="268"/>
      <c r="BX325" s="268"/>
      <c r="BY325" s="269"/>
      <c r="BZ325" s="267">
        <f>SUMIFS('Adv. Filter'!$BJ$1:$BJ$50000,'Adv. Filter'!$BT$1:$BT$50000,"Kiran",'Adv. Filter'!$BQ$1:$BQ$50000,$AY324,'Adv. Filter'!$BH$1:$BH$50000,"Bank",'Adv. Filter'!$BO$1:$BO$50000,"&lt;"&amp;'Adv. Filter'!$A$15,'Adv. Filter'!$BP$1:$BP$50000,"Project")</f>
        <v>0</v>
      </c>
      <c r="CA325" s="268"/>
      <c r="CB325" s="268"/>
      <c r="CC325" s="268"/>
      <c r="CD325" s="268"/>
      <c r="CE325" s="268"/>
      <c r="CF325" s="268"/>
      <c r="CG325" s="268"/>
      <c r="CH325" s="268"/>
      <c r="CI325" s="269"/>
      <c r="CJ325" s="267">
        <f t="shared" si="15"/>
        <v>0</v>
      </c>
      <c r="CK325" s="268"/>
      <c r="CL325" s="268"/>
      <c r="CM325" s="268"/>
      <c r="CN325" s="268"/>
      <c r="CO325" s="268"/>
      <c r="CP325" s="268"/>
      <c r="CQ325" s="268"/>
      <c r="CR325" s="268"/>
      <c r="CS325" s="269"/>
      <c r="DG325" s="131"/>
    </row>
    <row r="326" spans="1:111" hidden="1">
      <c r="C326" s="308" t="s">
        <v>510</v>
      </c>
      <c r="D326" s="309"/>
      <c r="E326" s="309"/>
      <c r="F326" s="309"/>
      <c r="G326" s="309"/>
      <c r="H326" s="309"/>
      <c r="I326" s="309"/>
      <c r="J326" s="309"/>
      <c r="K326" s="309"/>
      <c r="L326" s="309"/>
      <c r="M326" s="309"/>
      <c r="N326" s="309"/>
      <c r="O326" s="309"/>
      <c r="P326" s="309"/>
      <c r="Q326" s="309"/>
      <c r="R326" s="309"/>
      <c r="S326" s="310"/>
      <c r="T326" s="267">
        <v>0</v>
      </c>
      <c r="U326" s="268"/>
      <c r="V326" s="268"/>
      <c r="W326" s="268"/>
      <c r="X326" s="268"/>
      <c r="Y326" s="268"/>
      <c r="Z326" s="268"/>
      <c r="AA326" s="268"/>
      <c r="AB326" s="268"/>
      <c r="AC326" s="269"/>
      <c r="AD326" s="267">
        <v>0</v>
      </c>
      <c r="AE326" s="268"/>
      <c r="AF326" s="268"/>
      <c r="AG326" s="268"/>
      <c r="AH326" s="268"/>
      <c r="AI326" s="268"/>
      <c r="AJ326" s="268"/>
      <c r="AK326" s="268"/>
      <c r="AL326" s="268"/>
      <c r="AM326" s="269"/>
      <c r="AN326" s="267">
        <f t="shared" si="14"/>
        <v>0</v>
      </c>
      <c r="AO326" s="268"/>
      <c r="AP326" s="268"/>
      <c r="AQ326" s="268"/>
      <c r="AR326" s="268"/>
      <c r="AS326" s="268"/>
      <c r="AT326" s="268"/>
      <c r="AU326" s="268"/>
      <c r="AV326" s="268"/>
      <c r="AW326" s="269"/>
      <c r="AX326" s="22"/>
      <c r="AY326" s="308" t="s">
        <v>510</v>
      </c>
      <c r="AZ326" s="309"/>
      <c r="BA326" s="309"/>
      <c r="BB326" s="309"/>
      <c r="BC326" s="309"/>
      <c r="BD326" s="309"/>
      <c r="BE326" s="309"/>
      <c r="BF326" s="309"/>
      <c r="BG326" s="309"/>
      <c r="BH326" s="309"/>
      <c r="BI326" s="309"/>
      <c r="BJ326" s="309"/>
      <c r="BK326" s="309"/>
      <c r="BL326" s="309"/>
      <c r="BM326" s="309"/>
      <c r="BN326" s="309"/>
      <c r="BO326" s="310"/>
      <c r="BP326" s="267"/>
      <c r="BQ326" s="268"/>
      <c r="BR326" s="268"/>
      <c r="BS326" s="268"/>
      <c r="BT326" s="268"/>
      <c r="BU326" s="268"/>
      <c r="BV326" s="268"/>
      <c r="BW326" s="268"/>
      <c r="BX326" s="268"/>
      <c r="BY326" s="269"/>
      <c r="BZ326" s="267"/>
      <c r="CA326" s="268"/>
      <c r="CB326" s="268"/>
      <c r="CC326" s="268"/>
      <c r="CD326" s="268"/>
      <c r="CE326" s="268"/>
      <c r="CF326" s="268"/>
      <c r="CG326" s="268"/>
      <c r="CH326" s="268"/>
      <c r="CI326" s="269"/>
      <c r="CJ326" s="267">
        <f t="shared" si="15"/>
        <v>0</v>
      </c>
      <c r="CK326" s="268"/>
      <c r="CL326" s="268"/>
      <c r="CM326" s="268"/>
      <c r="CN326" s="268"/>
      <c r="CO326" s="268"/>
      <c r="CP326" s="268"/>
      <c r="CQ326" s="268"/>
      <c r="CR326" s="268"/>
      <c r="CS326" s="269"/>
      <c r="DG326" s="131"/>
    </row>
    <row r="327" spans="1:111" hidden="1">
      <c r="C327" s="43"/>
      <c r="D327" s="36" t="str">
        <f>IF(AN324=0,C324&amp;" -","")</f>
        <v/>
      </c>
      <c r="E327" s="42"/>
      <c r="F327" s="42"/>
      <c r="G327" s="42"/>
      <c r="H327" s="42"/>
      <c r="I327" s="42"/>
      <c r="J327" s="42"/>
      <c r="K327" s="42"/>
      <c r="L327" s="42"/>
      <c r="M327" s="42"/>
      <c r="N327" s="42"/>
      <c r="O327" s="42"/>
      <c r="P327" s="1"/>
      <c r="Q327" s="42"/>
      <c r="R327" s="41" t="s">
        <v>275</v>
      </c>
      <c r="S327" s="40"/>
      <c r="T327" s="267">
        <f>SUMIFS('Adv. Filter'!$CH$1:$CH$50000,'Adv. Filter'!$CD$1:$CD$50000,"Kiran",'Adv. Filter'!$CE$1:$CE$50000,$C324,'Adv. Filter'!$CC$1:$CC$50000,"Suspense",'Adv. Filter'!$CF$1:$CF$50000,"Cash")</f>
        <v>0</v>
      </c>
      <c r="U327" s="268"/>
      <c r="V327" s="268"/>
      <c r="W327" s="268"/>
      <c r="X327" s="268"/>
      <c r="Y327" s="268"/>
      <c r="Z327" s="268"/>
      <c r="AA327" s="268"/>
      <c r="AB327" s="268"/>
      <c r="AC327" s="269"/>
      <c r="AD327" s="267">
        <f>SUMIFS('Adv. Filter'!$CH$1:$CH$50000,'Adv. Filter'!$CD$1:$CD$50000,"Kiran",'Adv. Filter'!$CE$1:$CE$50000,$C324,'Adv. Filter'!$CC$1:$CC$50000,"Suspense",'Adv. Filter'!$CF$1:$CF$50000,"Bank")</f>
        <v>0</v>
      </c>
      <c r="AE327" s="268"/>
      <c r="AF327" s="268"/>
      <c r="AG327" s="268"/>
      <c r="AH327" s="268"/>
      <c r="AI327" s="268"/>
      <c r="AJ327" s="268"/>
      <c r="AK327" s="268"/>
      <c r="AL327" s="268"/>
      <c r="AM327" s="269"/>
      <c r="AN327" s="267">
        <f t="shared" si="14"/>
        <v>0</v>
      </c>
      <c r="AO327" s="268"/>
      <c r="AP327" s="268"/>
      <c r="AQ327" s="268"/>
      <c r="AR327" s="268"/>
      <c r="AS327" s="268"/>
      <c r="AT327" s="268"/>
      <c r="AU327" s="268"/>
      <c r="AV327" s="268"/>
      <c r="AW327" s="269"/>
      <c r="AX327" s="22"/>
      <c r="AY327" s="43"/>
      <c r="AZ327" s="36" t="str">
        <f>IF(CJ324=0,AY324&amp;" -","")</f>
        <v>Cosmos -</v>
      </c>
      <c r="BA327" s="42"/>
      <c r="BB327" s="42"/>
      <c r="BC327" s="42"/>
      <c r="BD327" s="42"/>
      <c r="BE327" s="42"/>
      <c r="BF327" s="42"/>
      <c r="BG327" s="42"/>
      <c r="BH327" s="42"/>
      <c r="BI327" s="42"/>
      <c r="BJ327" s="42"/>
      <c r="BK327" s="42"/>
      <c r="BL327" s="1"/>
      <c r="BM327" s="42"/>
      <c r="BN327" s="41" t="s">
        <v>275</v>
      </c>
      <c r="BO327" s="40"/>
      <c r="BP327" s="267"/>
      <c r="BQ327" s="268"/>
      <c r="BR327" s="268"/>
      <c r="BS327" s="268"/>
      <c r="BT327" s="268"/>
      <c r="BU327" s="268"/>
      <c r="BV327" s="268"/>
      <c r="BW327" s="268"/>
      <c r="BX327" s="268"/>
      <c r="BY327" s="269"/>
      <c r="BZ327" s="267"/>
      <c r="CA327" s="268"/>
      <c r="CB327" s="268"/>
      <c r="CC327" s="268"/>
      <c r="CD327" s="268"/>
      <c r="CE327" s="268"/>
      <c r="CF327" s="268"/>
      <c r="CG327" s="268"/>
      <c r="CH327" s="268"/>
      <c r="CI327" s="269"/>
      <c r="CJ327" s="267">
        <f t="shared" si="15"/>
        <v>0</v>
      </c>
      <c r="CK327" s="268"/>
      <c r="CL327" s="268"/>
      <c r="CM327" s="268"/>
      <c r="CN327" s="268"/>
      <c r="CO327" s="268"/>
      <c r="CP327" s="268"/>
      <c r="CQ327" s="268"/>
      <c r="CR327" s="268"/>
      <c r="CS327" s="269"/>
      <c r="DG327" s="131"/>
    </row>
    <row r="328" spans="1:111" hidden="1">
      <c r="A328" s="44"/>
      <c r="B328" s="44"/>
      <c r="C328" s="293" t="s">
        <v>77</v>
      </c>
      <c r="D328" s="294"/>
      <c r="E328" s="294"/>
      <c r="F328" s="294"/>
      <c r="G328" s="294"/>
      <c r="H328" s="294"/>
      <c r="I328" s="294"/>
      <c r="J328" s="294"/>
      <c r="K328" s="294"/>
      <c r="L328" s="294"/>
      <c r="M328" s="294"/>
      <c r="N328" s="294"/>
      <c r="O328" s="294"/>
      <c r="P328" s="294"/>
      <c r="Q328" s="294"/>
      <c r="R328" s="294"/>
      <c r="S328" s="295"/>
      <c r="T328" s="276">
        <f>SUMIFS('Adv. Filter'!$BJ$1:$BJ$50000,'Adv. Filter'!$BT$1:$BT$50000,"Kiran",'Adv. Filter'!$BQ$1:$BQ$50000,$C328,'Adv. Filter'!$BH$1:$BH$50000,"Cash",'Adv. Filter'!$BO$1:$BO$50000,'Adv. Filter'!$A$14,'Adv. Filter'!$BO$1:$BO$50000,'Adv. Filter'!$B$14)</f>
        <v>10000</v>
      </c>
      <c r="U328" s="277"/>
      <c r="V328" s="277"/>
      <c r="W328" s="277"/>
      <c r="X328" s="277"/>
      <c r="Y328" s="277"/>
      <c r="Z328" s="277"/>
      <c r="AA328" s="277"/>
      <c r="AB328" s="277"/>
      <c r="AC328" s="278"/>
      <c r="AD328" s="276">
        <f>SUMIFS('Adv. Filter'!$BJ$1:$BJ$50000,'Adv. Filter'!$BT$1:$BT$50000,"Kiran",'Adv. Filter'!$BQ$1:$BQ$50000,$C328,'Adv. Filter'!$BH$1:$BH$50000,"Bank",'Adv. Filter'!$BO$1:$BO$50000,'Adv. Filter'!$A$14,'Adv. Filter'!$BO$1:$BO$50000,'Adv. Filter'!$B$14)</f>
        <v>47525</v>
      </c>
      <c r="AE328" s="277"/>
      <c r="AF328" s="277"/>
      <c r="AG328" s="277"/>
      <c r="AH328" s="277"/>
      <c r="AI328" s="277"/>
      <c r="AJ328" s="277"/>
      <c r="AK328" s="277"/>
      <c r="AL328" s="277"/>
      <c r="AM328" s="278"/>
      <c r="AN328" s="276">
        <f t="shared" si="14"/>
        <v>57525</v>
      </c>
      <c r="AO328" s="277"/>
      <c r="AP328" s="277"/>
      <c r="AQ328" s="277"/>
      <c r="AR328" s="277"/>
      <c r="AS328" s="277"/>
      <c r="AT328" s="277"/>
      <c r="AU328" s="277"/>
      <c r="AV328" s="277"/>
      <c r="AW328" s="278"/>
      <c r="AX328" s="45"/>
      <c r="AY328" s="293" t="s">
        <v>77</v>
      </c>
      <c r="AZ328" s="294"/>
      <c r="BA328" s="294"/>
      <c r="BB328" s="294"/>
      <c r="BC328" s="294"/>
      <c r="BD328" s="294"/>
      <c r="BE328" s="294"/>
      <c r="BF328" s="294"/>
      <c r="BG328" s="294"/>
      <c r="BH328" s="294"/>
      <c r="BI328" s="294"/>
      <c r="BJ328" s="294"/>
      <c r="BK328" s="294"/>
      <c r="BL328" s="294"/>
      <c r="BM328" s="294"/>
      <c r="BN328" s="294"/>
      <c r="BO328" s="295"/>
      <c r="BP328" s="276">
        <f>SUMIFS('Adv. Filter'!$BJ$1:$BJ$50000,'Adv. Filter'!$BT$1:$BT$50000,"Kiran",'Adv. Filter'!$BQ$1:$BQ$50000,$AY328,'Adv. Filter'!$BH$1:$BH$50000,"Cash",'Adv. Filter'!$BO$1:$BO$50000,"&lt;"&amp;'Adv. Filter'!$A$15)</f>
        <v>0</v>
      </c>
      <c r="BQ328" s="277"/>
      <c r="BR328" s="277"/>
      <c r="BS328" s="277"/>
      <c r="BT328" s="277"/>
      <c r="BU328" s="277"/>
      <c r="BV328" s="277"/>
      <c r="BW328" s="277"/>
      <c r="BX328" s="277"/>
      <c r="BY328" s="278"/>
      <c r="BZ328" s="276">
        <f>SUMIFS('Adv. Filter'!$BJ$1:$BJ$50000,'Adv. Filter'!$BT$1:$BT$50000,"Kiran",'Adv. Filter'!$BQ$1:$BQ$50000,$AY328,'Adv. Filter'!$BH$1:$BH$50000,"Bank",'Adv. Filter'!$BO$1:$BO$50000,"&lt;"&amp;'Adv. Filter'!$A$15)</f>
        <v>3000</v>
      </c>
      <c r="CA328" s="277"/>
      <c r="CB328" s="277"/>
      <c r="CC328" s="277"/>
      <c r="CD328" s="277"/>
      <c r="CE328" s="277"/>
      <c r="CF328" s="277"/>
      <c r="CG328" s="277"/>
      <c r="CH328" s="277"/>
      <c r="CI328" s="278"/>
      <c r="CJ328" s="276">
        <f t="shared" si="15"/>
        <v>3000</v>
      </c>
      <c r="CK328" s="277"/>
      <c r="CL328" s="277"/>
      <c r="CM328" s="277"/>
      <c r="CN328" s="277"/>
      <c r="CO328" s="277"/>
      <c r="CP328" s="277"/>
      <c r="CQ328" s="277"/>
      <c r="CR328" s="277"/>
      <c r="CS328" s="278"/>
      <c r="CT328" s="44"/>
      <c r="CU328" s="44"/>
      <c r="CV328" s="44"/>
      <c r="CW328" s="44"/>
      <c r="CX328" s="44"/>
      <c r="CY328" s="44"/>
      <c r="CZ328" s="44"/>
      <c r="DG328" s="131"/>
    </row>
    <row r="329" spans="1:111" hidden="1">
      <c r="C329" s="308" t="s">
        <v>115</v>
      </c>
      <c r="D329" s="309"/>
      <c r="E329" s="309"/>
      <c r="F329" s="309"/>
      <c r="G329" s="309"/>
      <c r="H329" s="309"/>
      <c r="I329" s="309"/>
      <c r="J329" s="309"/>
      <c r="K329" s="309"/>
      <c r="L329" s="309"/>
      <c r="M329" s="309"/>
      <c r="N329" s="309"/>
      <c r="O329" s="309"/>
      <c r="P329" s="309"/>
      <c r="Q329" s="309"/>
      <c r="R329" s="309"/>
      <c r="S329" s="310"/>
      <c r="T329" s="267">
        <f>SUMIFS('Adv. Filter'!$BJ$1:$BJ$50000,'Adv. Filter'!$BT$1:$BT$50000,"Kiran",'Adv. Filter'!$BQ$1:$BQ$50000,$C328,'Adv. Filter'!$BH$1:$BH$50000,"Cash",'Adv. Filter'!$BO$1:$BO$50000,'Adv. Filter'!$A$14,'Adv. Filter'!$BO$1:$BO$50000,'Adv. Filter'!$B$14,'Adv. Filter'!$BP$1:$BP$50000,"Project")</f>
        <v>0</v>
      </c>
      <c r="U329" s="268"/>
      <c r="V329" s="268"/>
      <c r="W329" s="268"/>
      <c r="X329" s="268"/>
      <c r="Y329" s="268"/>
      <c r="Z329" s="268"/>
      <c r="AA329" s="268"/>
      <c r="AB329" s="268"/>
      <c r="AC329" s="269"/>
      <c r="AD329" s="267">
        <f>SUMIFS('Adv. Filter'!$BJ$1:$BJ$50000,'Adv. Filter'!$BT$1:$BT$50000,"Kiran",'Adv. Filter'!$BQ$1:$BQ$50000,$C328,'Adv. Filter'!$BH$1:$BH$50000,"Bank",'Adv. Filter'!$BO$1:$BO$50000,'Adv. Filter'!$A$14,'Adv. Filter'!$BO$1:$BO$50000,'Adv. Filter'!$B$14,'Adv. Filter'!$BP$1:$BP$50000,"Project")</f>
        <v>0</v>
      </c>
      <c r="AE329" s="268"/>
      <c r="AF329" s="268"/>
      <c r="AG329" s="268"/>
      <c r="AH329" s="268"/>
      <c r="AI329" s="268"/>
      <c r="AJ329" s="268"/>
      <c r="AK329" s="268"/>
      <c r="AL329" s="268"/>
      <c r="AM329" s="269"/>
      <c r="AN329" s="267">
        <f t="shared" si="14"/>
        <v>0</v>
      </c>
      <c r="AO329" s="268"/>
      <c r="AP329" s="268"/>
      <c r="AQ329" s="268"/>
      <c r="AR329" s="268"/>
      <c r="AS329" s="268"/>
      <c r="AT329" s="268"/>
      <c r="AU329" s="268"/>
      <c r="AV329" s="268"/>
      <c r="AW329" s="269"/>
      <c r="AX329" s="22"/>
      <c r="AY329" s="308" t="s">
        <v>115</v>
      </c>
      <c r="AZ329" s="309"/>
      <c r="BA329" s="309"/>
      <c r="BB329" s="309"/>
      <c r="BC329" s="309"/>
      <c r="BD329" s="309"/>
      <c r="BE329" s="309"/>
      <c r="BF329" s="309"/>
      <c r="BG329" s="309"/>
      <c r="BH329" s="309"/>
      <c r="BI329" s="309"/>
      <c r="BJ329" s="309"/>
      <c r="BK329" s="309"/>
      <c r="BL329" s="309"/>
      <c r="BM329" s="309"/>
      <c r="BN329" s="309"/>
      <c r="BO329" s="310"/>
      <c r="BP329" s="267">
        <f>SUMIFS('Adv. Filter'!$BJ$1:$BJ$50000,'Adv. Filter'!$BT$1:$BT$50000,"Kiran",'Adv. Filter'!$BQ$1:$BQ$50000,$AY328,'Adv. Filter'!$BH$1:$BH$50000,"Cash",'Adv. Filter'!$BO$1:$BO$50000,"&lt;"&amp;'Adv. Filter'!$A$15,'Adv. Filter'!$BP$1:$BP$50000,"Project")</f>
        <v>0</v>
      </c>
      <c r="BQ329" s="268"/>
      <c r="BR329" s="268"/>
      <c r="BS329" s="268"/>
      <c r="BT329" s="268"/>
      <c r="BU329" s="268"/>
      <c r="BV329" s="268"/>
      <c r="BW329" s="268"/>
      <c r="BX329" s="268"/>
      <c r="BY329" s="269"/>
      <c r="BZ329" s="267">
        <f>SUMIFS('Adv. Filter'!$BJ$1:$BJ$50000,'Adv. Filter'!$BT$1:$BT$50000,"Kiran",'Adv. Filter'!$BQ$1:$BQ$50000,$AY328,'Adv. Filter'!$BH$1:$BH$50000,"Bank",'Adv. Filter'!$BO$1:$BO$50000,"&lt;"&amp;'Adv. Filter'!$A$15,'Adv. Filter'!$BP$1:$BP$50000,"Project")</f>
        <v>0</v>
      </c>
      <c r="CA329" s="268"/>
      <c r="CB329" s="268"/>
      <c r="CC329" s="268"/>
      <c r="CD329" s="268"/>
      <c r="CE329" s="268"/>
      <c r="CF329" s="268"/>
      <c r="CG329" s="268"/>
      <c r="CH329" s="268"/>
      <c r="CI329" s="269"/>
      <c r="CJ329" s="267">
        <f t="shared" si="15"/>
        <v>0</v>
      </c>
      <c r="CK329" s="268"/>
      <c r="CL329" s="268"/>
      <c r="CM329" s="268"/>
      <c r="CN329" s="268"/>
      <c r="CO329" s="268"/>
      <c r="CP329" s="268"/>
      <c r="CQ329" s="268"/>
      <c r="CR329" s="268"/>
      <c r="CS329" s="269"/>
      <c r="DG329" s="131"/>
    </row>
    <row r="330" spans="1:111" hidden="1">
      <c r="C330" s="308" t="s">
        <v>510</v>
      </c>
      <c r="D330" s="309"/>
      <c r="E330" s="309"/>
      <c r="F330" s="309"/>
      <c r="G330" s="309"/>
      <c r="H330" s="309"/>
      <c r="I330" s="309"/>
      <c r="J330" s="309"/>
      <c r="K330" s="309"/>
      <c r="L330" s="309"/>
      <c r="M330" s="309"/>
      <c r="N330" s="309"/>
      <c r="O330" s="309"/>
      <c r="P330" s="309"/>
      <c r="Q330" s="309"/>
      <c r="R330" s="309"/>
      <c r="S330" s="310"/>
      <c r="T330" s="267">
        <v>0</v>
      </c>
      <c r="U330" s="268"/>
      <c r="V330" s="268"/>
      <c r="W330" s="268"/>
      <c r="X330" s="268"/>
      <c r="Y330" s="268"/>
      <c r="Z330" s="268"/>
      <c r="AA330" s="268"/>
      <c r="AB330" s="268"/>
      <c r="AC330" s="269"/>
      <c r="AD330" s="267">
        <v>0</v>
      </c>
      <c r="AE330" s="268"/>
      <c r="AF330" s="268"/>
      <c r="AG330" s="268"/>
      <c r="AH330" s="268"/>
      <c r="AI330" s="268"/>
      <c r="AJ330" s="268"/>
      <c r="AK330" s="268"/>
      <c r="AL330" s="268"/>
      <c r="AM330" s="269"/>
      <c r="AN330" s="267">
        <f t="shared" si="14"/>
        <v>0</v>
      </c>
      <c r="AO330" s="268"/>
      <c r="AP330" s="268"/>
      <c r="AQ330" s="268"/>
      <c r="AR330" s="268"/>
      <c r="AS330" s="268"/>
      <c r="AT330" s="268"/>
      <c r="AU330" s="268"/>
      <c r="AV330" s="268"/>
      <c r="AW330" s="269"/>
      <c r="AX330" s="22"/>
      <c r="AY330" s="308" t="s">
        <v>510</v>
      </c>
      <c r="AZ330" s="309"/>
      <c r="BA330" s="309"/>
      <c r="BB330" s="309"/>
      <c r="BC330" s="309"/>
      <c r="BD330" s="309"/>
      <c r="BE330" s="309"/>
      <c r="BF330" s="309"/>
      <c r="BG330" s="309"/>
      <c r="BH330" s="309"/>
      <c r="BI330" s="309"/>
      <c r="BJ330" s="309"/>
      <c r="BK330" s="309"/>
      <c r="BL330" s="309"/>
      <c r="BM330" s="309"/>
      <c r="BN330" s="309"/>
      <c r="BO330" s="310"/>
      <c r="BP330" s="267"/>
      <c r="BQ330" s="268"/>
      <c r="BR330" s="268"/>
      <c r="BS330" s="268"/>
      <c r="BT330" s="268"/>
      <c r="BU330" s="268"/>
      <c r="BV330" s="268"/>
      <c r="BW330" s="268"/>
      <c r="BX330" s="268"/>
      <c r="BY330" s="269"/>
      <c r="BZ330" s="267"/>
      <c r="CA330" s="268"/>
      <c r="CB330" s="268"/>
      <c r="CC330" s="268"/>
      <c r="CD330" s="268"/>
      <c r="CE330" s="268"/>
      <c r="CF330" s="268"/>
      <c r="CG330" s="268"/>
      <c r="CH330" s="268"/>
      <c r="CI330" s="269"/>
      <c r="CJ330" s="267">
        <f t="shared" si="15"/>
        <v>0</v>
      </c>
      <c r="CK330" s="268"/>
      <c r="CL330" s="268"/>
      <c r="CM330" s="268"/>
      <c r="CN330" s="268"/>
      <c r="CO330" s="268"/>
      <c r="CP330" s="268"/>
      <c r="CQ330" s="268"/>
      <c r="CR330" s="268"/>
      <c r="CS330" s="269"/>
      <c r="DG330" s="131"/>
    </row>
    <row r="331" spans="1:111" hidden="1">
      <c r="C331" s="43"/>
      <c r="D331" s="36" t="str">
        <f>IF(AN328=0,C328&amp;" -","")</f>
        <v/>
      </c>
      <c r="E331" s="42"/>
      <c r="F331" s="42"/>
      <c r="G331" s="42"/>
      <c r="H331" s="42"/>
      <c r="I331" s="42"/>
      <c r="J331" s="42"/>
      <c r="K331" s="42"/>
      <c r="L331" s="42"/>
      <c r="M331" s="42"/>
      <c r="N331" s="42"/>
      <c r="O331" s="42"/>
      <c r="P331" s="1"/>
      <c r="Q331" s="42"/>
      <c r="R331" s="41" t="s">
        <v>275</v>
      </c>
      <c r="S331" s="40"/>
      <c r="T331" s="267">
        <f>SUMIFS('Adv. Filter'!$CH$1:$CH$50000,'Adv. Filter'!$CD$1:$CD$50000,"Kiran",'Adv. Filter'!$CE$1:$CE$50000,$C328,'Adv. Filter'!$CC$1:$CC$50000,"Suspense",'Adv. Filter'!$CF$1:$CF$50000,"Cash")</f>
        <v>0</v>
      </c>
      <c r="U331" s="268"/>
      <c r="V331" s="268"/>
      <c r="W331" s="268"/>
      <c r="X331" s="268"/>
      <c r="Y331" s="268"/>
      <c r="Z331" s="268"/>
      <c r="AA331" s="268"/>
      <c r="AB331" s="268"/>
      <c r="AC331" s="269"/>
      <c r="AD331" s="267">
        <f>SUMIFS('Adv. Filter'!$CH$1:$CH$50000,'Adv. Filter'!$CD$1:$CD$50000,"Kiran",'Adv. Filter'!$CE$1:$CE$50000,$C328,'Adv. Filter'!$CC$1:$CC$50000,"Suspense",'Adv. Filter'!$CF$1:$CF$50000,"Bank")</f>
        <v>0</v>
      </c>
      <c r="AE331" s="268"/>
      <c r="AF331" s="268"/>
      <c r="AG331" s="268"/>
      <c r="AH331" s="268"/>
      <c r="AI331" s="268"/>
      <c r="AJ331" s="268"/>
      <c r="AK331" s="268"/>
      <c r="AL331" s="268"/>
      <c r="AM331" s="269"/>
      <c r="AN331" s="267">
        <f t="shared" si="14"/>
        <v>0</v>
      </c>
      <c r="AO331" s="268"/>
      <c r="AP331" s="268"/>
      <c r="AQ331" s="268"/>
      <c r="AR331" s="268"/>
      <c r="AS331" s="268"/>
      <c r="AT331" s="268"/>
      <c r="AU331" s="268"/>
      <c r="AV331" s="268"/>
      <c r="AW331" s="269"/>
      <c r="AX331" s="22"/>
      <c r="AY331" s="43"/>
      <c r="AZ331" s="36" t="str">
        <f>IF(CJ328=0,AY328&amp;" -","")</f>
        <v/>
      </c>
      <c r="BA331" s="42"/>
      <c r="BB331" s="42"/>
      <c r="BC331" s="42"/>
      <c r="BD331" s="42"/>
      <c r="BE331" s="42"/>
      <c r="BF331" s="42"/>
      <c r="BG331" s="42"/>
      <c r="BH331" s="42"/>
      <c r="BI331" s="42"/>
      <c r="BJ331" s="42"/>
      <c r="BK331" s="42"/>
      <c r="BL331" s="1"/>
      <c r="BM331" s="42"/>
      <c r="BN331" s="41" t="s">
        <v>275</v>
      </c>
      <c r="BO331" s="40"/>
      <c r="BP331" s="267"/>
      <c r="BQ331" s="268"/>
      <c r="BR331" s="268"/>
      <c r="BS331" s="268"/>
      <c r="BT331" s="268"/>
      <c r="BU331" s="268"/>
      <c r="BV331" s="268"/>
      <c r="BW331" s="268"/>
      <c r="BX331" s="268"/>
      <c r="BY331" s="269"/>
      <c r="BZ331" s="267"/>
      <c r="CA331" s="268"/>
      <c r="CB331" s="268"/>
      <c r="CC331" s="268"/>
      <c r="CD331" s="268"/>
      <c r="CE331" s="268"/>
      <c r="CF331" s="268"/>
      <c r="CG331" s="268"/>
      <c r="CH331" s="268"/>
      <c r="CI331" s="269"/>
      <c r="CJ331" s="267">
        <f t="shared" si="15"/>
        <v>0</v>
      </c>
      <c r="CK331" s="268"/>
      <c r="CL331" s="268"/>
      <c r="CM331" s="268"/>
      <c r="CN331" s="268"/>
      <c r="CO331" s="268"/>
      <c r="CP331" s="268"/>
      <c r="CQ331" s="268"/>
      <c r="CR331" s="268"/>
      <c r="CS331" s="269"/>
      <c r="DG331" s="131"/>
    </row>
    <row r="332" spans="1:111" hidden="1">
      <c r="A332" s="44"/>
      <c r="B332" s="44"/>
      <c r="C332" s="293" t="s">
        <v>138</v>
      </c>
      <c r="D332" s="294"/>
      <c r="E332" s="294"/>
      <c r="F332" s="294"/>
      <c r="G332" s="294"/>
      <c r="H332" s="294"/>
      <c r="I332" s="294"/>
      <c r="J332" s="294"/>
      <c r="K332" s="294"/>
      <c r="L332" s="294"/>
      <c r="M332" s="294"/>
      <c r="N332" s="294"/>
      <c r="O332" s="294"/>
      <c r="P332" s="294"/>
      <c r="Q332" s="294"/>
      <c r="R332" s="294"/>
      <c r="S332" s="295"/>
      <c r="T332" s="276">
        <f>SUMIFS('Adv. Filter'!$BJ$1:$BJ$50000,'Adv. Filter'!$BT$1:$BT$50000,"Kiran",'Adv. Filter'!$BQ$1:$BQ$50000,$C332,'Adv. Filter'!$BH$1:$BH$50000,"Cash",'Adv. Filter'!$BO$1:$BO$50000,'Adv. Filter'!$A$14,'Adv. Filter'!$BO$1:$BO$50000,'Adv. Filter'!$B$14)</f>
        <v>0</v>
      </c>
      <c r="U332" s="277"/>
      <c r="V332" s="277"/>
      <c r="W332" s="277"/>
      <c r="X332" s="277"/>
      <c r="Y332" s="277"/>
      <c r="Z332" s="277"/>
      <c r="AA332" s="277"/>
      <c r="AB332" s="277"/>
      <c r="AC332" s="278"/>
      <c r="AD332" s="276">
        <f>SUMIFS('Adv. Filter'!$BJ$1:$BJ$50000,'Adv. Filter'!$BT$1:$BT$50000,"Kiran",'Adv. Filter'!$BQ$1:$BQ$50000,$C332,'Adv. Filter'!$BH$1:$BH$50000,"Bank",'Adv. Filter'!$BO$1:$BO$50000,'Adv. Filter'!$A$14,'Adv. Filter'!$BO$1:$BO$50000,'Adv. Filter'!$B$14)</f>
        <v>0</v>
      </c>
      <c r="AE332" s="277"/>
      <c r="AF332" s="277"/>
      <c r="AG332" s="277"/>
      <c r="AH332" s="277"/>
      <c r="AI332" s="277"/>
      <c r="AJ332" s="277"/>
      <c r="AK332" s="277"/>
      <c r="AL332" s="277"/>
      <c r="AM332" s="278"/>
      <c r="AN332" s="276">
        <f t="shared" si="14"/>
        <v>0</v>
      </c>
      <c r="AO332" s="277"/>
      <c r="AP332" s="277"/>
      <c r="AQ332" s="277"/>
      <c r="AR332" s="277"/>
      <c r="AS332" s="277"/>
      <c r="AT332" s="277"/>
      <c r="AU332" s="277"/>
      <c r="AV332" s="277"/>
      <c r="AW332" s="278"/>
      <c r="AX332" s="45"/>
      <c r="AY332" s="293" t="s">
        <v>138</v>
      </c>
      <c r="AZ332" s="294"/>
      <c r="BA332" s="294"/>
      <c r="BB332" s="294"/>
      <c r="BC332" s="294"/>
      <c r="BD332" s="294"/>
      <c r="BE332" s="294"/>
      <c r="BF332" s="294"/>
      <c r="BG332" s="294"/>
      <c r="BH332" s="294"/>
      <c r="BI332" s="294"/>
      <c r="BJ332" s="294"/>
      <c r="BK332" s="294"/>
      <c r="BL332" s="294"/>
      <c r="BM332" s="294"/>
      <c r="BN332" s="294"/>
      <c r="BO332" s="295"/>
      <c r="BP332" s="276">
        <f>SUMIFS('Adv. Filter'!$BJ$1:$BJ$50000,'Adv. Filter'!$BT$1:$BT$50000,"Kiran",'Adv. Filter'!$BQ$1:$BQ$50000,$AY332,'Adv. Filter'!$BH$1:$BH$50000,"Cash",'Adv. Filter'!$BO$1:$BO$50000,"&lt;"&amp;'Adv. Filter'!$A$15)</f>
        <v>0</v>
      </c>
      <c r="BQ332" s="277"/>
      <c r="BR332" s="277"/>
      <c r="BS332" s="277"/>
      <c r="BT332" s="277"/>
      <c r="BU332" s="277"/>
      <c r="BV332" s="277"/>
      <c r="BW332" s="277"/>
      <c r="BX332" s="277"/>
      <c r="BY332" s="278"/>
      <c r="BZ332" s="276">
        <f>SUMIFS('Adv. Filter'!$BJ$1:$BJ$50000,'Adv. Filter'!$BT$1:$BT$50000,"Kiran",'Adv. Filter'!$BQ$1:$BQ$50000,$AY332,'Adv. Filter'!$BH$1:$BH$50000,"Bank",'Adv. Filter'!$BO$1:$BO$50000,"&lt;"&amp;'Adv. Filter'!$A$15)</f>
        <v>0</v>
      </c>
      <c r="CA332" s="277"/>
      <c r="CB332" s="277"/>
      <c r="CC332" s="277"/>
      <c r="CD332" s="277"/>
      <c r="CE332" s="277"/>
      <c r="CF332" s="277"/>
      <c r="CG332" s="277"/>
      <c r="CH332" s="277"/>
      <c r="CI332" s="278"/>
      <c r="CJ332" s="276">
        <f t="shared" si="15"/>
        <v>0</v>
      </c>
      <c r="CK332" s="277"/>
      <c r="CL332" s="277"/>
      <c r="CM332" s="277"/>
      <c r="CN332" s="277"/>
      <c r="CO332" s="277"/>
      <c r="CP332" s="277"/>
      <c r="CQ332" s="277"/>
      <c r="CR332" s="277"/>
      <c r="CS332" s="278"/>
      <c r="CT332" s="44"/>
      <c r="CU332" s="44"/>
      <c r="CV332" s="44"/>
      <c r="CW332" s="44"/>
      <c r="CX332" s="44"/>
      <c r="CY332" s="44"/>
      <c r="CZ332" s="44"/>
      <c r="DG332" s="131"/>
    </row>
    <row r="333" spans="1:111" hidden="1">
      <c r="C333" s="308" t="s">
        <v>115</v>
      </c>
      <c r="D333" s="309"/>
      <c r="E333" s="309"/>
      <c r="F333" s="309"/>
      <c r="G333" s="309"/>
      <c r="H333" s="309"/>
      <c r="I333" s="309"/>
      <c r="J333" s="309"/>
      <c r="K333" s="309"/>
      <c r="L333" s="309"/>
      <c r="M333" s="309"/>
      <c r="N333" s="309"/>
      <c r="O333" s="309"/>
      <c r="P333" s="309"/>
      <c r="Q333" s="309"/>
      <c r="R333" s="309"/>
      <c r="S333" s="310"/>
      <c r="T333" s="267">
        <f>SUMIFS('Adv. Filter'!$BJ$1:$BJ$50000,'Adv. Filter'!$BT$1:$BT$50000,"Kiran",'Adv. Filter'!$BQ$1:$BQ$50000,$C332,'Adv. Filter'!$BH$1:$BH$50000,"Cash",'Adv. Filter'!$BO$1:$BO$50000,'Adv. Filter'!$A$14,'Adv. Filter'!$BO$1:$BO$50000,'Adv. Filter'!$B$14,'Adv. Filter'!$BP$1:$BP$50000,"Project")</f>
        <v>0</v>
      </c>
      <c r="U333" s="268"/>
      <c r="V333" s="268"/>
      <c r="W333" s="268"/>
      <c r="X333" s="268"/>
      <c r="Y333" s="268"/>
      <c r="Z333" s="268"/>
      <c r="AA333" s="268"/>
      <c r="AB333" s="268"/>
      <c r="AC333" s="269"/>
      <c r="AD333" s="267">
        <f>SUMIFS('Adv. Filter'!$BJ$1:$BJ$50000,'Adv. Filter'!$BT$1:$BT$50000,"Kiran",'Adv. Filter'!$BQ$1:$BQ$50000,$C332,'Adv. Filter'!$BH$1:$BH$50000,"Bank",'Adv. Filter'!$BO$1:$BO$50000,'Adv. Filter'!$A$14,'Adv. Filter'!$BO$1:$BO$50000,'Adv. Filter'!$B$14,'Adv. Filter'!$BP$1:$BP$50000,"Project")</f>
        <v>0</v>
      </c>
      <c r="AE333" s="268"/>
      <c r="AF333" s="268"/>
      <c r="AG333" s="268"/>
      <c r="AH333" s="268"/>
      <c r="AI333" s="268"/>
      <c r="AJ333" s="268"/>
      <c r="AK333" s="268"/>
      <c r="AL333" s="268"/>
      <c r="AM333" s="269"/>
      <c r="AN333" s="267">
        <f t="shared" si="14"/>
        <v>0</v>
      </c>
      <c r="AO333" s="268"/>
      <c r="AP333" s="268"/>
      <c r="AQ333" s="268"/>
      <c r="AR333" s="268"/>
      <c r="AS333" s="268"/>
      <c r="AT333" s="268"/>
      <c r="AU333" s="268"/>
      <c r="AV333" s="268"/>
      <c r="AW333" s="269"/>
      <c r="AX333" s="22"/>
      <c r="AY333" s="308" t="s">
        <v>115</v>
      </c>
      <c r="AZ333" s="309"/>
      <c r="BA333" s="309"/>
      <c r="BB333" s="309"/>
      <c r="BC333" s="309"/>
      <c r="BD333" s="309"/>
      <c r="BE333" s="309"/>
      <c r="BF333" s="309"/>
      <c r="BG333" s="309"/>
      <c r="BH333" s="309"/>
      <c r="BI333" s="309"/>
      <c r="BJ333" s="309"/>
      <c r="BK333" s="309"/>
      <c r="BL333" s="309"/>
      <c r="BM333" s="309"/>
      <c r="BN333" s="309"/>
      <c r="BO333" s="310"/>
      <c r="BP333" s="267">
        <f>SUMIFS('Adv. Filter'!$BJ$1:$BJ$50000,'Adv. Filter'!$BT$1:$BT$50000,"Kiran",'Adv. Filter'!$BQ$1:$BQ$50000,$AY332,'Adv. Filter'!$BH$1:$BH$50000,"Cash",'Adv. Filter'!$BO$1:$BO$50000,"&lt;"&amp;'Adv. Filter'!$A$15,'Adv. Filter'!$BP$1:$BP$50000,"Project")</f>
        <v>0</v>
      </c>
      <c r="BQ333" s="268"/>
      <c r="BR333" s="268"/>
      <c r="BS333" s="268"/>
      <c r="BT333" s="268"/>
      <c r="BU333" s="268"/>
      <c r="BV333" s="268"/>
      <c r="BW333" s="268"/>
      <c r="BX333" s="268"/>
      <c r="BY333" s="269"/>
      <c r="BZ333" s="267">
        <f>SUMIFS('Adv. Filter'!$BJ$1:$BJ$50000,'Adv. Filter'!$BT$1:$BT$50000,"Kiran",'Adv. Filter'!$BQ$1:$BQ$50000,$AY332,'Adv. Filter'!$BH$1:$BH$50000,"Bank",'Adv. Filter'!$BO$1:$BO$50000,"&lt;"&amp;'Adv. Filter'!$A$15,'Adv. Filter'!$BP$1:$BP$50000,"Project")</f>
        <v>0</v>
      </c>
      <c r="CA333" s="268"/>
      <c r="CB333" s="268"/>
      <c r="CC333" s="268"/>
      <c r="CD333" s="268"/>
      <c r="CE333" s="268"/>
      <c r="CF333" s="268"/>
      <c r="CG333" s="268"/>
      <c r="CH333" s="268"/>
      <c r="CI333" s="269"/>
      <c r="CJ333" s="267">
        <f t="shared" si="15"/>
        <v>0</v>
      </c>
      <c r="CK333" s="268"/>
      <c r="CL333" s="268"/>
      <c r="CM333" s="268"/>
      <c r="CN333" s="268"/>
      <c r="CO333" s="268"/>
      <c r="CP333" s="268"/>
      <c r="CQ333" s="268"/>
      <c r="CR333" s="268"/>
      <c r="CS333" s="269"/>
      <c r="DG333" s="131"/>
    </row>
    <row r="334" spans="1:111" hidden="1">
      <c r="C334" s="308" t="s">
        <v>510</v>
      </c>
      <c r="D334" s="309"/>
      <c r="E334" s="309"/>
      <c r="F334" s="309"/>
      <c r="G334" s="309"/>
      <c r="H334" s="309"/>
      <c r="I334" s="309"/>
      <c r="J334" s="309"/>
      <c r="K334" s="309"/>
      <c r="L334" s="309"/>
      <c r="M334" s="309"/>
      <c r="N334" s="309"/>
      <c r="O334" s="309"/>
      <c r="P334" s="309"/>
      <c r="Q334" s="309"/>
      <c r="R334" s="309"/>
      <c r="S334" s="310"/>
      <c r="T334" s="267">
        <v>0</v>
      </c>
      <c r="U334" s="268"/>
      <c r="V334" s="268"/>
      <c r="W334" s="268"/>
      <c r="X334" s="268"/>
      <c r="Y334" s="268"/>
      <c r="Z334" s="268"/>
      <c r="AA334" s="268"/>
      <c r="AB334" s="268"/>
      <c r="AC334" s="269"/>
      <c r="AD334" s="267">
        <v>0</v>
      </c>
      <c r="AE334" s="268"/>
      <c r="AF334" s="268"/>
      <c r="AG334" s="268"/>
      <c r="AH334" s="268"/>
      <c r="AI334" s="268"/>
      <c r="AJ334" s="268"/>
      <c r="AK334" s="268"/>
      <c r="AL334" s="268"/>
      <c r="AM334" s="269"/>
      <c r="AN334" s="267">
        <f t="shared" si="14"/>
        <v>0</v>
      </c>
      <c r="AO334" s="268"/>
      <c r="AP334" s="268"/>
      <c r="AQ334" s="268"/>
      <c r="AR334" s="268"/>
      <c r="AS334" s="268"/>
      <c r="AT334" s="268"/>
      <c r="AU334" s="268"/>
      <c r="AV334" s="268"/>
      <c r="AW334" s="269"/>
      <c r="AX334" s="22"/>
      <c r="AY334" s="308" t="s">
        <v>510</v>
      </c>
      <c r="AZ334" s="309"/>
      <c r="BA334" s="309"/>
      <c r="BB334" s="309"/>
      <c r="BC334" s="309"/>
      <c r="BD334" s="309"/>
      <c r="BE334" s="309"/>
      <c r="BF334" s="309"/>
      <c r="BG334" s="309"/>
      <c r="BH334" s="309"/>
      <c r="BI334" s="309"/>
      <c r="BJ334" s="309"/>
      <c r="BK334" s="309"/>
      <c r="BL334" s="309"/>
      <c r="BM334" s="309"/>
      <c r="BN334" s="309"/>
      <c r="BO334" s="310"/>
      <c r="BP334" s="267"/>
      <c r="BQ334" s="268"/>
      <c r="BR334" s="268"/>
      <c r="BS334" s="268"/>
      <c r="BT334" s="268"/>
      <c r="BU334" s="268"/>
      <c r="BV334" s="268"/>
      <c r="BW334" s="268"/>
      <c r="BX334" s="268"/>
      <c r="BY334" s="269"/>
      <c r="BZ334" s="267"/>
      <c r="CA334" s="268"/>
      <c r="CB334" s="268"/>
      <c r="CC334" s="268"/>
      <c r="CD334" s="268"/>
      <c r="CE334" s="268"/>
      <c r="CF334" s="268"/>
      <c r="CG334" s="268"/>
      <c r="CH334" s="268"/>
      <c r="CI334" s="269"/>
      <c r="CJ334" s="267">
        <f t="shared" si="15"/>
        <v>0</v>
      </c>
      <c r="CK334" s="268"/>
      <c r="CL334" s="268"/>
      <c r="CM334" s="268"/>
      <c r="CN334" s="268"/>
      <c r="CO334" s="268"/>
      <c r="CP334" s="268"/>
      <c r="CQ334" s="268"/>
      <c r="CR334" s="268"/>
      <c r="CS334" s="269"/>
      <c r="DG334" s="131"/>
    </row>
    <row r="335" spans="1:111" hidden="1">
      <c r="C335" s="43"/>
      <c r="D335" s="36" t="str">
        <f>IF(AN332=0,C332&amp;" -","")</f>
        <v>Indus Ind -</v>
      </c>
      <c r="E335" s="42"/>
      <c r="F335" s="42"/>
      <c r="G335" s="42"/>
      <c r="H335" s="42"/>
      <c r="I335" s="42"/>
      <c r="J335" s="42"/>
      <c r="K335" s="42"/>
      <c r="L335" s="42"/>
      <c r="M335" s="42"/>
      <c r="N335" s="42"/>
      <c r="O335" s="42"/>
      <c r="P335" s="1"/>
      <c r="Q335" s="42"/>
      <c r="R335" s="41" t="s">
        <v>275</v>
      </c>
      <c r="S335" s="40"/>
      <c r="T335" s="267">
        <f>SUMIFS('Adv. Filter'!$CH$1:$CH$50000,'Adv. Filter'!$CD$1:$CD$50000,"Kiran",'Adv. Filter'!$CE$1:$CE$50000,$C332,'Adv. Filter'!$CC$1:$CC$50000,"Suspense",'Adv. Filter'!$CF$1:$CF$50000,"Cash")</f>
        <v>0</v>
      </c>
      <c r="U335" s="268"/>
      <c r="V335" s="268"/>
      <c r="W335" s="268"/>
      <c r="X335" s="268"/>
      <c r="Y335" s="268"/>
      <c r="Z335" s="268"/>
      <c r="AA335" s="268"/>
      <c r="AB335" s="268"/>
      <c r="AC335" s="269"/>
      <c r="AD335" s="267">
        <f>SUMIFS('Adv. Filter'!$CH$1:$CH$50000,'Adv. Filter'!$CD$1:$CD$50000,"Kiran",'Adv. Filter'!$CE$1:$CE$50000,$C332,'Adv. Filter'!$CC$1:$CC$50000,"Suspense",'Adv. Filter'!$CF$1:$CF$50000,"Bank")</f>
        <v>0</v>
      </c>
      <c r="AE335" s="268"/>
      <c r="AF335" s="268"/>
      <c r="AG335" s="268"/>
      <c r="AH335" s="268"/>
      <c r="AI335" s="268"/>
      <c r="AJ335" s="268"/>
      <c r="AK335" s="268"/>
      <c r="AL335" s="268"/>
      <c r="AM335" s="269"/>
      <c r="AN335" s="267">
        <f t="shared" si="14"/>
        <v>0</v>
      </c>
      <c r="AO335" s="268"/>
      <c r="AP335" s="268"/>
      <c r="AQ335" s="268"/>
      <c r="AR335" s="268"/>
      <c r="AS335" s="268"/>
      <c r="AT335" s="268"/>
      <c r="AU335" s="268"/>
      <c r="AV335" s="268"/>
      <c r="AW335" s="269"/>
      <c r="AX335" s="22"/>
      <c r="AY335" s="43"/>
      <c r="AZ335" s="36" t="str">
        <f>IF(CJ332=0,AY332&amp;" -","")</f>
        <v>Indus Ind -</v>
      </c>
      <c r="BA335" s="42"/>
      <c r="BB335" s="42"/>
      <c r="BC335" s="42"/>
      <c r="BD335" s="42"/>
      <c r="BE335" s="42"/>
      <c r="BF335" s="42"/>
      <c r="BG335" s="42"/>
      <c r="BH335" s="42"/>
      <c r="BI335" s="42"/>
      <c r="BJ335" s="42"/>
      <c r="BK335" s="42"/>
      <c r="BL335" s="1"/>
      <c r="BM335" s="42"/>
      <c r="BN335" s="41" t="s">
        <v>275</v>
      </c>
      <c r="BO335" s="40"/>
      <c r="BP335" s="267"/>
      <c r="BQ335" s="268"/>
      <c r="BR335" s="268"/>
      <c r="BS335" s="268"/>
      <c r="BT335" s="268"/>
      <c r="BU335" s="268"/>
      <c r="BV335" s="268"/>
      <c r="BW335" s="268"/>
      <c r="BX335" s="268"/>
      <c r="BY335" s="269"/>
      <c r="BZ335" s="267"/>
      <c r="CA335" s="268"/>
      <c r="CB335" s="268"/>
      <c r="CC335" s="268"/>
      <c r="CD335" s="268"/>
      <c r="CE335" s="268"/>
      <c r="CF335" s="268"/>
      <c r="CG335" s="268"/>
      <c r="CH335" s="268"/>
      <c r="CI335" s="269"/>
      <c r="CJ335" s="267">
        <f t="shared" si="15"/>
        <v>0</v>
      </c>
      <c r="CK335" s="268"/>
      <c r="CL335" s="268"/>
      <c r="CM335" s="268"/>
      <c r="CN335" s="268"/>
      <c r="CO335" s="268"/>
      <c r="CP335" s="268"/>
      <c r="CQ335" s="268"/>
      <c r="CR335" s="268"/>
      <c r="CS335" s="269"/>
      <c r="DG335" s="131"/>
    </row>
    <row r="336" spans="1:111" hidden="1">
      <c r="A336" s="44"/>
      <c r="B336" s="44"/>
      <c r="C336" s="293" t="s">
        <v>84</v>
      </c>
      <c r="D336" s="294"/>
      <c r="E336" s="294"/>
      <c r="F336" s="294"/>
      <c r="G336" s="294"/>
      <c r="H336" s="294"/>
      <c r="I336" s="294"/>
      <c r="J336" s="294"/>
      <c r="K336" s="294"/>
      <c r="L336" s="294"/>
      <c r="M336" s="294"/>
      <c r="N336" s="294"/>
      <c r="O336" s="294"/>
      <c r="P336" s="294"/>
      <c r="Q336" s="294"/>
      <c r="R336" s="294"/>
      <c r="S336" s="295"/>
      <c r="T336" s="276">
        <f>SUMIFS('Adv. Filter'!$BJ$1:$BJ$50000,'Adv. Filter'!$BT$1:$BT$50000,"Kiran",'Adv. Filter'!$BQ$1:$BQ$50000,$C336,'Adv. Filter'!$BH$1:$BH$50000,"Cash",'Adv. Filter'!$BO$1:$BO$50000,'Adv. Filter'!$A$14,'Adv. Filter'!$BO$1:$BO$50000,'Adv. Filter'!$B$14)</f>
        <v>35000</v>
      </c>
      <c r="U336" s="277"/>
      <c r="V336" s="277"/>
      <c r="W336" s="277"/>
      <c r="X336" s="277"/>
      <c r="Y336" s="277"/>
      <c r="Z336" s="277"/>
      <c r="AA336" s="277"/>
      <c r="AB336" s="277"/>
      <c r="AC336" s="278"/>
      <c r="AD336" s="276">
        <f>SUMIFS('Adv. Filter'!$BJ$1:$BJ$50000,'Adv. Filter'!$BT$1:$BT$50000,"Kiran",'Adv. Filter'!$BQ$1:$BQ$50000,$C336,'Adv. Filter'!$BH$1:$BH$50000,"Bank",'Adv. Filter'!$BO$1:$BO$50000,'Adv. Filter'!$A$14,'Adv. Filter'!$BO$1:$BO$50000,'Adv. Filter'!$B$14)</f>
        <v>271000</v>
      </c>
      <c r="AE336" s="277"/>
      <c r="AF336" s="277"/>
      <c r="AG336" s="277"/>
      <c r="AH336" s="277"/>
      <c r="AI336" s="277"/>
      <c r="AJ336" s="277"/>
      <c r="AK336" s="277"/>
      <c r="AL336" s="277"/>
      <c r="AM336" s="278"/>
      <c r="AN336" s="276">
        <f t="shared" si="14"/>
        <v>306000</v>
      </c>
      <c r="AO336" s="277"/>
      <c r="AP336" s="277"/>
      <c r="AQ336" s="277"/>
      <c r="AR336" s="277"/>
      <c r="AS336" s="277"/>
      <c r="AT336" s="277"/>
      <c r="AU336" s="277"/>
      <c r="AV336" s="277"/>
      <c r="AW336" s="278"/>
      <c r="AX336" s="45"/>
      <c r="AY336" s="293" t="s">
        <v>84</v>
      </c>
      <c r="AZ336" s="294"/>
      <c r="BA336" s="294"/>
      <c r="BB336" s="294"/>
      <c r="BC336" s="294"/>
      <c r="BD336" s="294"/>
      <c r="BE336" s="294"/>
      <c r="BF336" s="294"/>
      <c r="BG336" s="294"/>
      <c r="BH336" s="294"/>
      <c r="BI336" s="294"/>
      <c r="BJ336" s="294"/>
      <c r="BK336" s="294"/>
      <c r="BL336" s="294"/>
      <c r="BM336" s="294"/>
      <c r="BN336" s="294"/>
      <c r="BO336" s="295"/>
      <c r="BP336" s="276">
        <f>SUMIFS('Adv. Filter'!$BJ$1:$BJ$50000,'Adv. Filter'!$BT$1:$BT$50000,"Kiran",'Adv. Filter'!$BQ$1:$BQ$50000,$AY336,'Adv. Filter'!$BH$1:$BH$50000,"Cash",'Adv. Filter'!$BO$1:$BO$50000,"&lt;"&amp;'Adv. Filter'!$A$15)</f>
        <v>8000</v>
      </c>
      <c r="BQ336" s="277"/>
      <c r="BR336" s="277"/>
      <c r="BS336" s="277"/>
      <c r="BT336" s="277"/>
      <c r="BU336" s="277"/>
      <c r="BV336" s="277"/>
      <c r="BW336" s="277"/>
      <c r="BX336" s="277"/>
      <c r="BY336" s="278"/>
      <c r="BZ336" s="276">
        <f>SUMIFS('Adv. Filter'!$BJ$1:$BJ$50000,'Adv. Filter'!$BT$1:$BT$50000,"Kiran",'Adv. Filter'!$BQ$1:$BQ$50000,$AY336,'Adv. Filter'!$BH$1:$BH$50000,"Bank",'Adv. Filter'!$BO$1:$BO$50000,"&lt;"&amp;'Adv. Filter'!$A$15)</f>
        <v>18000</v>
      </c>
      <c r="CA336" s="277"/>
      <c r="CB336" s="277"/>
      <c r="CC336" s="277"/>
      <c r="CD336" s="277"/>
      <c r="CE336" s="277"/>
      <c r="CF336" s="277"/>
      <c r="CG336" s="277"/>
      <c r="CH336" s="277"/>
      <c r="CI336" s="278"/>
      <c r="CJ336" s="276">
        <f t="shared" si="15"/>
        <v>26000</v>
      </c>
      <c r="CK336" s="277"/>
      <c r="CL336" s="277"/>
      <c r="CM336" s="277"/>
      <c r="CN336" s="277"/>
      <c r="CO336" s="277"/>
      <c r="CP336" s="277"/>
      <c r="CQ336" s="277"/>
      <c r="CR336" s="277"/>
      <c r="CS336" s="278"/>
      <c r="CT336" s="44"/>
      <c r="CU336" s="44"/>
      <c r="CV336" s="44"/>
      <c r="CW336" s="44"/>
      <c r="CX336" s="44"/>
      <c r="CY336" s="44"/>
      <c r="CZ336" s="44"/>
    </row>
    <row r="337" spans="1:111" hidden="1">
      <c r="C337" s="308" t="s">
        <v>115</v>
      </c>
      <c r="D337" s="309"/>
      <c r="E337" s="309"/>
      <c r="F337" s="309"/>
      <c r="G337" s="309"/>
      <c r="H337" s="309"/>
      <c r="I337" s="309"/>
      <c r="J337" s="309"/>
      <c r="K337" s="309"/>
      <c r="L337" s="309"/>
      <c r="M337" s="309"/>
      <c r="N337" s="309"/>
      <c r="O337" s="309"/>
      <c r="P337" s="309"/>
      <c r="Q337" s="309"/>
      <c r="R337" s="309"/>
      <c r="S337" s="310"/>
      <c r="T337" s="267">
        <f>SUMIFS('Adv. Filter'!$BJ$1:$BJ$50000,'Adv. Filter'!$BT$1:$BT$50000,"Kiran",'Adv. Filter'!$BQ$1:$BQ$50000,$C336,'Adv. Filter'!$BH$1:$BH$50000,"Cash",'Adv. Filter'!$BO$1:$BO$50000,'Adv. Filter'!$A$14,'Adv. Filter'!$BO$1:$BO$50000,'Adv. Filter'!$B$14,'Adv. Filter'!$BP$1:$BP$50000,"Project")</f>
        <v>0</v>
      </c>
      <c r="U337" s="268"/>
      <c r="V337" s="268"/>
      <c r="W337" s="268"/>
      <c r="X337" s="268"/>
      <c r="Y337" s="268"/>
      <c r="Z337" s="268"/>
      <c r="AA337" s="268"/>
      <c r="AB337" s="268"/>
      <c r="AC337" s="269"/>
      <c r="AD337" s="267">
        <f>SUMIFS('Adv. Filter'!$BJ$1:$BJ$50000,'Adv. Filter'!$BT$1:$BT$50000,"Kiran",'Adv. Filter'!$BQ$1:$BQ$50000,$C336,'Adv. Filter'!$BH$1:$BH$50000,"Bank",'Adv. Filter'!$BO$1:$BO$50000,'Adv. Filter'!$A$14,'Adv. Filter'!$BO$1:$BO$50000,'Adv. Filter'!$B$14,'Adv. Filter'!$BP$1:$BP$50000,"Project")</f>
        <v>67500</v>
      </c>
      <c r="AE337" s="268"/>
      <c r="AF337" s="268"/>
      <c r="AG337" s="268"/>
      <c r="AH337" s="268"/>
      <c r="AI337" s="268"/>
      <c r="AJ337" s="268"/>
      <c r="AK337" s="268"/>
      <c r="AL337" s="268"/>
      <c r="AM337" s="269"/>
      <c r="AN337" s="267">
        <f t="shared" si="14"/>
        <v>67500</v>
      </c>
      <c r="AO337" s="268"/>
      <c r="AP337" s="268"/>
      <c r="AQ337" s="268"/>
      <c r="AR337" s="268"/>
      <c r="AS337" s="268"/>
      <c r="AT337" s="268"/>
      <c r="AU337" s="268"/>
      <c r="AV337" s="268"/>
      <c r="AW337" s="269"/>
      <c r="AX337" s="22"/>
      <c r="AY337" s="308" t="s">
        <v>115</v>
      </c>
      <c r="AZ337" s="309"/>
      <c r="BA337" s="309"/>
      <c r="BB337" s="309"/>
      <c r="BC337" s="309"/>
      <c r="BD337" s="309"/>
      <c r="BE337" s="309"/>
      <c r="BF337" s="309"/>
      <c r="BG337" s="309"/>
      <c r="BH337" s="309"/>
      <c r="BI337" s="309"/>
      <c r="BJ337" s="309"/>
      <c r="BK337" s="309"/>
      <c r="BL337" s="309"/>
      <c r="BM337" s="309"/>
      <c r="BN337" s="309"/>
      <c r="BO337" s="310"/>
      <c r="BP337" s="267">
        <f>SUMIFS('Adv. Filter'!$BJ$1:$BJ$50000,'Adv. Filter'!$BT$1:$BT$50000,"Kiran",'Adv. Filter'!$BQ$1:$BQ$50000,$AY336,'Adv. Filter'!$BH$1:$BH$50000,"Cash",'Adv. Filter'!$BO$1:$BO$50000,"&lt;"&amp;'Adv. Filter'!$A$15,'Adv. Filter'!$BP$1:$BP$50000,"Project")</f>
        <v>0</v>
      </c>
      <c r="BQ337" s="268"/>
      <c r="BR337" s="268"/>
      <c r="BS337" s="268"/>
      <c r="BT337" s="268"/>
      <c r="BU337" s="268"/>
      <c r="BV337" s="268"/>
      <c r="BW337" s="268"/>
      <c r="BX337" s="268"/>
      <c r="BY337" s="269"/>
      <c r="BZ337" s="267">
        <f>SUMIFS('Adv. Filter'!$BJ$1:$BJ$50000,'Adv. Filter'!$BT$1:$BT$50000,"Kiran",'Adv. Filter'!$BQ$1:$BQ$50000,$AY336,'Adv. Filter'!$BH$1:$BH$50000,"Bank",'Adv. Filter'!$BO$1:$BO$50000,"&lt;"&amp;'Adv. Filter'!$A$15,'Adv. Filter'!$BP$1:$BP$50000,"Project")</f>
        <v>0</v>
      </c>
      <c r="CA337" s="268"/>
      <c r="CB337" s="268"/>
      <c r="CC337" s="268"/>
      <c r="CD337" s="268"/>
      <c r="CE337" s="268"/>
      <c r="CF337" s="268"/>
      <c r="CG337" s="268"/>
      <c r="CH337" s="268"/>
      <c r="CI337" s="269"/>
      <c r="CJ337" s="267">
        <f t="shared" si="15"/>
        <v>0</v>
      </c>
      <c r="CK337" s="268"/>
      <c r="CL337" s="268"/>
      <c r="CM337" s="268"/>
      <c r="CN337" s="268"/>
      <c r="CO337" s="268"/>
      <c r="CP337" s="268"/>
      <c r="CQ337" s="268"/>
      <c r="CR337" s="268"/>
      <c r="CS337" s="269"/>
    </row>
    <row r="338" spans="1:111" hidden="1">
      <c r="C338" s="308" t="s">
        <v>510</v>
      </c>
      <c r="D338" s="309"/>
      <c r="E338" s="309"/>
      <c r="F338" s="309"/>
      <c r="G338" s="309"/>
      <c r="H338" s="309"/>
      <c r="I338" s="309"/>
      <c r="J338" s="309"/>
      <c r="K338" s="309"/>
      <c r="L338" s="309"/>
      <c r="M338" s="309"/>
      <c r="N338" s="309"/>
      <c r="O338" s="309"/>
      <c r="P338" s="309"/>
      <c r="Q338" s="309"/>
      <c r="R338" s="309"/>
      <c r="S338" s="310"/>
      <c r="T338" s="267">
        <v>0</v>
      </c>
      <c r="U338" s="268"/>
      <c r="V338" s="268"/>
      <c r="W338" s="268"/>
      <c r="X338" s="268"/>
      <c r="Y338" s="268"/>
      <c r="Z338" s="268"/>
      <c r="AA338" s="268"/>
      <c r="AB338" s="268"/>
      <c r="AC338" s="269"/>
      <c r="AD338" s="267">
        <v>0</v>
      </c>
      <c r="AE338" s="268"/>
      <c r="AF338" s="268"/>
      <c r="AG338" s="268"/>
      <c r="AH338" s="268"/>
      <c r="AI338" s="268"/>
      <c r="AJ338" s="268"/>
      <c r="AK338" s="268"/>
      <c r="AL338" s="268"/>
      <c r="AM338" s="269"/>
      <c r="AN338" s="267">
        <f t="shared" si="14"/>
        <v>0</v>
      </c>
      <c r="AO338" s="268"/>
      <c r="AP338" s="268"/>
      <c r="AQ338" s="268"/>
      <c r="AR338" s="268"/>
      <c r="AS338" s="268"/>
      <c r="AT338" s="268"/>
      <c r="AU338" s="268"/>
      <c r="AV338" s="268"/>
      <c r="AW338" s="269"/>
      <c r="AX338" s="22"/>
      <c r="AY338" s="308" t="s">
        <v>510</v>
      </c>
      <c r="AZ338" s="309"/>
      <c r="BA338" s="309"/>
      <c r="BB338" s="309"/>
      <c r="BC338" s="309"/>
      <c r="BD338" s="309"/>
      <c r="BE338" s="309"/>
      <c r="BF338" s="309"/>
      <c r="BG338" s="309"/>
      <c r="BH338" s="309"/>
      <c r="BI338" s="309"/>
      <c r="BJ338" s="309"/>
      <c r="BK338" s="309"/>
      <c r="BL338" s="309"/>
      <c r="BM338" s="309"/>
      <c r="BN338" s="309"/>
      <c r="BO338" s="310"/>
      <c r="BP338" s="267"/>
      <c r="BQ338" s="268"/>
      <c r="BR338" s="268"/>
      <c r="BS338" s="268"/>
      <c r="BT338" s="268"/>
      <c r="BU338" s="268"/>
      <c r="BV338" s="268"/>
      <c r="BW338" s="268"/>
      <c r="BX338" s="268"/>
      <c r="BY338" s="269"/>
      <c r="BZ338" s="267"/>
      <c r="CA338" s="268"/>
      <c r="CB338" s="268"/>
      <c r="CC338" s="268"/>
      <c r="CD338" s="268"/>
      <c r="CE338" s="268"/>
      <c r="CF338" s="268"/>
      <c r="CG338" s="268"/>
      <c r="CH338" s="268"/>
      <c r="CI338" s="269"/>
      <c r="CJ338" s="267">
        <f t="shared" si="15"/>
        <v>0</v>
      </c>
      <c r="CK338" s="268"/>
      <c r="CL338" s="268"/>
      <c r="CM338" s="268"/>
      <c r="CN338" s="268"/>
      <c r="CO338" s="268"/>
      <c r="CP338" s="268"/>
      <c r="CQ338" s="268"/>
      <c r="CR338" s="268"/>
      <c r="CS338" s="269"/>
      <c r="DG338" s="131"/>
    </row>
    <row r="339" spans="1:111" hidden="1">
      <c r="C339" s="43"/>
      <c r="D339" s="36" t="str">
        <f>IF(AN336=0,C336&amp;" -","")</f>
        <v/>
      </c>
      <c r="E339" s="42"/>
      <c r="F339" s="42"/>
      <c r="G339" s="42"/>
      <c r="H339" s="42"/>
      <c r="I339" s="42"/>
      <c r="J339" s="42"/>
      <c r="K339" s="42"/>
      <c r="L339" s="42"/>
      <c r="M339" s="42"/>
      <c r="N339" s="42"/>
      <c r="O339" s="42"/>
      <c r="P339" s="1"/>
      <c r="Q339" s="42"/>
      <c r="R339" s="41" t="s">
        <v>275</v>
      </c>
      <c r="S339" s="40"/>
      <c r="T339" s="267">
        <f>SUMIFS('Adv. Filter'!$CH$1:$CH$50000,'Adv. Filter'!$CD$1:$CD$50000,"Kiran",'Adv. Filter'!$CE$1:$CE$50000,$C336,'Adv. Filter'!$CC$1:$CC$50000,"Suspense",'Adv. Filter'!$CF$1:$CF$50000,"Cash")</f>
        <v>12500</v>
      </c>
      <c r="U339" s="268"/>
      <c r="V339" s="268"/>
      <c r="W339" s="268"/>
      <c r="X339" s="268"/>
      <c r="Y339" s="268"/>
      <c r="Z339" s="268"/>
      <c r="AA339" s="268"/>
      <c r="AB339" s="268"/>
      <c r="AC339" s="269"/>
      <c r="AD339" s="267">
        <f>SUMIFS('Adv. Filter'!$CH$1:$CH$50000,'Adv. Filter'!$CD$1:$CD$50000,"Kiran",'Adv. Filter'!$CE$1:$CE$50000,$C336,'Adv. Filter'!$CC$1:$CC$50000,"Suspense",'Adv. Filter'!$CF$1:$CF$50000,"Bank")</f>
        <v>75500</v>
      </c>
      <c r="AE339" s="268"/>
      <c r="AF339" s="268"/>
      <c r="AG339" s="268"/>
      <c r="AH339" s="268"/>
      <c r="AI339" s="268"/>
      <c r="AJ339" s="268"/>
      <c r="AK339" s="268"/>
      <c r="AL339" s="268"/>
      <c r="AM339" s="269"/>
      <c r="AN339" s="267">
        <f t="shared" si="14"/>
        <v>88000</v>
      </c>
      <c r="AO339" s="268"/>
      <c r="AP339" s="268"/>
      <c r="AQ339" s="268"/>
      <c r="AR339" s="268"/>
      <c r="AS339" s="268"/>
      <c r="AT339" s="268"/>
      <c r="AU339" s="268"/>
      <c r="AV339" s="268"/>
      <c r="AW339" s="269"/>
      <c r="AX339" s="22"/>
      <c r="AY339" s="43"/>
      <c r="AZ339" s="36" t="str">
        <f>IF(CJ336=0,AY336&amp;" -","")</f>
        <v/>
      </c>
      <c r="BA339" s="42"/>
      <c r="BB339" s="42"/>
      <c r="BC339" s="42"/>
      <c r="BD339" s="42"/>
      <c r="BE339" s="42"/>
      <c r="BF339" s="42"/>
      <c r="BG339" s="42"/>
      <c r="BH339" s="42"/>
      <c r="BI339" s="42"/>
      <c r="BJ339" s="42"/>
      <c r="BK339" s="42"/>
      <c r="BL339" s="1"/>
      <c r="BM339" s="42"/>
      <c r="BN339" s="41" t="s">
        <v>275</v>
      </c>
      <c r="BO339" s="40"/>
      <c r="BP339" s="267"/>
      <c r="BQ339" s="268"/>
      <c r="BR339" s="268"/>
      <c r="BS339" s="268"/>
      <c r="BT339" s="268"/>
      <c r="BU339" s="268"/>
      <c r="BV339" s="268"/>
      <c r="BW339" s="268"/>
      <c r="BX339" s="268"/>
      <c r="BY339" s="269"/>
      <c r="BZ339" s="267"/>
      <c r="CA339" s="268"/>
      <c r="CB339" s="268"/>
      <c r="CC339" s="268"/>
      <c r="CD339" s="268"/>
      <c r="CE339" s="268"/>
      <c r="CF339" s="268"/>
      <c r="CG339" s="268"/>
      <c r="CH339" s="268"/>
      <c r="CI339" s="269"/>
      <c r="CJ339" s="267">
        <f t="shared" si="15"/>
        <v>0</v>
      </c>
      <c r="CK339" s="268"/>
      <c r="CL339" s="268"/>
      <c r="CM339" s="268"/>
      <c r="CN339" s="268"/>
      <c r="CO339" s="268"/>
      <c r="CP339" s="268"/>
      <c r="CQ339" s="268"/>
      <c r="CR339" s="268"/>
      <c r="CS339" s="269"/>
    </row>
    <row r="340" spans="1:111" ht="15.75" hidden="1" thickBot="1">
      <c r="A340" s="44"/>
      <c r="B340" s="44"/>
      <c r="C340" s="293" t="s">
        <v>551</v>
      </c>
      <c r="D340" s="294"/>
      <c r="E340" s="294"/>
      <c r="F340" s="294"/>
      <c r="G340" s="294"/>
      <c r="H340" s="294"/>
      <c r="I340" s="294"/>
      <c r="J340" s="294"/>
      <c r="K340" s="294"/>
      <c r="L340" s="294"/>
      <c r="M340" s="294"/>
      <c r="N340" s="294"/>
      <c r="O340" s="294"/>
      <c r="P340" s="294"/>
      <c r="Q340" s="294"/>
      <c r="R340" s="294"/>
      <c r="S340" s="295"/>
      <c r="T340" s="276">
        <f>SUMIFS('Adv. Filter'!$BJ$1:$BJ$50000,'Adv. Filter'!$BT$1:$BT$50000,"Kiran",'Adv. Filter'!$BQ$1:$BQ$50000,$C340,'Adv. Filter'!$BH$1:$BH$50000,"Cash",'Adv. Filter'!$BO$1:$BO$50000,'Adv. Filter'!$A$14,'Adv. Filter'!$BO$1:$BO$50000,'Adv. Filter'!$B$14)</f>
        <v>20500</v>
      </c>
      <c r="U340" s="277"/>
      <c r="V340" s="277"/>
      <c r="W340" s="277"/>
      <c r="X340" s="277"/>
      <c r="Y340" s="277"/>
      <c r="Z340" s="277"/>
      <c r="AA340" s="277"/>
      <c r="AB340" s="277"/>
      <c r="AC340" s="278"/>
      <c r="AD340" s="276">
        <f>SUMIFS('Adv. Filter'!$BJ$1:$BJ$50000,'Adv. Filter'!$BT$1:$BT$50000,"Kiran",'Adv. Filter'!$BQ$1:$BQ$50000,$C340,'Adv. Filter'!$BH$1:$BH$50000,"Bank",'Adv. Filter'!$BO$1:$BO$50000,'Adv. Filter'!$A$14,'Adv. Filter'!$BO$1:$BO$50000,'Adv. Filter'!$B$14)</f>
        <v>77000</v>
      </c>
      <c r="AE340" s="277"/>
      <c r="AF340" s="277"/>
      <c r="AG340" s="277"/>
      <c r="AH340" s="277"/>
      <c r="AI340" s="277"/>
      <c r="AJ340" s="277"/>
      <c r="AK340" s="277"/>
      <c r="AL340" s="277"/>
      <c r="AM340" s="278"/>
      <c r="AN340" s="276">
        <f t="shared" ref="AN340:AN375" si="16">T340+AD340</f>
        <v>97500</v>
      </c>
      <c r="AO340" s="277"/>
      <c r="AP340" s="277"/>
      <c r="AQ340" s="277"/>
      <c r="AR340" s="277"/>
      <c r="AS340" s="277"/>
      <c r="AT340" s="277"/>
      <c r="AU340" s="277"/>
      <c r="AV340" s="277"/>
      <c r="AW340" s="278"/>
      <c r="AX340" s="92"/>
      <c r="AY340" s="293" t="s">
        <v>551</v>
      </c>
      <c r="AZ340" s="294"/>
      <c r="BA340" s="294"/>
      <c r="BB340" s="294"/>
      <c r="BC340" s="294"/>
      <c r="BD340" s="294"/>
      <c r="BE340" s="294"/>
      <c r="BF340" s="294"/>
      <c r="BG340" s="294"/>
      <c r="BH340" s="294"/>
      <c r="BI340" s="294"/>
      <c r="BJ340" s="294"/>
      <c r="BK340" s="294"/>
      <c r="BL340" s="294"/>
      <c r="BM340" s="294"/>
      <c r="BN340" s="294"/>
      <c r="BO340" s="295"/>
      <c r="BP340" s="276">
        <f>SUMIFS('Adv. Filter'!$BJ$1:$BJ$50000,'Adv. Filter'!$BT$1:$BT$50000,"Kiran",'Adv. Filter'!$BQ$1:$BQ$50000,$AY340,'Adv. Filter'!$BH$1:$BH$50000,"Cash",'Adv. Filter'!$BO$1:$BO$50000,"&lt;"&amp;'Adv. Filter'!$A$15)</f>
        <v>0</v>
      </c>
      <c r="BQ340" s="277"/>
      <c r="BR340" s="277"/>
      <c r="BS340" s="277"/>
      <c r="BT340" s="277"/>
      <c r="BU340" s="277"/>
      <c r="BV340" s="277"/>
      <c r="BW340" s="277"/>
      <c r="BX340" s="277"/>
      <c r="BY340" s="278"/>
      <c r="BZ340" s="276">
        <f>SUMIFS('Adv. Filter'!$BJ$1:$BJ$50000,'Adv. Filter'!$BT$1:$BT$50000,"Kiran",'Adv. Filter'!$BQ$1:$BQ$50000,$AY340,'Adv. Filter'!$BH$1:$BH$50000,"Bank",'Adv. Filter'!$BO$1:$BO$50000,"&lt;"&amp;'Adv. Filter'!$A$15)</f>
        <v>0</v>
      </c>
      <c r="CA340" s="277"/>
      <c r="CB340" s="277"/>
      <c r="CC340" s="277"/>
      <c r="CD340" s="277"/>
      <c r="CE340" s="277"/>
      <c r="CF340" s="277"/>
      <c r="CG340" s="277"/>
      <c r="CH340" s="277"/>
      <c r="CI340" s="278"/>
      <c r="CJ340" s="276">
        <f t="shared" ref="CJ340:CJ375" si="17">BP340+BZ340</f>
        <v>0</v>
      </c>
      <c r="CK340" s="277"/>
      <c r="CL340" s="277"/>
      <c r="CM340" s="277"/>
      <c r="CN340" s="277"/>
      <c r="CO340" s="277"/>
      <c r="CP340" s="277"/>
      <c r="CQ340" s="277"/>
      <c r="CR340" s="277"/>
      <c r="CS340" s="278"/>
      <c r="CT340" s="44"/>
      <c r="CU340" s="44"/>
      <c r="CV340" s="44"/>
      <c r="CW340" s="44"/>
      <c r="CX340" s="44"/>
      <c r="CY340" s="44"/>
      <c r="CZ340" s="44"/>
    </row>
    <row r="341" spans="1:111" hidden="1">
      <c r="C341" s="308" t="s">
        <v>115</v>
      </c>
      <c r="D341" s="309"/>
      <c r="E341" s="309"/>
      <c r="F341" s="309"/>
      <c r="G341" s="309"/>
      <c r="H341" s="309"/>
      <c r="I341" s="309"/>
      <c r="J341" s="309"/>
      <c r="K341" s="309"/>
      <c r="L341" s="309"/>
      <c r="M341" s="309"/>
      <c r="N341" s="309"/>
      <c r="O341" s="309"/>
      <c r="P341" s="309"/>
      <c r="Q341" s="309"/>
      <c r="R341" s="309"/>
      <c r="S341" s="310"/>
      <c r="T341" s="267">
        <f>SUMIFS('Adv. Filter'!$BJ$1:$BJ$50000,'Adv. Filter'!$BT$1:$BT$50000,"Kiran",'Adv. Filter'!$BQ$1:$BQ$50000,$C340,'Adv. Filter'!$BH$1:$BH$50000,"Cash",'Adv. Filter'!$BO$1:$BO$50000,'Adv. Filter'!$A$14,'Adv. Filter'!$BO$1:$BO$50000,'Adv. Filter'!$B$14,'Adv. Filter'!$BP$1:$BP$50000,"Project")</f>
        <v>0</v>
      </c>
      <c r="U341" s="268"/>
      <c r="V341" s="268"/>
      <c r="W341" s="268"/>
      <c r="X341" s="268"/>
      <c r="Y341" s="268"/>
      <c r="Z341" s="268"/>
      <c r="AA341" s="268"/>
      <c r="AB341" s="268"/>
      <c r="AC341" s="269"/>
      <c r="AD341" s="267">
        <f>SUMIFS('Adv. Filter'!$BJ$1:$BJ$50000,'Adv. Filter'!$BT$1:$BT$50000,"Kiran",'Adv. Filter'!$BQ$1:$BQ$50000,$C340,'Adv. Filter'!$BH$1:$BH$50000,"Bank",'Adv. Filter'!$BO$1:$BO$50000,'Adv. Filter'!$A$14,'Adv. Filter'!$BO$1:$BO$50000,'Adv. Filter'!$B$14,'Adv. Filter'!$BP$1:$BP$50000,"Project")</f>
        <v>0</v>
      </c>
      <c r="AE341" s="268"/>
      <c r="AF341" s="268"/>
      <c r="AG341" s="268"/>
      <c r="AH341" s="268"/>
      <c r="AI341" s="268"/>
      <c r="AJ341" s="268"/>
      <c r="AK341" s="268"/>
      <c r="AL341" s="268"/>
      <c r="AM341" s="269"/>
      <c r="AN341" s="267">
        <f t="shared" si="16"/>
        <v>0</v>
      </c>
      <c r="AO341" s="268"/>
      <c r="AP341" s="268"/>
      <c r="AQ341" s="268"/>
      <c r="AR341" s="268"/>
      <c r="AS341" s="268"/>
      <c r="AT341" s="268"/>
      <c r="AU341" s="268"/>
      <c r="AV341" s="268"/>
      <c r="AW341" s="269"/>
      <c r="AX341" s="88"/>
      <c r="AY341" s="308" t="s">
        <v>115</v>
      </c>
      <c r="AZ341" s="309"/>
      <c r="BA341" s="309"/>
      <c r="BB341" s="309"/>
      <c r="BC341" s="309"/>
      <c r="BD341" s="309"/>
      <c r="BE341" s="309"/>
      <c r="BF341" s="309"/>
      <c r="BG341" s="309"/>
      <c r="BH341" s="309"/>
      <c r="BI341" s="309"/>
      <c r="BJ341" s="309"/>
      <c r="BK341" s="309"/>
      <c r="BL341" s="309"/>
      <c r="BM341" s="309"/>
      <c r="BN341" s="309"/>
      <c r="BO341" s="310"/>
      <c r="BP341" s="267">
        <f>SUMIFS('Adv. Filter'!$BJ$1:$BJ$50000,'Adv. Filter'!$BT$1:$BT$50000,"Kiran",'Adv. Filter'!$BQ$1:$BQ$50000,$AY340,'Adv. Filter'!$BH$1:$BH$50000,"Cash",'Adv. Filter'!$BO$1:$BO$50000,"&lt;"&amp;'Adv. Filter'!$A$15,'Adv. Filter'!$BP$1:$BP$50000,"Project")</f>
        <v>0</v>
      </c>
      <c r="BQ341" s="268"/>
      <c r="BR341" s="268"/>
      <c r="BS341" s="268"/>
      <c r="BT341" s="268"/>
      <c r="BU341" s="268"/>
      <c r="BV341" s="268"/>
      <c r="BW341" s="268"/>
      <c r="BX341" s="268"/>
      <c r="BY341" s="269"/>
      <c r="BZ341" s="267">
        <f>SUMIFS('Adv. Filter'!$BJ$1:$BJ$50000,'Adv. Filter'!$BT$1:$BT$50000,"Kiran",'Adv. Filter'!$BQ$1:$BQ$50000,$AY340,'Adv. Filter'!$BH$1:$BH$50000,"Bank",'Adv. Filter'!$BO$1:$BO$50000,"&lt;"&amp;'Adv. Filter'!$A$15,'Adv. Filter'!$BP$1:$BP$50000,"Project")</f>
        <v>0</v>
      </c>
      <c r="CA341" s="268"/>
      <c r="CB341" s="268"/>
      <c r="CC341" s="268"/>
      <c r="CD341" s="268"/>
      <c r="CE341" s="268"/>
      <c r="CF341" s="268"/>
      <c r="CG341" s="268"/>
      <c r="CH341" s="268"/>
      <c r="CI341" s="269"/>
      <c r="CJ341" s="267">
        <f t="shared" si="17"/>
        <v>0</v>
      </c>
      <c r="CK341" s="268"/>
      <c r="CL341" s="268"/>
      <c r="CM341" s="268"/>
      <c r="CN341" s="268"/>
      <c r="CO341" s="268"/>
      <c r="CP341" s="268"/>
      <c r="CQ341" s="268"/>
      <c r="CR341" s="268"/>
      <c r="CS341" s="269"/>
    </row>
    <row r="342" spans="1:111" hidden="1">
      <c r="C342" s="308" t="s">
        <v>510</v>
      </c>
      <c r="D342" s="309"/>
      <c r="E342" s="309"/>
      <c r="F342" s="309"/>
      <c r="G342" s="309"/>
      <c r="H342" s="309"/>
      <c r="I342" s="309"/>
      <c r="J342" s="309"/>
      <c r="K342" s="309"/>
      <c r="L342" s="309"/>
      <c r="M342" s="309"/>
      <c r="N342" s="309"/>
      <c r="O342" s="309"/>
      <c r="P342" s="309"/>
      <c r="Q342" s="309"/>
      <c r="R342" s="309"/>
      <c r="S342" s="310"/>
      <c r="T342" s="267">
        <v>0</v>
      </c>
      <c r="U342" s="268"/>
      <c r="V342" s="268"/>
      <c r="W342" s="268"/>
      <c r="X342" s="268"/>
      <c r="Y342" s="268"/>
      <c r="Z342" s="268"/>
      <c r="AA342" s="268"/>
      <c r="AB342" s="268"/>
      <c r="AC342" s="269"/>
      <c r="AD342" s="267">
        <v>0</v>
      </c>
      <c r="AE342" s="268"/>
      <c r="AF342" s="268"/>
      <c r="AG342" s="268"/>
      <c r="AH342" s="268"/>
      <c r="AI342" s="268"/>
      <c r="AJ342" s="268"/>
      <c r="AK342" s="268"/>
      <c r="AL342" s="268"/>
      <c r="AM342" s="269"/>
      <c r="AN342" s="267">
        <f t="shared" si="16"/>
        <v>0</v>
      </c>
      <c r="AO342" s="268"/>
      <c r="AP342" s="268"/>
      <c r="AQ342" s="268"/>
      <c r="AR342" s="268"/>
      <c r="AS342" s="268"/>
      <c r="AT342" s="268"/>
      <c r="AU342" s="268"/>
      <c r="AV342" s="268"/>
      <c r="AW342" s="269"/>
      <c r="AX342" s="88"/>
      <c r="AY342" s="308" t="s">
        <v>510</v>
      </c>
      <c r="AZ342" s="309"/>
      <c r="BA342" s="309"/>
      <c r="BB342" s="309"/>
      <c r="BC342" s="309"/>
      <c r="BD342" s="309"/>
      <c r="BE342" s="309"/>
      <c r="BF342" s="309"/>
      <c r="BG342" s="309"/>
      <c r="BH342" s="309"/>
      <c r="BI342" s="309"/>
      <c r="BJ342" s="309"/>
      <c r="BK342" s="309"/>
      <c r="BL342" s="309"/>
      <c r="BM342" s="309"/>
      <c r="BN342" s="309"/>
      <c r="BO342" s="310"/>
      <c r="BP342" s="267"/>
      <c r="BQ342" s="268"/>
      <c r="BR342" s="268"/>
      <c r="BS342" s="268"/>
      <c r="BT342" s="268"/>
      <c r="BU342" s="268"/>
      <c r="BV342" s="268"/>
      <c r="BW342" s="268"/>
      <c r="BX342" s="268"/>
      <c r="BY342" s="269"/>
      <c r="BZ342" s="267"/>
      <c r="CA342" s="268"/>
      <c r="CB342" s="268"/>
      <c r="CC342" s="268"/>
      <c r="CD342" s="268"/>
      <c r="CE342" s="268"/>
      <c r="CF342" s="268"/>
      <c r="CG342" s="268"/>
      <c r="CH342" s="268"/>
      <c r="CI342" s="269"/>
      <c r="CJ342" s="267">
        <f t="shared" si="17"/>
        <v>0</v>
      </c>
      <c r="CK342" s="268"/>
      <c r="CL342" s="268"/>
      <c r="CM342" s="268"/>
      <c r="CN342" s="268"/>
      <c r="CO342" s="268"/>
      <c r="CP342" s="268"/>
      <c r="CQ342" s="268"/>
      <c r="CR342" s="268"/>
      <c r="CS342" s="269"/>
    </row>
    <row r="343" spans="1:111" hidden="1">
      <c r="A343" s="44"/>
      <c r="B343" s="44"/>
      <c r="C343" s="293" t="s">
        <v>121</v>
      </c>
      <c r="D343" s="294"/>
      <c r="E343" s="294"/>
      <c r="F343" s="294"/>
      <c r="G343" s="294"/>
      <c r="H343" s="294"/>
      <c r="I343" s="294"/>
      <c r="J343" s="294"/>
      <c r="K343" s="294"/>
      <c r="L343" s="294"/>
      <c r="M343" s="294"/>
      <c r="N343" s="294"/>
      <c r="O343" s="294"/>
      <c r="P343" s="294"/>
      <c r="Q343" s="294"/>
      <c r="R343" s="294"/>
      <c r="S343" s="295"/>
      <c r="T343" s="276">
        <f>SUMIFS('Adv. Filter'!$BJ$1:$BJ$50000,'Adv. Filter'!$BT$1:$BT$50000,"Kiran",'Adv. Filter'!$BQ$1:$BQ$50000,$C343,'Adv. Filter'!$BH$1:$BH$50000,"Cash",'Adv. Filter'!$BO$1:$BO$50000,'Adv. Filter'!$A$14,'Adv. Filter'!$BO$1:$BO$50000,'Adv. Filter'!$B$14)</f>
        <v>0</v>
      </c>
      <c r="U343" s="277"/>
      <c r="V343" s="277"/>
      <c r="W343" s="277"/>
      <c r="X343" s="277"/>
      <c r="Y343" s="277"/>
      <c r="Z343" s="277"/>
      <c r="AA343" s="277"/>
      <c r="AB343" s="277"/>
      <c r="AC343" s="278"/>
      <c r="AD343" s="276">
        <f>SUMIFS('Adv. Filter'!$BJ$1:$BJ$50000,'Adv. Filter'!$BT$1:$BT$50000,"Kiran",'Adv. Filter'!$BQ$1:$BQ$50000,$C343,'Adv. Filter'!$BH$1:$BH$50000,"Bank",'Adv. Filter'!$BO$1:$BO$50000,'Adv. Filter'!$A$14,'Adv. Filter'!$BO$1:$BO$50000,'Adv. Filter'!$B$14)</f>
        <v>0</v>
      </c>
      <c r="AE343" s="277"/>
      <c r="AF343" s="277"/>
      <c r="AG343" s="277"/>
      <c r="AH343" s="277"/>
      <c r="AI343" s="277"/>
      <c r="AJ343" s="277"/>
      <c r="AK343" s="277"/>
      <c r="AL343" s="277"/>
      <c r="AM343" s="278"/>
      <c r="AN343" s="276">
        <f t="shared" si="16"/>
        <v>0</v>
      </c>
      <c r="AO343" s="277"/>
      <c r="AP343" s="277"/>
      <c r="AQ343" s="277"/>
      <c r="AR343" s="277"/>
      <c r="AS343" s="277"/>
      <c r="AT343" s="277"/>
      <c r="AU343" s="277"/>
      <c r="AV343" s="277"/>
      <c r="AW343" s="278"/>
      <c r="AX343" s="45"/>
      <c r="AY343" s="293" t="s">
        <v>121</v>
      </c>
      <c r="AZ343" s="294"/>
      <c r="BA343" s="294"/>
      <c r="BB343" s="294"/>
      <c r="BC343" s="294"/>
      <c r="BD343" s="294"/>
      <c r="BE343" s="294"/>
      <c r="BF343" s="294"/>
      <c r="BG343" s="294"/>
      <c r="BH343" s="294"/>
      <c r="BI343" s="294"/>
      <c r="BJ343" s="294"/>
      <c r="BK343" s="294"/>
      <c r="BL343" s="294"/>
      <c r="BM343" s="294"/>
      <c r="BN343" s="294"/>
      <c r="BO343" s="295"/>
      <c r="BP343" s="276">
        <f>SUMIFS('Adv. Filter'!$BJ$1:$BJ$50000,'Adv. Filter'!$BT$1:$BT$50000,"Kiran",'Adv. Filter'!$BQ$1:$BQ$50000,$AY343,'Adv. Filter'!$BH$1:$BH$50000,"Cash",'Adv. Filter'!$BO$1:$BO$50000,"&lt;"&amp;'Adv. Filter'!$A$15)</f>
        <v>0</v>
      </c>
      <c r="BQ343" s="277"/>
      <c r="BR343" s="277"/>
      <c r="BS343" s="277"/>
      <c r="BT343" s="277"/>
      <c r="BU343" s="277"/>
      <c r="BV343" s="277"/>
      <c r="BW343" s="277"/>
      <c r="BX343" s="277"/>
      <c r="BY343" s="278"/>
      <c r="BZ343" s="276">
        <f>SUMIFS('Adv. Filter'!$BJ$1:$BJ$50000,'Adv. Filter'!$BT$1:$BT$50000,"Kiran",'Adv. Filter'!$BQ$1:$BQ$50000,$AY343,'Adv. Filter'!$BH$1:$BH$50000,"Bank",'Adv. Filter'!$BO$1:$BO$50000,"&lt;"&amp;'Adv. Filter'!$A$15)</f>
        <v>0</v>
      </c>
      <c r="CA343" s="277"/>
      <c r="CB343" s="277"/>
      <c r="CC343" s="277"/>
      <c r="CD343" s="277"/>
      <c r="CE343" s="277"/>
      <c r="CF343" s="277"/>
      <c r="CG343" s="277"/>
      <c r="CH343" s="277"/>
      <c r="CI343" s="278"/>
      <c r="CJ343" s="276">
        <f t="shared" si="17"/>
        <v>0</v>
      </c>
      <c r="CK343" s="277"/>
      <c r="CL343" s="277"/>
      <c r="CM343" s="277"/>
      <c r="CN343" s="277"/>
      <c r="CO343" s="277"/>
      <c r="CP343" s="277"/>
      <c r="CQ343" s="277"/>
      <c r="CR343" s="277"/>
      <c r="CS343" s="278"/>
      <c r="CT343" s="44"/>
      <c r="CU343" s="44"/>
      <c r="CV343" s="44"/>
      <c r="CW343" s="44"/>
      <c r="CX343" s="44"/>
      <c r="CY343" s="44"/>
      <c r="CZ343" s="44"/>
    </row>
    <row r="344" spans="1:111" hidden="1">
      <c r="C344" s="308" t="s">
        <v>115</v>
      </c>
      <c r="D344" s="309"/>
      <c r="E344" s="309"/>
      <c r="F344" s="309"/>
      <c r="G344" s="309"/>
      <c r="H344" s="309"/>
      <c r="I344" s="309"/>
      <c r="J344" s="309"/>
      <c r="K344" s="309"/>
      <c r="L344" s="309"/>
      <c r="M344" s="309"/>
      <c r="N344" s="309"/>
      <c r="O344" s="309"/>
      <c r="P344" s="309"/>
      <c r="Q344" s="309"/>
      <c r="R344" s="309"/>
      <c r="S344" s="310"/>
      <c r="T344" s="267">
        <f>SUMIFS('Adv. Filter'!$BJ$1:$BJ$50000,'Adv. Filter'!$BT$1:$BT$50000,"Kiran",'Adv. Filter'!$BQ$1:$BQ$50000,$C343,'Adv. Filter'!$BH$1:$BH$50000,"Cash",'Adv. Filter'!$BO$1:$BO$50000,'Adv. Filter'!$A$14,'Adv. Filter'!$BO$1:$BO$50000,'Adv. Filter'!$B$14,'Adv. Filter'!$BP$1:$BP$50000,"Project")</f>
        <v>0</v>
      </c>
      <c r="U344" s="268"/>
      <c r="V344" s="268"/>
      <c r="W344" s="268"/>
      <c r="X344" s="268"/>
      <c r="Y344" s="268"/>
      <c r="Z344" s="268"/>
      <c r="AA344" s="268"/>
      <c r="AB344" s="268"/>
      <c r="AC344" s="269"/>
      <c r="AD344" s="267">
        <f>SUMIFS('Adv. Filter'!$BJ$1:$BJ$50000,'Adv. Filter'!$BT$1:$BT$50000,"Kiran",'Adv. Filter'!$BQ$1:$BQ$50000,$C343,'Adv. Filter'!$BH$1:$BH$50000,"Bank",'Adv. Filter'!$BO$1:$BO$50000,'Adv. Filter'!$A$14,'Adv. Filter'!$BO$1:$BO$50000,'Adv. Filter'!$B$14,'Adv. Filter'!$BP$1:$BP$50000,"Project")</f>
        <v>0</v>
      </c>
      <c r="AE344" s="268"/>
      <c r="AF344" s="268"/>
      <c r="AG344" s="268"/>
      <c r="AH344" s="268"/>
      <c r="AI344" s="268"/>
      <c r="AJ344" s="268"/>
      <c r="AK344" s="268"/>
      <c r="AL344" s="268"/>
      <c r="AM344" s="269"/>
      <c r="AN344" s="267">
        <f t="shared" si="16"/>
        <v>0</v>
      </c>
      <c r="AO344" s="268"/>
      <c r="AP344" s="268"/>
      <c r="AQ344" s="268"/>
      <c r="AR344" s="268"/>
      <c r="AS344" s="268"/>
      <c r="AT344" s="268"/>
      <c r="AU344" s="268"/>
      <c r="AV344" s="268"/>
      <c r="AW344" s="269"/>
      <c r="AX344" s="22"/>
      <c r="AY344" s="308" t="s">
        <v>115</v>
      </c>
      <c r="AZ344" s="309"/>
      <c r="BA344" s="309"/>
      <c r="BB344" s="309"/>
      <c r="BC344" s="309"/>
      <c r="BD344" s="309"/>
      <c r="BE344" s="309"/>
      <c r="BF344" s="309"/>
      <c r="BG344" s="309"/>
      <c r="BH344" s="309"/>
      <c r="BI344" s="309"/>
      <c r="BJ344" s="309"/>
      <c r="BK344" s="309"/>
      <c r="BL344" s="309"/>
      <c r="BM344" s="309"/>
      <c r="BN344" s="309"/>
      <c r="BO344" s="310"/>
      <c r="BP344" s="267">
        <f>SUMIFS('Adv. Filter'!$BJ$1:$BJ$50000,'Adv. Filter'!$BT$1:$BT$50000,"Kiran",'Adv. Filter'!$BQ$1:$BQ$50000,$AY343,'Adv. Filter'!$BH$1:$BH$50000,"Cash",'Adv. Filter'!$BO$1:$BO$50000,"&lt;"&amp;'Adv. Filter'!$A$15,'Adv. Filter'!$BP$1:$BP$50000,"Project")</f>
        <v>0</v>
      </c>
      <c r="BQ344" s="268"/>
      <c r="BR344" s="268"/>
      <c r="BS344" s="268"/>
      <c r="BT344" s="268"/>
      <c r="BU344" s="268"/>
      <c r="BV344" s="268"/>
      <c r="BW344" s="268"/>
      <c r="BX344" s="268"/>
      <c r="BY344" s="269"/>
      <c r="BZ344" s="267">
        <f>SUMIFS('Adv. Filter'!$BJ$1:$BJ$50000,'Adv. Filter'!$BT$1:$BT$50000,"Kiran",'Adv. Filter'!$BQ$1:$BQ$50000,$AY343,'Adv. Filter'!$BH$1:$BH$50000,"Bank",'Adv. Filter'!$BO$1:$BO$50000,"&lt;"&amp;'Adv. Filter'!$A$15,'Adv. Filter'!$BP$1:$BP$50000,"Project")</f>
        <v>0</v>
      </c>
      <c r="CA344" s="268"/>
      <c r="CB344" s="268"/>
      <c r="CC344" s="268"/>
      <c r="CD344" s="268"/>
      <c r="CE344" s="268"/>
      <c r="CF344" s="268"/>
      <c r="CG344" s="268"/>
      <c r="CH344" s="268"/>
      <c r="CI344" s="269"/>
      <c r="CJ344" s="267">
        <f t="shared" si="17"/>
        <v>0</v>
      </c>
      <c r="CK344" s="268"/>
      <c r="CL344" s="268"/>
      <c r="CM344" s="268"/>
      <c r="CN344" s="268"/>
      <c r="CO344" s="268"/>
      <c r="CP344" s="268"/>
      <c r="CQ344" s="268"/>
      <c r="CR344" s="268"/>
      <c r="CS344" s="269"/>
    </row>
    <row r="345" spans="1:111" hidden="1">
      <c r="C345" s="308" t="s">
        <v>510</v>
      </c>
      <c r="D345" s="309"/>
      <c r="E345" s="309"/>
      <c r="F345" s="309"/>
      <c r="G345" s="309"/>
      <c r="H345" s="309"/>
      <c r="I345" s="309"/>
      <c r="J345" s="309"/>
      <c r="K345" s="309"/>
      <c r="L345" s="309"/>
      <c r="M345" s="309"/>
      <c r="N345" s="309"/>
      <c r="O345" s="309"/>
      <c r="P345" s="309"/>
      <c r="Q345" s="309"/>
      <c r="R345" s="309"/>
      <c r="S345" s="310"/>
      <c r="T345" s="267">
        <v>0</v>
      </c>
      <c r="U345" s="268"/>
      <c r="V345" s="268"/>
      <c r="W345" s="268"/>
      <c r="X345" s="268"/>
      <c r="Y345" s="268"/>
      <c r="Z345" s="268"/>
      <c r="AA345" s="268"/>
      <c r="AB345" s="268"/>
      <c r="AC345" s="269"/>
      <c r="AD345" s="267">
        <v>0</v>
      </c>
      <c r="AE345" s="268"/>
      <c r="AF345" s="268"/>
      <c r="AG345" s="268"/>
      <c r="AH345" s="268"/>
      <c r="AI345" s="268"/>
      <c r="AJ345" s="268"/>
      <c r="AK345" s="268"/>
      <c r="AL345" s="268"/>
      <c r="AM345" s="269"/>
      <c r="AN345" s="267">
        <f t="shared" si="16"/>
        <v>0</v>
      </c>
      <c r="AO345" s="268"/>
      <c r="AP345" s="268"/>
      <c r="AQ345" s="268"/>
      <c r="AR345" s="268"/>
      <c r="AS345" s="268"/>
      <c r="AT345" s="268"/>
      <c r="AU345" s="268"/>
      <c r="AV345" s="268"/>
      <c r="AW345" s="269"/>
      <c r="AX345" s="22"/>
      <c r="AY345" s="308" t="s">
        <v>510</v>
      </c>
      <c r="AZ345" s="309"/>
      <c r="BA345" s="309"/>
      <c r="BB345" s="309"/>
      <c r="BC345" s="309"/>
      <c r="BD345" s="309"/>
      <c r="BE345" s="309"/>
      <c r="BF345" s="309"/>
      <c r="BG345" s="309"/>
      <c r="BH345" s="309"/>
      <c r="BI345" s="309"/>
      <c r="BJ345" s="309"/>
      <c r="BK345" s="309"/>
      <c r="BL345" s="309"/>
      <c r="BM345" s="309"/>
      <c r="BN345" s="309"/>
      <c r="BO345" s="310"/>
      <c r="BP345" s="267"/>
      <c r="BQ345" s="268"/>
      <c r="BR345" s="268"/>
      <c r="BS345" s="268"/>
      <c r="BT345" s="268"/>
      <c r="BU345" s="268"/>
      <c r="BV345" s="268"/>
      <c r="BW345" s="268"/>
      <c r="BX345" s="268"/>
      <c r="BY345" s="269"/>
      <c r="BZ345" s="267"/>
      <c r="CA345" s="268"/>
      <c r="CB345" s="268"/>
      <c r="CC345" s="268"/>
      <c r="CD345" s="268"/>
      <c r="CE345" s="268"/>
      <c r="CF345" s="268"/>
      <c r="CG345" s="268"/>
      <c r="CH345" s="268"/>
      <c r="CI345" s="269"/>
      <c r="CJ345" s="267">
        <f t="shared" si="17"/>
        <v>0</v>
      </c>
      <c r="CK345" s="268"/>
      <c r="CL345" s="268"/>
      <c r="CM345" s="268"/>
      <c r="CN345" s="268"/>
      <c r="CO345" s="268"/>
      <c r="CP345" s="268"/>
      <c r="CQ345" s="268"/>
      <c r="CR345" s="268"/>
      <c r="CS345" s="269"/>
    </row>
    <row r="346" spans="1:111" hidden="1">
      <c r="C346" s="43"/>
      <c r="D346" s="36" t="str">
        <f>IF(AN343=0,C343&amp;" -","")</f>
        <v>SBH -</v>
      </c>
      <c r="E346" s="42"/>
      <c r="F346" s="42"/>
      <c r="G346" s="42"/>
      <c r="H346" s="42"/>
      <c r="I346" s="42"/>
      <c r="J346" s="42"/>
      <c r="K346" s="42"/>
      <c r="L346" s="42"/>
      <c r="M346" s="42"/>
      <c r="N346" s="42"/>
      <c r="O346" s="42"/>
      <c r="P346" s="1"/>
      <c r="Q346" s="42"/>
      <c r="R346" s="41" t="s">
        <v>275</v>
      </c>
      <c r="S346" s="40"/>
      <c r="T346" s="267">
        <f>SUMIFS('Adv. Filter'!$CH$1:$CH$50000,'Adv. Filter'!$CD$1:$CD$50000,"Kiran",'Adv. Filter'!$CE$1:$CE$50000,$C343,'Adv. Filter'!$CC$1:$CC$50000,"Suspense",'Adv. Filter'!$CF$1:$CF$50000,"Cash")</f>
        <v>0</v>
      </c>
      <c r="U346" s="268"/>
      <c r="V346" s="268"/>
      <c r="W346" s="268"/>
      <c r="X346" s="268"/>
      <c r="Y346" s="268"/>
      <c r="Z346" s="268"/>
      <c r="AA346" s="268"/>
      <c r="AB346" s="268"/>
      <c r="AC346" s="269"/>
      <c r="AD346" s="267">
        <f>SUMIFS('Adv. Filter'!$CH$1:$CH$50000,'Adv. Filter'!$CD$1:$CD$50000,"Kiran",'Adv. Filter'!$CE$1:$CE$50000,$C343,'Adv. Filter'!$CC$1:$CC$50000,"Suspense",'Adv. Filter'!$CF$1:$CF$50000,"Bank")</f>
        <v>0</v>
      </c>
      <c r="AE346" s="268"/>
      <c r="AF346" s="268"/>
      <c r="AG346" s="268"/>
      <c r="AH346" s="268"/>
      <c r="AI346" s="268"/>
      <c r="AJ346" s="268"/>
      <c r="AK346" s="268"/>
      <c r="AL346" s="268"/>
      <c r="AM346" s="269"/>
      <c r="AN346" s="267">
        <f t="shared" si="16"/>
        <v>0</v>
      </c>
      <c r="AO346" s="268"/>
      <c r="AP346" s="268"/>
      <c r="AQ346" s="268"/>
      <c r="AR346" s="268"/>
      <c r="AS346" s="268"/>
      <c r="AT346" s="268"/>
      <c r="AU346" s="268"/>
      <c r="AV346" s="268"/>
      <c r="AW346" s="269"/>
      <c r="AX346" s="22"/>
      <c r="AY346" s="43"/>
      <c r="AZ346" s="36" t="str">
        <f>IF(CJ343=0,AY343&amp;" -","")</f>
        <v>SBH -</v>
      </c>
      <c r="BA346" s="42"/>
      <c r="BB346" s="42"/>
      <c r="BC346" s="42"/>
      <c r="BD346" s="42"/>
      <c r="BE346" s="42"/>
      <c r="BF346" s="42"/>
      <c r="BG346" s="42"/>
      <c r="BH346" s="42"/>
      <c r="BI346" s="42"/>
      <c r="BJ346" s="42"/>
      <c r="BK346" s="42"/>
      <c r="BL346" s="1"/>
      <c r="BM346" s="42"/>
      <c r="BN346" s="41" t="s">
        <v>275</v>
      </c>
      <c r="BO346" s="40"/>
      <c r="BP346" s="267"/>
      <c r="BQ346" s="268"/>
      <c r="BR346" s="268"/>
      <c r="BS346" s="268"/>
      <c r="BT346" s="268"/>
      <c r="BU346" s="268"/>
      <c r="BV346" s="268"/>
      <c r="BW346" s="268"/>
      <c r="BX346" s="268"/>
      <c r="BY346" s="269"/>
      <c r="BZ346" s="267"/>
      <c r="CA346" s="268"/>
      <c r="CB346" s="268"/>
      <c r="CC346" s="268"/>
      <c r="CD346" s="268"/>
      <c r="CE346" s="268"/>
      <c r="CF346" s="268"/>
      <c r="CG346" s="268"/>
      <c r="CH346" s="268"/>
      <c r="CI346" s="269"/>
      <c r="CJ346" s="267">
        <f t="shared" si="17"/>
        <v>0</v>
      </c>
      <c r="CK346" s="268"/>
      <c r="CL346" s="268"/>
      <c r="CM346" s="268"/>
      <c r="CN346" s="268"/>
      <c r="CO346" s="268"/>
      <c r="CP346" s="268"/>
      <c r="CQ346" s="268"/>
      <c r="CR346" s="268"/>
      <c r="CS346" s="269"/>
    </row>
    <row r="347" spans="1:111" hidden="1">
      <c r="A347" s="44"/>
      <c r="B347" s="44"/>
      <c r="C347" s="293" t="s">
        <v>111</v>
      </c>
      <c r="D347" s="294"/>
      <c r="E347" s="294"/>
      <c r="F347" s="294"/>
      <c r="G347" s="294"/>
      <c r="H347" s="294"/>
      <c r="I347" s="294"/>
      <c r="J347" s="294"/>
      <c r="K347" s="294"/>
      <c r="L347" s="294"/>
      <c r="M347" s="294"/>
      <c r="N347" s="294"/>
      <c r="O347" s="294"/>
      <c r="P347" s="294"/>
      <c r="Q347" s="294"/>
      <c r="R347" s="294"/>
      <c r="S347" s="295"/>
      <c r="T347" s="276">
        <f>SUMIFS('Adv. Filter'!$BJ$1:$BJ$50000,'Adv. Filter'!$BT$1:$BT$50000,"Kiran",'Adv. Filter'!$BQ$1:$BQ$50000,$C347,'Adv. Filter'!$BH$1:$BH$50000,"Cash",'Adv. Filter'!$BO$1:$BO$50000,'Adv. Filter'!$A$14,'Adv. Filter'!$BO$1:$BO$50000,'Adv. Filter'!$B$14)</f>
        <v>0</v>
      </c>
      <c r="U347" s="277"/>
      <c r="V347" s="277"/>
      <c r="W347" s="277"/>
      <c r="X347" s="277"/>
      <c r="Y347" s="277"/>
      <c r="Z347" s="277"/>
      <c r="AA347" s="277"/>
      <c r="AB347" s="277"/>
      <c r="AC347" s="278"/>
      <c r="AD347" s="276">
        <f>SUMIFS('Adv. Filter'!$BJ$1:$BJ$50000,'Adv. Filter'!$BT$1:$BT$50000,"Kiran",'Adv. Filter'!$BQ$1:$BQ$50000,$C347,'Adv. Filter'!$BH$1:$BH$50000,"Bank",'Adv. Filter'!$BO$1:$BO$50000,'Adv. Filter'!$A$14,'Adv. Filter'!$BO$1:$BO$50000,'Adv. Filter'!$B$14)</f>
        <v>0</v>
      </c>
      <c r="AE347" s="277"/>
      <c r="AF347" s="277"/>
      <c r="AG347" s="277"/>
      <c r="AH347" s="277"/>
      <c r="AI347" s="277"/>
      <c r="AJ347" s="277"/>
      <c r="AK347" s="277"/>
      <c r="AL347" s="277"/>
      <c r="AM347" s="278"/>
      <c r="AN347" s="276">
        <f t="shared" si="16"/>
        <v>0</v>
      </c>
      <c r="AO347" s="277"/>
      <c r="AP347" s="277"/>
      <c r="AQ347" s="277"/>
      <c r="AR347" s="277"/>
      <c r="AS347" s="277"/>
      <c r="AT347" s="277"/>
      <c r="AU347" s="277"/>
      <c r="AV347" s="277"/>
      <c r="AW347" s="278"/>
      <c r="AX347" s="45"/>
      <c r="AY347" s="293" t="s">
        <v>111</v>
      </c>
      <c r="AZ347" s="294"/>
      <c r="BA347" s="294"/>
      <c r="BB347" s="294"/>
      <c r="BC347" s="294"/>
      <c r="BD347" s="294"/>
      <c r="BE347" s="294"/>
      <c r="BF347" s="294"/>
      <c r="BG347" s="294"/>
      <c r="BH347" s="294"/>
      <c r="BI347" s="294"/>
      <c r="BJ347" s="294"/>
      <c r="BK347" s="294"/>
      <c r="BL347" s="294"/>
      <c r="BM347" s="294"/>
      <c r="BN347" s="294"/>
      <c r="BO347" s="295"/>
      <c r="BP347" s="276">
        <f>SUMIFS('Adv. Filter'!$BJ$1:$BJ$50000,'Adv. Filter'!$BT$1:$BT$50000,"Kiran",'Adv. Filter'!$BQ$1:$BQ$50000,$AY347,'Adv. Filter'!$BH$1:$BH$50000,"Cash",'Adv. Filter'!$BO$1:$BO$50000,"&lt;"&amp;'Adv. Filter'!$A$15)</f>
        <v>0</v>
      </c>
      <c r="BQ347" s="277"/>
      <c r="BR347" s="277"/>
      <c r="BS347" s="277"/>
      <c r="BT347" s="277"/>
      <c r="BU347" s="277"/>
      <c r="BV347" s="277"/>
      <c r="BW347" s="277"/>
      <c r="BX347" s="277"/>
      <c r="BY347" s="278"/>
      <c r="BZ347" s="276">
        <f>SUMIFS('Adv. Filter'!$BJ$1:$BJ$50000,'Adv. Filter'!$BT$1:$BT$50000,"Kiran",'Adv. Filter'!$BQ$1:$BQ$50000,$AY347,'Adv. Filter'!$BH$1:$BH$50000,"Bank",'Adv. Filter'!$BO$1:$BO$50000,"&lt;"&amp;'Adv. Filter'!$A$15)</f>
        <v>0</v>
      </c>
      <c r="CA347" s="277"/>
      <c r="CB347" s="277"/>
      <c r="CC347" s="277"/>
      <c r="CD347" s="277"/>
      <c r="CE347" s="277"/>
      <c r="CF347" s="277"/>
      <c r="CG347" s="277"/>
      <c r="CH347" s="277"/>
      <c r="CI347" s="278"/>
      <c r="CJ347" s="276">
        <f t="shared" si="17"/>
        <v>0</v>
      </c>
      <c r="CK347" s="277"/>
      <c r="CL347" s="277"/>
      <c r="CM347" s="277"/>
      <c r="CN347" s="277"/>
      <c r="CO347" s="277"/>
      <c r="CP347" s="277"/>
      <c r="CQ347" s="277"/>
      <c r="CR347" s="277"/>
      <c r="CS347" s="278"/>
      <c r="CT347" s="44"/>
      <c r="CU347" s="44"/>
      <c r="CV347" s="44"/>
      <c r="CW347" s="44"/>
      <c r="CX347" s="44"/>
      <c r="CY347" s="44"/>
      <c r="CZ347" s="44"/>
    </row>
    <row r="348" spans="1:111" hidden="1">
      <c r="C348" s="308" t="s">
        <v>115</v>
      </c>
      <c r="D348" s="309"/>
      <c r="E348" s="309"/>
      <c r="F348" s="309"/>
      <c r="G348" s="309"/>
      <c r="H348" s="309"/>
      <c r="I348" s="309"/>
      <c r="J348" s="309"/>
      <c r="K348" s="309"/>
      <c r="L348" s="309"/>
      <c r="M348" s="309"/>
      <c r="N348" s="309"/>
      <c r="O348" s="309"/>
      <c r="P348" s="309"/>
      <c r="Q348" s="309"/>
      <c r="R348" s="309"/>
      <c r="S348" s="310"/>
      <c r="T348" s="267">
        <f>SUMIFS('Adv. Filter'!$BJ$1:$BJ$50000,'Adv. Filter'!$BT$1:$BT$50000,"Kiran",'Adv. Filter'!$BQ$1:$BQ$50000,$C347,'Adv. Filter'!$BH$1:$BH$50000,"Cash",'Adv. Filter'!$BO$1:$BO$50000,'Adv. Filter'!$A$14,'Adv. Filter'!$BO$1:$BO$50000,'Adv. Filter'!$B$14,'Adv. Filter'!$BP$1:$BP$50000,"Project")</f>
        <v>0</v>
      </c>
      <c r="U348" s="268"/>
      <c r="V348" s="268"/>
      <c r="W348" s="268"/>
      <c r="X348" s="268"/>
      <c r="Y348" s="268"/>
      <c r="Z348" s="268"/>
      <c r="AA348" s="268"/>
      <c r="AB348" s="268"/>
      <c r="AC348" s="269"/>
      <c r="AD348" s="267">
        <f>SUMIFS('Adv. Filter'!$BJ$1:$BJ$50000,'Adv. Filter'!$BT$1:$BT$50000,"Kiran",'Adv. Filter'!$BQ$1:$BQ$50000,$C347,'Adv. Filter'!$BH$1:$BH$50000,"Bank",'Adv. Filter'!$BO$1:$BO$50000,'Adv. Filter'!$A$14,'Adv. Filter'!$BO$1:$BO$50000,'Adv. Filter'!$B$14,'Adv. Filter'!$BP$1:$BP$50000,"Project")</f>
        <v>0</v>
      </c>
      <c r="AE348" s="268"/>
      <c r="AF348" s="268"/>
      <c r="AG348" s="268"/>
      <c r="AH348" s="268"/>
      <c r="AI348" s="268"/>
      <c r="AJ348" s="268"/>
      <c r="AK348" s="268"/>
      <c r="AL348" s="268"/>
      <c r="AM348" s="269"/>
      <c r="AN348" s="267">
        <f t="shared" si="16"/>
        <v>0</v>
      </c>
      <c r="AO348" s="268"/>
      <c r="AP348" s="268"/>
      <c r="AQ348" s="268"/>
      <c r="AR348" s="268"/>
      <c r="AS348" s="268"/>
      <c r="AT348" s="268"/>
      <c r="AU348" s="268"/>
      <c r="AV348" s="268"/>
      <c r="AW348" s="269"/>
      <c r="AX348" s="22"/>
      <c r="AY348" s="308" t="s">
        <v>115</v>
      </c>
      <c r="AZ348" s="309"/>
      <c r="BA348" s="309"/>
      <c r="BB348" s="309"/>
      <c r="BC348" s="309"/>
      <c r="BD348" s="309"/>
      <c r="BE348" s="309"/>
      <c r="BF348" s="309"/>
      <c r="BG348" s="309"/>
      <c r="BH348" s="309"/>
      <c r="BI348" s="309"/>
      <c r="BJ348" s="309"/>
      <c r="BK348" s="309"/>
      <c r="BL348" s="309"/>
      <c r="BM348" s="309"/>
      <c r="BN348" s="309"/>
      <c r="BO348" s="310"/>
      <c r="BP348" s="267">
        <f>SUMIFS('Adv. Filter'!$BJ$1:$BJ$50000,'Adv. Filter'!$BT$1:$BT$50000,"Kiran",'Adv. Filter'!$BQ$1:$BQ$50000,$AY347,'Adv. Filter'!$BH$1:$BH$50000,"Cash",'Adv. Filter'!$BO$1:$BO$50000,"&lt;"&amp;'Adv. Filter'!$A$15,'Adv. Filter'!$BP$1:$BP$50000,"Project")</f>
        <v>0</v>
      </c>
      <c r="BQ348" s="268"/>
      <c r="BR348" s="268"/>
      <c r="BS348" s="268"/>
      <c r="BT348" s="268"/>
      <c r="BU348" s="268"/>
      <c r="BV348" s="268"/>
      <c r="BW348" s="268"/>
      <c r="BX348" s="268"/>
      <c r="BY348" s="269"/>
      <c r="BZ348" s="267">
        <f>SUMIFS('Adv. Filter'!$BJ$1:$BJ$50000,'Adv. Filter'!$BT$1:$BT$50000,"Kiran",'Adv. Filter'!$BQ$1:$BQ$50000,$AY347,'Adv. Filter'!$BH$1:$BH$50000,"Bank",'Adv. Filter'!$BO$1:$BO$50000,"&lt;"&amp;'Adv. Filter'!$A$15,'Adv. Filter'!$BP$1:$BP$50000,"Project")</f>
        <v>0</v>
      </c>
      <c r="CA348" s="268"/>
      <c r="CB348" s="268"/>
      <c r="CC348" s="268"/>
      <c r="CD348" s="268"/>
      <c r="CE348" s="268"/>
      <c r="CF348" s="268"/>
      <c r="CG348" s="268"/>
      <c r="CH348" s="268"/>
      <c r="CI348" s="269"/>
      <c r="CJ348" s="267">
        <f t="shared" si="17"/>
        <v>0</v>
      </c>
      <c r="CK348" s="268"/>
      <c r="CL348" s="268"/>
      <c r="CM348" s="268"/>
      <c r="CN348" s="268"/>
      <c r="CO348" s="268"/>
      <c r="CP348" s="268"/>
      <c r="CQ348" s="268"/>
      <c r="CR348" s="268"/>
      <c r="CS348" s="269"/>
    </row>
    <row r="349" spans="1:111" hidden="1">
      <c r="C349" s="308" t="s">
        <v>510</v>
      </c>
      <c r="D349" s="309"/>
      <c r="E349" s="309"/>
      <c r="F349" s="309"/>
      <c r="G349" s="309"/>
      <c r="H349" s="309"/>
      <c r="I349" s="309"/>
      <c r="J349" s="309"/>
      <c r="K349" s="309"/>
      <c r="L349" s="309"/>
      <c r="M349" s="309"/>
      <c r="N349" s="309"/>
      <c r="O349" s="309"/>
      <c r="P349" s="309"/>
      <c r="Q349" s="309"/>
      <c r="R349" s="309"/>
      <c r="S349" s="310"/>
      <c r="T349" s="267">
        <v>0</v>
      </c>
      <c r="U349" s="268"/>
      <c r="V349" s="268"/>
      <c r="W349" s="268"/>
      <c r="X349" s="268"/>
      <c r="Y349" s="268"/>
      <c r="Z349" s="268"/>
      <c r="AA349" s="268"/>
      <c r="AB349" s="268"/>
      <c r="AC349" s="269"/>
      <c r="AD349" s="267">
        <v>0</v>
      </c>
      <c r="AE349" s="268"/>
      <c r="AF349" s="268"/>
      <c r="AG349" s="268"/>
      <c r="AH349" s="268"/>
      <c r="AI349" s="268"/>
      <c r="AJ349" s="268"/>
      <c r="AK349" s="268"/>
      <c r="AL349" s="268"/>
      <c r="AM349" s="269"/>
      <c r="AN349" s="267">
        <f t="shared" si="16"/>
        <v>0</v>
      </c>
      <c r="AO349" s="268"/>
      <c r="AP349" s="268"/>
      <c r="AQ349" s="268"/>
      <c r="AR349" s="268"/>
      <c r="AS349" s="268"/>
      <c r="AT349" s="268"/>
      <c r="AU349" s="268"/>
      <c r="AV349" s="268"/>
      <c r="AW349" s="269"/>
      <c r="AX349" s="22"/>
      <c r="AY349" s="308" t="s">
        <v>510</v>
      </c>
      <c r="AZ349" s="309"/>
      <c r="BA349" s="309"/>
      <c r="BB349" s="309"/>
      <c r="BC349" s="309"/>
      <c r="BD349" s="309"/>
      <c r="BE349" s="309"/>
      <c r="BF349" s="309"/>
      <c r="BG349" s="309"/>
      <c r="BH349" s="309"/>
      <c r="BI349" s="309"/>
      <c r="BJ349" s="309"/>
      <c r="BK349" s="309"/>
      <c r="BL349" s="309"/>
      <c r="BM349" s="309"/>
      <c r="BN349" s="309"/>
      <c r="BO349" s="310"/>
      <c r="BP349" s="267"/>
      <c r="BQ349" s="268"/>
      <c r="BR349" s="268"/>
      <c r="BS349" s="268"/>
      <c r="BT349" s="268"/>
      <c r="BU349" s="268"/>
      <c r="BV349" s="268"/>
      <c r="BW349" s="268"/>
      <c r="BX349" s="268"/>
      <c r="BY349" s="269"/>
      <c r="BZ349" s="267"/>
      <c r="CA349" s="268"/>
      <c r="CB349" s="268"/>
      <c r="CC349" s="268"/>
      <c r="CD349" s="268"/>
      <c r="CE349" s="268"/>
      <c r="CF349" s="268"/>
      <c r="CG349" s="268"/>
      <c r="CH349" s="268"/>
      <c r="CI349" s="269"/>
      <c r="CJ349" s="267">
        <f t="shared" si="17"/>
        <v>0</v>
      </c>
      <c r="CK349" s="268"/>
      <c r="CL349" s="268"/>
      <c r="CM349" s="268"/>
      <c r="CN349" s="268"/>
      <c r="CO349" s="268"/>
      <c r="CP349" s="268"/>
      <c r="CQ349" s="268"/>
      <c r="CR349" s="268"/>
      <c r="CS349" s="269"/>
    </row>
    <row r="350" spans="1:111" hidden="1">
      <c r="C350" s="43"/>
      <c r="D350" s="36" t="str">
        <f>IF(AN347=0,C347&amp;" -","")</f>
        <v>SBM -</v>
      </c>
      <c r="E350" s="42"/>
      <c r="F350" s="42"/>
      <c r="G350" s="42"/>
      <c r="H350" s="42"/>
      <c r="I350" s="42"/>
      <c r="J350" s="42"/>
      <c r="K350" s="42"/>
      <c r="L350" s="42"/>
      <c r="M350" s="42"/>
      <c r="N350" s="42"/>
      <c r="O350" s="42"/>
      <c r="P350" s="1"/>
      <c r="Q350" s="42"/>
      <c r="R350" s="41" t="s">
        <v>275</v>
      </c>
      <c r="S350" s="40"/>
      <c r="T350" s="267">
        <f>SUMIFS('Adv. Filter'!$CH$1:$CH$50000,'Adv. Filter'!$CD$1:$CD$50000,"Kiran",'Adv. Filter'!$CE$1:$CE$50000,$C347,'Adv. Filter'!$CC$1:$CC$50000,"Suspense",'Adv. Filter'!$CF$1:$CF$50000,"Cash")</f>
        <v>0</v>
      </c>
      <c r="U350" s="268"/>
      <c r="V350" s="268"/>
      <c r="W350" s="268"/>
      <c r="X350" s="268"/>
      <c r="Y350" s="268"/>
      <c r="Z350" s="268"/>
      <c r="AA350" s="268"/>
      <c r="AB350" s="268"/>
      <c r="AC350" s="269"/>
      <c r="AD350" s="267">
        <f>SUMIFS('Adv. Filter'!$CH$1:$CH$50000,'Adv. Filter'!$CD$1:$CD$50000,"Kiran",'Adv. Filter'!$CE$1:$CE$50000,$C347,'Adv. Filter'!$CC$1:$CC$50000,"Suspense",'Adv. Filter'!$CF$1:$CF$50000,"Bank")</f>
        <v>0</v>
      </c>
      <c r="AE350" s="268"/>
      <c r="AF350" s="268"/>
      <c r="AG350" s="268"/>
      <c r="AH350" s="268"/>
      <c r="AI350" s="268"/>
      <c r="AJ350" s="268"/>
      <c r="AK350" s="268"/>
      <c r="AL350" s="268"/>
      <c r="AM350" s="269"/>
      <c r="AN350" s="267">
        <f t="shared" si="16"/>
        <v>0</v>
      </c>
      <c r="AO350" s="268"/>
      <c r="AP350" s="268"/>
      <c r="AQ350" s="268"/>
      <c r="AR350" s="268"/>
      <c r="AS350" s="268"/>
      <c r="AT350" s="268"/>
      <c r="AU350" s="268"/>
      <c r="AV350" s="268"/>
      <c r="AW350" s="269"/>
      <c r="AX350" s="22"/>
      <c r="AY350" s="43"/>
      <c r="AZ350" s="36" t="str">
        <f>IF(CJ347=0,AY347&amp;" -","")</f>
        <v>SBM -</v>
      </c>
      <c r="BA350" s="42"/>
      <c r="BB350" s="42"/>
      <c r="BC350" s="42"/>
      <c r="BD350" s="42"/>
      <c r="BE350" s="42"/>
      <c r="BF350" s="42"/>
      <c r="BG350" s="42"/>
      <c r="BH350" s="42"/>
      <c r="BI350" s="42"/>
      <c r="BJ350" s="42"/>
      <c r="BK350" s="42"/>
      <c r="BL350" s="1"/>
      <c r="BM350" s="42"/>
      <c r="BN350" s="41" t="s">
        <v>275</v>
      </c>
      <c r="BO350" s="40"/>
      <c r="BP350" s="267"/>
      <c r="BQ350" s="268"/>
      <c r="BR350" s="268"/>
      <c r="BS350" s="268"/>
      <c r="BT350" s="268"/>
      <c r="BU350" s="268"/>
      <c r="BV350" s="268"/>
      <c r="BW350" s="268"/>
      <c r="BX350" s="268"/>
      <c r="BY350" s="269"/>
      <c r="BZ350" s="267"/>
      <c r="CA350" s="268"/>
      <c r="CB350" s="268"/>
      <c r="CC350" s="268"/>
      <c r="CD350" s="268"/>
      <c r="CE350" s="268"/>
      <c r="CF350" s="268"/>
      <c r="CG350" s="268"/>
      <c r="CH350" s="268"/>
      <c r="CI350" s="269"/>
      <c r="CJ350" s="267">
        <f t="shared" si="17"/>
        <v>0</v>
      </c>
      <c r="CK350" s="268"/>
      <c r="CL350" s="268"/>
      <c r="CM350" s="268"/>
      <c r="CN350" s="268"/>
      <c r="CO350" s="268"/>
      <c r="CP350" s="268"/>
      <c r="CQ350" s="268"/>
      <c r="CR350" s="268"/>
      <c r="CS350" s="269"/>
    </row>
    <row r="351" spans="1:111" hidden="1">
      <c r="A351" s="44"/>
      <c r="B351" s="44"/>
      <c r="C351" s="293" t="s">
        <v>116</v>
      </c>
      <c r="D351" s="294"/>
      <c r="E351" s="294"/>
      <c r="F351" s="294"/>
      <c r="G351" s="294"/>
      <c r="H351" s="294"/>
      <c r="I351" s="294"/>
      <c r="J351" s="294"/>
      <c r="K351" s="294"/>
      <c r="L351" s="294"/>
      <c r="M351" s="294"/>
      <c r="N351" s="294"/>
      <c r="O351" s="294"/>
      <c r="P351" s="294"/>
      <c r="Q351" s="294"/>
      <c r="R351" s="294"/>
      <c r="S351" s="295"/>
      <c r="T351" s="276">
        <f>SUMIFS('Adv. Filter'!$BJ$1:$BJ$50000,'Adv. Filter'!$BT$1:$BT$50000,"Kiran",'Adv. Filter'!$BQ$1:$BQ$50000,$C351,'Adv. Filter'!$BH$1:$BH$50000,"Cash",'Adv. Filter'!$BO$1:$BO$50000,'Adv. Filter'!$A$14,'Adv. Filter'!$BO$1:$BO$50000,'Adv. Filter'!$B$14)</f>
        <v>0</v>
      </c>
      <c r="U351" s="277"/>
      <c r="V351" s="277"/>
      <c r="W351" s="277"/>
      <c r="X351" s="277"/>
      <c r="Y351" s="277"/>
      <c r="Z351" s="277"/>
      <c r="AA351" s="277"/>
      <c r="AB351" s="277"/>
      <c r="AC351" s="278"/>
      <c r="AD351" s="276">
        <f>SUMIFS('Adv. Filter'!$BJ$1:$BJ$50000,'Adv. Filter'!$BT$1:$BT$50000,"Kiran",'Adv. Filter'!$BQ$1:$BQ$50000,$C351,'Adv. Filter'!$BH$1:$BH$50000,"Bank",'Adv. Filter'!$BO$1:$BO$50000,'Adv. Filter'!$A$14,'Adv. Filter'!$BO$1:$BO$50000,'Adv. Filter'!$B$14)</f>
        <v>0</v>
      </c>
      <c r="AE351" s="277"/>
      <c r="AF351" s="277"/>
      <c r="AG351" s="277"/>
      <c r="AH351" s="277"/>
      <c r="AI351" s="277"/>
      <c r="AJ351" s="277"/>
      <c r="AK351" s="277"/>
      <c r="AL351" s="277"/>
      <c r="AM351" s="278"/>
      <c r="AN351" s="276">
        <f t="shared" si="16"/>
        <v>0</v>
      </c>
      <c r="AO351" s="277"/>
      <c r="AP351" s="277"/>
      <c r="AQ351" s="277"/>
      <c r="AR351" s="277"/>
      <c r="AS351" s="277"/>
      <c r="AT351" s="277"/>
      <c r="AU351" s="277"/>
      <c r="AV351" s="277"/>
      <c r="AW351" s="278"/>
      <c r="AX351" s="45"/>
      <c r="AY351" s="293" t="s">
        <v>116</v>
      </c>
      <c r="AZ351" s="294"/>
      <c r="BA351" s="294"/>
      <c r="BB351" s="294"/>
      <c r="BC351" s="294"/>
      <c r="BD351" s="294"/>
      <c r="BE351" s="294"/>
      <c r="BF351" s="294"/>
      <c r="BG351" s="294"/>
      <c r="BH351" s="294"/>
      <c r="BI351" s="294"/>
      <c r="BJ351" s="294"/>
      <c r="BK351" s="294"/>
      <c r="BL351" s="294"/>
      <c r="BM351" s="294"/>
      <c r="BN351" s="294"/>
      <c r="BO351" s="295"/>
      <c r="BP351" s="276">
        <f>SUMIFS('Adv. Filter'!$BJ$1:$BJ$50000,'Adv. Filter'!$BT$1:$BT$50000,"Kiran",'Adv. Filter'!$BQ$1:$BQ$50000,$AY351,'Adv. Filter'!$BH$1:$BH$50000,"Cash",'Adv. Filter'!$BO$1:$BO$50000,"&lt;"&amp;'Adv. Filter'!$A$15)</f>
        <v>0</v>
      </c>
      <c r="BQ351" s="277"/>
      <c r="BR351" s="277"/>
      <c r="BS351" s="277"/>
      <c r="BT351" s="277"/>
      <c r="BU351" s="277"/>
      <c r="BV351" s="277"/>
      <c r="BW351" s="277"/>
      <c r="BX351" s="277"/>
      <c r="BY351" s="278"/>
      <c r="BZ351" s="276">
        <f>SUMIFS('Adv. Filter'!$BJ$1:$BJ$50000,'Adv. Filter'!$BT$1:$BT$50000,"Kiran",'Adv. Filter'!$BQ$1:$BQ$50000,$AY351,'Adv. Filter'!$BH$1:$BH$50000,"Bank",'Adv. Filter'!$BO$1:$BO$50000,"&lt;"&amp;'Adv. Filter'!$A$15)</f>
        <v>0</v>
      </c>
      <c r="CA351" s="277"/>
      <c r="CB351" s="277"/>
      <c r="CC351" s="277"/>
      <c r="CD351" s="277"/>
      <c r="CE351" s="277"/>
      <c r="CF351" s="277"/>
      <c r="CG351" s="277"/>
      <c r="CH351" s="277"/>
      <c r="CI351" s="278"/>
      <c r="CJ351" s="276">
        <f t="shared" si="17"/>
        <v>0</v>
      </c>
      <c r="CK351" s="277"/>
      <c r="CL351" s="277"/>
      <c r="CM351" s="277"/>
      <c r="CN351" s="277"/>
      <c r="CO351" s="277"/>
      <c r="CP351" s="277"/>
      <c r="CQ351" s="277"/>
      <c r="CR351" s="277"/>
      <c r="CS351" s="278"/>
      <c r="CT351" s="44"/>
      <c r="CU351" s="44"/>
      <c r="CV351" s="44"/>
      <c r="CW351" s="44"/>
      <c r="CX351" s="44"/>
      <c r="CY351" s="44"/>
      <c r="CZ351" s="44"/>
    </row>
    <row r="352" spans="1:111" hidden="1">
      <c r="C352" s="308" t="s">
        <v>115</v>
      </c>
      <c r="D352" s="309"/>
      <c r="E352" s="309"/>
      <c r="F352" s="309"/>
      <c r="G352" s="309"/>
      <c r="H352" s="309"/>
      <c r="I352" s="309"/>
      <c r="J352" s="309"/>
      <c r="K352" s="309"/>
      <c r="L352" s="309"/>
      <c r="M352" s="309"/>
      <c r="N352" s="309"/>
      <c r="O352" s="309"/>
      <c r="P352" s="309"/>
      <c r="Q352" s="309"/>
      <c r="R352" s="309"/>
      <c r="S352" s="310"/>
      <c r="T352" s="267">
        <f>SUMIFS('Adv. Filter'!$BJ$1:$BJ$50000,'Adv. Filter'!$BT$1:$BT$50000,"Kiran",'Adv. Filter'!$BQ$1:$BQ$50000,$C351,'Adv. Filter'!$BH$1:$BH$50000,"Cash",'Adv. Filter'!$BO$1:$BO$50000,'Adv. Filter'!$A$14,'Adv. Filter'!$BO$1:$BO$50000,'Adv. Filter'!$B$14,'Adv. Filter'!$BP$1:$BP$50000,"Project")</f>
        <v>0</v>
      </c>
      <c r="U352" s="268"/>
      <c r="V352" s="268"/>
      <c r="W352" s="268"/>
      <c r="X352" s="268"/>
      <c r="Y352" s="268"/>
      <c r="Z352" s="268"/>
      <c r="AA352" s="268"/>
      <c r="AB352" s="268"/>
      <c r="AC352" s="269"/>
      <c r="AD352" s="267">
        <f>SUMIFS('Adv. Filter'!$BJ$1:$BJ$50000,'Adv. Filter'!$BT$1:$BT$50000,"Kiran",'Adv. Filter'!$BQ$1:$BQ$50000,$C351,'Adv. Filter'!$BH$1:$BH$50000,"Bank",'Adv. Filter'!$BO$1:$BO$50000,'Adv. Filter'!$A$14,'Adv. Filter'!$BO$1:$BO$50000,'Adv. Filter'!$B$14,'Adv. Filter'!$BP$1:$BP$50000,"Project")</f>
        <v>0</v>
      </c>
      <c r="AE352" s="268"/>
      <c r="AF352" s="268"/>
      <c r="AG352" s="268"/>
      <c r="AH352" s="268"/>
      <c r="AI352" s="268"/>
      <c r="AJ352" s="268"/>
      <c r="AK352" s="268"/>
      <c r="AL352" s="268"/>
      <c r="AM352" s="269"/>
      <c r="AN352" s="267">
        <f t="shared" si="16"/>
        <v>0</v>
      </c>
      <c r="AO352" s="268"/>
      <c r="AP352" s="268"/>
      <c r="AQ352" s="268"/>
      <c r="AR352" s="268"/>
      <c r="AS352" s="268"/>
      <c r="AT352" s="268"/>
      <c r="AU352" s="268"/>
      <c r="AV352" s="268"/>
      <c r="AW352" s="269"/>
      <c r="AX352" s="22"/>
      <c r="AY352" s="308" t="s">
        <v>115</v>
      </c>
      <c r="AZ352" s="309"/>
      <c r="BA352" s="309"/>
      <c r="BB352" s="309"/>
      <c r="BC352" s="309"/>
      <c r="BD352" s="309"/>
      <c r="BE352" s="309"/>
      <c r="BF352" s="309"/>
      <c r="BG352" s="309"/>
      <c r="BH352" s="309"/>
      <c r="BI352" s="309"/>
      <c r="BJ352" s="309"/>
      <c r="BK352" s="309"/>
      <c r="BL352" s="309"/>
      <c r="BM352" s="309"/>
      <c r="BN352" s="309"/>
      <c r="BO352" s="310"/>
      <c r="BP352" s="267">
        <f>SUMIFS('Adv. Filter'!$BJ$1:$BJ$50000,'Adv. Filter'!$BT$1:$BT$50000,"Kiran",'Adv. Filter'!$BQ$1:$BQ$50000,$AY351,'Adv. Filter'!$BH$1:$BH$50000,"Cash",'Adv. Filter'!$BO$1:$BO$50000,"&lt;"&amp;'Adv. Filter'!$A$15,'Adv. Filter'!$BP$1:$BP$50000,"Project")</f>
        <v>0</v>
      </c>
      <c r="BQ352" s="268"/>
      <c r="BR352" s="268"/>
      <c r="BS352" s="268"/>
      <c r="BT352" s="268"/>
      <c r="BU352" s="268"/>
      <c r="BV352" s="268"/>
      <c r="BW352" s="268"/>
      <c r="BX352" s="268"/>
      <c r="BY352" s="269"/>
      <c r="BZ352" s="267">
        <f>SUMIFS('Adv. Filter'!$BJ$1:$BJ$50000,'Adv. Filter'!$BT$1:$BT$50000,"Kiran",'Adv. Filter'!$BQ$1:$BQ$50000,$AY351,'Adv. Filter'!$BH$1:$BH$50000,"Bank",'Adv. Filter'!$BO$1:$BO$50000,"&lt;"&amp;'Adv. Filter'!$A$15,'Adv. Filter'!$BP$1:$BP$50000,"Project")</f>
        <v>0</v>
      </c>
      <c r="CA352" s="268"/>
      <c r="CB352" s="268"/>
      <c r="CC352" s="268"/>
      <c r="CD352" s="268"/>
      <c r="CE352" s="268"/>
      <c r="CF352" s="268"/>
      <c r="CG352" s="268"/>
      <c r="CH352" s="268"/>
      <c r="CI352" s="269"/>
      <c r="CJ352" s="267">
        <f t="shared" si="17"/>
        <v>0</v>
      </c>
      <c r="CK352" s="268"/>
      <c r="CL352" s="268"/>
      <c r="CM352" s="268"/>
      <c r="CN352" s="268"/>
      <c r="CO352" s="268"/>
      <c r="CP352" s="268"/>
      <c r="CQ352" s="268"/>
      <c r="CR352" s="268"/>
      <c r="CS352" s="269"/>
    </row>
    <row r="353" spans="1:104" hidden="1">
      <c r="C353" s="308" t="s">
        <v>510</v>
      </c>
      <c r="D353" s="309"/>
      <c r="E353" s="309"/>
      <c r="F353" s="309"/>
      <c r="G353" s="309"/>
      <c r="H353" s="309"/>
      <c r="I353" s="309"/>
      <c r="J353" s="309"/>
      <c r="K353" s="309"/>
      <c r="L353" s="309"/>
      <c r="M353" s="309"/>
      <c r="N353" s="309"/>
      <c r="O353" s="309"/>
      <c r="P353" s="309"/>
      <c r="Q353" s="309"/>
      <c r="R353" s="309"/>
      <c r="S353" s="310"/>
      <c r="T353" s="267">
        <v>0</v>
      </c>
      <c r="U353" s="268"/>
      <c r="V353" s="268"/>
      <c r="W353" s="268"/>
      <c r="X353" s="268"/>
      <c r="Y353" s="268"/>
      <c r="Z353" s="268"/>
      <c r="AA353" s="268"/>
      <c r="AB353" s="268"/>
      <c r="AC353" s="269"/>
      <c r="AD353" s="267">
        <v>0</v>
      </c>
      <c r="AE353" s="268"/>
      <c r="AF353" s="268"/>
      <c r="AG353" s="268"/>
      <c r="AH353" s="268"/>
      <c r="AI353" s="268"/>
      <c r="AJ353" s="268"/>
      <c r="AK353" s="268"/>
      <c r="AL353" s="268"/>
      <c r="AM353" s="269"/>
      <c r="AN353" s="267">
        <f t="shared" si="16"/>
        <v>0</v>
      </c>
      <c r="AO353" s="268"/>
      <c r="AP353" s="268"/>
      <c r="AQ353" s="268"/>
      <c r="AR353" s="268"/>
      <c r="AS353" s="268"/>
      <c r="AT353" s="268"/>
      <c r="AU353" s="268"/>
      <c r="AV353" s="268"/>
      <c r="AW353" s="269"/>
      <c r="AX353" s="22"/>
      <c r="AY353" s="308" t="s">
        <v>510</v>
      </c>
      <c r="AZ353" s="309"/>
      <c r="BA353" s="309"/>
      <c r="BB353" s="309"/>
      <c r="BC353" s="309"/>
      <c r="BD353" s="309"/>
      <c r="BE353" s="309"/>
      <c r="BF353" s="309"/>
      <c r="BG353" s="309"/>
      <c r="BH353" s="309"/>
      <c r="BI353" s="309"/>
      <c r="BJ353" s="309"/>
      <c r="BK353" s="309"/>
      <c r="BL353" s="309"/>
      <c r="BM353" s="309"/>
      <c r="BN353" s="309"/>
      <c r="BO353" s="310"/>
      <c r="BP353" s="267"/>
      <c r="BQ353" s="268"/>
      <c r="BR353" s="268"/>
      <c r="BS353" s="268"/>
      <c r="BT353" s="268"/>
      <c r="BU353" s="268"/>
      <c r="BV353" s="268"/>
      <c r="BW353" s="268"/>
      <c r="BX353" s="268"/>
      <c r="BY353" s="269"/>
      <c r="BZ353" s="267"/>
      <c r="CA353" s="268"/>
      <c r="CB353" s="268"/>
      <c r="CC353" s="268"/>
      <c r="CD353" s="268"/>
      <c r="CE353" s="268"/>
      <c r="CF353" s="268"/>
      <c r="CG353" s="268"/>
      <c r="CH353" s="268"/>
      <c r="CI353" s="269"/>
      <c r="CJ353" s="267">
        <f t="shared" si="17"/>
        <v>0</v>
      </c>
      <c r="CK353" s="268"/>
      <c r="CL353" s="268"/>
      <c r="CM353" s="268"/>
      <c r="CN353" s="268"/>
      <c r="CO353" s="268"/>
      <c r="CP353" s="268"/>
      <c r="CQ353" s="268"/>
      <c r="CR353" s="268"/>
      <c r="CS353" s="269"/>
    </row>
    <row r="354" spans="1:104" hidden="1">
      <c r="C354" s="43"/>
      <c r="D354" s="36" t="str">
        <f>IF(AN351=0,C351&amp;" -","")</f>
        <v>SBP -</v>
      </c>
      <c r="E354" s="42"/>
      <c r="F354" s="42"/>
      <c r="G354" s="42"/>
      <c r="H354" s="42"/>
      <c r="I354" s="42"/>
      <c r="J354" s="42"/>
      <c r="K354" s="42"/>
      <c r="L354" s="42"/>
      <c r="M354" s="42"/>
      <c r="N354" s="42"/>
      <c r="O354" s="42"/>
      <c r="P354" s="1"/>
      <c r="Q354" s="42"/>
      <c r="R354" s="41" t="s">
        <v>275</v>
      </c>
      <c r="S354" s="40"/>
      <c r="T354" s="267">
        <f>SUMIFS('Adv. Filter'!$CH$1:$CH$50000,'Adv. Filter'!$CD$1:$CD$50000,"Kiran",'Adv. Filter'!$CE$1:$CE$50000,$C351,'Adv. Filter'!$CC$1:$CC$50000,"Suspense",'Adv. Filter'!$CF$1:$CF$50000,"Cash")</f>
        <v>0</v>
      </c>
      <c r="U354" s="268"/>
      <c r="V354" s="268"/>
      <c r="W354" s="268"/>
      <c r="X354" s="268"/>
      <c r="Y354" s="268"/>
      <c r="Z354" s="268"/>
      <c r="AA354" s="268"/>
      <c r="AB354" s="268"/>
      <c r="AC354" s="269"/>
      <c r="AD354" s="267">
        <f>SUMIFS('Adv. Filter'!$CH$1:$CH$50000,'Adv. Filter'!$CD$1:$CD$50000,"Kiran",'Adv. Filter'!$CE$1:$CE$50000,$C351,'Adv. Filter'!$CC$1:$CC$50000,"Suspense",'Adv. Filter'!$CF$1:$CF$50000,"Bank")</f>
        <v>0</v>
      </c>
      <c r="AE354" s="268"/>
      <c r="AF354" s="268"/>
      <c r="AG354" s="268"/>
      <c r="AH354" s="268"/>
      <c r="AI354" s="268"/>
      <c r="AJ354" s="268"/>
      <c r="AK354" s="268"/>
      <c r="AL354" s="268"/>
      <c r="AM354" s="269"/>
      <c r="AN354" s="267">
        <f t="shared" si="16"/>
        <v>0</v>
      </c>
      <c r="AO354" s="268"/>
      <c r="AP354" s="268"/>
      <c r="AQ354" s="268"/>
      <c r="AR354" s="268"/>
      <c r="AS354" s="268"/>
      <c r="AT354" s="268"/>
      <c r="AU354" s="268"/>
      <c r="AV354" s="268"/>
      <c r="AW354" s="269"/>
      <c r="AX354" s="22"/>
      <c r="AY354" s="43"/>
      <c r="AZ354" s="36" t="str">
        <f>IF(CJ351=0,AY351&amp;" -","")</f>
        <v>SBP -</v>
      </c>
      <c r="BA354" s="42"/>
      <c r="BB354" s="42"/>
      <c r="BC354" s="42"/>
      <c r="BD354" s="42"/>
      <c r="BE354" s="42"/>
      <c r="BF354" s="42"/>
      <c r="BG354" s="42"/>
      <c r="BH354" s="42"/>
      <c r="BI354" s="42"/>
      <c r="BJ354" s="42"/>
      <c r="BK354" s="42"/>
      <c r="BL354" s="1"/>
      <c r="BM354" s="42"/>
      <c r="BN354" s="41" t="s">
        <v>275</v>
      </c>
      <c r="BO354" s="40"/>
      <c r="BP354" s="267"/>
      <c r="BQ354" s="268"/>
      <c r="BR354" s="268"/>
      <c r="BS354" s="268"/>
      <c r="BT354" s="268"/>
      <c r="BU354" s="268"/>
      <c r="BV354" s="268"/>
      <c r="BW354" s="268"/>
      <c r="BX354" s="268"/>
      <c r="BY354" s="269"/>
      <c r="BZ354" s="267"/>
      <c r="CA354" s="268"/>
      <c r="CB354" s="268"/>
      <c r="CC354" s="268"/>
      <c r="CD354" s="268"/>
      <c r="CE354" s="268"/>
      <c r="CF354" s="268"/>
      <c r="CG354" s="268"/>
      <c r="CH354" s="268"/>
      <c r="CI354" s="269"/>
      <c r="CJ354" s="267">
        <f t="shared" si="17"/>
        <v>0</v>
      </c>
      <c r="CK354" s="268"/>
      <c r="CL354" s="268"/>
      <c r="CM354" s="268"/>
      <c r="CN354" s="268"/>
      <c r="CO354" s="268"/>
      <c r="CP354" s="268"/>
      <c r="CQ354" s="268"/>
      <c r="CR354" s="268"/>
      <c r="CS354" s="269"/>
    </row>
    <row r="355" spans="1:104" hidden="1">
      <c r="A355" s="44"/>
      <c r="B355" s="44"/>
      <c r="C355" s="293" t="s">
        <v>119</v>
      </c>
      <c r="D355" s="294"/>
      <c r="E355" s="294"/>
      <c r="F355" s="294"/>
      <c r="G355" s="294"/>
      <c r="H355" s="294"/>
      <c r="I355" s="294"/>
      <c r="J355" s="294"/>
      <c r="K355" s="294"/>
      <c r="L355" s="294"/>
      <c r="M355" s="294"/>
      <c r="N355" s="294"/>
      <c r="O355" s="294"/>
      <c r="P355" s="294"/>
      <c r="Q355" s="294"/>
      <c r="R355" s="294"/>
      <c r="S355" s="295"/>
      <c r="T355" s="276">
        <f>SUMIFS('Adv. Filter'!$BJ$1:$BJ$50000,'Adv. Filter'!$BT$1:$BT$50000,"Kiran",'Adv. Filter'!$BQ$1:$BQ$50000,$C355,'Adv. Filter'!$BH$1:$BH$50000,"Cash",'Adv. Filter'!$BO$1:$BO$50000,'Adv. Filter'!$A$14,'Adv. Filter'!$BO$1:$BO$50000,'Adv. Filter'!$B$14)</f>
        <v>0</v>
      </c>
      <c r="U355" s="277"/>
      <c r="V355" s="277"/>
      <c r="W355" s="277"/>
      <c r="X355" s="277"/>
      <c r="Y355" s="277"/>
      <c r="Z355" s="277"/>
      <c r="AA355" s="277"/>
      <c r="AB355" s="277"/>
      <c r="AC355" s="278"/>
      <c r="AD355" s="276">
        <f>SUMIFS('Adv. Filter'!$BJ$1:$BJ$50000,'Adv. Filter'!$BT$1:$BT$50000,"Kiran",'Adv. Filter'!$BQ$1:$BQ$50000,$C355,'Adv. Filter'!$BH$1:$BH$50000,"Bank",'Adv. Filter'!$BO$1:$BO$50000,'Adv. Filter'!$A$14,'Adv. Filter'!$BO$1:$BO$50000,'Adv. Filter'!$B$14)</f>
        <v>0</v>
      </c>
      <c r="AE355" s="277"/>
      <c r="AF355" s="277"/>
      <c r="AG355" s="277"/>
      <c r="AH355" s="277"/>
      <c r="AI355" s="277"/>
      <c r="AJ355" s="277"/>
      <c r="AK355" s="277"/>
      <c r="AL355" s="277"/>
      <c r="AM355" s="278"/>
      <c r="AN355" s="276">
        <f t="shared" si="16"/>
        <v>0</v>
      </c>
      <c r="AO355" s="277"/>
      <c r="AP355" s="277"/>
      <c r="AQ355" s="277"/>
      <c r="AR355" s="277"/>
      <c r="AS355" s="277"/>
      <c r="AT355" s="277"/>
      <c r="AU355" s="277"/>
      <c r="AV355" s="277"/>
      <c r="AW355" s="278"/>
      <c r="AX355" s="45"/>
      <c r="AY355" s="293" t="s">
        <v>119</v>
      </c>
      <c r="AZ355" s="294"/>
      <c r="BA355" s="294"/>
      <c r="BB355" s="294"/>
      <c r="BC355" s="294"/>
      <c r="BD355" s="294"/>
      <c r="BE355" s="294"/>
      <c r="BF355" s="294"/>
      <c r="BG355" s="294"/>
      <c r="BH355" s="294"/>
      <c r="BI355" s="294"/>
      <c r="BJ355" s="294"/>
      <c r="BK355" s="294"/>
      <c r="BL355" s="294"/>
      <c r="BM355" s="294"/>
      <c r="BN355" s="294"/>
      <c r="BO355" s="295"/>
      <c r="BP355" s="276">
        <f>SUMIFS('Adv. Filter'!$BJ$1:$BJ$50000,'Adv. Filter'!$BT$1:$BT$50000,"Kiran",'Adv. Filter'!$BQ$1:$BQ$50000,$AY355,'Adv. Filter'!$BH$1:$BH$50000,"Cash",'Adv. Filter'!$BO$1:$BO$50000,"&lt;"&amp;'Adv. Filter'!$A$15)</f>
        <v>0</v>
      </c>
      <c r="BQ355" s="277"/>
      <c r="BR355" s="277"/>
      <c r="BS355" s="277"/>
      <c r="BT355" s="277"/>
      <c r="BU355" s="277"/>
      <c r="BV355" s="277"/>
      <c r="BW355" s="277"/>
      <c r="BX355" s="277"/>
      <c r="BY355" s="278"/>
      <c r="BZ355" s="276">
        <f>SUMIFS('Adv. Filter'!$BJ$1:$BJ$50000,'Adv. Filter'!$BT$1:$BT$50000,"Kiran",'Adv. Filter'!$BQ$1:$BQ$50000,$AY355,'Adv. Filter'!$BH$1:$BH$50000,"Bank",'Adv. Filter'!$BO$1:$BO$50000,"&lt;"&amp;'Adv. Filter'!$A$15)</f>
        <v>0</v>
      </c>
      <c r="CA355" s="277"/>
      <c r="CB355" s="277"/>
      <c r="CC355" s="277"/>
      <c r="CD355" s="277"/>
      <c r="CE355" s="277"/>
      <c r="CF355" s="277"/>
      <c r="CG355" s="277"/>
      <c r="CH355" s="277"/>
      <c r="CI355" s="278"/>
      <c r="CJ355" s="276">
        <f t="shared" si="17"/>
        <v>0</v>
      </c>
      <c r="CK355" s="277"/>
      <c r="CL355" s="277"/>
      <c r="CM355" s="277"/>
      <c r="CN355" s="277"/>
      <c r="CO355" s="277"/>
      <c r="CP355" s="277"/>
      <c r="CQ355" s="277"/>
      <c r="CR355" s="277"/>
      <c r="CS355" s="278"/>
      <c r="CT355" s="44"/>
      <c r="CU355" s="44"/>
      <c r="CV355" s="44"/>
      <c r="CW355" s="44"/>
      <c r="CX355" s="44"/>
      <c r="CY355" s="44"/>
      <c r="CZ355" s="44"/>
    </row>
    <row r="356" spans="1:104" hidden="1">
      <c r="C356" s="308" t="s">
        <v>115</v>
      </c>
      <c r="D356" s="309"/>
      <c r="E356" s="309"/>
      <c r="F356" s="309"/>
      <c r="G356" s="309"/>
      <c r="H356" s="309"/>
      <c r="I356" s="309"/>
      <c r="J356" s="309"/>
      <c r="K356" s="309"/>
      <c r="L356" s="309"/>
      <c r="M356" s="309"/>
      <c r="N356" s="309"/>
      <c r="O356" s="309"/>
      <c r="P356" s="309"/>
      <c r="Q356" s="309"/>
      <c r="R356" s="309"/>
      <c r="S356" s="310"/>
      <c r="T356" s="267">
        <f>SUMIFS('Adv. Filter'!$BJ$1:$BJ$50000,'Adv. Filter'!$BT$1:$BT$50000,"Kiran",'Adv. Filter'!$BQ$1:$BQ$50000,$C355,'Adv. Filter'!$BH$1:$BH$50000,"Cash",'Adv. Filter'!$BO$1:$BO$50000,'Adv. Filter'!$A$14,'Adv. Filter'!$BO$1:$BO$50000,'Adv. Filter'!$B$14,'Adv. Filter'!$BP$1:$BP$50000,"Project")</f>
        <v>0</v>
      </c>
      <c r="U356" s="268"/>
      <c r="V356" s="268"/>
      <c r="W356" s="268"/>
      <c r="X356" s="268"/>
      <c r="Y356" s="268"/>
      <c r="Z356" s="268"/>
      <c r="AA356" s="268"/>
      <c r="AB356" s="268"/>
      <c r="AC356" s="269"/>
      <c r="AD356" s="267">
        <f>SUMIFS('Adv. Filter'!$BJ$1:$BJ$50000,'Adv. Filter'!$BT$1:$BT$50000,"Kiran",'Adv. Filter'!$BQ$1:$BQ$50000,$C355,'Adv. Filter'!$BH$1:$BH$50000,"Bank",'Adv. Filter'!$BO$1:$BO$50000,'Adv. Filter'!$A$14,'Adv. Filter'!$BO$1:$BO$50000,'Adv. Filter'!$B$14,'Adv. Filter'!$BP$1:$BP$50000,"Project")</f>
        <v>0</v>
      </c>
      <c r="AE356" s="268"/>
      <c r="AF356" s="268"/>
      <c r="AG356" s="268"/>
      <c r="AH356" s="268"/>
      <c r="AI356" s="268"/>
      <c r="AJ356" s="268"/>
      <c r="AK356" s="268"/>
      <c r="AL356" s="268"/>
      <c r="AM356" s="269"/>
      <c r="AN356" s="267">
        <f t="shared" si="16"/>
        <v>0</v>
      </c>
      <c r="AO356" s="268"/>
      <c r="AP356" s="268"/>
      <c r="AQ356" s="268"/>
      <c r="AR356" s="268"/>
      <c r="AS356" s="268"/>
      <c r="AT356" s="268"/>
      <c r="AU356" s="268"/>
      <c r="AV356" s="268"/>
      <c r="AW356" s="269"/>
      <c r="AX356" s="22"/>
      <c r="AY356" s="308" t="s">
        <v>115</v>
      </c>
      <c r="AZ356" s="309"/>
      <c r="BA356" s="309"/>
      <c r="BB356" s="309"/>
      <c r="BC356" s="309"/>
      <c r="BD356" s="309"/>
      <c r="BE356" s="309"/>
      <c r="BF356" s="309"/>
      <c r="BG356" s="309"/>
      <c r="BH356" s="309"/>
      <c r="BI356" s="309"/>
      <c r="BJ356" s="309"/>
      <c r="BK356" s="309"/>
      <c r="BL356" s="309"/>
      <c r="BM356" s="309"/>
      <c r="BN356" s="309"/>
      <c r="BO356" s="310"/>
      <c r="BP356" s="267">
        <f>SUMIFS('Adv. Filter'!$BJ$1:$BJ$50000,'Adv. Filter'!$BT$1:$BT$50000,"Kiran",'Adv. Filter'!$BQ$1:$BQ$50000,$AY355,'Adv. Filter'!$BH$1:$BH$50000,"Cash",'Adv. Filter'!$BO$1:$BO$50000,"&lt;"&amp;'Adv. Filter'!$A$15,'Adv. Filter'!$BP$1:$BP$50000,"Project")</f>
        <v>0</v>
      </c>
      <c r="BQ356" s="268"/>
      <c r="BR356" s="268"/>
      <c r="BS356" s="268"/>
      <c r="BT356" s="268"/>
      <c r="BU356" s="268"/>
      <c r="BV356" s="268"/>
      <c r="BW356" s="268"/>
      <c r="BX356" s="268"/>
      <c r="BY356" s="269"/>
      <c r="BZ356" s="267">
        <f>SUMIFS('Adv. Filter'!$BJ$1:$BJ$50000,'Adv. Filter'!$BT$1:$BT$50000,"Kiran",'Adv. Filter'!$BQ$1:$BQ$50000,$AY355,'Adv. Filter'!$BH$1:$BH$50000,"Bank",'Adv. Filter'!$BO$1:$BO$50000,"&lt;"&amp;'Adv. Filter'!$A$15,'Adv. Filter'!$BP$1:$BP$50000,"Project")</f>
        <v>0</v>
      </c>
      <c r="CA356" s="268"/>
      <c r="CB356" s="268"/>
      <c r="CC356" s="268"/>
      <c r="CD356" s="268"/>
      <c r="CE356" s="268"/>
      <c r="CF356" s="268"/>
      <c r="CG356" s="268"/>
      <c r="CH356" s="268"/>
      <c r="CI356" s="269"/>
      <c r="CJ356" s="267">
        <f t="shared" si="17"/>
        <v>0</v>
      </c>
      <c r="CK356" s="268"/>
      <c r="CL356" s="268"/>
      <c r="CM356" s="268"/>
      <c r="CN356" s="268"/>
      <c r="CO356" s="268"/>
      <c r="CP356" s="268"/>
      <c r="CQ356" s="268"/>
      <c r="CR356" s="268"/>
      <c r="CS356" s="269"/>
    </row>
    <row r="357" spans="1:104" hidden="1">
      <c r="C357" s="308" t="s">
        <v>510</v>
      </c>
      <c r="D357" s="309"/>
      <c r="E357" s="309"/>
      <c r="F357" s="309"/>
      <c r="G357" s="309"/>
      <c r="H357" s="309"/>
      <c r="I357" s="309"/>
      <c r="J357" s="309"/>
      <c r="K357" s="309"/>
      <c r="L357" s="309"/>
      <c r="M357" s="309"/>
      <c r="N357" s="309"/>
      <c r="O357" s="309"/>
      <c r="P357" s="309"/>
      <c r="Q357" s="309"/>
      <c r="R357" s="309"/>
      <c r="S357" s="310"/>
      <c r="T357" s="267">
        <v>0</v>
      </c>
      <c r="U357" s="268"/>
      <c r="V357" s="268"/>
      <c r="W357" s="268"/>
      <c r="X357" s="268"/>
      <c r="Y357" s="268"/>
      <c r="Z357" s="268"/>
      <c r="AA357" s="268"/>
      <c r="AB357" s="268"/>
      <c r="AC357" s="269"/>
      <c r="AD357" s="267">
        <v>0</v>
      </c>
      <c r="AE357" s="268"/>
      <c r="AF357" s="268"/>
      <c r="AG357" s="268"/>
      <c r="AH357" s="268"/>
      <c r="AI357" s="268"/>
      <c r="AJ357" s="268"/>
      <c r="AK357" s="268"/>
      <c r="AL357" s="268"/>
      <c r="AM357" s="269"/>
      <c r="AN357" s="267">
        <f t="shared" si="16"/>
        <v>0</v>
      </c>
      <c r="AO357" s="268"/>
      <c r="AP357" s="268"/>
      <c r="AQ357" s="268"/>
      <c r="AR357" s="268"/>
      <c r="AS357" s="268"/>
      <c r="AT357" s="268"/>
      <c r="AU357" s="268"/>
      <c r="AV357" s="268"/>
      <c r="AW357" s="269"/>
      <c r="AX357" s="22"/>
      <c r="AY357" s="308" t="s">
        <v>510</v>
      </c>
      <c r="AZ357" s="309"/>
      <c r="BA357" s="309"/>
      <c r="BB357" s="309"/>
      <c r="BC357" s="309"/>
      <c r="BD357" s="309"/>
      <c r="BE357" s="309"/>
      <c r="BF357" s="309"/>
      <c r="BG357" s="309"/>
      <c r="BH357" s="309"/>
      <c r="BI357" s="309"/>
      <c r="BJ357" s="309"/>
      <c r="BK357" s="309"/>
      <c r="BL357" s="309"/>
      <c r="BM357" s="309"/>
      <c r="BN357" s="309"/>
      <c r="BO357" s="310"/>
      <c r="BP357" s="267"/>
      <c r="BQ357" s="268"/>
      <c r="BR357" s="268"/>
      <c r="BS357" s="268"/>
      <c r="BT357" s="268"/>
      <c r="BU357" s="268"/>
      <c r="BV357" s="268"/>
      <c r="BW357" s="268"/>
      <c r="BX357" s="268"/>
      <c r="BY357" s="269"/>
      <c r="BZ357" s="267"/>
      <c r="CA357" s="268"/>
      <c r="CB357" s="268"/>
      <c r="CC357" s="268"/>
      <c r="CD357" s="268"/>
      <c r="CE357" s="268"/>
      <c r="CF357" s="268"/>
      <c r="CG357" s="268"/>
      <c r="CH357" s="268"/>
      <c r="CI357" s="269"/>
      <c r="CJ357" s="267">
        <f t="shared" si="17"/>
        <v>0</v>
      </c>
      <c r="CK357" s="268"/>
      <c r="CL357" s="268"/>
      <c r="CM357" s="268"/>
      <c r="CN357" s="268"/>
      <c r="CO357" s="268"/>
      <c r="CP357" s="268"/>
      <c r="CQ357" s="268"/>
      <c r="CR357" s="268"/>
      <c r="CS357" s="269"/>
    </row>
    <row r="358" spans="1:104" hidden="1">
      <c r="C358" s="43"/>
      <c r="D358" s="36" t="str">
        <f>IF(AN355=0,C355&amp;" -","")</f>
        <v>SBT -</v>
      </c>
      <c r="E358" s="42"/>
      <c r="F358" s="42"/>
      <c r="G358" s="42"/>
      <c r="H358" s="42"/>
      <c r="I358" s="42"/>
      <c r="J358" s="42"/>
      <c r="K358" s="42"/>
      <c r="L358" s="42"/>
      <c r="M358" s="42"/>
      <c r="N358" s="42"/>
      <c r="O358" s="42"/>
      <c r="P358" s="1"/>
      <c r="Q358" s="42"/>
      <c r="R358" s="41" t="s">
        <v>275</v>
      </c>
      <c r="S358" s="40"/>
      <c r="T358" s="267">
        <f>SUMIFS('Adv. Filter'!$CH$1:$CH$50000,'Adv. Filter'!$CD$1:$CD$50000,"Kiran",'Adv. Filter'!$CE$1:$CE$50000,$C355,'Adv. Filter'!$CC$1:$CC$50000,"Suspense",'Adv. Filter'!$CF$1:$CF$50000,"Cash")</f>
        <v>0</v>
      </c>
      <c r="U358" s="268"/>
      <c r="V358" s="268"/>
      <c r="W358" s="268"/>
      <c r="X358" s="268"/>
      <c r="Y358" s="268"/>
      <c r="Z358" s="268"/>
      <c r="AA358" s="268"/>
      <c r="AB358" s="268"/>
      <c r="AC358" s="269"/>
      <c r="AD358" s="267">
        <f>SUMIFS('Adv. Filter'!$CH$1:$CH$50000,'Adv. Filter'!$CD$1:$CD$50000,"Kiran",'Adv. Filter'!$CE$1:$CE$50000,$C355,'Adv. Filter'!$CC$1:$CC$50000,"Suspense",'Adv. Filter'!$CF$1:$CF$50000,"Bank")</f>
        <v>0</v>
      </c>
      <c r="AE358" s="268"/>
      <c r="AF358" s="268"/>
      <c r="AG358" s="268"/>
      <c r="AH358" s="268"/>
      <c r="AI358" s="268"/>
      <c r="AJ358" s="268"/>
      <c r="AK358" s="268"/>
      <c r="AL358" s="268"/>
      <c r="AM358" s="269"/>
      <c r="AN358" s="267">
        <f t="shared" si="16"/>
        <v>0</v>
      </c>
      <c r="AO358" s="268"/>
      <c r="AP358" s="268"/>
      <c r="AQ358" s="268"/>
      <c r="AR358" s="268"/>
      <c r="AS358" s="268"/>
      <c r="AT358" s="268"/>
      <c r="AU358" s="268"/>
      <c r="AV358" s="268"/>
      <c r="AW358" s="269"/>
      <c r="AX358" s="22"/>
      <c r="AY358" s="43"/>
      <c r="AZ358" s="36" t="str">
        <f>IF(CJ355=0,AY355&amp;" -","")</f>
        <v>SBT -</v>
      </c>
      <c r="BA358" s="42"/>
      <c r="BB358" s="42"/>
      <c r="BC358" s="42"/>
      <c r="BD358" s="42"/>
      <c r="BE358" s="42"/>
      <c r="BF358" s="42"/>
      <c r="BG358" s="42"/>
      <c r="BH358" s="42"/>
      <c r="BI358" s="42"/>
      <c r="BJ358" s="42"/>
      <c r="BK358" s="42"/>
      <c r="BL358" s="1"/>
      <c r="BM358" s="42"/>
      <c r="BN358" s="41" t="s">
        <v>275</v>
      </c>
      <c r="BO358" s="40"/>
      <c r="BP358" s="267"/>
      <c r="BQ358" s="268"/>
      <c r="BR358" s="268"/>
      <c r="BS358" s="268"/>
      <c r="BT358" s="268"/>
      <c r="BU358" s="268"/>
      <c r="BV358" s="268"/>
      <c r="BW358" s="268"/>
      <c r="BX358" s="268"/>
      <c r="BY358" s="269"/>
      <c r="BZ358" s="267"/>
      <c r="CA358" s="268"/>
      <c r="CB358" s="268"/>
      <c r="CC358" s="268"/>
      <c r="CD358" s="268"/>
      <c r="CE358" s="268"/>
      <c r="CF358" s="268"/>
      <c r="CG358" s="268"/>
      <c r="CH358" s="268"/>
      <c r="CI358" s="269"/>
      <c r="CJ358" s="267">
        <f t="shared" si="17"/>
        <v>0</v>
      </c>
      <c r="CK358" s="268"/>
      <c r="CL358" s="268"/>
      <c r="CM358" s="268"/>
      <c r="CN358" s="268"/>
      <c r="CO358" s="268"/>
      <c r="CP358" s="268"/>
      <c r="CQ358" s="268"/>
      <c r="CR358" s="268"/>
      <c r="CS358" s="269"/>
    </row>
    <row r="359" spans="1:104" hidden="1">
      <c r="A359" s="44"/>
      <c r="B359" s="44"/>
      <c r="C359" s="293" t="s">
        <v>92</v>
      </c>
      <c r="D359" s="294"/>
      <c r="E359" s="294"/>
      <c r="F359" s="294"/>
      <c r="G359" s="294"/>
      <c r="H359" s="294"/>
      <c r="I359" s="294"/>
      <c r="J359" s="294"/>
      <c r="K359" s="294"/>
      <c r="L359" s="294"/>
      <c r="M359" s="294"/>
      <c r="N359" s="294"/>
      <c r="O359" s="294"/>
      <c r="P359" s="294"/>
      <c r="Q359" s="294"/>
      <c r="R359" s="294"/>
      <c r="S359" s="295"/>
      <c r="T359" s="276">
        <f>SUMIFS('Adv. Filter'!$BJ$1:$BJ$50000,'Adv. Filter'!$BT$1:$BT$50000,"Kiran",'Adv. Filter'!$BQ$1:$BQ$50000,$C359,'Adv. Filter'!$BH$1:$BH$50000,"Cash",'Adv. Filter'!$BO$1:$BO$50000,'Adv. Filter'!$A$14,'Adv. Filter'!$BO$1:$BO$50000,'Adv. Filter'!$B$14)</f>
        <v>0</v>
      </c>
      <c r="U359" s="277"/>
      <c r="V359" s="277"/>
      <c r="W359" s="277"/>
      <c r="X359" s="277"/>
      <c r="Y359" s="277"/>
      <c r="Z359" s="277"/>
      <c r="AA359" s="277"/>
      <c r="AB359" s="277"/>
      <c r="AC359" s="278"/>
      <c r="AD359" s="276">
        <f>SUMIFS('Adv. Filter'!$BJ$1:$BJ$50000,'Adv. Filter'!$BT$1:$BT$50000,"Kiran",'Adv. Filter'!$BQ$1:$BQ$50000,$C359,'Adv. Filter'!$BH$1:$BH$50000,"Bank",'Adv. Filter'!$BO$1:$BO$50000,'Adv. Filter'!$A$14,'Adv. Filter'!$BO$1:$BO$50000,'Adv. Filter'!$B$14)</f>
        <v>0</v>
      </c>
      <c r="AE359" s="277"/>
      <c r="AF359" s="277"/>
      <c r="AG359" s="277"/>
      <c r="AH359" s="277"/>
      <c r="AI359" s="277"/>
      <c r="AJ359" s="277"/>
      <c r="AK359" s="277"/>
      <c r="AL359" s="277"/>
      <c r="AM359" s="278"/>
      <c r="AN359" s="276">
        <f t="shared" si="16"/>
        <v>0</v>
      </c>
      <c r="AO359" s="277"/>
      <c r="AP359" s="277"/>
      <c r="AQ359" s="277"/>
      <c r="AR359" s="277"/>
      <c r="AS359" s="277"/>
      <c r="AT359" s="277"/>
      <c r="AU359" s="277"/>
      <c r="AV359" s="277"/>
      <c r="AW359" s="278"/>
      <c r="AX359" s="45"/>
      <c r="AY359" s="293" t="s">
        <v>92</v>
      </c>
      <c r="AZ359" s="294"/>
      <c r="BA359" s="294"/>
      <c r="BB359" s="294"/>
      <c r="BC359" s="294"/>
      <c r="BD359" s="294"/>
      <c r="BE359" s="294"/>
      <c r="BF359" s="294"/>
      <c r="BG359" s="294"/>
      <c r="BH359" s="294"/>
      <c r="BI359" s="294"/>
      <c r="BJ359" s="294"/>
      <c r="BK359" s="294"/>
      <c r="BL359" s="294"/>
      <c r="BM359" s="294"/>
      <c r="BN359" s="294"/>
      <c r="BO359" s="295"/>
      <c r="BP359" s="276">
        <f>SUMIFS('Adv. Filter'!$BJ$1:$BJ$50000,'Adv. Filter'!$BT$1:$BT$50000,"Kiran",'Adv. Filter'!$BQ$1:$BQ$50000,$AY359,'Adv. Filter'!$BH$1:$BH$50000,"Cash",'Adv. Filter'!$BO$1:$BO$50000,"&lt;"&amp;'Adv. Filter'!$A$15)</f>
        <v>0</v>
      </c>
      <c r="BQ359" s="277"/>
      <c r="BR359" s="277"/>
      <c r="BS359" s="277"/>
      <c r="BT359" s="277"/>
      <c r="BU359" s="277"/>
      <c r="BV359" s="277"/>
      <c r="BW359" s="277"/>
      <c r="BX359" s="277"/>
      <c r="BY359" s="278"/>
      <c r="BZ359" s="276">
        <f>SUMIFS('Adv. Filter'!$BJ$1:$BJ$50000,'Adv. Filter'!$BT$1:$BT$50000,"Kiran",'Adv. Filter'!$BQ$1:$BQ$50000,$AY359,'Adv. Filter'!$BH$1:$BH$50000,"Bank",'Adv. Filter'!$BO$1:$BO$50000,"&lt;"&amp;'Adv. Filter'!$A$15)</f>
        <v>0</v>
      </c>
      <c r="CA359" s="277"/>
      <c r="CB359" s="277"/>
      <c r="CC359" s="277"/>
      <c r="CD359" s="277"/>
      <c r="CE359" s="277"/>
      <c r="CF359" s="277"/>
      <c r="CG359" s="277"/>
      <c r="CH359" s="277"/>
      <c r="CI359" s="278"/>
      <c r="CJ359" s="276">
        <f t="shared" si="17"/>
        <v>0</v>
      </c>
      <c r="CK359" s="277"/>
      <c r="CL359" s="277"/>
      <c r="CM359" s="277"/>
      <c r="CN359" s="277"/>
      <c r="CO359" s="277"/>
      <c r="CP359" s="277"/>
      <c r="CQ359" s="277"/>
      <c r="CR359" s="277"/>
      <c r="CS359" s="278"/>
      <c r="CT359" s="44"/>
      <c r="CU359" s="44"/>
      <c r="CV359" s="44"/>
      <c r="CW359" s="44"/>
      <c r="CX359" s="44"/>
      <c r="CY359" s="44"/>
      <c r="CZ359" s="44"/>
    </row>
    <row r="360" spans="1:104" hidden="1">
      <c r="C360" s="308" t="s">
        <v>115</v>
      </c>
      <c r="D360" s="309"/>
      <c r="E360" s="309"/>
      <c r="F360" s="309"/>
      <c r="G360" s="309"/>
      <c r="H360" s="309"/>
      <c r="I360" s="309"/>
      <c r="J360" s="309"/>
      <c r="K360" s="309"/>
      <c r="L360" s="309"/>
      <c r="M360" s="309"/>
      <c r="N360" s="309"/>
      <c r="O360" s="309"/>
      <c r="P360" s="309"/>
      <c r="Q360" s="309"/>
      <c r="R360" s="309"/>
      <c r="S360" s="310"/>
      <c r="T360" s="267">
        <f>SUMIFS('Adv. Filter'!$BJ$1:$BJ$50000,'Adv. Filter'!$BT$1:$BT$50000,"Kiran",'Adv. Filter'!$BQ$1:$BQ$50000,$C359,'Adv. Filter'!$BH$1:$BH$50000,"Cash",'Adv. Filter'!$BO$1:$BO$50000,'Adv. Filter'!$A$14,'Adv. Filter'!$BO$1:$BO$50000,'Adv. Filter'!$B$14,'Adv. Filter'!$BP$1:$BP$50000,"Project")</f>
        <v>0</v>
      </c>
      <c r="U360" s="268"/>
      <c r="V360" s="268"/>
      <c r="W360" s="268"/>
      <c r="X360" s="268"/>
      <c r="Y360" s="268"/>
      <c r="Z360" s="268"/>
      <c r="AA360" s="268"/>
      <c r="AB360" s="268"/>
      <c r="AC360" s="269"/>
      <c r="AD360" s="267">
        <f>SUMIFS('Adv. Filter'!$BJ$1:$BJ$50000,'Adv. Filter'!$BT$1:$BT$50000,"Kiran",'Adv. Filter'!$BQ$1:$BQ$50000,$C359,'Adv. Filter'!$BH$1:$BH$50000,"Bank",'Adv. Filter'!$BO$1:$BO$50000,'Adv. Filter'!$A$14,'Adv. Filter'!$BO$1:$BO$50000,'Adv. Filter'!$B$14,'Adv. Filter'!$BP$1:$BP$50000,"Project")</f>
        <v>0</v>
      </c>
      <c r="AE360" s="268"/>
      <c r="AF360" s="268"/>
      <c r="AG360" s="268"/>
      <c r="AH360" s="268"/>
      <c r="AI360" s="268"/>
      <c r="AJ360" s="268"/>
      <c r="AK360" s="268"/>
      <c r="AL360" s="268"/>
      <c r="AM360" s="269"/>
      <c r="AN360" s="267">
        <f t="shared" si="16"/>
        <v>0</v>
      </c>
      <c r="AO360" s="268"/>
      <c r="AP360" s="268"/>
      <c r="AQ360" s="268"/>
      <c r="AR360" s="268"/>
      <c r="AS360" s="268"/>
      <c r="AT360" s="268"/>
      <c r="AU360" s="268"/>
      <c r="AV360" s="268"/>
      <c r="AW360" s="269"/>
      <c r="AX360" s="22"/>
      <c r="AY360" s="308" t="s">
        <v>115</v>
      </c>
      <c r="AZ360" s="309"/>
      <c r="BA360" s="309"/>
      <c r="BB360" s="309"/>
      <c r="BC360" s="309"/>
      <c r="BD360" s="309"/>
      <c r="BE360" s="309"/>
      <c r="BF360" s="309"/>
      <c r="BG360" s="309"/>
      <c r="BH360" s="309"/>
      <c r="BI360" s="309"/>
      <c r="BJ360" s="309"/>
      <c r="BK360" s="309"/>
      <c r="BL360" s="309"/>
      <c r="BM360" s="309"/>
      <c r="BN360" s="309"/>
      <c r="BO360" s="310"/>
      <c r="BP360" s="267">
        <f>SUMIFS('Adv. Filter'!$BJ$1:$BJ$50000,'Adv. Filter'!$BT$1:$BT$50000,"Kiran",'Adv. Filter'!$BQ$1:$BQ$50000,$AY359,'Adv. Filter'!$BH$1:$BH$50000,"Cash",'Adv. Filter'!$BO$1:$BO$50000,"&lt;"&amp;'Adv. Filter'!$A$15,'Adv. Filter'!$BP$1:$BP$50000,"Project")</f>
        <v>0</v>
      </c>
      <c r="BQ360" s="268"/>
      <c r="BR360" s="268"/>
      <c r="BS360" s="268"/>
      <c r="BT360" s="268"/>
      <c r="BU360" s="268"/>
      <c r="BV360" s="268"/>
      <c r="BW360" s="268"/>
      <c r="BX360" s="268"/>
      <c r="BY360" s="269"/>
      <c r="BZ360" s="267">
        <f>SUMIFS('Adv. Filter'!$BJ$1:$BJ$50000,'Adv. Filter'!$BT$1:$BT$50000,"Kiran",'Adv. Filter'!$BQ$1:$BQ$50000,$AY359,'Adv. Filter'!$BH$1:$BH$50000,"Bank",'Adv. Filter'!$BO$1:$BO$50000,"&lt;"&amp;'Adv. Filter'!$A$15,'Adv. Filter'!$BP$1:$BP$50000,"Project")</f>
        <v>0</v>
      </c>
      <c r="CA360" s="268"/>
      <c r="CB360" s="268"/>
      <c r="CC360" s="268"/>
      <c r="CD360" s="268"/>
      <c r="CE360" s="268"/>
      <c r="CF360" s="268"/>
      <c r="CG360" s="268"/>
      <c r="CH360" s="268"/>
      <c r="CI360" s="269"/>
      <c r="CJ360" s="267">
        <f t="shared" si="17"/>
        <v>0</v>
      </c>
      <c r="CK360" s="268"/>
      <c r="CL360" s="268"/>
      <c r="CM360" s="268"/>
      <c r="CN360" s="268"/>
      <c r="CO360" s="268"/>
      <c r="CP360" s="268"/>
      <c r="CQ360" s="268"/>
      <c r="CR360" s="268"/>
      <c r="CS360" s="269"/>
    </row>
    <row r="361" spans="1:104" hidden="1">
      <c r="C361" s="308" t="s">
        <v>510</v>
      </c>
      <c r="D361" s="309"/>
      <c r="E361" s="309"/>
      <c r="F361" s="309"/>
      <c r="G361" s="309"/>
      <c r="H361" s="309"/>
      <c r="I361" s="309"/>
      <c r="J361" s="309"/>
      <c r="K361" s="309"/>
      <c r="L361" s="309"/>
      <c r="M361" s="309"/>
      <c r="N361" s="309"/>
      <c r="O361" s="309"/>
      <c r="P361" s="309"/>
      <c r="Q361" s="309"/>
      <c r="R361" s="309"/>
      <c r="S361" s="310"/>
      <c r="T361" s="267">
        <v>0</v>
      </c>
      <c r="U361" s="268"/>
      <c r="V361" s="268"/>
      <c r="W361" s="268"/>
      <c r="X361" s="268"/>
      <c r="Y361" s="268"/>
      <c r="Z361" s="268"/>
      <c r="AA361" s="268"/>
      <c r="AB361" s="268"/>
      <c r="AC361" s="269"/>
      <c r="AD361" s="267">
        <v>0</v>
      </c>
      <c r="AE361" s="268"/>
      <c r="AF361" s="268"/>
      <c r="AG361" s="268"/>
      <c r="AH361" s="268"/>
      <c r="AI361" s="268"/>
      <c r="AJ361" s="268"/>
      <c r="AK361" s="268"/>
      <c r="AL361" s="268"/>
      <c r="AM361" s="269"/>
      <c r="AN361" s="267">
        <f t="shared" si="16"/>
        <v>0</v>
      </c>
      <c r="AO361" s="268"/>
      <c r="AP361" s="268"/>
      <c r="AQ361" s="268"/>
      <c r="AR361" s="268"/>
      <c r="AS361" s="268"/>
      <c r="AT361" s="268"/>
      <c r="AU361" s="268"/>
      <c r="AV361" s="268"/>
      <c r="AW361" s="269"/>
      <c r="AX361" s="22"/>
      <c r="AY361" s="308" t="s">
        <v>510</v>
      </c>
      <c r="AZ361" s="309"/>
      <c r="BA361" s="309"/>
      <c r="BB361" s="309"/>
      <c r="BC361" s="309"/>
      <c r="BD361" s="309"/>
      <c r="BE361" s="309"/>
      <c r="BF361" s="309"/>
      <c r="BG361" s="309"/>
      <c r="BH361" s="309"/>
      <c r="BI361" s="309"/>
      <c r="BJ361" s="309"/>
      <c r="BK361" s="309"/>
      <c r="BL361" s="309"/>
      <c r="BM361" s="309"/>
      <c r="BN361" s="309"/>
      <c r="BO361" s="310"/>
      <c r="BP361" s="267"/>
      <c r="BQ361" s="268"/>
      <c r="BR361" s="268"/>
      <c r="BS361" s="268"/>
      <c r="BT361" s="268"/>
      <c r="BU361" s="268"/>
      <c r="BV361" s="268"/>
      <c r="BW361" s="268"/>
      <c r="BX361" s="268"/>
      <c r="BY361" s="269"/>
      <c r="BZ361" s="267"/>
      <c r="CA361" s="268"/>
      <c r="CB361" s="268"/>
      <c r="CC361" s="268"/>
      <c r="CD361" s="268"/>
      <c r="CE361" s="268"/>
      <c r="CF361" s="268"/>
      <c r="CG361" s="268"/>
      <c r="CH361" s="268"/>
      <c r="CI361" s="269"/>
      <c r="CJ361" s="267">
        <f t="shared" si="17"/>
        <v>0</v>
      </c>
      <c r="CK361" s="268"/>
      <c r="CL361" s="268"/>
      <c r="CM361" s="268"/>
      <c r="CN361" s="268"/>
      <c r="CO361" s="268"/>
      <c r="CP361" s="268"/>
      <c r="CQ361" s="268"/>
      <c r="CR361" s="268"/>
      <c r="CS361" s="269"/>
    </row>
    <row r="362" spans="1:104" hidden="1">
      <c r="C362" s="43"/>
      <c r="D362" s="36" t="str">
        <f>IF(AN359=0,C359&amp;" -","")</f>
        <v>Syndicate -</v>
      </c>
      <c r="E362" s="42"/>
      <c r="F362" s="42"/>
      <c r="G362" s="42"/>
      <c r="H362" s="42"/>
      <c r="I362" s="42"/>
      <c r="J362" s="42"/>
      <c r="K362" s="42"/>
      <c r="L362" s="42"/>
      <c r="M362" s="42"/>
      <c r="N362" s="42"/>
      <c r="O362" s="42"/>
      <c r="P362" s="1"/>
      <c r="Q362" s="42"/>
      <c r="R362" s="41" t="s">
        <v>275</v>
      </c>
      <c r="S362" s="40"/>
      <c r="T362" s="267">
        <f>SUMIFS('Adv. Filter'!$CH$1:$CH$50000,'Adv. Filter'!$CD$1:$CD$50000,"Kiran",'Adv. Filter'!$CE$1:$CE$50000,$C359,'Adv. Filter'!$CC$1:$CC$50000,"Suspense",'Adv. Filter'!$CF$1:$CF$50000,"Cash")</f>
        <v>0</v>
      </c>
      <c r="U362" s="268"/>
      <c r="V362" s="268"/>
      <c r="W362" s="268"/>
      <c r="X362" s="268"/>
      <c r="Y362" s="268"/>
      <c r="Z362" s="268"/>
      <c r="AA362" s="268"/>
      <c r="AB362" s="268"/>
      <c r="AC362" s="269"/>
      <c r="AD362" s="267">
        <f>SUMIFS('Adv. Filter'!$CH$1:$CH$50000,'Adv. Filter'!$CD$1:$CD$50000,"Kiran",'Adv. Filter'!$CE$1:$CE$50000,$C359,'Adv. Filter'!$CC$1:$CC$50000,"Suspense",'Adv. Filter'!$CF$1:$CF$50000,"Bank")</f>
        <v>0</v>
      </c>
      <c r="AE362" s="268"/>
      <c r="AF362" s="268"/>
      <c r="AG362" s="268"/>
      <c r="AH362" s="268"/>
      <c r="AI362" s="268"/>
      <c r="AJ362" s="268"/>
      <c r="AK362" s="268"/>
      <c r="AL362" s="268"/>
      <c r="AM362" s="269"/>
      <c r="AN362" s="267">
        <f t="shared" si="16"/>
        <v>0</v>
      </c>
      <c r="AO362" s="268"/>
      <c r="AP362" s="268"/>
      <c r="AQ362" s="268"/>
      <c r="AR362" s="268"/>
      <c r="AS362" s="268"/>
      <c r="AT362" s="268"/>
      <c r="AU362" s="268"/>
      <c r="AV362" s="268"/>
      <c r="AW362" s="269"/>
      <c r="AX362" s="22"/>
      <c r="AY362" s="43"/>
      <c r="AZ362" s="36" t="str">
        <f>IF(CJ359=0,AY359&amp;" -","")</f>
        <v>Syndicate -</v>
      </c>
      <c r="BA362" s="42"/>
      <c r="BB362" s="42"/>
      <c r="BC362" s="42"/>
      <c r="BD362" s="42"/>
      <c r="BE362" s="42"/>
      <c r="BF362" s="42"/>
      <c r="BG362" s="42"/>
      <c r="BH362" s="42"/>
      <c r="BI362" s="42"/>
      <c r="BJ362" s="42"/>
      <c r="BK362" s="42"/>
      <c r="BL362" s="1"/>
      <c r="BM362" s="42"/>
      <c r="BN362" s="41" t="s">
        <v>275</v>
      </c>
      <c r="BO362" s="40"/>
      <c r="BP362" s="267"/>
      <c r="BQ362" s="268"/>
      <c r="BR362" s="268"/>
      <c r="BS362" s="268"/>
      <c r="BT362" s="268"/>
      <c r="BU362" s="268"/>
      <c r="BV362" s="268"/>
      <c r="BW362" s="268"/>
      <c r="BX362" s="268"/>
      <c r="BY362" s="269"/>
      <c r="BZ362" s="267"/>
      <c r="CA362" s="268"/>
      <c r="CB362" s="268"/>
      <c r="CC362" s="268"/>
      <c r="CD362" s="268"/>
      <c r="CE362" s="268"/>
      <c r="CF362" s="268"/>
      <c r="CG362" s="268"/>
      <c r="CH362" s="268"/>
      <c r="CI362" s="269"/>
      <c r="CJ362" s="267">
        <f t="shared" si="17"/>
        <v>0</v>
      </c>
      <c r="CK362" s="268"/>
      <c r="CL362" s="268"/>
      <c r="CM362" s="268"/>
      <c r="CN362" s="268"/>
      <c r="CO362" s="268"/>
      <c r="CP362" s="268"/>
      <c r="CQ362" s="268"/>
      <c r="CR362" s="268"/>
      <c r="CS362" s="269"/>
    </row>
    <row r="363" spans="1:104" hidden="1">
      <c r="A363" s="44"/>
      <c r="B363" s="44"/>
      <c r="C363" s="293" t="s">
        <v>97</v>
      </c>
      <c r="D363" s="294"/>
      <c r="E363" s="294"/>
      <c r="F363" s="294"/>
      <c r="G363" s="294"/>
      <c r="H363" s="294"/>
      <c r="I363" s="294"/>
      <c r="J363" s="294"/>
      <c r="K363" s="294"/>
      <c r="L363" s="294"/>
      <c r="M363" s="294"/>
      <c r="N363" s="294"/>
      <c r="O363" s="294"/>
      <c r="P363" s="294"/>
      <c r="Q363" s="294"/>
      <c r="R363" s="294"/>
      <c r="S363" s="295"/>
      <c r="T363" s="276">
        <f>SUMIFS('Adv. Filter'!$BJ$1:$BJ$50000,'Adv. Filter'!$BT$1:$BT$50000,"Kiran",'Adv. Filter'!$BQ$1:$BQ$50000,$C363,'Adv. Filter'!$BH$1:$BH$50000,"Cash",'Adv. Filter'!$BO$1:$BO$50000,'Adv. Filter'!$A$14,'Adv. Filter'!$BO$1:$BO$50000,'Adv. Filter'!$B$14)</f>
        <v>0</v>
      </c>
      <c r="U363" s="277"/>
      <c r="V363" s="277"/>
      <c r="W363" s="277"/>
      <c r="X363" s="277"/>
      <c r="Y363" s="277"/>
      <c r="Z363" s="277"/>
      <c r="AA363" s="277"/>
      <c r="AB363" s="277"/>
      <c r="AC363" s="278"/>
      <c r="AD363" s="276">
        <f>SUMIFS('Adv. Filter'!$BJ$1:$BJ$50000,'Adv. Filter'!$BT$1:$BT$50000,"Kiran",'Adv. Filter'!$BQ$1:$BQ$50000,$C363,'Adv. Filter'!$BH$1:$BH$50000,"Bank",'Adv. Filter'!$BO$1:$BO$50000,'Adv. Filter'!$A$14,'Adv. Filter'!$BO$1:$BO$50000,'Adv. Filter'!$B$14)</f>
        <v>0</v>
      </c>
      <c r="AE363" s="277"/>
      <c r="AF363" s="277"/>
      <c r="AG363" s="277"/>
      <c r="AH363" s="277"/>
      <c r="AI363" s="277"/>
      <c r="AJ363" s="277"/>
      <c r="AK363" s="277"/>
      <c r="AL363" s="277"/>
      <c r="AM363" s="278"/>
      <c r="AN363" s="276">
        <f t="shared" si="16"/>
        <v>0</v>
      </c>
      <c r="AO363" s="277"/>
      <c r="AP363" s="277"/>
      <c r="AQ363" s="277"/>
      <c r="AR363" s="277"/>
      <c r="AS363" s="277"/>
      <c r="AT363" s="277"/>
      <c r="AU363" s="277"/>
      <c r="AV363" s="277"/>
      <c r="AW363" s="278"/>
      <c r="AX363" s="45"/>
      <c r="AY363" s="293" t="s">
        <v>97</v>
      </c>
      <c r="AZ363" s="294"/>
      <c r="BA363" s="294"/>
      <c r="BB363" s="294"/>
      <c r="BC363" s="294"/>
      <c r="BD363" s="294"/>
      <c r="BE363" s="294"/>
      <c r="BF363" s="294"/>
      <c r="BG363" s="294"/>
      <c r="BH363" s="294"/>
      <c r="BI363" s="294"/>
      <c r="BJ363" s="294"/>
      <c r="BK363" s="294"/>
      <c r="BL363" s="294"/>
      <c r="BM363" s="294"/>
      <c r="BN363" s="294"/>
      <c r="BO363" s="295"/>
      <c r="BP363" s="276">
        <f>SUMIFS('Adv. Filter'!$BJ$1:$BJ$50000,'Adv. Filter'!$BT$1:$BT$50000,"Kiran",'Adv. Filter'!$BQ$1:$BQ$50000,$AY363,'Adv. Filter'!$BH$1:$BH$50000,"Cash",'Adv. Filter'!$BO$1:$BO$50000,"&lt;"&amp;'Adv. Filter'!$A$15)</f>
        <v>0</v>
      </c>
      <c r="BQ363" s="277"/>
      <c r="BR363" s="277"/>
      <c r="BS363" s="277"/>
      <c r="BT363" s="277"/>
      <c r="BU363" s="277"/>
      <c r="BV363" s="277"/>
      <c r="BW363" s="277"/>
      <c r="BX363" s="277"/>
      <c r="BY363" s="278"/>
      <c r="BZ363" s="276">
        <f>SUMIFS('Adv. Filter'!$BJ$1:$BJ$50000,'Adv. Filter'!$BT$1:$BT$50000,"Kiran",'Adv. Filter'!$BQ$1:$BQ$50000,$AY363,'Adv. Filter'!$BH$1:$BH$50000,"Bank",'Adv. Filter'!$BO$1:$BO$50000,"&lt;"&amp;'Adv. Filter'!$A$15)</f>
        <v>0</v>
      </c>
      <c r="CA363" s="277"/>
      <c r="CB363" s="277"/>
      <c r="CC363" s="277"/>
      <c r="CD363" s="277"/>
      <c r="CE363" s="277"/>
      <c r="CF363" s="277"/>
      <c r="CG363" s="277"/>
      <c r="CH363" s="277"/>
      <c r="CI363" s="278"/>
      <c r="CJ363" s="276">
        <f t="shared" si="17"/>
        <v>0</v>
      </c>
      <c r="CK363" s="277"/>
      <c r="CL363" s="277"/>
      <c r="CM363" s="277"/>
      <c r="CN363" s="277"/>
      <c r="CO363" s="277"/>
      <c r="CP363" s="277"/>
      <c r="CQ363" s="277"/>
      <c r="CR363" s="277"/>
      <c r="CS363" s="278"/>
      <c r="CT363" s="44"/>
      <c r="CU363" s="44"/>
      <c r="CV363" s="44"/>
      <c r="CW363" s="44"/>
      <c r="CX363" s="44"/>
      <c r="CY363" s="44"/>
      <c r="CZ363" s="44"/>
    </row>
    <row r="364" spans="1:104" hidden="1">
      <c r="C364" s="308" t="s">
        <v>115</v>
      </c>
      <c r="D364" s="309"/>
      <c r="E364" s="309"/>
      <c r="F364" s="309"/>
      <c r="G364" s="309"/>
      <c r="H364" s="309"/>
      <c r="I364" s="309"/>
      <c r="J364" s="309"/>
      <c r="K364" s="309"/>
      <c r="L364" s="309"/>
      <c r="M364" s="309"/>
      <c r="N364" s="309"/>
      <c r="O364" s="309"/>
      <c r="P364" s="309"/>
      <c r="Q364" s="309"/>
      <c r="R364" s="309"/>
      <c r="S364" s="310"/>
      <c r="T364" s="267">
        <f>SUMIFS('Adv. Filter'!$BJ$1:$BJ$50000,'Adv. Filter'!$BT$1:$BT$50000,"Kiran",'Adv. Filter'!$BQ$1:$BQ$50000,$C363,'Adv. Filter'!$BH$1:$BH$50000,"Cash",'Adv. Filter'!$BO$1:$BO$50000,'Adv. Filter'!$A$14,'Adv. Filter'!$BO$1:$BO$50000,'Adv. Filter'!$B$14,'Adv. Filter'!$BP$1:$BP$50000,"Project")</f>
        <v>0</v>
      </c>
      <c r="U364" s="268"/>
      <c r="V364" s="268"/>
      <c r="W364" s="268"/>
      <c r="X364" s="268"/>
      <c r="Y364" s="268"/>
      <c r="Z364" s="268"/>
      <c r="AA364" s="268"/>
      <c r="AB364" s="268"/>
      <c r="AC364" s="269"/>
      <c r="AD364" s="267">
        <f>SUMIFS('Adv. Filter'!$BJ$1:$BJ$50000,'Adv. Filter'!$BT$1:$BT$50000,"Kiran",'Adv. Filter'!$BQ$1:$BQ$50000,$C363,'Adv. Filter'!$BH$1:$BH$50000,"Bank",'Adv. Filter'!$BO$1:$BO$50000,'Adv. Filter'!$A$14,'Adv. Filter'!$BO$1:$BO$50000,'Adv. Filter'!$B$14,'Adv. Filter'!$BP$1:$BP$50000,"Project")</f>
        <v>0</v>
      </c>
      <c r="AE364" s="268"/>
      <c r="AF364" s="268"/>
      <c r="AG364" s="268"/>
      <c r="AH364" s="268"/>
      <c r="AI364" s="268"/>
      <c r="AJ364" s="268"/>
      <c r="AK364" s="268"/>
      <c r="AL364" s="268"/>
      <c r="AM364" s="269"/>
      <c r="AN364" s="267">
        <f t="shared" si="16"/>
        <v>0</v>
      </c>
      <c r="AO364" s="268"/>
      <c r="AP364" s="268"/>
      <c r="AQ364" s="268"/>
      <c r="AR364" s="268"/>
      <c r="AS364" s="268"/>
      <c r="AT364" s="268"/>
      <c r="AU364" s="268"/>
      <c r="AV364" s="268"/>
      <c r="AW364" s="269"/>
      <c r="AX364" s="22"/>
      <c r="AY364" s="308" t="s">
        <v>115</v>
      </c>
      <c r="AZ364" s="309"/>
      <c r="BA364" s="309"/>
      <c r="BB364" s="309"/>
      <c r="BC364" s="309"/>
      <c r="BD364" s="309"/>
      <c r="BE364" s="309"/>
      <c r="BF364" s="309"/>
      <c r="BG364" s="309"/>
      <c r="BH364" s="309"/>
      <c r="BI364" s="309"/>
      <c r="BJ364" s="309"/>
      <c r="BK364" s="309"/>
      <c r="BL364" s="309"/>
      <c r="BM364" s="309"/>
      <c r="BN364" s="309"/>
      <c r="BO364" s="310"/>
      <c r="BP364" s="267">
        <f>SUMIFS('Adv. Filter'!$BJ$1:$BJ$50000,'Adv. Filter'!$BT$1:$BT$50000,"Kiran",'Adv. Filter'!$BQ$1:$BQ$50000,$AY363,'Adv. Filter'!$BH$1:$BH$50000,"Cash",'Adv. Filter'!$BO$1:$BO$50000,"&lt;"&amp;'Adv. Filter'!$A$15,'Adv. Filter'!$BP$1:$BP$50000,"Project")</f>
        <v>0</v>
      </c>
      <c r="BQ364" s="268"/>
      <c r="BR364" s="268"/>
      <c r="BS364" s="268"/>
      <c r="BT364" s="268"/>
      <c r="BU364" s="268"/>
      <c r="BV364" s="268"/>
      <c r="BW364" s="268"/>
      <c r="BX364" s="268"/>
      <c r="BY364" s="269"/>
      <c r="BZ364" s="267">
        <f>SUMIFS('Adv. Filter'!$BJ$1:$BJ$50000,'Adv. Filter'!$BT$1:$BT$50000,"Kiran",'Adv. Filter'!$BQ$1:$BQ$50000,$AY363,'Adv. Filter'!$BH$1:$BH$50000,"Bank",'Adv. Filter'!$BO$1:$BO$50000,"&lt;"&amp;'Adv. Filter'!$A$15,'Adv. Filter'!$BP$1:$BP$50000,"Project")</f>
        <v>0</v>
      </c>
      <c r="CA364" s="268"/>
      <c r="CB364" s="268"/>
      <c r="CC364" s="268"/>
      <c r="CD364" s="268"/>
      <c r="CE364" s="268"/>
      <c r="CF364" s="268"/>
      <c r="CG364" s="268"/>
      <c r="CH364" s="268"/>
      <c r="CI364" s="269"/>
      <c r="CJ364" s="267">
        <f t="shared" si="17"/>
        <v>0</v>
      </c>
      <c r="CK364" s="268"/>
      <c r="CL364" s="268"/>
      <c r="CM364" s="268"/>
      <c r="CN364" s="268"/>
      <c r="CO364" s="268"/>
      <c r="CP364" s="268"/>
      <c r="CQ364" s="268"/>
      <c r="CR364" s="268"/>
      <c r="CS364" s="269"/>
    </row>
    <row r="365" spans="1:104" hidden="1">
      <c r="C365" s="308" t="s">
        <v>510</v>
      </c>
      <c r="D365" s="309"/>
      <c r="E365" s="309"/>
      <c r="F365" s="309"/>
      <c r="G365" s="309"/>
      <c r="H365" s="309"/>
      <c r="I365" s="309"/>
      <c r="J365" s="309"/>
      <c r="K365" s="309"/>
      <c r="L365" s="309"/>
      <c r="M365" s="309"/>
      <c r="N365" s="309"/>
      <c r="O365" s="309"/>
      <c r="P365" s="309"/>
      <c r="Q365" s="309"/>
      <c r="R365" s="309"/>
      <c r="S365" s="310"/>
      <c r="T365" s="267">
        <v>0</v>
      </c>
      <c r="U365" s="268"/>
      <c r="V365" s="268"/>
      <c r="W365" s="268"/>
      <c r="X365" s="268"/>
      <c r="Y365" s="268"/>
      <c r="Z365" s="268"/>
      <c r="AA365" s="268"/>
      <c r="AB365" s="268"/>
      <c r="AC365" s="269"/>
      <c r="AD365" s="267">
        <v>0</v>
      </c>
      <c r="AE365" s="268"/>
      <c r="AF365" s="268"/>
      <c r="AG365" s="268"/>
      <c r="AH365" s="268"/>
      <c r="AI365" s="268"/>
      <c r="AJ365" s="268"/>
      <c r="AK365" s="268"/>
      <c r="AL365" s="268"/>
      <c r="AM365" s="269"/>
      <c r="AN365" s="267">
        <f t="shared" si="16"/>
        <v>0</v>
      </c>
      <c r="AO365" s="268"/>
      <c r="AP365" s="268"/>
      <c r="AQ365" s="268"/>
      <c r="AR365" s="268"/>
      <c r="AS365" s="268"/>
      <c r="AT365" s="268"/>
      <c r="AU365" s="268"/>
      <c r="AV365" s="268"/>
      <c r="AW365" s="269"/>
      <c r="AX365" s="22"/>
      <c r="AY365" s="308" t="s">
        <v>510</v>
      </c>
      <c r="AZ365" s="309"/>
      <c r="BA365" s="309"/>
      <c r="BB365" s="309"/>
      <c r="BC365" s="309"/>
      <c r="BD365" s="309"/>
      <c r="BE365" s="309"/>
      <c r="BF365" s="309"/>
      <c r="BG365" s="309"/>
      <c r="BH365" s="309"/>
      <c r="BI365" s="309"/>
      <c r="BJ365" s="309"/>
      <c r="BK365" s="309"/>
      <c r="BL365" s="309"/>
      <c r="BM365" s="309"/>
      <c r="BN365" s="309"/>
      <c r="BO365" s="310"/>
      <c r="BP365" s="267"/>
      <c r="BQ365" s="268"/>
      <c r="BR365" s="268"/>
      <c r="BS365" s="268"/>
      <c r="BT365" s="268"/>
      <c r="BU365" s="268"/>
      <c r="BV365" s="268"/>
      <c r="BW365" s="268"/>
      <c r="BX365" s="268"/>
      <c r="BY365" s="269"/>
      <c r="BZ365" s="267"/>
      <c r="CA365" s="268"/>
      <c r="CB365" s="268"/>
      <c r="CC365" s="268"/>
      <c r="CD365" s="268"/>
      <c r="CE365" s="268"/>
      <c r="CF365" s="268"/>
      <c r="CG365" s="268"/>
      <c r="CH365" s="268"/>
      <c r="CI365" s="269"/>
      <c r="CJ365" s="267">
        <f t="shared" si="17"/>
        <v>0</v>
      </c>
      <c r="CK365" s="268"/>
      <c r="CL365" s="268"/>
      <c r="CM365" s="268"/>
      <c r="CN365" s="268"/>
      <c r="CO365" s="268"/>
      <c r="CP365" s="268"/>
      <c r="CQ365" s="268"/>
      <c r="CR365" s="268"/>
      <c r="CS365" s="269"/>
    </row>
    <row r="366" spans="1:104" hidden="1">
      <c r="C366" s="43"/>
      <c r="D366" s="36" t="str">
        <f>IF(AN363=0,C363&amp;" -","")</f>
        <v>TGB -</v>
      </c>
      <c r="E366" s="42"/>
      <c r="F366" s="42"/>
      <c r="G366" s="42"/>
      <c r="H366" s="42"/>
      <c r="I366" s="42"/>
      <c r="J366" s="42"/>
      <c r="K366" s="42"/>
      <c r="L366" s="42"/>
      <c r="M366" s="42"/>
      <c r="N366" s="42"/>
      <c r="O366" s="42"/>
      <c r="P366" s="1"/>
      <c r="Q366" s="42"/>
      <c r="R366" s="41" t="s">
        <v>275</v>
      </c>
      <c r="S366" s="40"/>
      <c r="T366" s="267">
        <f>SUMIFS('Adv. Filter'!$CH$1:$CH$50000,'Adv. Filter'!$CD$1:$CD$50000,"Kiran",'Adv. Filter'!$CE$1:$CE$50000,$C363,'Adv. Filter'!$CC$1:$CC$50000,"Suspense",'Adv. Filter'!$CF$1:$CF$50000,"Cash")</f>
        <v>0</v>
      </c>
      <c r="U366" s="268"/>
      <c r="V366" s="268"/>
      <c r="W366" s="268"/>
      <c r="X366" s="268"/>
      <c r="Y366" s="268"/>
      <c r="Z366" s="268"/>
      <c r="AA366" s="268"/>
      <c r="AB366" s="268"/>
      <c r="AC366" s="269"/>
      <c r="AD366" s="267">
        <f>SUMIFS('Adv. Filter'!$CH$1:$CH$50000,'Adv. Filter'!$CD$1:$CD$50000,"Kiran",'Adv. Filter'!$CE$1:$CE$50000,$C363,'Adv. Filter'!$CC$1:$CC$50000,"Suspense",'Adv. Filter'!$CF$1:$CF$50000,"Bank")</f>
        <v>0</v>
      </c>
      <c r="AE366" s="268"/>
      <c r="AF366" s="268"/>
      <c r="AG366" s="268"/>
      <c r="AH366" s="268"/>
      <c r="AI366" s="268"/>
      <c r="AJ366" s="268"/>
      <c r="AK366" s="268"/>
      <c r="AL366" s="268"/>
      <c r="AM366" s="269"/>
      <c r="AN366" s="267">
        <f t="shared" si="16"/>
        <v>0</v>
      </c>
      <c r="AO366" s="268"/>
      <c r="AP366" s="268"/>
      <c r="AQ366" s="268"/>
      <c r="AR366" s="268"/>
      <c r="AS366" s="268"/>
      <c r="AT366" s="268"/>
      <c r="AU366" s="268"/>
      <c r="AV366" s="268"/>
      <c r="AW366" s="269"/>
      <c r="AX366" s="22"/>
      <c r="AY366" s="43"/>
      <c r="AZ366" s="36" t="str">
        <f>IF(CJ363=0,AY363&amp;" -","")</f>
        <v>TGB -</v>
      </c>
      <c r="BA366" s="42"/>
      <c r="BB366" s="42"/>
      <c r="BC366" s="42"/>
      <c r="BD366" s="42"/>
      <c r="BE366" s="42"/>
      <c r="BF366" s="42"/>
      <c r="BG366" s="42"/>
      <c r="BH366" s="42"/>
      <c r="BI366" s="42"/>
      <c r="BJ366" s="42"/>
      <c r="BK366" s="42"/>
      <c r="BL366" s="1"/>
      <c r="BM366" s="42"/>
      <c r="BN366" s="41" t="s">
        <v>275</v>
      </c>
      <c r="BO366" s="40"/>
      <c r="BP366" s="267"/>
      <c r="BQ366" s="268"/>
      <c r="BR366" s="268"/>
      <c r="BS366" s="268"/>
      <c r="BT366" s="268"/>
      <c r="BU366" s="268"/>
      <c r="BV366" s="268"/>
      <c r="BW366" s="268"/>
      <c r="BX366" s="268"/>
      <c r="BY366" s="269"/>
      <c r="BZ366" s="267"/>
      <c r="CA366" s="268"/>
      <c r="CB366" s="268"/>
      <c r="CC366" s="268"/>
      <c r="CD366" s="268"/>
      <c r="CE366" s="268"/>
      <c r="CF366" s="268"/>
      <c r="CG366" s="268"/>
      <c r="CH366" s="268"/>
      <c r="CI366" s="269"/>
      <c r="CJ366" s="267">
        <f t="shared" si="17"/>
        <v>0</v>
      </c>
      <c r="CK366" s="268"/>
      <c r="CL366" s="268"/>
      <c r="CM366" s="268"/>
      <c r="CN366" s="268"/>
      <c r="CO366" s="268"/>
      <c r="CP366" s="268"/>
      <c r="CQ366" s="268"/>
      <c r="CR366" s="268"/>
      <c r="CS366" s="269"/>
    </row>
    <row r="367" spans="1:104" hidden="1">
      <c r="A367" s="44"/>
      <c r="B367" s="44"/>
      <c r="C367" s="293" t="s">
        <v>102</v>
      </c>
      <c r="D367" s="294"/>
      <c r="E367" s="294"/>
      <c r="F367" s="294"/>
      <c r="G367" s="294"/>
      <c r="H367" s="294"/>
      <c r="I367" s="294"/>
      <c r="J367" s="294"/>
      <c r="K367" s="294"/>
      <c r="L367" s="294"/>
      <c r="M367" s="294"/>
      <c r="N367" s="294"/>
      <c r="O367" s="294"/>
      <c r="P367" s="294"/>
      <c r="Q367" s="294"/>
      <c r="R367" s="294"/>
      <c r="S367" s="295"/>
      <c r="T367" s="276">
        <f>SUMIFS('Adv. Filter'!$BJ$1:$BJ$50000,'Adv. Filter'!$BT$1:$BT$50000,"Kiran",'Adv. Filter'!$BQ$1:$BQ$50000,$C367,'Adv. Filter'!$BH$1:$BH$50000,"Cash",'Adv. Filter'!$BO$1:$BO$50000,'Adv. Filter'!$A$14,'Adv. Filter'!$BO$1:$BO$50000,'Adv. Filter'!$B$14)</f>
        <v>0</v>
      </c>
      <c r="U367" s="277"/>
      <c r="V367" s="277"/>
      <c r="W367" s="277"/>
      <c r="X367" s="277"/>
      <c r="Y367" s="277"/>
      <c r="Z367" s="277"/>
      <c r="AA367" s="277"/>
      <c r="AB367" s="277"/>
      <c r="AC367" s="278"/>
      <c r="AD367" s="276">
        <f>SUMIFS('Adv. Filter'!$BJ$1:$BJ$50000,'Adv. Filter'!$BT$1:$BT$50000,"Kiran",'Adv. Filter'!$BQ$1:$BQ$50000,$C367,'Adv. Filter'!$BH$1:$BH$50000,"Bank",'Adv. Filter'!$BO$1:$BO$50000,'Adv. Filter'!$A$14,'Adv. Filter'!$BO$1:$BO$50000,'Adv. Filter'!$B$14)</f>
        <v>0</v>
      </c>
      <c r="AE367" s="277"/>
      <c r="AF367" s="277"/>
      <c r="AG367" s="277"/>
      <c r="AH367" s="277"/>
      <c r="AI367" s="277"/>
      <c r="AJ367" s="277"/>
      <c r="AK367" s="277"/>
      <c r="AL367" s="277"/>
      <c r="AM367" s="278"/>
      <c r="AN367" s="276">
        <f t="shared" si="16"/>
        <v>0</v>
      </c>
      <c r="AO367" s="277"/>
      <c r="AP367" s="277"/>
      <c r="AQ367" s="277"/>
      <c r="AR367" s="277"/>
      <c r="AS367" s="277"/>
      <c r="AT367" s="277"/>
      <c r="AU367" s="277"/>
      <c r="AV367" s="277"/>
      <c r="AW367" s="278"/>
      <c r="AX367" s="45"/>
      <c r="AY367" s="293" t="s">
        <v>102</v>
      </c>
      <c r="AZ367" s="294"/>
      <c r="BA367" s="294"/>
      <c r="BB367" s="294"/>
      <c r="BC367" s="294"/>
      <c r="BD367" s="294"/>
      <c r="BE367" s="294"/>
      <c r="BF367" s="294"/>
      <c r="BG367" s="294"/>
      <c r="BH367" s="294"/>
      <c r="BI367" s="294"/>
      <c r="BJ367" s="294"/>
      <c r="BK367" s="294"/>
      <c r="BL367" s="294"/>
      <c r="BM367" s="294"/>
      <c r="BN367" s="294"/>
      <c r="BO367" s="295"/>
      <c r="BP367" s="276">
        <f>SUMIFS('Adv. Filter'!$BJ$1:$BJ$50000,'Adv. Filter'!$BT$1:$BT$50000,"Kiran",'Adv. Filter'!$BQ$1:$BQ$50000,$AY367,'Adv. Filter'!$BH$1:$BH$50000,"Cash",'Adv. Filter'!$BO$1:$BO$50000,"&lt;"&amp;'Adv. Filter'!$A$15)</f>
        <v>0</v>
      </c>
      <c r="BQ367" s="277"/>
      <c r="BR367" s="277"/>
      <c r="BS367" s="277"/>
      <c r="BT367" s="277"/>
      <c r="BU367" s="277"/>
      <c r="BV367" s="277"/>
      <c r="BW367" s="277"/>
      <c r="BX367" s="277"/>
      <c r="BY367" s="278"/>
      <c r="BZ367" s="276">
        <f>SUMIFS('Adv. Filter'!$BJ$1:$BJ$50000,'Adv. Filter'!$BT$1:$BT$50000,"Kiran",'Adv. Filter'!$BQ$1:$BQ$50000,$AY367,'Adv. Filter'!$BH$1:$BH$50000,"Bank",'Adv. Filter'!$BO$1:$BO$50000,"&lt;"&amp;'Adv. Filter'!$A$15)</f>
        <v>0</v>
      </c>
      <c r="CA367" s="277"/>
      <c r="CB367" s="277"/>
      <c r="CC367" s="277"/>
      <c r="CD367" s="277"/>
      <c r="CE367" s="277"/>
      <c r="CF367" s="277"/>
      <c r="CG367" s="277"/>
      <c r="CH367" s="277"/>
      <c r="CI367" s="278"/>
      <c r="CJ367" s="276">
        <f t="shared" si="17"/>
        <v>0</v>
      </c>
      <c r="CK367" s="277"/>
      <c r="CL367" s="277"/>
      <c r="CM367" s="277"/>
      <c r="CN367" s="277"/>
      <c r="CO367" s="277"/>
      <c r="CP367" s="277"/>
      <c r="CQ367" s="277"/>
      <c r="CR367" s="277"/>
      <c r="CS367" s="278"/>
      <c r="CT367" s="44"/>
      <c r="CU367" s="44"/>
      <c r="CV367" s="44"/>
      <c r="CW367" s="44"/>
      <c r="CX367" s="44"/>
      <c r="CY367" s="44"/>
      <c r="CZ367" s="44"/>
    </row>
    <row r="368" spans="1:104" hidden="1">
      <c r="C368" s="308" t="s">
        <v>115</v>
      </c>
      <c r="D368" s="309"/>
      <c r="E368" s="309"/>
      <c r="F368" s="309"/>
      <c r="G368" s="309"/>
      <c r="H368" s="309"/>
      <c r="I368" s="309"/>
      <c r="J368" s="309"/>
      <c r="K368" s="309"/>
      <c r="L368" s="309"/>
      <c r="M368" s="309"/>
      <c r="N368" s="309"/>
      <c r="O368" s="309"/>
      <c r="P368" s="309"/>
      <c r="Q368" s="309"/>
      <c r="R368" s="309"/>
      <c r="S368" s="310"/>
      <c r="T368" s="267">
        <f>SUMIFS('Adv. Filter'!$BJ$1:$BJ$50000,'Adv. Filter'!$BT$1:$BT$50000,"Kiran",'Adv. Filter'!$BQ$1:$BQ$50000,$C367,'Adv. Filter'!$BH$1:$BH$50000,"Cash",'Adv. Filter'!$BO$1:$BO$50000,'Adv. Filter'!$A$14,'Adv. Filter'!$BO$1:$BO$50000,'Adv. Filter'!$B$14,'Adv. Filter'!$BP$1:$BP$50000,"Project")</f>
        <v>0</v>
      </c>
      <c r="U368" s="268"/>
      <c r="V368" s="268"/>
      <c r="W368" s="268"/>
      <c r="X368" s="268"/>
      <c r="Y368" s="268"/>
      <c r="Z368" s="268"/>
      <c r="AA368" s="268"/>
      <c r="AB368" s="268"/>
      <c r="AC368" s="269"/>
      <c r="AD368" s="267">
        <f>SUMIFS('Adv. Filter'!$BJ$1:$BJ$50000,'Adv. Filter'!$BT$1:$BT$50000,"Kiran",'Adv. Filter'!$BQ$1:$BQ$50000,$C367,'Adv. Filter'!$BH$1:$BH$50000,"Bank",'Adv. Filter'!$BO$1:$BO$50000,'Adv. Filter'!$A$14,'Adv. Filter'!$BO$1:$BO$50000,'Adv. Filter'!$B$14,'Adv. Filter'!$BP$1:$BP$50000,"Project")</f>
        <v>0</v>
      </c>
      <c r="AE368" s="268"/>
      <c r="AF368" s="268"/>
      <c r="AG368" s="268"/>
      <c r="AH368" s="268"/>
      <c r="AI368" s="268"/>
      <c r="AJ368" s="268"/>
      <c r="AK368" s="268"/>
      <c r="AL368" s="268"/>
      <c r="AM368" s="269"/>
      <c r="AN368" s="267">
        <f t="shared" si="16"/>
        <v>0</v>
      </c>
      <c r="AO368" s="268"/>
      <c r="AP368" s="268"/>
      <c r="AQ368" s="268"/>
      <c r="AR368" s="268"/>
      <c r="AS368" s="268"/>
      <c r="AT368" s="268"/>
      <c r="AU368" s="268"/>
      <c r="AV368" s="268"/>
      <c r="AW368" s="269"/>
      <c r="AX368" s="22"/>
      <c r="AY368" s="308" t="s">
        <v>115</v>
      </c>
      <c r="AZ368" s="309"/>
      <c r="BA368" s="309"/>
      <c r="BB368" s="309"/>
      <c r="BC368" s="309"/>
      <c r="BD368" s="309"/>
      <c r="BE368" s="309"/>
      <c r="BF368" s="309"/>
      <c r="BG368" s="309"/>
      <c r="BH368" s="309"/>
      <c r="BI368" s="309"/>
      <c r="BJ368" s="309"/>
      <c r="BK368" s="309"/>
      <c r="BL368" s="309"/>
      <c r="BM368" s="309"/>
      <c r="BN368" s="309"/>
      <c r="BO368" s="310"/>
      <c r="BP368" s="267">
        <f>SUMIFS('Adv. Filter'!$BJ$1:$BJ$50000,'Adv. Filter'!$BT$1:$BT$50000,"Kiran",'Adv. Filter'!$BQ$1:$BQ$50000,$AY367,'Adv. Filter'!$BH$1:$BH$50000,"Cash",'Adv. Filter'!$BO$1:$BO$50000,"&lt;"&amp;'Adv. Filter'!$A$15,'Adv. Filter'!$BP$1:$BP$50000,"Project")</f>
        <v>0</v>
      </c>
      <c r="BQ368" s="268"/>
      <c r="BR368" s="268"/>
      <c r="BS368" s="268"/>
      <c r="BT368" s="268"/>
      <c r="BU368" s="268"/>
      <c r="BV368" s="268"/>
      <c r="BW368" s="268"/>
      <c r="BX368" s="268"/>
      <c r="BY368" s="269"/>
      <c r="BZ368" s="267">
        <f>SUMIFS('Adv. Filter'!$BJ$1:$BJ$50000,'Adv. Filter'!$BT$1:$BT$50000,"Kiran",'Adv. Filter'!$BQ$1:$BQ$50000,$AY367,'Adv. Filter'!$BH$1:$BH$50000,"Bank",'Adv. Filter'!$BO$1:$BO$50000,"&lt;"&amp;'Adv. Filter'!$A$15,'Adv. Filter'!$BP$1:$BP$50000,"Project")</f>
        <v>0</v>
      </c>
      <c r="CA368" s="268"/>
      <c r="CB368" s="268"/>
      <c r="CC368" s="268"/>
      <c r="CD368" s="268"/>
      <c r="CE368" s="268"/>
      <c r="CF368" s="268"/>
      <c r="CG368" s="268"/>
      <c r="CH368" s="268"/>
      <c r="CI368" s="269"/>
      <c r="CJ368" s="267">
        <f t="shared" si="17"/>
        <v>0</v>
      </c>
      <c r="CK368" s="268"/>
      <c r="CL368" s="268"/>
      <c r="CM368" s="268"/>
      <c r="CN368" s="268"/>
      <c r="CO368" s="268"/>
      <c r="CP368" s="268"/>
      <c r="CQ368" s="268"/>
      <c r="CR368" s="268"/>
      <c r="CS368" s="269"/>
    </row>
    <row r="369" spans="1:104" hidden="1">
      <c r="C369" s="308" t="s">
        <v>510</v>
      </c>
      <c r="D369" s="309"/>
      <c r="E369" s="309"/>
      <c r="F369" s="309"/>
      <c r="G369" s="309"/>
      <c r="H369" s="309"/>
      <c r="I369" s="309"/>
      <c r="J369" s="309"/>
      <c r="K369" s="309"/>
      <c r="L369" s="309"/>
      <c r="M369" s="309"/>
      <c r="N369" s="309"/>
      <c r="O369" s="309"/>
      <c r="P369" s="309"/>
      <c r="Q369" s="309"/>
      <c r="R369" s="309"/>
      <c r="S369" s="310"/>
      <c r="T369" s="267">
        <v>0</v>
      </c>
      <c r="U369" s="268"/>
      <c r="V369" s="268"/>
      <c r="W369" s="268"/>
      <c r="X369" s="268"/>
      <c r="Y369" s="268"/>
      <c r="Z369" s="268"/>
      <c r="AA369" s="268"/>
      <c r="AB369" s="268"/>
      <c r="AC369" s="269"/>
      <c r="AD369" s="267">
        <v>0</v>
      </c>
      <c r="AE369" s="268"/>
      <c r="AF369" s="268"/>
      <c r="AG369" s="268"/>
      <c r="AH369" s="268"/>
      <c r="AI369" s="268"/>
      <c r="AJ369" s="268"/>
      <c r="AK369" s="268"/>
      <c r="AL369" s="268"/>
      <c r="AM369" s="269"/>
      <c r="AN369" s="267">
        <f t="shared" si="16"/>
        <v>0</v>
      </c>
      <c r="AO369" s="268"/>
      <c r="AP369" s="268"/>
      <c r="AQ369" s="268"/>
      <c r="AR369" s="268"/>
      <c r="AS369" s="268"/>
      <c r="AT369" s="268"/>
      <c r="AU369" s="268"/>
      <c r="AV369" s="268"/>
      <c r="AW369" s="269"/>
      <c r="AX369" s="22"/>
      <c r="AY369" s="308" t="s">
        <v>510</v>
      </c>
      <c r="AZ369" s="309"/>
      <c r="BA369" s="309"/>
      <c r="BB369" s="309"/>
      <c r="BC369" s="309"/>
      <c r="BD369" s="309"/>
      <c r="BE369" s="309"/>
      <c r="BF369" s="309"/>
      <c r="BG369" s="309"/>
      <c r="BH369" s="309"/>
      <c r="BI369" s="309"/>
      <c r="BJ369" s="309"/>
      <c r="BK369" s="309"/>
      <c r="BL369" s="309"/>
      <c r="BM369" s="309"/>
      <c r="BN369" s="309"/>
      <c r="BO369" s="310"/>
      <c r="BP369" s="267"/>
      <c r="BQ369" s="268"/>
      <c r="BR369" s="268"/>
      <c r="BS369" s="268"/>
      <c r="BT369" s="268"/>
      <c r="BU369" s="268"/>
      <c r="BV369" s="268"/>
      <c r="BW369" s="268"/>
      <c r="BX369" s="268"/>
      <c r="BY369" s="269"/>
      <c r="BZ369" s="267"/>
      <c r="CA369" s="268"/>
      <c r="CB369" s="268"/>
      <c r="CC369" s="268"/>
      <c r="CD369" s="268"/>
      <c r="CE369" s="268"/>
      <c r="CF369" s="268"/>
      <c r="CG369" s="268"/>
      <c r="CH369" s="268"/>
      <c r="CI369" s="269"/>
      <c r="CJ369" s="267">
        <f t="shared" si="17"/>
        <v>0</v>
      </c>
      <c r="CK369" s="268"/>
      <c r="CL369" s="268"/>
      <c r="CM369" s="268"/>
      <c r="CN369" s="268"/>
      <c r="CO369" s="268"/>
      <c r="CP369" s="268"/>
      <c r="CQ369" s="268"/>
      <c r="CR369" s="268"/>
      <c r="CS369" s="269"/>
    </row>
    <row r="370" spans="1:104" hidden="1">
      <c r="C370" s="43"/>
      <c r="D370" s="36" t="str">
        <f>IF(AN367=0,C367&amp;" -","")</f>
        <v>UBI -</v>
      </c>
      <c r="E370" s="42"/>
      <c r="F370" s="42"/>
      <c r="G370" s="42"/>
      <c r="H370" s="42"/>
      <c r="I370" s="42"/>
      <c r="J370" s="42"/>
      <c r="K370" s="42"/>
      <c r="L370" s="42"/>
      <c r="M370" s="42"/>
      <c r="N370" s="42"/>
      <c r="O370" s="42"/>
      <c r="P370" s="1"/>
      <c r="Q370" s="42"/>
      <c r="R370" s="41" t="s">
        <v>275</v>
      </c>
      <c r="S370" s="40"/>
      <c r="T370" s="267">
        <f>SUMIFS('Adv. Filter'!$CH$1:$CH$50000,'Adv. Filter'!$CD$1:$CD$50000,"Kiran",'Adv. Filter'!$CE$1:$CE$50000,$C367,'Adv. Filter'!$CC$1:$CC$50000,"Suspense",'Adv. Filter'!$CF$1:$CF$50000,"Cash")</f>
        <v>0</v>
      </c>
      <c r="U370" s="268"/>
      <c r="V370" s="268"/>
      <c r="W370" s="268"/>
      <c r="X370" s="268"/>
      <c r="Y370" s="268"/>
      <c r="Z370" s="268"/>
      <c r="AA370" s="268"/>
      <c r="AB370" s="268"/>
      <c r="AC370" s="269"/>
      <c r="AD370" s="267">
        <f>SUMIFS('Adv. Filter'!$CH$1:$CH$50000,'Adv. Filter'!$CD$1:$CD$50000,"Kiran",'Adv. Filter'!$CE$1:$CE$50000,$C367,'Adv. Filter'!$CC$1:$CC$50000,"Suspense",'Adv. Filter'!$CF$1:$CF$50000,"Bank")</f>
        <v>0</v>
      </c>
      <c r="AE370" s="268"/>
      <c r="AF370" s="268"/>
      <c r="AG370" s="268"/>
      <c r="AH370" s="268"/>
      <c r="AI370" s="268"/>
      <c r="AJ370" s="268"/>
      <c r="AK370" s="268"/>
      <c r="AL370" s="268"/>
      <c r="AM370" s="269"/>
      <c r="AN370" s="267">
        <f t="shared" si="16"/>
        <v>0</v>
      </c>
      <c r="AO370" s="268"/>
      <c r="AP370" s="268"/>
      <c r="AQ370" s="268"/>
      <c r="AR370" s="268"/>
      <c r="AS370" s="268"/>
      <c r="AT370" s="268"/>
      <c r="AU370" s="268"/>
      <c r="AV370" s="268"/>
      <c r="AW370" s="269"/>
      <c r="AX370" s="22"/>
      <c r="AY370" s="43"/>
      <c r="AZ370" s="36" t="str">
        <f>IF(CJ367=0,AY367&amp;" -","")</f>
        <v>UBI -</v>
      </c>
      <c r="BA370" s="42"/>
      <c r="BB370" s="42"/>
      <c r="BC370" s="42"/>
      <c r="BD370" s="42"/>
      <c r="BE370" s="42"/>
      <c r="BF370" s="42"/>
      <c r="BG370" s="42"/>
      <c r="BH370" s="42"/>
      <c r="BI370" s="42"/>
      <c r="BJ370" s="42"/>
      <c r="BK370" s="42"/>
      <c r="BL370" s="1"/>
      <c r="BM370" s="42"/>
      <c r="BN370" s="41" t="s">
        <v>275</v>
      </c>
      <c r="BO370" s="40"/>
      <c r="BP370" s="267"/>
      <c r="BQ370" s="268"/>
      <c r="BR370" s="268"/>
      <c r="BS370" s="268"/>
      <c r="BT370" s="268"/>
      <c r="BU370" s="268"/>
      <c r="BV370" s="268"/>
      <c r="BW370" s="268"/>
      <c r="BX370" s="268"/>
      <c r="BY370" s="269"/>
      <c r="BZ370" s="267"/>
      <c r="CA370" s="268"/>
      <c r="CB370" s="268"/>
      <c r="CC370" s="268"/>
      <c r="CD370" s="268"/>
      <c r="CE370" s="268"/>
      <c r="CF370" s="268"/>
      <c r="CG370" s="268"/>
      <c r="CH370" s="268"/>
      <c r="CI370" s="269"/>
      <c r="CJ370" s="267">
        <f t="shared" si="17"/>
        <v>0</v>
      </c>
      <c r="CK370" s="268"/>
      <c r="CL370" s="268"/>
      <c r="CM370" s="268"/>
      <c r="CN370" s="268"/>
      <c r="CO370" s="268"/>
      <c r="CP370" s="268"/>
      <c r="CQ370" s="268"/>
      <c r="CR370" s="268"/>
      <c r="CS370" s="269"/>
    </row>
    <row r="371" spans="1:104" hidden="1">
      <c r="A371" s="44"/>
      <c r="B371" s="44"/>
      <c r="C371" s="293" t="s">
        <v>108</v>
      </c>
      <c r="D371" s="294"/>
      <c r="E371" s="294"/>
      <c r="F371" s="294"/>
      <c r="G371" s="294"/>
      <c r="H371" s="294"/>
      <c r="I371" s="294"/>
      <c r="J371" s="294"/>
      <c r="K371" s="294"/>
      <c r="L371" s="294"/>
      <c r="M371" s="294"/>
      <c r="N371" s="294"/>
      <c r="O371" s="294"/>
      <c r="P371" s="294"/>
      <c r="Q371" s="294"/>
      <c r="R371" s="294"/>
      <c r="S371" s="295"/>
      <c r="T371" s="276">
        <f>SUMIFS('Adv. Filter'!$BJ$1:$BJ$50000,'Adv. Filter'!$BT$1:$BT$50000,"Kiran",'Adv. Filter'!$BQ$1:$BQ$50000,$C371,'Adv. Filter'!$BH$1:$BH$50000,"Cash",'Adv. Filter'!$BO$1:$BO$50000,'Adv. Filter'!$A$14,'Adv. Filter'!$BO$1:$BO$50000,'Adv. Filter'!$B$14)</f>
        <v>0</v>
      </c>
      <c r="U371" s="277"/>
      <c r="V371" s="277"/>
      <c r="W371" s="277"/>
      <c r="X371" s="277"/>
      <c r="Y371" s="277"/>
      <c r="Z371" s="277"/>
      <c r="AA371" s="277"/>
      <c r="AB371" s="277"/>
      <c r="AC371" s="278"/>
      <c r="AD371" s="276">
        <f>SUMIFS('Adv. Filter'!$BJ$1:$BJ$50000,'Adv. Filter'!$BT$1:$BT$50000,"Kiran",'Adv. Filter'!$BQ$1:$BQ$50000,$C371,'Adv. Filter'!$BH$1:$BH$50000,"Bank",'Adv. Filter'!$BO$1:$BO$50000,'Adv. Filter'!$A$14,'Adv. Filter'!$BO$1:$BO$50000,'Adv. Filter'!$B$14)</f>
        <v>0</v>
      </c>
      <c r="AE371" s="277"/>
      <c r="AF371" s="277"/>
      <c r="AG371" s="277"/>
      <c r="AH371" s="277"/>
      <c r="AI371" s="277"/>
      <c r="AJ371" s="277"/>
      <c r="AK371" s="277"/>
      <c r="AL371" s="277"/>
      <c r="AM371" s="278"/>
      <c r="AN371" s="276">
        <f t="shared" si="16"/>
        <v>0</v>
      </c>
      <c r="AO371" s="277"/>
      <c r="AP371" s="277"/>
      <c r="AQ371" s="277"/>
      <c r="AR371" s="277"/>
      <c r="AS371" s="277"/>
      <c r="AT371" s="277"/>
      <c r="AU371" s="277"/>
      <c r="AV371" s="277"/>
      <c r="AW371" s="278"/>
      <c r="AX371" s="45"/>
      <c r="AY371" s="293" t="s">
        <v>108</v>
      </c>
      <c r="AZ371" s="294"/>
      <c r="BA371" s="294"/>
      <c r="BB371" s="294"/>
      <c r="BC371" s="294"/>
      <c r="BD371" s="294"/>
      <c r="BE371" s="294"/>
      <c r="BF371" s="294"/>
      <c r="BG371" s="294"/>
      <c r="BH371" s="294"/>
      <c r="BI371" s="294"/>
      <c r="BJ371" s="294"/>
      <c r="BK371" s="294"/>
      <c r="BL371" s="294"/>
      <c r="BM371" s="294"/>
      <c r="BN371" s="294"/>
      <c r="BO371" s="295"/>
      <c r="BP371" s="276">
        <f>SUMIFS('Adv. Filter'!$BJ$1:$BJ$50000,'Adv. Filter'!$BT$1:$BT$50000,"Kiran",'Adv. Filter'!$BQ$1:$BQ$50000,$AY371,'Adv. Filter'!$BH$1:$BH$50000,"Cash",'Adv. Filter'!$BO$1:$BO$50000,"&lt;"&amp;'Adv. Filter'!$A$15)</f>
        <v>0</v>
      </c>
      <c r="BQ371" s="277"/>
      <c r="BR371" s="277"/>
      <c r="BS371" s="277"/>
      <c r="BT371" s="277"/>
      <c r="BU371" s="277"/>
      <c r="BV371" s="277"/>
      <c r="BW371" s="277"/>
      <c r="BX371" s="277"/>
      <c r="BY371" s="278"/>
      <c r="BZ371" s="276">
        <f>SUMIFS('Adv. Filter'!$BJ$1:$BJ$50000,'Adv. Filter'!$BT$1:$BT$50000,"Kiran",'Adv. Filter'!$BQ$1:$BQ$50000,$AY371,'Adv. Filter'!$BH$1:$BH$50000,"Bank",'Adv. Filter'!$BO$1:$BO$50000,"&lt;"&amp;'Adv. Filter'!$A$15)</f>
        <v>0</v>
      </c>
      <c r="CA371" s="277"/>
      <c r="CB371" s="277"/>
      <c r="CC371" s="277"/>
      <c r="CD371" s="277"/>
      <c r="CE371" s="277"/>
      <c r="CF371" s="277"/>
      <c r="CG371" s="277"/>
      <c r="CH371" s="277"/>
      <c r="CI371" s="278"/>
      <c r="CJ371" s="276">
        <f t="shared" si="17"/>
        <v>0</v>
      </c>
      <c r="CK371" s="277"/>
      <c r="CL371" s="277"/>
      <c r="CM371" s="277"/>
      <c r="CN371" s="277"/>
      <c r="CO371" s="277"/>
      <c r="CP371" s="277"/>
      <c r="CQ371" s="277"/>
      <c r="CR371" s="277"/>
      <c r="CS371" s="278"/>
      <c r="CT371" s="44"/>
      <c r="CU371" s="44"/>
      <c r="CV371" s="44"/>
      <c r="CW371" s="44"/>
      <c r="CX371" s="44"/>
      <c r="CY371" s="44"/>
      <c r="CZ371" s="44"/>
    </row>
    <row r="372" spans="1:104" hidden="1">
      <c r="C372" s="308" t="s">
        <v>115</v>
      </c>
      <c r="D372" s="309"/>
      <c r="E372" s="309"/>
      <c r="F372" s="309"/>
      <c r="G372" s="309"/>
      <c r="H372" s="309"/>
      <c r="I372" s="309"/>
      <c r="J372" s="309"/>
      <c r="K372" s="309"/>
      <c r="L372" s="309"/>
      <c r="M372" s="309"/>
      <c r="N372" s="309"/>
      <c r="O372" s="309"/>
      <c r="P372" s="309"/>
      <c r="Q372" s="309"/>
      <c r="R372" s="309"/>
      <c r="S372" s="310"/>
      <c r="T372" s="267">
        <f>SUMIFS('Adv. Filter'!$BJ$1:$BJ$50000,'Adv. Filter'!$BT$1:$BT$50000,"Kiran",'Adv. Filter'!$BQ$1:$BQ$50000,$C371,'Adv. Filter'!$BH$1:$BH$50000,"Cash",'Adv. Filter'!$BO$1:$BO$50000,'Adv. Filter'!$A$14,'Adv. Filter'!$BO$1:$BO$50000,'Adv. Filter'!$B$14,'Adv. Filter'!$BP$1:$BP$50000,"Project")</f>
        <v>0</v>
      </c>
      <c r="U372" s="268"/>
      <c r="V372" s="268"/>
      <c r="W372" s="268"/>
      <c r="X372" s="268"/>
      <c r="Y372" s="268"/>
      <c r="Z372" s="268"/>
      <c r="AA372" s="268"/>
      <c r="AB372" s="268"/>
      <c r="AC372" s="269"/>
      <c r="AD372" s="267">
        <f>SUMIFS('Adv. Filter'!$BJ$1:$BJ$50000,'Adv. Filter'!$BT$1:$BT$50000,"Kiran",'Adv. Filter'!$BQ$1:$BQ$50000,$C371,'Adv. Filter'!$BH$1:$BH$50000,"Bank",'Adv. Filter'!$BO$1:$BO$50000,'Adv. Filter'!$A$14,'Adv. Filter'!$BO$1:$BO$50000,'Adv. Filter'!$B$14,'Adv. Filter'!$BP$1:$BP$50000,"Project")</f>
        <v>0</v>
      </c>
      <c r="AE372" s="268"/>
      <c r="AF372" s="268"/>
      <c r="AG372" s="268"/>
      <c r="AH372" s="268"/>
      <c r="AI372" s="268"/>
      <c r="AJ372" s="268"/>
      <c r="AK372" s="268"/>
      <c r="AL372" s="268"/>
      <c r="AM372" s="269"/>
      <c r="AN372" s="267">
        <f t="shared" si="16"/>
        <v>0</v>
      </c>
      <c r="AO372" s="268"/>
      <c r="AP372" s="268"/>
      <c r="AQ372" s="268"/>
      <c r="AR372" s="268"/>
      <c r="AS372" s="268"/>
      <c r="AT372" s="268"/>
      <c r="AU372" s="268"/>
      <c r="AV372" s="268"/>
      <c r="AW372" s="269"/>
      <c r="AX372" s="22"/>
      <c r="AY372" s="308" t="s">
        <v>115</v>
      </c>
      <c r="AZ372" s="309"/>
      <c r="BA372" s="309"/>
      <c r="BB372" s="309"/>
      <c r="BC372" s="309"/>
      <c r="BD372" s="309"/>
      <c r="BE372" s="309"/>
      <c r="BF372" s="309"/>
      <c r="BG372" s="309"/>
      <c r="BH372" s="309"/>
      <c r="BI372" s="309"/>
      <c r="BJ372" s="309"/>
      <c r="BK372" s="309"/>
      <c r="BL372" s="309"/>
      <c r="BM372" s="309"/>
      <c r="BN372" s="309"/>
      <c r="BO372" s="310"/>
      <c r="BP372" s="267">
        <f>SUMIFS('Adv. Filter'!$BJ$1:$BJ$50000,'Adv. Filter'!$BT$1:$BT$50000,"Kiran",'Adv. Filter'!$BQ$1:$BQ$50000,$AY371,'Adv. Filter'!$BH$1:$BH$50000,"Cash",'Adv. Filter'!$BO$1:$BO$50000,"&lt;"&amp;'Adv. Filter'!$A$15,'Adv. Filter'!$BP$1:$BP$50000,"Project")</f>
        <v>0</v>
      </c>
      <c r="BQ372" s="268"/>
      <c r="BR372" s="268"/>
      <c r="BS372" s="268"/>
      <c r="BT372" s="268"/>
      <c r="BU372" s="268"/>
      <c r="BV372" s="268"/>
      <c r="BW372" s="268"/>
      <c r="BX372" s="268"/>
      <c r="BY372" s="269"/>
      <c r="BZ372" s="267">
        <f>SUMIFS('Adv. Filter'!$BJ$1:$BJ$50000,'Adv. Filter'!$BT$1:$BT$50000,"Kiran",'Adv. Filter'!$BQ$1:$BQ$50000,$AY371,'Adv. Filter'!$BH$1:$BH$50000,"Bank",'Adv. Filter'!$BO$1:$BO$50000,"&lt;"&amp;'Adv. Filter'!$A$15,'Adv. Filter'!$BP$1:$BP$50000,"Project")</f>
        <v>0</v>
      </c>
      <c r="CA372" s="268"/>
      <c r="CB372" s="268"/>
      <c r="CC372" s="268"/>
      <c r="CD372" s="268"/>
      <c r="CE372" s="268"/>
      <c r="CF372" s="268"/>
      <c r="CG372" s="268"/>
      <c r="CH372" s="268"/>
      <c r="CI372" s="269"/>
      <c r="CJ372" s="267">
        <f t="shared" si="17"/>
        <v>0</v>
      </c>
      <c r="CK372" s="268"/>
      <c r="CL372" s="268"/>
      <c r="CM372" s="268"/>
      <c r="CN372" s="268"/>
      <c r="CO372" s="268"/>
      <c r="CP372" s="268"/>
      <c r="CQ372" s="268"/>
      <c r="CR372" s="268"/>
      <c r="CS372" s="269"/>
    </row>
    <row r="373" spans="1:104" hidden="1">
      <c r="C373" s="308" t="s">
        <v>510</v>
      </c>
      <c r="D373" s="309"/>
      <c r="E373" s="309"/>
      <c r="F373" s="309"/>
      <c r="G373" s="309"/>
      <c r="H373" s="309"/>
      <c r="I373" s="309"/>
      <c r="J373" s="309"/>
      <c r="K373" s="309"/>
      <c r="L373" s="309"/>
      <c r="M373" s="309"/>
      <c r="N373" s="309"/>
      <c r="O373" s="309"/>
      <c r="P373" s="309"/>
      <c r="Q373" s="309"/>
      <c r="R373" s="309"/>
      <c r="S373" s="310"/>
      <c r="T373" s="267">
        <v>0</v>
      </c>
      <c r="U373" s="268"/>
      <c r="V373" s="268"/>
      <c r="W373" s="268"/>
      <c r="X373" s="268"/>
      <c r="Y373" s="268"/>
      <c r="Z373" s="268"/>
      <c r="AA373" s="268"/>
      <c r="AB373" s="268"/>
      <c r="AC373" s="269"/>
      <c r="AD373" s="267">
        <v>0</v>
      </c>
      <c r="AE373" s="268"/>
      <c r="AF373" s="268"/>
      <c r="AG373" s="268"/>
      <c r="AH373" s="268"/>
      <c r="AI373" s="268"/>
      <c r="AJ373" s="268"/>
      <c r="AK373" s="268"/>
      <c r="AL373" s="268"/>
      <c r="AM373" s="269"/>
      <c r="AN373" s="267">
        <f t="shared" si="16"/>
        <v>0</v>
      </c>
      <c r="AO373" s="268"/>
      <c r="AP373" s="268"/>
      <c r="AQ373" s="268"/>
      <c r="AR373" s="268"/>
      <c r="AS373" s="268"/>
      <c r="AT373" s="268"/>
      <c r="AU373" s="268"/>
      <c r="AV373" s="268"/>
      <c r="AW373" s="269"/>
      <c r="AX373" s="22"/>
      <c r="AY373" s="308" t="s">
        <v>510</v>
      </c>
      <c r="AZ373" s="309"/>
      <c r="BA373" s="309"/>
      <c r="BB373" s="309"/>
      <c r="BC373" s="309"/>
      <c r="BD373" s="309"/>
      <c r="BE373" s="309"/>
      <c r="BF373" s="309"/>
      <c r="BG373" s="309"/>
      <c r="BH373" s="309"/>
      <c r="BI373" s="309"/>
      <c r="BJ373" s="309"/>
      <c r="BK373" s="309"/>
      <c r="BL373" s="309"/>
      <c r="BM373" s="309"/>
      <c r="BN373" s="309"/>
      <c r="BO373" s="310"/>
      <c r="BP373" s="267"/>
      <c r="BQ373" s="268"/>
      <c r="BR373" s="268"/>
      <c r="BS373" s="268"/>
      <c r="BT373" s="268"/>
      <c r="BU373" s="268"/>
      <c r="BV373" s="268"/>
      <c r="BW373" s="268"/>
      <c r="BX373" s="268"/>
      <c r="BY373" s="269"/>
      <c r="BZ373" s="267"/>
      <c r="CA373" s="268"/>
      <c r="CB373" s="268"/>
      <c r="CC373" s="268"/>
      <c r="CD373" s="268"/>
      <c r="CE373" s="268"/>
      <c r="CF373" s="268"/>
      <c r="CG373" s="268"/>
      <c r="CH373" s="268"/>
      <c r="CI373" s="269"/>
      <c r="CJ373" s="267">
        <f t="shared" si="17"/>
        <v>0</v>
      </c>
      <c r="CK373" s="268"/>
      <c r="CL373" s="268"/>
      <c r="CM373" s="268"/>
      <c r="CN373" s="268"/>
      <c r="CO373" s="268"/>
      <c r="CP373" s="268"/>
      <c r="CQ373" s="268"/>
      <c r="CR373" s="268"/>
      <c r="CS373" s="269"/>
    </row>
    <row r="374" spans="1:104" ht="15.75" hidden="1" thickBot="1">
      <c r="C374" s="102"/>
      <c r="D374" s="36" t="str">
        <f>IF(AN371=0,C371&amp;" -","")</f>
        <v>Vijaya -</v>
      </c>
      <c r="E374" s="42"/>
      <c r="F374" s="42"/>
      <c r="G374" s="42"/>
      <c r="H374" s="42"/>
      <c r="I374" s="42"/>
      <c r="J374" s="42"/>
      <c r="K374" s="42"/>
      <c r="L374" s="42"/>
      <c r="M374" s="42"/>
      <c r="N374" s="42"/>
      <c r="O374" s="42"/>
      <c r="P374" s="103"/>
      <c r="Q374" s="42"/>
      <c r="R374" s="41" t="s">
        <v>275</v>
      </c>
      <c r="S374" s="104"/>
      <c r="T374" s="267">
        <f>SUMIFS('Adv. Filter'!$CH$1:$CH$50000,'Adv. Filter'!$CD$1:$CD$50000,"Kiran",'Adv. Filter'!$CE$1:$CE$50000,$C371,'Adv. Filter'!$CC$1:$CC$50000,"Suspense",'Adv. Filter'!$CF$1:$CF$50000,"Cash")</f>
        <v>0</v>
      </c>
      <c r="U374" s="268"/>
      <c r="V374" s="268"/>
      <c r="W374" s="268"/>
      <c r="X374" s="268"/>
      <c r="Y374" s="268"/>
      <c r="Z374" s="268"/>
      <c r="AA374" s="268"/>
      <c r="AB374" s="268"/>
      <c r="AC374" s="269"/>
      <c r="AD374" s="267">
        <f>SUMIFS('Adv. Filter'!$CH$1:$CH$50000,'Adv. Filter'!$CD$1:$CD$50000,"Kiran",'Adv. Filter'!$CE$1:$CE$50000,$C371,'Adv. Filter'!$CC$1:$CC$50000,"Suspense",'Adv. Filter'!$CF$1:$CF$50000,"Bank")</f>
        <v>0</v>
      </c>
      <c r="AE374" s="268"/>
      <c r="AF374" s="268"/>
      <c r="AG374" s="268"/>
      <c r="AH374" s="268"/>
      <c r="AI374" s="268"/>
      <c r="AJ374" s="268"/>
      <c r="AK374" s="268"/>
      <c r="AL374" s="268"/>
      <c r="AM374" s="269"/>
      <c r="AN374" s="267">
        <f t="shared" si="16"/>
        <v>0</v>
      </c>
      <c r="AO374" s="268"/>
      <c r="AP374" s="268"/>
      <c r="AQ374" s="268"/>
      <c r="AR374" s="268"/>
      <c r="AS374" s="268"/>
      <c r="AT374" s="268"/>
      <c r="AU374" s="268"/>
      <c r="AV374" s="268"/>
      <c r="AW374" s="269"/>
      <c r="AX374" s="22"/>
      <c r="AY374" s="93"/>
      <c r="AZ374" s="85" t="str">
        <f>IF(CJ371=0,AY371&amp;" -","")</f>
        <v>Vijaya -</v>
      </c>
      <c r="BA374" s="80"/>
      <c r="BB374" s="80"/>
      <c r="BC374" s="80"/>
      <c r="BD374" s="80"/>
      <c r="BE374" s="80"/>
      <c r="BF374" s="80"/>
      <c r="BG374" s="80"/>
      <c r="BH374" s="80"/>
      <c r="BI374" s="80"/>
      <c r="BJ374" s="80"/>
      <c r="BK374" s="80"/>
      <c r="BL374" s="94"/>
      <c r="BM374" s="80"/>
      <c r="BN374" s="82" t="s">
        <v>275</v>
      </c>
      <c r="BO374" s="95"/>
      <c r="BP374" s="252"/>
      <c r="BQ374" s="253"/>
      <c r="BR374" s="253"/>
      <c r="BS374" s="253"/>
      <c r="BT374" s="253"/>
      <c r="BU374" s="253"/>
      <c r="BV374" s="253"/>
      <c r="BW374" s="253"/>
      <c r="BX374" s="253"/>
      <c r="BY374" s="254"/>
      <c r="BZ374" s="252"/>
      <c r="CA374" s="253"/>
      <c r="CB374" s="253"/>
      <c r="CC374" s="253"/>
      <c r="CD374" s="253"/>
      <c r="CE374" s="253"/>
      <c r="CF374" s="253"/>
      <c r="CG374" s="253"/>
      <c r="CH374" s="253"/>
      <c r="CI374" s="254"/>
      <c r="CJ374" s="252">
        <f t="shared" si="17"/>
        <v>0</v>
      </c>
      <c r="CK374" s="253"/>
      <c r="CL374" s="253"/>
      <c r="CM374" s="253"/>
      <c r="CN374" s="253"/>
      <c r="CO374" s="253"/>
      <c r="CP374" s="253"/>
      <c r="CQ374" s="253"/>
      <c r="CR374" s="253"/>
      <c r="CS374" s="254"/>
    </row>
    <row r="375" spans="1:104" ht="16.5" hidden="1" thickTop="1">
      <c r="C375" s="459" t="s">
        <v>503</v>
      </c>
      <c r="D375" s="459"/>
      <c r="E375" s="459"/>
      <c r="F375" s="459"/>
      <c r="G375" s="459"/>
      <c r="H375" s="459"/>
      <c r="I375" s="459"/>
      <c r="J375" s="459"/>
      <c r="K375" s="459"/>
      <c r="L375" s="459"/>
      <c r="M375" s="459"/>
      <c r="N375" s="459"/>
      <c r="O375" s="459"/>
      <c r="P375" s="459"/>
      <c r="Q375" s="459"/>
      <c r="R375" s="459"/>
      <c r="S375" s="459"/>
      <c r="T375" s="273">
        <f>T308+T312+T316+T320+T324+T328+T332+T336+T340+T343+T347+T351+T355+T359+T363+T367+T371+T311+T315+T319+T323+T327+T331+T335+T339+T346+T350+T354+T358+T362+T366+T370+T374</f>
        <v>91000</v>
      </c>
      <c r="U375" s="274"/>
      <c r="V375" s="274"/>
      <c r="W375" s="274"/>
      <c r="X375" s="274"/>
      <c r="Y375" s="274"/>
      <c r="Z375" s="274"/>
      <c r="AA375" s="274"/>
      <c r="AB375" s="274"/>
      <c r="AC375" s="275"/>
      <c r="AD375" s="273">
        <f>AD308+AD312+AD316+AD320+AD324+AD328+AD332+AD336+AD340+AD343+AD347+AD351+AD355+AD359+AD363+AD367+AD371+AD311+AD315+AD319+AD323+AD327+AD331+AD335+AD339+AD346+AD350+AD354+AD358+AD362+AD366+AD370+AD374</f>
        <v>524345</v>
      </c>
      <c r="AE375" s="274"/>
      <c r="AF375" s="274"/>
      <c r="AG375" s="274"/>
      <c r="AH375" s="274"/>
      <c r="AI375" s="274"/>
      <c r="AJ375" s="274"/>
      <c r="AK375" s="274"/>
      <c r="AL375" s="274"/>
      <c r="AM375" s="275"/>
      <c r="AN375" s="273">
        <f t="shared" si="16"/>
        <v>615345</v>
      </c>
      <c r="AO375" s="274"/>
      <c r="AP375" s="274"/>
      <c r="AQ375" s="274"/>
      <c r="AR375" s="274"/>
      <c r="AS375" s="274"/>
      <c r="AT375" s="274"/>
      <c r="AU375" s="274"/>
      <c r="AV375" s="274"/>
      <c r="AW375" s="275"/>
      <c r="AX375" s="39"/>
      <c r="AY375" s="459" t="s">
        <v>503</v>
      </c>
      <c r="AZ375" s="459"/>
      <c r="BA375" s="459"/>
      <c r="BB375" s="459"/>
      <c r="BC375" s="459"/>
      <c r="BD375" s="459"/>
      <c r="BE375" s="459"/>
      <c r="BF375" s="459"/>
      <c r="BG375" s="459"/>
      <c r="BH375" s="459"/>
      <c r="BI375" s="459"/>
      <c r="BJ375" s="459"/>
      <c r="BK375" s="459"/>
      <c r="BL375" s="459"/>
      <c r="BM375" s="459"/>
      <c r="BN375" s="459"/>
      <c r="BO375" s="459"/>
      <c r="BP375" s="273">
        <f>BP308+BP312+BP316+BP320+BP324+BP328+BP332+BP336+BP340+BP343+BP347+BP351+BP355+BP359+BP363+BP367+BP371</f>
        <v>8000</v>
      </c>
      <c r="BQ375" s="274"/>
      <c r="BR375" s="274"/>
      <c r="BS375" s="274"/>
      <c r="BT375" s="274"/>
      <c r="BU375" s="274"/>
      <c r="BV375" s="274"/>
      <c r="BW375" s="274"/>
      <c r="BX375" s="274"/>
      <c r="BY375" s="275"/>
      <c r="BZ375" s="273">
        <f>BZ308+BZ312+BZ316+BZ320+BZ324+BZ328+BZ332+BZ336+BZ340+BZ343+BZ347+BZ351+BZ355+BZ359+BZ363+BZ367+BZ371</f>
        <v>21000</v>
      </c>
      <c r="CA375" s="274"/>
      <c r="CB375" s="274"/>
      <c r="CC375" s="274"/>
      <c r="CD375" s="274"/>
      <c r="CE375" s="274"/>
      <c r="CF375" s="274"/>
      <c r="CG375" s="274"/>
      <c r="CH375" s="274"/>
      <c r="CI375" s="275"/>
      <c r="CJ375" s="273">
        <f t="shared" si="17"/>
        <v>29000</v>
      </c>
      <c r="CK375" s="274"/>
      <c r="CL375" s="274"/>
      <c r="CM375" s="274"/>
      <c r="CN375" s="274"/>
      <c r="CO375" s="274"/>
      <c r="CP375" s="274"/>
      <c r="CQ375" s="274"/>
      <c r="CR375" s="274"/>
      <c r="CS375" s="275"/>
    </row>
    <row r="376" spans="1:104" hidden="1"/>
    <row r="377" spans="1:104" hidden="1">
      <c r="D377"/>
      <c r="E377" s="261" t="s">
        <v>509</v>
      </c>
      <c r="F377" s="262"/>
      <c r="G377" s="262"/>
      <c r="H377" s="262"/>
      <c r="I377" s="262"/>
      <c r="J377" s="262"/>
      <c r="K377" s="262"/>
      <c r="L377" s="262"/>
      <c r="M377" s="262"/>
      <c r="N377" s="262"/>
      <c r="O377" s="262"/>
      <c r="P377" s="262"/>
      <c r="Q377" s="262"/>
      <c r="R377" s="262"/>
      <c r="S377" s="262"/>
      <c r="T377" s="262"/>
      <c r="U377" s="262"/>
      <c r="V377" s="262"/>
      <c r="W377" s="262"/>
      <c r="X377" s="262"/>
      <c r="Y377" s="262"/>
      <c r="Z377" s="262"/>
      <c r="AA377" s="262"/>
      <c r="AB377" s="262"/>
      <c r="AC377" s="262"/>
      <c r="AD377" s="262"/>
      <c r="AE377" s="262"/>
      <c r="AF377" s="262"/>
      <c r="AG377" s="262"/>
      <c r="AH377" s="262"/>
      <c r="AI377" s="262"/>
      <c r="AJ377" s="262"/>
      <c r="AK377" s="262"/>
      <c r="AL377" s="262"/>
      <c r="AM377" s="262"/>
      <c r="AN377" s="262"/>
      <c r="AO377" s="262"/>
      <c r="AP377" s="262"/>
      <c r="AQ377" s="262"/>
      <c r="AR377" s="262"/>
      <c r="AS377" s="262"/>
      <c r="AT377" s="262"/>
      <c r="AU377" s="262"/>
      <c r="AV377" s="262"/>
      <c r="AW377" s="263"/>
      <c r="AY377" s="261" t="s">
        <v>508</v>
      </c>
      <c r="AZ377" s="262"/>
      <c r="BA377" s="262"/>
      <c r="BB377" s="262"/>
      <c r="BC377" s="262"/>
      <c r="BD377" s="262"/>
      <c r="BE377" s="262"/>
      <c r="BF377" s="262"/>
      <c r="BG377" s="262"/>
      <c r="BH377" s="262"/>
      <c r="BI377" s="262"/>
      <c r="BJ377" s="262"/>
      <c r="BK377" s="262"/>
      <c r="BL377" s="262"/>
      <c r="BM377" s="262"/>
      <c r="BN377" s="262"/>
      <c r="BO377" s="262"/>
      <c r="BP377" s="262"/>
      <c r="BQ377" s="262"/>
      <c r="BR377" s="262"/>
      <c r="BS377" s="262"/>
      <c r="BT377" s="262"/>
      <c r="BU377" s="262"/>
      <c r="BV377" s="262"/>
      <c r="BW377" s="262"/>
      <c r="BX377" s="262"/>
      <c r="BY377" s="262"/>
      <c r="BZ377" s="262"/>
      <c r="CA377" s="262"/>
      <c r="CB377" s="262"/>
      <c r="CC377" s="262"/>
      <c r="CD377" s="262"/>
      <c r="CE377" s="262"/>
      <c r="CF377" s="262"/>
      <c r="CG377" s="262"/>
      <c r="CH377" s="262"/>
      <c r="CI377" s="262"/>
      <c r="CJ377" s="262"/>
      <c r="CK377" s="262"/>
      <c r="CL377" s="262"/>
      <c r="CM377" s="262"/>
      <c r="CN377" s="262"/>
      <c r="CO377" s="262"/>
      <c r="CP377" s="262"/>
      <c r="CQ377" s="263"/>
    </row>
    <row r="378" spans="1:104" ht="15" hidden="1" customHeight="1">
      <c r="D378"/>
      <c r="E378" s="231" t="s">
        <v>317</v>
      </c>
      <c r="F378" s="232"/>
      <c r="G378" s="232"/>
      <c r="H378" s="232"/>
      <c r="I378" s="232"/>
      <c r="J378" s="232"/>
      <c r="K378" s="232"/>
      <c r="L378" s="232"/>
      <c r="M378" s="232"/>
      <c r="N378" s="232"/>
      <c r="O378" s="232"/>
      <c r="P378" s="232"/>
      <c r="Q378" s="232"/>
      <c r="R378" s="232"/>
      <c r="S378" s="233"/>
      <c r="T378" s="445" t="s">
        <v>34</v>
      </c>
      <c r="U378" s="446"/>
      <c r="V378" s="446"/>
      <c r="W378" s="446"/>
      <c r="X378" s="446"/>
      <c r="Y378" s="446"/>
      <c r="Z378" s="446"/>
      <c r="AA378" s="446"/>
      <c r="AB378" s="446"/>
      <c r="AC378" s="447"/>
      <c r="AD378" s="445" t="s">
        <v>10</v>
      </c>
      <c r="AE378" s="446"/>
      <c r="AF378" s="446"/>
      <c r="AG378" s="446"/>
      <c r="AH378" s="446"/>
      <c r="AI378" s="446"/>
      <c r="AJ378" s="446"/>
      <c r="AK378" s="446"/>
      <c r="AL378" s="446"/>
      <c r="AM378" s="447"/>
      <c r="AN378" s="445" t="s">
        <v>503</v>
      </c>
      <c r="AO378" s="446"/>
      <c r="AP378" s="446"/>
      <c r="AQ378" s="446"/>
      <c r="AR378" s="446"/>
      <c r="AS378" s="446"/>
      <c r="AT378" s="446"/>
      <c r="AU378" s="446"/>
      <c r="AV378" s="446"/>
      <c r="AW378" s="447"/>
      <c r="AY378" s="231" t="s">
        <v>317</v>
      </c>
      <c r="AZ378" s="232"/>
      <c r="BA378" s="232"/>
      <c r="BB378" s="232"/>
      <c r="BC378" s="232"/>
      <c r="BD378" s="232"/>
      <c r="BE378" s="232"/>
      <c r="BF378" s="232"/>
      <c r="BG378" s="232"/>
      <c r="BH378" s="232"/>
      <c r="BI378" s="232"/>
      <c r="BJ378" s="232"/>
      <c r="BK378" s="232"/>
      <c r="BL378" s="232"/>
      <c r="BM378" s="233"/>
      <c r="BN378" s="445" t="s">
        <v>34</v>
      </c>
      <c r="BO378" s="446"/>
      <c r="BP378" s="446"/>
      <c r="BQ378" s="446"/>
      <c r="BR378" s="446"/>
      <c r="BS378" s="446"/>
      <c r="BT378" s="446"/>
      <c r="BU378" s="446"/>
      <c r="BV378" s="446"/>
      <c r="BW378" s="447"/>
      <c r="BX378" s="445" t="s">
        <v>10</v>
      </c>
      <c r="BY378" s="446"/>
      <c r="BZ378" s="446"/>
      <c r="CA378" s="446"/>
      <c r="CB378" s="446"/>
      <c r="CC378" s="446"/>
      <c r="CD378" s="446"/>
      <c r="CE378" s="446"/>
      <c r="CF378" s="446"/>
      <c r="CG378" s="447"/>
      <c r="CH378" s="445" t="s">
        <v>503</v>
      </c>
      <c r="CI378" s="446"/>
      <c r="CJ378" s="446"/>
      <c r="CK378" s="446"/>
      <c r="CL378" s="446"/>
      <c r="CM378" s="446"/>
      <c r="CN378" s="446"/>
      <c r="CO378" s="446"/>
      <c r="CP378" s="446"/>
      <c r="CQ378" s="447"/>
    </row>
    <row r="379" spans="1:104" hidden="1">
      <c r="D379"/>
      <c r="E379" s="460" t="s">
        <v>495</v>
      </c>
      <c r="F379" s="461"/>
      <c r="G379" s="461"/>
      <c r="H379" s="461"/>
      <c r="I379" s="461"/>
      <c r="J379" s="461"/>
      <c r="K379" s="461"/>
      <c r="L379" s="461"/>
      <c r="M379" s="461"/>
      <c r="N379" s="461"/>
      <c r="O379" s="461"/>
      <c r="P379" s="461"/>
      <c r="Q379" s="461"/>
      <c r="R379" s="461"/>
      <c r="S379" s="462"/>
      <c r="T379" s="304">
        <f>SUMIFS('Adv. Filter'!$CH$1:$CH$50000,'Adv. Filter'!$CD$1:$CD$50000,"Kiran",'Adv. Filter'!$CB$1:$CB$50000,E379,'Adv. Filter'!$CF$1:$CF$50000,"Cash")</f>
        <v>3700</v>
      </c>
      <c r="U379" s="463"/>
      <c r="V379" s="463"/>
      <c r="W379" s="463"/>
      <c r="X379" s="463"/>
      <c r="Y379" s="463"/>
      <c r="Z379" s="463"/>
      <c r="AA379" s="463"/>
      <c r="AB379" s="463"/>
      <c r="AC379" s="464"/>
      <c r="AD379" s="304">
        <f>SUMIFS('Adv. Filter'!$CH$1:$CH$50000,'Adv. Filter'!$CD$1:$CD$50000,"Kiran",'Adv. Filter'!$CB$1:$CB$50000,E379,'Adv. Filter'!$CF$1:$CF$50000,"Bank")</f>
        <v>0</v>
      </c>
      <c r="AE379" s="463"/>
      <c r="AF379" s="463"/>
      <c r="AG379" s="463"/>
      <c r="AH379" s="463"/>
      <c r="AI379" s="463"/>
      <c r="AJ379" s="463"/>
      <c r="AK379" s="463"/>
      <c r="AL379" s="463"/>
      <c r="AM379" s="464"/>
      <c r="AN379" s="304">
        <f>T379+AD379</f>
        <v>3700</v>
      </c>
      <c r="AO379" s="463"/>
      <c r="AP379" s="463"/>
      <c r="AQ379" s="463"/>
      <c r="AR379" s="463"/>
      <c r="AS379" s="463"/>
      <c r="AT379" s="463"/>
      <c r="AU379" s="463"/>
      <c r="AV379" s="463"/>
      <c r="AW379" s="464"/>
      <c r="AY379" s="465" t="s">
        <v>507</v>
      </c>
      <c r="AZ379" s="466"/>
      <c r="BA379" s="466"/>
      <c r="BB379" s="466"/>
      <c r="BC379" s="466"/>
      <c r="BD379" s="466"/>
      <c r="BE379" s="466"/>
      <c r="BF379" s="466"/>
      <c r="BG379" s="466"/>
      <c r="BH379" s="466"/>
      <c r="BI379" s="466"/>
      <c r="BJ379" s="466"/>
      <c r="BK379" s="466"/>
      <c r="BL379" s="466"/>
      <c r="BM379" s="467"/>
      <c r="BN379" s="304">
        <f>T375</f>
        <v>91000</v>
      </c>
      <c r="BO379" s="463"/>
      <c r="BP379" s="463"/>
      <c r="BQ379" s="463"/>
      <c r="BR379" s="463"/>
      <c r="BS379" s="463"/>
      <c r="BT379" s="463"/>
      <c r="BU379" s="463"/>
      <c r="BV379" s="463"/>
      <c r="BW379" s="464"/>
      <c r="BX379" s="304">
        <f>AD375</f>
        <v>524345</v>
      </c>
      <c r="BY379" s="463"/>
      <c r="BZ379" s="463"/>
      <c r="CA379" s="463"/>
      <c r="CB379" s="463"/>
      <c r="CC379" s="463"/>
      <c r="CD379" s="463"/>
      <c r="CE379" s="463"/>
      <c r="CF379" s="463"/>
      <c r="CG379" s="464"/>
      <c r="CH379" s="304">
        <f>BN379+BX379</f>
        <v>615345</v>
      </c>
      <c r="CI379" s="463"/>
      <c r="CJ379" s="463"/>
      <c r="CK379" s="463"/>
      <c r="CL379" s="463"/>
      <c r="CM379" s="463"/>
      <c r="CN379" s="463"/>
      <c r="CO379" s="463"/>
      <c r="CP379" s="463"/>
      <c r="CQ379" s="464"/>
    </row>
    <row r="380" spans="1:104" hidden="1">
      <c r="D380"/>
      <c r="E380" s="264" t="s">
        <v>496</v>
      </c>
      <c r="F380" s="265"/>
      <c r="G380" s="265"/>
      <c r="H380" s="265"/>
      <c r="I380" s="265"/>
      <c r="J380" s="265"/>
      <c r="K380" s="265"/>
      <c r="L380" s="265"/>
      <c r="M380" s="265"/>
      <c r="N380" s="265"/>
      <c r="O380" s="265"/>
      <c r="P380" s="265"/>
      <c r="Q380" s="265"/>
      <c r="R380" s="265"/>
      <c r="S380" s="266"/>
      <c r="T380" s="267">
        <f>SUMIFS('Adv. Filter'!$CH$1:$CH$50000,'Adv. Filter'!$CD$1:$CD$50000,"Kiran",'Adv. Filter'!$CB$1:$CB$50000,E380,'Adv. Filter'!$CF$1:$CF$50000,"Cash")</f>
        <v>0</v>
      </c>
      <c r="U380" s="268"/>
      <c r="V380" s="268"/>
      <c r="W380" s="268"/>
      <c r="X380" s="268"/>
      <c r="Y380" s="268"/>
      <c r="Z380" s="268"/>
      <c r="AA380" s="268"/>
      <c r="AB380" s="268"/>
      <c r="AC380" s="269"/>
      <c r="AD380" s="267">
        <f>SUMIFS('Adv. Filter'!$CH$1:$CH$50000,'Adv. Filter'!$CD$1:$CD$50000,"Kiran",'Adv. Filter'!$CB$1:$CB$50000,E380,'Adv. Filter'!$CF$1:$CF$50000,"Bank")</f>
        <v>0</v>
      </c>
      <c r="AE380" s="268"/>
      <c r="AF380" s="268"/>
      <c r="AG380" s="268"/>
      <c r="AH380" s="268"/>
      <c r="AI380" s="268"/>
      <c r="AJ380" s="268"/>
      <c r="AK380" s="268"/>
      <c r="AL380" s="268"/>
      <c r="AM380" s="269"/>
      <c r="AN380" s="267">
        <f>T380+AD380</f>
        <v>0</v>
      </c>
      <c r="AO380" s="268"/>
      <c r="AP380" s="268"/>
      <c r="AQ380" s="268"/>
      <c r="AR380" s="268"/>
      <c r="AS380" s="268"/>
      <c r="AT380" s="268"/>
      <c r="AU380" s="268"/>
      <c r="AV380" s="268"/>
      <c r="AW380" s="269"/>
      <c r="AY380" s="468" t="s">
        <v>506</v>
      </c>
      <c r="AZ380" s="469"/>
      <c r="BA380" s="469"/>
      <c r="BB380" s="469"/>
      <c r="BC380" s="469"/>
      <c r="BD380" s="469"/>
      <c r="BE380" s="469"/>
      <c r="BF380" s="469"/>
      <c r="BG380" s="469"/>
      <c r="BH380" s="469"/>
      <c r="BI380" s="469"/>
      <c r="BJ380" s="469"/>
      <c r="BK380" s="469"/>
      <c r="BL380" s="469"/>
      <c r="BM380" s="470"/>
      <c r="BN380" s="267">
        <f>BP375</f>
        <v>8000</v>
      </c>
      <c r="BO380" s="268"/>
      <c r="BP380" s="268"/>
      <c r="BQ380" s="268"/>
      <c r="BR380" s="268"/>
      <c r="BS380" s="268"/>
      <c r="BT380" s="268"/>
      <c r="BU380" s="268"/>
      <c r="BV380" s="268"/>
      <c r="BW380" s="269"/>
      <c r="BX380" s="267">
        <f>BZ375</f>
        <v>21000</v>
      </c>
      <c r="BY380" s="268"/>
      <c r="BZ380" s="268"/>
      <c r="CA380" s="268"/>
      <c r="CB380" s="268"/>
      <c r="CC380" s="268"/>
      <c r="CD380" s="268"/>
      <c r="CE380" s="268"/>
      <c r="CF380" s="268"/>
      <c r="CG380" s="269"/>
      <c r="CH380" s="267">
        <f>BN380+BX380</f>
        <v>29000</v>
      </c>
      <c r="CI380" s="268"/>
      <c r="CJ380" s="268"/>
      <c r="CK380" s="268"/>
      <c r="CL380" s="268"/>
      <c r="CM380" s="268"/>
      <c r="CN380" s="268"/>
      <c r="CO380" s="268"/>
      <c r="CP380" s="268"/>
      <c r="CQ380" s="269"/>
    </row>
    <row r="381" spans="1:104" hidden="1">
      <c r="D381"/>
      <c r="E381" s="264" t="s">
        <v>505</v>
      </c>
      <c r="F381" s="265"/>
      <c r="G381" s="265"/>
      <c r="H381" s="265"/>
      <c r="I381" s="265"/>
      <c r="J381" s="265"/>
      <c r="K381" s="265"/>
      <c r="L381" s="265"/>
      <c r="M381" s="265"/>
      <c r="N381" s="265"/>
      <c r="O381" s="265"/>
      <c r="P381" s="265"/>
      <c r="Q381" s="265"/>
      <c r="R381" s="265"/>
      <c r="S381" s="266"/>
      <c r="T381" s="267">
        <f>SUMIFS('Adv. Filter'!$CH$1:$CH$50000,'Adv. Filter'!$CD$1:$CD$50000,"Kiran",'Adv. Filter'!$CB$1:$CB$50000,E381,'Adv. Filter'!$CF$1:$CF$50000,"Cash")</f>
        <v>0</v>
      </c>
      <c r="U381" s="268"/>
      <c r="V381" s="268"/>
      <c r="W381" s="268"/>
      <c r="X381" s="268"/>
      <c r="Y381" s="268"/>
      <c r="Z381" s="268"/>
      <c r="AA381" s="268"/>
      <c r="AB381" s="268"/>
      <c r="AC381" s="269"/>
      <c r="AD381" s="267">
        <f>SUMIFS('Adv. Filter'!$CH$1:$CH$50000,'Adv. Filter'!$CD$1:$CD$50000,"Kiran",'Adv. Filter'!$CB$1:$CB$50000,E381,'Adv. Filter'!$CF$1:$CF$50000,"Bank")</f>
        <v>0</v>
      </c>
      <c r="AE381" s="268"/>
      <c r="AF381" s="268"/>
      <c r="AG381" s="268"/>
      <c r="AH381" s="268"/>
      <c r="AI381" s="268"/>
      <c r="AJ381" s="268"/>
      <c r="AK381" s="268"/>
      <c r="AL381" s="268"/>
      <c r="AM381" s="269"/>
      <c r="AN381" s="267">
        <f>T381+AD381</f>
        <v>0</v>
      </c>
      <c r="AO381" s="268"/>
      <c r="AP381" s="268"/>
      <c r="AQ381" s="268"/>
      <c r="AR381" s="268"/>
      <c r="AS381" s="268"/>
      <c r="AT381" s="268"/>
      <c r="AU381" s="268"/>
      <c r="AV381" s="268"/>
      <c r="AW381" s="269"/>
      <c r="AY381" s="270"/>
      <c r="AZ381" s="271"/>
      <c r="BA381" s="271"/>
      <c r="BB381" s="271"/>
      <c r="BC381" s="271"/>
      <c r="BD381" s="271"/>
      <c r="BE381" s="271"/>
      <c r="BF381" s="271"/>
      <c r="BG381" s="271"/>
      <c r="BH381" s="271"/>
      <c r="BI381" s="271"/>
      <c r="BJ381" s="271"/>
      <c r="BK381" s="271"/>
      <c r="BL381" s="271"/>
      <c r="BM381" s="272"/>
      <c r="BN381" s="267"/>
      <c r="BO381" s="268"/>
      <c r="BP381" s="268"/>
      <c r="BQ381" s="268"/>
      <c r="BR381" s="268"/>
      <c r="BS381" s="268"/>
      <c r="BT381" s="268"/>
      <c r="BU381" s="268"/>
      <c r="BV381" s="268"/>
      <c r="BW381" s="269"/>
      <c r="BX381" s="267"/>
      <c r="BY381" s="268"/>
      <c r="BZ381" s="268"/>
      <c r="CA381" s="268"/>
      <c r="CB381" s="268"/>
      <c r="CC381" s="268"/>
      <c r="CD381" s="268"/>
      <c r="CE381" s="268"/>
      <c r="CF381" s="268"/>
      <c r="CG381" s="269"/>
      <c r="CH381" s="267"/>
      <c r="CI381" s="268"/>
      <c r="CJ381" s="268"/>
      <c r="CK381" s="268"/>
      <c r="CL381" s="268"/>
      <c r="CM381" s="268"/>
      <c r="CN381" s="268"/>
      <c r="CO381" s="268"/>
      <c r="CP381" s="268"/>
      <c r="CQ381" s="269"/>
    </row>
    <row r="382" spans="1:104" ht="15.75" hidden="1" thickBot="1">
      <c r="D382"/>
      <c r="E382" s="285" t="s">
        <v>504</v>
      </c>
      <c r="F382" s="286"/>
      <c r="G382" s="286"/>
      <c r="H382" s="286"/>
      <c r="I382" s="286"/>
      <c r="J382" s="286"/>
      <c r="K382" s="286"/>
      <c r="L382" s="286"/>
      <c r="M382" s="286"/>
      <c r="N382" s="286"/>
      <c r="O382" s="286"/>
      <c r="P382" s="286"/>
      <c r="Q382" s="286"/>
      <c r="R382" s="286"/>
      <c r="S382" s="287"/>
      <c r="T382" s="252">
        <f>SUMIFS('Adv. Filter'!$CH$1:$CH$50000,'Adv. Filter'!$CD$1:$CD$50000,"Kiran",'Adv. Filter'!$CB$1:$CB$50000,E382,'Adv. Filter'!$CF$1:$CF$50000,"Cash")</f>
        <v>1600</v>
      </c>
      <c r="U382" s="253"/>
      <c r="V382" s="253"/>
      <c r="W382" s="253"/>
      <c r="X382" s="253"/>
      <c r="Y382" s="253"/>
      <c r="Z382" s="253"/>
      <c r="AA382" s="253"/>
      <c r="AB382" s="253"/>
      <c r="AC382" s="254"/>
      <c r="AD382" s="252">
        <f>SUMIFS('Adv. Filter'!$CH$1:$CH$50000,'Adv. Filter'!$CD$1:$CD$50000,"Kiran",'Adv. Filter'!$CB$1:$CB$50000,E382,'Adv. Filter'!$CF$1:$CF$50000,"Bank")</f>
        <v>0</v>
      </c>
      <c r="AE382" s="253"/>
      <c r="AF382" s="253"/>
      <c r="AG382" s="253"/>
      <c r="AH382" s="253"/>
      <c r="AI382" s="253"/>
      <c r="AJ382" s="253"/>
      <c r="AK382" s="253"/>
      <c r="AL382" s="253"/>
      <c r="AM382" s="254"/>
      <c r="AN382" s="252">
        <f>T382+AD382</f>
        <v>1600</v>
      </c>
      <c r="AO382" s="253"/>
      <c r="AP382" s="253"/>
      <c r="AQ382" s="253"/>
      <c r="AR382" s="253"/>
      <c r="AS382" s="253"/>
      <c r="AT382" s="253"/>
      <c r="AU382" s="253"/>
      <c r="AV382" s="253"/>
      <c r="AW382" s="254"/>
      <c r="AY382" s="255" t="s">
        <v>329</v>
      </c>
      <c r="AZ382" s="256"/>
      <c r="BA382" s="256"/>
      <c r="BB382" s="256"/>
      <c r="BC382" s="256"/>
      <c r="BD382" s="256"/>
      <c r="BE382" s="256"/>
      <c r="BF382" s="256"/>
      <c r="BG382" s="256"/>
      <c r="BH382" s="256"/>
      <c r="BI382" s="256"/>
      <c r="BJ382" s="256"/>
      <c r="BK382" s="256"/>
      <c r="BL382" s="256"/>
      <c r="BM382" s="257"/>
      <c r="BN382" s="252">
        <f>SUMIFS('Adv. Filter'!$CH$1:$CH$50000,'Adv. Filter'!$CD$1:$CD$50000,"Kiran",'Adv. Filter'!$CC$1:$CC$50000,"TDS",'Adv. Filter'!$CF$1:$CF$50000,"Cash")</f>
        <v>0</v>
      </c>
      <c r="BO382" s="253"/>
      <c r="BP382" s="253"/>
      <c r="BQ382" s="253"/>
      <c r="BR382" s="253"/>
      <c r="BS382" s="253"/>
      <c r="BT382" s="253"/>
      <c r="BU382" s="253"/>
      <c r="BV382" s="253"/>
      <c r="BW382" s="254"/>
      <c r="BX382" s="252">
        <f>SUMIFS('Adv. Filter'!$CH$1:$CH$50000,'Adv. Filter'!$CD$1:$CD$50000,"Kiran",'Adv. Filter'!$CC$1:$CC$50000,"TDS",'Adv. Filter'!$CF$1:$CF$50000,"Bank")</f>
        <v>27800</v>
      </c>
      <c r="BY382" s="253"/>
      <c r="BZ382" s="253"/>
      <c r="CA382" s="253"/>
      <c r="CB382" s="253"/>
      <c r="CC382" s="253"/>
      <c r="CD382" s="253"/>
      <c r="CE382" s="253"/>
      <c r="CF382" s="253"/>
      <c r="CG382" s="254"/>
      <c r="CH382" s="252">
        <f>BN382+BX382</f>
        <v>27800</v>
      </c>
      <c r="CI382" s="253"/>
      <c r="CJ382" s="253"/>
      <c r="CK382" s="253"/>
      <c r="CL382" s="253"/>
      <c r="CM382" s="253"/>
      <c r="CN382" s="253"/>
      <c r="CO382" s="253"/>
      <c r="CP382" s="253"/>
      <c r="CQ382" s="254"/>
    </row>
    <row r="383" spans="1:104" ht="16.5" hidden="1" thickTop="1">
      <c r="D383"/>
      <c r="E383" s="471" t="s">
        <v>503</v>
      </c>
      <c r="F383" s="472"/>
      <c r="G383" s="472"/>
      <c r="H383" s="472"/>
      <c r="I383" s="472"/>
      <c r="J383" s="472"/>
      <c r="K383" s="472"/>
      <c r="L383" s="472"/>
      <c r="M383" s="472"/>
      <c r="N383" s="472"/>
      <c r="O383" s="472"/>
      <c r="P383" s="472"/>
      <c r="Q383" s="472"/>
      <c r="R383" s="472"/>
      <c r="S383" s="473"/>
      <c r="T383" s="258">
        <f>SUM(T379:AC382)</f>
        <v>5300</v>
      </c>
      <c r="U383" s="259"/>
      <c r="V383" s="259"/>
      <c r="W383" s="259"/>
      <c r="X383" s="259"/>
      <c r="Y383" s="259"/>
      <c r="Z383" s="259"/>
      <c r="AA383" s="259"/>
      <c r="AB383" s="259"/>
      <c r="AC383" s="260"/>
      <c r="AD383" s="258">
        <f>SUM(AD379:AM382)</f>
        <v>0</v>
      </c>
      <c r="AE383" s="259"/>
      <c r="AF383" s="259"/>
      <c r="AG383" s="259"/>
      <c r="AH383" s="259"/>
      <c r="AI383" s="259"/>
      <c r="AJ383" s="259"/>
      <c r="AK383" s="259"/>
      <c r="AL383" s="259"/>
      <c r="AM383" s="260"/>
      <c r="AN383" s="258">
        <f>T383+AD383</f>
        <v>5300</v>
      </c>
      <c r="AO383" s="259"/>
      <c r="AP383" s="259"/>
      <c r="AQ383" s="259"/>
      <c r="AR383" s="259"/>
      <c r="AS383" s="259"/>
      <c r="AT383" s="259"/>
      <c r="AU383" s="259"/>
      <c r="AV383" s="259"/>
      <c r="AW383" s="260"/>
      <c r="AX383" s="37"/>
      <c r="AY383" s="471" t="s">
        <v>503</v>
      </c>
      <c r="AZ383" s="472"/>
      <c r="BA383" s="472"/>
      <c r="BB383" s="472"/>
      <c r="BC383" s="472"/>
      <c r="BD383" s="472"/>
      <c r="BE383" s="472"/>
      <c r="BF383" s="472"/>
      <c r="BG383" s="472"/>
      <c r="BH383" s="472"/>
      <c r="BI383" s="472"/>
      <c r="BJ383" s="472"/>
      <c r="BK383" s="472"/>
      <c r="BL383" s="472"/>
      <c r="BM383" s="473"/>
      <c r="BN383" s="258">
        <f>SUM(BN379:BW382)</f>
        <v>99000</v>
      </c>
      <c r="BO383" s="259"/>
      <c r="BP383" s="259"/>
      <c r="BQ383" s="259"/>
      <c r="BR383" s="259"/>
      <c r="BS383" s="259"/>
      <c r="BT383" s="259"/>
      <c r="BU383" s="259"/>
      <c r="BV383" s="259"/>
      <c r="BW383" s="260"/>
      <c r="BX383" s="258">
        <f>SUM(BX379:CG382)</f>
        <v>573145</v>
      </c>
      <c r="BY383" s="259"/>
      <c r="BZ383" s="259"/>
      <c r="CA383" s="259"/>
      <c r="CB383" s="259"/>
      <c r="CC383" s="259"/>
      <c r="CD383" s="259"/>
      <c r="CE383" s="259"/>
      <c r="CF383" s="259"/>
      <c r="CG383" s="260"/>
      <c r="CH383" s="258">
        <f>BN383+BX383</f>
        <v>672145</v>
      </c>
      <c r="CI383" s="259"/>
      <c r="CJ383" s="259"/>
      <c r="CK383" s="259"/>
      <c r="CL383" s="259"/>
      <c r="CM383" s="259"/>
      <c r="CN383" s="259"/>
      <c r="CO383" s="259"/>
      <c r="CP383" s="259"/>
      <c r="CQ383" s="260"/>
    </row>
    <row r="384" spans="1:104" hidden="1">
      <c r="D384"/>
    </row>
    <row r="385" spans="3:135" ht="15.75" hidden="1">
      <c r="C385" s="453" t="str">
        <f>CONCATENATE("PRESENT FORMS    ",TEXT('Adv. Filter'!$A$15,"( DD-MMM-YY"), " TO ",TEXT('Adv. Filter'!$B$15,"DD-MMM-YY )"))</f>
        <v>PRESENT FORMS    ( 01-Jan-17 TO 13-Oct-17 )</v>
      </c>
      <c r="D385" s="454"/>
      <c r="E385" s="454"/>
      <c r="F385" s="454"/>
      <c r="G385" s="454"/>
      <c r="H385" s="454"/>
      <c r="I385" s="454"/>
      <c r="J385" s="454"/>
      <c r="K385" s="454"/>
      <c r="L385" s="454"/>
      <c r="M385" s="454"/>
      <c r="N385" s="454"/>
      <c r="O385" s="454"/>
      <c r="P385" s="454"/>
      <c r="Q385" s="454"/>
      <c r="R385" s="454"/>
      <c r="S385" s="454"/>
      <c r="T385" s="454"/>
      <c r="U385" s="454"/>
      <c r="V385" s="454"/>
      <c r="W385" s="454"/>
      <c r="X385" s="454"/>
      <c r="Y385" s="454"/>
      <c r="Z385" s="454"/>
      <c r="AA385" s="454"/>
      <c r="AB385" s="454"/>
      <c r="AC385" s="454"/>
      <c r="AD385" s="454"/>
      <c r="AE385" s="454"/>
      <c r="AF385" s="454"/>
      <c r="AG385" s="454"/>
      <c r="AH385" s="454"/>
      <c r="AI385" s="454"/>
      <c r="AJ385" s="454"/>
      <c r="AK385" s="454"/>
      <c r="AL385" s="454"/>
      <c r="AM385" s="454"/>
      <c r="AN385" s="454"/>
      <c r="AO385" s="454"/>
      <c r="AP385" s="454"/>
      <c r="AQ385" s="454"/>
      <c r="AR385" s="454"/>
      <c r="AS385" s="454"/>
      <c r="AT385" s="454"/>
      <c r="AU385" s="454"/>
      <c r="AV385" s="454"/>
      <c r="AW385" s="454"/>
      <c r="AX385" s="454"/>
      <c r="AY385" s="454"/>
      <c r="AZ385" s="454"/>
      <c r="BA385" s="454"/>
      <c r="BB385" s="454"/>
      <c r="BC385" s="454"/>
      <c r="BD385" s="454"/>
      <c r="BE385" s="454"/>
      <c r="BF385" s="454"/>
      <c r="BG385" s="454"/>
      <c r="BH385" s="454"/>
      <c r="BI385" s="454"/>
      <c r="BJ385" s="454"/>
      <c r="BK385" s="454"/>
      <c r="BL385" s="454"/>
      <c r="BM385" s="454"/>
      <c r="BN385" s="454"/>
      <c r="BO385" s="454"/>
      <c r="BP385" s="454"/>
      <c r="BQ385" s="454"/>
      <c r="BR385" s="454"/>
      <c r="BS385" s="454"/>
      <c r="BT385" s="454"/>
      <c r="BU385" s="454"/>
      <c r="BV385" s="454"/>
      <c r="BW385" s="454"/>
      <c r="BX385" s="454"/>
      <c r="BY385" s="454"/>
      <c r="BZ385" s="454"/>
      <c r="CA385" s="454"/>
      <c r="CB385" s="454"/>
      <c r="CC385" s="454"/>
      <c r="CD385" s="454"/>
      <c r="CE385" s="454"/>
      <c r="CF385" s="454"/>
      <c r="CG385" s="454"/>
      <c r="CH385" s="454"/>
      <c r="CI385" s="454"/>
      <c r="CJ385" s="454"/>
      <c r="CK385" s="454"/>
      <c r="CL385" s="454"/>
      <c r="CM385" s="454"/>
      <c r="CN385" s="454"/>
      <c r="CO385" s="454"/>
      <c r="CP385" s="454"/>
      <c r="CQ385" s="454"/>
      <c r="CR385" s="454"/>
      <c r="CS385" s="454"/>
      <c r="CT385" s="454"/>
      <c r="CU385" s="454"/>
      <c r="CV385" s="454"/>
      <c r="CW385" s="454"/>
      <c r="CX385" s="454"/>
      <c r="CY385" s="454"/>
      <c r="CZ385" s="454"/>
      <c r="DA385" s="454"/>
      <c r="DB385" s="454"/>
      <c r="DC385" s="454"/>
      <c r="DD385" s="454"/>
      <c r="DE385" s="454"/>
      <c r="DF385" s="454"/>
      <c r="DG385" s="454"/>
      <c r="DH385" s="454"/>
      <c r="DI385" s="454"/>
      <c r="DJ385" s="454"/>
      <c r="DK385" s="454"/>
      <c r="DL385" s="454"/>
      <c r="DM385" s="454"/>
      <c r="DN385" s="454"/>
      <c r="DO385" s="454"/>
      <c r="DP385" s="454"/>
      <c r="DQ385" s="454"/>
      <c r="DR385" s="454"/>
      <c r="DS385" s="454"/>
      <c r="DT385" s="454"/>
      <c r="DU385" s="454"/>
      <c r="DV385" s="454"/>
      <c r="DW385" s="454"/>
      <c r="DX385" s="454"/>
      <c r="DY385" s="454"/>
      <c r="DZ385" s="454"/>
      <c r="EA385" s="454"/>
      <c r="EB385" s="454"/>
      <c r="EC385" s="454"/>
      <c r="ED385" s="454"/>
      <c r="EE385" s="455"/>
    </row>
    <row r="386" spans="3:135" hidden="1">
      <c r="C386" s="478" t="s">
        <v>513</v>
      </c>
      <c r="D386" s="478"/>
      <c r="E386" s="478"/>
      <c r="F386" s="478"/>
      <c r="G386" s="478"/>
      <c r="H386" s="478"/>
      <c r="I386" s="478"/>
      <c r="J386" s="478"/>
      <c r="K386" s="478"/>
      <c r="L386" s="478"/>
      <c r="M386" s="478"/>
      <c r="N386" s="478"/>
      <c r="O386" s="209" t="s">
        <v>117</v>
      </c>
      <c r="P386" s="209"/>
      <c r="Q386" s="209"/>
      <c r="R386" s="209"/>
      <c r="S386" s="209"/>
      <c r="T386" s="209"/>
      <c r="U386" s="209"/>
      <c r="V386" s="100"/>
      <c r="W386" s="231" t="s">
        <v>511</v>
      </c>
      <c r="X386" s="232"/>
      <c r="Y386" s="232"/>
      <c r="Z386" s="232"/>
      <c r="AA386" s="232"/>
      <c r="AB386" s="232"/>
      <c r="AC386" s="232"/>
      <c r="AD386" s="232"/>
      <c r="AE386" s="232"/>
      <c r="AF386" s="232"/>
      <c r="AG386" s="232"/>
      <c r="AH386" s="232"/>
      <c r="AI386" s="232"/>
      <c r="AJ386" s="232"/>
      <c r="AK386" s="232"/>
      <c r="AL386" s="232"/>
      <c r="AM386" s="232"/>
      <c r="AN386" s="232"/>
      <c r="AO386" s="232"/>
      <c r="AP386" s="232"/>
      <c r="AQ386" s="232"/>
      <c r="AR386" s="232"/>
      <c r="AS386" s="232"/>
      <c r="AT386" s="232"/>
      <c r="AU386" s="232"/>
      <c r="AV386" s="232"/>
      <c r="AW386" s="232"/>
      <c r="AX386" s="232"/>
      <c r="AY386" s="232"/>
      <c r="AZ386" s="232"/>
      <c r="BA386" s="232"/>
      <c r="BB386" s="232"/>
      <c r="BC386" s="232"/>
      <c r="BD386" s="232"/>
      <c r="BE386" s="232"/>
      <c r="BF386" s="232"/>
      <c r="BG386" s="232"/>
      <c r="BH386" s="232"/>
      <c r="BI386" s="232"/>
      <c r="BJ386" s="232"/>
      <c r="BK386" s="232"/>
      <c r="BL386" s="232"/>
      <c r="BM386" s="232"/>
      <c r="BN386" s="232"/>
      <c r="BO386" s="232"/>
      <c r="BP386" s="232"/>
      <c r="BQ386" s="232"/>
      <c r="BR386" s="232"/>
      <c r="BS386" s="233"/>
      <c r="BT386" s="100"/>
      <c r="BU386" s="231" t="s">
        <v>571</v>
      </c>
      <c r="BV386" s="232"/>
      <c r="BW386" s="232"/>
      <c r="BX386" s="232"/>
      <c r="BY386" s="232"/>
      <c r="BZ386" s="232"/>
      <c r="CA386" s="232"/>
      <c r="CB386" s="232"/>
      <c r="CC386" s="232"/>
      <c r="CD386" s="232"/>
      <c r="CE386" s="232"/>
      <c r="CF386" s="232"/>
      <c r="CG386" s="232"/>
      <c r="CH386" s="232"/>
      <c r="CI386" s="232"/>
      <c r="CJ386" s="232"/>
      <c r="CK386" s="232"/>
      <c r="CL386" s="232"/>
      <c r="CM386" s="232"/>
      <c r="CN386" s="232"/>
      <c r="CO386" s="232"/>
      <c r="CP386" s="232"/>
      <c r="CQ386" s="232"/>
      <c r="CR386" s="232"/>
      <c r="CS386" s="232"/>
      <c r="CT386" s="232"/>
      <c r="CU386" s="232"/>
      <c r="CV386" s="232"/>
      <c r="CW386" s="232"/>
      <c r="CX386" s="232"/>
      <c r="CY386" s="232"/>
      <c r="CZ386" s="232"/>
      <c r="DA386" s="232"/>
      <c r="DB386" s="232"/>
      <c r="DC386" s="232"/>
      <c r="DD386" s="232"/>
      <c r="DE386" s="232"/>
      <c r="DF386" s="232"/>
      <c r="DG386" s="232"/>
      <c r="DH386" s="232"/>
      <c r="DI386" s="232"/>
      <c r="DJ386" s="232"/>
      <c r="DK386" s="232"/>
      <c r="DL386" s="232"/>
      <c r="DM386" s="232"/>
      <c r="DN386" s="232"/>
      <c r="DO386" s="232"/>
      <c r="DP386" s="232"/>
      <c r="DQ386" s="232"/>
      <c r="DR386" s="232"/>
      <c r="DS386" s="232"/>
      <c r="DT386" s="232"/>
      <c r="DU386" s="232"/>
      <c r="DV386" s="232"/>
      <c r="DW386" s="232"/>
      <c r="DX386" s="232"/>
      <c r="DY386" s="232"/>
      <c r="DZ386" s="232"/>
      <c r="EA386" s="232"/>
      <c r="EB386" s="232"/>
      <c r="EC386" s="232"/>
      <c r="ED386" s="232"/>
      <c r="EE386" s="233"/>
    </row>
    <row r="387" spans="3:135" hidden="1">
      <c r="C387" s="478"/>
      <c r="D387" s="478"/>
      <c r="E387" s="478"/>
      <c r="F387" s="478"/>
      <c r="G387" s="478"/>
      <c r="H387" s="478"/>
      <c r="I387" s="478"/>
      <c r="J387" s="478"/>
      <c r="K387" s="478"/>
      <c r="L387" s="478"/>
      <c r="M387" s="478"/>
      <c r="N387" s="478"/>
      <c r="O387" s="208" t="s">
        <v>569</v>
      </c>
      <c r="P387" s="208"/>
      <c r="Q387" s="208"/>
      <c r="R387" s="208"/>
      <c r="S387" s="208"/>
      <c r="T387" s="208"/>
      <c r="U387" s="208"/>
      <c r="V387" s="100"/>
      <c r="W387" s="250" t="s">
        <v>511</v>
      </c>
      <c r="X387" s="251"/>
      <c r="Y387" s="251"/>
      <c r="Z387" s="251"/>
      <c r="AA387" s="251"/>
      <c r="AB387" s="251"/>
      <c r="AC387" s="245"/>
      <c r="AD387" s="250" t="s">
        <v>493</v>
      </c>
      <c r="AE387" s="251"/>
      <c r="AF387" s="251"/>
      <c r="AG387" s="251"/>
      <c r="AH387" s="251"/>
      <c r="AI387" s="251"/>
      <c r="AJ387" s="245"/>
      <c r="AK387" s="250" t="s">
        <v>485</v>
      </c>
      <c r="AL387" s="251"/>
      <c r="AM387" s="251"/>
      <c r="AN387" s="251"/>
      <c r="AO387" s="251"/>
      <c r="AP387" s="251"/>
      <c r="AQ387" s="245"/>
      <c r="AR387" s="250" t="s">
        <v>575</v>
      </c>
      <c r="AS387" s="251"/>
      <c r="AT387" s="251"/>
      <c r="AU387" s="251"/>
      <c r="AV387" s="251"/>
      <c r="AW387" s="251"/>
      <c r="AX387" s="245"/>
      <c r="AY387" s="250" t="s">
        <v>568</v>
      </c>
      <c r="AZ387" s="251"/>
      <c r="BA387" s="251"/>
      <c r="BB387" s="251"/>
      <c r="BC387" s="251"/>
      <c r="BD387" s="251"/>
      <c r="BE387" s="245"/>
      <c r="BF387" s="250" t="s">
        <v>492</v>
      </c>
      <c r="BG387" s="251"/>
      <c r="BH387" s="251"/>
      <c r="BI387" s="251"/>
      <c r="BJ387" s="251"/>
      <c r="BK387" s="251"/>
      <c r="BL387" s="245"/>
      <c r="BM387" s="250" t="s">
        <v>567</v>
      </c>
      <c r="BN387" s="251"/>
      <c r="BO387" s="251"/>
      <c r="BP387" s="251"/>
      <c r="BQ387" s="251"/>
      <c r="BR387" s="251"/>
      <c r="BS387" s="245"/>
      <c r="BT387" s="100"/>
      <c r="BU387" s="208" t="s">
        <v>570</v>
      </c>
      <c r="BV387" s="208"/>
      <c r="BW387" s="208"/>
      <c r="BX387" s="208"/>
      <c r="BY387" s="208"/>
      <c r="BZ387" s="208"/>
      <c r="CA387" s="208"/>
      <c r="CB387" s="208" t="s">
        <v>559</v>
      </c>
      <c r="CC387" s="208"/>
      <c r="CD387" s="208"/>
      <c r="CE387" s="208"/>
      <c r="CF387" s="208"/>
      <c r="CG387" s="208"/>
      <c r="CH387" s="208"/>
      <c r="CI387" s="208" t="s">
        <v>560</v>
      </c>
      <c r="CJ387" s="208"/>
      <c r="CK387" s="208"/>
      <c r="CL387" s="208"/>
      <c r="CM387" s="208"/>
      <c r="CN387" s="208"/>
      <c r="CO387" s="208"/>
      <c r="CP387" s="208" t="s">
        <v>561</v>
      </c>
      <c r="CQ387" s="208"/>
      <c r="CR387" s="208"/>
      <c r="CS387" s="208"/>
      <c r="CT387" s="208"/>
      <c r="CU387" s="208"/>
      <c r="CV387" s="208"/>
      <c r="CW387" s="208" t="s">
        <v>562</v>
      </c>
      <c r="CX387" s="208"/>
      <c r="CY387" s="208"/>
      <c r="CZ387" s="208"/>
      <c r="DA387" s="208"/>
      <c r="DB387" s="208"/>
      <c r="DC387" s="208"/>
      <c r="DD387" s="208" t="s">
        <v>563</v>
      </c>
      <c r="DE387" s="208"/>
      <c r="DF387" s="208"/>
      <c r="DG387" s="208"/>
      <c r="DH387" s="208"/>
      <c r="DI387" s="208"/>
      <c r="DJ387" s="208"/>
      <c r="DK387" s="208" t="s">
        <v>564</v>
      </c>
      <c r="DL387" s="208"/>
      <c r="DM387" s="208"/>
      <c r="DN387" s="208"/>
      <c r="DO387" s="208"/>
      <c r="DP387" s="208"/>
      <c r="DQ387" s="208"/>
      <c r="DR387" s="208" t="s">
        <v>565</v>
      </c>
      <c r="DS387" s="208"/>
      <c r="DT387" s="208"/>
      <c r="DU387" s="208"/>
      <c r="DV387" s="208"/>
      <c r="DW387" s="208"/>
      <c r="DX387" s="208"/>
      <c r="DY387" s="208" t="s">
        <v>566</v>
      </c>
      <c r="DZ387" s="208"/>
      <c r="EA387" s="208"/>
      <c r="EB387" s="208"/>
      <c r="EC387" s="208"/>
      <c r="ED387" s="208"/>
      <c r="EE387" s="208"/>
    </row>
    <row r="388" spans="3:135" hidden="1">
      <c r="C388" s="248" t="s">
        <v>26</v>
      </c>
      <c r="D388" s="249"/>
      <c r="E388" s="249"/>
      <c r="F388" s="249"/>
      <c r="G388" s="249"/>
      <c r="H388" s="249"/>
      <c r="I388" s="249"/>
      <c r="J388" s="249"/>
      <c r="K388" s="249"/>
      <c r="L388" s="249"/>
      <c r="M388" s="249"/>
      <c r="N388" s="249"/>
      <c r="O388" s="234">
        <f>SUM(COUNTIFS('Form Details'!$AA:$AA,{"Yes","No","-"},'Form Details'!$N:$N,"Kiran",'Form Details'!$J:$J,$C388,'Form Details'!$D:$D,'Adv. Filter'!$A$14,'Form Details'!$D:$D,'Adv. Filter'!$B$14))</f>
        <v>0</v>
      </c>
      <c r="P388" s="235"/>
      <c r="Q388" s="235"/>
      <c r="R388" s="235"/>
      <c r="S388" s="235"/>
      <c r="T388" s="235"/>
      <c r="U388" s="236"/>
      <c r="V388" s="100"/>
      <c r="W388" s="234">
        <f>COUNTIFS('Form Details'!$AA:$AA,"Yes",'Form Details'!$N:$N,"Kiran",'Form Details'!$J:$J,$C388,'Form Details'!$D:$D,'Adv. Filter'!$A$14,'Form Details'!$D:$D,'Adv. Filter'!$B$14)</f>
        <v>0</v>
      </c>
      <c r="X388" s="235"/>
      <c r="Y388" s="235"/>
      <c r="Z388" s="235"/>
      <c r="AA388" s="235"/>
      <c r="AB388" s="235"/>
      <c r="AC388" s="236"/>
      <c r="AD388" s="234">
        <f>COUNTIFS('Form Details'!$W:$W,"Paid",'Form Details'!$N:$N,"Kiran",'Form Details'!$J:$J,$C388,'Form Details'!$D:$D,'Adv. Filter'!$A$14,'Form Details'!$D:$D,'Adv. Filter'!$B$14)</f>
        <v>0</v>
      </c>
      <c r="AE388" s="235"/>
      <c r="AF388" s="235"/>
      <c r="AG388" s="235"/>
      <c r="AH388" s="235"/>
      <c r="AI388" s="235"/>
      <c r="AJ388" s="236"/>
      <c r="AK388" s="234">
        <f>COUNTIFS('Form Details'!$W:$W,"Due",'Form Details'!$N:$N,"Kiran",'Form Details'!$J:$J,$C388,'Form Details'!$D:$D,'Adv. Filter'!$A$14,'Form Details'!$D:$D,'Adv. Filter'!$B$14)</f>
        <v>0</v>
      </c>
      <c r="AL388" s="235"/>
      <c r="AM388" s="235"/>
      <c r="AN388" s="235"/>
      <c r="AO388" s="235"/>
      <c r="AP388" s="235"/>
      <c r="AQ388" s="236"/>
      <c r="AR388" s="234">
        <f>COUNTIFS('Form Details'!$W:$W,"No Fee",'Form Details'!$N:$N,"Kiran",'Form Details'!$J:$J,$C388,'Form Details'!$D:$D,'Adv. Filter'!$A$14,'Form Details'!$D:$D,'Adv. Filter'!$B$14)</f>
        <v>0</v>
      </c>
      <c r="AS388" s="235"/>
      <c r="AT388" s="235"/>
      <c r="AU388" s="235"/>
      <c r="AV388" s="235"/>
      <c r="AW388" s="235"/>
      <c r="AX388" s="236"/>
      <c r="AY388" s="234">
        <f>COUNTIFS('Form Details'!$W:$W,"Paid/Reject",'Form Details'!$N:$N,"Kiran",'Form Details'!$J:$J,$C388,'Form Details'!$D:$D,'Adv. Filter'!$A$14,'Form Details'!$D:$D,'Adv. Filter'!$B$14)</f>
        <v>0</v>
      </c>
      <c r="AZ388" s="235"/>
      <c r="BA388" s="235"/>
      <c r="BB388" s="235"/>
      <c r="BC388" s="235"/>
      <c r="BD388" s="235"/>
      <c r="BE388" s="236"/>
      <c r="BF388" s="234">
        <f>COUNTIFS('Form Details'!$W:$W,"Staff",'Form Details'!$N:$N,"Kiran",'Form Details'!$J:$J,$C388,'Form Details'!$D:$D,'Adv. Filter'!$A$14,'Form Details'!$D:$D,'Adv. Filter'!$B$14)</f>
        <v>0</v>
      </c>
      <c r="BG388" s="235"/>
      <c r="BH388" s="235"/>
      <c r="BI388" s="235"/>
      <c r="BJ388" s="235"/>
      <c r="BK388" s="235"/>
      <c r="BL388" s="236"/>
      <c r="BM388" s="234">
        <f>COUNTIFS('Form Details'!$W:$W,"File in Office",'Form Details'!$N:$N,"Kiran",'Form Details'!$J:$J,$C388,'Form Details'!$D:$D,'Adv. Filter'!$A$14,'Form Details'!$D:$D,'Adv. Filter'!$B$14)</f>
        <v>0</v>
      </c>
      <c r="BN388" s="235"/>
      <c r="BO388" s="235"/>
      <c r="BP388" s="235"/>
      <c r="BQ388" s="235"/>
      <c r="BR388" s="235"/>
      <c r="BS388" s="236"/>
      <c r="BT388" s="100"/>
      <c r="BU388" s="234">
        <f>COUNTIFS('Form Details'!$AA:$AA,"No",'Form Details'!$N:$N,"Kiran",'Form Details'!$J:$J,$C388,'Form Details'!$D:$D,'Adv. Filter'!$A$14,'Form Details'!$D:$D,'Adv. Filter'!$B$14)</f>
        <v>0</v>
      </c>
      <c r="BV388" s="235"/>
      <c r="BW388" s="235"/>
      <c r="BX388" s="235"/>
      <c r="BY388" s="235"/>
      <c r="BZ388" s="235"/>
      <c r="CA388" s="236"/>
      <c r="CB388" s="234">
        <f>COUNTIFS('Form Details'!$W:$W,"Adv/Paid",'Form Details'!$N:$N,"Kiran",'Form Details'!$J:$J,$C388,'Form Details'!$D:$D,'Adv. Filter'!$A$14,'Form Details'!$D:$D,'Adv. Filter'!$B$14)</f>
        <v>0</v>
      </c>
      <c r="CC388" s="235"/>
      <c r="CD388" s="235"/>
      <c r="CE388" s="235"/>
      <c r="CF388" s="235"/>
      <c r="CG388" s="235"/>
      <c r="CH388" s="236"/>
      <c r="CI388" s="234">
        <f>COUNTIFS('Form Details'!$W:$W,"Adv/Paid/Reject",'Form Details'!$N:$N,"Kiran",'Form Details'!$J:$J,$C388,'Form Details'!$D:$D,'Adv. Filter'!$A$14,'Form Details'!$D:$D,'Adv. Filter'!$B$14)</f>
        <v>0</v>
      </c>
      <c r="CJ388" s="235"/>
      <c r="CK388" s="235"/>
      <c r="CL388" s="235"/>
      <c r="CM388" s="235"/>
      <c r="CN388" s="235"/>
      <c r="CO388" s="236"/>
      <c r="CP388" s="234">
        <f>COUNTIFS('Form Details'!$W:$W,"Reject",'Form Details'!$N:$N,"Kiran",'Form Details'!$J:$J,$C388,'Form Details'!$D:$D,'Adv. Filter'!$A$14,'Form Details'!$D:$D,'Adv. Filter'!$B$14)</f>
        <v>0</v>
      </c>
      <c r="CQ388" s="235"/>
      <c r="CR388" s="235"/>
      <c r="CS388" s="235"/>
      <c r="CT388" s="235"/>
      <c r="CU388" s="235"/>
      <c r="CV388" s="236"/>
      <c r="CW388" s="234">
        <f>COUNTIFS('Form Details'!$W:$W,"Adv/Paid/Pending",'Form Details'!$N:$N,"Kiran",'Form Details'!$J:$J,$C388,'Form Details'!$D:$D,'Adv. Filter'!$A$14,'Form Details'!$D:$D,'Adv. Filter'!$B$14)</f>
        <v>0</v>
      </c>
      <c r="CX388" s="235"/>
      <c r="CY388" s="235"/>
      <c r="CZ388" s="235"/>
      <c r="DA388" s="235"/>
      <c r="DB388" s="235"/>
      <c r="DC388" s="236"/>
      <c r="DD388" s="234">
        <f>COUNTIFS('Form Details'!$W:$W,"Pending",'Form Details'!$N:$N,"Kiran",'Form Details'!$J:$J,$C388,'Form Details'!$D:$D,'Adv. Filter'!$A$14,'Form Details'!$D:$D,'Adv. Filter'!$B$14)</f>
        <v>0</v>
      </c>
      <c r="DE388" s="235"/>
      <c r="DF388" s="235"/>
      <c r="DG388" s="235"/>
      <c r="DH388" s="235"/>
      <c r="DI388" s="235"/>
      <c r="DJ388" s="236"/>
      <c r="DK388" s="234">
        <f>COUNTIFS('Form Details'!$W:$W,"Adv/Paid/NoStatus",'Form Details'!$N:$N,"Kiran",'Form Details'!$J:$J,$C388,'Form Details'!$D:$D,'Adv. Filter'!$A$14,'Form Details'!$D:$D,'Adv. Filter'!$B$14)</f>
        <v>0</v>
      </c>
      <c r="DL388" s="235"/>
      <c r="DM388" s="235"/>
      <c r="DN388" s="235"/>
      <c r="DO388" s="235"/>
      <c r="DP388" s="235"/>
      <c r="DQ388" s="236"/>
      <c r="DR388" s="234">
        <f>COUNTIFS('Form Details'!$W:$W,"No Status",'Form Details'!$N:$N,"Kiran",'Form Details'!$J:$J,$C388,'Form Details'!$D:$D,'Adv. Filter'!$A$14,'Form Details'!$D:$D,'Adv. Filter'!$B$14)</f>
        <v>0</v>
      </c>
      <c r="DS388" s="235"/>
      <c r="DT388" s="235"/>
      <c r="DU388" s="235"/>
      <c r="DV388" s="235"/>
      <c r="DW388" s="235"/>
      <c r="DX388" s="236"/>
      <c r="DY388" s="234">
        <f>SUM(COUNTIFS('Form Details'!$W:$W,{"Wrong Entry ","Double Entry"},'Form Details'!$N:$N,"Kiran",'Form Details'!$J:$J,$C388,'Form Details'!$D:$D,'Adv. Filter'!$A$14,'Form Details'!$D:$D,'Adv. Filter'!$B$14))</f>
        <v>0</v>
      </c>
      <c r="DZ388" s="235"/>
      <c r="EA388" s="235"/>
      <c r="EB388" s="235"/>
      <c r="EC388" s="235"/>
      <c r="ED388" s="235"/>
      <c r="EE388" s="236"/>
    </row>
    <row r="389" spans="3:135" hidden="1">
      <c r="C389" s="248" t="s">
        <v>38</v>
      </c>
      <c r="D389" s="249"/>
      <c r="E389" s="249"/>
      <c r="F389" s="249"/>
      <c r="G389" s="249"/>
      <c r="H389" s="249"/>
      <c r="I389" s="249"/>
      <c r="J389" s="249"/>
      <c r="K389" s="249"/>
      <c r="L389" s="249"/>
      <c r="M389" s="249"/>
      <c r="N389" s="249"/>
      <c r="O389" s="237">
        <f>SUM(COUNTIFS('Form Details'!$AA:$AA,{"Yes","No","-"},'Form Details'!$N:$N,"Kiran",'Form Details'!$J:$J,$C389,'Form Details'!$D:$D,'Adv. Filter'!$A$14,'Form Details'!$D:$D,'Adv. Filter'!$B$14))</f>
        <v>0</v>
      </c>
      <c r="P389" s="238"/>
      <c r="Q389" s="238"/>
      <c r="R389" s="238"/>
      <c r="S389" s="238"/>
      <c r="T389" s="238"/>
      <c r="U389" s="239"/>
      <c r="V389" s="100"/>
      <c r="W389" s="237">
        <f>COUNTIFS('Form Details'!$AA:$AA,"Yes",'Form Details'!$N:$N,"Kiran",'Form Details'!$J:$J,$C389,'Form Details'!$D:$D,'Adv. Filter'!$A$14,'Form Details'!$D:$D,'Adv. Filter'!$B$14)</f>
        <v>0</v>
      </c>
      <c r="X389" s="238"/>
      <c r="Y389" s="238"/>
      <c r="Z389" s="238"/>
      <c r="AA389" s="238"/>
      <c r="AB389" s="238"/>
      <c r="AC389" s="239"/>
      <c r="AD389" s="237">
        <f>COUNTIFS('Form Details'!$W:$W,"Paid",'Form Details'!$N:$N,"Kiran",'Form Details'!$J:$J,$C389,'Form Details'!$D:$D,'Adv. Filter'!$A$14,'Form Details'!$D:$D,'Adv. Filter'!$B$14)</f>
        <v>0</v>
      </c>
      <c r="AE389" s="238"/>
      <c r="AF389" s="238"/>
      <c r="AG389" s="238"/>
      <c r="AH389" s="238"/>
      <c r="AI389" s="238"/>
      <c r="AJ389" s="239"/>
      <c r="AK389" s="237">
        <f>COUNTIFS('Form Details'!$W:$W,"Due",'Form Details'!$N:$N,"Kiran",'Form Details'!$J:$J,$C389,'Form Details'!$D:$D,'Adv. Filter'!$A$14,'Form Details'!$D:$D,'Adv. Filter'!$B$14)</f>
        <v>0</v>
      </c>
      <c r="AL389" s="238"/>
      <c r="AM389" s="238"/>
      <c r="AN389" s="238"/>
      <c r="AO389" s="238"/>
      <c r="AP389" s="238"/>
      <c r="AQ389" s="239"/>
      <c r="AR389" s="237">
        <f>COUNTIFS('Form Details'!$W:$W,"No Fee",'Form Details'!$N:$N,"Kiran",'Form Details'!$J:$J,$C389,'Form Details'!$D:$D,'Adv. Filter'!$A$14,'Form Details'!$D:$D,'Adv. Filter'!$B$14)</f>
        <v>0</v>
      </c>
      <c r="AS389" s="238"/>
      <c r="AT389" s="238"/>
      <c r="AU389" s="238"/>
      <c r="AV389" s="238"/>
      <c r="AW389" s="238"/>
      <c r="AX389" s="239"/>
      <c r="AY389" s="237">
        <f>COUNTIFS('Form Details'!$W:$W,"Paid/Reject",'Form Details'!$N:$N,"Kiran",'Form Details'!$J:$J,$C389,'Form Details'!$D:$D,'Adv. Filter'!$A$14,'Form Details'!$D:$D,'Adv. Filter'!$B$14)</f>
        <v>0</v>
      </c>
      <c r="AZ389" s="238"/>
      <c r="BA389" s="238"/>
      <c r="BB389" s="238"/>
      <c r="BC389" s="238"/>
      <c r="BD389" s="238"/>
      <c r="BE389" s="239"/>
      <c r="BF389" s="237">
        <f>COUNTIFS('Form Details'!$W:$W,"Staff",'Form Details'!$N:$N,"Kiran",'Form Details'!$J:$J,$C389,'Form Details'!$D:$D,'Adv. Filter'!$A$14,'Form Details'!$D:$D,'Adv. Filter'!$B$14)</f>
        <v>0</v>
      </c>
      <c r="BG389" s="238"/>
      <c r="BH389" s="238"/>
      <c r="BI389" s="238"/>
      <c r="BJ389" s="238"/>
      <c r="BK389" s="238"/>
      <c r="BL389" s="239"/>
      <c r="BM389" s="237">
        <f>COUNTIFS('Form Details'!$W:$W,"File in Office",'Form Details'!$N:$N,"Kiran",'Form Details'!$J:$J,$C389,'Form Details'!$D:$D,'Adv. Filter'!$A$14,'Form Details'!$D:$D,'Adv. Filter'!$B$14)</f>
        <v>0</v>
      </c>
      <c r="BN389" s="238"/>
      <c r="BO389" s="238"/>
      <c r="BP389" s="238"/>
      <c r="BQ389" s="238"/>
      <c r="BR389" s="238"/>
      <c r="BS389" s="239"/>
      <c r="BT389" s="100"/>
      <c r="BU389" s="237">
        <f>COUNTIFS('Form Details'!$AA:$AA,"No",'Form Details'!$N:$N,"Kiran",'Form Details'!$J:$J,$C389,'Form Details'!$D:$D,'Adv. Filter'!$A$14,'Form Details'!$D:$D,'Adv. Filter'!$B$14)</f>
        <v>0</v>
      </c>
      <c r="BV389" s="238"/>
      <c r="BW389" s="238"/>
      <c r="BX389" s="238"/>
      <c r="BY389" s="238"/>
      <c r="BZ389" s="238"/>
      <c r="CA389" s="239"/>
      <c r="CB389" s="237">
        <f>COUNTIFS('Form Details'!$W:$W,"Adv/Paid",'Form Details'!$N:$N,"Kiran",'Form Details'!$J:$J,$C389,'Form Details'!$D:$D,'Adv. Filter'!$A$14,'Form Details'!$D:$D,'Adv. Filter'!$B$14)</f>
        <v>0</v>
      </c>
      <c r="CC389" s="238"/>
      <c r="CD389" s="238"/>
      <c r="CE389" s="238"/>
      <c r="CF389" s="238"/>
      <c r="CG389" s="238"/>
      <c r="CH389" s="239"/>
      <c r="CI389" s="237">
        <f>COUNTIFS('Form Details'!$W:$W,"Adv/Paid/Reject",'Form Details'!$N:$N,"Kiran",'Form Details'!$J:$J,$C389,'Form Details'!$D:$D,'Adv. Filter'!$A$14,'Form Details'!$D:$D,'Adv. Filter'!$B$14)</f>
        <v>0</v>
      </c>
      <c r="CJ389" s="238"/>
      <c r="CK389" s="238"/>
      <c r="CL389" s="238"/>
      <c r="CM389" s="238"/>
      <c r="CN389" s="238"/>
      <c r="CO389" s="239"/>
      <c r="CP389" s="237">
        <f>COUNTIFS('Form Details'!$W:$W,"Reject",'Form Details'!$N:$N,"Kiran",'Form Details'!$J:$J,$C389,'Form Details'!$D:$D,'Adv. Filter'!$A$14,'Form Details'!$D:$D,'Adv. Filter'!$B$14)</f>
        <v>0</v>
      </c>
      <c r="CQ389" s="238"/>
      <c r="CR389" s="238"/>
      <c r="CS389" s="238"/>
      <c r="CT389" s="238"/>
      <c r="CU389" s="238"/>
      <c r="CV389" s="239"/>
      <c r="CW389" s="237">
        <f>COUNTIFS('Form Details'!$W:$W,"Adv/Paid/Pending",'Form Details'!$N:$N,"Kiran",'Form Details'!$J:$J,$C389,'Form Details'!$D:$D,'Adv. Filter'!$A$14,'Form Details'!$D:$D,'Adv. Filter'!$B$14)</f>
        <v>0</v>
      </c>
      <c r="CX389" s="238"/>
      <c r="CY389" s="238"/>
      <c r="CZ389" s="238"/>
      <c r="DA389" s="238"/>
      <c r="DB389" s="238"/>
      <c r="DC389" s="239"/>
      <c r="DD389" s="237">
        <f>COUNTIFS('Form Details'!$W:$W,"Pending",'Form Details'!$N:$N,"Kiran",'Form Details'!$J:$J,$C389,'Form Details'!$D:$D,'Adv. Filter'!$A$14,'Form Details'!$D:$D,'Adv. Filter'!$B$14)</f>
        <v>0</v>
      </c>
      <c r="DE389" s="238"/>
      <c r="DF389" s="238"/>
      <c r="DG389" s="238"/>
      <c r="DH389" s="238"/>
      <c r="DI389" s="238"/>
      <c r="DJ389" s="239"/>
      <c r="DK389" s="237">
        <f>COUNTIFS('Form Details'!$W:$W,"Adv/Paid/NoStatus",'Form Details'!$N:$N,"Kiran",'Form Details'!$J:$J,$C389,'Form Details'!$D:$D,'Adv. Filter'!$A$14,'Form Details'!$D:$D,'Adv. Filter'!$B$14)</f>
        <v>0</v>
      </c>
      <c r="DL389" s="238"/>
      <c r="DM389" s="238"/>
      <c r="DN389" s="238"/>
      <c r="DO389" s="238"/>
      <c r="DP389" s="238"/>
      <c r="DQ389" s="239"/>
      <c r="DR389" s="237">
        <f>COUNTIFS('Form Details'!$W:$W,"No Status",'Form Details'!$N:$N,"Kiran",'Form Details'!$J:$J,$C389,'Form Details'!$D:$D,'Adv. Filter'!$A$14,'Form Details'!$D:$D,'Adv. Filter'!$B$14)</f>
        <v>0</v>
      </c>
      <c r="DS389" s="238"/>
      <c r="DT389" s="238"/>
      <c r="DU389" s="238"/>
      <c r="DV389" s="238"/>
      <c r="DW389" s="238"/>
      <c r="DX389" s="239"/>
      <c r="DY389" s="237">
        <f>SUM(COUNTIFS('Form Details'!$W:$W,{"Wrong Entry ","Double Entry"},'Form Details'!$N:$N,"Kiran",'Form Details'!$J:$J,$C389,'Form Details'!$D:$D,'Adv. Filter'!$A$14,'Form Details'!$D:$D,'Adv. Filter'!$B$14))</f>
        <v>0</v>
      </c>
      <c r="DZ389" s="238"/>
      <c r="EA389" s="238"/>
      <c r="EB389" s="238"/>
      <c r="EC389" s="238"/>
      <c r="ED389" s="238"/>
      <c r="EE389" s="239"/>
    </row>
    <row r="390" spans="3:135" hidden="1">
      <c r="C390" s="248" t="s">
        <v>49</v>
      </c>
      <c r="D390" s="249"/>
      <c r="E390" s="249"/>
      <c r="F390" s="249"/>
      <c r="G390" s="249"/>
      <c r="H390" s="249"/>
      <c r="I390" s="249"/>
      <c r="J390" s="249"/>
      <c r="K390" s="249"/>
      <c r="L390" s="249"/>
      <c r="M390" s="249"/>
      <c r="N390" s="249"/>
      <c r="O390" s="237">
        <f>SUM(COUNTIFS('Form Details'!$AA:$AA,{"Yes","No","-"},'Form Details'!$N:$N,"Kiran",'Form Details'!$J:$J,$C390,'Form Details'!$D:$D,'Adv. Filter'!$A$14,'Form Details'!$D:$D,'Adv. Filter'!$B$14))</f>
        <v>0</v>
      </c>
      <c r="P390" s="238"/>
      <c r="Q390" s="238"/>
      <c r="R390" s="238"/>
      <c r="S390" s="238"/>
      <c r="T390" s="238"/>
      <c r="U390" s="239"/>
      <c r="V390" s="100"/>
      <c r="W390" s="237">
        <f>COUNTIFS('Form Details'!$AA:$AA,"Yes",'Form Details'!$N:$N,"Kiran",'Form Details'!$J:$J,$C390,'Form Details'!$D:$D,'Adv. Filter'!$A$14,'Form Details'!$D:$D,'Adv. Filter'!$B$14)</f>
        <v>0</v>
      </c>
      <c r="X390" s="238"/>
      <c r="Y390" s="238"/>
      <c r="Z390" s="238"/>
      <c r="AA390" s="238"/>
      <c r="AB390" s="238"/>
      <c r="AC390" s="239"/>
      <c r="AD390" s="237">
        <f>COUNTIFS('Form Details'!$W:$W,"Paid",'Form Details'!$N:$N,"Kiran",'Form Details'!$J:$J,$C390,'Form Details'!$D:$D,'Adv. Filter'!$A$14,'Form Details'!$D:$D,'Adv. Filter'!$B$14)</f>
        <v>0</v>
      </c>
      <c r="AE390" s="238"/>
      <c r="AF390" s="238"/>
      <c r="AG390" s="238"/>
      <c r="AH390" s="238"/>
      <c r="AI390" s="238"/>
      <c r="AJ390" s="239"/>
      <c r="AK390" s="237">
        <f>COUNTIFS('Form Details'!$W:$W,"Due",'Form Details'!$N:$N,"Kiran",'Form Details'!$J:$J,$C390,'Form Details'!$D:$D,'Adv. Filter'!$A$14,'Form Details'!$D:$D,'Adv. Filter'!$B$14)</f>
        <v>0</v>
      </c>
      <c r="AL390" s="238"/>
      <c r="AM390" s="238"/>
      <c r="AN390" s="238"/>
      <c r="AO390" s="238"/>
      <c r="AP390" s="238"/>
      <c r="AQ390" s="239"/>
      <c r="AR390" s="237">
        <f>COUNTIFS('Form Details'!$W:$W,"No Fee",'Form Details'!$N:$N,"Kiran",'Form Details'!$J:$J,$C390,'Form Details'!$D:$D,'Adv. Filter'!$A$14,'Form Details'!$D:$D,'Adv. Filter'!$B$14)</f>
        <v>0</v>
      </c>
      <c r="AS390" s="238"/>
      <c r="AT390" s="238"/>
      <c r="AU390" s="238"/>
      <c r="AV390" s="238"/>
      <c r="AW390" s="238"/>
      <c r="AX390" s="239"/>
      <c r="AY390" s="237">
        <f>COUNTIFS('Form Details'!$W:$W,"Paid/Reject",'Form Details'!$N:$N,"Kiran",'Form Details'!$J:$J,$C390,'Form Details'!$D:$D,'Adv. Filter'!$A$14,'Form Details'!$D:$D,'Adv. Filter'!$B$14)</f>
        <v>0</v>
      </c>
      <c r="AZ390" s="238"/>
      <c r="BA390" s="238"/>
      <c r="BB390" s="238"/>
      <c r="BC390" s="238"/>
      <c r="BD390" s="238"/>
      <c r="BE390" s="239"/>
      <c r="BF390" s="237">
        <f>COUNTIFS('Form Details'!$W:$W,"Staff",'Form Details'!$N:$N,"Kiran",'Form Details'!$J:$J,$C390,'Form Details'!$D:$D,'Adv. Filter'!$A$14,'Form Details'!$D:$D,'Adv. Filter'!$B$14)</f>
        <v>0</v>
      </c>
      <c r="BG390" s="238"/>
      <c r="BH390" s="238"/>
      <c r="BI390" s="238"/>
      <c r="BJ390" s="238"/>
      <c r="BK390" s="238"/>
      <c r="BL390" s="239"/>
      <c r="BM390" s="237">
        <f>COUNTIFS('Form Details'!$W:$W,"File in Office",'Form Details'!$N:$N,"Kiran",'Form Details'!$J:$J,$C390,'Form Details'!$D:$D,'Adv. Filter'!$A$14,'Form Details'!$D:$D,'Adv. Filter'!$B$14)</f>
        <v>0</v>
      </c>
      <c r="BN390" s="238"/>
      <c r="BO390" s="238"/>
      <c r="BP390" s="238"/>
      <c r="BQ390" s="238"/>
      <c r="BR390" s="238"/>
      <c r="BS390" s="239"/>
      <c r="BT390" s="100"/>
      <c r="BU390" s="237">
        <f>COUNTIFS('Form Details'!$AA:$AA,"No",'Form Details'!$N:$N,"Kiran",'Form Details'!$J:$J,$C390,'Form Details'!$D:$D,'Adv. Filter'!$A$14,'Form Details'!$D:$D,'Adv. Filter'!$B$14)</f>
        <v>0</v>
      </c>
      <c r="BV390" s="238"/>
      <c r="BW390" s="238"/>
      <c r="BX390" s="238"/>
      <c r="BY390" s="238"/>
      <c r="BZ390" s="238"/>
      <c r="CA390" s="239"/>
      <c r="CB390" s="237">
        <f>COUNTIFS('Form Details'!$W:$W,"Adv/Paid",'Form Details'!$N:$N,"Kiran",'Form Details'!$J:$J,$C390,'Form Details'!$D:$D,'Adv. Filter'!$A$14,'Form Details'!$D:$D,'Adv. Filter'!$B$14)</f>
        <v>0</v>
      </c>
      <c r="CC390" s="238"/>
      <c r="CD390" s="238"/>
      <c r="CE390" s="238"/>
      <c r="CF390" s="238"/>
      <c r="CG390" s="238"/>
      <c r="CH390" s="239"/>
      <c r="CI390" s="237">
        <f>COUNTIFS('Form Details'!$W:$W,"Adv/Paid/Reject",'Form Details'!$N:$N,"Kiran",'Form Details'!$J:$J,$C390,'Form Details'!$D:$D,'Adv. Filter'!$A$14,'Form Details'!$D:$D,'Adv. Filter'!$B$14)</f>
        <v>0</v>
      </c>
      <c r="CJ390" s="238"/>
      <c r="CK390" s="238"/>
      <c r="CL390" s="238"/>
      <c r="CM390" s="238"/>
      <c r="CN390" s="238"/>
      <c r="CO390" s="239"/>
      <c r="CP390" s="237">
        <f>COUNTIFS('Form Details'!$W:$W,"Reject",'Form Details'!$N:$N,"Kiran",'Form Details'!$J:$J,$C390,'Form Details'!$D:$D,'Adv. Filter'!$A$14,'Form Details'!$D:$D,'Adv. Filter'!$B$14)</f>
        <v>0</v>
      </c>
      <c r="CQ390" s="238"/>
      <c r="CR390" s="238"/>
      <c r="CS390" s="238"/>
      <c r="CT390" s="238"/>
      <c r="CU390" s="238"/>
      <c r="CV390" s="239"/>
      <c r="CW390" s="237">
        <f>COUNTIFS('Form Details'!$W:$W,"Adv/Paid/Pending",'Form Details'!$N:$N,"Kiran",'Form Details'!$J:$J,$C390,'Form Details'!$D:$D,'Adv. Filter'!$A$14,'Form Details'!$D:$D,'Adv. Filter'!$B$14)</f>
        <v>0</v>
      </c>
      <c r="CX390" s="238"/>
      <c r="CY390" s="238"/>
      <c r="CZ390" s="238"/>
      <c r="DA390" s="238"/>
      <c r="DB390" s="238"/>
      <c r="DC390" s="239"/>
      <c r="DD390" s="237">
        <f>COUNTIFS('Form Details'!$W:$W,"Pending",'Form Details'!$N:$N,"Kiran",'Form Details'!$J:$J,$C390,'Form Details'!$D:$D,'Adv. Filter'!$A$14,'Form Details'!$D:$D,'Adv. Filter'!$B$14)</f>
        <v>0</v>
      </c>
      <c r="DE390" s="238"/>
      <c r="DF390" s="238"/>
      <c r="DG390" s="238"/>
      <c r="DH390" s="238"/>
      <c r="DI390" s="238"/>
      <c r="DJ390" s="239"/>
      <c r="DK390" s="237">
        <f>COUNTIFS('Form Details'!$W:$W,"Adv/Paid/NoStatus",'Form Details'!$N:$N,"Kiran",'Form Details'!$J:$J,$C390,'Form Details'!$D:$D,'Adv. Filter'!$A$14,'Form Details'!$D:$D,'Adv. Filter'!$B$14)</f>
        <v>0</v>
      </c>
      <c r="DL390" s="238"/>
      <c r="DM390" s="238"/>
      <c r="DN390" s="238"/>
      <c r="DO390" s="238"/>
      <c r="DP390" s="238"/>
      <c r="DQ390" s="239"/>
      <c r="DR390" s="237">
        <f>COUNTIFS('Form Details'!$W:$W,"No Status",'Form Details'!$N:$N,"Kiran",'Form Details'!$J:$J,$C390,'Form Details'!$D:$D,'Adv. Filter'!$A$14,'Form Details'!$D:$D,'Adv. Filter'!$B$14)</f>
        <v>0</v>
      </c>
      <c r="DS390" s="238"/>
      <c r="DT390" s="238"/>
      <c r="DU390" s="238"/>
      <c r="DV390" s="238"/>
      <c r="DW390" s="238"/>
      <c r="DX390" s="239"/>
      <c r="DY390" s="237">
        <f>SUM(COUNTIFS('Form Details'!$W:$W,{"Wrong Entry ","Double Entry"},'Form Details'!$N:$N,"Kiran",'Form Details'!$J:$J,$C390,'Form Details'!$D:$D,'Adv. Filter'!$A$14,'Form Details'!$D:$D,'Adv. Filter'!$B$14))</f>
        <v>0</v>
      </c>
      <c r="DZ390" s="238"/>
      <c r="EA390" s="238"/>
      <c r="EB390" s="238"/>
      <c r="EC390" s="238"/>
      <c r="ED390" s="238"/>
      <c r="EE390" s="239"/>
    </row>
    <row r="391" spans="3:135" hidden="1">
      <c r="C391" s="248" t="s">
        <v>59</v>
      </c>
      <c r="D391" s="249"/>
      <c r="E391" s="249"/>
      <c r="F391" s="249"/>
      <c r="G391" s="249"/>
      <c r="H391" s="249"/>
      <c r="I391" s="249"/>
      <c r="J391" s="249"/>
      <c r="K391" s="249"/>
      <c r="L391" s="249"/>
      <c r="M391" s="249"/>
      <c r="N391" s="249"/>
      <c r="O391" s="237">
        <f>SUM(COUNTIFS('Form Details'!$AA:$AA,{"Yes","No","-"},'Form Details'!$N:$N,"Kiran",'Form Details'!$J:$J,$C391,'Form Details'!$D:$D,'Adv. Filter'!$A$14,'Form Details'!$D:$D,'Adv. Filter'!$B$14))</f>
        <v>2</v>
      </c>
      <c r="P391" s="238"/>
      <c r="Q391" s="238"/>
      <c r="R391" s="238"/>
      <c r="S391" s="238"/>
      <c r="T391" s="238"/>
      <c r="U391" s="239"/>
      <c r="V391" s="100"/>
      <c r="W391" s="237">
        <f>COUNTIFS('Form Details'!$AA:$AA,"Yes",'Form Details'!$N:$N,"Kiran",'Form Details'!$J:$J,$C391,'Form Details'!$D:$D,'Adv. Filter'!$A$14,'Form Details'!$D:$D,'Adv. Filter'!$B$14)</f>
        <v>2</v>
      </c>
      <c r="X391" s="238"/>
      <c r="Y391" s="238"/>
      <c r="Z391" s="238"/>
      <c r="AA391" s="238"/>
      <c r="AB391" s="238"/>
      <c r="AC391" s="239"/>
      <c r="AD391" s="237">
        <f>COUNTIFS('Form Details'!$W:$W,"Paid",'Form Details'!$N:$N,"Kiran",'Form Details'!$J:$J,$C391,'Form Details'!$D:$D,'Adv. Filter'!$A$14,'Form Details'!$D:$D,'Adv. Filter'!$B$14)</f>
        <v>0</v>
      </c>
      <c r="AE391" s="238"/>
      <c r="AF391" s="238"/>
      <c r="AG391" s="238"/>
      <c r="AH391" s="238"/>
      <c r="AI391" s="238"/>
      <c r="AJ391" s="239"/>
      <c r="AK391" s="237">
        <f>COUNTIFS('Form Details'!$W:$W,"Due",'Form Details'!$N:$N,"Kiran",'Form Details'!$J:$J,$C391,'Form Details'!$D:$D,'Adv. Filter'!$A$14,'Form Details'!$D:$D,'Adv. Filter'!$B$14)</f>
        <v>2</v>
      </c>
      <c r="AL391" s="238"/>
      <c r="AM391" s="238"/>
      <c r="AN391" s="238"/>
      <c r="AO391" s="238"/>
      <c r="AP391" s="238"/>
      <c r="AQ391" s="239"/>
      <c r="AR391" s="237">
        <f>COUNTIFS('Form Details'!$W:$W,"No Fee",'Form Details'!$N:$N,"Kiran",'Form Details'!$J:$J,$C391,'Form Details'!$D:$D,'Adv. Filter'!$A$14,'Form Details'!$D:$D,'Adv. Filter'!$B$14)</f>
        <v>0</v>
      </c>
      <c r="AS391" s="238"/>
      <c r="AT391" s="238"/>
      <c r="AU391" s="238"/>
      <c r="AV391" s="238"/>
      <c r="AW391" s="238"/>
      <c r="AX391" s="239"/>
      <c r="AY391" s="237">
        <f>COUNTIFS('Form Details'!$W:$W,"Paid/Reject",'Form Details'!$N:$N,"Kiran",'Form Details'!$J:$J,$C391,'Form Details'!$D:$D,'Adv. Filter'!$A$14,'Form Details'!$D:$D,'Adv. Filter'!$B$14)</f>
        <v>0</v>
      </c>
      <c r="AZ391" s="238"/>
      <c r="BA391" s="238"/>
      <c r="BB391" s="238"/>
      <c r="BC391" s="238"/>
      <c r="BD391" s="238"/>
      <c r="BE391" s="239"/>
      <c r="BF391" s="237">
        <f>COUNTIFS('Form Details'!$W:$W,"Staff",'Form Details'!$N:$N,"Kiran",'Form Details'!$J:$J,$C391,'Form Details'!$D:$D,'Adv. Filter'!$A$14,'Form Details'!$D:$D,'Adv. Filter'!$B$14)</f>
        <v>0</v>
      </c>
      <c r="BG391" s="238"/>
      <c r="BH391" s="238"/>
      <c r="BI391" s="238"/>
      <c r="BJ391" s="238"/>
      <c r="BK391" s="238"/>
      <c r="BL391" s="239"/>
      <c r="BM391" s="237">
        <f>COUNTIFS('Form Details'!$W:$W,"File in Office",'Form Details'!$N:$N,"Kiran",'Form Details'!$J:$J,$C391,'Form Details'!$D:$D,'Adv. Filter'!$A$14,'Form Details'!$D:$D,'Adv. Filter'!$B$14)</f>
        <v>0</v>
      </c>
      <c r="BN391" s="238"/>
      <c r="BO391" s="238"/>
      <c r="BP391" s="238"/>
      <c r="BQ391" s="238"/>
      <c r="BR391" s="238"/>
      <c r="BS391" s="239"/>
      <c r="BT391" s="100"/>
      <c r="BU391" s="237">
        <f>COUNTIFS('Form Details'!$AA:$AA,"No",'Form Details'!$N:$N,"Kiran",'Form Details'!$J:$J,$C391,'Form Details'!$D:$D,'Adv. Filter'!$A$14,'Form Details'!$D:$D,'Adv. Filter'!$B$14)</f>
        <v>0</v>
      </c>
      <c r="BV391" s="238"/>
      <c r="BW391" s="238"/>
      <c r="BX391" s="238"/>
      <c r="BY391" s="238"/>
      <c r="BZ391" s="238"/>
      <c r="CA391" s="239"/>
      <c r="CB391" s="237">
        <f>COUNTIFS('Form Details'!$W:$W,"Adv/Paid",'Form Details'!$N:$N,"Kiran",'Form Details'!$J:$J,$C391,'Form Details'!$D:$D,'Adv. Filter'!$A$14,'Form Details'!$D:$D,'Adv. Filter'!$B$14)</f>
        <v>0</v>
      </c>
      <c r="CC391" s="238"/>
      <c r="CD391" s="238"/>
      <c r="CE391" s="238"/>
      <c r="CF391" s="238"/>
      <c r="CG391" s="238"/>
      <c r="CH391" s="239"/>
      <c r="CI391" s="237">
        <f>COUNTIFS('Form Details'!$W:$W,"Adv/Paid/Reject",'Form Details'!$N:$N,"Kiran",'Form Details'!$J:$J,$C391,'Form Details'!$D:$D,'Adv. Filter'!$A$14,'Form Details'!$D:$D,'Adv. Filter'!$B$14)</f>
        <v>0</v>
      </c>
      <c r="CJ391" s="238"/>
      <c r="CK391" s="238"/>
      <c r="CL391" s="238"/>
      <c r="CM391" s="238"/>
      <c r="CN391" s="238"/>
      <c r="CO391" s="239"/>
      <c r="CP391" s="237">
        <f>COUNTIFS('Form Details'!$W:$W,"Reject",'Form Details'!$N:$N,"Kiran",'Form Details'!$J:$J,$C391,'Form Details'!$D:$D,'Adv. Filter'!$A$14,'Form Details'!$D:$D,'Adv. Filter'!$B$14)</f>
        <v>0</v>
      </c>
      <c r="CQ391" s="238"/>
      <c r="CR391" s="238"/>
      <c r="CS391" s="238"/>
      <c r="CT391" s="238"/>
      <c r="CU391" s="238"/>
      <c r="CV391" s="239"/>
      <c r="CW391" s="237">
        <f>COUNTIFS('Form Details'!$W:$W,"Adv/Paid/Pending",'Form Details'!$N:$N,"Kiran",'Form Details'!$J:$J,$C391,'Form Details'!$D:$D,'Adv. Filter'!$A$14,'Form Details'!$D:$D,'Adv. Filter'!$B$14)</f>
        <v>0</v>
      </c>
      <c r="CX391" s="238"/>
      <c r="CY391" s="238"/>
      <c r="CZ391" s="238"/>
      <c r="DA391" s="238"/>
      <c r="DB391" s="238"/>
      <c r="DC391" s="239"/>
      <c r="DD391" s="237">
        <f>COUNTIFS('Form Details'!$W:$W,"Pending",'Form Details'!$N:$N,"Kiran",'Form Details'!$J:$J,$C391,'Form Details'!$D:$D,'Adv. Filter'!$A$14,'Form Details'!$D:$D,'Adv. Filter'!$B$14)</f>
        <v>0</v>
      </c>
      <c r="DE391" s="238"/>
      <c r="DF391" s="238"/>
      <c r="DG391" s="238"/>
      <c r="DH391" s="238"/>
      <c r="DI391" s="238"/>
      <c r="DJ391" s="239"/>
      <c r="DK391" s="237">
        <f>COUNTIFS('Form Details'!$W:$W,"Adv/Paid/NoStatus",'Form Details'!$N:$N,"Kiran",'Form Details'!$J:$J,$C391,'Form Details'!$D:$D,'Adv. Filter'!$A$14,'Form Details'!$D:$D,'Adv. Filter'!$B$14)</f>
        <v>0</v>
      </c>
      <c r="DL391" s="238"/>
      <c r="DM391" s="238"/>
      <c r="DN391" s="238"/>
      <c r="DO391" s="238"/>
      <c r="DP391" s="238"/>
      <c r="DQ391" s="239"/>
      <c r="DR391" s="237">
        <f>COUNTIFS('Form Details'!$W:$W,"No Status",'Form Details'!$N:$N,"Kiran",'Form Details'!$J:$J,$C391,'Form Details'!$D:$D,'Adv. Filter'!$A$14,'Form Details'!$D:$D,'Adv. Filter'!$B$14)</f>
        <v>0</v>
      </c>
      <c r="DS391" s="238"/>
      <c r="DT391" s="238"/>
      <c r="DU391" s="238"/>
      <c r="DV391" s="238"/>
      <c r="DW391" s="238"/>
      <c r="DX391" s="239"/>
      <c r="DY391" s="237">
        <f>SUM(COUNTIFS('Form Details'!$W:$W,{"Wrong Entry ","Double Entry"},'Form Details'!$N:$N,"Kiran",'Form Details'!$J:$J,$C391,'Form Details'!$D:$D,'Adv. Filter'!$A$14,'Form Details'!$D:$D,'Adv. Filter'!$B$14))</f>
        <v>0</v>
      </c>
      <c r="DZ391" s="238"/>
      <c r="EA391" s="238"/>
      <c r="EB391" s="238"/>
      <c r="EC391" s="238"/>
      <c r="ED391" s="238"/>
      <c r="EE391" s="239"/>
    </row>
    <row r="392" spans="3:135" hidden="1">
      <c r="C392" s="248" t="s">
        <v>70</v>
      </c>
      <c r="D392" s="249"/>
      <c r="E392" s="249"/>
      <c r="F392" s="249"/>
      <c r="G392" s="249"/>
      <c r="H392" s="249"/>
      <c r="I392" s="249"/>
      <c r="J392" s="249"/>
      <c r="K392" s="249"/>
      <c r="L392" s="249"/>
      <c r="M392" s="249"/>
      <c r="N392" s="249"/>
      <c r="O392" s="237">
        <f>SUM(COUNTIFS('Form Details'!$AA:$AA,{"Yes","No","-"},'Form Details'!$N:$N,"Kiran",'Form Details'!$J:$J,$C392,'Form Details'!$D:$D,'Adv. Filter'!$A$14,'Form Details'!$D:$D,'Adv. Filter'!$B$14))</f>
        <v>8</v>
      </c>
      <c r="P392" s="238"/>
      <c r="Q392" s="238"/>
      <c r="R392" s="238"/>
      <c r="S392" s="238"/>
      <c r="T392" s="238"/>
      <c r="U392" s="239"/>
      <c r="V392" s="100"/>
      <c r="W392" s="237">
        <f>COUNTIFS('Form Details'!$AA:$AA,"Yes",'Form Details'!$N:$N,"Kiran",'Form Details'!$J:$J,$C392,'Form Details'!$D:$D,'Adv. Filter'!$A$14,'Form Details'!$D:$D,'Adv. Filter'!$B$14)</f>
        <v>8</v>
      </c>
      <c r="X392" s="238"/>
      <c r="Y392" s="238"/>
      <c r="Z392" s="238"/>
      <c r="AA392" s="238"/>
      <c r="AB392" s="238"/>
      <c r="AC392" s="239"/>
      <c r="AD392" s="237">
        <f>COUNTIFS('Form Details'!$W:$W,"Paid",'Form Details'!$N:$N,"Kiran",'Form Details'!$J:$J,$C392,'Form Details'!$D:$D,'Adv. Filter'!$A$14,'Form Details'!$D:$D,'Adv. Filter'!$B$14)</f>
        <v>8</v>
      </c>
      <c r="AE392" s="238"/>
      <c r="AF392" s="238"/>
      <c r="AG392" s="238"/>
      <c r="AH392" s="238"/>
      <c r="AI392" s="238"/>
      <c r="AJ392" s="239"/>
      <c r="AK392" s="237">
        <f>COUNTIFS('Form Details'!$W:$W,"Due",'Form Details'!$N:$N,"Kiran",'Form Details'!$J:$J,$C392,'Form Details'!$D:$D,'Adv. Filter'!$A$14,'Form Details'!$D:$D,'Adv. Filter'!$B$14)</f>
        <v>0</v>
      </c>
      <c r="AL392" s="238"/>
      <c r="AM392" s="238"/>
      <c r="AN392" s="238"/>
      <c r="AO392" s="238"/>
      <c r="AP392" s="238"/>
      <c r="AQ392" s="239"/>
      <c r="AR392" s="237">
        <f>COUNTIFS('Form Details'!$W:$W,"No Fee",'Form Details'!$N:$N,"Kiran",'Form Details'!$J:$J,$C392,'Form Details'!$D:$D,'Adv. Filter'!$A$14,'Form Details'!$D:$D,'Adv. Filter'!$B$14)</f>
        <v>0</v>
      </c>
      <c r="AS392" s="238"/>
      <c r="AT392" s="238"/>
      <c r="AU392" s="238"/>
      <c r="AV392" s="238"/>
      <c r="AW392" s="238"/>
      <c r="AX392" s="239"/>
      <c r="AY392" s="237">
        <f>COUNTIFS('Form Details'!$W:$W,"Paid/Reject",'Form Details'!$N:$N,"Kiran",'Form Details'!$J:$J,$C392,'Form Details'!$D:$D,'Adv. Filter'!$A$14,'Form Details'!$D:$D,'Adv. Filter'!$B$14)</f>
        <v>0</v>
      </c>
      <c r="AZ392" s="238"/>
      <c r="BA392" s="238"/>
      <c r="BB392" s="238"/>
      <c r="BC392" s="238"/>
      <c r="BD392" s="238"/>
      <c r="BE392" s="239"/>
      <c r="BF392" s="237">
        <f>COUNTIFS('Form Details'!$W:$W,"Staff",'Form Details'!$N:$N,"Kiran",'Form Details'!$J:$J,$C392,'Form Details'!$D:$D,'Adv. Filter'!$A$14,'Form Details'!$D:$D,'Adv. Filter'!$B$14)</f>
        <v>0</v>
      </c>
      <c r="BG392" s="238"/>
      <c r="BH392" s="238"/>
      <c r="BI392" s="238"/>
      <c r="BJ392" s="238"/>
      <c r="BK392" s="238"/>
      <c r="BL392" s="239"/>
      <c r="BM392" s="237">
        <f>COUNTIFS('Form Details'!$W:$W,"File in Office",'Form Details'!$N:$N,"Kiran",'Form Details'!$J:$J,$C392,'Form Details'!$D:$D,'Adv. Filter'!$A$14,'Form Details'!$D:$D,'Adv. Filter'!$B$14)</f>
        <v>0</v>
      </c>
      <c r="BN392" s="238"/>
      <c r="BO392" s="238"/>
      <c r="BP392" s="238"/>
      <c r="BQ392" s="238"/>
      <c r="BR392" s="238"/>
      <c r="BS392" s="239"/>
      <c r="BT392" s="100"/>
      <c r="BU392" s="237">
        <f>COUNTIFS('Form Details'!$AA:$AA,"No",'Form Details'!$N:$N,"Kiran",'Form Details'!$J:$J,$C392,'Form Details'!$D:$D,'Adv. Filter'!$A$14,'Form Details'!$D:$D,'Adv. Filter'!$B$14)</f>
        <v>0</v>
      </c>
      <c r="BV392" s="238"/>
      <c r="BW392" s="238"/>
      <c r="BX392" s="238"/>
      <c r="BY392" s="238"/>
      <c r="BZ392" s="238"/>
      <c r="CA392" s="239"/>
      <c r="CB392" s="237">
        <f>COUNTIFS('Form Details'!$W:$W,"Adv/Paid",'Form Details'!$N:$N,"Kiran",'Form Details'!$J:$J,$C392,'Form Details'!$D:$D,'Adv. Filter'!$A$14,'Form Details'!$D:$D,'Adv. Filter'!$B$14)</f>
        <v>0</v>
      </c>
      <c r="CC392" s="238"/>
      <c r="CD392" s="238"/>
      <c r="CE392" s="238"/>
      <c r="CF392" s="238"/>
      <c r="CG392" s="238"/>
      <c r="CH392" s="239"/>
      <c r="CI392" s="237">
        <f>COUNTIFS('Form Details'!$W:$W,"Adv/Paid/Reject",'Form Details'!$N:$N,"Kiran",'Form Details'!$J:$J,$C392,'Form Details'!$D:$D,'Adv. Filter'!$A$14,'Form Details'!$D:$D,'Adv. Filter'!$B$14)</f>
        <v>0</v>
      </c>
      <c r="CJ392" s="238"/>
      <c r="CK392" s="238"/>
      <c r="CL392" s="238"/>
      <c r="CM392" s="238"/>
      <c r="CN392" s="238"/>
      <c r="CO392" s="239"/>
      <c r="CP392" s="237">
        <f>COUNTIFS('Form Details'!$W:$W,"Reject",'Form Details'!$N:$N,"Kiran",'Form Details'!$J:$J,$C392,'Form Details'!$D:$D,'Adv. Filter'!$A$14,'Form Details'!$D:$D,'Adv. Filter'!$B$14)</f>
        <v>0</v>
      </c>
      <c r="CQ392" s="238"/>
      <c r="CR392" s="238"/>
      <c r="CS392" s="238"/>
      <c r="CT392" s="238"/>
      <c r="CU392" s="238"/>
      <c r="CV392" s="239"/>
      <c r="CW392" s="237">
        <f>COUNTIFS('Form Details'!$W:$W,"Adv/Paid/Pending",'Form Details'!$N:$N,"Kiran",'Form Details'!$J:$J,$C392,'Form Details'!$D:$D,'Adv. Filter'!$A$14,'Form Details'!$D:$D,'Adv. Filter'!$B$14)</f>
        <v>0</v>
      </c>
      <c r="CX392" s="238"/>
      <c r="CY392" s="238"/>
      <c r="CZ392" s="238"/>
      <c r="DA392" s="238"/>
      <c r="DB392" s="238"/>
      <c r="DC392" s="239"/>
      <c r="DD392" s="237">
        <f>COUNTIFS('Form Details'!$W:$W,"Pending",'Form Details'!$N:$N,"Kiran",'Form Details'!$J:$J,$C392,'Form Details'!$D:$D,'Adv. Filter'!$A$14,'Form Details'!$D:$D,'Adv. Filter'!$B$14)</f>
        <v>0</v>
      </c>
      <c r="DE392" s="238"/>
      <c r="DF392" s="238"/>
      <c r="DG392" s="238"/>
      <c r="DH392" s="238"/>
      <c r="DI392" s="238"/>
      <c r="DJ392" s="239"/>
      <c r="DK392" s="237">
        <f>COUNTIFS('Form Details'!$W:$W,"Adv/Paid/NoStatus",'Form Details'!$N:$N,"Kiran",'Form Details'!$J:$J,$C392,'Form Details'!$D:$D,'Adv. Filter'!$A$14,'Form Details'!$D:$D,'Adv. Filter'!$B$14)</f>
        <v>0</v>
      </c>
      <c r="DL392" s="238"/>
      <c r="DM392" s="238"/>
      <c r="DN392" s="238"/>
      <c r="DO392" s="238"/>
      <c r="DP392" s="238"/>
      <c r="DQ392" s="239"/>
      <c r="DR392" s="237">
        <f>COUNTIFS('Form Details'!$W:$W,"No Status",'Form Details'!$N:$N,"Kiran",'Form Details'!$J:$J,$C392,'Form Details'!$D:$D,'Adv. Filter'!$A$14,'Form Details'!$D:$D,'Adv. Filter'!$B$14)</f>
        <v>0</v>
      </c>
      <c r="DS392" s="238"/>
      <c r="DT392" s="238"/>
      <c r="DU392" s="238"/>
      <c r="DV392" s="238"/>
      <c r="DW392" s="238"/>
      <c r="DX392" s="239"/>
      <c r="DY392" s="237">
        <f>SUM(COUNTIFS('Form Details'!$W:$W,{"Wrong Entry ","Double Entry"},'Form Details'!$N:$N,"Kiran",'Form Details'!$J:$J,$C392,'Form Details'!$D:$D,'Adv. Filter'!$A$14,'Form Details'!$D:$D,'Adv. Filter'!$B$14))</f>
        <v>0</v>
      </c>
      <c r="DZ392" s="238"/>
      <c r="EA392" s="238"/>
      <c r="EB392" s="238"/>
      <c r="EC392" s="238"/>
      <c r="ED392" s="238"/>
      <c r="EE392" s="239"/>
    </row>
    <row r="393" spans="3:135" hidden="1">
      <c r="C393" s="248" t="s">
        <v>77</v>
      </c>
      <c r="D393" s="249"/>
      <c r="E393" s="249"/>
      <c r="F393" s="249"/>
      <c r="G393" s="249"/>
      <c r="H393" s="249"/>
      <c r="I393" s="249"/>
      <c r="J393" s="249"/>
      <c r="K393" s="249"/>
      <c r="L393" s="249"/>
      <c r="M393" s="249"/>
      <c r="N393" s="249"/>
      <c r="O393" s="237">
        <f>SUM(COUNTIFS('Form Details'!$AA:$AA,{"Yes","No","-"},'Form Details'!$N:$N,"Kiran",'Form Details'!$J:$J,$C393,'Form Details'!$D:$D,'Adv. Filter'!$A$14,'Form Details'!$D:$D,'Adv. Filter'!$B$14))</f>
        <v>15</v>
      </c>
      <c r="P393" s="238"/>
      <c r="Q393" s="238"/>
      <c r="R393" s="238"/>
      <c r="S393" s="238"/>
      <c r="T393" s="238"/>
      <c r="U393" s="239"/>
      <c r="V393" s="100"/>
      <c r="W393" s="237">
        <f>COUNTIFS('Form Details'!$AA:$AA,"Yes",'Form Details'!$N:$N,"Kiran",'Form Details'!$J:$J,$C393,'Form Details'!$D:$D,'Adv. Filter'!$A$14,'Form Details'!$D:$D,'Adv. Filter'!$B$14)</f>
        <v>15</v>
      </c>
      <c r="X393" s="238"/>
      <c r="Y393" s="238"/>
      <c r="Z393" s="238"/>
      <c r="AA393" s="238"/>
      <c r="AB393" s="238"/>
      <c r="AC393" s="239"/>
      <c r="AD393" s="237">
        <f>COUNTIFS('Form Details'!$W:$W,"Paid",'Form Details'!$N:$N,"Kiran",'Form Details'!$J:$J,$C393,'Form Details'!$D:$D,'Adv. Filter'!$A$14,'Form Details'!$D:$D,'Adv. Filter'!$B$14)</f>
        <v>15</v>
      </c>
      <c r="AE393" s="238"/>
      <c r="AF393" s="238"/>
      <c r="AG393" s="238"/>
      <c r="AH393" s="238"/>
      <c r="AI393" s="238"/>
      <c r="AJ393" s="239"/>
      <c r="AK393" s="237">
        <f>COUNTIFS('Form Details'!$W:$W,"Due",'Form Details'!$N:$N,"Kiran",'Form Details'!$J:$J,$C393,'Form Details'!$D:$D,'Adv. Filter'!$A$14,'Form Details'!$D:$D,'Adv. Filter'!$B$14)</f>
        <v>0</v>
      </c>
      <c r="AL393" s="238"/>
      <c r="AM393" s="238"/>
      <c r="AN393" s="238"/>
      <c r="AO393" s="238"/>
      <c r="AP393" s="238"/>
      <c r="AQ393" s="239"/>
      <c r="AR393" s="237">
        <f>COUNTIFS('Form Details'!$W:$W,"No Fee",'Form Details'!$N:$N,"Kiran",'Form Details'!$J:$J,$C393,'Form Details'!$D:$D,'Adv. Filter'!$A$14,'Form Details'!$D:$D,'Adv. Filter'!$B$14)</f>
        <v>0</v>
      </c>
      <c r="AS393" s="238"/>
      <c r="AT393" s="238"/>
      <c r="AU393" s="238"/>
      <c r="AV393" s="238"/>
      <c r="AW393" s="238"/>
      <c r="AX393" s="239"/>
      <c r="AY393" s="237">
        <f>COUNTIFS('Form Details'!$W:$W,"Paid/Reject",'Form Details'!$N:$N,"Kiran",'Form Details'!$J:$J,$C393,'Form Details'!$D:$D,'Adv. Filter'!$A$14,'Form Details'!$D:$D,'Adv. Filter'!$B$14)</f>
        <v>0</v>
      </c>
      <c r="AZ393" s="238"/>
      <c r="BA393" s="238"/>
      <c r="BB393" s="238"/>
      <c r="BC393" s="238"/>
      <c r="BD393" s="238"/>
      <c r="BE393" s="239"/>
      <c r="BF393" s="237">
        <f>COUNTIFS('Form Details'!$W:$W,"Staff",'Form Details'!$N:$N,"Kiran",'Form Details'!$J:$J,$C393,'Form Details'!$D:$D,'Adv. Filter'!$A$14,'Form Details'!$D:$D,'Adv. Filter'!$B$14)</f>
        <v>0</v>
      </c>
      <c r="BG393" s="238"/>
      <c r="BH393" s="238"/>
      <c r="BI393" s="238"/>
      <c r="BJ393" s="238"/>
      <c r="BK393" s="238"/>
      <c r="BL393" s="239"/>
      <c r="BM393" s="237">
        <f>COUNTIFS('Form Details'!$W:$W,"File in Office",'Form Details'!$N:$N,"Kiran",'Form Details'!$J:$J,$C393,'Form Details'!$D:$D,'Adv. Filter'!$A$14,'Form Details'!$D:$D,'Adv. Filter'!$B$14)</f>
        <v>0</v>
      </c>
      <c r="BN393" s="238"/>
      <c r="BO393" s="238"/>
      <c r="BP393" s="238"/>
      <c r="BQ393" s="238"/>
      <c r="BR393" s="238"/>
      <c r="BS393" s="239"/>
      <c r="BT393" s="100"/>
      <c r="BU393" s="237">
        <f>COUNTIFS('Form Details'!$AA:$AA,"No",'Form Details'!$N:$N,"Kiran",'Form Details'!$J:$J,$C393,'Form Details'!$D:$D,'Adv. Filter'!$A$14,'Form Details'!$D:$D,'Adv. Filter'!$B$14)</f>
        <v>0</v>
      </c>
      <c r="BV393" s="238"/>
      <c r="BW393" s="238"/>
      <c r="BX393" s="238"/>
      <c r="BY393" s="238"/>
      <c r="BZ393" s="238"/>
      <c r="CA393" s="239"/>
      <c r="CB393" s="237">
        <f>COUNTIFS('Form Details'!$W:$W,"Adv/Paid",'Form Details'!$N:$N,"Kiran",'Form Details'!$J:$J,$C393,'Form Details'!$D:$D,'Adv. Filter'!$A$14,'Form Details'!$D:$D,'Adv. Filter'!$B$14)</f>
        <v>0</v>
      </c>
      <c r="CC393" s="238"/>
      <c r="CD393" s="238"/>
      <c r="CE393" s="238"/>
      <c r="CF393" s="238"/>
      <c r="CG393" s="238"/>
      <c r="CH393" s="239"/>
      <c r="CI393" s="237">
        <f>COUNTIFS('Form Details'!$W:$W,"Adv/Paid/Reject",'Form Details'!$N:$N,"Kiran",'Form Details'!$J:$J,$C393,'Form Details'!$D:$D,'Adv. Filter'!$A$14,'Form Details'!$D:$D,'Adv. Filter'!$B$14)</f>
        <v>0</v>
      </c>
      <c r="CJ393" s="238"/>
      <c r="CK393" s="238"/>
      <c r="CL393" s="238"/>
      <c r="CM393" s="238"/>
      <c r="CN393" s="238"/>
      <c r="CO393" s="239"/>
      <c r="CP393" s="237">
        <f>COUNTIFS('Form Details'!$W:$W,"Reject",'Form Details'!$N:$N,"Kiran",'Form Details'!$J:$J,$C393,'Form Details'!$D:$D,'Adv. Filter'!$A$14,'Form Details'!$D:$D,'Adv. Filter'!$B$14)</f>
        <v>0</v>
      </c>
      <c r="CQ393" s="238"/>
      <c r="CR393" s="238"/>
      <c r="CS393" s="238"/>
      <c r="CT393" s="238"/>
      <c r="CU393" s="238"/>
      <c r="CV393" s="239"/>
      <c r="CW393" s="237">
        <f>COUNTIFS('Form Details'!$W:$W,"Adv/Paid/Pending",'Form Details'!$N:$N,"Kiran",'Form Details'!$J:$J,$C393,'Form Details'!$D:$D,'Adv. Filter'!$A$14,'Form Details'!$D:$D,'Adv. Filter'!$B$14)</f>
        <v>0</v>
      </c>
      <c r="CX393" s="238"/>
      <c r="CY393" s="238"/>
      <c r="CZ393" s="238"/>
      <c r="DA393" s="238"/>
      <c r="DB393" s="238"/>
      <c r="DC393" s="239"/>
      <c r="DD393" s="237">
        <f>COUNTIFS('Form Details'!$W:$W,"Pending",'Form Details'!$N:$N,"Kiran",'Form Details'!$J:$J,$C393,'Form Details'!$D:$D,'Adv. Filter'!$A$14,'Form Details'!$D:$D,'Adv. Filter'!$B$14)</f>
        <v>0</v>
      </c>
      <c r="DE393" s="238"/>
      <c r="DF393" s="238"/>
      <c r="DG393" s="238"/>
      <c r="DH393" s="238"/>
      <c r="DI393" s="238"/>
      <c r="DJ393" s="239"/>
      <c r="DK393" s="237">
        <f>COUNTIFS('Form Details'!$W:$W,"Adv/Paid/NoStatus",'Form Details'!$N:$N,"Kiran",'Form Details'!$J:$J,$C393,'Form Details'!$D:$D,'Adv. Filter'!$A$14,'Form Details'!$D:$D,'Adv. Filter'!$B$14)</f>
        <v>0</v>
      </c>
      <c r="DL393" s="238"/>
      <c r="DM393" s="238"/>
      <c r="DN393" s="238"/>
      <c r="DO393" s="238"/>
      <c r="DP393" s="238"/>
      <c r="DQ393" s="239"/>
      <c r="DR393" s="237">
        <f>COUNTIFS('Form Details'!$W:$W,"No Status",'Form Details'!$N:$N,"Kiran",'Form Details'!$J:$J,$C393,'Form Details'!$D:$D,'Adv. Filter'!$A$14,'Form Details'!$D:$D,'Adv. Filter'!$B$14)</f>
        <v>0</v>
      </c>
      <c r="DS393" s="238"/>
      <c r="DT393" s="238"/>
      <c r="DU393" s="238"/>
      <c r="DV393" s="238"/>
      <c r="DW393" s="238"/>
      <c r="DX393" s="239"/>
      <c r="DY393" s="237">
        <f>SUM(COUNTIFS('Form Details'!$W:$W,{"Wrong Entry ","Double Entry"},'Form Details'!$N:$N,"Kiran",'Form Details'!$J:$J,$C393,'Form Details'!$D:$D,'Adv. Filter'!$A$14,'Form Details'!$D:$D,'Adv. Filter'!$B$14))</f>
        <v>0</v>
      </c>
      <c r="DZ393" s="238"/>
      <c r="EA393" s="238"/>
      <c r="EB393" s="238"/>
      <c r="EC393" s="238"/>
      <c r="ED393" s="238"/>
      <c r="EE393" s="239"/>
    </row>
    <row r="394" spans="3:135" hidden="1">
      <c r="C394" s="248" t="s">
        <v>138</v>
      </c>
      <c r="D394" s="249"/>
      <c r="E394" s="249"/>
      <c r="F394" s="249"/>
      <c r="G394" s="249"/>
      <c r="H394" s="249"/>
      <c r="I394" s="249"/>
      <c r="J394" s="249"/>
      <c r="K394" s="249"/>
      <c r="L394" s="249"/>
      <c r="M394" s="249"/>
      <c r="N394" s="249"/>
      <c r="O394" s="237">
        <f>SUM(COUNTIFS('Form Details'!$AA:$AA,{"Yes","No","-"},'Form Details'!$N:$N,"Kiran",'Form Details'!$J:$J,$C394,'Form Details'!$D:$D,'Adv. Filter'!$A$14,'Form Details'!$D:$D,'Adv. Filter'!$B$14))</f>
        <v>0</v>
      </c>
      <c r="P394" s="238"/>
      <c r="Q394" s="238"/>
      <c r="R394" s="238"/>
      <c r="S394" s="238"/>
      <c r="T394" s="238"/>
      <c r="U394" s="239"/>
      <c r="V394" s="100"/>
      <c r="W394" s="237">
        <f>COUNTIFS('Form Details'!$AA:$AA,"Yes",'Form Details'!$N:$N,"Kiran",'Form Details'!$J:$J,$C394,'Form Details'!$D:$D,'Adv. Filter'!$A$14,'Form Details'!$D:$D,'Adv. Filter'!$B$14)</f>
        <v>0</v>
      </c>
      <c r="X394" s="238"/>
      <c r="Y394" s="238"/>
      <c r="Z394" s="238"/>
      <c r="AA394" s="238"/>
      <c r="AB394" s="238"/>
      <c r="AC394" s="239"/>
      <c r="AD394" s="237">
        <f>COUNTIFS('Form Details'!$W:$W,"Paid",'Form Details'!$N:$N,"Kiran",'Form Details'!$J:$J,$C394,'Form Details'!$D:$D,'Adv. Filter'!$A$14,'Form Details'!$D:$D,'Adv. Filter'!$B$14)</f>
        <v>0</v>
      </c>
      <c r="AE394" s="238"/>
      <c r="AF394" s="238"/>
      <c r="AG394" s="238"/>
      <c r="AH394" s="238"/>
      <c r="AI394" s="238"/>
      <c r="AJ394" s="239"/>
      <c r="AK394" s="237">
        <f>COUNTIFS('Form Details'!$W:$W,"Due",'Form Details'!$N:$N,"Kiran",'Form Details'!$J:$J,$C394,'Form Details'!$D:$D,'Adv. Filter'!$A$14,'Form Details'!$D:$D,'Adv. Filter'!$B$14)</f>
        <v>0</v>
      </c>
      <c r="AL394" s="238"/>
      <c r="AM394" s="238"/>
      <c r="AN394" s="238"/>
      <c r="AO394" s="238"/>
      <c r="AP394" s="238"/>
      <c r="AQ394" s="239"/>
      <c r="AR394" s="237">
        <f>COUNTIFS('Form Details'!$W:$W,"No Fee",'Form Details'!$N:$N,"Kiran",'Form Details'!$J:$J,$C394,'Form Details'!$D:$D,'Adv. Filter'!$A$14,'Form Details'!$D:$D,'Adv. Filter'!$B$14)</f>
        <v>0</v>
      </c>
      <c r="AS394" s="238"/>
      <c r="AT394" s="238"/>
      <c r="AU394" s="238"/>
      <c r="AV394" s="238"/>
      <c r="AW394" s="238"/>
      <c r="AX394" s="239"/>
      <c r="AY394" s="237">
        <f>COUNTIFS('Form Details'!$W:$W,"Paid/Reject",'Form Details'!$N:$N,"Kiran",'Form Details'!$J:$J,$C394,'Form Details'!$D:$D,'Adv. Filter'!$A$14,'Form Details'!$D:$D,'Adv. Filter'!$B$14)</f>
        <v>0</v>
      </c>
      <c r="AZ394" s="238"/>
      <c r="BA394" s="238"/>
      <c r="BB394" s="238"/>
      <c r="BC394" s="238"/>
      <c r="BD394" s="238"/>
      <c r="BE394" s="239"/>
      <c r="BF394" s="237">
        <f>COUNTIFS('Form Details'!$W:$W,"Staff",'Form Details'!$N:$N,"Kiran",'Form Details'!$J:$J,$C394,'Form Details'!$D:$D,'Adv. Filter'!$A$14,'Form Details'!$D:$D,'Adv. Filter'!$B$14)</f>
        <v>0</v>
      </c>
      <c r="BG394" s="238"/>
      <c r="BH394" s="238"/>
      <c r="BI394" s="238"/>
      <c r="BJ394" s="238"/>
      <c r="BK394" s="238"/>
      <c r="BL394" s="239"/>
      <c r="BM394" s="237">
        <f>COUNTIFS('Form Details'!$W:$W,"File in Office",'Form Details'!$N:$N,"Kiran",'Form Details'!$J:$J,$C394,'Form Details'!$D:$D,'Adv. Filter'!$A$14,'Form Details'!$D:$D,'Adv. Filter'!$B$14)</f>
        <v>0</v>
      </c>
      <c r="BN394" s="238"/>
      <c r="BO394" s="238"/>
      <c r="BP394" s="238"/>
      <c r="BQ394" s="238"/>
      <c r="BR394" s="238"/>
      <c r="BS394" s="239"/>
      <c r="BT394" s="100"/>
      <c r="BU394" s="237">
        <f>COUNTIFS('Form Details'!$AA:$AA,"No",'Form Details'!$N:$N,"Kiran",'Form Details'!$J:$J,$C394,'Form Details'!$D:$D,'Adv. Filter'!$A$14,'Form Details'!$D:$D,'Adv. Filter'!$B$14)</f>
        <v>0</v>
      </c>
      <c r="BV394" s="238"/>
      <c r="BW394" s="238"/>
      <c r="BX394" s="238"/>
      <c r="BY394" s="238"/>
      <c r="BZ394" s="238"/>
      <c r="CA394" s="239"/>
      <c r="CB394" s="237">
        <f>COUNTIFS('Form Details'!$W:$W,"Adv/Paid",'Form Details'!$N:$N,"Kiran",'Form Details'!$J:$J,$C394,'Form Details'!$D:$D,'Adv. Filter'!$A$14,'Form Details'!$D:$D,'Adv. Filter'!$B$14)</f>
        <v>0</v>
      </c>
      <c r="CC394" s="238"/>
      <c r="CD394" s="238"/>
      <c r="CE394" s="238"/>
      <c r="CF394" s="238"/>
      <c r="CG394" s="238"/>
      <c r="CH394" s="239"/>
      <c r="CI394" s="237">
        <f>COUNTIFS('Form Details'!$W:$W,"Adv/Paid/Reject",'Form Details'!$N:$N,"Kiran",'Form Details'!$J:$J,$C394,'Form Details'!$D:$D,'Adv. Filter'!$A$14,'Form Details'!$D:$D,'Adv. Filter'!$B$14)</f>
        <v>0</v>
      </c>
      <c r="CJ394" s="238"/>
      <c r="CK394" s="238"/>
      <c r="CL394" s="238"/>
      <c r="CM394" s="238"/>
      <c r="CN394" s="238"/>
      <c r="CO394" s="239"/>
      <c r="CP394" s="237">
        <f>COUNTIFS('Form Details'!$W:$W,"Reject",'Form Details'!$N:$N,"Kiran",'Form Details'!$J:$J,$C394,'Form Details'!$D:$D,'Adv. Filter'!$A$14,'Form Details'!$D:$D,'Adv. Filter'!$B$14)</f>
        <v>0</v>
      </c>
      <c r="CQ394" s="238"/>
      <c r="CR394" s="238"/>
      <c r="CS394" s="238"/>
      <c r="CT394" s="238"/>
      <c r="CU394" s="238"/>
      <c r="CV394" s="239"/>
      <c r="CW394" s="237">
        <f>COUNTIFS('Form Details'!$W:$W,"Adv/Paid/Pending",'Form Details'!$N:$N,"Kiran",'Form Details'!$J:$J,$C394,'Form Details'!$D:$D,'Adv. Filter'!$A$14,'Form Details'!$D:$D,'Adv. Filter'!$B$14)</f>
        <v>0</v>
      </c>
      <c r="CX394" s="238"/>
      <c r="CY394" s="238"/>
      <c r="CZ394" s="238"/>
      <c r="DA394" s="238"/>
      <c r="DB394" s="238"/>
      <c r="DC394" s="239"/>
      <c r="DD394" s="237">
        <f>COUNTIFS('Form Details'!$W:$W,"Pending",'Form Details'!$N:$N,"Kiran",'Form Details'!$J:$J,$C394,'Form Details'!$D:$D,'Adv. Filter'!$A$14,'Form Details'!$D:$D,'Adv. Filter'!$B$14)</f>
        <v>0</v>
      </c>
      <c r="DE394" s="238"/>
      <c r="DF394" s="238"/>
      <c r="DG394" s="238"/>
      <c r="DH394" s="238"/>
      <c r="DI394" s="238"/>
      <c r="DJ394" s="239"/>
      <c r="DK394" s="237">
        <f>COUNTIFS('Form Details'!$W:$W,"Adv/Paid/NoStatus",'Form Details'!$N:$N,"Kiran",'Form Details'!$J:$J,$C394,'Form Details'!$D:$D,'Adv. Filter'!$A$14,'Form Details'!$D:$D,'Adv. Filter'!$B$14)</f>
        <v>0</v>
      </c>
      <c r="DL394" s="238"/>
      <c r="DM394" s="238"/>
      <c r="DN394" s="238"/>
      <c r="DO394" s="238"/>
      <c r="DP394" s="238"/>
      <c r="DQ394" s="239"/>
      <c r="DR394" s="237">
        <f>COUNTIFS('Form Details'!$W:$W,"No Status",'Form Details'!$N:$N,"Kiran",'Form Details'!$J:$J,$C394,'Form Details'!$D:$D,'Adv. Filter'!$A$14,'Form Details'!$D:$D,'Adv. Filter'!$B$14)</f>
        <v>0</v>
      </c>
      <c r="DS394" s="238"/>
      <c r="DT394" s="238"/>
      <c r="DU394" s="238"/>
      <c r="DV394" s="238"/>
      <c r="DW394" s="238"/>
      <c r="DX394" s="239"/>
      <c r="DY394" s="237">
        <f>SUM(COUNTIFS('Form Details'!$W:$W,{"Wrong Entry ","Double Entry"},'Form Details'!$N:$N,"Kiran",'Form Details'!$J:$J,$C394,'Form Details'!$D:$D,'Adv. Filter'!$A$14,'Form Details'!$D:$D,'Adv. Filter'!$B$14))</f>
        <v>0</v>
      </c>
      <c r="DZ394" s="238"/>
      <c r="EA394" s="238"/>
      <c r="EB394" s="238"/>
      <c r="EC394" s="238"/>
      <c r="ED394" s="238"/>
      <c r="EE394" s="239"/>
    </row>
    <row r="395" spans="3:135" hidden="1">
      <c r="C395" s="248" t="s">
        <v>84</v>
      </c>
      <c r="D395" s="249"/>
      <c r="E395" s="249"/>
      <c r="F395" s="249"/>
      <c r="G395" s="249"/>
      <c r="H395" s="249"/>
      <c r="I395" s="249"/>
      <c r="J395" s="249"/>
      <c r="K395" s="249"/>
      <c r="L395" s="249"/>
      <c r="M395" s="249"/>
      <c r="N395" s="249"/>
      <c r="O395" s="237">
        <f>SUM(COUNTIFS('Form Details'!$AA:$AA,{"Yes","No","-"},'Form Details'!$N:$N,"Kiran",'Form Details'!$J:$J,$C395,'Form Details'!$D:$D,'Adv. Filter'!$A$14,'Form Details'!$D:$D,'Adv. Filter'!$B$14))</f>
        <v>201</v>
      </c>
      <c r="P395" s="238"/>
      <c r="Q395" s="238"/>
      <c r="R395" s="238"/>
      <c r="S395" s="238"/>
      <c r="T395" s="238"/>
      <c r="U395" s="239"/>
      <c r="V395" s="100"/>
      <c r="W395" s="237">
        <f>COUNTIFS('Form Details'!$AA:$AA,"Yes",'Form Details'!$N:$N,"Kiran",'Form Details'!$J:$J,$C395,'Form Details'!$D:$D,'Adv. Filter'!$A$14,'Form Details'!$D:$D,'Adv. Filter'!$B$14)</f>
        <v>199</v>
      </c>
      <c r="X395" s="238"/>
      <c r="Y395" s="238"/>
      <c r="Z395" s="238"/>
      <c r="AA395" s="238"/>
      <c r="AB395" s="238"/>
      <c r="AC395" s="239"/>
      <c r="AD395" s="237">
        <f>COUNTIFS('Form Details'!$W:$W,"Paid",'Form Details'!$N:$N,"Kiran",'Form Details'!$J:$J,$C395,'Form Details'!$D:$D,'Adv. Filter'!$A$14,'Form Details'!$D:$D,'Adv. Filter'!$B$14)</f>
        <v>63</v>
      </c>
      <c r="AE395" s="238"/>
      <c r="AF395" s="238"/>
      <c r="AG395" s="238"/>
      <c r="AH395" s="238"/>
      <c r="AI395" s="238"/>
      <c r="AJ395" s="239"/>
      <c r="AK395" s="237">
        <f>COUNTIFS('Form Details'!$W:$W,"Due",'Form Details'!$N:$N,"Kiran",'Form Details'!$J:$J,$C395,'Form Details'!$D:$D,'Adv. Filter'!$A$14,'Form Details'!$D:$D,'Adv. Filter'!$B$14)</f>
        <v>136</v>
      </c>
      <c r="AL395" s="238"/>
      <c r="AM395" s="238"/>
      <c r="AN395" s="238"/>
      <c r="AO395" s="238"/>
      <c r="AP395" s="238"/>
      <c r="AQ395" s="239"/>
      <c r="AR395" s="237">
        <f>COUNTIFS('Form Details'!$W:$W,"No Fee",'Form Details'!$N:$N,"Kiran",'Form Details'!$J:$J,$C395,'Form Details'!$D:$D,'Adv. Filter'!$A$14,'Form Details'!$D:$D,'Adv. Filter'!$B$14)</f>
        <v>0</v>
      </c>
      <c r="AS395" s="238"/>
      <c r="AT395" s="238"/>
      <c r="AU395" s="238"/>
      <c r="AV395" s="238"/>
      <c r="AW395" s="238"/>
      <c r="AX395" s="239"/>
      <c r="AY395" s="237">
        <f>COUNTIFS('Form Details'!$W:$W,"Paid/Reject",'Form Details'!$N:$N,"Kiran",'Form Details'!$J:$J,$C395,'Form Details'!$D:$D,'Adv. Filter'!$A$14,'Form Details'!$D:$D,'Adv. Filter'!$B$14)</f>
        <v>0</v>
      </c>
      <c r="AZ395" s="238"/>
      <c r="BA395" s="238"/>
      <c r="BB395" s="238"/>
      <c r="BC395" s="238"/>
      <c r="BD395" s="238"/>
      <c r="BE395" s="239"/>
      <c r="BF395" s="237">
        <f>COUNTIFS('Form Details'!$W:$W,"Staff",'Form Details'!$N:$N,"Kiran",'Form Details'!$J:$J,$C395,'Form Details'!$D:$D,'Adv. Filter'!$A$14,'Form Details'!$D:$D,'Adv. Filter'!$B$14)</f>
        <v>0</v>
      </c>
      <c r="BG395" s="238"/>
      <c r="BH395" s="238"/>
      <c r="BI395" s="238"/>
      <c r="BJ395" s="238"/>
      <c r="BK395" s="238"/>
      <c r="BL395" s="239"/>
      <c r="BM395" s="237">
        <f>COUNTIFS('Form Details'!$W:$W,"File in Office",'Form Details'!$N:$N,"Kiran",'Form Details'!$J:$J,$C395,'Form Details'!$D:$D,'Adv. Filter'!$A$14,'Form Details'!$D:$D,'Adv. Filter'!$B$14)</f>
        <v>0</v>
      </c>
      <c r="BN395" s="238"/>
      <c r="BO395" s="238"/>
      <c r="BP395" s="238"/>
      <c r="BQ395" s="238"/>
      <c r="BR395" s="238"/>
      <c r="BS395" s="239"/>
      <c r="BT395" s="100"/>
      <c r="BU395" s="237">
        <f>COUNTIFS('Form Details'!$AA:$AA,"No",'Form Details'!$N:$N,"Kiran",'Form Details'!$J:$J,$C395,'Form Details'!$D:$D,'Adv. Filter'!$A$14,'Form Details'!$D:$D,'Adv. Filter'!$B$14)</f>
        <v>2</v>
      </c>
      <c r="BV395" s="238"/>
      <c r="BW395" s="238"/>
      <c r="BX395" s="238"/>
      <c r="BY395" s="238"/>
      <c r="BZ395" s="238"/>
      <c r="CA395" s="239"/>
      <c r="CB395" s="237">
        <f>COUNTIFS('Form Details'!$W:$W,"Adv/Paid",'Form Details'!$N:$N,"Kiran",'Form Details'!$J:$J,$C395,'Form Details'!$D:$D,'Adv. Filter'!$A$14,'Form Details'!$D:$D,'Adv. Filter'!$B$14)</f>
        <v>0</v>
      </c>
      <c r="CC395" s="238"/>
      <c r="CD395" s="238"/>
      <c r="CE395" s="238"/>
      <c r="CF395" s="238"/>
      <c r="CG395" s="238"/>
      <c r="CH395" s="239"/>
      <c r="CI395" s="237">
        <f>COUNTIFS('Form Details'!$W:$W,"Adv/Paid/Reject",'Form Details'!$N:$N,"Kiran",'Form Details'!$J:$J,$C395,'Form Details'!$D:$D,'Adv. Filter'!$A$14,'Form Details'!$D:$D,'Adv. Filter'!$B$14)</f>
        <v>0</v>
      </c>
      <c r="CJ395" s="238"/>
      <c r="CK395" s="238"/>
      <c r="CL395" s="238"/>
      <c r="CM395" s="238"/>
      <c r="CN395" s="238"/>
      <c r="CO395" s="239"/>
      <c r="CP395" s="237">
        <f>COUNTIFS('Form Details'!$W:$W,"Reject",'Form Details'!$N:$N,"Kiran",'Form Details'!$J:$J,$C395,'Form Details'!$D:$D,'Adv. Filter'!$A$14,'Form Details'!$D:$D,'Adv. Filter'!$B$14)</f>
        <v>1</v>
      </c>
      <c r="CQ395" s="238"/>
      <c r="CR395" s="238"/>
      <c r="CS395" s="238"/>
      <c r="CT395" s="238"/>
      <c r="CU395" s="238"/>
      <c r="CV395" s="239"/>
      <c r="CW395" s="237">
        <f>COUNTIFS('Form Details'!$W:$W,"Adv/Paid/Pending",'Form Details'!$N:$N,"Kiran",'Form Details'!$J:$J,$C395,'Form Details'!$D:$D,'Adv. Filter'!$A$14,'Form Details'!$D:$D,'Adv. Filter'!$B$14)</f>
        <v>0</v>
      </c>
      <c r="CX395" s="238"/>
      <c r="CY395" s="238"/>
      <c r="CZ395" s="238"/>
      <c r="DA395" s="238"/>
      <c r="DB395" s="238"/>
      <c r="DC395" s="239"/>
      <c r="DD395" s="237">
        <f>COUNTIFS('Form Details'!$W:$W,"Pending",'Form Details'!$N:$N,"Kiran",'Form Details'!$J:$J,$C395,'Form Details'!$D:$D,'Adv. Filter'!$A$14,'Form Details'!$D:$D,'Adv. Filter'!$B$14)</f>
        <v>0</v>
      </c>
      <c r="DE395" s="238"/>
      <c r="DF395" s="238"/>
      <c r="DG395" s="238"/>
      <c r="DH395" s="238"/>
      <c r="DI395" s="238"/>
      <c r="DJ395" s="239"/>
      <c r="DK395" s="237">
        <f>COUNTIFS('Form Details'!$W:$W,"Adv/Paid/NoStatus",'Form Details'!$N:$N,"Kiran",'Form Details'!$J:$J,$C395,'Form Details'!$D:$D,'Adv. Filter'!$A$14,'Form Details'!$D:$D,'Adv. Filter'!$B$14)</f>
        <v>0</v>
      </c>
      <c r="DL395" s="238"/>
      <c r="DM395" s="238"/>
      <c r="DN395" s="238"/>
      <c r="DO395" s="238"/>
      <c r="DP395" s="238"/>
      <c r="DQ395" s="239"/>
      <c r="DR395" s="237">
        <f>COUNTIFS('Form Details'!$W:$W,"No Status",'Form Details'!$N:$N,"Kiran",'Form Details'!$J:$J,$C395,'Form Details'!$D:$D,'Adv. Filter'!$A$14,'Form Details'!$D:$D,'Adv. Filter'!$B$14)</f>
        <v>0</v>
      </c>
      <c r="DS395" s="238"/>
      <c r="DT395" s="238"/>
      <c r="DU395" s="238"/>
      <c r="DV395" s="238"/>
      <c r="DW395" s="238"/>
      <c r="DX395" s="239"/>
      <c r="DY395" s="237">
        <f>SUM(COUNTIFS('Form Details'!$W:$W,{"Wrong Entry ","Double Entry"},'Form Details'!$N:$N,"Kiran",'Form Details'!$J:$J,$C395,'Form Details'!$D:$D,'Adv. Filter'!$A$14,'Form Details'!$D:$D,'Adv. Filter'!$B$14))</f>
        <v>1</v>
      </c>
      <c r="DZ395" s="238"/>
      <c r="EA395" s="238"/>
      <c r="EB395" s="238"/>
      <c r="EC395" s="238"/>
      <c r="ED395" s="238"/>
      <c r="EE395" s="239"/>
    </row>
    <row r="396" spans="3:135" ht="15.75" hidden="1" thickBot="1">
      <c r="C396" s="248" t="s">
        <v>551</v>
      </c>
      <c r="D396" s="249"/>
      <c r="E396" s="249"/>
      <c r="F396" s="249"/>
      <c r="G396" s="249"/>
      <c r="H396" s="249"/>
      <c r="I396" s="249"/>
      <c r="J396" s="249"/>
      <c r="K396" s="249"/>
      <c r="L396" s="249"/>
      <c r="M396" s="249"/>
      <c r="N396" s="249"/>
      <c r="O396" s="237">
        <f>SUM(COUNTIFS('Form Details'!$AA:$AA,{"Yes","No","-"},'Form Details'!$N:$N,"Kiran",'Form Details'!$J:$J,$C396,'Form Details'!$D:$D,'Adv. Filter'!$A$14,'Form Details'!$D:$D,'Adv. Filter'!$B$14))</f>
        <v>15</v>
      </c>
      <c r="P396" s="238"/>
      <c r="Q396" s="238"/>
      <c r="R396" s="238"/>
      <c r="S396" s="238"/>
      <c r="T396" s="238"/>
      <c r="U396" s="239"/>
      <c r="V396" s="100"/>
      <c r="W396" s="237">
        <f>COUNTIFS('Form Details'!$AA:$AA,"Yes",'Form Details'!$N:$N,"Kiran",'Form Details'!$J:$J,$C396,'Form Details'!$D:$D,'Adv. Filter'!$A$14,'Form Details'!$D:$D,'Adv. Filter'!$B$14)</f>
        <v>15</v>
      </c>
      <c r="X396" s="238"/>
      <c r="Y396" s="238"/>
      <c r="Z396" s="238"/>
      <c r="AA396" s="238"/>
      <c r="AB396" s="238"/>
      <c r="AC396" s="239"/>
      <c r="AD396" s="237">
        <f>COUNTIFS('Form Details'!$W:$W,"Paid",'Form Details'!$N:$N,"Kiran",'Form Details'!$J:$J,$C396,'Form Details'!$D:$D,'Adv. Filter'!$A$14,'Form Details'!$D:$D,'Adv. Filter'!$B$14)</f>
        <v>15</v>
      </c>
      <c r="AE396" s="238"/>
      <c r="AF396" s="238"/>
      <c r="AG396" s="238"/>
      <c r="AH396" s="238"/>
      <c r="AI396" s="238"/>
      <c r="AJ396" s="239"/>
      <c r="AK396" s="237">
        <f>COUNTIFS('Form Details'!$W:$W,"Due",'Form Details'!$N:$N,"Kiran",'Form Details'!$J:$J,$C396,'Form Details'!$D:$D,'Adv. Filter'!$A$14,'Form Details'!$D:$D,'Adv. Filter'!$B$14)</f>
        <v>0</v>
      </c>
      <c r="AL396" s="238"/>
      <c r="AM396" s="238"/>
      <c r="AN396" s="238"/>
      <c r="AO396" s="238"/>
      <c r="AP396" s="238"/>
      <c r="AQ396" s="239"/>
      <c r="AR396" s="237">
        <f>COUNTIFS('Form Details'!$W:$W,"No Fee",'Form Details'!$N:$N,"Kiran",'Form Details'!$J:$J,$C396,'Form Details'!$D:$D,'Adv. Filter'!$A$14,'Form Details'!$D:$D,'Adv. Filter'!$B$14)</f>
        <v>0</v>
      </c>
      <c r="AS396" s="238"/>
      <c r="AT396" s="238"/>
      <c r="AU396" s="238"/>
      <c r="AV396" s="238"/>
      <c r="AW396" s="238"/>
      <c r="AX396" s="239"/>
      <c r="AY396" s="237">
        <f>COUNTIFS('Form Details'!$W:$W,"Paid/Reject",'Form Details'!$N:$N,"Kiran",'Form Details'!$J:$J,$C396,'Form Details'!$D:$D,'Adv. Filter'!$A$14,'Form Details'!$D:$D,'Adv. Filter'!$B$14)</f>
        <v>0</v>
      </c>
      <c r="AZ396" s="238"/>
      <c r="BA396" s="238"/>
      <c r="BB396" s="238"/>
      <c r="BC396" s="238"/>
      <c r="BD396" s="238"/>
      <c r="BE396" s="239"/>
      <c r="BF396" s="237">
        <f>COUNTIFS('Form Details'!$W:$W,"Staff",'Form Details'!$N:$N,"Kiran",'Form Details'!$J:$J,$C396,'Form Details'!$D:$D,'Adv. Filter'!$A$14,'Form Details'!$D:$D,'Adv. Filter'!$B$14)</f>
        <v>0</v>
      </c>
      <c r="BG396" s="238"/>
      <c r="BH396" s="238"/>
      <c r="BI396" s="238"/>
      <c r="BJ396" s="238"/>
      <c r="BK396" s="238"/>
      <c r="BL396" s="239"/>
      <c r="BM396" s="237">
        <f>COUNTIFS('Form Details'!$W:$W,"File in Office",'Form Details'!$N:$N,"Kiran",'Form Details'!$J:$J,$C396,'Form Details'!$D:$D,'Adv. Filter'!$A$14,'Form Details'!$D:$D,'Adv. Filter'!$B$14)</f>
        <v>0</v>
      </c>
      <c r="BN396" s="238"/>
      <c r="BO396" s="238"/>
      <c r="BP396" s="238"/>
      <c r="BQ396" s="238"/>
      <c r="BR396" s="238"/>
      <c r="BS396" s="239"/>
      <c r="BT396" s="100"/>
      <c r="BU396" s="237">
        <f>COUNTIFS('Form Details'!$AA:$AA,"No",'Form Details'!$N:$N,"Kiran",'Form Details'!$J:$J,$C396,'Form Details'!$D:$D,'Adv. Filter'!$A$14,'Form Details'!$D:$D,'Adv. Filter'!$B$14)</f>
        <v>0</v>
      </c>
      <c r="BV396" s="238"/>
      <c r="BW396" s="238"/>
      <c r="BX396" s="238"/>
      <c r="BY396" s="238"/>
      <c r="BZ396" s="238"/>
      <c r="CA396" s="239"/>
      <c r="CB396" s="237">
        <f>COUNTIFS('Form Details'!$W:$W,"Adv/Paid",'Form Details'!$N:$N,"Kiran",'Form Details'!$J:$J,$C396,'Form Details'!$D:$D,'Adv. Filter'!$A$14,'Form Details'!$D:$D,'Adv. Filter'!$B$14)</f>
        <v>0</v>
      </c>
      <c r="CC396" s="238"/>
      <c r="CD396" s="238"/>
      <c r="CE396" s="238"/>
      <c r="CF396" s="238"/>
      <c r="CG396" s="238"/>
      <c r="CH396" s="239"/>
      <c r="CI396" s="237">
        <f>COUNTIFS('Form Details'!$W:$W,"Adv/Paid/Reject",'Form Details'!$N:$N,"Kiran",'Form Details'!$J:$J,$C396,'Form Details'!$D:$D,'Adv. Filter'!$A$14,'Form Details'!$D:$D,'Adv. Filter'!$B$14)</f>
        <v>0</v>
      </c>
      <c r="CJ396" s="238"/>
      <c r="CK396" s="238"/>
      <c r="CL396" s="238"/>
      <c r="CM396" s="238"/>
      <c r="CN396" s="238"/>
      <c r="CO396" s="239"/>
      <c r="CP396" s="237">
        <f>COUNTIFS('Form Details'!$W:$W,"Reject",'Form Details'!$N:$N,"Kiran",'Form Details'!$J:$J,$C396,'Form Details'!$D:$D,'Adv. Filter'!$A$14,'Form Details'!$D:$D,'Adv. Filter'!$B$14)</f>
        <v>0</v>
      </c>
      <c r="CQ396" s="238"/>
      <c r="CR396" s="238"/>
      <c r="CS396" s="238"/>
      <c r="CT396" s="238"/>
      <c r="CU396" s="238"/>
      <c r="CV396" s="239"/>
      <c r="CW396" s="237">
        <f>COUNTIFS('Form Details'!$W:$W,"Adv/Paid/Pending",'Form Details'!$N:$N,"Kiran",'Form Details'!$J:$J,$C396,'Form Details'!$D:$D,'Adv. Filter'!$A$14,'Form Details'!$D:$D,'Adv. Filter'!$B$14)</f>
        <v>0</v>
      </c>
      <c r="CX396" s="238"/>
      <c r="CY396" s="238"/>
      <c r="CZ396" s="238"/>
      <c r="DA396" s="238"/>
      <c r="DB396" s="238"/>
      <c r="DC396" s="239"/>
      <c r="DD396" s="237">
        <f>COUNTIFS('Form Details'!$W:$W,"Pending",'Form Details'!$N:$N,"Kiran",'Form Details'!$J:$J,$C396,'Form Details'!$D:$D,'Adv. Filter'!$A$14,'Form Details'!$D:$D,'Adv. Filter'!$B$14)</f>
        <v>0</v>
      </c>
      <c r="DE396" s="238"/>
      <c r="DF396" s="238"/>
      <c r="DG396" s="238"/>
      <c r="DH396" s="238"/>
      <c r="DI396" s="238"/>
      <c r="DJ396" s="239"/>
      <c r="DK396" s="237">
        <f>COUNTIFS('Form Details'!$W:$W,"Adv/Paid/NoStatus",'Form Details'!$N:$N,"Kiran",'Form Details'!$J:$J,$C396,'Form Details'!$D:$D,'Adv. Filter'!$A$14,'Form Details'!$D:$D,'Adv. Filter'!$B$14)</f>
        <v>0</v>
      </c>
      <c r="DL396" s="238"/>
      <c r="DM396" s="238"/>
      <c r="DN396" s="238"/>
      <c r="DO396" s="238"/>
      <c r="DP396" s="238"/>
      <c r="DQ396" s="239"/>
      <c r="DR396" s="237">
        <f>COUNTIFS('Form Details'!$W:$W,"No Status",'Form Details'!$N:$N,"Kiran",'Form Details'!$J:$J,$C396,'Form Details'!$D:$D,'Adv. Filter'!$A$14,'Form Details'!$D:$D,'Adv. Filter'!$B$14)</f>
        <v>0</v>
      </c>
      <c r="DS396" s="238"/>
      <c r="DT396" s="238"/>
      <c r="DU396" s="238"/>
      <c r="DV396" s="238"/>
      <c r="DW396" s="238"/>
      <c r="DX396" s="239"/>
      <c r="DY396" s="237">
        <f>SUM(COUNTIFS('Form Details'!$W:$W,{"Wrong Entry ","Double Entry"},'Form Details'!$N:$N,"Kiran",'Form Details'!$J:$J,$C396,'Form Details'!$D:$D,'Adv. Filter'!$A$14,'Form Details'!$D:$D,'Adv. Filter'!$B$14))</f>
        <v>0</v>
      </c>
      <c r="DZ396" s="238"/>
      <c r="EA396" s="238"/>
      <c r="EB396" s="238"/>
      <c r="EC396" s="238"/>
      <c r="ED396" s="238"/>
      <c r="EE396" s="239"/>
    </row>
    <row r="397" spans="3:135" hidden="1">
      <c r="C397" s="248" t="s">
        <v>121</v>
      </c>
      <c r="D397" s="249"/>
      <c r="E397" s="249"/>
      <c r="F397" s="249"/>
      <c r="G397" s="249"/>
      <c r="H397" s="249"/>
      <c r="I397" s="249"/>
      <c r="J397" s="249"/>
      <c r="K397" s="249"/>
      <c r="L397" s="249"/>
      <c r="M397" s="249"/>
      <c r="N397" s="249"/>
      <c r="O397" s="237">
        <f>SUM(COUNTIFS('Form Details'!$AA:$AA,{"Yes","No","-"},'Form Details'!$N:$N,"Kiran",'Form Details'!$J:$J,$C397,'Form Details'!$D:$D,'Adv. Filter'!$A$14,'Form Details'!$D:$D,'Adv. Filter'!$B$14))</f>
        <v>0</v>
      </c>
      <c r="P397" s="238"/>
      <c r="Q397" s="238"/>
      <c r="R397" s="238"/>
      <c r="S397" s="238"/>
      <c r="T397" s="238"/>
      <c r="U397" s="239"/>
      <c r="V397" s="100"/>
      <c r="W397" s="237">
        <f>COUNTIFS('Form Details'!$AA:$AA,"Yes",'Form Details'!$N:$N,"Kiran",'Form Details'!$J:$J,$C397,'Form Details'!$D:$D,'Adv. Filter'!$A$14,'Form Details'!$D:$D,'Adv. Filter'!$B$14)</f>
        <v>0</v>
      </c>
      <c r="X397" s="238"/>
      <c r="Y397" s="238"/>
      <c r="Z397" s="238"/>
      <c r="AA397" s="238"/>
      <c r="AB397" s="238"/>
      <c r="AC397" s="239"/>
      <c r="AD397" s="237">
        <f>COUNTIFS('Form Details'!$W:$W,"Paid",'Form Details'!$N:$N,"Kiran",'Form Details'!$J:$J,$C397,'Form Details'!$D:$D,'Adv. Filter'!$A$14,'Form Details'!$D:$D,'Adv. Filter'!$B$14)</f>
        <v>0</v>
      </c>
      <c r="AE397" s="238"/>
      <c r="AF397" s="238"/>
      <c r="AG397" s="238"/>
      <c r="AH397" s="238"/>
      <c r="AI397" s="238"/>
      <c r="AJ397" s="239"/>
      <c r="AK397" s="237">
        <f>COUNTIFS('Form Details'!$W:$W,"Due",'Form Details'!$N:$N,"Kiran",'Form Details'!$J:$J,$C397,'Form Details'!$D:$D,'Adv. Filter'!$A$14,'Form Details'!$D:$D,'Adv. Filter'!$B$14)</f>
        <v>0</v>
      </c>
      <c r="AL397" s="238"/>
      <c r="AM397" s="238"/>
      <c r="AN397" s="238"/>
      <c r="AO397" s="238"/>
      <c r="AP397" s="238"/>
      <c r="AQ397" s="239"/>
      <c r="AR397" s="237">
        <f>COUNTIFS('Form Details'!$W:$W,"No Fee",'Form Details'!$N:$N,"Kiran",'Form Details'!$J:$J,$C397,'Form Details'!$D:$D,'Adv. Filter'!$A$14,'Form Details'!$D:$D,'Adv. Filter'!$B$14)</f>
        <v>0</v>
      </c>
      <c r="AS397" s="238"/>
      <c r="AT397" s="238"/>
      <c r="AU397" s="238"/>
      <c r="AV397" s="238"/>
      <c r="AW397" s="238"/>
      <c r="AX397" s="239"/>
      <c r="AY397" s="237">
        <f>COUNTIFS('Form Details'!$W:$W,"Paid/Reject",'Form Details'!$N:$N,"Kiran",'Form Details'!$J:$J,$C397,'Form Details'!$D:$D,'Adv. Filter'!$A$14,'Form Details'!$D:$D,'Adv. Filter'!$B$14)</f>
        <v>0</v>
      </c>
      <c r="AZ397" s="238"/>
      <c r="BA397" s="238"/>
      <c r="BB397" s="238"/>
      <c r="BC397" s="238"/>
      <c r="BD397" s="238"/>
      <c r="BE397" s="239"/>
      <c r="BF397" s="237">
        <f>COUNTIFS('Form Details'!$W:$W,"Staff",'Form Details'!$N:$N,"Kiran",'Form Details'!$J:$J,$C397,'Form Details'!$D:$D,'Adv. Filter'!$A$14,'Form Details'!$D:$D,'Adv. Filter'!$B$14)</f>
        <v>0</v>
      </c>
      <c r="BG397" s="238"/>
      <c r="BH397" s="238"/>
      <c r="BI397" s="238"/>
      <c r="BJ397" s="238"/>
      <c r="BK397" s="238"/>
      <c r="BL397" s="239"/>
      <c r="BM397" s="237">
        <f>COUNTIFS('Form Details'!$W:$W,"File in Office",'Form Details'!$N:$N,"Kiran",'Form Details'!$J:$J,$C397,'Form Details'!$D:$D,'Adv. Filter'!$A$14,'Form Details'!$D:$D,'Adv. Filter'!$B$14)</f>
        <v>0</v>
      </c>
      <c r="BN397" s="238"/>
      <c r="BO397" s="238"/>
      <c r="BP397" s="238"/>
      <c r="BQ397" s="238"/>
      <c r="BR397" s="238"/>
      <c r="BS397" s="239"/>
      <c r="BT397" s="100"/>
      <c r="BU397" s="237">
        <f>COUNTIFS('Form Details'!$AA:$AA,"No",'Form Details'!$N:$N,"Kiran",'Form Details'!$J:$J,$C397,'Form Details'!$D:$D,'Adv. Filter'!$A$14,'Form Details'!$D:$D,'Adv. Filter'!$B$14)</f>
        <v>0</v>
      </c>
      <c r="BV397" s="238"/>
      <c r="BW397" s="238"/>
      <c r="BX397" s="238"/>
      <c r="BY397" s="238"/>
      <c r="BZ397" s="238"/>
      <c r="CA397" s="239"/>
      <c r="CB397" s="237">
        <f>COUNTIFS('Form Details'!$W:$W,"Adv/Paid",'Form Details'!$N:$N,"Kiran",'Form Details'!$J:$J,$C397,'Form Details'!$D:$D,'Adv. Filter'!$A$14,'Form Details'!$D:$D,'Adv. Filter'!$B$14)</f>
        <v>0</v>
      </c>
      <c r="CC397" s="238"/>
      <c r="CD397" s="238"/>
      <c r="CE397" s="238"/>
      <c r="CF397" s="238"/>
      <c r="CG397" s="238"/>
      <c r="CH397" s="239"/>
      <c r="CI397" s="237">
        <f>COUNTIFS('Form Details'!$W:$W,"Adv/Paid/Reject",'Form Details'!$N:$N,"Kiran",'Form Details'!$J:$J,$C397,'Form Details'!$D:$D,'Adv. Filter'!$A$14,'Form Details'!$D:$D,'Adv. Filter'!$B$14)</f>
        <v>0</v>
      </c>
      <c r="CJ397" s="238"/>
      <c r="CK397" s="238"/>
      <c r="CL397" s="238"/>
      <c r="CM397" s="238"/>
      <c r="CN397" s="238"/>
      <c r="CO397" s="239"/>
      <c r="CP397" s="237">
        <f>COUNTIFS('Form Details'!$W:$W,"Reject",'Form Details'!$N:$N,"Kiran",'Form Details'!$J:$J,$C397,'Form Details'!$D:$D,'Adv. Filter'!$A$14,'Form Details'!$D:$D,'Adv. Filter'!$B$14)</f>
        <v>0</v>
      </c>
      <c r="CQ397" s="238"/>
      <c r="CR397" s="238"/>
      <c r="CS397" s="238"/>
      <c r="CT397" s="238"/>
      <c r="CU397" s="238"/>
      <c r="CV397" s="239"/>
      <c r="CW397" s="237">
        <f>COUNTIFS('Form Details'!$W:$W,"Adv/Paid/Pending",'Form Details'!$N:$N,"Kiran",'Form Details'!$J:$J,$C397,'Form Details'!$D:$D,'Adv. Filter'!$A$14,'Form Details'!$D:$D,'Adv. Filter'!$B$14)</f>
        <v>0</v>
      </c>
      <c r="CX397" s="238"/>
      <c r="CY397" s="238"/>
      <c r="CZ397" s="238"/>
      <c r="DA397" s="238"/>
      <c r="DB397" s="238"/>
      <c r="DC397" s="239"/>
      <c r="DD397" s="237">
        <f>COUNTIFS('Form Details'!$W:$W,"Pending",'Form Details'!$N:$N,"Kiran",'Form Details'!$J:$J,$C397,'Form Details'!$D:$D,'Adv. Filter'!$A$14,'Form Details'!$D:$D,'Adv. Filter'!$B$14)</f>
        <v>0</v>
      </c>
      <c r="DE397" s="238"/>
      <c r="DF397" s="238"/>
      <c r="DG397" s="238"/>
      <c r="DH397" s="238"/>
      <c r="DI397" s="238"/>
      <c r="DJ397" s="239"/>
      <c r="DK397" s="237">
        <f>COUNTIFS('Form Details'!$W:$W,"Adv/Paid/NoStatus",'Form Details'!$N:$N,"Kiran",'Form Details'!$J:$J,$C397,'Form Details'!$D:$D,'Adv. Filter'!$A$14,'Form Details'!$D:$D,'Adv. Filter'!$B$14)</f>
        <v>0</v>
      </c>
      <c r="DL397" s="238"/>
      <c r="DM397" s="238"/>
      <c r="DN397" s="238"/>
      <c r="DO397" s="238"/>
      <c r="DP397" s="238"/>
      <c r="DQ397" s="239"/>
      <c r="DR397" s="237">
        <f>COUNTIFS('Form Details'!$W:$W,"No Status",'Form Details'!$N:$N,"Kiran",'Form Details'!$J:$J,$C397,'Form Details'!$D:$D,'Adv. Filter'!$A$14,'Form Details'!$D:$D,'Adv. Filter'!$B$14)</f>
        <v>0</v>
      </c>
      <c r="DS397" s="238"/>
      <c r="DT397" s="238"/>
      <c r="DU397" s="238"/>
      <c r="DV397" s="238"/>
      <c r="DW397" s="238"/>
      <c r="DX397" s="239"/>
      <c r="DY397" s="237">
        <f>SUM(COUNTIFS('Form Details'!$W:$W,{"Wrong Entry ","Double Entry"},'Form Details'!$N:$N,"Kiran",'Form Details'!$J:$J,$C397,'Form Details'!$D:$D,'Adv. Filter'!$A$14,'Form Details'!$D:$D,'Adv. Filter'!$B$14))</f>
        <v>0</v>
      </c>
      <c r="DZ397" s="238"/>
      <c r="EA397" s="238"/>
      <c r="EB397" s="238"/>
      <c r="EC397" s="238"/>
      <c r="ED397" s="238"/>
      <c r="EE397" s="239"/>
    </row>
    <row r="398" spans="3:135" hidden="1">
      <c r="C398" s="248" t="s">
        <v>111</v>
      </c>
      <c r="D398" s="249"/>
      <c r="E398" s="249"/>
      <c r="F398" s="249"/>
      <c r="G398" s="249"/>
      <c r="H398" s="249"/>
      <c r="I398" s="249"/>
      <c r="J398" s="249"/>
      <c r="K398" s="249"/>
      <c r="L398" s="249"/>
      <c r="M398" s="249"/>
      <c r="N398" s="249"/>
      <c r="O398" s="237">
        <f>SUM(COUNTIFS('Form Details'!$AA:$AA,{"Yes","No","-"},'Form Details'!$N:$N,"Kiran",'Form Details'!$J:$J,$C398,'Form Details'!$D:$D,'Adv. Filter'!$A$14,'Form Details'!$D:$D,'Adv. Filter'!$B$14))</f>
        <v>0</v>
      </c>
      <c r="P398" s="238"/>
      <c r="Q398" s="238"/>
      <c r="R398" s="238"/>
      <c r="S398" s="238"/>
      <c r="T398" s="238"/>
      <c r="U398" s="239"/>
      <c r="V398" s="100"/>
      <c r="W398" s="237">
        <f>COUNTIFS('Form Details'!$AA:$AA,"Yes",'Form Details'!$N:$N,"Kiran",'Form Details'!$J:$J,$C398,'Form Details'!$D:$D,'Adv. Filter'!$A$14,'Form Details'!$D:$D,'Adv. Filter'!$B$14)</f>
        <v>0</v>
      </c>
      <c r="X398" s="238"/>
      <c r="Y398" s="238"/>
      <c r="Z398" s="238"/>
      <c r="AA398" s="238"/>
      <c r="AB398" s="238"/>
      <c r="AC398" s="239"/>
      <c r="AD398" s="237">
        <f>COUNTIFS('Form Details'!$W:$W,"Paid",'Form Details'!$N:$N,"Kiran",'Form Details'!$J:$J,$C398,'Form Details'!$D:$D,'Adv. Filter'!$A$14,'Form Details'!$D:$D,'Adv. Filter'!$B$14)</f>
        <v>0</v>
      </c>
      <c r="AE398" s="238"/>
      <c r="AF398" s="238"/>
      <c r="AG398" s="238"/>
      <c r="AH398" s="238"/>
      <c r="AI398" s="238"/>
      <c r="AJ398" s="239"/>
      <c r="AK398" s="237">
        <f>COUNTIFS('Form Details'!$W:$W,"Due",'Form Details'!$N:$N,"Kiran",'Form Details'!$J:$J,$C398,'Form Details'!$D:$D,'Adv. Filter'!$A$14,'Form Details'!$D:$D,'Adv. Filter'!$B$14)</f>
        <v>0</v>
      </c>
      <c r="AL398" s="238"/>
      <c r="AM398" s="238"/>
      <c r="AN398" s="238"/>
      <c r="AO398" s="238"/>
      <c r="AP398" s="238"/>
      <c r="AQ398" s="239"/>
      <c r="AR398" s="237">
        <f>COUNTIFS('Form Details'!$W:$W,"No Fee",'Form Details'!$N:$N,"Kiran",'Form Details'!$J:$J,$C398,'Form Details'!$D:$D,'Adv. Filter'!$A$14,'Form Details'!$D:$D,'Adv. Filter'!$B$14)</f>
        <v>0</v>
      </c>
      <c r="AS398" s="238"/>
      <c r="AT398" s="238"/>
      <c r="AU398" s="238"/>
      <c r="AV398" s="238"/>
      <c r="AW398" s="238"/>
      <c r="AX398" s="239"/>
      <c r="AY398" s="237">
        <f>COUNTIFS('Form Details'!$W:$W,"Paid/Reject",'Form Details'!$N:$N,"Kiran",'Form Details'!$J:$J,$C398,'Form Details'!$D:$D,'Adv. Filter'!$A$14,'Form Details'!$D:$D,'Adv. Filter'!$B$14)</f>
        <v>0</v>
      </c>
      <c r="AZ398" s="238"/>
      <c r="BA398" s="238"/>
      <c r="BB398" s="238"/>
      <c r="BC398" s="238"/>
      <c r="BD398" s="238"/>
      <c r="BE398" s="239"/>
      <c r="BF398" s="237">
        <f>COUNTIFS('Form Details'!$W:$W,"Staff",'Form Details'!$N:$N,"Kiran",'Form Details'!$J:$J,$C398,'Form Details'!$D:$D,'Adv. Filter'!$A$14,'Form Details'!$D:$D,'Adv. Filter'!$B$14)</f>
        <v>0</v>
      </c>
      <c r="BG398" s="238"/>
      <c r="BH398" s="238"/>
      <c r="BI398" s="238"/>
      <c r="BJ398" s="238"/>
      <c r="BK398" s="238"/>
      <c r="BL398" s="239"/>
      <c r="BM398" s="237">
        <f>COUNTIFS('Form Details'!$W:$W,"File in Office",'Form Details'!$N:$N,"Kiran",'Form Details'!$J:$J,$C398,'Form Details'!$D:$D,'Adv. Filter'!$A$14,'Form Details'!$D:$D,'Adv. Filter'!$B$14)</f>
        <v>0</v>
      </c>
      <c r="BN398" s="238"/>
      <c r="BO398" s="238"/>
      <c r="BP398" s="238"/>
      <c r="BQ398" s="238"/>
      <c r="BR398" s="238"/>
      <c r="BS398" s="239"/>
      <c r="BT398" s="100"/>
      <c r="BU398" s="237">
        <f>COUNTIFS('Form Details'!$AA:$AA,"No",'Form Details'!$N:$N,"Kiran",'Form Details'!$J:$J,$C398,'Form Details'!$D:$D,'Adv. Filter'!$A$14,'Form Details'!$D:$D,'Adv. Filter'!$B$14)</f>
        <v>0</v>
      </c>
      <c r="BV398" s="238"/>
      <c r="BW398" s="238"/>
      <c r="BX398" s="238"/>
      <c r="BY398" s="238"/>
      <c r="BZ398" s="238"/>
      <c r="CA398" s="239"/>
      <c r="CB398" s="237">
        <f>COUNTIFS('Form Details'!$W:$W,"Adv/Paid",'Form Details'!$N:$N,"Kiran",'Form Details'!$J:$J,$C398,'Form Details'!$D:$D,'Adv. Filter'!$A$14,'Form Details'!$D:$D,'Adv. Filter'!$B$14)</f>
        <v>0</v>
      </c>
      <c r="CC398" s="238"/>
      <c r="CD398" s="238"/>
      <c r="CE398" s="238"/>
      <c r="CF398" s="238"/>
      <c r="CG398" s="238"/>
      <c r="CH398" s="239"/>
      <c r="CI398" s="237">
        <f>COUNTIFS('Form Details'!$W:$W,"Adv/Paid/Reject",'Form Details'!$N:$N,"Kiran",'Form Details'!$J:$J,$C398,'Form Details'!$D:$D,'Adv. Filter'!$A$14,'Form Details'!$D:$D,'Adv. Filter'!$B$14)</f>
        <v>0</v>
      </c>
      <c r="CJ398" s="238"/>
      <c r="CK398" s="238"/>
      <c r="CL398" s="238"/>
      <c r="CM398" s="238"/>
      <c r="CN398" s="238"/>
      <c r="CO398" s="239"/>
      <c r="CP398" s="237">
        <f>COUNTIFS('Form Details'!$W:$W,"Reject",'Form Details'!$N:$N,"Kiran",'Form Details'!$J:$J,$C398,'Form Details'!$D:$D,'Adv. Filter'!$A$14,'Form Details'!$D:$D,'Adv. Filter'!$B$14)</f>
        <v>0</v>
      </c>
      <c r="CQ398" s="238"/>
      <c r="CR398" s="238"/>
      <c r="CS398" s="238"/>
      <c r="CT398" s="238"/>
      <c r="CU398" s="238"/>
      <c r="CV398" s="239"/>
      <c r="CW398" s="237">
        <f>COUNTIFS('Form Details'!$W:$W,"Adv/Paid/Pending",'Form Details'!$N:$N,"Kiran",'Form Details'!$J:$J,$C398,'Form Details'!$D:$D,'Adv. Filter'!$A$14,'Form Details'!$D:$D,'Adv. Filter'!$B$14)</f>
        <v>0</v>
      </c>
      <c r="CX398" s="238"/>
      <c r="CY398" s="238"/>
      <c r="CZ398" s="238"/>
      <c r="DA398" s="238"/>
      <c r="DB398" s="238"/>
      <c r="DC398" s="239"/>
      <c r="DD398" s="237">
        <f>COUNTIFS('Form Details'!$W:$W,"Pending",'Form Details'!$N:$N,"Kiran",'Form Details'!$J:$J,$C398,'Form Details'!$D:$D,'Adv. Filter'!$A$14,'Form Details'!$D:$D,'Adv. Filter'!$B$14)</f>
        <v>0</v>
      </c>
      <c r="DE398" s="238"/>
      <c r="DF398" s="238"/>
      <c r="DG398" s="238"/>
      <c r="DH398" s="238"/>
      <c r="DI398" s="238"/>
      <c r="DJ398" s="239"/>
      <c r="DK398" s="237">
        <f>COUNTIFS('Form Details'!$W:$W,"Adv/Paid/NoStatus",'Form Details'!$N:$N,"Kiran",'Form Details'!$J:$J,$C398,'Form Details'!$D:$D,'Adv. Filter'!$A$14,'Form Details'!$D:$D,'Adv. Filter'!$B$14)</f>
        <v>0</v>
      </c>
      <c r="DL398" s="238"/>
      <c r="DM398" s="238"/>
      <c r="DN398" s="238"/>
      <c r="DO398" s="238"/>
      <c r="DP398" s="238"/>
      <c r="DQ398" s="239"/>
      <c r="DR398" s="237">
        <f>COUNTIFS('Form Details'!$W:$W,"No Status",'Form Details'!$N:$N,"Kiran",'Form Details'!$J:$J,$C398,'Form Details'!$D:$D,'Adv. Filter'!$A$14,'Form Details'!$D:$D,'Adv. Filter'!$B$14)</f>
        <v>0</v>
      </c>
      <c r="DS398" s="238"/>
      <c r="DT398" s="238"/>
      <c r="DU398" s="238"/>
      <c r="DV398" s="238"/>
      <c r="DW398" s="238"/>
      <c r="DX398" s="239"/>
      <c r="DY398" s="237">
        <f>SUM(COUNTIFS('Form Details'!$W:$W,{"Wrong Entry ","Double Entry"},'Form Details'!$N:$N,"Kiran",'Form Details'!$J:$J,$C398,'Form Details'!$D:$D,'Adv. Filter'!$A$14,'Form Details'!$D:$D,'Adv. Filter'!$B$14))</f>
        <v>0</v>
      </c>
      <c r="DZ398" s="238"/>
      <c r="EA398" s="238"/>
      <c r="EB398" s="238"/>
      <c r="EC398" s="238"/>
      <c r="ED398" s="238"/>
      <c r="EE398" s="239"/>
    </row>
    <row r="399" spans="3:135" ht="15" hidden="1" customHeight="1">
      <c r="C399" s="248" t="s">
        <v>116</v>
      </c>
      <c r="D399" s="249"/>
      <c r="E399" s="249"/>
      <c r="F399" s="249"/>
      <c r="G399" s="249"/>
      <c r="H399" s="249"/>
      <c r="I399" s="249"/>
      <c r="J399" s="249"/>
      <c r="K399" s="249"/>
      <c r="L399" s="249"/>
      <c r="M399" s="249"/>
      <c r="N399" s="249"/>
      <c r="O399" s="237">
        <f>SUM(COUNTIFS('Form Details'!$AA:$AA,{"Yes","No","-"},'Form Details'!$N:$N,"Kiran",'Form Details'!$J:$J,$C399,'Form Details'!$D:$D,'Adv. Filter'!$A$14,'Form Details'!$D:$D,'Adv. Filter'!$B$14))</f>
        <v>0</v>
      </c>
      <c r="P399" s="238"/>
      <c r="Q399" s="238"/>
      <c r="R399" s="238"/>
      <c r="S399" s="238"/>
      <c r="T399" s="238"/>
      <c r="U399" s="239"/>
      <c r="V399" s="100"/>
      <c r="W399" s="237">
        <f>COUNTIFS('Form Details'!$AA:$AA,"Yes",'Form Details'!$N:$N,"Kiran",'Form Details'!$J:$J,$C399,'Form Details'!$D:$D,'Adv. Filter'!$A$14,'Form Details'!$D:$D,'Adv. Filter'!$B$14)</f>
        <v>0</v>
      </c>
      <c r="X399" s="238"/>
      <c r="Y399" s="238"/>
      <c r="Z399" s="238"/>
      <c r="AA399" s="238"/>
      <c r="AB399" s="238"/>
      <c r="AC399" s="239"/>
      <c r="AD399" s="237">
        <f>COUNTIFS('Form Details'!$W:$W,"Paid",'Form Details'!$N:$N,"Kiran",'Form Details'!$J:$J,$C399,'Form Details'!$D:$D,'Adv. Filter'!$A$14,'Form Details'!$D:$D,'Adv. Filter'!$B$14)</f>
        <v>0</v>
      </c>
      <c r="AE399" s="238"/>
      <c r="AF399" s="238"/>
      <c r="AG399" s="238"/>
      <c r="AH399" s="238"/>
      <c r="AI399" s="238"/>
      <c r="AJ399" s="239"/>
      <c r="AK399" s="237">
        <f>COUNTIFS('Form Details'!$W:$W,"Due",'Form Details'!$N:$N,"Kiran",'Form Details'!$J:$J,$C399,'Form Details'!$D:$D,'Adv. Filter'!$A$14,'Form Details'!$D:$D,'Adv. Filter'!$B$14)</f>
        <v>0</v>
      </c>
      <c r="AL399" s="238"/>
      <c r="AM399" s="238"/>
      <c r="AN399" s="238"/>
      <c r="AO399" s="238"/>
      <c r="AP399" s="238"/>
      <c r="AQ399" s="239"/>
      <c r="AR399" s="237">
        <f>COUNTIFS('Form Details'!$W:$W,"No Fee",'Form Details'!$N:$N,"Kiran",'Form Details'!$J:$J,$C399,'Form Details'!$D:$D,'Adv. Filter'!$A$14,'Form Details'!$D:$D,'Adv. Filter'!$B$14)</f>
        <v>0</v>
      </c>
      <c r="AS399" s="238"/>
      <c r="AT399" s="238"/>
      <c r="AU399" s="238"/>
      <c r="AV399" s="238"/>
      <c r="AW399" s="238"/>
      <c r="AX399" s="239"/>
      <c r="AY399" s="237">
        <f>COUNTIFS('Form Details'!$W:$W,"Paid/Reject",'Form Details'!$N:$N,"Kiran",'Form Details'!$J:$J,$C399,'Form Details'!$D:$D,'Adv. Filter'!$A$14,'Form Details'!$D:$D,'Adv. Filter'!$B$14)</f>
        <v>0</v>
      </c>
      <c r="AZ399" s="238"/>
      <c r="BA399" s="238"/>
      <c r="BB399" s="238"/>
      <c r="BC399" s="238"/>
      <c r="BD399" s="238"/>
      <c r="BE399" s="239"/>
      <c r="BF399" s="237">
        <f>COUNTIFS('Form Details'!$W:$W,"Staff",'Form Details'!$N:$N,"Kiran",'Form Details'!$J:$J,$C399,'Form Details'!$D:$D,'Adv. Filter'!$A$14,'Form Details'!$D:$D,'Adv. Filter'!$B$14)</f>
        <v>0</v>
      </c>
      <c r="BG399" s="238"/>
      <c r="BH399" s="238"/>
      <c r="BI399" s="238"/>
      <c r="BJ399" s="238"/>
      <c r="BK399" s="238"/>
      <c r="BL399" s="239"/>
      <c r="BM399" s="237">
        <f>COUNTIFS('Form Details'!$W:$W,"File in Office",'Form Details'!$N:$N,"Kiran",'Form Details'!$J:$J,$C399,'Form Details'!$D:$D,'Adv. Filter'!$A$14,'Form Details'!$D:$D,'Adv. Filter'!$B$14)</f>
        <v>0</v>
      </c>
      <c r="BN399" s="238"/>
      <c r="BO399" s="238"/>
      <c r="BP399" s="238"/>
      <c r="BQ399" s="238"/>
      <c r="BR399" s="238"/>
      <c r="BS399" s="239"/>
      <c r="BT399" s="100"/>
      <c r="BU399" s="237">
        <f>COUNTIFS('Form Details'!$AA:$AA,"No",'Form Details'!$N:$N,"Kiran",'Form Details'!$J:$J,$C399,'Form Details'!$D:$D,'Adv. Filter'!$A$14,'Form Details'!$D:$D,'Adv. Filter'!$B$14)</f>
        <v>0</v>
      </c>
      <c r="BV399" s="238"/>
      <c r="BW399" s="238"/>
      <c r="BX399" s="238"/>
      <c r="BY399" s="238"/>
      <c r="BZ399" s="238"/>
      <c r="CA399" s="239"/>
      <c r="CB399" s="237">
        <f>COUNTIFS('Form Details'!$W:$W,"Adv/Paid",'Form Details'!$N:$N,"Kiran",'Form Details'!$J:$J,$C399,'Form Details'!$D:$D,'Adv. Filter'!$A$14,'Form Details'!$D:$D,'Adv. Filter'!$B$14)</f>
        <v>0</v>
      </c>
      <c r="CC399" s="238"/>
      <c r="CD399" s="238"/>
      <c r="CE399" s="238"/>
      <c r="CF399" s="238"/>
      <c r="CG399" s="238"/>
      <c r="CH399" s="239"/>
      <c r="CI399" s="237">
        <f>COUNTIFS('Form Details'!$W:$W,"Adv/Paid/Reject",'Form Details'!$N:$N,"Kiran",'Form Details'!$J:$J,$C399,'Form Details'!$D:$D,'Adv. Filter'!$A$14,'Form Details'!$D:$D,'Adv. Filter'!$B$14)</f>
        <v>0</v>
      </c>
      <c r="CJ399" s="238"/>
      <c r="CK399" s="238"/>
      <c r="CL399" s="238"/>
      <c r="CM399" s="238"/>
      <c r="CN399" s="238"/>
      <c r="CO399" s="239"/>
      <c r="CP399" s="237">
        <f>COUNTIFS('Form Details'!$W:$W,"Reject",'Form Details'!$N:$N,"Kiran",'Form Details'!$J:$J,$C399,'Form Details'!$D:$D,'Adv. Filter'!$A$14,'Form Details'!$D:$D,'Adv. Filter'!$B$14)</f>
        <v>0</v>
      </c>
      <c r="CQ399" s="238"/>
      <c r="CR399" s="238"/>
      <c r="CS399" s="238"/>
      <c r="CT399" s="238"/>
      <c r="CU399" s="238"/>
      <c r="CV399" s="239"/>
      <c r="CW399" s="237">
        <f>COUNTIFS('Form Details'!$W:$W,"Adv/Paid/Pending",'Form Details'!$N:$N,"Kiran",'Form Details'!$J:$J,$C399,'Form Details'!$D:$D,'Adv. Filter'!$A$14,'Form Details'!$D:$D,'Adv. Filter'!$B$14)</f>
        <v>0</v>
      </c>
      <c r="CX399" s="238"/>
      <c r="CY399" s="238"/>
      <c r="CZ399" s="238"/>
      <c r="DA399" s="238"/>
      <c r="DB399" s="238"/>
      <c r="DC399" s="239"/>
      <c r="DD399" s="237">
        <f>COUNTIFS('Form Details'!$W:$W,"Pending",'Form Details'!$N:$N,"Kiran",'Form Details'!$J:$J,$C399,'Form Details'!$D:$D,'Adv. Filter'!$A$14,'Form Details'!$D:$D,'Adv. Filter'!$B$14)</f>
        <v>0</v>
      </c>
      <c r="DE399" s="238"/>
      <c r="DF399" s="238"/>
      <c r="DG399" s="238"/>
      <c r="DH399" s="238"/>
      <c r="DI399" s="238"/>
      <c r="DJ399" s="239"/>
      <c r="DK399" s="237">
        <f>COUNTIFS('Form Details'!$W:$W,"Adv/Paid/NoStatus",'Form Details'!$N:$N,"Kiran",'Form Details'!$J:$J,$C399,'Form Details'!$D:$D,'Adv. Filter'!$A$14,'Form Details'!$D:$D,'Adv. Filter'!$B$14)</f>
        <v>0</v>
      </c>
      <c r="DL399" s="238"/>
      <c r="DM399" s="238"/>
      <c r="DN399" s="238"/>
      <c r="DO399" s="238"/>
      <c r="DP399" s="238"/>
      <c r="DQ399" s="239"/>
      <c r="DR399" s="237">
        <f>COUNTIFS('Form Details'!$W:$W,"No Status",'Form Details'!$N:$N,"Kiran",'Form Details'!$J:$J,$C399,'Form Details'!$D:$D,'Adv. Filter'!$A$14,'Form Details'!$D:$D,'Adv. Filter'!$B$14)</f>
        <v>0</v>
      </c>
      <c r="DS399" s="238"/>
      <c r="DT399" s="238"/>
      <c r="DU399" s="238"/>
      <c r="DV399" s="238"/>
      <c r="DW399" s="238"/>
      <c r="DX399" s="239"/>
      <c r="DY399" s="237">
        <f>SUM(COUNTIFS('Form Details'!$W:$W,{"Wrong Entry ","Double Entry"},'Form Details'!$N:$N,"Kiran",'Form Details'!$J:$J,$C399,'Form Details'!$D:$D,'Adv. Filter'!$A$14,'Form Details'!$D:$D,'Adv. Filter'!$B$14))</f>
        <v>0</v>
      </c>
      <c r="DZ399" s="238"/>
      <c r="EA399" s="238"/>
      <c r="EB399" s="238"/>
      <c r="EC399" s="238"/>
      <c r="ED399" s="238"/>
      <c r="EE399" s="239"/>
    </row>
    <row r="400" spans="3:135" hidden="1">
      <c r="C400" s="248" t="s">
        <v>119</v>
      </c>
      <c r="D400" s="249"/>
      <c r="E400" s="249"/>
      <c r="F400" s="249"/>
      <c r="G400" s="249"/>
      <c r="H400" s="249"/>
      <c r="I400" s="249"/>
      <c r="J400" s="249"/>
      <c r="K400" s="249"/>
      <c r="L400" s="249"/>
      <c r="M400" s="249"/>
      <c r="N400" s="249"/>
      <c r="O400" s="237">
        <f>SUM(COUNTIFS('Form Details'!$AA:$AA,{"Yes","No","-"},'Form Details'!$N:$N,"Kiran",'Form Details'!$J:$J,$C400,'Form Details'!$D:$D,'Adv. Filter'!$A$14,'Form Details'!$D:$D,'Adv. Filter'!$B$14))</f>
        <v>0</v>
      </c>
      <c r="P400" s="238"/>
      <c r="Q400" s="238"/>
      <c r="R400" s="238"/>
      <c r="S400" s="238"/>
      <c r="T400" s="238"/>
      <c r="U400" s="239"/>
      <c r="V400" s="100"/>
      <c r="W400" s="237">
        <f>COUNTIFS('Form Details'!$AA:$AA,"Yes",'Form Details'!$N:$N,"Kiran",'Form Details'!$J:$J,$C400,'Form Details'!$D:$D,'Adv. Filter'!$A$14,'Form Details'!$D:$D,'Adv. Filter'!$B$14)</f>
        <v>0</v>
      </c>
      <c r="X400" s="238"/>
      <c r="Y400" s="238"/>
      <c r="Z400" s="238"/>
      <c r="AA400" s="238"/>
      <c r="AB400" s="238"/>
      <c r="AC400" s="239"/>
      <c r="AD400" s="237">
        <f>COUNTIFS('Form Details'!$W:$W,"Paid",'Form Details'!$N:$N,"Kiran",'Form Details'!$J:$J,$C400,'Form Details'!$D:$D,'Adv. Filter'!$A$14,'Form Details'!$D:$D,'Adv. Filter'!$B$14)</f>
        <v>0</v>
      </c>
      <c r="AE400" s="238"/>
      <c r="AF400" s="238"/>
      <c r="AG400" s="238"/>
      <c r="AH400" s="238"/>
      <c r="AI400" s="238"/>
      <c r="AJ400" s="239"/>
      <c r="AK400" s="237">
        <f>COUNTIFS('Form Details'!$W:$W,"Due",'Form Details'!$N:$N,"Kiran",'Form Details'!$J:$J,$C400,'Form Details'!$D:$D,'Adv. Filter'!$A$14,'Form Details'!$D:$D,'Adv. Filter'!$B$14)</f>
        <v>0</v>
      </c>
      <c r="AL400" s="238"/>
      <c r="AM400" s="238"/>
      <c r="AN400" s="238"/>
      <c r="AO400" s="238"/>
      <c r="AP400" s="238"/>
      <c r="AQ400" s="239"/>
      <c r="AR400" s="237">
        <f>COUNTIFS('Form Details'!$W:$W,"No Fee",'Form Details'!$N:$N,"Kiran",'Form Details'!$J:$J,$C400,'Form Details'!$D:$D,'Adv. Filter'!$A$14,'Form Details'!$D:$D,'Adv. Filter'!$B$14)</f>
        <v>0</v>
      </c>
      <c r="AS400" s="238"/>
      <c r="AT400" s="238"/>
      <c r="AU400" s="238"/>
      <c r="AV400" s="238"/>
      <c r="AW400" s="238"/>
      <c r="AX400" s="239"/>
      <c r="AY400" s="237">
        <f>COUNTIFS('Form Details'!$W:$W,"Paid/Reject",'Form Details'!$N:$N,"Kiran",'Form Details'!$J:$J,$C400,'Form Details'!$D:$D,'Adv. Filter'!$A$14,'Form Details'!$D:$D,'Adv. Filter'!$B$14)</f>
        <v>0</v>
      </c>
      <c r="AZ400" s="238"/>
      <c r="BA400" s="238"/>
      <c r="BB400" s="238"/>
      <c r="BC400" s="238"/>
      <c r="BD400" s="238"/>
      <c r="BE400" s="239"/>
      <c r="BF400" s="237">
        <f>COUNTIFS('Form Details'!$W:$W,"Staff",'Form Details'!$N:$N,"Kiran",'Form Details'!$J:$J,$C400,'Form Details'!$D:$D,'Adv. Filter'!$A$14,'Form Details'!$D:$D,'Adv. Filter'!$B$14)</f>
        <v>0</v>
      </c>
      <c r="BG400" s="238"/>
      <c r="BH400" s="238"/>
      <c r="BI400" s="238"/>
      <c r="BJ400" s="238"/>
      <c r="BK400" s="238"/>
      <c r="BL400" s="239"/>
      <c r="BM400" s="237">
        <f>COUNTIFS('Form Details'!$W:$W,"File in Office",'Form Details'!$N:$N,"Kiran",'Form Details'!$J:$J,$C400,'Form Details'!$D:$D,'Adv. Filter'!$A$14,'Form Details'!$D:$D,'Adv. Filter'!$B$14)</f>
        <v>0</v>
      </c>
      <c r="BN400" s="238"/>
      <c r="BO400" s="238"/>
      <c r="BP400" s="238"/>
      <c r="BQ400" s="238"/>
      <c r="BR400" s="238"/>
      <c r="BS400" s="239"/>
      <c r="BT400" s="100"/>
      <c r="BU400" s="237">
        <f>COUNTIFS('Form Details'!$AA:$AA,"No",'Form Details'!$N:$N,"Kiran",'Form Details'!$J:$J,$C400,'Form Details'!$D:$D,'Adv. Filter'!$A$14,'Form Details'!$D:$D,'Adv. Filter'!$B$14)</f>
        <v>0</v>
      </c>
      <c r="BV400" s="238"/>
      <c r="BW400" s="238"/>
      <c r="BX400" s="238"/>
      <c r="BY400" s="238"/>
      <c r="BZ400" s="238"/>
      <c r="CA400" s="239"/>
      <c r="CB400" s="237">
        <f>COUNTIFS('Form Details'!$W:$W,"Adv/Paid",'Form Details'!$N:$N,"Kiran",'Form Details'!$J:$J,$C400,'Form Details'!$D:$D,'Adv. Filter'!$A$14,'Form Details'!$D:$D,'Adv. Filter'!$B$14)</f>
        <v>0</v>
      </c>
      <c r="CC400" s="238"/>
      <c r="CD400" s="238"/>
      <c r="CE400" s="238"/>
      <c r="CF400" s="238"/>
      <c r="CG400" s="238"/>
      <c r="CH400" s="239"/>
      <c r="CI400" s="237">
        <f>COUNTIFS('Form Details'!$W:$W,"Adv/Paid/Reject",'Form Details'!$N:$N,"Kiran",'Form Details'!$J:$J,$C400,'Form Details'!$D:$D,'Adv. Filter'!$A$14,'Form Details'!$D:$D,'Adv. Filter'!$B$14)</f>
        <v>0</v>
      </c>
      <c r="CJ400" s="238"/>
      <c r="CK400" s="238"/>
      <c r="CL400" s="238"/>
      <c r="CM400" s="238"/>
      <c r="CN400" s="238"/>
      <c r="CO400" s="239"/>
      <c r="CP400" s="237">
        <f>COUNTIFS('Form Details'!$W:$W,"Reject",'Form Details'!$N:$N,"Kiran",'Form Details'!$J:$J,$C400,'Form Details'!$D:$D,'Adv. Filter'!$A$14,'Form Details'!$D:$D,'Adv. Filter'!$B$14)</f>
        <v>0</v>
      </c>
      <c r="CQ400" s="238"/>
      <c r="CR400" s="238"/>
      <c r="CS400" s="238"/>
      <c r="CT400" s="238"/>
      <c r="CU400" s="238"/>
      <c r="CV400" s="239"/>
      <c r="CW400" s="237">
        <f>COUNTIFS('Form Details'!$W:$W,"Adv/Paid/Pending",'Form Details'!$N:$N,"Kiran",'Form Details'!$J:$J,$C400,'Form Details'!$D:$D,'Adv. Filter'!$A$14,'Form Details'!$D:$D,'Adv. Filter'!$B$14)</f>
        <v>0</v>
      </c>
      <c r="CX400" s="238"/>
      <c r="CY400" s="238"/>
      <c r="CZ400" s="238"/>
      <c r="DA400" s="238"/>
      <c r="DB400" s="238"/>
      <c r="DC400" s="239"/>
      <c r="DD400" s="237">
        <f>COUNTIFS('Form Details'!$W:$W,"Pending",'Form Details'!$N:$N,"Kiran",'Form Details'!$J:$J,$C400,'Form Details'!$D:$D,'Adv. Filter'!$A$14,'Form Details'!$D:$D,'Adv. Filter'!$B$14)</f>
        <v>0</v>
      </c>
      <c r="DE400" s="238"/>
      <c r="DF400" s="238"/>
      <c r="DG400" s="238"/>
      <c r="DH400" s="238"/>
      <c r="DI400" s="238"/>
      <c r="DJ400" s="239"/>
      <c r="DK400" s="237">
        <f>COUNTIFS('Form Details'!$W:$W,"Adv/Paid/NoStatus",'Form Details'!$N:$N,"Kiran",'Form Details'!$J:$J,$C400,'Form Details'!$D:$D,'Adv. Filter'!$A$14,'Form Details'!$D:$D,'Adv. Filter'!$B$14)</f>
        <v>0</v>
      </c>
      <c r="DL400" s="238"/>
      <c r="DM400" s="238"/>
      <c r="DN400" s="238"/>
      <c r="DO400" s="238"/>
      <c r="DP400" s="238"/>
      <c r="DQ400" s="239"/>
      <c r="DR400" s="237">
        <f>COUNTIFS('Form Details'!$W:$W,"No Status",'Form Details'!$N:$N,"Kiran",'Form Details'!$J:$J,$C400,'Form Details'!$D:$D,'Adv. Filter'!$A$14,'Form Details'!$D:$D,'Adv. Filter'!$B$14)</f>
        <v>0</v>
      </c>
      <c r="DS400" s="238"/>
      <c r="DT400" s="238"/>
      <c r="DU400" s="238"/>
      <c r="DV400" s="238"/>
      <c r="DW400" s="238"/>
      <c r="DX400" s="239"/>
      <c r="DY400" s="237">
        <f>SUM(COUNTIFS('Form Details'!$W:$W,{"Wrong Entry ","Double Entry"},'Form Details'!$N:$N,"Kiran",'Form Details'!$J:$J,$C400,'Form Details'!$D:$D,'Adv. Filter'!$A$14,'Form Details'!$D:$D,'Adv. Filter'!$B$14))</f>
        <v>0</v>
      </c>
      <c r="DZ400" s="238"/>
      <c r="EA400" s="238"/>
      <c r="EB400" s="238"/>
      <c r="EC400" s="238"/>
      <c r="ED400" s="238"/>
      <c r="EE400" s="239"/>
    </row>
    <row r="401" spans="3:135" hidden="1">
      <c r="C401" s="248" t="s">
        <v>92</v>
      </c>
      <c r="D401" s="249"/>
      <c r="E401" s="249"/>
      <c r="F401" s="249"/>
      <c r="G401" s="249"/>
      <c r="H401" s="249"/>
      <c r="I401" s="249"/>
      <c r="J401" s="249"/>
      <c r="K401" s="249"/>
      <c r="L401" s="249"/>
      <c r="M401" s="249"/>
      <c r="N401" s="249"/>
      <c r="O401" s="237">
        <f>SUM(COUNTIFS('Form Details'!$AA:$AA,{"Yes","No","-"},'Form Details'!$N:$N,"Kiran",'Form Details'!$J:$J,$C401,'Form Details'!$D:$D,'Adv. Filter'!$A$14,'Form Details'!$D:$D,'Adv. Filter'!$B$14))</f>
        <v>0</v>
      </c>
      <c r="P401" s="238"/>
      <c r="Q401" s="238"/>
      <c r="R401" s="238"/>
      <c r="S401" s="238"/>
      <c r="T401" s="238"/>
      <c r="U401" s="239"/>
      <c r="V401" s="100"/>
      <c r="W401" s="237">
        <f>COUNTIFS('Form Details'!$AA:$AA,"Yes",'Form Details'!$N:$N,"Kiran",'Form Details'!$J:$J,$C401,'Form Details'!$D:$D,'Adv. Filter'!$A$14,'Form Details'!$D:$D,'Adv. Filter'!$B$14)</f>
        <v>0</v>
      </c>
      <c r="X401" s="238"/>
      <c r="Y401" s="238"/>
      <c r="Z401" s="238"/>
      <c r="AA401" s="238"/>
      <c r="AB401" s="238"/>
      <c r="AC401" s="239"/>
      <c r="AD401" s="237">
        <f>COUNTIFS('Form Details'!$W:$W,"Paid",'Form Details'!$N:$N,"Kiran",'Form Details'!$J:$J,$C401,'Form Details'!$D:$D,'Adv. Filter'!$A$14,'Form Details'!$D:$D,'Adv. Filter'!$B$14)</f>
        <v>0</v>
      </c>
      <c r="AE401" s="238"/>
      <c r="AF401" s="238"/>
      <c r="AG401" s="238"/>
      <c r="AH401" s="238"/>
      <c r="AI401" s="238"/>
      <c r="AJ401" s="239"/>
      <c r="AK401" s="237">
        <f>COUNTIFS('Form Details'!$W:$W,"Due",'Form Details'!$N:$N,"Kiran",'Form Details'!$J:$J,$C401,'Form Details'!$D:$D,'Adv. Filter'!$A$14,'Form Details'!$D:$D,'Adv. Filter'!$B$14)</f>
        <v>0</v>
      </c>
      <c r="AL401" s="238"/>
      <c r="AM401" s="238"/>
      <c r="AN401" s="238"/>
      <c r="AO401" s="238"/>
      <c r="AP401" s="238"/>
      <c r="AQ401" s="239"/>
      <c r="AR401" s="237">
        <f>COUNTIFS('Form Details'!$W:$W,"No Fee",'Form Details'!$N:$N,"Kiran",'Form Details'!$J:$J,$C401,'Form Details'!$D:$D,'Adv. Filter'!$A$14,'Form Details'!$D:$D,'Adv. Filter'!$B$14)</f>
        <v>0</v>
      </c>
      <c r="AS401" s="238"/>
      <c r="AT401" s="238"/>
      <c r="AU401" s="238"/>
      <c r="AV401" s="238"/>
      <c r="AW401" s="238"/>
      <c r="AX401" s="239"/>
      <c r="AY401" s="237">
        <f>COUNTIFS('Form Details'!$W:$W,"Paid/Reject",'Form Details'!$N:$N,"Kiran",'Form Details'!$J:$J,$C401,'Form Details'!$D:$D,'Adv. Filter'!$A$14,'Form Details'!$D:$D,'Adv. Filter'!$B$14)</f>
        <v>0</v>
      </c>
      <c r="AZ401" s="238"/>
      <c r="BA401" s="238"/>
      <c r="BB401" s="238"/>
      <c r="BC401" s="238"/>
      <c r="BD401" s="238"/>
      <c r="BE401" s="239"/>
      <c r="BF401" s="237">
        <f>COUNTIFS('Form Details'!$W:$W,"Staff",'Form Details'!$N:$N,"Kiran",'Form Details'!$J:$J,$C401,'Form Details'!$D:$D,'Adv. Filter'!$A$14,'Form Details'!$D:$D,'Adv. Filter'!$B$14)</f>
        <v>0</v>
      </c>
      <c r="BG401" s="238"/>
      <c r="BH401" s="238"/>
      <c r="BI401" s="238"/>
      <c r="BJ401" s="238"/>
      <c r="BK401" s="238"/>
      <c r="BL401" s="239"/>
      <c r="BM401" s="237">
        <f>COUNTIFS('Form Details'!$W:$W,"File in Office",'Form Details'!$N:$N,"Kiran",'Form Details'!$J:$J,$C401,'Form Details'!$D:$D,'Adv. Filter'!$A$14,'Form Details'!$D:$D,'Adv. Filter'!$B$14)</f>
        <v>0</v>
      </c>
      <c r="BN401" s="238"/>
      <c r="BO401" s="238"/>
      <c r="BP401" s="238"/>
      <c r="BQ401" s="238"/>
      <c r="BR401" s="238"/>
      <c r="BS401" s="239"/>
      <c r="BT401" s="100"/>
      <c r="BU401" s="237">
        <f>COUNTIFS('Form Details'!$AA:$AA,"No",'Form Details'!$N:$N,"Kiran",'Form Details'!$J:$J,$C401,'Form Details'!$D:$D,'Adv. Filter'!$A$14,'Form Details'!$D:$D,'Adv. Filter'!$B$14)</f>
        <v>0</v>
      </c>
      <c r="BV401" s="238"/>
      <c r="BW401" s="238"/>
      <c r="BX401" s="238"/>
      <c r="BY401" s="238"/>
      <c r="BZ401" s="238"/>
      <c r="CA401" s="239"/>
      <c r="CB401" s="237">
        <f>COUNTIFS('Form Details'!$W:$W,"Adv/Paid",'Form Details'!$N:$N,"Kiran",'Form Details'!$J:$J,$C401,'Form Details'!$D:$D,'Adv. Filter'!$A$14,'Form Details'!$D:$D,'Adv. Filter'!$B$14)</f>
        <v>0</v>
      </c>
      <c r="CC401" s="238"/>
      <c r="CD401" s="238"/>
      <c r="CE401" s="238"/>
      <c r="CF401" s="238"/>
      <c r="CG401" s="238"/>
      <c r="CH401" s="239"/>
      <c r="CI401" s="237">
        <f>COUNTIFS('Form Details'!$W:$W,"Adv/Paid/Reject",'Form Details'!$N:$N,"Kiran",'Form Details'!$J:$J,$C401,'Form Details'!$D:$D,'Adv. Filter'!$A$14,'Form Details'!$D:$D,'Adv. Filter'!$B$14)</f>
        <v>0</v>
      </c>
      <c r="CJ401" s="238"/>
      <c r="CK401" s="238"/>
      <c r="CL401" s="238"/>
      <c r="CM401" s="238"/>
      <c r="CN401" s="238"/>
      <c r="CO401" s="239"/>
      <c r="CP401" s="237">
        <f>COUNTIFS('Form Details'!$W:$W,"Reject",'Form Details'!$N:$N,"Kiran",'Form Details'!$J:$J,$C401,'Form Details'!$D:$D,'Adv. Filter'!$A$14,'Form Details'!$D:$D,'Adv. Filter'!$B$14)</f>
        <v>0</v>
      </c>
      <c r="CQ401" s="238"/>
      <c r="CR401" s="238"/>
      <c r="CS401" s="238"/>
      <c r="CT401" s="238"/>
      <c r="CU401" s="238"/>
      <c r="CV401" s="239"/>
      <c r="CW401" s="237">
        <f>COUNTIFS('Form Details'!$W:$W,"Adv/Paid/Pending",'Form Details'!$N:$N,"Kiran",'Form Details'!$J:$J,$C401,'Form Details'!$D:$D,'Adv. Filter'!$A$14,'Form Details'!$D:$D,'Adv. Filter'!$B$14)</f>
        <v>0</v>
      </c>
      <c r="CX401" s="238"/>
      <c r="CY401" s="238"/>
      <c r="CZ401" s="238"/>
      <c r="DA401" s="238"/>
      <c r="DB401" s="238"/>
      <c r="DC401" s="239"/>
      <c r="DD401" s="237">
        <f>COUNTIFS('Form Details'!$W:$W,"Pending",'Form Details'!$N:$N,"Kiran",'Form Details'!$J:$J,$C401,'Form Details'!$D:$D,'Adv. Filter'!$A$14,'Form Details'!$D:$D,'Adv. Filter'!$B$14)</f>
        <v>0</v>
      </c>
      <c r="DE401" s="238"/>
      <c r="DF401" s="238"/>
      <c r="DG401" s="238"/>
      <c r="DH401" s="238"/>
      <c r="DI401" s="238"/>
      <c r="DJ401" s="239"/>
      <c r="DK401" s="237">
        <f>COUNTIFS('Form Details'!$W:$W,"Adv/Paid/NoStatus",'Form Details'!$N:$N,"Kiran",'Form Details'!$J:$J,$C401,'Form Details'!$D:$D,'Adv. Filter'!$A$14,'Form Details'!$D:$D,'Adv. Filter'!$B$14)</f>
        <v>0</v>
      </c>
      <c r="DL401" s="238"/>
      <c r="DM401" s="238"/>
      <c r="DN401" s="238"/>
      <c r="DO401" s="238"/>
      <c r="DP401" s="238"/>
      <c r="DQ401" s="239"/>
      <c r="DR401" s="237">
        <f>COUNTIFS('Form Details'!$W:$W,"No Status",'Form Details'!$N:$N,"Kiran",'Form Details'!$J:$J,$C401,'Form Details'!$D:$D,'Adv. Filter'!$A$14,'Form Details'!$D:$D,'Adv. Filter'!$B$14)</f>
        <v>0</v>
      </c>
      <c r="DS401" s="238"/>
      <c r="DT401" s="238"/>
      <c r="DU401" s="238"/>
      <c r="DV401" s="238"/>
      <c r="DW401" s="238"/>
      <c r="DX401" s="239"/>
      <c r="DY401" s="237">
        <f>SUM(COUNTIFS('Form Details'!$W:$W,{"Wrong Entry ","Double Entry"},'Form Details'!$N:$N,"Kiran",'Form Details'!$J:$J,$C401,'Form Details'!$D:$D,'Adv. Filter'!$A$14,'Form Details'!$D:$D,'Adv. Filter'!$B$14))</f>
        <v>0</v>
      </c>
      <c r="DZ401" s="238"/>
      <c r="EA401" s="238"/>
      <c r="EB401" s="238"/>
      <c r="EC401" s="238"/>
      <c r="ED401" s="238"/>
      <c r="EE401" s="239"/>
    </row>
    <row r="402" spans="3:135" hidden="1">
      <c r="C402" s="248" t="s">
        <v>97</v>
      </c>
      <c r="D402" s="249"/>
      <c r="E402" s="249"/>
      <c r="F402" s="249"/>
      <c r="G402" s="249"/>
      <c r="H402" s="249"/>
      <c r="I402" s="249"/>
      <c r="J402" s="249"/>
      <c r="K402" s="249"/>
      <c r="L402" s="249"/>
      <c r="M402" s="249"/>
      <c r="N402" s="249"/>
      <c r="O402" s="237">
        <f>SUM(COUNTIFS('Form Details'!$AA:$AA,{"Yes","No","-"},'Form Details'!$N:$N,"Kiran",'Form Details'!$J:$J,$C402,'Form Details'!$D:$D,'Adv. Filter'!$A$14,'Form Details'!$D:$D,'Adv. Filter'!$B$14))</f>
        <v>0</v>
      </c>
      <c r="P402" s="238"/>
      <c r="Q402" s="238"/>
      <c r="R402" s="238"/>
      <c r="S402" s="238"/>
      <c r="T402" s="238"/>
      <c r="U402" s="239"/>
      <c r="V402" s="100"/>
      <c r="W402" s="237">
        <f>COUNTIFS('Form Details'!$AA:$AA,"Yes",'Form Details'!$N:$N,"Kiran",'Form Details'!$J:$J,$C402,'Form Details'!$D:$D,'Adv. Filter'!$A$14,'Form Details'!$D:$D,'Adv. Filter'!$B$14)</f>
        <v>0</v>
      </c>
      <c r="X402" s="238"/>
      <c r="Y402" s="238"/>
      <c r="Z402" s="238"/>
      <c r="AA402" s="238"/>
      <c r="AB402" s="238"/>
      <c r="AC402" s="239"/>
      <c r="AD402" s="237">
        <f>COUNTIFS('Form Details'!$W:$W,"Paid",'Form Details'!$N:$N,"Kiran",'Form Details'!$J:$J,$C402,'Form Details'!$D:$D,'Adv. Filter'!$A$14,'Form Details'!$D:$D,'Adv. Filter'!$B$14)</f>
        <v>0</v>
      </c>
      <c r="AE402" s="238"/>
      <c r="AF402" s="238"/>
      <c r="AG402" s="238"/>
      <c r="AH402" s="238"/>
      <c r="AI402" s="238"/>
      <c r="AJ402" s="239"/>
      <c r="AK402" s="237">
        <f>COUNTIFS('Form Details'!$W:$W,"Due",'Form Details'!$N:$N,"Kiran",'Form Details'!$J:$J,$C402,'Form Details'!$D:$D,'Adv. Filter'!$A$14,'Form Details'!$D:$D,'Adv. Filter'!$B$14)</f>
        <v>0</v>
      </c>
      <c r="AL402" s="238"/>
      <c r="AM402" s="238"/>
      <c r="AN402" s="238"/>
      <c r="AO402" s="238"/>
      <c r="AP402" s="238"/>
      <c r="AQ402" s="239"/>
      <c r="AR402" s="237">
        <f>COUNTIFS('Form Details'!$W:$W,"No Fee",'Form Details'!$N:$N,"Kiran",'Form Details'!$J:$J,$C402,'Form Details'!$D:$D,'Adv. Filter'!$A$14,'Form Details'!$D:$D,'Adv. Filter'!$B$14)</f>
        <v>0</v>
      </c>
      <c r="AS402" s="238"/>
      <c r="AT402" s="238"/>
      <c r="AU402" s="238"/>
      <c r="AV402" s="238"/>
      <c r="AW402" s="238"/>
      <c r="AX402" s="239"/>
      <c r="AY402" s="237">
        <f>COUNTIFS('Form Details'!$W:$W,"Paid/Reject",'Form Details'!$N:$N,"Kiran",'Form Details'!$J:$J,$C402,'Form Details'!$D:$D,'Adv. Filter'!$A$14,'Form Details'!$D:$D,'Adv. Filter'!$B$14)</f>
        <v>0</v>
      </c>
      <c r="AZ402" s="238"/>
      <c r="BA402" s="238"/>
      <c r="BB402" s="238"/>
      <c r="BC402" s="238"/>
      <c r="BD402" s="238"/>
      <c r="BE402" s="239"/>
      <c r="BF402" s="237">
        <f>COUNTIFS('Form Details'!$W:$W,"Staff",'Form Details'!$N:$N,"Kiran",'Form Details'!$J:$J,$C402,'Form Details'!$D:$D,'Adv. Filter'!$A$14,'Form Details'!$D:$D,'Adv. Filter'!$B$14)</f>
        <v>0</v>
      </c>
      <c r="BG402" s="238"/>
      <c r="BH402" s="238"/>
      <c r="BI402" s="238"/>
      <c r="BJ402" s="238"/>
      <c r="BK402" s="238"/>
      <c r="BL402" s="239"/>
      <c r="BM402" s="237">
        <f>COUNTIFS('Form Details'!$W:$W,"File in Office",'Form Details'!$N:$N,"Kiran",'Form Details'!$J:$J,$C402,'Form Details'!$D:$D,'Adv. Filter'!$A$14,'Form Details'!$D:$D,'Adv. Filter'!$B$14)</f>
        <v>0</v>
      </c>
      <c r="BN402" s="238"/>
      <c r="BO402" s="238"/>
      <c r="BP402" s="238"/>
      <c r="BQ402" s="238"/>
      <c r="BR402" s="238"/>
      <c r="BS402" s="239"/>
      <c r="BT402" s="100"/>
      <c r="BU402" s="237">
        <f>COUNTIFS('Form Details'!$AA:$AA,"No",'Form Details'!$N:$N,"Kiran",'Form Details'!$J:$J,$C402,'Form Details'!$D:$D,'Adv. Filter'!$A$14,'Form Details'!$D:$D,'Adv. Filter'!$B$14)</f>
        <v>0</v>
      </c>
      <c r="BV402" s="238"/>
      <c r="BW402" s="238"/>
      <c r="BX402" s="238"/>
      <c r="BY402" s="238"/>
      <c r="BZ402" s="238"/>
      <c r="CA402" s="239"/>
      <c r="CB402" s="237">
        <f>COUNTIFS('Form Details'!$W:$W,"Adv/Paid",'Form Details'!$N:$N,"Kiran",'Form Details'!$J:$J,$C402,'Form Details'!$D:$D,'Adv. Filter'!$A$14,'Form Details'!$D:$D,'Adv. Filter'!$B$14)</f>
        <v>0</v>
      </c>
      <c r="CC402" s="238"/>
      <c r="CD402" s="238"/>
      <c r="CE402" s="238"/>
      <c r="CF402" s="238"/>
      <c r="CG402" s="238"/>
      <c r="CH402" s="239"/>
      <c r="CI402" s="237">
        <f>COUNTIFS('Form Details'!$W:$W,"Adv/Paid/Reject",'Form Details'!$N:$N,"Kiran",'Form Details'!$J:$J,$C402,'Form Details'!$D:$D,'Adv. Filter'!$A$14,'Form Details'!$D:$D,'Adv. Filter'!$B$14)</f>
        <v>0</v>
      </c>
      <c r="CJ402" s="238"/>
      <c r="CK402" s="238"/>
      <c r="CL402" s="238"/>
      <c r="CM402" s="238"/>
      <c r="CN402" s="238"/>
      <c r="CO402" s="239"/>
      <c r="CP402" s="237">
        <f>COUNTIFS('Form Details'!$W:$W,"Reject",'Form Details'!$N:$N,"Kiran",'Form Details'!$J:$J,$C402,'Form Details'!$D:$D,'Adv. Filter'!$A$14,'Form Details'!$D:$D,'Adv. Filter'!$B$14)</f>
        <v>0</v>
      </c>
      <c r="CQ402" s="238"/>
      <c r="CR402" s="238"/>
      <c r="CS402" s="238"/>
      <c r="CT402" s="238"/>
      <c r="CU402" s="238"/>
      <c r="CV402" s="239"/>
      <c r="CW402" s="237">
        <f>COUNTIFS('Form Details'!$W:$W,"Adv/Paid/Pending",'Form Details'!$N:$N,"Kiran",'Form Details'!$J:$J,$C402,'Form Details'!$D:$D,'Adv. Filter'!$A$14,'Form Details'!$D:$D,'Adv. Filter'!$B$14)</f>
        <v>0</v>
      </c>
      <c r="CX402" s="238"/>
      <c r="CY402" s="238"/>
      <c r="CZ402" s="238"/>
      <c r="DA402" s="238"/>
      <c r="DB402" s="238"/>
      <c r="DC402" s="239"/>
      <c r="DD402" s="237">
        <f>COUNTIFS('Form Details'!$W:$W,"Pending",'Form Details'!$N:$N,"Kiran",'Form Details'!$J:$J,$C402,'Form Details'!$D:$D,'Adv. Filter'!$A$14,'Form Details'!$D:$D,'Adv. Filter'!$B$14)</f>
        <v>0</v>
      </c>
      <c r="DE402" s="238"/>
      <c r="DF402" s="238"/>
      <c r="DG402" s="238"/>
      <c r="DH402" s="238"/>
      <c r="DI402" s="238"/>
      <c r="DJ402" s="239"/>
      <c r="DK402" s="237">
        <f>COUNTIFS('Form Details'!$W:$W,"Adv/Paid/NoStatus",'Form Details'!$N:$N,"Kiran",'Form Details'!$J:$J,$C402,'Form Details'!$D:$D,'Adv. Filter'!$A$14,'Form Details'!$D:$D,'Adv. Filter'!$B$14)</f>
        <v>0</v>
      </c>
      <c r="DL402" s="238"/>
      <c r="DM402" s="238"/>
      <c r="DN402" s="238"/>
      <c r="DO402" s="238"/>
      <c r="DP402" s="238"/>
      <c r="DQ402" s="239"/>
      <c r="DR402" s="237">
        <f>COUNTIFS('Form Details'!$W:$W,"No Status",'Form Details'!$N:$N,"Kiran",'Form Details'!$J:$J,$C402,'Form Details'!$D:$D,'Adv. Filter'!$A$14,'Form Details'!$D:$D,'Adv. Filter'!$B$14)</f>
        <v>0</v>
      </c>
      <c r="DS402" s="238"/>
      <c r="DT402" s="238"/>
      <c r="DU402" s="238"/>
      <c r="DV402" s="238"/>
      <c r="DW402" s="238"/>
      <c r="DX402" s="239"/>
      <c r="DY402" s="237">
        <f>SUM(COUNTIFS('Form Details'!$W:$W,{"Wrong Entry ","Double Entry"},'Form Details'!$N:$N,"Kiran",'Form Details'!$J:$J,$C402,'Form Details'!$D:$D,'Adv. Filter'!$A$14,'Form Details'!$D:$D,'Adv. Filter'!$B$14))</f>
        <v>0</v>
      </c>
      <c r="DZ402" s="238"/>
      <c r="EA402" s="238"/>
      <c r="EB402" s="238"/>
      <c r="EC402" s="238"/>
      <c r="ED402" s="238"/>
      <c r="EE402" s="239"/>
    </row>
    <row r="403" spans="3:135" hidden="1">
      <c r="C403" s="248" t="s">
        <v>102</v>
      </c>
      <c r="D403" s="249"/>
      <c r="E403" s="249"/>
      <c r="F403" s="249"/>
      <c r="G403" s="249"/>
      <c r="H403" s="249"/>
      <c r="I403" s="249"/>
      <c r="J403" s="249"/>
      <c r="K403" s="249"/>
      <c r="L403" s="249"/>
      <c r="M403" s="249"/>
      <c r="N403" s="249"/>
      <c r="O403" s="237">
        <f>SUM(COUNTIFS('Form Details'!$AA:$AA,{"Yes","No","-"},'Form Details'!$N:$N,"Kiran",'Form Details'!$J:$J,$C403,'Form Details'!$D:$D,'Adv. Filter'!$A$14,'Form Details'!$D:$D,'Adv. Filter'!$B$14))</f>
        <v>0</v>
      </c>
      <c r="P403" s="238"/>
      <c r="Q403" s="238"/>
      <c r="R403" s="238"/>
      <c r="S403" s="238"/>
      <c r="T403" s="238"/>
      <c r="U403" s="239"/>
      <c r="V403" s="100"/>
      <c r="W403" s="237">
        <f>COUNTIFS('Form Details'!$AA:$AA,"Yes",'Form Details'!$N:$N,"Kiran",'Form Details'!$J:$J,$C403,'Form Details'!$D:$D,'Adv. Filter'!$A$14,'Form Details'!$D:$D,'Adv. Filter'!$B$14)</f>
        <v>0</v>
      </c>
      <c r="X403" s="238"/>
      <c r="Y403" s="238"/>
      <c r="Z403" s="238"/>
      <c r="AA403" s="238"/>
      <c r="AB403" s="238"/>
      <c r="AC403" s="239"/>
      <c r="AD403" s="237">
        <f>COUNTIFS('Form Details'!$W:$W,"Paid",'Form Details'!$N:$N,"Kiran",'Form Details'!$J:$J,$C403,'Form Details'!$D:$D,'Adv. Filter'!$A$14,'Form Details'!$D:$D,'Adv. Filter'!$B$14)</f>
        <v>0</v>
      </c>
      <c r="AE403" s="238"/>
      <c r="AF403" s="238"/>
      <c r="AG403" s="238"/>
      <c r="AH403" s="238"/>
      <c r="AI403" s="238"/>
      <c r="AJ403" s="239"/>
      <c r="AK403" s="237">
        <f>COUNTIFS('Form Details'!$W:$W,"Due",'Form Details'!$N:$N,"Kiran",'Form Details'!$J:$J,$C403,'Form Details'!$D:$D,'Adv. Filter'!$A$14,'Form Details'!$D:$D,'Adv. Filter'!$B$14)</f>
        <v>0</v>
      </c>
      <c r="AL403" s="238"/>
      <c r="AM403" s="238"/>
      <c r="AN403" s="238"/>
      <c r="AO403" s="238"/>
      <c r="AP403" s="238"/>
      <c r="AQ403" s="239"/>
      <c r="AR403" s="237">
        <f>COUNTIFS('Form Details'!$W:$W,"No Fee",'Form Details'!$N:$N,"Kiran",'Form Details'!$J:$J,$C403,'Form Details'!$D:$D,'Adv. Filter'!$A$14,'Form Details'!$D:$D,'Adv. Filter'!$B$14)</f>
        <v>0</v>
      </c>
      <c r="AS403" s="238"/>
      <c r="AT403" s="238"/>
      <c r="AU403" s="238"/>
      <c r="AV403" s="238"/>
      <c r="AW403" s="238"/>
      <c r="AX403" s="239"/>
      <c r="AY403" s="237">
        <f>COUNTIFS('Form Details'!$W:$W,"Paid/Reject",'Form Details'!$N:$N,"Kiran",'Form Details'!$J:$J,$C403,'Form Details'!$D:$D,'Adv. Filter'!$A$14,'Form Details'!$D:$D,'Adv. Filter'!$B$14)</f>
        <v>0</v>
      </c>
      <c r="AZ403" s="238"/>
      <c r="BA403" s="238"/>
      <c r="BB403" s="238"/>
      <c r="BC403" s="238"/>
      <c r="BD403" s="238"/>
      <c r="BE403" s="239"/>
      <c r="BF403" s="237">
        <f>COUNTIFS('Form Details'!$W:$W,"Staff",'Form Details'!$N:$N,"Kiran",'Form Details'!$J:$J,$C403,'Form Details'!$D:$D,'Adv. Filter'!$A$14,'Form Details'!$D:$D,'Adv. Filter'!$B$14)</f>
        <v>0</v>
      </c>
      <c r="BG403" s="238"/>
      <c r="BH403" s="238"/>
      <c r="BI403" s="238"/>
      <c r="BJ403" s="238"/>
      <c r="BK403" s="238"/>
      <c r="BL403" s="239"/>
      <c r="BM403" s="237">
        <f>COUNTIFS('Form Details'!$W:$W,"File in Office",'Form Details'!$N:$N,"Kiran",'Form Details'!$J:$J,$C403,'Form Details'!$D:$D,'Adv. Filter'!$A$14,'Form Details'!$D:$D,'Adv. Filter'!$B$14)</f>
        <v>0</v>
      </c>
      <c r="BN403" s="238"/>
      <c r="BO403" s="238"/>
      <c r="BP403" s="238"/>
      <c r="BQ403" s="238"/>
      <c r="BR403" s="238"/>
      <c r="BS403" s="239"/>
      <c r="BT403" s="100"/>
      <c r="BU403" s="237">
        <f>COUNTIFS('Form Details'!$AA:$AA,"No",'Form Details'!$N:$N,"Kiran",'Form Details'!$J:$J,$C403,'Form Details'!$D:$D,'Adv. Filter'!$A$14,'Form Details'!$D:$D,'Adv. Filter'!$B$14)</f>
        <v>0</v>
      </c>
      <c r="BV403" s="238"/>
      <c r="BW403" s="238"/>
      <c r="BX403" s="238"/>
      <c r="BY403" s="238"/>
      <c r="BZ403" s="238"/>
      <c r="CA403" s="239"/>
      <c r="CB403" s="237">
        <f>COUNTIFS('Form Details'!$W:$W,"Adv/Paid",'Form Details'!$N:$N,"Kiran",'Form Details'!$J:$J,$C403,'Form Details'!$D:$D,'Adv. Filter'!$A$14,'Form Details'!$D:$D,'Adv. Filter'!$B$14)</f>
        <v>0</v>
      </c>
      <c r="CC403" s="238"/>
      <c r="CD403" s="238"/>
      <c r="CE403" s="238"/>
      <c r="CF403" s="238"/>
      <c r="CG403" s="238"/>
      <c r="CH403" s="239"/>
      <c r="CI403" s="237">
        <f>COUNTIFS('Form Details'!$W:$W,"Adv/Paid/Reject",'Form Details'!$N:$N,"Kiran",'Form Details'!$J:$J,$C403,'Form Details'!$D:$D,'Adv. Filter'!$A$14,'Form Details'!$D:$D,'Adv. Filter'!$B$14)</f>
        <v>0</v>
      </c>
      <c r="CJ403" s="238"/>
      <c r="CK403" s="238"/>
      <c r="CL403" s="238"/>
      <c r="CM403" s="238"/>
      <c r="CN403" s="238"/>
      <c r="CO403" s="239"/>
      <c r="CP403" s="237">
        <f>COUNTIFS('Form Details'!$W:$W,"Reject",'Form Details'!$N:$N,"Kiran",'Form Details'!$J:$J,$C403,'Form Details'!$D:$D,'Adv. Filter'!$A$14,'Form Details'!$D:$D,'Adv. Filter'!$B$14)</f>
        <v>0</v>
      </c>
      <c r="CQ403" s="238"/>
      <c r="CR403" s="238"/>
      <c r="CS403" s="238"/>
      <c r="CT403" s="238"/>
      <c r="CU403" s="238"/>
      <c r="CV403" s="239"/>
      <c r="CW403" s="237">
        <f>COUNTIFS('Form Details'!$W:$W,"Adv/Paid/Pending",'Form Details'!$N:$N,"Kiran",'Form Details'!$J:$J,$C403,'Form Details'!$D:$D,'Adv. Filter'!$A$14,'Form Details'!$D:$D,'Adv. Filter'!$B$14)</f>
        <v>0</v>
      </c>
      <c r="CX403" s="238"/>
      <c r="CY403" s="238"/>
      <c r="CZ403" s="238"/>
      <c r="DA403" s="238"/>
      <c r="DB403" s="238"/>
      <c r="DC403" s="239"/>
      <c r="DD403" s="237">
        <f>COUNTIFS('Form Details'!$W:$W,"Pending",'Form Details'!$N:$N,"Kiran",'Form Details'!$J:$J,$C403,'Form Details'!$D:$D,'Adv. Filter'!$A$14,'Form Details'!$D:$D,'Adv. Filter'!$B$14)</f>
        <v>0</v>
      </c>
      <c r="DE403" s="238"/>
      <c r="DF403" s="238"/>
      <c r="DG403" s="238"/>
      <c r="DH403" s="238"/>
      <c r="DI403" s="238"/>
      <c r="DJ403" s="239"/>
      <c r="DK403" s="237">
        <f>COUNTIFS('Form Details'!$W:$W,"Adv/Paid/NoStatus",'Form Details'!$N:$N,"Kiran",'Form Details'!$J:$J,$C403,'Form Details'!$D:$D,'Adv. Filter'!$A$14,'Form Details'!$D:$D,'Adv. Filter'!$B$14)</f>
        <v>0</v>
      </c>
      <c r="DL403" s="238"/>
      <c r="DM403" s="238"/>
      <c r="DN403" s="238"/>
      <c r="DO403" s="238"/>
      <c r="DP403" s="238"/>
      <c r="DQ403" s="239"/>
      <c r="DR403" s="237">
        <f>COUNTIFS('Form Details'!$W:$W,"No Status",'Form Details'!$N:$N,"Kiran",'Form Details'!$J:$J,$C403,'Form Details'!$D:$D,'Adv. Filter'!$A$14,'Form Details'!$D:$D,'Adv. Filter'!$B$14)</f>
        <v>0</v>
      </c>
      <c r="DS403" s="238"/>
      <c r="DT403" s="238"/>
      <c r="DU403" s="238"/>
      <c r="DV403" s="238"/>
      <c r="DW403" s="238"/>
      <c r="DX403" s="239"/>
      <c r="DY403" s="237">
        <f>SUM(COUNTIFS('Form Details'!$W:$W,{"Wrong Entry ","Double Entry"},'Form Details'!$N:$N,"Kiran",'Form Details'!$J:$J,$C403,'Form Details'!$D:$D,'Adv. Filter'!$A$14,'Form Details'!$D:$D,'Adv. Filter'!$B$14))</f>
        <v>0</v>
      </c>
      <c r="DZ403" s="238"/>
      <c r="EA403" s="238"/>
      <c r="EB403" s="238"/>
      <c r="EC403" s="238"/>
      <c r="ED403" s="238"/>
      <c r="EE403" s="239"/>
    </row>
    <row r="404" spans="3:135" ht="15.75" hidden="1" thickBot="1">
      <c r="C404" s="248" t="s">
        <v>108</v>
      </c>
      <c r="D404" s="249"/>
      <c r="E404" s="249"/>
      <c r="F404" s="249"/>
      <c r="G404" s="249"/>
      <c r="H404" s="249"/>
      <c r="I404" s="249"/>
      <c r="J404" s="249"/>
      <c r="K404" s="249"/>
      <c r="L404" s="249"/>
      <c r="M404" s="249"/>
      <c r="N404" s="249"/>
      <c r="O404" s="240">
        <f>SUM(COUNTIFS('Form Details'!$AA:$AA,{"Yes","No","-"},'Form Details'!$N:$N,"Kiran",'Form Details'!$J:$J,$C404,'Form Details'!$D:$D,'Adv. Filter'!$A$14,'Form Details'!$D:$D,'Adv. Filter'!$B$14))</f>
        <v>0</v>
      </c>
      <c r="P404" s="241"/>
      <c r="Q404" s="241"/>
      <c r="R404" s="241"/>
      <c r="S404" s="241"/>
      <c r="T404" s="241"/>
      <c r="U404" s="242"/>
      <c r="V404" s="100"/>
      <c r="W404" s="240">
        <f>COUNTIFS('Form Details'!$AA:$AA,"Yes",'Form Details'!$N:$N,"Kiran",'Form Details'!$J:$J,$C404,'Form Details'!$D:$D,'Adv. Filter'!$A$14,'Form Details'!$D:$D,'Adv. Filter'!$B$14)</f>
        <v>0</v>
      </c>
      <c r="X404" s="241"/>
      <c r="Y404" s="241"/>
      <c r="Z404" s="241"/>
      <c r="AA404" s="241"/>
      <c r="AB404" s="241"/>
      <c r="AC404" s="242"/>
      <c r="AD404" s="240">
        <f>COUNTIFS('Form Details'!$W:$W,"Paid",'Form Details'!$N:$N,"Kiran",'Form Details'!$J:$J,$C404,'Form Details'!$D:$D,'Adv. Filter'!$A$14,'Form Details'!$D:$D,'Adv. Filter'!$B$14)</f>
        <v>0</v>
      </c>
      <c r="AE404" s="241"/>
      <c r="AF404" s="241"/>
      <c r="AG404" s="241"/>
      <c r="AH404" s="241"/>
      <c r="AI404" s="241"/>
      <c r="AJ404" s="242"/>
      <c r="AK404" s="240">
        <f>COUNTIFS('Form Details'!$W:$W,"Due",'Form Details'!$N:$N,"Kiran",'Form Details'!$J:$J,$C404,'Form Details'!$D:$D,'Adv. Filter'!$A$14,'Form Details'!$D:$D,'Adv. Filter'!$B$14)</f>
        <v>0</v>
      </c>
      <c r="AL404" s="241"/>
      <c r="AM404" s="241"/>
      <c r="AN404" s="241"/>
      <c r="AO404" s="241"/>
      <c r="AP404" s="241"/>
      <c r="AQ404" s="242"/>
      <c r="AR404" s="240">
        <f>COUNTIFS('Form Details'!$W:$W,"No Fee",'Form Details'!$N:$N,"Kiran",'Form Details'!$J:$J,$C404,'Form Details'!$D:$D,'Adv. Filter'!$A$14,'Form Details'!$D:$D,'Adv. Filter'!$B$14)</f>
        <v>0</v>
      </c>
      <c r="AS404" s="241"/>
      <c r="AT404" s="241"/>
      <c r="AU404" s="241"/>
      <c r="AV404" s="241"/>
      <c r="AW404" s="241"/>
      <c r="AX404" s="242"/>
      <c r="AY404" s="240">
        <f>COUNTIFS('Form Details'!$W:$W,"Paid/Reject",'Form Details'!$N:$N,"Kiran",'Form Details'!$J:$J,$C404,'Form Details'!$D:$D,'Adv. Filter'!$A$14,'Form Details'!$D:$D,'Adv. Filter'!$B$14)</f>
        <v>0</v>
      </c>
      <c r="AZ404" s="241"/>
      <c r="BA404" s="241"/>
      <c r="BB404" s="241"/>
      <c r="BC404" s="241"/>
      <c r="BD404" s="241"/>
      <c r="BE404" s="242"/>
      <c r="BF404" s="240">
        <f>COUNTIFS('Form Details'!$W:$W,"Staff",'Form Details'!$N:$N,"Kiran",'Form Details'!$J:$J,$C404,'Form Details'!$D:$D,'Adv. Filter'!$A$14,'Form Details'!$D:$D,'Adv. Filter'!$B$14)</f>
        <v>0</v>
      </c>
      <c r="BG404" s="241"/>
      <c r="BH404" s="241"/>
      <c r="BI404" s="241"/>
      <c r="BJ404" s="241"/>
      <c r="BK404" s="241"/>
      <c r="BL404" s="242"/>
      <c r="BM404" s="240">
        <f>COUNTIFS('Form Details'!$W:$W,"File in Office",'Form Details'!$N:$N,"Kiran",'Form Details'!$J:$J,$C404,'Form Details'!$D:$D,'Adv. Filter'!$A$14,'Form Details'!$D:$D,'Adv. Filter'!$B$14)</f>
        <v>0</v>
      </c>
      <c r="BN404" s="241"/>
      <c r="BO404" s="241"/>
      <c r="BP404" s="241"/>
      <c r="BQ404" s="241"/>
      <c r="BR404" s="241"/>
      <c r="BS404" s="242"/>
      <c r="BT404" s="100"/>
      <c r="BU404" s="240">
        <f>COUNTIFS('Form Details'!$AA:$AA,"No",'Form Details'!$N:$N,"Kiran",'Form Details'!$J:$J,$C404,'Form Details'!$D:$D,'Adv. Filter'!$A$14,'Form Details'!$D:$D,'Adv. Filter'!$B$14)</f>
        <v>0</v>
      </c>
      <c r="BV404" s="241"/>
      <c r="BW404" s="241"/>
      <c r="BX404" s="241"/>
      <c r="BY404" s="241"/>
      <c r="BZ404" s="241"/>
      <c r="CA404" s="242"/>
      <c r="CB404" s="240">
        <f>COUNTIFS('Form Details'!$W:$W,"Adv/Paid",'Form Details'!$N:$N,"Kiran",'Form Details'!$J:$J,$C404,'Form Details'!$D:$D,'Adv. Filter'!$A$14,'Form Details'!$D:$D,'Adv. Filter'!$B$14)</f>
        <v>0</v>
      </c>
      <c r="CC404" s="241"/>
      <c r="CD404" s="241"/>
      <c r="CE404" s="241"/>
      <c r="CF404" s="241"/>
      <c r="CG404" s="241"/>
      <c r="CH404" s="242"/>
      <c r="CI404" s="240">
        <f>COUNTIFS('Form Details'!$W:$W,"Adv/Paid/Reject",'Form Details'!$N:$N,"Kiran",'Form Details'!$J:$J,$C404,'Form Details'!$D:$D,'Adv. Filter'!$A$14,'Form Details'!$D:$D,'Adv. Filter'!$B$14)</f>
        <v>0</v>
      </c>
      <c r="CJ404" s="241"/>
      <c r="CK404" s="241"/>
      <c r="CL404" s="241"/>
      <c r="CM404" s="241"/>
      <c r="CN404" s="241"/>
      <c r="CO404" s="242"/>
      <c r="CP404" s="240">
        <f>COUNTIFS('Form Details'!$W:$W,"Reject",'Form Details'!$N:$N,"Kiran",'Form Details'!$J:$J,$C404,'Form Details'!$D:$D,'Adv. Filter'!$A$14,'Form Details'!$D:$D,'Adv. Filter'!$B$14)</f>
        <v>0</v>
      </c>
      <c r="CQ404" s="241"/>
      <c r="CR404" s="241"/>
      <c r="CS404" s="241"/>
      <c r="CT404" s="241"/>
      <c r="CU404" s="241"/>
      <c r="CV404" s="242"/>
      <c r="CW404" s="240">
        <f>COUNTIFS('Form Details'!$W:$W,"Adv/Paid/Pending",'Form Details'!$N:$N,"Kiran",'Form Details'!$J:$J,$C404,'Form Details'!$D:$D,'Adv. Filter'!$A$14,'Form Details'!$D:$D,'Adv. Filter'!$B$14)</f>
        <v>0</v>
      </c>
      <c r="CX404" s="241"/>
      <c r="CY404" s="241"/>
      <c r="CZ404" s="241"/>
      <c r="DA404" s="241"/>
      <c r="DB404" s="241"/>
      <c r="DC404" s="242"/>
      <c r="DD404" s="240">
        <f>COUNTIFS('Form Details'!$W:$W,"Pending",'Form Details'!$N:$N,"Kiran",'Form Details'!$J:$J,$C404,'Form Details'!$D:$D,'Adv. Filter'!$A$14,'Form Details'!$D:$D,'Adv. Filter'!$B$14)</f>
        <v>0</v>
      </c>
      <c r="DE404" s="241"/>
      <c r="DF404" s="241"/>
      <c r="DG404" s="241"/>
      <c r="DH404" s="241"/>
      <c r="DI404" s="241"/>
      <c r="DJ404" s="242"/>
      <c r="DK404" s="240">
        <f>COUNTIFS('Form Details'!$W:$W,"Adv/Paid/NoStatus",'Form Details'!$N:$N,"Kiran",'Form Details'!$J:$J,$C404,'Form Details'!$D:$D,'Adv. Filter'!$A$14,'Form Details'!$D:$D,'Adv. Filter'!$B$14)</f>
        <v>0</v>
      </c>
      <c r="DL404" s="241"/>
      <c r="DM404" s="241"/>
      <c r="DN404" s="241"/>
      <c r="DO404" s="241"/>
      <c r="DP404" s="241"/>
      <c r="DQ404" s="242"/>
      <c r="DR404" s="240">
        <f>COUNTIFS('Form Details'!$W:$W,"No Status",'Form Details'!$N:$N,"Kiran",'Form Details'!$J:$J,$C404,'Form Details'!$D:$D,'Adv. Filter'!$A$14,'Form Details'!$D:$D,'Adv. Filter'!$B$14)</f>
        <v>0</v>
      </c>
      <c r="DS404" s="241"/>
      <c r="DT404" s="241"/>
      <c r="DU404" s="241"/>
      <c r="DV404" s="241"/>
      <c r="DW404" s="241"/>
      <c r="DX404" s="242"/>
      <c r="DY404" s="240">
        <f>SUM(COUNTIFS('Form Details'!$W:$W,{"Wrong Entry ","Double Entry"},'Form Details'!$N:$N,"Kiran",'Form Details'!$J:$J,$C404,'Form Details'!$D:$D,'Adv. Filter'!$A$14,'Form Details'!$D:$D,'Adv. Filter'!$B$14))</f>
        <v>0</v>
      </c>
      <c r="DZ404" s="241"/>
      <c r="EA404" s="241"/>
      <c r="EB404" s="241"/>
      <c r="EC404" s="241"/>
      <c r="ED404" s="241"/>
      <c r="EE404" s="242"/>
    </row>
    <row r="405" spans="3:135" ht="15.75" hidden="1" thickTop="1">
      <c r="C405" s="246" t="s">
        <v>503</v>
      </c>
      <c r="D405" s="247"/>
      <c r="E405" s="247"/>
      <c r="F405" s="247"/>
      <c r="G405" s="247"/>
      <c r="H405" s="247"/>
      <c r="I405" s="247"/>
      <c r="J405" s="247"/>
      <c r="K405" s="247"/>
      <c r="L405" s="247"/>
      <c r="M405" s="247"/>
      <c r="N405" s="247"/>
      <c r="O405" s="243">
        <f>SUM(O388:U404)</f>
        <v>241</v>
      </c>
      <c r="P405" s="244"/>
      <c r="Q405" s="244"/>
      <c r="R405" s="244"/>
      <c r="S405" s="244"/>
      <c r="T405" s="244"/>
      <c r="U405" s="244"/>
      <c r="V405" s="106"/>
      <c r="W405" s="243">
        <f>SUM(W388:AC404)</f>
        <v>239</v>
      </c>
      <c r="X405" s="244"/>
      <c r="Y405" s="244"/>
      <c r="Z405" s="244"/>
      <c r="AA405" s="244"/>
      <c r="AB405" s="244"/>
      <c r="AC405" s="244"/>
      <c r="AD405" s="243">
        <f>SUM(AD388:AJ404)</f>
        <v>101</v>
      </c>
      <c r="AE405" s="244"/>
      <c r="AF405" s="244"/>
      <c r="AG405" s="244"/>
      <c r="AH405" s="244"/>
      <c r="AI405" s="244"/>
      <c r="AJ405" s="244"/>
      <c r="AK405" s="243">
        <f>SUM(AK388:AQ404)</f>
        <v>138</v>
      </c>
      <c r="AL405" s="244"/>
      <c r="AM405" s="244"/>
      <c r="AN405" s="244"/>
      <c r="AO405" s="244"/>
      <c r="AP405" s="244"/>
      <c r="AQ405" s="244"/>
      <c r="AR405" s="243">
        <f>SUM(AR388:AX404)</f>
        <v>0</v>
      </c>
      <c r="AS405" s="244"/>
      <c r="AT405" s="244"/>
      <c r="AU405" s="244"/>
      <c r="AV405" s="244"/>
      <c r="AW405" s="244"/>
      <c r="AX405" s="244"/>
      <c r="AY405" s="243">
        <f>SUM(AY388:BE404)</f>
        <v>0</v>
      </c>
      <c r="AZ405" s="244"/>
      <c r="BA405" s="244"/>
      <c r="BB405" s="244"/>
      <c r="BC405" s="244"/>
      <c r="BD405" s="244"/>
      <c r="BE405" s="244"/>
      <c r="BF405" s="243">
        <f>SUM(BF388:BL404)</f>
        <v>0</v>
      </c>
      <c r="BG405" s="244"/>
      <c r="BH405" s="244"/>
      <c r="BI405" s="244"/>
      <c r="BJ405" s="244"/>
      <c r="BK405" s="244"/>
      <c r="BL405" s="244"/>
      <c r="BM405" s="243">
        <f>SUM(BM388:BS404)</f>
        <v>0</v>
      </c>
      <c r="BN405" s="244"/>
      <c r="BO405" s="244"/>
      <c r="BP405" s="244"/>
      <c r="BQ405" s="244"/>
      <c r="BR405" s="244"/>
      <c r="BS405" s="244"/>
      <c r="BT405" s="106"/>
      <c r="BU405" s="243">
        <f>SUM(BU388:CA404)</f>
        <v>2</v>
      </c>
      <c r="BV405" s="244"/>
      <c r="BW405" s="244"/>
      <c r="BX405" s="244"/>
      <c r="BY405" s="244"/>
      <c r="BZ405" s="244"/>
      <c r="CA405" s="244"/>
      <c r="CB405" s="243">
        <f>SUM(CB388:CH404)</f>
        <v>0</v>
      </c>
      <c r="CC405" s="244"/>
      <c r="CD405" s="244"/>
      <c r="CE405" s="244"/>
      <c r="CF405" s="244"/>
      <c r="CG405" s="244"/>
      <c r="CH405" s="244"/>
      <c r="CI405" s="243">
        <f>SUM(CI388:CO404)</f>
        <v>0</v>
      </c>
      <c r="CJ405" s="244"/>
      <c r="CK405" s="244"/>
      <c r="CL405" s="244"/>
      <c r="CM405" s="244"/>
      <c r="CN405" s="244"/>
      <c r="CO405" s="244"/>
      <c r="CP405" s="243">
        <f>SUM(CP388:CV404)</f>
        <v>1</v>
      </c>
      <c r="CQ405" s="244"/>
      <c r="CR405" s="244"/>
      <c r="CS405" s="244"/>
      <c r="CT405" s="244"/>
      <c r="CU405" s="244"/>
      <c r="CV405" s="244"/>
      <c r="CW405" s="243">
        <f>SUM(CW388:DC404)</f>
        <v>0</v>
      </c>
      <c r="CX405" s="244"/>
      <c r="CY405" s="244"/>
      <c r="CZ405" s="244"/>
      <c r="DA405" s="244"/>
      <c r="DB405" s="244"/>
      <c r="DC405" s="244"/>
      <c r="DD405" s="243">
        <f>SUM(DD388:DJ404)</f>
        <v>0</v>
      </c>
      <c r="DE405" s="244"/>
      <c r="DF405" s="244"/>
      <c r="DG405" s="244"/>
      <c r="DH405" s="244"/>
      <c r="DI405" s="244"/>
      <c r="DJ405" s="244"/>
      <c r="DK405" s="243">
        <f>SUM(DK388:DQ404)</f>
        <v>0</v>
      </c>
      <c r="DL405" s="244"/>
      <c r="DM405" s="244"/>
      <c r="DN405" s="244"/>
      <c r="DO405" s="244"/>
      <c r="DP405" s="244"/>
      <c r="DQ405" s="244"/>
      <c r="DR405" s="243">
        <f>SUM(DR388:DX404)</f>
        <v>0</v>
      </c>
      <c r="DS405" s="244"/>
      <c r="DT405" s="244"/>
      <c r="DU405" s="244"/>
      <c r="DV405" s="244"/>
      <c r="DW405" s="244"/>
      <c r="DX405" s="244"/>
      <c r="DY405" s="243">
        <f>SUM(DY388:EE404)</f>
        <v>1</v>
      </c>
      <c r="DZ405" s="244"/>
      <c r="EA405" s="244"/>
      <c r="EB405" s="244"/>
      <c r="EC405" s="244"/>
      <c r="ED405" s="244"/>
      <c r="EE405" s="244"/>
    </row>
    <row r="406" spans="3:135" hidden="1">
      <c r="C406" s="100"/>
      <c r="E406" s="100"/>
      <c r="F406" s="100"/>
      <c r="G406" s="100"/>
      <c r="H406" s="100"/>
      <c r="I406" s="100"/>
      <c r="J406" s="100"/>
      <c r="K406" s="100"/>
      <c r="L406" s="100"/>
      <c r="M406" s="100"/>
      <c r="N406" s="100"/>
      <c r="O406" s="100"/>
      <c r="P406" s="100"/>
      <c r="Q406" s="100"/>
      <c r="R406" s="100"/>
      <c r="S406" s="100"/>
      <c r="T406" s="100"/>
      <c r="U406" s="100"/>
      <c r="V406" s="100"/>
      <c r="W406" s="100"/>
      <c r="X406" s="100"/>
      <c r="Y406" s="100"/>
      <c r="Z406" s="100"/>
      <c r="AA406" s="100"/>
      <c r="AB406" s="100"/>
      <c r="AC406" s="100"/>
      <c r="AD406" s="100"/>
      <c r="AE406" s="100"/>
      <c r="AF406" s="100"/>
      <c r="AG406" s="100"/>
      <c r="AH406" s="100"/>
      <c r="AI406" s="100"/>
      <c r="AJ406" s="100"/>
      <c r="AK406" s="100"/>
      <c r="AL406" s="100"/>
      <c r="AM406" s="100"/>
      <c r="AN406" s="100"/>
      <c r="AO406" s="100"/>
      <c r="AP406" s="100"/>
      <c r="AQ406" s="100"/>
      <c r="AR406" s="100"/>
      <c r="AS406" s="100"/>
      <c r="AT406" s="100"/>
      <c r="AU406" s="100"/>
      <c r="AV406" s="100"/>
      <c r="AW406" s="100"/>
      <c r="AX406" s="100"/>
      <c r="AY406" s="100"/>
      <c r="AZ406" s="100"/>
      <c r="BA406" s="100"/>
      <c r="BB406" s="100"/>
      <c r="BC406" s="100"/>
      <c r="BD406" s="100"/>
      <c r="BE406" s="100"/>
      <c r="BF406" s="100"/>
      <c r="BG406" s="100"/>
      <c r="BH406" s="100"/>
      <c r="BI406" s="100"/>
      <c r="BJ406" s="100"/>
      <c r="BK406" s="100"/>
      <c r="BL406" s="100"/>
      <c r="BM406" s="100"/>
      <c r="BN406" s="100"/>
      <c r="BO406" s="100"/>
      <c r="BP406" s="100"/>
      <c r="BQ406" s="100"/>
      <c r="BR406" s="100"/>
      <c r="BS406" s="100"/>
      <c r="BT406" s="100"/>
      <c r="BU406" s="100"/>
      <c r="BV406" s="100"/>
      <c r="BW406" s="100"/>
      <c r="BX406" s="100"/>
      <c r="BY406" s="100"/>
      <c r="BZ406" s="100"/>
      <c r="CA406" s="100"/>
      <c r="CB406" s="100"/>
      <c r="CC406" s="100"/>
      <c r="CD406" s="100"/>
      <c r="CE406" s="100"/>
      <c r="CF406" s="100"/>
      <c r="CG406" s="100"/>
      <c r="CH406" s="100"/>
      <c r="CI406" s="100"/>
      <c r="CJ406" s="100"/>
      <c r="CK406" s="100"/>
      <c r="CL406" s="100"/>
      <c r="CM406" s="100"/>
      <c r="CN406" s="100"/>
      <c r="CO406" s="100"/>
      <c r="CP406" s="100"/>
      <c r="CQ406" s="100"/>
      <c r="CR406" s="100"/>
      <c r="CS406" s="100"/>
      <c r="CT406" s="100"/>
      <c r="CU406" s="100"/>
      <c r="CV406" s="100"/>
      <c r="CW406" s="100"/>
      <c r="CX406" s="100"/>
      <c r="CY406" s="100"/>
      <c r="CZ406" s="100"/>
      <c r="DA406" s="100"/>
      <c r="DB406" s="100"/>
      <c r="DC406" s="100"/>
      <c r="DD406" s="100"/>
      <c r="DE406" s="100"/>
      <c r="DF406" s="100"/>
      <c r="DG406" s="100"/>
      <c r="DH406" s="100"/>
      <c r="DI406" s="100"/>
      <c r="DJ406" s="100"/>
      <c r="DK406" s="100"/>
      <c r="DL406" s="100"/>
      <c r="DM406" s="100"/>
      <c r="DN406" s="100"/>
      <c r="DO406" s="100"/>
      <c r="DP406" s="100"/>
      <c r="DQ406" s="100"/>
      <c r="DR406" s="100"/>
      <c r="DS406" s="100"/>
      <c r="DT406" s="100"/>
      <c r="DU406" s="100"/>
      <c r="DV406" s="100"/>
      <c r="DW406" s="100"/>
      <c r="DX406" s="100"/>
      <c r="DY406" s="100"/>
      <c r="DZ406" s="100"/>
      <c r="EA406" s="100"/>
      <c r="EB406" s="100"/>
      <c r="EC406" s="100"/>
      <c r="ED406" s="100"/>
      <c r="EE406" s="100"/>
    </row>
    <row r="407" spans="3:135" ht="15.75" hidden="1">
      <c r="C407" s="452" t="str">
        <f>CONCATENATE("PREVIOUS FORMS   ",TEXT('Adv. Filter'!$A$15,"( up to  DD-MMM-YY )"))</f>
        <v>PREVIOUS FORMS   ( up to  01-Jan-17 )</v>
      </c>
      <c r="D407" s="452"/>
      <c r="E407" s="452"/>
      <c r="F407" s="452"/>
      <c r="G407" s="452"/>
      <c r="H407" s="452"/>
      <c r="I407" s="452"/>
      <c r="J407" s="452"/>
      <c r="K407" s="452"/>
      <c r="L407" s="452"/>
      <c r="M407" s="452"/>
      <c r="N407" s="452"/>
      <c r="O407" s="452"/>
      <c r="P407" s="452"/>
      <c r="Q407" s="452"/>
      <c r="R407" s="452"/>
      <c r="S407" s="452"/>
      <c r="T407" s="452"/>
      <c r="U407" s="452"/>
      <c r="V407" s="452"/>
      <c r="W407" s="452"/>
      <c r="X407" s="452"/>
      <c r="Y407" s="452"/>
      <c r="Z407" s="452"/>
      <c r="AA407" s="452"/>
      <c r="AB407" s="452"/>
      <c r="AC407" s="452"/>
      <c r="AD407" s="452"/>
      <c r="AE407" s="452"/>
      <c r="AF407" s="452"/>
      <c r="AG407" s="452"/>
      <c r="AH407" s="452"/>
      <c r="AI407" s="452"/>
      <c r="AJ407" s="452"/>
      <c r="AK407" s="452"/>
      <c r="AL407" s="452"/>
      <c r="AM407" s="452"/>
      <c r="AN407" s="452"/>
      <c r="AO407" s="452"/>
      <c r="AP407" s="452"/>
      <c r="AQ407" s="452"/>
      <c r="AR407" s="452"/>
      <c r="AS407" s="452"/>
      <c r="AT407" s="452"/>
      <c r="AU407" s="452"/>
      <c r="AV407" s="452"/>
      <c r="AW407" s="452"/>
      <c r="AX407" s="452"/>
      <c r="AY407" s="452"/>
      <c r="AZ407" s="452"/>
      <c r="BA407" s="452"/>
      <c r="BB407" s="452"/>
      <c r="BC407" s="452"/>
      <c r="BD407" s="452"/>
      <c r="BE407" s="452"/>
      <c r="BF407" s="452"/>
      <c r="BG407" s="452"/>
      <c r="BH407" s="452"/>
      <c r="BI407" s="452"/>
      <c r="BJ407" s="452"/>
      <c r="BK407" s="452"/>
      <c r="BL407" s="452"/>
      <c r="BM407" s="452"/>
      <c r="BN407" s="452"/>
      <c r="BO407" s="452"/>
      <c r="BP407" s="452"/>
      <c r="BQ407" s="452"/>
      <c r="BR407" s="452"/>
      <c r="BS407" s="452"/>
      <c r="BT407" s="452"/>
      <c r="BU407" s="452"/>
      <c r="BV407" s="452"/>
      <c r="BW407" s="452"/>
      <c r="BX407" s="452"/>
      <c r="BY407" s="452"/>
      <c r="BZ407" s="452"/>
      <c r="CA407" s="452"/>
      <c r="CB407" s="452"/>
      <c r="CC407" s="452"/>
      <c r="CD407" s="452"/>
      <c r="CE407" s="452"/>
      <c r="CF407" s="452"/>
      <c r="CG407" s="452"/>
      <c r="CH407" s="452"/>
      <c r="CI407" s="452"/>
      <c r="CJ407" s="452"/>
      <c r="CK407" s="452"/>
      <c r="CL407" s="452"/>
      <c r="CM407" s="452"/>
      <c r="CN407" s="452"/>
      <c r="CO407" s="452"/>
      <c r="CP407" s="452"/>
      <c r="CQ407" s="452"/>
      <c r="CR407" s="452"/>
      <c r="CS407" s="452"/>
      <c r="CT407" s="452"/>
      <c r="CU407" s="452"/>
      <c r="CV407" s="452"/>
      <c r="CW407" s="452"/>
      <c r="CX407" s="452"/>
      <c r="CY407" s="452"/>
      <c r="CZ407" s="452"/>
      <c r="DA407" s="452"/>
      <c r="DB407" s="452"/>
      <c r="DC407" s="452"/>
      <c r="DD407" s="452"/>
      <c r="DE407" s="452"/>
      <c r="DF407" s="452"/>
      <c r="DG407" s="452"/>
      <c r="DH407" s="452"/>
      <c r="DI407" s="452"/>
      <c r="DJ407" s="452"/>
      <c r="DK407" s="452"/>
      <c r="DL407" s="452"/>
      <c r="DM407" s="452"/>
      <c r="DN407" s="452"/>
      <c r="DO407" s="452"/>
      <c r="DP407" s="452"/>
      <c r="DQ407" s="452"/>
      <c r="DR407" s="452"/>
      <c r="DS407" s="452"/>
      <c r="DT407" s="452"/>
      <c r="DU407" s="452"/>
      <c r="DV407" s="452"/>
      <c r="DW407" s="452"/>
      <c r="DX407" s="452"/>
      <c r="DY407" s="452"/>
      <c r="DZ407" s="452"/>
      <c r="EA407" s="452"/>
      <c r="EB407" s="452"/>
      <c r="EC407" s="452"/>
      <c r="ED407" s="452"/>
      <c r="EE407" s="452"/>
    </row>
    <row r="408" spans="3:135" hidden="1">
      <c r="C408" s="478" t="s">
        <v>513</v>
      </c>
      <c r="D408" s="478"/>
      <c r="E408" s="478"/>
      <c r="F408" s="478"/>
      <c r="G408" s="478"/>
      <c r="H408" s="478"/>
      <c r="I408" s="478"/>
      <c r="J408" s="478"/>
      <c r="K408" s="478"/>
      <c r="L408" s="478"/>
      <c r="M408" s="478"/>
      <c r="N408" s="478"/>
      <c r="O408" s="209" t="s">
        <v>117</v>
      </c>
      <c r="P408" s="209"/>
      <c r="Q408" s="209"/>
      <c r="R408" s="209"/>
      <c r="S408" s="209"/>
      <c r="T408" s="209"/>
      <c r="U408" s="209"/>
      <c r="V408" s="100"/>
      <c r="W408" s="231" t="s">
        <v>511</v>
      </c>
      <c r="X408" s="232"/>
      <c r="Y408" s="232"/>
      <c r="Z408" s="232"/>
      <c r="AA408" s="232"/>
      <c r="AB408" s="232"/>
      <c r="AC408" s="232"/>
      <c r="AD408" s="232"/>
      <c r="AE408" s="232"/>
      <c r="AF408" s="232"/>
      <c r="AG408" s="232"/>
      <c r="AH408" s="232"/>
      <c r="AI408" s="232"/>
      <c r="AJ408" s="232"/>
      <c r="AK408" s="232"/>
      <c r="AL408" s="232"/>
      <c r="AM408" s="232"/>
      <c r="AN408" s="232"/>
      <c r="AO408" s="232"/>
      <c r="AP408" s="232"/>
      <c r="AQ408" s="232"/>
      <c r="AR408" s="232"/>
      <c r="AS408" s="232"/>
      <c r="AT408" s="232"/>
      <c r="AU408" s="232"/>
      <c r="AV408" s="232"/>
      <c r="AW408" s="232"/>
      <c r="AX408" s="232"/>
      <c r="AY408" s="232"/>
      <c r="AZ408" s="232"/>
      <c r="BA408" s="232"/>
      <c r="BB408" s="232"/>
      <c r="BC408" s="232"/>
      <c r="BD408" s="232"/>
      <c r="BE408" s="232"/>
      <c r="BF408" s="232"/>
      <c r="BG408" s="232"/>
      <c r="BH408" s="232"/>
      <c r="BI408" s="232"/>
      <c r="BJ408" s="232"/>
      <c r="BK408" s="232"/>
      <c r="BL408" s="232"/>
      <c r="BM408" s="232"/>
      <c r="BN408" s="232"/>
      <c r="BO408" s="232"/>
      <c r="BP408" s="232"/>
      <c r="BQ408" s="232"/>
      <c r="BR408" s="232"/>
      <c r="BS408" s="233"/>
      <c r="BT408" s="100"/>
      <c r="BU408" s="231" t="s">
        <v>571</v>
      </c>
      <c r="BV408" s="232"/>
      <c r="BW408" s="232"/>
      <c r="BX408" s="232"/>
      <c r="BY408" s="232"/>
      <c r="BZ408" s="232"/>
      <c r="CA408" s="232"/>
      <c r="CB408" s="232"/>
      <c r="CC408" s="232"/>
      <c r="CD408" s="232"/>
      <c r="CE408" s="232"/>
      <c r="CF408" s="232"/>
      <c r="CG408" s="232"/>
      <c r="CH408" s="232"/>
      <c r="CI408" s="232"/>
      <c r="CJ408" s="232"/>
      <c r="CK408" s="232"/>
      <c r="CL408" s="232"/>
      <c r="CM408" s="232"/>
      <c r="CN408" s="232"/>
      <c r="CO408" s="232"/>
      <c r="CP408" s="232"/>
      <c r="CQ408" s="232"/>
      <c r="CR408" s="232"/>
      <c r="CS408" s="232"/>
      <c r="CT408" s="232"/>
      <c r="CU408" s="232"/>
      <c r="CV408" s="232"/>
      <c r="CW408" s="232"/>
      <c r="CX408" s="232"/>
      <c r="CY408" s="232"/>
      <c r="CZ408" s="232"/>
      <c r="DA408" s="232"/>
      <c r="DB408" s="232"/>
      <c r="DC408" s="232"/>
      <c r="DD408" s="232"/>
      <c r="DE408" s="232"/>
      <c r="DF408" s="232"/>
      <c r="DG408" s="232"/>
      <c r="DH408" s="232"/>
      <c r="DI408" s="232"/>
      <c r="DJ408" s="232"/>
      <c r="DK408" s="232"/>
      <c r="DL408" s="232"/>
      <c r="DM408" s="232"/>
      <c r="DN408" s="232"/>
      <c r="DO408" s="232"/>
      <c r="DP408" s="232"/>
      <c r="DQ408" s="232"/>
      <c r="DR408" s="232"/>
      <c r="DS408" s="232"/>
      <c r="DT408" s="232"/>
      <c r="DU408" s="232"/>
      <c r="DV408" s="232"/>
      <c r="DW408" s="232"/>
      <c r="DX408" s="232"/>
      <c r="DY408" s="232"/>
      <c r="DZ408" s="232"/>
      <c r="EA408" s="232"/>
      <c r="EB408" s="232"/>
      <c r="EC408" s="232"/>
      <c r="ED408" s="232"/>
      <c r="EE408" s="233"/>
    </row>
    <row r="409" spans="3:135" hidden="1">
      <c r="C409" s="478"/>
      <c r="D409" s="478"/>
      <c r="E409" s="478"/>
      <c r="F409" s="478"/>
      <c r="G409" s="478"/>
      <c r="H409" s="478"/>
      <c r="I409" s="478"/>
      <c r="J409" s="478"/>
      <c r="K409" s="478"/>
      <c r="L409" s="478"/>
      <c r="M409" s="478"/>
      <c r="N409" s="478"/>
      <c r="O409" s="208" t="s">
        <v>569</v>
      </c>
      <c r="P409" s="208"/>
      <c r="Q409" s="208"/>
      <c r="R409" s="208"/>
      <c r="S409" s="208"/>
      <c r="T409" s="208"/>
      <c r="U409" s="208"/>
      <c r="V409" s="100"/>
      <c r="W409" s="208" t="s">
        <v>511</v>
      </c>
      <c r="X409" s="208"/>
      <c r="Y409" s="208"/>
      <c r="Z409" s="208"/>
      <c r="AA409" s="208"/>
      <c r="AB409" s="208"/>
      <c r="AC409" s="208"/>
      <c r="AD409" s="245" t="s">
        <v>493</v>
      </c>
      <c r="AE409" s="208"/>
      <c r="AF409" s="208"/>
      <c r="AG409" s="208"/>
      <c r="AH409" s="208"/>
      <c r="AI409" s="208"/>
      <c r="AJ409" s="208"/>
      <c r="AK409" s="208" t="s">
        <v>485</v>
      </c>
      <c r="AL409" s="208"/>
      <c r="AM409" s="208"/>
      <c r="AN409" s="208"/>
      <c r="AO409" s="208"/>
      <c r="AP409" s="208"/>
      <c r="AQ409" s="208"/>
      <c r="AR409" s="208" t="s">
        <v>575</v>
      </c>
      <c r="AS409" s="208"/>
      <c r="AT409" s="208"/>
      <c r="AU409" s="208"/>
      <c r="AV409" s="208"/>
      <c r="AW409" s="208"/>
      <c r="AX409" s="208"/>
      <c r="AY409" s="208" t="s">
        <v>568</v>
      </c>
      <c r="AZ409" s="208"/>
      <c r="BA409" s="208"/>
      <c r="BB409" s="208"/>
      <c r="BC409" s="208"/>
      <c r="BD409" s="208"/>
      <c r="BE409" s="208"/>
      <c r="BF409" s="208" t="s">
        <v>492</v>
      </c>
      <c r="BG409" s="208"/>
      <c r="BH409" s="208"/>
      <c r="BI409" s="208"/>
      <c r="BJ409" s="208"/>
      <c r="BK409" s="208"/>
      <c r="BL409" s="208"/>
      <c r="BM409" s="208" t="s">
        <v>567</v>
      </c>
      <c r="BN409" s="208"/>
      <c r="BO409" s="208"/>
      <c r="BP409" s="208"/>
      <c r="BQ409" s="208"/>
      <c r="BR409" s="208"/>
      <c r="BS409" s="208"/>
      <c r="BT409" s="100"/>
      <c r="BU409" s="208" t="s">
        <v>570</v>
      </c>
      <c r="BV409" s="208"/>
      <c r="BW409" s="208"/>
      <c r="BX409" s="208"/>
      <c r="BY409" s="208"/>
      <c r="BZ409" s="208"/>
      <c r="CA409" s="208"/>
      <c r="CB409" s="208" t="s">
        <v>559</v>
      </c>
      <c r="CC409" s="208"/>
      <c r="CD409" s="208"/>
      <c r="CE409" s="208"/>
      <c r="CF409" s="208"/>
      <c r="CG409" s="208"/>
      <c r="CH409" s="208"/>
      <c r="CI409" s="208" t="s">
        <v>560</v>
      </c>
      <c r="CJ409" s="208"/>
      <c r="CK409" s="208"/>
      <c r="CL409" s="208"/>
      <c r="CM409" s="208"/>
      <c r="CN409" s="208"/>
      <c r="CO409" s="208"/>
      <c r="CP409" s="208" t="s">
        <v>561</v>
      </c>
      <c r="CQ409" s="208"/>
      <c r="CR409" s="208"/>
      <c r="CS409" s="208"/>
      <c r="CT409" s="208"/>
      <c r="CU409" s="208"/>
      <c r="CV409" s="208"/>
      <c r="CW409" s="208" t="s">
        <v>562</v>
      </c>
      <c r="CX409" s="208"/>
      <c r="CY409" s="208"/>
      <c r="CZ409" s="208"/>
      <c r="DA409" s="208"/>
      <c r="DB409" s="208"/>
      <c r="DC409" s="208"/>
      <c r="DD409" s="208" t="s">
        <v>563</v>
      </c>
      <c r="DE409" s="208"/>
      <c r="DF409" s="208"/>
      <c r="DG409" s="208"/>
      <c r="DH409" s="208"/>
      <c r="DI409" s="208"/>
      <c r="DJ409" s="208"/>
      <c r="DK409" s="208" t="s">
        <v>564</v>
      </c>
      <c r="DL409" s="208"/>
      <c r="DM409" s="208"/>
      <c r="DN409" s="208"/>
      <c r="DO409" s="208"/>
      <c r="DP409" s="208"/>
      <c r="DQ409" s="208"/>
      <c r="DR409" s="208" t="s">
        <v>565</v>
      </c>
      <c r="DS409" s="208"/>
      <c r="DT409" s="208"/>
      <c r="DU409" s="208"/>
      <c r="DV409" s="208"/>
      <c r="DW409" s="208"/>
      <c r="DX409" s="208"/>
      <c r="DY409" s="208" t="s">
        <v>566</v>
      </c>
      <c r="DZ409" s="208"/>
      <c r="EA409" s="208"/>
      <c r="EB409" s="208"/>
      <c r="EC409" s="208"/>
      <c r="ED409" s="208"/>
      <c r="EE409" s="208"/>
    </row>
    <row r="410" spans="3:135" hidden="1">
      <c r="C410" s="248" t="s">
        <v>26</v>
      </c>
      <c r="D410" s="249"/>
      <c r="E410" s="249"/>
      <c r="F410" s="249"/>
      <c r="G410" s="249"/>
      <c r="H410" s="249"/>
      <c r="I410" s="249"/>
      <c r="J410" s="249"/>
      <c r="K410" s="249"/>
      <c r="L410" s="249"/>
      <c r="M410" s="249"/>
      <c r="N410" s="249"/>
      <c r="O410" s="237">
        <f>COUNTIFS('Form Details'!$D:$D,"&lt;"&amp;'Adv. Filter'!$A$15,'Form Details'!$N:$N,"Kiran",'Form Details'!$J:$J,$C410)</f>
        <v>0</v>
      </c>
      <c r="P410" s="238"/>
      <c r="Q410" s="238"/>
      <c r="R410" s="238"/>
      <c r="S410" s="238"/>
      <c r="T410" s="238"/>
      <c r="U410" s="239"/>
      <c r="V410" s="100"/>
      <c r="W410" s="237">
        <f>COUNTIFS('Form Details'!$D:$D,"&lt;"&amp;'Adv. Filter'!$A$15,'Form Details'!$N:$N,"Kiran",'Form Details'!$J:$J,$C410,'Form Details'!$AA:$AA,"Yes")</f>
        <v>0</v>
      </c>
      <c r="X410" s="238"/>
      <c r="Y410" s="238"/>
      <c r="Z410" s="238"/>
      <c r="AA410" s="238"/>
      <c r="AB410" s="238"/>
      <c r="AC410" s="239"/>
      <c r="AD410" s="237">
        <f>COUNTIFS('Form Details'!$D:$D,"&lt;"&amp;'Adv. Filter'!$A$15,'Form Details'!$N:$N,"Kiran",'Form Details'!$J:$J,$C410,'Form Details'!$W:$W,"Paid",'Form Details'!$S:$S,'Adv. Filter'!$A$14,'Form Details'!$S:$S,'Adv. Filter'!$B$14)</f>
        <v>0</v>
      </c>
      <c r="AE410" s="238"/>
      <c r="AF410" s="238"/>
      <c r="AG410" s="238"/>
      <c r="AH410" s="238"/>
      <c r="AI410" s="238"/>
      <c r="AJ410" s="239"/>
      <c r="AK410" s="237">
        <f>COUNTIFS('Form Details'!$D:$D,"&lt;"&amp;'Adv. Filter'!$A$15,'Form Details'!$N:$N,"Kiran",'Form Details'!$J:$J,$C410,'Form Details'!$W:$W,"Due")</f>
        <v>0</v>
      </c>
      <c r="AL410" s="238"/>
      <c r="AM410" s="238"/>
      <c r="AN410" s="238"/>
      <c r="AO410" s="238"/>
      <c r="AP410" s="238"/>
      <c r="AQ410" s="239"/>
      <c r="AR410" s="234">
        <f>COUNTIFS('Form Details'!$D:$D,"&lt;"&amp;'Adv. Filter'!$A$15,'Form Details'!$N:$N,"Kiran",'Form Details'!$J:$J,$C410,'Form Details'!$W:$W,"No Fee")</f>
        <v>0</v>
      </c>
      <c r="AS410" s="235"/>
      <c r="AT410" s="235"/>
      <c r="AU410" s="235"/>
      <c r="AV410" s="235"/>
      <c r="AW410" s="235"/>
      <c r="AX410" s="236"/>
      <c r="AY410" s="234">
        <f>COUNTIFS('Form Details'!$D:$D,"&lt;"&amp;'Adv. Filter'!$A$15,'Form Details'!$N:$N,"Kiran",'Form Details'!$J:$J,$C410,'Form Details'!$W:$W,"Paid/Reject")</f>
        <v>0</v>
      </c>
      <c r="AZ410" s="235"/>
      <c r="BA410" s="235"/>
      <c r="BB410" s="235"/>
      <c r="BC410" s="235"/>
      <c r="BD410" s="235"/>
      <c r="BE410" s="236"/>
      <c r="BF410" s="234">
        <f>COUNTIFS('Form Details'!$D:$D,"&lt;"&amp;'Adv. Filter'!$A$15,'Form Details'!$N:$N,"Kiran",'Form Details'!$J:$J,$C410,'Form Details'!$W:$W,"Staff")</f>
        <v>0</v>
      </c>
      <c r="BG410" s="235"/>
      <c r="BH410" s="235"/>
      <c r="BI410" s="235"/>
      <c r="BJ410" s="235"/>
      <c r="BK410" s="235"/>
      <c r="BL410" s="236"/>
      <c r="BM410" s="234">
        <f>COUNTIFS('Form Details'!$D:$D,"&lt;"&amp;'Adv. Filter'!$A$15,'Form Details'!$N:$N,"Kiran",'Form Details'!$J:$J,$C410,'Form Details'!$W:$W,"File In Office")</f>
        <v>0</v>
      </c>
      <c r="BN410" s="235"/>
      <c r="BO410" s="235"/>
      <c r="BP410" s="235"/>
      <c r="BQ410" s="235"/>
      <c r="BR410" s="235"/>
      <c r="BS410" s="236"/>
      <c r="BT410" s="100"/>
      <c r="BU410" s="234">
        <f>COUNTIFS('Form Details'!$D:$D,"&lt;"&amp;'Adv. Filter'!$A$15,'Form Details'!$N:$N,"Kiran",'Form Details'!$J:$J,$C410,'Form Details'!$AA:$AA,"No")</f>
        <v>0</v>
      </c>
      <c r="BV410" s="235"/>
      <c r="BW410" s="235"/>
      <c r="BX410" s="235"/>
      <c r="BY410" s="235"/>
      <c r="BZ410" s="235"/>
      <c r="CA410" s="236"/>
      <c r="CB410" s="234">
        <f>COUNTIFS('Form Details'!$D:$D,"&lt;"&amp;'Adv. Filter'!$A$15,'Form Details'!$N:$N,"Kiran",'Form Details'!$J:$J,$C410,'Form Details'!$W:$W,"Adv/Paid")</f>
        <v>0</v>
      </c>
      <c r="CC410" s="235"/>
      <c r="CD410" s="235"/>
      <c r="CE410" s="235"/>
      <c r="CF410" s="235"/>
      <c r="CG410" s="235"/>
      <c r="CH410" s="236"/>
      <c r="CI410" s="234">
        <f>COUNTIFS('Form Details'!$D:$D,"&lt;"&amp;'Adv. Filter'!$A$15,'Form Details'!$N:$N,"Kiran",'Form Details'!$J:$J,$C410,'Form Details'!$W:$W,"Adv/Paid/Reject")</f>
        <v>0</v>
      </c>
      <c r="CJ410" s="235"/>
      <c r="CK410" s="235"/>
      <c r="CL410" s="235"/>
      <c r="CM410" s="235"/>
      <c r="CN410" s="235"/>
      <c r="CO410" s="236"/>
      <c r="CP410" s="234">
        <f>COUNTIFS('Form Details'!$D:$D,"&lt;"&amp;'Adv. Filter'!$A$15,'Form Details'!$N:$N,"Kiran",'Form Details'!$J:$J,$C410,'Form Details'!$W:$W,"Reject")</f>
        <v>0</v>
      </c>
      <c r="CQ410" s="235"/>
      <c r="CR410" s="235"/>
      <c r="CS410" s="235"/>
      <c r="CT410" s="235"/>
      <c r="CU410" s="235"/>
      <c r="CV410" s="236"/>
      <c r="CW410" s="234">
        <f>COUNTIFS('Form Details'!$D:$D,"&lt;"&amp;'Adv. Filter'!$A$15,'Form Details'!$N:$N,"Kiran",'Form Details'!$J:$J,$C410,'Form Details'!$W:$W,"Adv/Paid/Pending")</f>
        <v>0</v>
      </c>
      <c r="CX410" s="235"/>
      <c r="CY410" s="235"/>
      <c r="CZ410" s="235"/>
      <c r="DA410" s="235"/>
      <c r="DB410" s="235"/>
      <c r="DC410" s="236"/>
      <c r="DD410" s="234">
        <f>COUNTIFS('Form Details'!$D:$D,"&lt;"&amp;'Adv. Filter'!$A$15,'Form Details'!$N:$N,"Kiran",'Form Details'!$J:$J,$C410,'Form Details'!$W:$W,"Pending")</f>
        <v>0</v>
      </c>
      <c r="DE410" s="235"/>
      <c r="DF410" s="235"/>
      <c r="DG410" s="235"/>
      <c r="DH410" s="235"/>
      <c r="DI410" s="235"/>
      <c r="DJ410" s="236"/>
      <c r="DK410" s="234">
        <f>COUNTIFS('Form Details'!$D:$D,"&lt;"&amp;'Adv. Filter'!$A$15,'Form Details'!$N:$N,"Kiran",'Form Details'!$J:$J,$C410,'Form Details'!$W:$W,"Adv/Paid/NoStatus")</f>
        <v>0</v>
      </c>
      <c r="DL410" s="235"/>
      <c r="DM410" s="235"/>
      <c r="DN410" s="235"/>
      <c r="DO410" s="235"/>
      <c r="DP410" s="235"/>
      <c r="DQ410" s="236"/>
      <c r="DR410" s="234">
        <f>COUNTIFS('Form Details'!$D:$D,"&lt;"&amp;'Adv. Filter'!$A$15,'Form Details'!$N:$N,"Kiran",'Form Details'!$J:$J,$C410,'Form Details'!$W:$W,"No Status")</f>
        <v>0</v>
      </c>
      <c r="DS410" s="235"/>
      <c r="DT410" s="235"/>
      <c r="DU410" s="235"/>
      <c r="DV410" s="235"/>
      <c r="DW410" s="235"/>
      <c r="DX410" s="236"/>
      <c r="DY410" s="234">
        <f>SUM(COUNTIFS('Form Details'!$D:$D,"&lt;"&amp;'Adv. Filter'!$A$15,'Form Details'!$N:$N,"Kiran",'Form Details'!$J:$J,$C410,'Form Details'!$W:$W,{"Wrong Entry ","Double Entry"}))</f>
        <v>0</v>
      </c>
      <c r="DZ410" s="235"/>
      <c r="EA410" s="235"/>
      <c r="EB410" s="235"/>
      <c r="EC410" s="235"/>
      <c r="ED410" s="235"/>
      <c r="EE410" s="236"/>
    </row>
    <row r="411" spans="3:135" hidden="1">
      <c r="C411" s="248" t="s">
        <v>38</v>
      </c>
      <c r="D411" s="249"/>
      <c r="E411" s="249"/>
      <c r="F411" s="249"/>
      <c r="G411" s="249"/>
      <c r="H411" s="249"/>
      <c r="I411" s="249"/>
      <c r="J411" s="249"/>
      <c r="K411" s="249"/>
      <c r="L411" s="249"/>
      <c r="M411" s="249"/>
      <c r="N411" s="249"/>
      <c r="O411" s="237">
        <f>COUNTIFS('Form Details'!$D:$D,"&lt;"&amp;'Adv. Filter'!$A$15,'Form Details'!$N:$N,"Kiran",'Form Details'!$J:$J,$C411)</f>
        <v>0</v>
      </c>
      <c r="P411" s="238"/>
      <c r="Q411" s="238"/>
      <c r="R411" s="238"/>
      <c r="S411" s="238"/>
      <c r="T411" s="238"/>
      <c r="U411" s="239"/>
      <c r="V411" s="100"/>
      <c r="W411" s="237">
        <f>COUNTIFS('Form Details'!$D:$D,"&lt;"&amp;'Adv. Filter'!$A$15,'Form Details'!$N:$N,"Kiran",'Form Details'!$J:$J,$C411,'Form Details'!$AA:$AA,"Yes")</f>
        <v>0</v>
      </c>
      <c r="X411" s="238"/>
      <c r="Y411" s="238"/>
      <c r="Z411" s="238"/>
      <c r="AA411" s="238"/>
      <c r="AB411" s="238"/>
      <c r="AC411" s="239"/>
      <c r="AD411" s="237">
        <f>COUNTIFS('Form Details'!$D:$D,"&lt;"&amp;'Adv. Filter'!$A$15,'Form Details'!$N:$N,"Kiran",'Form Details'!$J:$J,$C411,'Form Details'!$W:$W,"Paid",'Form Details'!$S:$S,'Adv. Filter'!$A$14,'Form Details'!$S:$S,'Adv. Filter'!$B$14)</f>
        <v>0</v>
      </c>
      <c r="AE411" s="238"/>
      <c r="AF411" s="238"/>
      <c r="AG411" s="238"/>
      <c r="AH411" s="238"/>
      <c r="AI411" s="238"/>
      <c r="AJ411" s="239"/>
      <c r="AK411" s="237">
        <f>COUNTIFS('Form Details'!$D:$D,"&lt;"&amp;'Adv. Filter'!$A$15,'Form Details'!$N:$N,"Kiran",'Form Details'!$J:$J,$C411,'Form Details'!$W:$W,"Due")</f>
        <v>0</v>
      </c>
      <c r="AL411" s="238"/>
      <c r="AM411" s="238"/>
      <c r="AN411" s="238"/>
      <c r="AO411" s="238"/>
      <c r="AP411" s="238"/>
      <c r="AQ411" s="239"/>
      <c r="AR411" s="237">
        <f>COUNTIFS('Form Details'!$D:$D,"&lt;"&amp;'Adv. Filter'!$A$15,'Form Details'!$N:$N,"Kiran",'Form Details'!$J:$J,$C411,'Form Details'!$W:$W,"No Fee")</f>
        <v>0</v>
      </c>
      <c r="AS411" s="238"/>
      <c r="AT411" s="238"/>
      <c r="AU411" s="238"/>
      <c r="AV411" s="238"/>
      <c r="AW411" s="238"/>
      <c r="AX411" s="239"/>
      <c r="AY411" s="237">
        <f>COUNTIFS('Form Details'!$D:$D,"&lt;"&amp;'Adv. Filter'!$A$15,'Form Details'!$N:$N,"Kiran",'Form Details'!$J:$J,$C411,'Form Details'!$W:$W,"Paid/Reject")</f>
        <v>0</v>
      </c>
      <c r="AZ411" s="238"/>
      <c r="BA411" s="238"/>
      <c r="BB411" s="238"/>
      <c r="BC411" s="238"/>
      <c r="BD411" s="238"/>
      <c r="BE411" s="239"/>
      <c r="BF411" s="237">
        <f>COUNTIFS('Form Details'!$D:$D,"&lt;"&amp;'Adv. Filter'!$A$15,'Form Details'!$N:$N,"Kiran",'Form Details'!$J:$J,$C411,'Form Details'!$W:$W,"Staff")</f>
        <v>0</v>
      </c>
      <c r="BG411" s="238"/>
      <c r="BH411" s="238"/>
      <c r="BI411" s="238"/>
      <c r="BJ411" s="238"/>
      <c r="BK411" s="238"/>
      <c r="BL411" s="239"/>
      <c r="BM411" s="237">
        <f>COUNTIFS('Form Details'!$D:$D,"&lt;"&amp;'Adv. Filter'!$A$15,'Form Details'!$N:$N,"Kiran",'Form Details'!$J:$J,$C411,'Form Details'!$W:$W,"File In Office")</f>
        <v>0</v>
      </c>
      <c r="BN411" s="238"/>
      <c r="BO411" s="238"/>
      <c r="BP411" s="238"/>
      <c r="BQ411" s="238"/>
      <c r="BR411" s="238"/>
      <c r="BS411" s="239"/>
      <c r="BT411" s="100"/>
      <c r="BU411" s="237">
        <f>COUNTIFS('Form Details'!$D:$D,"&lt;"&amp;'Adv. Filter'!$A$15,'Form Details'!$N:$N,"Kiran",'Form Details'!$J:$J,$C411,'Form Details'!$AA:$AA,"No")</f>
        <v>0</v>
      </c>
      <c r="BV411" s="238"/>
      <c r="BW411" s="238"/>
      <c r="BX411" s="238"/>
      <c r="BY411" s="238"/>
      <c r="BZ411" s="238"/>
      <c r="CA411" s="239"/>
      <c r="CB411" s="237">
        <f>COUNTIFS('Form Details'!$D:$D,"&lt;"&amp;'Adv. Filter'!$A$15,'Form Details'!$N:$N,"Kiran",'Form Details'!$J:$J,$C411,'Form Details'!$W:$W,"Adv/Paid")</f>
        <v>0</v>
      </c>
      <c r="CC411" s="238"/>
      <c r="CD411" s="238"/>
      <c r="CE411" s="238"/>
      <c r="CF411" s="238"/>
      <c r="CG411" s="238"/>
      <c r="CH411" s="239"/>
      <c r="CI411" s="237">
        <f>COUNTIFS('Form Details'!$D:$D,"&lt;"&amp;'Adv. Filter'!$A$15,'Form Details'!$N:$N,"Kiran",'Form Details'!$J:$J,$C411,'Form Details'!$W:$W,"Adv/Paid/Reject")</f>
        <v>0</v>
      </c>
      <c r="CJ411" s="238"/>
      <c r="CK411" s="238"/>
      <c r="CL411" s="238"/>
      <c r="CM411" s="238"/>
      <c r="CN411" s="238"/>
      <c r="CO411" s="239"/>
      <c r="CP411" s="237">
        <f>COUNTIFS('Form Details'!$D:$D,"&lt;"&amp;'Adv. Filter'!$A$15,'Form Details'!$N:$N,"Kiran",'Form Details'!$J:$J,$C411,'Form Details'!$W:$W,"Reject")</f>
        <v>0</v>
      </c>
      <c r="CQ411" s="238"/>
      <c r="CR411" s="238"/>
      <c r="CS411" s="238"/>
      <c r="CT411" s="238"/>
      <c r="CU411" s="238"/>
      <c r="CV411" s="239"/>
      <c r="CW411" s="237">
        <f>COUNTIFS('Form Details'!$D:$D,"&lt;"&amp;'Adv. Filter'!$A$15,'Form Details'!$N:$N,"Kiran",'Form Details'!$J:$J,$C411,'Form Details'!$W:$W,"Adv/Paid/Pending")</f>
        <v>0</v>
      </c>
      <c r="CX411" s="238"/>
      <c r="CY411" s="238"/>
      <c r="CZ411" s="238"/>
      <c r="DA411" s="238"/>
      <c r="DB411" s="238"/>
      <c r="DC411" s="239"/>
      <c r="DD411" s="237">
        <f>COUNTIFS('Form Details'!$D:$D,"&lt;"&amp;'Adv. Filter'!$A$15,'Form Details'!$N:$N,"Kiran",'Form Details'!$J:$J,$C411,'Form Details'!$W:$W,"Pending")</f>
        <v>0</v>
      </c>
      <c r="DE411" s="238"/>
      <c r="DF411" s="238"/>
      <c r="DG411" s="238"/>
      <c r="DH411" s="238"/>
      <c r="DI411" s="238"/>
      <c r="DJ411" s="239"/>
      <c r="DK411" s="237">
        <f>COUNTIFS('Form Details'!$D:$D,"&lt;"&amp;'Adv. Filter'!$A$15,'Form Details'!$N:$N,"Kiran",'Form Details'!$J:$J,$C411,'Form Details'!$W:$W,"Adv/Paid/NoStatus")</f>
        <v>0</v>
      </c>
      <c r="DL411" s="238"/>
      <c r="DM411" s="238"/>
      <c r="DN411" s="238"/>
      <c r="DO411" s="238"/>
      <c r="DP411" s="238"/>
      <c r="DQ411" s="239"/>
      <c r="DR411" s="237">
        <f>COUNTIFS('Form Details'!$D:$D,"&lt;"&amp;'Adv. Filter'!$A$15,'Form Details'!$N:$N,"Kiran",'Form Details'!$J:$J,$C411,'Form Details'!$W:$W,"No Status")</f>
        <v>0</v>
      </c>
      <c r="DS411" s="238"/>
      <c r="DT411" s="238"/>
      <c r="DU411" s="238"/>
      <c r="DV411" s="238"/>
      <c r="DW411" s="238"/>
      <c r="DX411" s="239"/>
      <c r="DY411" s="237">
        <f>SUM(COUNTIFS('Form Details'!$D:$D,"&lt;"&amp;'Adv. Filter'!$A$15,'Form Details'!$N:$N,"Kiran",'Form Details'!$J:$J,$C411,'Form Details'!$W:$W,{"Wrong Entry ","Double Entry"}))</f>
        <v>0</v>
      </c>
      <c r="DZ411" s="238"/>
      <c r="EA411" s="238"/>
      <c r="EB411" s="238"/>
      <c r="EC411" s="238"/>
      <c r="ED411" s="238"/>
      <c r="EE411" s="239"/>
    </row>
    <row r="412" spans="3:135" hidden="1">
      <c r="C412" s="248" t="s">
        <v>49</v>
      </c>
      <c r="D412" s="249"/>
      <c r="E412" s="249"/>
      <c r="F412" s="249"/>
      <c r="G412" s="249"/>
      <c r="H412" s="249"/>
      <c r="I412" s="249"/>
      <c r="J412" s="249"/>
      <c r="K412" s="249"/>
      <c r="L412" s="249"/>
      <c r="M412" s="249"/>
      <c r="N412" s="249"/>
      <c r="O412" s="237">
        <f>COUNTIFS('Form Details'!$D:$D,"&lt;"&amp;'Adv. Filter'!$A$15,'Form Details'!$N:$N,"Kiran",'Form Details'!$J:$J,$C412)</f>
        <v>0</v>
      </c>
      <c r="P412" s="238"/>
      <c r="Q412" s="238"/>
      <c r="R412" s="238"/>
      <c r="S412" s="238"/>
      <c r="T412" s="238"/>
      <c r="U412" s="239"/>
      <c r="V412" s="100"/>
      <c r="W412" s="237">
        <f>COUNTIFS('Form Details'!$D:$D,"&lt;"&amp;'Adv. Filter'!$A$15,'Form Details'!$N:$N,"Kiran",'Form Details'!$J:$J,$C412,'Form Details'!$AA:$AA,"Yes")</f>
        <v>0</v>
      </c>
      <c r="X412" s="238"/>
      <c r="Y412" s="238"/>
      <c r="Z412" s="238"/>
      <c r="AA412" s="238"/>
      <c r="AB412" s="238"/>
      <c r="AC412" s="239"/>
      <c r="AD412" s="237">
        <f>COUNTIFS('Form Details'!$D:$D,"&lt;"&amp;'Adv. Filter'!$A$15,'Form Details'!$N:$N,"Kiran",'Form Details'!$J:$J,$C412,'Form Details'!$W:$W,"Paid",'Form Details'!$S:$S,'Adv. Filter'!$A$14,'Form Details'!$S:$S,'Adv. Filter'!$B$14)</f>
        <v>0</v>
      </c>
      <c r="AE412" s="238"/>
      <c r="AF412" s="238"/>
      <c r="AG412" s="238"/>
      <c r="AH412" s="238"/>
      <c r="AI412" s="238"/>
      <c r="AJ412" s="239"/>
      <c r="AK412" s="237">
        <f>COUNTIFS('Form Details'!$D:$D,"&lt;"&amp;'Adv. Filter'!$A$15,'Form Details'!$N:$N,"Kiran",'Form Details'!$J:$J,$C412,'Form Details'!$W:$W,"Due")</f>
        <v>0</v>
      </c>
      <c r="AL412" s="238"/>
      <c r="AM412" s="238"/>
      <c r="AN412" s="238"/>
      <c r="AO412" s="238"/>
      <c r="AP412" s="238"/>
      <c r="AQ412" s="239"/>
      <c r="AR412" s="237">
        <f>COUNTIFS('Form Details'!$D:$D,"&lt;"&amp;'Adv. Filter'!$A$15,'Form Details'!$N:$N,"Kiran",'Form Details'!$J:$J,$C412,'Form Details'!$W:$W,"No Fee")</f>
        <v>0</v>
      </c>
      <c r="AS412" s="238"/>
      <c r="AT412" s="238"/>
      <c r="AU412" s="238"/>
      <c r="AV412" s="238"/>
      <c r="AW412" s="238"/>
      <c r="AX412" s="239"/>
      <c r="AY412" s="237">
        <f>COUNTIFS('Form Details'!$D:$D,"&lt;"&amp;'Adv. Filter'!$A$15,'Form Details'!$N:$N,"Kiran",'Form Details'!$J:$J,$C412,'Form Details'!$W:$W,"Paid/Reject")</f>
        <v>0</v>
      </c>
      <c r="AZ412" s="238"/>
      <c r="BA412" s="238"/>
      <c r="BB412" s="238"/>
      <c r="BC412" s="238"/>
      <c r="BD412" s="238"/>
      <c r="BE412" s="239"/>
      <c r="BF412" s="237">
        <f>COUNTIFS('Form Details'!$D:$D,"&lt;"&amp;'Adv. Filter'!$A$15,'Form Details'!$N:$N,"Kiran",'Form Details'!$J:$J,$C412,'Form Details'!$W:$W,"Staff")</f>
        <v>0</v>
      </c>
      <c r="BG412" s="238"/>
      <c r="BH412" s="238"/>
      <c r="BI412" s="238"/>
      <c r="BJ412" s="238"/>
      <c r="BK412" s="238"/>
      <c r="BL412" s="239"/>
      <c r="BM412" s="237">
        <f>COUNTIFS('Form Details'!$D:$D,"&lt;"&amp;'Adv. Filter'!$A$15,'Form Details'!$N:$N,"Kiran",'Form Details'!$J:$J,$C412,'Form Details'!$W:$W,"File In Office")</f>
        <v>0</v>
      </c>
      <c r="BN412" s="238"/>
      <c r="BO412" s="238"/>
      <c r="BP412" s="238"/>
      <c r="BQ412" s="238"/>
      <c r="BR412" s="238"/>
      <c r="BS412" s="239"/>
      <c r="BT412" s="100"/>
      <c r="BU412" s="237">
        <f>COUNTIFS('Form Details'!$D:$D,"&lt;"&amp;'Adv. Filter'!$A$15,'Form Details'!$N:$N,"Kiran",'Form Details'!$J:$J,$C412,'Form Details'!$AA:$AA,"No")</f>
        <v>0</v>
      </c>
      <c r="BV412" s="238"/>
      <c r="BW412" s="238"/>
      <c r="BX412" s="238"/>
      <c r="BY412" s="238"/>
      <c r="BZ412" s="238"/>
      <c r="CA412" s="239"/>
      <c r="CB412" s="237">
        <f>COUNTIFS('Form Details'!$D:$D,"&lt;"&amp;'Adv. Filter'!$A$15,'Form Details'!$N:$N,"Kiran",'Form Details'!$J:$J,$C412,'Form Details'!$W:$W,"Adv/Paid")</f>
        <v>0</v>
      </c>
      <c r="CC412" s="238"/>
      <c r="CD412" s="238"/>
      <c r="CE412" s="238"/>
      <c r="CF412" s="238"/>
      <c r="CG412" s="238"/>
      <c r="CH412" s="239"/>
      <c r="CI412" s="237">
        <f>COUNTIFS('Form Details'!$D:$D,"&lt;"&amp;'Adv. Filter'!$A$15,'Form Details'!$N:$N,"Kiran",'Form Details'!$J:$J,$C412,'Form Details'!$W:$W,"Adv/Paid/Reject")</f>
        <v>0</v>
      </c>
      <c r="CJ412" s="238"/>
      <c r="CK412" s="238"/>
      <c r="CL412" s="238"/>
      <c r="CM412" s="238"/>
      <c r="CN412" s="238"/>
      <c r="CO412" s="239"/>
      <c r="CP412" s="237">
        <f>COUNTIFS('Form Details'!$D:$D,"&lt;"&amp;'Adv. Filter'!$A$15,'Form Details'!$N:$N,"Kiran",'Form Details'!$J:$J,$C412,'Form Details'!$W:$W,"Reject")</f>
        <v>0</v>
      </c>
      <c r="CQ412" s="238"/>
      <c r="CR412" s="238"/>
      <c r="CS412" s="238"/>
      <c r="CT412" s="238"/>
      <c r="CU412" s="238"/>
      <c r="CV412" s="239"/>
      <c r="CW412" s="237">
        <f>COUNTIFS('Form Details'!$D:$D,"&lt;"&amp;'Adv. Filter'!$A$15,'Form Details'!$N:$N,"Kiran",'Form Details'!$J:$J,$C412,'Form Details'!$W:$W,"Adv/Paid/Pending")</f>
        <v>0</v>
      </c>
      <c r="CX412" s="238"/>
      <c r="CY412" s="238"/>
      <c r="CZ412" s="238"/>
      <c r="DA412" s="238"/>
      <c r="DB412" s="238"/>
      <c r="DC412" s="239"/>
      <c r="DD412" s="237">
        <f>COUNTIFS('Form Details'!$D:$D,"&lt;"&amp;'Adv. Filter'!$A$15,'Form Details'!$N:$N,"Kiran",'Form Details'!$J:$J,$C412,'Form Details'!$W:$W,"Pending")</f>
        <v>0</v>
      </c>
      <c r="DE412" s="238"/>
      <c r="DF412" s="238"/>
      <c r="DG412" s="238"/>
      <c r="DH412" s="238"/>
      <c r="DI412" s="238"/>
      <c r="DJ412" s="239"/>
      <c r="DK412" s="237">
        <f>COUNTIFS('Form Details'!$D:$D,"&lt;"&amp;'Adv. Filter'!$A$15,'Form Details'!$N:$N,"Kiran",'Form Details'!$J:$J,$C412,'Form Details'!$W:$W,"Adv/Paid/NoStatus")</f>
        <v>0</v>
      </c>
      <c r="DL412" s="238"/>
      <c r="DM412" s="238"/>
      <c r="DN412" s="238"/>
      <c r="DO412" s="238"/>
      <c r="DP412" s="238"/>
      <c r="DQ412" s="239"/>
      <c r="DR412" s="237">
        <f>COUNTIFS('Form Details'!$D:$D,"&lt;"&amp;'Adv. Filter'!$A$15,'Form Details'!$N:$N,"Kiran",'Form Details'!$J:$J,$C412,'Form Details'!$W:$W,"No Status")</f>
        <v>0</v>
      </c>
      <c r="DS412" s="238"/>
      <c r="DT412" s="238"/>
      <c r="DU412" s="238"/>
      <c r="DV412" s="238"/>
      <c r="DW412" s="238"/>
      <c r="DX412" s="239"/>
      <c r="DY412" s="237">
        <f>SUM(COUNTIFS('Form Details'!$D:$D,"&lt;"&amp;'Adv. Filter'!$A$15,'Form Details'!$N:$N,"Kiran",'Form Details'!$J:$J,$C412,'Form Details'!$W:$W,{"Wrong Entry ","Double Entry"}))</f>
        <v>0</v>
      </c>
      <c r="DZ412" s="238"/>
      <c r="EA412" s="238"/>
      <c r="EB412" s="238"/>
      <c r="EC412" s="238"/>
      <c r="ED412" s="238"/>
      <c r="EE412" s="239"/>
    </row>
    <row r="413" spans="3:135" hidden="1">
      <c r="C413" s="248" t="s">
        <v>59</v>
      </c>
      <c r="D413" s="249"/>
      <c r="E413" s="249"/>
      <c r="F413" s="249"/>
      <c r="G413" s="249"/>
      <c r="H413" s="249"/>
      <c r="I413" s="249"/>
      <c r="J413" s="249"/>
      <c r="K413" s="249"/>
      <c r="L413" s="249"/>
      <c r="M413" s="249"/>
      <c r="N413" s="249"/>
      <c r="O413" s="237">
        <f>COUNTIFS('Form Details'!$D:$D,"&lt;"&amp;'Adv. Filter'!$A$15,'Form Details'!$N:$N,"Kiran",'Form Details'!$J:$J,$C413)</f>
        <v>0</v>
      </c>
      <c r="P413" s="238"/>
      <c r="Q413" s="238"/>
      <c r="R413" s="238"/>
      <c r="S413" s="238"/>
      <c r="T413" s="238"/>
      <c r="U413" s="239"/>
      <c r="V413" s="100"/>
      <c r="W413" s="237">
        <f>COUNTIFS('Form Details'!$D:$D,"&lt;"&amp;'Adv. Filter'!$A$15,'Form Details'!$N:$N,"Kiran",'Form Details'!$J:$J,$C413,'Form Details'!$AA:$AA,"Yes")</f>
        <v>0</v>
      </c>
      <c r="X413" s="238"/>
      <c r="Y413" s="238"/>
      <c r="Z413" s="238"/>
      <c r="AA413" s="238"/>
      <c r="AB413" s="238"/>
      <c r="AC413" s="239"/>
      <c r="AD413" s="237">
        <f>COUNTIFS('Form Details'!$D:$D,"&lt;"&amp;'Adv. Filter'!$A$15,'Form Details'!$N:$N,"Kiran",'Form Details'!$J:$J,$C413,'Form Details'!$W:$W,"Paid",'Form Details'!$S:$S,'Adv. Filter'!$A$14,'Form Details'!$S:$S,'Adv. Filter'!$B$14)</f>
        <v>0</v>
      </c>
      <c r="AE413" s="238"/>
      <c r="AF413" s="238"/>
      <c r="AG413" s="238"/>
      <c r="AH413" s="238"/>
      <c r="AI413" s="238"/>
      <c r="AJ413" s="239"/>
      <c r="AK413" s="237">
        <f>COUNTIFS('Form Details'!$D:$D,"&lt;"&amp;'Adv. Filter'!$A$15,'Form Details'!$N:$N,"Kiran",'Form Details'!$J:$J,$C413,'Form Details'!$W:$W,"Due")</f>
        <v>0</v>
      </c>
      <c r="AL413" s="238"/>
      <c r="AM413" s="238"/>
      <c r="AN413" s="238"/>
      <c r="AO413" s="238"/>
      <c r="AP413" s="238"/>
      <c r="AQ413" s="239"/>
      <c r="AR413" s="237">
        <f>COUNTIFS('Form Details'!$D:$D,"&lt;"&amp;'Adv. Filter'!$A$15,'Form Details'!$N:$N,"Kiran",'Form Details'!$J:$J,$C413,'Form Details'!$W:$W,"No Fee")</f>
        <v>0</v>
      </c>
      <c r="AS413" s="238"/>
      <c r="AT413" s="238"/>
      <c r="AU413" s="238"/>
      <c r="AV413" s="238"/>
      <c r="AW413" s="238"/>
      <c r="AX413" s="239"/>
      <c r="AY413" s="237">
        <f>COUNTIFS('Form Details'!$D:$D,"&lt;"&amp;'Adv. Filter'!$A$15,'Form Details'!$N:$N,"Kiran",'Form Details'!$J:$J,$C413,'Form Details'!$W:$W,"Paid/Reject")</f>
        <v>0</v>
      </c>
      <c r="AZ413" s="238"/>
      <c r="BA413" s="238"/>
      <c r="BB413" s="238"/>
      <c r="BC413" s="238"/>
      <c r="BD413" s="238"/>
      <c r="BE413" s="239"/>
      <c r="BF413" s="237">
        <f>COUNTIFS('Form Details'!$D:$D,"&lt;"&amp;'Adv. Filter'!$A$15,'Form Details'!$N:$N,"Kiran",'Form Details'!$J:$J,$C413,'Form Details'!$W:$W,"Staff")</f>
        <v>0</v>
      </c>
      <c r="BG413" s="238"/>
      <c r="BH413" s="238"/>
      <c r="BI413" s="238"/>
      <c r="BJ413" s="238"/>
      <c r="BK413" s="238"/>
      <c r="BL413" s="239"/>
      <c r="BM413" s="237">
        <f>COUNTIFS('Form Details'!$D:$D,"&lt;"&amp;'Adv. Filter'!$A$15,'Form Details'!$N:$N,"Kiran",'Form Details'!$J:$J,$C413,'Form Details'!$W:$W,"File In Office")</f>
        <v>0</v>
      </c>
      <c r="BN413" s="238"/>
      <c r="BO413" s="238"/>
      <c r="BP413" s="238"/>
      <c r="BQ413" s="238"/>
      <c r="BR413" s="238"/>
      <c r="BS413" s="239"/>
      <c r="BT413" s="100"/>
      <c r="BU413" s="237">
        <f>COUNTIFS('Form Details'!$D:$D,"&lt;"&amp;'Adv. Filter'!$A$15,'Form Details'!$N:$N,"Kiran",'Form Details'!$J:$J,$C413,'Form Details'!$AA:$AA,"No")</f>
        <v>0</v>
      </c>
      <c r="BV413" s="238"/>
      <c r="BW413" s="238"/>
      <c r="BX413" s="238"/>
      <c r="BY413" s="238"/>
      <c r="BZ413" s="238"/>
      <c r="CA413" s="239"/>
      <c r="CB413" s="237">
        <f>COUNTIFS('Form Details'!$D:$D,"&lt;"&amp;'Adv. Filter'!$A$15,'Form Details'!$N:$N,"Kiran",'Form Details'!$J:$J,$C413,'Form Details'!$W:$W,"Adv/Paid")</f>
        <v>0</v>
      </c>
      <c r="CC413" s="238"/>
      <c r="CD413" s="238"/>
      <c r="CE413" s="238"/>
      <c r="CF413" s="238"/>
      <c r="CG413" s="238"/>
      <c r="CH413" s="239"/>
      <c r="CI413" s="237">
        <f>COUNTIFS('Form Details'!$D:$D,"&lt;"&amp;'Adv. Filter'!$A$15,'Form Details'!$N:$N,"Kiran",'Form Details'!$J:$J,$C413,'Form Details'!$W:$W,"Adv/Paid/Reject")</f>
        <v>0</v>
      </c>
      <c r="CJ413" s="238"/>
      <c r="CK413" s="238"/>
      <c r="CL413" s="238"/>
      <c r="CM413" s="238"/>
      <c r="CN413" s="238"/>
      <c r="CO413" s="239"/>
      <c r="CP413" s="237">
        <f>COUNTIFS('Form Details'!$D:$D,"&lt;"&amp;'Adv. Filter'!$A$15,'Form Details'!$N:$N,"Kiran",'Form Details'!$J:$J,$C413,'Form Details'!$W:$W,"Reject")</f>
        <v>0</v>
      </c>
      <c r="CQ413" s="238"/>
      <c r="CR413" s="238"/>
      <c r="CS413" s="238"/>
      <c r="CT413" s="238"/>
      <c r="CU413" s="238"/>
      <c r="CV413" s="239"/>
      <c r="CW413" s="237">
        <f>COUNTIFS('Form Details'!$D:$D,"&lt;"&amp;'Adv. Filter'!$A$15,'Form Details'!$N:$N,"Kiran",'Form Details'!$J:$J,$C413,'Form Details'!$W:$W,"Adv/Paid/Pending")</f>
        <v>0</v>
      </c>
      <c r="CX413" s="238"/>
      <c r="CY413" s="238"/>
      <c r="CZ413" s="238"/>
      <c r="DA413" s="238"/>
      <c r="DB413" s="238"/>
      <c r="DC413" s="239"/>
      <c r="DD413" s="237">
        <f>COUNTIFS('Form Details'!$D:$D,"&lt;"&amp;'Adv. Filter'!$A$15,'Form Details'!$N:$N,"Kiran",'Form Details'!$J:$J,$C413,'Form Details'!$W:$W,"Pending")</f>
        <v>0</v>
      </c>
      <c r="DE413" s="238"/>
      <c r="DF413" s="238"/>
      <c r="DG413" s="238"/>
      <c r="DH413" s="238"/>
      <c r="DI413" s="238"/>
      <c r="DJ413" s="239"/>
      <c r="DK413" s="237">
        <f>COUNTIFS('Form Details'!$D:$D,"&lt;"&amp;'Adv. Filter'!$A$15,'Form Details'!$N:$N,"Kiran",'Form Details'!$J:$J,$C413,'Form Details'!$W:$W,"Adv/Paid/NoStatus")</f>
        <v>0</v>
      </c>
      <c r="DL413" s="238"/>
      <c r="DM413" s="238"/>
      <c r="DN413" s="238"/>
      <c r="DO413" s="238"/>
      <c r="DP413" s="238"/>
      <c r="DQ413" s="239"/>
      <c r="DR413" s="237">
        <f>COUNTIFS('Form Details'!$D:$D,"&lt;"&amp;'Adv. Filter'!$A$15,'Form Details'!$N:$N,"Kiran",'Form Details'!$J:$J,$C413,'Form Details'!$W:$W,"No Status")</f>
        <v>0</v>
      </c>
      <c r="DS413" s="238"/>
      <c r="DT413" s="238"/>
      <c r="DU413" s="238"/>
      <c r="DV413" s="238"/>
      <c r="DW413" s="238"/>
      <c r="DX413" s="239"/>
      <c r="DY413" s="237">
        <f>SUM(COUNTIFS('Form Details'!$D:$D,"&lt;"&amp;'Adv. Filter'!$A$15,'Form Details'!$N:$N,"Kiran",'Form Details'!$J:$J,$C413,'Form Details'!$W:$W,{"Wrong Entry ","Double Entry"}))</f>
        <v>0</v>
      </c>
      <c r="DZ413" s="238"/>
      <c r="EA413" s="238"/>
      <c r="EB413" s="238"/>
      <c r="EC413" s="238"/>
      <c r="ED413" s="238"/>
      <c r="EE413" s="239"/>
    </row>
    <row r="414" spans="3:135" hidden="1">
      <c r="C414" s="248" t="s">
        <v>70</v>
      </c>
      <c r="D414" s="249"/>
      <c r="E414" s="249"/>
      <c r="F414" s="249"/>
      <c r="G414" s="249"/>
      <c r="H414" s="249"/>
      <c r="I414" s="249"/>
      <c r="J414" s="249"/>
      <c r="K414" s="249"/>
      <c r="L414" s="249"/>
      <c r="M414" s="249"/>
      <c r="N414" s="249"/>
      <c r="O414" s="237">
        <f>COUNTIFS('Form Details'!$D:$D,"&lt;"&amp;'Adv. Filter'!$A$15,'Form Details'!$N:$N,"Kiran",'Form Details'!$J:$J,$C414)</f>
        <v>0</v>
      </c>
      <c r="P414" s="238"/>
      <c r="Q414" s="238"/>
      <c r="R414" s="238"/>
      <c r="S414" s="238"/>
      <c r="T414" s="238"/>
      <c r="U414" s="239"/>
      <c r="V414" s="100"/>
      <c r="W414" s="237">
        <f>COUNTIFS('Form Details'!$D:$D,"&lt;"&amp;'Adv. Filter'!$A$15,'Form Details'!$N:$N,"Kiran",'Form Details'!$J:$J,$C414,'Form Details'!$AA:$AA,"Yes")</f>
        <v>0</v>
      </c>
      <c r="X414" s="238"/>
      <c r="Y414" s="238"/>
      <c r="Z414" s="238"/>
      <c r="AA414" s="238"/>
      <c r="AB414" s="238"/>
      <c r="AC414" s="239"/>
      <c r="AD414" s="237">
        <f>COUNTIFS('Form Details'!$D:$D,"&lt;"&amp;'Adv. Filter'!$A$15,'Form Details'!$N:$N,"Kiran",'Form Details'!$J:$J,$C414,'Form Details'!$W:$W,"Paid",'Form Details'!$S:$S,'Adv. Filter'!$A$14,'Form Details'!$S:$S,'Adv. Filter'!$B$14)</f>
        <v>0</v>
      </c>
      <c r="AE414" s="238"/>
      <c r="AF414" s="238"/>
      <c r="AG414" s="238"/>
      <c r="AH414" s="238"/>
      <c r="AI414" s="238"/>
      <c r="AJ414" s="239"/>
      <c r="AK414" s="237">
        <f>COUNTIFS('Form Details'!$D:$D,"&lt;"&amp;'Adv. Filter'!$A$15,'Form Details'!$N:$N,"Kiran",'Form Details'!$J:$J,$C414,'Form Details'!$W:$W,"Due")</f>
        <v>0</v>
      </c>
      <c r="AL414" s="238"/>
      <c r="AM414" s="238"/>
      <c r="AN414" s="238"/>
      <c r="AO414" s="238"/>
      <c r="AP414" s="238"/>
      <c r="AQ414" s="239"/>
      <c r="AR414" s="237">
        <f>COUNTIFS('Form Details'!$D:$D,"&lt;"&amp;'Adv. Filter'!$A$15,'Form Details'!$N:$N,"Kiran",'Form Details'!$J:$J,$C414,'Form Details'!$W:$W,"No Fee")</f>
        <v>0</v>
      </c>
      <c r="AS414" s="238"/>
      <c r="AT414" s="238"/>
      <c r="AU414" s="238"/>
      <c r="AV414" s="238"/>
      <c r="AW414" s="238"/>
      <c r="AX414" s="239"/>
      <c r="AY414" s="237">
        <f>COUNTIFS('Form Details'!$D:$D,"&lt;"&amp;'Adv. Filter'!$A$15,'Form Details'!$N:$N,"Kiran",'Form Details'!$J:$J,$C414,'Form Details'!$W:$W,"Paid/Reject")</f>
        <v>0</v>
      </c>
      <c r="AZ414" s="238"/>
      <c r="BA414" s="238"/>
      <c r="BB414" s="238"/>
      <c r="BC414" s="238"/>
      <c r="BD414" s="238"/>
      <c r="BE414" s="239"/>
      <c r="BF414" s="237">
        <f>COUNTIFS('Form Details'!$D:$D,"&lt;"&amp;'Adv. Filter'!$A$15,'Form Details'!$N:$N,"Kiran",'Form Details'!$J:$J,$C414,'Form Details'!$W:$W,"Staff")</f>
        <v>0</v>
      </c>
      <c r="BG414" s="238"/>
      <c r="BH414" s="238"/>
      <c r="BI414" s="238"/>
      <c r="BJ414" s="238"/>
      <c r="BK414" s="238"/>
      <c r="BL414" s="239"/>
      <c r="BM414" s="237">
        <f>COUNTIFS('Form Details'!$D:$D,"&lt;"&amp;'Adv. Filter'!$A$15,'Form Details'!$N:$N,"Kiran",'Form Details'!$J:$J,$C414,'Form Details'!$W:$W,"File In Office")</f>
        <v>0</v>
      </c>
      <c r="BN414" s="238"/>
      <c r="BO414" s="238"/>
      <c r="BP414" s="238"/>
      <c r="BQ414" s="238"/>
      <c r="BR414" s="238"/>
      <c r="BS414" s="239"/>
      <c r="BT414" s="100"/>
      <c r="BU414" s="237">
        <f>COUNTIFS('Form Details'!$D:$D,"&lt;"&amp;'Adv. Filter'!$A$15,'Form Details'!$N:$N,"Kiran",'Form Details'!$J:$J,$C414,'Form Details'!$AA:$AA,"No")</f>
        <v>0</v>
      </c>
      <c r="BV414" s="238"/>
      <c r="BW414" s="238"/>
      <c r="BX414" s="238"/>
      <c r="BY414" s="238"/>
      <c r="BZ414" s="238"/>
      <c r="CA414" s="239"/>
      <c r="CB414" s="237">
        <f>COUNTIFS('Form Details'!$D:$D,"&lt;"&amp;'Adv. Filter'!$A$15,'Form Details'!$N:$N,"Kiran",'Form Details'!$J:$J,$C414,'Form Details'!$W:$W,"Adv/Paid")</f>
        <v>0</v>
      </c>
      <c r="CC414" s="238"/>
      <c r="CD414" s="238"/>
      <c r="CE414" s="238"/>
      <c r="CF414" s="238"/>
      <c r="CG414" s="238"/>
      <c r="CH414" s="239"/>
      <c r="CI414" s="237">
        <f>COUNTIFS('Form Details'!$D:$D,"&lt;"&amp;'Adv. Filter'!$A$15,'Form Details'!$N:$N,"Kiran",'Form Details'!$J:$J,$C414,'Form Details'!$W:$W,"Adv/Paid/Reject")</f>
        <v>0</v>
      </c>
      <c r="CJ414" s="238"/>
      <c r="CK414" s="238"/>
      <c r="CL414" s="238"/>
      <c r="CM414" s="238"/>
      <c r="CN414" s="238"/>
      <c r="CO414" s="239"/>
      <c r="CP414" s="237">
        <f>COUNTIFS('Form Details'!$D:$D,"&lt;"&amp;'Adv. Filter'!$A$15,'Form Details'!$N:$N,"Kiran",'Form Details'!$J:$J,$C414,'Form Details'!$W:$W,"Reject")</f>
        <v>0</v>
      </c>
      <c r="CQ414" s="238"/>
      <c r="CR414" s="238"/>
      <c r="CS414" s="238"/>
      <c r="CT414" s="238"/>
      <c r="CU414" s="238"/>
      <c r="CV414" s="239"/>
      <c r="CW414" s="237">
        <f>COUNTIFS('Form Details'!$D:$D,"&lt;"&amp;'Adv. Filter'!$A$15,'Form Details'!$N:$N,"Kiran",'Form Details'!$J:$J,$C414,'Form Details'!$W:$W,"Adv/Paid/Pending")</f>
        <v>0</v>
      </c>
      <c r="CX414" s="238"/>
      <c r="CY414" s="238"/>
      <c r="CZ414" s="238"/>
      <c r="DA414" s="238"/>
      <c r="DB414" s="238"/>
      <c r="DC414" s="239"/>
      <c r="DD414" s="237">
        <f>COUNTIFS('Form Details'!$D:$D,"&lt;"&amp;'Adv. Filter'!$A$15,'Form Details'!$N:$N,"Kiran",'Form Details'!$J:$J,$C414,'Form Details'!$W:$W,"Pending")</f>
        <v>0</v>
      </c>
      <c r="DE414" s="238"/>
      <c r="DF414" s="238"/>
      <c r="DG414" s="238"/>
      <c r="DH414" s="238"/>
      <c r="DI414" s="238"/>
      <c r="DJ414" s="239"/>
      <c r="DK414" s="237">
        <f>COUNTIFS('Form Details'!$D:$D,"&lt;"&amp;'Adv. Filter'!$A$15,'Form Details'!$N:$N,"Kiran",'Form Details'!$J:$J,$C414,'Form Details'!$W:$W,"Adv/Paid/NoStatus")</f>
        <v>0</v>
      </c>
      <c r="DL414" s="238"/>
      <c r="DM414" s="238"/>
      <c r="DN414" s="238"/>
      <c r="DO414" s="238"/>
      <c r="DP414" s="238"/>
      <c r="DQ414" s="239"/>
      <c r="DR414" s="237">
        <f>COUNTIFS('Form Details'!$D:$D,"&lt;"&amp;'Adv. Filter'!$A$15,'Form Details'!$N:$N,"Kiran",'Form Details'!$J:$J,$C414,'Form Details'!$W:$W,"No Status")</f>
        <v>0</v>
      </c>
      <c r="DS414" s="238"/>
      <c r="DT414" s="238"/>
      <c r="DU414" s="238"/>
      <c r="DV414" s="238"/>
      <c r="DW414" s="238"/>
      <c r="DX414" s="239"/>
      <c r="DY414" s="237">
        <f>SUM(COUNTIFS('Form Details'!$D:$D,"&lt;"&amp;'Adv. Filter'!$A$15,'Form Details'!$N:$N,"Kiran",'Form Details'!$J:$J,$C414,'Form Details'!$W:$W,{"Wrong Entry ","Double Entry"}))</f>
        <v>0</v>
      </c>
      <c r="DZ414" s="238"/>
      <c r="EA414" s="238"/>
      <c r="EB414" s="238"/>
      <c r="EC414" s="238"/>
      <c r="ED414" s="238"/>
      <c r="EE414" s="239"/>
    </row>
    <row r="415" spans="3:135" hidden="1">
      <c r="C415" s="248" t="s">
        <v>77</v>
      </c>
      <c r="D415" s="249"/>
      <c r="E415" s="249"/>
      <c r="F415" s="249"/>
      <c r="G415" s="249"/>
      <c r="H415" s="249"/>
      <c r="I415" s="249"/>
      <c r="J415" s="249"/>
      <c r="K415" s="249"/>
      <c r="L415" s="249"/>
      <c r="M415" s="249"/>
      <c r="N415" s="249"/>
      <c r="O415" s="237">
        <f>COUNTIFS('Form Details'!$D:$D,"&lt;"&amp;'Adv. Filter'!$A$15,'Form Details'!$N:$N,"Kiran",'Form Details'!$J:$J,$C415)</f>
        <v>1</v>
      </c>
      <c r="P415" s="238"/>
      <c r="Q415" s="238"/>
      <c r="R415" s="238"/>
      <c r="S415" s="238"/>
      <c r="T415" s="238"/>
      <c r="U415" s="239"/>
      <c r="V415" s="100"/>
      <c r="W415" s="237">
        <f>COUNTIFS('Form Details'!$D:$D,"&lt;"&amp;'Adv. Filter'!$A$15,'Form Details'!$N:$N,"Kiran",'Form Details'!$J:$J,$C415,'Form Details'!$AA:$AA,"Yes")</f>
        <v>1</v>
      </c>
      <c r="X415" s="238"/>
      <c r="Y415" s="238"/>
      <c r="Z415" s="238"/>
      <c r="AA415" s="238"/>
      <c r="AB415" s="238"/>
      <c r="AC415" s="239"/>
      <c r="AD415" s="237">
        <f>COUNTIFS('Form Details'!$D:$D,"&lt;"&amp;'Adv. Filter'!$A$15,'Form Details'!$N:$N,"Kiran",'Form Details'!$J:$J,$C415,'Form Details'!$W:$W,"Paid",'Form Details'!$S:$S,'Adv. Filter'!$A$14,'Form Details'!$S:$S,'Adv. Filter'!$B$14)</f>
        <v>1</v>
      </c>
      <c r="AE415" s="238"/>
      <c r="AF415" s="238"/>
      <c r="AG415" s="238"/>
      <c r="AH415" s="238"/>
      <c r="AI415" s="238"/>
      <c r="AJ415" s="239"/>
      <c r="AK415" s="237">
        <f>COUNTIFS('Form Details'!$D:$D,"&lt;"&amp;'Adv. Filter'!$A$15,'Form Details'!$N:$N,"Kiran",'Form Details'!$J:$J,$C415,'Form Details'!$W:$W,"Due")</f>
        <v>0</v>
      </c>
      <c r="AL415" s="238"/>
      <c r="AM415" s="238"/>
      <c r="AN415" s="238"/>
      <c r="AO415" s="238"/>
      <c r="AP415" s="238"/>
      <c r="AQ415" s="239"/>
      <c r="AR415" s="237">
        <f>COUNTIFS('Form Details'!$D:$D,"&lt;"&amp;'Adv. Filter'!$A$15,'Form Details'!$N:$N,"Kiran",'Form Details'!$J:$J,$C415,'Form Details'!$W:$W,"No Fee")</f>
        <v>0</v>
      </c>
      <c r="AS415" s="238"/>
      <c r="AT415" s="238"/>
      <c r="AU415" s="238"/>
      <c r="AV415" s="238"/>
      <c r="AW415" s="238"/>
      <c r="AX415" s="239"/>
      <c r="AY415" s="237">
        <f>COUNTIFS('Form Details'!$D:$D,"&lt;"&amp;'Adv. Filter'!$A$15,'Form Details'!$N:$N,"Kiran",'Form Details'!$J:$J,$C415,'Form Details'!$W:$W,"Paid/Reject")</f>
        <v>0</v>
      </c>
      <c r="AZ415" s="238"/>
      <c r="BA415" s="238"/>
      <c r="BB415" s="238"/>
      <c r="BC415" s="238"/>
      <c r="BD415" s="238"/>
      <c r="BE415" s="239"/>
      <c r="BF415" s="237">
        <f>COUNTIFS('Form Details'!$D:$D,"&lt;"&amp;'Adv. Filter'!$A$15,'Form Details'!$N:$N,"Kiran",'Form Details'!$J:$J,$C415,'Form Details'!$W:$W,"Staff")</f>
        <v>0</v>
      </c>
      <c r="BG415" s="238"/>
      <c r="BH415" s="238"/>
      <c r="BI415" s="238"/>
      <c r="BJ415" s="238"/>
      <c r="BK415" s="238"/>
      <c r="BL415" s="239"/>
      <c r="BM415" s="237">
        <f>COUNTIFS('Form Details'!$D:$D,"&lt;"&amp;'Adv. Filter'!$A$15,'Form Details'!$N:$N,"Kiran",'Form Details'!$J:$J,$C415,'Form Details'!$W:$W,"File In Office")</f>
        <v>0</v>
      </c>
      <c r="BN415" s="238"/>
      <c r="BO415" s="238"/>
      <c r="BP415" s="238"/>
      <c r="BQ415" s="238"/>
      <c r="BR415" s="238"/>
      <c r="BS415" s="239"/>
      <c r="BT415" s="100"/>
      <c r="BU415" s="237">
        <f>COUNTIFS('Form Details'!$D:$D,"&lt;"&amp;'Adv. Filter'!$A$15,'Form Details'!$N:$N,"Kiran",'Form Details'!$J:$J,$C415,'Form Details'!$AA:$AA,"No")</f>
        <v>0</v>
      </c>
      <c r="BV415" s="238"/>
      <c r="BW415" s="238"/>
      <c r="BX415" s="238"/>
      <c r="BY415" s="238"/>
      <c r="BZ415" s="238"/>
      <c r="CA415" s="239"/>
      <c r="CB415" s="237">
        <f>COUNTIFS('Form Details'!$D:$D,"&lt;"&amp;'Adv. Filter'!$A$15,'Form Details'!$N:$N,"Kiran",'Form Details'!$J:$J,$C415,'Form Details'!$W:$W,"Adv/Paid")</f>
        <v>0</v>
      </c>
      <c r="CC415" s="238"/>
      <c r="CD415" s="238"/>
      <c r="CE415" s="238"/>
      <c r="CF415" s="238"/>
      <c r="CG415" s="238"/>
      <c r="CH415" s="239"/>
      <c r="CI415" s="237">
        <f>COUNTIFS('Form Details'!$D:$D,"&lt;"&amp;'Adv. Filter'!$A$15,'Form Details'!$N:$N,"Kiran",'Form Details'!$J:$J,$C415,'Form Details'!$W:$W,"Adv/Paid/Reject")</f>
        <v>0</v>
      </c>
      <c r="CJ415" s="238"/>
      <c r="CK415" s="238"/>
      <c r="CL415" s="238"/>
      <c r="CM415" s="238"/>
      <c r="CN415" s="238"/>
      <c r="CO415" s="239"/>
      <c r="CP415" s="237">
        <f>COUNTIFS('Form Details'!$D:$D,"&lt;"&amp;'Adv. Filter'!$A$15,'Form Details'!$N:$N,"Kiran",'Form Details'!$J:$J,$C415,'Form Details'!$W:$W,"Reject")</f>
        <v>0</v>
      </c>
      <c r="CQ415" s="238"/>
      <c r="CR415" s="238"/>
      <c r="CS415" s="238"/>
      <c r="CT415" s="238"/>
      <c r="CU415" s="238"/>
      <c r="CV415" s="239"/>
      <c r="CW415" s="237">
        <f>COUNTIFS('Form Details'!$D:$D,"&lt;"&amp;'Adv. Filter'!$A$15,'Form Details'!$N:$N,"Kiran",'Form Details'!$J:$J,$C415,'Form Details'!$W:$W,"Adv/Paid/Pending")</f>
        <v>0</v>
      </c>
      <c r="CX415" s="238"/>
      <c r="CY415" s="238"/>
      <c r="CZ415" s="238"/>
      <c r="DA415" s="238"/>
      <c r="DB415" s="238"/>
      <c r="DC415" s="239"/>
      <c r="DD415" s="237">
        <f>COUNTIFS('Form Details'!$D:$D,"&lt;"&amp;'Adv. Filter'!$A$15,'Form Details'!$N:$N,"Kiran",'Form Details'!$J:$J,$C415,'Form Details'!$W:$W,"Pending")</f>
        <v>0</v>
      </c>
      <c r="DE415" s="238"/>
      <c r="DF415" s="238"/>
      <c r="DG415" s="238"/>
      <c r="DH415" s="238"/>
      <c r="DI415" s="238"/>
      <c r="DJ415" s="239"/>
      <c r="DK415" s="237">
        <f>COUNTIFS('Form Details'!$D:$D,"&lt;"&amp;'Adv. Filter'!$A$15,'Form Details'!$N:$N,"Kiran",'Form Details'!$J:$J,$C415,'Form Details'!$W:$W,"Adv/Paid/NoStatus")</f>
        <v>0</v>
      </c>
      <c r="DL415" s="238"/>
      <c r="DM415" s="238"/>
      <c r="DN415" s="238"/>
      <c r="DO415" s="238"/>
      <c r="DP415" s="238"/>
      <c r="DQ415" s="239"/>
      <c r="DR415" s="237">
        <f>COUNTIFS('Form Details'!$D:$D,"&lt;"&amp;'Adv. Filter'!$A$15,'Form Details'!$N:$N,"Kiran",'Form Details'!$J:$J,$C415,'Form Details'!$W:$W,"No Status")</f>
        <v>0</v>
      </c>
      <c r="DS415" s="238"/>
      <c r="DT415" s="238"/>
      <c r="DU415" s="238"/>
      <c r="DV415" s="238"/>
      <c r="DW415" s="238"/>
      <c r="DX415" s="239"/>
      <c r="DY415" s="237">
        <f>SUM(COUNTIFS('Form Details'!$D:$D,"&lt;"&amp;'Adv. Filter'!$A$15,'Form Details'!$N:$N,"Kiran",'Form Details'!$J:$J,$C415,'Form Details'!$W:$W,{"Wrong Entry ","Double Entry"}))</f>
        <v>0</v>
      </c>
      <c r="DZ415" s="238"/>
      <c r="EA415" s="238"/>
      <c r="EB415" s="238"/>
      <c r="EC415" s="238"/>
      <c r="ED415" s="238"/>
      <c r="EE415" s="239"/>
    </row>
    <row r="416" spans="3:135" hidden="1">
      <c r="C416" s="248" t="s">
        <v>138</v>
      </c>
      <c r="D416" s="249"/>
      <c r="E416" s="249"/>
      <c r="F416" s="249"/>
      <c r="G416" s="249"/>
      <c r="H416" s="249"/>
      <c r="I416" s="249"/>
      <c r="J416" s="249"/>
      <c r="K416" s="249"/>
      <c r="L416" s="249"/>
      <c r="M416" s="249"/>
      <c r="N416" s="249"/>
      <c r="O416" s="237">
        <f>COUNTIFS('Form Details'!$D:$D,"&lt;"&amp;'Adv. Filter'!$A$15,'Form Details'!$N:$N,"Kiran",'Form Details'!$J:$J,$C416)</f>
        <v>0</v>
      </c>
      <c r="P416" s="238"/>
      <c r="Q416" s="238"/>
      <c r="R416" s="238"/>
      <c r="S416" s="238"/>
      <c r="T416" s="238"/>
      <c r="U416" s="239"/>
      <c r="V416" s="100"/>
      <c r="W416" s="237">
        <f>COUNTIFS('Form Details'!$D:$D,"&lt;"&amp;'Adv. Filter'!$A$15,'Form Details'!$N:$N,"Kiran",'Form Details'!$J:$J,$C416,'Form Details'!$AA:$AA,"Yes")</f>
        <v>0</v>
      </c>
      <c r="X416" s="238"/>
      <c r="Y416" s="238"/>
      <c r="Z416" s="238"/>
      <c r="AA416" s="238"/>
      <c r="AB416" s="238"/>
      <c r="AC416" s="239"/>
      <c r="AD416" s="237">
        <f>COUNTIFS('Form Details'!$D:$D,"&lt;"&amp;'Adv. Filter'!$A$15,'Form Details'!$N:$N,"Kiran",'Form Details'!$J:$J,$C416,'Form Details'!$W:$W,"Paid",'Form Details'!$S:$S,'Adv. Filter'!$A$14,'Form Details'!$S:$S,'Adv. Filter'!$B$14)</f>
        <v>0</v>
      </c>
      <c r="AE416" s="238"/>
      <c r="AF416" s="238"/>
      <c r="AG416" s="238"/>
      <c r="AH416" s="238"/>
      <c r="AI416" s="238"/>
      <c r="AJ416" s="239"/>
      <c r="AK416" s="237">
        <f>COUNTIFS('Form Details'!$D:$D,"&lt;"&amp;'Adv. Filter'!$A$15,'Form Details'!$N:$N,"Kiran",'Form Details'!$J:$J,$C416,'Form Details'!$W:$W,"Due")</f>
        <v>0</v>
      </c>
      <c r="AL416" s="238"/>
      <c r="AM416" s="238"/>
      <c r="AN416" s="238"/>
      <c r="AO416" s="238"/>
      <c r="AP416" s="238"/>
      <c r="AQ416" s="239"/>
      <c r="AR416" s="237">
        <f>COUNTIFS('Form Details'!$D:$D,"&lt;"&amp;'Adv. Filter'!$A$15,'Form Details'!$N:$N,"Kiran",'Form Details'!$J:$J,$C416,'Form Details'!$W:$W,"No Fee")</f>
        <v>0</v>
      </c>
      <c r="AS416" s="238"/>
      <c r="AT416" s="238"/>
      <c r="AU416" s="238"/>
      <c r="AV416" s="238"/>
      <c r="AW416" s="238"/>
      <c r="AX416" s="239"/>
      <c r="AY416" s="237">
        <f>COUNTIFS('Form Details'!$D:$D,"&lt;"&amp;'Adv. Filter'!$A$15,'Form Details'!$N:$N,"Kiran",'Form Details'!$J:$J,$C416,'Form Details'!$W:$W,"Paid/Reject")</f>
        <v>0</v>
      </c>
      <c r="AZ416" s="238"/>
      <c r="BA416" s="238"/>
      <c r="BB416" s="238"/>
      <c r="BC416" s="238"/>
      <c r="BD416" s="238"/>
      <c r="BE416" s="239"/>
      <c r="BF416" s="237">
        <f>COUNTIFS('Form Details'!$D:$D,"&lt;"&amp;'Adv. Filter'!$A$15,'Form Details'!$N:$N,"Kiran",'Form Details'!$J:$J,$C416,'Form Details'!$W:$W,"Staff")</f>
        <v>0</v>
      </c>
      <c r="BG416" s="238"/>
      <c r="BH416" s="238"/>
      <c r="BI416" s="238"/>
      <c r="BJ416" s="238"/>
      <c r="BK416" s="238"/>
      <c r="BL416" s="239"/>
      <c r="BM416" s="237">
        <f>COUNTIFS('Form Details'!$D:$D,"&lt;"&amp;'Adv. Filter'!$A$15,'Form Details'!$N:$N,"Kiran",'Form Details'!$J:$J,$C416,'Form Details'!$W:$W,"File In Office")</f>
        <v>0</v>
      </c>
      <c r="BN416" s="238"/>
      <c r="BO416" s="238"/>
      <c r="BP416" s="238"/>
      <c r="BQ416" s="238"/>
      <c r="BR416" s="238"/>
      <c r="BS416" s="239"/>
      <c r="BT416" s="100"/>
      <c r="BU416" s="237">
        <f>COUNTIFS('Form Details'!$D:$D,"&lt;"&amp;'Adv. Filter'!$A$15,'Form Details'!$N:$N,"Kiran",'Form Details'!$J:$J,$C416,'Form Details'!$AA:$AA,"No")</f>
        <v>0</v>
      </c>
      <c r="BV416" s="238"/>
      <c r="BW416" s="238"/>
      <c r="BX416" s="238"/>
      <c r="BY416" s="238"/>
      <c r="BZ416" s="238"/>
      <c r="CA416" s="239"/>
      <c r="CB416" s="237">
        <f>COUNTIFS('Form Details'!$D:$D,"&lt;"&amp;'Adv. Filter'!$A$15,'Form Details'!$N:$N,"Kiran",'Form Details'!$J:$J,$C416,'Form Details'!$W:$W,"Adv/Paid")</f>
        <v>0</v>
      </c>
      <c r="CC416" s="238"/>
      <c r="CD416" s="238"/>
      <c r="CE416" s="238"/>
      <c r="CF416" s="238"/>
      <c r="CG416" s="238"/>
      <c r="CH416" s="239"/>
      <c r="CI416" s="237">
        <f>COUNTIFS('Form Details'!$D:$D,"&lt;"&amp;'Adv. Filter'!$A$15,'Form Details'!$N:$N,"Kiran",'Form Details'!$J:$J,$C416,'Form Details'!$W:$W,"Adv/Paid/Reject")</f>
        <v>0</v>
      </c>
      <c r="CJ416" s="238"/>
      <c r="CK416" s="238"/>
      <c r="CL416" s="238"/>
      <c r="CM416" s="238"/>
      <c r="CN416" s="238"/>
      <c r="CO416" s="239"/>
      <c r="CP416" s="237">
        <f>COUNTIFS('Form Details'!$D:$D,"&lt;"&amp;'Adv. Filter'!$A$15,'Form Details'!$N:$N,"Kiran",'Form Details'!$J:$J,$C416,'Form Details'!$W:$W,"Reject")</f>
        <v>0</v>
      </c>
      <c r="CQ416" s="238"/>
      <c r="CR416" s="238"/>
      <c r="CS416" s="238"/>
      <c r="CT416" s="238"/>
      <c r="CU416" s="238"/>
      <c r="CV416" s="239"/>
      <c r="CW416" s="237">
        <f>COUNTIFS('Form Details'!$D:$D,"&lt;"&amp;'Adv. Filter'!$A$15,'Form Details'!$N:$N,"Kiran",'Form Details'!$J:$J,$C416,'Form Details'!$W:$W,"Adv/Paid/Pending")</f>
        <v>0</v>
      </c>
      <c r="CX416" s="238"/>
      <c r="CY416" s="238"/>
      <c r="CZ416" s="238"/>
      <c r="DA416" s="238"/>
      <c r="DB416" s="238"/>
      <c r="DC416" s="239"/>
      <c r="DD416" s="237">
        <f>COUNTIFS('Form Details'!$D:$D,"&lt;"&amp;'Adv. Filter'!$A$15,'Form Details'!$N:$N,"Kiran",'Form Details'!$J:$J,$C416,'Form Details'!$W:$W,"Pending")</f>
        <v>0</v>
      </c>
      <c r="DE416" s="238"/>
      <c r="DF416" s="238"/>
      <c r="DG416" s="238"/>
      <c r="DH416" s="238"/>
      <c r="DI416" s="238"/>
      <c r="DJ416" s="239"/>
      <c r="DK416" s="237">
        <f>COUNTIFS('Form Details'!$D:$D,"&lt;"&amp;'Adv. Filter'!$A$15,'Form Details'!$N:$N,"Kiran",'Form Details'!$J:$J,$C416,'Form Details'!$W:$W,"Adv/Paid/NoStatus")</f>
        <v>0</v>
      </c>
      <c r="DL416" s="238"/>
      <c r="DM416" s="238"/>
      <c r="DN416" s="238"/>
      <c r="DO416" s="238"/>
      <c r="DP416" s="238"/>
      <c r="DQ416" s="239"/>
      <c r="DR416" s="237">
        <f>COUNTIFS('Form Details'!$D:$D,"&lt;"&amp;'Adv. Filter'!$A$15,'Form Details'!$N:$N,"Kiran",'Form Details'!$J:$J,$C416,'Form Details'!$W:$W,"No Status")</f>
        <v>0</v>
      </c>
      <c r="DS416" s="238"/>
      <c r="DT416" s="238"/>
      <c r="DU416" s="238"/>
      <c r="DV416" s="238"/>
      <c r="DW416" s="238"/>
      <c r="DX416" s="239"/>
      <c r="DY416" s="237">
        <f>SUM(COUNTIFS('Form Details'!$D:$D,"&lt;"&amp;'Adv. Filter'!$A$15,'Form Details'!$N:$N,"Kiran",'Form Details'!$J:$J,$C416,'Form Details'!$W:$W,{"Wrong Entry ","Double Entry"}))</f>
        <v>0</v>
      </c>
      <c r="DZ416" s="238"/>
      <c r="EA416" s="238"/>
      <c r="EB416" s="238"/>
      <c r="EC416" s="238"/>
      <c r="ED416" s="238"/>
      <c r="EE416" s="239"/>
    </row>
    <row r="417" spans="3:135" ht="15.75" hidden="1" thickBot="1">
      <c r="C417" s="248" t="s">
        <v>84</v>
      </c>
      <c r="D417" s="249"/>
      <c r="E417" s="249"/>
      <c r="F417" s="249"/>
      <c r="G417" s="249"/>
      <c r="H417" s="249"/>
      <c r="I417" s="249"/>
      <c r="J417" s="249"/>
      <c r="K417" s="249"/>
      <c r="L417" s="249"/>
      <c r="M417" s="249"/>
      <c r="N417" s="249"/>
      <c r="O417" s="237">
        <f>COUNTIFS('Form Details'!$D:$D,"&lt;"&amp;'Adv. Filter'!$A$15,'Form Details'!$N:$N,"Kiran",'Form Details'!$J:$J,$C417)</f>
        <v>51</v>
      </c>
      <c r="P417" s="238"/>
      <c r="Q417" s="238"/>
      <c r="R417" s="238"/>
      <c r="S417" s="238"/>
      <c r="T417" s="238"/>
      <c r="U417" s="239"/>
      <c r="V417" s="100"/>
      <c r="W417" s="237">
        <f>COUNTIFS('Form Details'!$D:$D,"&lt;"&amp;'Adv. Filter'!$A$15,'Form Details'!$N:$N,"Kiran",'Form Details'!$J:$J,$C417,'Form Details'!$AA:$AA,"Yes")</f>
        <v>50</v>
      </c>
      <c r="X417" s="238"/>
      <c r="Y417" s="238"/>
      <c r="Z417" s="238"/>
      <c r="AA417" s="238"/>
      <c r="AB417" s="238"/>
      <c r="AC417" s="239"/>
      <c r="AD417" s="237">
        <f>COUNTIFS('Form Details'!$D:$D,"&lt;"&amp;'Adv. Filter'!$A$15,'Form Details'!$N:$N,"Kiran",'Form Details'!$J:$J,$C417,'Form Details'!$W:$W,"Paid",'Form Details'!$S:$S,'Adv. Filter'!$A$14,'Form Details'!$S:$S,'Adv. Filter'!$B$14)</f>
        <v>13</v>
      </c>
      <c r="AE417" s="238"/>
      <c r="AF417" s="238"/>
      <c r="AG417" s="238"/>
      <c r="AH417" s="238"/>
      <c r="AI417" s="238"/>
      <c r="AJ417" s="239"/>
      <c r="AK417" s="237">
        <f>COUNTIFS('Form Details'!$D:$D,"&lt;"&amp;'Adv. Filter'!$A$15,'Form Details'!$N:$N,"Kiran",'Form Details'!$J:$J,$C417,'Form Details'!$W:$W,"Due")</f>
        <v>38</v>
      </c>
      <c r="AL417" s="238"/>
      <c r="AM417" s="238"/>
      <c r="AN417" s="238"/>
      <c r="AO417" s="238"/>
      <c r="AP417" s="238"/>
      <c r="AQ417" s="239"/>
      <c r="AR417" s="237">
        <f>COUNTIFS('Form Details'!$D:$D,"&lt;"&amp;'Adv. Filter'!$A$15,'Form Details'!$N:$N,"Kiran",'Form Details'!$J:$J,$C417,'Form Details'!$W:$W,"No Fee")</f>
        <v>0</v>
      </c>
      <c r="AS417" s="238"/>
      <c r="AT417" s="238"/>
      <c r="AU417" s="238"/>
      <c r="AV417" s="238"/>
      <c r="AW417" s="238"/>
      <c r="AX417" s="239"/>
      <c r="AY417" s="237">
        <f>COUNTIFS('Form Details'!$D:$D,"&lt;"&amp;'Adv. Filter'!$A$15,'Form Details'!$N:$N,"Kiran",'Form Details'!$J:$J,$C417,'Form Details'!$W:$W,"Paid/Reject")</f>
        <v>0</v>
      </c>
      <c r="AZ417" s="238"/>
      <c r="BA417" s="238"/>
      <c r="BB417" s="238"/>
      <c r="BC417" s="238"/>
      <c r="BD417" s="238"/>
      <c r="BE417" s="239"/>
      <c r="BF417" s="237">
        <f>COUNTIFS('Form Details'!$D:$D,"&lt;"&amp;'Adv. Filter'!$A$15,'Form Details'!$N:$N,"Kiran",'Form Details'!$J:$J,$C417,'Form Details'!$W:$W,"Staff")</f>
        <v>0</v>
      </c>
      <c r="BG417" s="238"/>
      <c r="BH417" s="238"/>
      <c r="BI417" s="238"/>
      <c r="BJ417" s="238"/>
      <c r="BK417" s="238"/>
      <c r="BL417" s="239"/>
      <c r="BM417" s="237">
        <f>COUNTIFS('Form Details'!$D:$D,"&lt;"&amp;'Adv. Filter'!$A$15,'Form Details'!$N:$N,"Kiran",'Form Details'!$J:$J,$C417,'Form Details'!$W:$W,"File In Office")</f>
        <v>0</v>
      </c>
      <c r="BN417" s="238"/>
      <c r="BO417" s="238"/>
      <c r="BP417" s="238"/>
      <c r="BQ417" s="238"/>
      <c r="BR417" s="238"/>
      <c r="BS417" s="239"/>
      <c r="BT417" s="100"/>
      <c r="BU417" s="237">
        <f>COUNTIFS('Form Details'!$D:$D,"&lt;"&amp;'Adv. Filter'!$A$15,'Form Details'!$N:$N,"Kiran",'Form Details'!$J:$J,$C417,'Form Details'!$AA:$AA,"No")</f>
        <v>1</v>
      </c>
      <c r="BV417" s="238"/>
      <c r="BW417" s="238"/>
      <c r="BX417" s="238"/>
      <c r="BY417" s="238"/>
      <c r="BZ417" s="238"/>
      <c r="CA417" s="239"/>
      <c r="CB417" s="237">
        <f>COUNTIFS('Form Details'!$D:$D,"&lt;"&amp;'Adv. Filter'!$A$15,'Form Details'!$N:$N,"Kiran",'Form Details'!$J:$J,$C417,'Form Details'!$W:$W,"Adv/Paid")</f>
        <v>0</v>
      </c>
      <c r="CC417" s="238"/>
      <c r="CD417" s="238"/>
      <c r="CE417" s="238"/>
      <c r="CF417" s="238"/>
      <c r="CG417" s="238"/>
      <c r="CH417" s="239"/>
      <c r="CI417" s="237">
        <f>COUNTIFS('Form Details'!$D:$D,"&lt;"&amp;'Adv. Filter'!$A$15,'Form Details'!$N:$N,"Kiran",'Form Details'!$J:$J,$C417,'Form Details'!$W:$W,"Adv/Paid/Reject")</f>
        <v>0</v>
      </c>
      <c r="CJ417" s="238"/>
      <c r="CK417" s="238"/>
      <c r="CL417" s="238"/>
      <c r="CM417" s="238"/>
      <c r="CN417" s="238"/>
      <c r="CO417" s="239"/>
      <c r="CP417" s="237">
        <f>COUNTIFS('Form Details'!$D:$D,"&lt;"&amp;'Adv. Filter'!$A$15,'Form Details'!$N:$N,"Kiran",'Form Details'!$J:$J,$C417,'Form Details'!$W:$W,"Reject")</f>
        <v>0</v>
      </c>
      <c r="CQ417" s="238"/>
      <c r="CR417" s="238"/>
      <c r="CS417" s="238"/>
      <c r="CT417" s="238"/>
      <c r="CU417" s="238"/>
      <c r="CV417" s="239"/>
      <c r="CW417" s="237">
        <f>COUNTIFS('Form Details'!$D:$D,"&lt;"&amp;'Adv. Filter'!$A$15,'Form Details'!$N:$N,"Kiran",'Form Details'!$J:$J,$C417,'Form Details'!$W:$W,"Adv/Paid/Pending")</f>
        <v>0</v>
      </c>
      <c r="CX417" s="238"/>
      <c r="CY417" s="238"/>
      <c r="CZ417" s="238"/>
      <c r="DA417" s="238"/>
      <c r="DB417" s="238"/>
      <c r="DC417" s="239"/>
      <c r="DD417" s="237">
        <f>COUNTIFS('Form Details'!$D:$D,"&lt;"&amp;'Adv. Filter'!$A$15,'Form Details'!$N:$N,"Kiran",'Form Details'!$J:$J,$C417,'Form Details'!$W:$W,"Pending")</f>
        <v>0</v>
      </c>
      <c r="DE417" s="238"/>
      <c r="DF417" s="238"/>
      <c r="DG417" s="238"/>
      <c r="DH417" s="238"/>
      <c r="DI417" s="238"/>
      <c r="DJ417" s="239"/>
      <c r="DK417" s="237">
        <f>COUNTIFS('Form Details'!$D:$D,"&lt;"&amp;'Adv. Filter'!$A$15,'Form Details'!$N:$N,"Kiran",'Form Details'!$J:$J,$C417,'Form Details'!$W:$W,"Adv/Paid/NoStatus")</f>
        <v>0</v>
      </c>
      <c r="DL417" s="238"/>
      <c r="DM417" s="238"/>
      <c r="DN417" s="238"/>
      <c r="DO417" s="238"/>
      <c r="DP417" s="238"/>
      <c r="DQ417" s="239"/>
      <c r="DR417" s="237">
        <f>COUNTIFS('Form Details'!$D:$D,"&lt;"&amp;'Adv. Filter'!$A$15,'Form Details'!$N:$N,"Kiran",'Form Details'!$J:$J,$C417,'Form Details'!$W:$W,"No Status")</f>
        <v>0</v>
      </c>
      <c r="DS417" s="238"/>
      <c r="DT417" s="238"/>
      <c r="DU417" s="238"/>
      <c r="DV417" s="238"/>
      <c r="DW417" s="238"/>
      <c r="DX417" s="239"/>
      <c r="DY417" s="237">
        <f>SUM(COUNTIFS('Form Details'!$D:$D,"&lt;"&amp;'Adv. Filter'!$A$15,'Form Details'!$N:$N,"Kiran",'Form Details'!$J:$J,$C417,'Form Details'!$W:$W,{"Wrong Entry ","Double Entry"}))</f>
        <v>0</v>
      </c>
      <c r="DZ417" s="238"/>
      <c r="EA417" s="238"/>
      <c r="EB417" s="238"/>
      <c r="EC417" s="238"/>
      <c r="ED417" s="238"/>
      <c r="EE417" s="239"/>
    </row>
    <row r="418" spans="3:135" hidden="1">
      <c r="C418" s="248" t="s">
        <v>551</v>
      </c>
      <c r="D418" s="249"/>
      <c r="E418" s="249"/>
      <c r="F418" s="249"/>
      <c r="G418" s="249"/>
      <c r="H418" s="249"/>
      <c r="I418" s="249"/>
      <c r="J418" s="249"/>
      <c r="K418" s="249"/>
      <c r="L418" s="249"/>
      <c r="M418" s="249"/>
      <c r="N418" s="249"/>
      <c r="O418" s="237">
        <f>COUNTIFS('Form Details'!$D:$D,"&lt;"&amp;'Adv. Filter'!$A$15,'Form Details'!$N:$N,"Kiran",'Form Details'!$J:$J,$C418)</f>
        <v>0</v>
      </c>
      <c r="P418" s="238"/>
      <c r="Q418" s="238"/>
      <c r="R418" s="238"/>
      <c r="S418" s="238"/>
      <c r="T418" s="238"/>
      <c r="U418" s="239"/>
      <c r="V418" s="100"/>
      <c r="W418" s="237">
        <f>COUNTIFS('Form Details'!$D:$D,"&lt;"&amp;'Adv. Filter'!$A$15,'Form Details'!$N:$N,"Kiran",'Form Details'!$J:$J,$C418,'Form Details'!$AA:$AA,"Yes")</f>
        <v>0</v>
      </c>
      <c r="X418" s="238"/>
      <c r="Y418" s="238"/>
      <c r="Z418" s="238"/>
      <c r="AA418" s="238"/>
      <c r="AB418" s="238"/>
      <c r="AC418" s="239"/>
      <c r="AD418" s="237">
        <f>COUNTIFS('Form Details'!$D:$D,"&lt;"&amp;'Adv. Filter'!$A$15,'Form Details'!$N:$N,"Kiran",'Form Details'!$J:$J,$C418,'Form Details'!$W:$W,"Paid",'Form Details'!$S:$S,'Adv. Filter'!$A$14,'Form Details'!$S:$S,'Adv. Filter'!$B$14)</f>
        <v>0</v>
      </c>
      <c r="AE418" s="238"/>
      <c r="AF418" s="238"/>
      <c r="AG418" s="238"/>
      <c r="AH418" s="238"/>
      <c r="AI418" s="238"/>
      <c r="AJ418" s="239"/>
      <c r="AK418" s="237">
        <f>COUNTIFS('Form Details'!$D:$D,"&lt;"&amp;'Adv. Filter'!$A$15,'Form Details'!$N:$N,"Kiran",'Form Details'!$J:$J,$C418,'Form Details'!$W:$W,"Due")</f>
        <v>0</v>
      </c>
      <c r="AL418" s="238"/>
      <c r="AM418" s="238"/>
      <c r="AN418" s="238"/>
      <c r="AO418" s="238"/>
      <c r="AP418" s="238"/>
      <c r="AQ418" s="239"/>
      <c r="AR418" s="237">
        <f>COUNTIFS('Form Details'!$D:$D,"&lt;"&amp;'Adv. Filter'!$A$15,'Form Details'!$N:$N,"Kiran",'Form Details'!$J:$J,$C418,'Form Details'!$W:$W,"No Fee")</f>
        <v>0</v>
      </c>
      <c r="AS418" s="238"/>
      <c r="AT418" s="238"/>
      <c r="AU418" s="238"/>
      <c r="AV418" s="238"/>
      <c r="AW418" s="238"/>
      <c r="AX418" s="239"/>
      <c r="AY418" s="237">
        <f>COUNTIFS('Form Details'!$D:$D,"&lt;"&amp;'Adv. Filter'!$A$15,'Form Details'!$N:$N,"Kiran",'Form Details'!$J:$J,$C418,'Form Details'!$W:$W,"Paid/Reject")</f>
        <v>0</v>
      </c>
      <c r="AZ418" s="238"/>
      <c r="BA418" s="238"/>
      <c r="BB418" s="238"/>
      <c r="BC418" s="238"/>
      <c r="BD418" s="238"/>
      <c r="BE418" s="239"/>
      <c r="BF418" s="237">
        <f>COUNTIFS('Form Details'!$D:$D,"&lt;"&amp;'Adv. Filter'!$A$15,'Form Details'!$N:$N,"Kiran",'Form Details'!$J:$J,$C418,'Form Details'!$W:$W,"Staff")</f>
        <v>0</v>
      </c>
      <c r="BG418" s="238"/>
      <c r="BH418" s="238"/>
      <c r="BI418" s="238"/>
      <c r="BJ418" s="238"/>
      <c r="BK418" s="238"/>
      <c r="BL418" s="239"/>
      <c r="BM418" s="237">
        <f>COUNTIFS('Form Details'!$D:$D,"&lt;"&amp;'Adv. Filter'!$A$15,'Form Details'!$N:$N,"Kiran",'Form Details'!$J:$J,$C418,'Form Details'!$W:$W,"File In Office")</f>
        <v>0</v>
      </c>
      <c r="BN418" s="238"/>
      <c r="BO418" s="238"/>
      <c r="BP418" s="238"/>
      <c r="BQ418" s="238"/>
      <c r="BR418" s="238"/>
      <c r="BS418" s="239"/>
      <c r="BT418" s="100"/>
      <c r="BU418" s="237">
        <f>COUNTIFS('Form Details'!$D:$D,"&lt;"&amp;'Adv. Filter'!$A$15,'Form Details'!$N:$N,"Kiran",'Form Details'!$J:$J,$C418,'Form Details'!$AA:$AA,"No")</f>
        <v>0</v>
      </c>
      <c r="BV418" s="238"/>
      <c r="BW418" s="238"/>
      <c r="BX418" s="238"/>
      <c r="BY418" s="238"/>
      <c r="BZ418" s="238"/>
      <c r="CA418" s="239"/>
      <c r="CB418" s="237">
        <f>COUNTIFS('Form Details'!$D:$D,"&lt;"&amp;'Adv. Filter'!$A$15,'Form Details'!$N:$N,"Kiran",'Form Details'!$J:$J,$C418,'Form Details'!$W:$W,"Adv/Paid")</f>
        <v>0</v>
      </c>
      <c r="CC418" s="238"/>
      <c r="CD418" s="238"/>
      <c r="CE418" s="238"/>
      <c r="CF418" s="238"/>
      <c r="CG418" s="238"/>
      <c r="CH418" s="239"/>
      <c r="CI418" s="237">
        <f>COUNTIFS('Form Details'!$D:$D,"&lt;"&amp;'Adv. Filter'!$A$15,'Form Details'!$N:$N,"Kiran",'Form Details'!$J:$J,$C418,'Form Details'!$W:$W,"Adv/Paid/Reject")</f>
        <v>0</v>
      </c>
      <c r="CJ418" s="238"/>
      <c r="CK418" s="238"/>
      <c r="CL418" s="238"/>
      <c r="CM418" s="238"/>
      <c r="CN418" s="238"/>
      <c r="CO418" s="239"/>
      <c r="CP418" s="237">
        <f>COUNTIFS('Form Details'!$D:$D,"&lt;"&amp;'Adv. Filter'!$A$15,'Form Details'!$N:$N,"Kiran",'Form Details'!$J:$J,$C418,'Form Details'!$W:$W,"Reject")</f>
        <v>0</v>
      </c>
      <c r="CQ418" s="238"/>
      <c r="CR418" s="238"/>
      <c r="CS418" s="238"/>
      <c r="CT418" s="238"/>
      <c r="CU418" s="238"/>
      <c r="CV418" s="239"/>
      <c r="CW418" s="237">
        <f>COUNTIFS('Form Details'!$D:$D,"&lt;"&amp;'Adv. Filter'!$A$15,'Form Details'!$N:$N,"Kiran",'Form Details'!$J:$J,$C418,'Form Details'!$W:$W,"Adv/Paid/Pending")</f>
        <v>0</v>
      </c>
      <c r="CX418" s="238"/>
      <c r="CY418" s="238"/>
      <c r="CZ418" s="238"/>
      <c r="DA418" s="238"/>
      <c r="DB418" s="238"/>
      <c r="DC418" s="239"/>
      <c r="DD418" s="237">
        <f>COUNTIFS('Form Details'!$D:$D,"&lt;"&amp;'Adv. Filter'!$A$15,'Form Details'!$N:$N,"Kiran",'Form Details'!$J:$J,$C418,'Form Details'!$W:$W,"Pending")</f>
        <v>0</v>
      </c>
      <c r="DE418" s="238"/>
      <c r="DF418" s="238"/>
      <c r="DG418" s="238"/>
      <c r="DH418" s="238"/>
      <c r="DI418" s="238"/>
      <c r="DJ418" s="239"/>
      <c r="DK418" s="237">
        <f>COUNTIFS('Form Details'!$D:$D,"&lt;"&amp;'Adv. Filter'!$A$15,'Form Details'!$N:$N,"Kiran",'Form Details'!$J:$J,$C418,'Form Details'!$W:$W,"Adv/Paid/NoStatus")</f>
        <v>0</v>
      </c>
      <c r="DL418" s="238"/>
      <c r="DM418" s="238"/>
      <c r="DN418" s="238"/>
      <c r="DO418" s="238"/>
      <c r="DP418" s="238"/>
      <c r="DQ418" s="239"/>
      <c r="DR418" s="237">
        <f>COUNTIFS('Form Details'!$D:$D,"&lt;"&amp;'Adv. Filter'!$A$15,'Form Details'!$N:$N,"Kiran",'Form Details'!$J:$J,$C418,'Form Details'!$W:$W,"No Status")</f>
        <v>0</v>
      </c>
      <c r="DS418" s="238"/>
      <c r="DT418" s="238"/>
      <c r="DU418" s="238"/>
      <c r="DV418" s="238"/>
      <c r="DW418" s="238"/>
      <c r="DX418" s="239"/>
      <c r="DY418" s="237">
        <f>SUM(COUNTIFS('Form Details'!$D:$D,"&lt;"&amp;'Adv. Filter'!$A$15,'Form Details'!$N:$N,"Kiran",'Form Details'!$J:$J,$C418,'Form Details'!$W:$W,{"Wrong Entry ","Double Entry"}))</f>
        <v>0</v>
      </c>
      <c r="DZ418" s="238"/>
      <c r="EA418" s="238"/>
      <c r="EB418" s="238"/>
      <c r="EC418" s="238"/>
      <c r="ED418" s="238"/>
      <c r="EE418" s="239"/>
    </row>
    <row r="419" spans="3:135" hidden="1">
      <c r="C419" s="248" t="s">
        <v>121</v>
      </c>
      <c r="D419" s="249"/>
      <c r="E419" s="249"/>
      <c r="F419" s="249"/>
      <c r="G419" s="249"/>
      <c r="H419" s="249"/>
      <c r="I419" s="249"/>
      <c r="J419" s="249"/>
      <c r="K419" s="249"/>
      <c r="L419" s="249"/>
      <c r="M419" s="249"/>
      <c r="N419" s="249"/>
      <c r="O419" s="237">
        <f>COUNTIFS('Form Details'!$D:$D,"&lt;"&amp;'Adv. Filter'!$A$15,'Form Details'!$N:$N,"Kiran",'Form Details'!$J:$J,$C419)</f>
        <v>0</v>
      </c>
      <c r="P419" s="238"/>
      <c r="Q419" s="238"/>
      <c r="R419" s="238"/>
      <c r="S419" s="238"/>
      <c r="T419" s="238"/>
      <c r="U419" s="239"/>
      <c r="V419" s="100"/>
      <c r="W419" s="237">
        <f>COUNTIFS('Form Details'!$D:$D,"&lt;"&amp;'Adv. Filter'!$A$15,'Form Details'!$N:$N,"Kiran",'Form Details'!$J:$J,$C419,'Form Details'!$AA:$AA,"Yes")</f>
        <v>0</v>
      </c>
      <c r="X419" s="238"/>
      <c r="Y419" s="238"/>
      <c r="Z419" s="238"/>
      <c r="AA419" s="238"/>
      <c r="AB419" s="238"/>
      <c r="AC419" s="239"/>
      <c r="AD419" s="237">
        <f>COUNTIFS('Form Details'!$D:$D,"&lt;"&amp;'Adv. Filter'!$A$15,'Form Details'!$N:$N,"Kiran",'Form Details'!$J:$J,$C419,'Form Details'!$W:$W,"Paid",'Form Details'!$S:$S,'Adv. Filter'!$A$14,'Form Details'!$S:$S,'Adv. Filter'!$B$14)</f>
        <v>0</v>
      </c>
      <c r="AE419" s="238"/>
      <c r="AF419" s="238"/>
      <c r="AG419" s="238"/>
      <c r="AH419" s="238"/>
      <c r="AI419" s="238"/>
      <c r="AJ419" s="239"/>
      <c r="AK419" s="237">
        <f>COUNTIFS('Form Details'!$D:$D,"&lt;"&amp;'Adv. Filter'!$A$15,'Form Details'!$N:$N,"Kiran",'Form Details'!$J:$J,$C419,'Form Details'!$W:$W,"Due")</f>
        <v>0</v>
      </c>
      <c r="AL419" s="238"/>
      <c r="AM419" s="238"/>
      <c r="AN419" s="238"/>
      <c r="AO419" s="238"/>
      <c r="AP419" s="238"/>
      <c r="AQ419" s="239"/>
      <c r="AR419" s="237">
        <f>COUNTIFS('Form Details'!$D:$D,"&lt;"&amp;'Adv. Filter'!$A$15,'Form Details'!$N:$N,"Kiran",'Form Details'!$J:$J,$C419,'Form Details'!$W:$W,"No Fee")</f>
        <v>0</v>
      </c>
      <c r="AS419" s="238"/>
      <c r="AT419" s="238"/>
      <c r="AU419" s="238"/>
      <c r="AV419" s="238"/>
      <c r="AW419" s="238"/>
      <c r="AX419" s="239"/>
      <c r="AY419" s="237">
        <f>COUNTIFS('Form Details'!$D:$D,"&lt;"&amp;'Adv. Filter'!$A$15,'Form Details'!$N:$N,"Kiran",'Form Details'!$J:$J,$C419,'Form Details'!$W:$W,"Paid/Reject")</f>
        <v>0</v>
      </c>
      <c r="AZ419" s="238"/>
      <c r="BA419" s="238"/>
      <c r="BB419" s="238"/>
      <c r="BC419" s="238"/>
      <c r="BD419" s="238"/>
      <c r="BE419" s="239"/>
      <c r="BF419" s="237">
        <f>COUNTIFS('Form Details'!$D:$D,"&lt;"&amp;'Adv. Filter'!$A$15,'Form Details'!$N:$N,"Kiran",'Form Details'!$J:$J,$C419,'Form Details'!$W:$W,"Staff")</f>
        <v>0</v>
      </c>
      <c r="BG419" s="238"/>
      <c r="BH419" s="238"/>
      <c r="BI419" s="238"/>
      <c r="BJ419" s="238"/>
      <c r="BK419" s="238"/>
      <c r="BL419" s="239"/>
      <c r="BM419" s="237">
        <f>COUNTIFS('Form Details'!$D:$D,"&lt;"&amp;'Adv. Filter'!$A$15,'Form Details'!$N:$N,"Kiran",'Form Details'!$J:$J,$C419,'Form Details'!$W:$W,"File In Office")</f>
        <v>0</v>
      </c>
      <c r="BN419" s="238"/>
      <c r="BO419" s="238"/>
      <c r="BP419" s="238"/>
      <c r="BQ419" s="238"/>
      <c r="BR419" s="238"/>
      <c r="BS419" s="239"/>
      <c r="BT419" s="100"/>
      <c r="BU419" s="237">
        <f>COUNTIFS('Form Details'!$D:$D,"&lt;"&amp;'Adv. Filter'!$A$15,'Form Details'!$N:$N,"Kiran",'Form Details'!$J:$J,$C419,'Form Details'!$AA:$AA,"No")</f>
        <v>0</v>
      </c>
      <c r="BV419" s="238"/>
      <c r="BW419" s="238"/>
      <c r="BX419" s="238"/>
      <c r="BY419" s="238"/>
      <c r="BZ419" s="238"/>
      <c r="CA419" s="239"/>
      <c r="CB419" s="237">
        <f>COUNTIFS('Form Details'!$D:$D,"&lt;"&amp;'Adv. Filter'!$A$15,'Form Details'!$N:$N,"Kiran",'Form Details'!$J:$J,$C419,'Form Details'!$W:$W,"Adv/Paid")</f>
        <v>0</v>
      </c>
      <c r="CC419" s="238"/>
      <c r="CD419" s="238"/>
      <c r="CE419" s="238"/>
      <c r="CF419" s="238"/>
      <c r="CG419" s="238"/>
      <c r="CH419" s="239"/>
      <c r="CI419" s="237">
        <f>COUNTIFS('Form Details'!$D:$D,"&lt;"&amp;'Adv. Filter'!$A$15,'Form Details'!$N:$N,"Kiran",'Form Details'!$J:$J,$C419,'Form Details'!$W:$W,"Adv/Paid/Reject")</f>
        <v>0</v>
      </c>
      <c r="CJ419" s="238"/>
      <c r="CK419" s="238"/>
      <c r="CL419" s="238"/>
      <c r="CM419" s="238"/>
      <c r="CN419" s="238"/>
      <c r="CO419" s="239"/>
      <c r="CP419" s="237">
        <f>COUNTIFS('Form Details'!$D:$D,"&lt;"&amp;'Adv. Filter'!$A$15,'Form Details'!$N:$N,"Kiran",'Form Details'!$J:$J,$C419,'Form Details'!$W:$W,"Reject")</f>
        <v>0</v>
      </c>
      <c r="CQ419" s="238"/>
      <c r="CR419" s="238"/>
      <c r="CS419" s="238"/>
      <c r="CT419" s="238"/>
      <c r="CU419" s="238"/>
      <c r="CV419" s="239"/>
      <c r="CW419" s="237">
        <f>COUNTIFS('Form Details'!$D:$D,"&lt;"&amp;'Adv. Filter'!$A$15,'Form Details'!$N:$N,"Kiran",'Form Details'!$J:$J,$C419,'Form Details'!$W:$W,"Adv/Paid/Pending")</f>
        <v>0</v>
      </c>
      <c r="CX419" s="238"/>
      <c r="CY419" s="238"/>
      <c r="CZ419" s="238"/>
      <c r="DA419" s="238"/>
      <c r="DB419" s="238"/>
      <c r="DC419" s="239"/>
      <c r="DD419" s="237">
        <f>COUNTIFS('Form Details'!$D:$D,"&lt;"&amp;'Adv. Filter'!$A$15,'Form Details'!$N:$N,"Kiran",'Form Details'!$J:$J,$C419,'Form Details'!$W:$W,"Pending")</f>
        <v>0</v>
      </c>
      <c r="DE419" s="238"/>
      <c r="DF419" s="238"/>
      <c r="DG419" s="238"/>
      <c r="DH419" s="238"/>
      <c r="DI419" s="238"/>
      <c r="DJ419" s="239"/>
      <c r="DK419" s="237">
        <f>COUNTIFS('Form Details'!$D:$D,"&lt;"&amp;'Adv. Filter'!$A$15,'Form Details'!$N:$N,"Kiran",'Form Details'!$J:$J,$C419,'Form Details'!$W:$W,"Adv/Paid/NoStatus")</f>
        <v>0</v>
      </c>
      <c r="DL419" s="238"/>
      <c r="DM419" s="238"/>
      <c r="DN419" s="238"/>
      <c r="DO419" s="238"/>
      <c r="DP419" s="238"/>
      <c r="DQ419" s="239"/>
      <c r="DR419" s="237">
        <f>COUNTIFS('Form Details'!$D:$D,"&lt;"&amp;'Adv. Filter'!$A$15,'Form Details'!$N:$N,"Kiran",'Form Details'!$J:$J,$C419,'Form Details'!$W:$W,"No Status")</f>
        <v>0</v>
      </c>
      <c r="DS419" s="238"/>
      <c r="DT419" s="238"/>
      <c r="DU419" s="238"/>
      <c r="DV419" s="238"/>
      <c r="DW419" s="238"/>
      <c r="DX419" s="239"/>
      <c r="DY419" s="237">
        <f>SUM(COUNTIFS('Form Details'!$D:$D,"&lt;"&amp;'Adv. Filter'!$A$15,'Form Details'!$N:$N,"Kiran",'Form Details'!$J:$J,$C419,'Form Details'!$W:$W,{"Wrong Entry ","Double Entry"}))</f>
        <v>0</v>
      </c>
      <c r="DZ419" s="238"/>
      <c r="EA419" s="238"/>
      <c r="EB419" s="238"/>
      <c r="EC419" s="238"/>
      <c r="ED419" s="238"/>
      <c r="EE419" s="239"/>
    </row>
    <row r="420" spans="3:135" hidden="1">
      <c r="C420" s="248" t="s">
        <v>111</v>
      </c>
      <c r="D420" s="249"/>
      <c r="E420" s="249"/>
      <c r="F420" s="249"/>
      <c r="G420" s="249"/>
      <c r="H420" s="249"/>
      <c r="I420" s="249"/>
      <c r="J420" s="249"/>
      <c r="K420" s="249"/>
      <c r="L420" s="249"/>
      <c r="M420" s="249"/>
      <c r="N420" s="249"/>
      <c r="O420" s="237">
        <f>COUNTIFS('Form Details'!$D:$D,"&lt;"&amp;'Adv. Filter'!$A$15,'Form Details'!$N:$N,"Kiran",'Form Details'!$J:$J,$C420)</f>
        <v>0</v>
      </c>
      <c r="P420" s="238"/>
      <c r="Q420" s="238"/>
      <c r="R420" s="238"/>
      <c r="S420" s="238"/>
      <c r="T420" s="238"/>
      <c r="U420" s="239"/>
      <c r="V420" s="100"/>
      <c r="W420" s="237">
        <f>COUNTIFS('Form Details'!$D:$D,"&lt;"&amp;'Adv. Filter'!$A$15,'Form Details'!$N:$N,"Kiran",'Form Details'!$J:$J,$C420,'Form Details'!$AA:$AA,"Yes")</f>
        <v>0</v>
      </c>
      <c r="X420" s="238"/>
      <c r="Y420" s="238"/>
      <c r="Z420" s="238"/>
      <c r="AA420" s="238"/>
      <c r="AB420" s="238"/>
      <c r="AC420" s="239"/>
      <c r="AD420" s="237">
        <f>COUNTIFS('Form Details'!$D:$D,"&lt;"&amp;'Adv. Filter'!$A$15,'Form Details'!$N:$N,"Kiran",'Form Details'!$J:$J,$C420,'Form Details'!$W:$W,"Paid",'Form Details'!$S:$S,'Adv. Filter'!$A$14,'Form Details'!$S:$S,'Adv. Filter'!$B$14)</f>
        <v>0</v>
      </c>
      <c r="AE420" s="238"/>
      <c r="AF420" s="238"/>
      <c r="AG420" s="238"/>
      <c r="AH420" s="238"/>
      <c r="AI420" s="238"/>
      <c r="AJ420" s="239"/>
      <c r="AK420" s="237">
        <f>COUNTIFS('Form Details'!$D:$D,"&lt;"&amp;'Adv. Filter'!$A$15,'Form Details'!$N:$N,"Kiran",'Form Details'!$J:$J,$C420,'Form Details'!$W:$W,"Due")</f>
        <v>0</v>
      </c>
      <c r="AL420" s="238"/>
      <c r="AM420" s="238"/>
      <c r="AN420" s="238"/>
      <c r="AO420" s="238"/>
      <c r="AP420" s="238"/>
      <c r="AQ420" s="239"/>
      <c r="AR420" s="237">
        <f>COUNTIFS('Form Details'!$D:$D,"&lt;"&amp;'Adv. Filter'!$A$15,'Form Details'!$N:$N,"Kiran",'Form Details'!$J:$J,$C420,'Form Details'!$W:$W,"No Fee")</f>
        <v>0</v>
      </c>
      <c r="AS420" s="238"/>
      <c r="AT420" s="238"/>
      <c r="AU420" s="238"/>
      <c r="AV420" s="238"/>
      <c r="AW420" s="238"/>
      <c r="AX420" s="239"/>
      <c r="AY420" s="237">
        <f>COUNTIFS('Form Details'!$D:$D,"&lt;"&amp;'Adv. Filter'!$A$15,'Form Details'!$N:$N,"Kiran",'Form Details'!$J:$J,$C420,'Form Details'!$W:$W,"Paid/Reject")</f>
        <v>0</v>
      </c>
      <c r="AZ420" s="238"/>
      <c r="BA420" s="238"/>
      <c r="BB420" s="238"/>
      <c r="BC420" s="238"/>
      <c r="BD420" s="238"/>
      <c r="BE420" s="239"/>
      <c r="BF420" s="237">
        <f>COUNTIFS('Form Details'!$D:$D,"&lt;"&amp;'Adv. Filter'!$A$15,'Form Details'!$N:$N,"Kiran",'Form Details'!$J:$J,$C420,'Form Details'!$W:$W,"Staff")</f>
        <v>0</v>
      </c>
      <c r="BG420" s="238"/>
      <c r="BH420" s="238"/>
      <c r="BI420" s="238"/>
      <c r="BJ420" s="238"/>
      <c r="BK420" s="238"/>
      <c r="BL420" s="239"/>
      <c r="BM420" s="237">
        <f>COUNTIFS('Form Details'!$D:$D,"&lt;"&amp;'Adv. Filter'!$A$15,'Form Details'!$N:$N,"Kiran",'Form Details'!$J:$J,$C420,'Form Details'!$W:$W,"File In Office")</f>
        <v>0</v>
      </c>
      <c r="BN420" s="238"/>
      <c r="BO420" s="238"/>
      <c r="BP420" s="238"/>
      <c r="BQ420" s="238"/>
      <c r="BR420" s="238"/>
      <c r="BS420" s="239"/>
      <c r="BT420" s="100"/>
      <c r="BU420" s="237">
        <f>COUNTIFS('Form Details'!$D:$D,"&lt;"&amp;'Adv. Filter'!$A$15,'Form Details'!$N:$N,"Kiran",'Form Details'!$J:$J,$C420,'Form Details'!$AA:$AA,"No")</f>
        <v>0</v>
      </c>
      <c r="BV420" s="238"/>
      <c r="BW420" s="238"/>
      <c r="BX420" s="238"/>
      <c r="BY420" s="238"/>
      <c r="BZ420" s="238"/>
      <c r="CA420" s="239"/>
      <c r="CB420" s="237">
        <f>COUNTIFS('Form Details'!$D:$D,"&lt;"&amp;'Adv. Filter'!$A$15,'Form Details'!$N:$N,"Kiran",'Form Details'!$J:$J,$C420,'Form Details'!$W:$W,"Adv/Paid")</f>
        <v>0</v>
      </c>
      <c r="CC420" s="238"/>
      <c r="CD420" s="238"/>
      <c r="CE420" s="238"/>
      <c r="CF420" s="238"/>
      <c r="CG420" s="238"/>
      <c r="CH420" s="239"/>
      <c r="CI420" s="237">
        <f>COUNTIFS('Form Details'!$D:$D,"&lt;"&amp;'Adv. Filter'!$A$15,'Form Details'!$N:$N,"Kiran",'Form Details'!$J:$J,$C420,'Form Details'!$W:$W,"Adv/Paid/Reject")</f>
        <v>0</v>
      </c>
      <c r="CJ420" s="238"/>
      <c r="CK420" s="238"/>
      <c r="CL420" s="238"/>
      <c r="CM420" s="238"/>
      <c r="CN420" s="238"/>
      <c r="CO420" s="239"/>
      <c r="CP420" s="237">
        <f>COUNTIFS('Form Details'!$D:$D,"&lt;"&amp;'Adv. Filter'!$A$15,'Form Details'!$N:$N,"Kiran",'Form Details'!$J:$J,$C420,'Form Details'!$W:$W,"Reject")</f>
        <v>0</v>
      </c>
      <c r="CQ420" s="238"/>
      <c r="CR420" s="238"/>
      <c r="CS420" s="238"/>
      <c r="CT420" s="238"/>
      <c r="CU420" s="238"/>
      <c r="CV420" s="239"/>
      <c r="CW420" s="237">
        <f>COUNTIFS('Form Details'!$D:$D,"&lt;"&amp;'Adv. Filter'!$A$15,'Form Details'!$N:$N,"Kiran",'Form Details'!$J:$J,$C420,'Form Details'!$W:$W,"Adv/Paid/Pending")</f>
        <v>0</v>
      </c>
      <c r="CX420" s="238"/>
      <c r="CY420" s="238"/>
      <c r="CZ420" s="238"/>
      <c r="DA420" s="238"/>
      <c r="DB420" s="238"/>
      <c r="DC420" s="239"/>
      <c r="DD420" s="237">
        <f>COUNTIFS('Form Details'!$D:$D,"&lt;"&amp;'Adv. Filter'!$A$15,'Form Details'!$N:$N,"Kiran",'Form Details'!$J:$J,$C420,'Form Details'!$W:$W,"Pending")</f>
        <v>0</v>
      </c>
      <c r="DE420" s="238"/>
      <c r="DF420" s="238"/>
      <c r="DG420" s="238"/>
      <c r="DH420" s="238"/>
      <c r="DI420" s="238"/>
      <c r="DJ420" s="239"/>
      <c r="DK420" s="237">
        <f>COUNTIFS('Form Details'!$D:$D,"&lt;"&amp;'Adv. Filter'!$A$15,'Form Details'!$N:$N,"Kiran",'Form Details'!$J:$J,$C420,'Form Details'!$W:$W,"Adv/Paid/NoStatus")</f>
        <v>0</v>
      </c>
      <c r="DL420" s="238"/>
      <c r="DM420" s="238"/>
      <c r="DN420" s="238"/>
      <c r="DO420" s="238"/>
      <c r="DP420" s="238"/>
      <c r="DQ420" s="239"/>
      <c r="DR420" s="237">
        <f>COUNTIFS('Form Details'!$D:$D,"&lt;"&amp;'Adv. Filter'!$A$15,'Form Details'!$N:$N,"Kiran",'Form Details'!$J:$J,$C420,'Form Details'!$W:$W,"No Status")</f>
        <v>0</v>
      </c>
      <c r="DS420" s="238"/>
      <c r="DT420" s="238"/>
      <c r="DU420" s="238"/>
      <c r="DV420" s="238"/>
      <c r="DW420" s="238"/>
      <c r="DX420" s="239"/>
      <c r="DY420" s="237">
        <f>SUM(COUNTIFS('Form Details'!$D:$D,"&lt;"&amp;'Adv. Filter'!$A$15,'Form Details'!$N:$N,"Kiran",'Form Details'!$J:$J,$C420,'Form Details'!$W:$W,{"Wrong Entry ","Double Entry"}))</f>
        <v>0</v>
      </c>
      <c r="DZ420" s="238"/>
      <c r="EA420" s="238"/>
      <c r="EB420" s="238"/>
      <c r="EC420" s="238"/>
      <c r="ED420" s="238"/>
      <c r="EE420" s="239"/>
    </row>
    <row r="421" spans="3:135" hidden="1">
      <c r="C421" s="248" t="s">
        <v>116</v>
      </c>
      <c r="D421" s="249"/>
      <c r="E421" s="249"/>
      <c r="F421" s="249"/>
      <c r="G421" s="249"/>
      <c r="H421" s="249"/>
      <c r="I421" s="249"/>
      <c r="J421" s="249"/>
      <c r="K421" s="249"/>
      <c r="L421" s="249"/>
      <c r="M421" s="249"/>
      <c r="N421" s="249"/>
      <c r="O421" s="237">
        <f>COUNTIFS('Form Details'!$D:$D,"&lt;"&amp;'Adv. Filter'!$A$15,'Form Details'!$N:$N,"Kiran",'Form Details'!$J:$J,$C421)</f>
        <v>0</v>
      </c>
      <c r="P421" s="238"/>
      <c r="Q421" s="238"/>
      <c r="R421" s="238"/>
      <c r="S421" s="238"/>
      <c r="T421" s="238"/>
      <c r="U421" s="239"/>
      <c r="V421" s="100"/>
      <c r="W421" s="237">
        <f>COUNTIFS('Form Details'!$D:$D,"&lt;"&amp;'Adv. Filter'!$A$15,'Form Details'!$N:$N,"Kiran",'Form Details'!$J:$J,$C421,'Form Details'!$AA:$AA,"Yes")</f>
        <v>0</v>
      </c>
      <c r="X421" s="238"/>
      <c r="Y421" s="238"/>
      <c r="Z421" s="238"/>
      <c r="AA421" s="238"/>
      <c r="AB421" s="238"/>
      <c r="AC421" s="239"/>
      <c r="AD421" s="237">
        <f>COUNTIFS('Form Details'!$D:$D,"&lt;"&amp;'Adv. Filter'!$A$15,'Form Details'!$N:$N,"Kiran",'Form Details'!$J:$J,$C421,'Form Details'!$W:$W,"Paid",'Form Details'!$S:$S,'Adv. Filter'!$A$14,'Form Details'!$S:$S,'Adv. Filter'!$B$14)</f>
        <v>0</v>
      </c>
      <c r="AE421" s="238"/>
      <c r="AF421" s="238"/>
      <c r="AG421" s="238"/>
      <c r="AH421" s="238"/>
      <c r="AI421" s="238"/>
      <c r="AJ421" s="239"/>
      <c r="AK421" s="237">
        <f>COUNTIFS('Form Details'!$D:$D,"&lt;"&amp;'Adv. Filter'!$A$15,'Form Details'!$N:$N,"Kiran",'Form Details'!$J:$J,$C421,'Form Details'!$W:$W,"Due")</f>
        <v>0</v>
      </c>
      <c r="AL421" s="238"/>
      <c r="AM421" s="238"/>
      <c r="AN421" s="238"/>
      <c r="AO421" s="238"/>
      <c r="AP421" s="238"/>
      <c r="AQ421" s="239"/>
      <c r="AR421" s="237">
        <f>COUNTIFS('Form Details'!$D:$D,"&lt;"&amp;'Adv. Filter'!$A$15,'Form Details'!$N:$N,"Kiran",'Form Details'!$J:$J,$C421,'Form Details'!$W:$W,"No Fee")</f>
        <v>0</v>
      </c>
      <c r="AS421" s="238"/>
      <c r="AT421" s="238"/>
      <c r="AU421" s="238"/>
      <c r="AV421" s="238"/>
      <c r="AW421" s="238"/>
      <c r="AX421" s="239"/>
      <c r="AY421" s="237">
        <f>COUNTIFS('Form Details'!$D:$D,"&lt;"&amp;'Adv. Filter'!$A$15,'Form Details'!$N:$N,"Kiran",'Form Details'!$J:$J,$C421,'Form Details'!$W:$W,"Paid/Reject")</f>
        <v>0</v>
      </c>
      <c r="AZ421" s="238"/>
      <c r="BA421" s="238"/>
      <c r="BB421" s="238"/>
      <c r="BC421" s="238"/>
      <c r="BD421" s="238"/>
      <c r="BE421" s="239"/>
      <c r="BF421" s="237">
        <f>COUNTIFS('Form Details'!$D:$D,"&lt;"&amp;'Adv. Filter'!$A$15,'Form Details'!$N:$N,"Kiran",'Form Details'!$J:$J,$C421,'Form Details'!$W:$W,"Staff")</f>
        <v>0</v>
      </c>
      <c r="BG421" s="238"/>
      <c r="BH421" s="238"/>
      <c r="BI421" s="238"/>
      <c r="BJ421" s="238"/>
      <c r="BK421" s="238"/>
      <c r="BL421" s="239"/>
      <c r="BM421" s="237">
        <f>COUNTIFS('Form Details'!$D:$D,"&lt;"&amp;'Adv. Filter'!$A$15,'Form Details'!$N:$N,"Kiran",'Form Details'!$J:$J,$C421,'Form Details'!$W:$W,"File In Office")</f>
        <v>0</v>
      </c>
      <c r="BN421" s="238"/>
      <c r="BO421" s="238"/>
      <c r="BP421" s="238"/>
      <c r="BQ421" s="238"/>
      <c r="BR421" s="238"/>
      <c r="BS421" s="239"/>
      <c r="BT421" s="100"/>
      <c r="BU421" s="237">
        <f>COUNTIFS('Form Details'!$D:$D,"&lt;"&amp;'Adv. Filter'!$A$15,'Form Details'!$N:$N,"Kiran",'Form Details'!$J:$J,$C421,'Form Details'!$AA:$AA,"No")</f>
        <v>0</v>
      </c>
      <c r="BV421" s="238"/>
      <c r="BW421" s="238"/>
      <c r="BX421" s="238"/>
      <c r="BY421" s="238"/>
      <c r="BZ421" s="238"/>
      <c r="CA421" s="239"/>
      <c r="CB421" s="237">
        <f>COUNTIFS('Form Details'!$D:$D,"&lt;"&amp;'Adv. Filter'!$A$15,'Form Details'!$N:$N,"Kiran",'Form Details'!$J:$J,$C421,'Form Details'!$W:$W,"Adv/Paid")</f>
        <v>0</v>
      </c>
      <c r="CC421" s="238"/>
      <c r="CD421" s="238"/>
      <c r="CE421" s="238"/>
      <c r="CF421" s="238"/>
      <c r="CG421" s="238"/>
      <c r="CH421" s="239"/>
      <c r="CI421" s="237">
        <f>COUNTIFS('Form Details'!$D:$D,"&lt;"&amp;'Adv. Filter'!$A$15,'Form Details'!$N:$N,"Kiran",'Form Details'!$J:$J,$C421,'Form Details'!$W:$W,"Adv/Paid/Reject")</f>
        <v>0</v>
      </c>
      <c r="CJ421" s="238"/>
      <c r="CK421" s="238"/>
      <c r="CL421" s="238"/>
      <c r="CM421" s="238"/>
      <c r="CN421" s="238"/>
      <c r="CO421" s="239"/>
      <c r="CP421" s="237">
        <f>COUNTIFS('Form Details'!$D:$D,"&lt;"&amp;'Adv. Filter'!$A$15,'Form Details'!$N:$N,"Kiran",'Form Details'!$J:$J,$C421,'Form Details'!$W:$W,"Reject")</f>
        <v>0</v>
      </c>
      <c r="CQ421" s="238"/>
      <c r="CR421" s="238"/>
      <c r="CS421" s="238"/>
      <c r="CT421" s="238"/>
      <c r="CU421" s="238"/>
      <c r="CV421" s="239"/>
      <c r="CW421" s="237">
        <f>COUNTIFS('Form Details'!$D:$D,"&lt;"&amp;'Adv. Filter'!$A$15,'Form Details'!$N:$N,"Kiran",'Form Details'!$J:$J,$C421,'Form Details'!$W:$W,"Adv/Paid/Pending")</f>
        <v>0</v>
      </c>
      <c r="CX421" s="238"/>
      <c r="CY421" s="238"/>
      <c r="CZ421" s="238"/>
      <c r="DA421" s="238"/>
      <c r="DB421" s="238"/>
      <c r="DC421" s="239"/>
      <c r="DD421" s="237">
        <f>COUNTIFS('Form Details'!$D:$D,"&lt;"&amp;'Adv. Filter'!$A$15,'Form Details'!$N:$N,"Kiran",'Form Details'!$J:$J,$C421,'Form Details'!$W:$W,"Pending")</f>
        <v>0</v>
      </c>
      <c r="DE421" s="238"/>
      <c r="DF421" s="238"/>
      <c r="DG421" s="238"/>
      <c r="DH421" s="238"/>
      <c r="DI421" s="238"/>
      <c r="DJ421" s="239"/>
      <c r="DK421" s="237">
        <f>COUNTIFS('Form Details'!$D:$D,"&lt;"&amp;'Adv. Filter'!$A$15,'Form Details'!$N:$N,"Kiran",'Form Details'!$J:$J,$C421,'Form Details'!$W:$W,"Adv/Paid/NoStatus")</f>
        <v>0</v>
      </c>
      <c r="DL421" s="238"/>
      <c r="DM421" s="238"/>
      <c r="DN421" s="238"/>
      <c r="DO421" s="238"/>
      <c r="DP421" s="238"/>
      <c r="DQ421" s="239"/>
      <c r="DR421" s="237">
        <f>COUNTIFS('Form Details'!$D:$D,"&lt;"&amp;'Adv. Filter'!$A$15,'Form Details'!$N:$N,"Kiran",'Form Details'!$J:$J,$C421,'Form Details'!$W:$W,"No Status")</f>
        <v>0</v>
      </c>
      <c r="DS421" s="238"/>
      <c r="DT421" s="238"/>
      <c r="DU421" s="238"/>
      <c r="DV421" s="238"/>
      <c r="DW421" s="238"/>
      <c r="DX421" s="239"/>
      <c r="DY421" s="237">
        <f>SUM(COUNTIFS('Form Details'!$D:$D,"&lt;"&amp;'Adv. Filter'!$A$15,'Form Details'!$N:$N,"Kiran",'Form Details'!$J:$J,$C421,'Form Details'!$W:$W,{"Wrong Entry ","Double Entry"}))</f>
        <v>0</v>
      </c>
      <c r="DZ421" s="238"/>
      <c r="EA421" s="238"/>
      <c r="EB421" s="238"/>
      <c r="EC421" s="238"/>
      <c r="ED421" s="238"/>
      <c r="EE421" s="239"/>
    </row>
    <row r="422" spans="3:135" hidden="1">
      <c r="C422" s="248" t="s">
        <v>119</v>
      </c>
      <c r="D422" s="249"/>
      <c r="E422" s="249"/>
      <c r="F422" s="249"/>
      <c r="G422" s="249"/>
      <c r="H422" s="249"/>
      <c r="I422" s="249"/>
      <c r="J422" s="249"/>
      <c r="K422" s="249"/>
      <c r="L422" s="249"/>
      <c r="M422" s="249"/>
      <c r="N422" s="249"/>
      <c r="O422" s="237">
        <f>COUNTIFS('Form Details'!$D:$D,"&lt;"&amp;'Adv. Filter'!$A$15,'Form Details'!$N:$N,"Kiran",'Form Details'!$J:$J,$C422)</f>
        <v>0</v>
      </c>
      <c r="P422" s="238"/>
      <c r="Q422" s="238"/>
      <c r="R422" s="238"/>
      <c r="S422" s="238"/>
      <c r="T422" s="238"/>
      <c r="U422" s="239"/>
      <c r="V422" s="100"/>
      <c r="W422" s="237">
        <f>COUNTIFS('Form Details'!$D:$D,"&lt;"&amp;'Adv. Filter'!$A$15,'Form Details'!$N:$N,"Kiran",'Form Details'!$J:$J,$C422,'Form Details'!$AA:$AA,"Yes")</f>
        <v>0</v>
      </c>
      <c r="X422" s="238"/>
      <c r="Y422" s="238"/>
      <c r="Z422" s="238"/>
      <c r="AA422" s="238"/>
      <c r="AB422" s="238"/>
      <c r="AC422" s="239"/>
      <c r="AD422" s="237">
        <f>COUNTIFS('Form Details'!$D:$D,"&lt;"&amp;'Adv. Filter'!$A$15,'Form Details'!$N:$N,"Kiran",'Form Details'!$J:$J,$C422,'Form Details'!$W:$W,"Paid",'Form Details'!$S:$S,'Adv. Filter'!$A$14,'Form Details'!$S:$S,'Adv. Filter'!$B$14)</f>
        <v>0</v>
      </c>
      <c r="AE422" s="238"/>
      <c r="AF422" s="238"/>
      <c r="AG422" s="238"/>
      <c r="AH422" s="238"/>
      <c r="AI422" s="238"/>
      <c r="AJ422" s="239"/>
      <c r="AK422" s="237">
        <f>COUNTIFS('Form Details'!$D:$D,"&lt;"&amp;'Adv. Filter'!$A$15,'Form Details'!$N:$N,"Kiran",'Form Details'!$J:$J,$C422,'Form Details'!$W:$W,"Due")</f>
        <v>0</v>
      </c>
      <c r="AL422" s="238"/>
      <c r="AM422" s="238"/>
      <c r="AN422" s="238"/>
      <c r="AO422" s="238"/>
      <c r="AP422" s="238"/>
      <c r="AQ422" s="239"/>
      <c r="AR422" s="237">
        <f>COUNTIFS('Form Details'!$D:$D,"&lt;"&amp;'Adv. Filter'!$A$15,'Form Details'!$N:$N,"Kiran",'Form Details'!$J:$J,$C422,'Form Details'!$W:$W,"No Fee")</f>
        <v>0</v>
      </c>
      <c r="AS422" s="238"/>
      <c r="AT422" s="238"/>
      <c r="AU422" s="238"/>
      <c r="AV422" s="238"/>
      <c r="AW422" s="238"/>
      <c r="AX422" s="239"/>
      <c r="AY422" s="237">
        <f>COUNTIFS('Form Details'!$D:$D,"&lt;"&amp;'Adv. Filter'!$A$15,'Form Details'!$N:$N,"Kiran",'Form Details'!$J:$J,$C422,'Form Details'!$W:$W,"Paid/Reject")</f>
        <v>0</v>
      </c>
      <c r="AZ422" s="238"/>
      <c r="BA422" s="238"/>
      <c r="BB422" s="238"/>
      <c r="BC422" s="238"/>
      <c r="BD422" s="238"/>
      <c r="BE422" s="239"/>
      <c r="BF422" s="237">
        <f>COUNTIFS('Form Details'!$D:$D,"&lt;"&amp;'Adv. Filter'!$A$15,'Form Details'!$N:$N,"Kiran",'Form Details'!$J:$J,$C422,'Form Details'!$W:$W,"Staff")</f>
        <v>0</v>
      </c>
      <c r="BG422" s="238"/>
      <c r="BH422" s="238"/>
      <c r="BI422" s="238"/>
      <c r="BJ422" s="238"/>
      <c r="BK422" s="238"/>
      <c r="BL422" s="239"/>
      <c r="BM422" s="237">
        <f>COUNTIFS('Form Details'!$D:$D,"&lt;"&amp;'Adv. Filter'!$A$15,'Form Details'!$N:$N,"Kiran",'Form Details'!$J:$J,$C422,'Form Details'!$W:$W,"File In Office")</f>
        <v>0</v>
      </c>
      <c r="BN422" s="238"/>
      <c r="BO422" s="238"/>
      <c r="BP422" s="238"/>
      <c r="BQ422" s="238"/>
      <c r="BR422" s="238"/>
      <c r="BS422" s="239"/>
      <c r="BT422" s="100"/>
      <c r="BU422" s="237">
        <f>COUNTIFS('Form Details'!$D:$D,"&lt;"&amp;'Adv. Filter'!$A$15,'Form Details'!$N:$N,"Kiran",'Form Details'!$J:$J,$C422,'Form Details'!$AA:$AA,"No")</f>
        <v>0</v>
      </c>
      <c r="BV422" s="238"/>
      <c r="BW422" s="238"/>
      <c r="BX422" s="238"/>
      <c r="BY422" s="238"/>
      <c r="BZ422" s="238"/>
      <c r="CA422" s="239"/>
      <c r="CB422" s="237">
        <f>COUNTIFS('Form Details'!$D:$D,"&lt;"&amp;'Adv. Filter'!$A$15,'Form Details'!$N:$N,"Kiran",'Form Details'!$J:$J,$C422,'Form Details'!$W:$W,"Adv/Paid")</f>
        <v>0</v>
      </c>
      <c r="CC422" s="238"/>
      <c r="CD422" s="238"/>
      <c r="CE422" s="238"/>
      <c r="CF422" s="238"/>
      <c r="CG422" s="238"/>
      <c r="CH422" s="239"/>
      <c r="CI422" s="237">
        <f>COUNTIFS('Form Details'!$D:$D,"&lt;"&amp;'Adv. Filter'!$A$15,'Form Details'!$N:$N,"Kiran",'Form Details'!$J:$J,$C422,'Form Details'!$W:$W,"Adv/Paid/Reject")</f>
        <v>0</v>
      </c>
      <c r="CJ422" s="238"/>
      <c r="CK422" s="238"/>
      <c r="CL422" s="238"/>
      <c r="CM422" s="238"/>
      <c r="CN422" s="238"/>
      <c r="CO422" s="239"/>
      <c r="CP422" s="237">
        <f>COUNTIFS('Form Details'!$D:$D,"&lt;"&amp;'Adv. Filter'!$A$15,'Form Details'!$N:$N,"Kiran",'Form Details'!$J:$J,$C422,'Form Details'!$W:$W,"Reject")</f>
        <v>0</v>
      </c>
      <c r="CQ422" s="238"/>
      <c r="CR422" s="238"/>
      <c r="CS422" s="238"/>
      <c r="CT422" s="238"/>
      <c r="CU422" s="238"/>
      <c r="CV422" s="239"/>
      <c r="CW422" s="237">
        <f>COUNTIFS('Form Details'!$D:$D,"&lt;"&amp;'Adv. Filter'!$A$15,'Form Details'!$N:$N,"Kiran",'Form Details'!$J:$J,$C422,'Form Details'!$W:$W,"Adv/Paid/Pending")</f>
        <v>0</v>
      </c>
      <c r="CX422" s="238"/>
      <c r="CY422" s="238"/>
      <c r="CZ422" s="238"/>
      <c r="DA422" s="238"/>
      <c r="DB422" s="238"/>
      <c r="DC422" s="239"/>
      <c r="DD422" s="237">
        <f>COUNTIFS('Form Details'!$D:$D,"&lt;"&amp;'Adv. Filter'!$A$15,'Form Details'!$N:$N,"Kiran",'Form Details'!$J:$J,$C422,'Form Details'!$W:$W,"Pending")</f>
        <v>0</v>
      </c>
      <c r="DE422" s="238"/>
      <c r="DF422" s="238"/>
      <c r="DG422" s="238"/>
      <c r="DH422" s="238"/>
      <c r="DI422" s="238"/>
      <c r="DJ422" s="239"/>
      <c r="DK422" s="237">
        <f>COUNTIFS('Form Details'!$D:$D,"&lt;"&amp;'Adv. Filter'!$A$15,'Form Details'!$N:$N,"Kiran",'Form Details'!$J:$J,$C422,'Form Details'!$W:$W,"Adv/Paid/NoStatus")</f>
        <v>0</v>
      </c>
      <c r="DL422" s="238"/>
      <c r="DM422" s="238"/>
      <c r="DN422" s="238"/>
      <c r="DO422" s="238"/>
      <c r="DP422" s="238"/>
      <c r="DQ422" s="239"/>
      <c r="DR422" s="237">
        <f>COUNTIFS('Form Details'!$D:$D,"&lt;"&amp;'Adv. Filter'!$A$15,'Form Details'!$N:$N,"Kiran",'Form Details'!$J:$J,$C422,'Form Details'!$W:$W,"No Status")</f>
        <v>0</v>
      </c>
      <c r="DS422" s="238"/>
      <c r="DT422" s="238"/>
      <c r="DU422" s="238"/>
      <c r="DV422" s="238"/>
      <c r="DW422" s="238"/>
      <c r="DX422" s="239"/>
      <c r="DY422" s="237">
        <f>SUM(COUNTIFS('Form Details'!$D:$D,"&lt;"&amp;'Adv. Filter'!$A$15,'Form Details'!$N:$N,"Kiran",'Form Details'!$J:$J,$C422,'Form Details'!$W:$W,{"Wrong Entry ","Double Entry"}))</f>
        <v>0</v>
      </c>
      <c r="DZ422" s="238"/>
      <c r="EA422" s="238"/>
      <c r="EB422" s="238"/>
      <c r="EC422" s="238"/>
      <c r="ED422" s="238"/>
      <c r="EE422" s="239"/>
    </row>
    <row r="423" spans="3:135" hidden="1">
      <c r="C423" s="248" t="s">
        <v>92</v>
      </c>
      <c r="D423" s="249"/>
      <c r="E423" s="249"/>
      <c r="F423" s="249"/>
      <c r="G423" s="249"/>
      <c r="H423" s="249"/>
      <c r="I423" s="249"/>
      <c r="J423" s="249"/>
      <c r="K423" s="249"/>
      <c r="L423" s="249"/>
      <c r="M423" s="249"/>
      <c r="N423" s="249"/>
      <c r="O423" s="237">
        <f>COUNTIFS('Form Details'!$D:$D,"&lt;"&amp;'Adv. Filter'!$A$15,'Form Details'!$N:$N,"Kiran",'Form Details'!$J:$J,$C423)</f>
        <v>0</v>
      </c>
      <c r="P423" s="238"/>
      <c r="Q423" s="238"/>
      <c r="R423" s="238"/>
      <c r="S423" s="238"/>
      <c r="T423" s="238"/>
      <c r="U423" s="239"/>
      <c r="V423" s="100"/>
      <c r="W423" s="237">
        <f>COUNTIFS('Form Details'!$D:$D,"&lt;"&amp;'Adv. Filter'!$A$15,'Form Details'!$N:$N,"Kiran",'Form Details'!$J:$J,$C423,'Form Details'!$AA:$AA,"Yes")</f>
        <v>0</v>
      </c>
      <c r="X423" s="238"/>
      <c r="Y423" s="238"/>
      <c r="Z423" s="238"/>
      <c r="AA423" s="238"/>
      <c r="AB423" s="238"/>
      <c r="AC423" s="239"/>
      <c r="AD423" s="237">
        <f>COUNTIFS('Form Details'!$D:$D,"&lt;"&amp;'Adv. Filter'!$A$15,'Form Details'!$N:$N,"Kiran",'Form Details'!$J:$J,$C423,'Form Details'!$W:$W,"Paid",'Form Details'!$S:$S,'Adv. Filter'!$A$14,'Form Details'!$S:$S,'Adv. Filter'!$B$14)</f>
        <v>0</v>
      </c>
      <c r="AE423" s="238"/>
      <c r="AF423" s="238"/>
      <c r="AG423" s="238"/>
      <c r="AH423" s="238"/>
      <c r="AI423" s="238"/>
      <c r="AJ423" s="239"/>
      <c r="AK423" s="237">
        <f>COUNTIFS('Form Details'!$D:$D,"&lt;"&amp;'Adv. Filter'!$A$15,'Form Details'!$N:$N,"Kiran",'Form Details'!$J:$J,$C423,'Form Details'!$W:$W,"Due")</f>
        <v>0</v>
      </c>
      <c r="AL423" s="238"/>
      <c r="AM423" s="238"/>
      <c r="AN423" s="238"/>
      <c r="AO423" s="238"/>
      <c r="AP423" s="238"/>
      <c r="AQ423" s="239"/>
      <c r="AR423" s="237">
        <f>COUNTIFS('Form Details'!$D:$D,"&lt;"&amp;'Adv. Filter'!$A$15,'Form Details'!$N:$N,"Kiran",'Form Details'!$J:$J,$C423,'Form Details'!$W:$W,"No Fee")</f>
        <v>0</v>
      </c>
      <c r="AS423" s="238"/>
      <c r="AT423" s="238"/>
      <c r="AU423" s="238"/>
      <c r="AV423" s="238"/>
      <c r="AW423" s="238"/>
      <c r="AX423" s="239"/>
      <c r="AY423" s="237">
        <f>COUNTIFS('Form Details'!$D:$D,"&lt;"&amp;'Adv. Filter'!$A$15,'Form Details'!$N:$N,"Kiran",'Form Details'!$J:$J,$C423,'Form Details'!$W:$W,"Paid/Reject")</f>
        <v>0</v>
      </c>
      <c r="AZ423" s="238"/>
      <c r="BA423" s="238"/>
      <c r="BB423" s="238"/>
      <c r="BC423" s="238"/>
      <c r="BD423" s="238"/>
      <c r="BE423" s="239"/>
      <c r="BF423" s="237">
        <f>COUNTIFS('Form Details'!$D:$D,"&lt;"&amp;'Adv. Filter'!$A$15,'Form Details'!$N:$N,"Kiran",'Form Details'!$J:$J,$C423,'Form Details'!$W:$W,"Staff")</f>
        <v>0</v>
      </c>
      <c r="BG423" s="238"/>
      <c r="BH423" s="238"/>
      <c r="BI423" s="238"/>
      <c r="BJ423" s="238"/>
      <c r="BK423" s="238"/>
      <c r="BL423" s="239"/>
      <c r="BM423" s="237">
        <f>COUNTIFS('Form Details'!$D:$D,"&lt;"&amp;'Adv. Filter'!$A$15,'Form Details'!$N:$N,"Kiran",'Form Details'!$J:$J,$C423,'Form Details'!$W:$W,"File In Office")</f>
        <v>0</v>
      </c>
      <c r="BN423" s="238"/>
      <c r="BO423" s="238"/>
      <c r="BP423" s="238"/>
      <c r="BQ423" s="238"/>
      <c r="BR423" s="238"/>
      <c r="BS423" s="239"/>
      <c r="BT423" s="100"/>
      <c r="BU423" s="237">
        <f>COUNTIFS('Form Details'!$D:$D,"&lt;"&amp;'Adv. Filter'!$A$15,'Form Details'!$N:$N,"Kiran",'Form Details'!$J:$J,$C423,'Form Details'!$AA:$AA,"No")</f>
        <v>0</v>
      </c>
      <c r="BV423" s="238"/>
      <c r="BW423" s="238"/>
      <c r="BX423" s="238"/>
      <c r="BY423" s="238"/>
      <c r="BZ423" s="238"/>
      <c r="CA423" s="239"/>
      <c r="CB423" s="237">
        <f>COUNTIFS('Form Details'!$D:$D,"&lt;"&amp;'Adv. Filter'!$A$15,'Form Details'!$N:$N,"Kiran",'Form Details'!$J:$J,$C423,'Form Details'!$W:$W,"Adv/Paid")</f>
        <v>0</v>
      </c>
      <c r="CC423" s="238"/>
      <c r="CD423" s="238"/>
      <c r="CE423" s="238"/>
      <c r="CF423" s="238"/>
      <c r="CG423" s="238"/>
      <c r="CH423" s="239"/>
      <c r="CI423" s="237">
        <f>COUNTIFS('Form Details'!$D:$D,"&lt;"&amp;'Adv. Filter'!$A$15,'Form Details'!$N:$N,"Kiran",'Form Details'!$J:$J,$C423,'Form Details'!$W:$W,"Adv/Paid/Reject")</f>
        <v>0</v>
      </c>
      <c r="CJ423" s="238"/>
      <c r="CK423" s="238"/>
      <c r="CL423" s="238"/>
      <c r="CM423" s="238"/>
      <c r="CN423" s="238"/>
      <c r="CO423" s="239"/>
      <c r="CP423" s="237">
        <f>COUNTIFS('Form Details'!$D:$D,"&lt;"&amp;'Adv. Filter'!$A$15,'Form Details'!$N:$N,"Kiran",'Form Details'!$J:$J,$C423,'Form Details'!$W:$W,"Reject")</f>
        <v>0</v>
      </c>
      <c r="CQ423" s="238"/>
      <c r="CR423" s="238"/>
      <c r="CS423" s="238"/>
      <c r="CT423" s="238"/>
      <c r="CU423" s="238"/>
      <c r="CV423" s="239"/>
      <c r="CW423" s="237">
        <f>COUNTIFS('Form Details'!$D:$D,"&lt;"&amp;'Adv. Filter'!$A$15,'Form Details'!$N:$N,"Kiran",'Form Details'!$J:$J,$C423,'Form Details'!$W:$W,"Adv/Paid/Pending")</f>
        <v>0</v>
      </c>
      <c r="CX423" s="238"/>
      <c r="CY423" s="238"/>
      <c r="CZ423" s="238"/>
      <c r="DA423" s="238"/>
      <c r="DB423" s="238"/>
      <c r="DC423" s="239"/>
      <c r="DD423" s="237">
        <f>COUNTIFS('Form Details'!$D:$D,"&lt;"&amp;'Adv. Filter'!$A$15,'Form Details'!$N:$N,"Kiran",'Form Details'!$J:$J,$C423,'Form Details'!$W:$W,"Pending")</f>
        <v>0</v>
      </c>
      <c r="DE423" s="238"/>
      <c r="DF423" s="238"/>
      <c r="DG423" s="238"/>
      <c r="DH423" s="238"/>
      <c r="DI423" s="238"/>
      <c r="DJ423" s="239"/>
      <c r="DK423" s="237">
        <f>COUNTIFS('Form Details'!$D:$D,"&lt;"&amp;'Adv. Filter'!$A$15,'Form Details'!$N:$N,"Kiran",'Form Details'!$J:$J,$C423,'Form Details'!$W:$W,"Adv/Paid/NoStatus")</f>
        <v>0</v>
      </c>
      <c r="DL423" s="238"/>
      <c r="DM423" s="238"/>
      <c r="DN423" s="238"/>
      <c r="DO423" s="238"/>
      <c r="DP423" s="238"/>
      <c r="DQ423" s="239"/>
      <c r="DR423" s="237">
        <f>COUNTIFS('Form Details'!$D:$D,"&lt;"&amp;'Adv. Filter'!$A$15,'Form Details'!$N:$N,"Kiran",'Form Details'!$J:$J,$C423,'Form Details'!$W:$W,"No Status")</f>
        <v>0</v>
      </c>
      <c r="DS423" s="238"/>
      <c r="DT423" s="238"/>
      <c r="DU423" s="238"/>
      <c r="DV423" s="238"/>
      <c r="DW423" s="238"/>
      <c r="DX423" s="239"/>
      <c r="DY423" s="237">
        <f>SUM(COUNTIFS('Form Details'!$D:$D,"&lt;"&amp;'Adv. Filter'!$A$15,'Form Details'!$N:$N,"Kiran",'Form Details'!$J:$J,$C423,'Form Details'!$W:$W,{"Wrong Entry ","Double Entry"}))</f>
        <v>0</v>
      </c>
      <c r="DZ423" s="238"/>
      <c r="EA423" s="238"/>
      <c r="EB423" s="238"/>
      <c r="EC423" s="238"/>
      <c r="ED423" s="238"/>
      <c r="EE423" s="239"/>
    </row>
    <row r="424" spans="3:135" hidden="1">
      <c r="C424" s="248" t="s">
        <v>97</v>
      </c>
      <c r="D424" s="249"/>
      <c r="E424" s="249"/>
      <c r="F424" s="249"/>
      <c r="G424" s="249"/>
      <c r="H424" s="249"/>
      <c r="I424" s="249"/>
      <c r="J424" s="249"/>
      <c r="K424" s="249"/>
      <c r="L424" s="249"/>
      <c r="M424" s="249"/>
      <c r="N424" s="249"/>
      <c r="O424" s="237">
        <f>COUNTIFS('Form Details'!$D:$D,"&lt;"&amp;'Adv. Filter'!$A$15,'Form Details'!$N:$N,"Kiran",'Form Details'!$J:$J,$C424)</f>
        <v>0</v>
      </c>
      <c r="P424" s="238"/>
      <c r="Q424" s="238"/>
      <c r="R424" s="238"/>
      <c r="S424" s="238"/>
      <c r="T424" s="238"/>
      <c r="U424" s="239"/>
      <c r="V424" s="100"/>
      <c r="W424" s="237">
        <f>COUNTIFS('Form Details'!$D:$D,"&lt;"&amp;'Adv. Filter'!$A$15,'Form Details'!$N:$N,"Kiran",'Form Details'!$J:$J,$C424,'Form Details'!$AA:$AA,"Yes")</f>
        <v>0</v>
      </c>
      <c r="X424" s="238"/>
      <c r="Y424" s="238"/>
      <c r="Z424" s="238"/>
      <c r="AA424" s="238"/>
      <c r="AB424" s="238"/>
      <c r="AC424" s="239"/>
      <c r="AD424" s="237">
        <f>COUNTIFS('Form Details'!$D:$D,"&lt;"&amp;'Adv. Filter'!$A$15,'Form Details'!$N:$N,"Kiran",'Form Details'!$J:$J,$C424,'Form Details'!$W:$W,"Paid",'Form Details'!$S:$S,'Adv. Filter'!$A$14,'Form Details'!$S:$S,'Adv. Filter'!$B$14)</f>
        <v>0</v>
      </c>
      <c r="AE424" s="238"/>
      <c r="AF424" s="238"/>
      <c r="AG424" s="238"/>
      <c r="AH424" s="238"/>
      <c r="AI424" s="238"/>
      <c r="AJ424" s="239"/>
      <c r="AK424" s="237">
        <f>COUNTIFS('Form Details'!$D:$D,"&lt;"&amp;'Adv. Filter'!$A$15,'Form Details'!$N:$N,"Kiran",'Form Details'!$J:$J,$C424,'Form Details'!$W:$W,"Due")</f>
        <v>0</v>
      </c>
      <c r="AL424" s="238"/>
      <c r="AM424" s="238"/>
      <c r="AN424" s="238"/>
      <c r="AO424" s="238"/>
      <c r="AP424" s="238"/>
      <c r="AQ424" s="239"/>
      <c r="AR424" s="237">
        <f>COUNTIFS('Form Details'!$D:$D,"&lt;"&amp;'Adv. Filter'!$A$15,'Form Details'!$N:$N,"Kiran",'Form Details'!$J:$J,$C424,'Form Details'!$W:$W,"No Fee")</f>
        <v>0</v>
      </c>
      <c r="AS424" s="238"/>
      <c r="AT424" s="238"/>
      <c r="AU424" s="238"/>
      <c r="AV424" s="238"/>
      <c r="AW424" s="238"/>
      <c r="AX424" s="239"/>
      <c r="AY424" s="237">
        <f>COUNTIFS('Form Details'!$D:$D,"&lt;"&amp;'Adv. Filter'!$A$15,'Form Details'!$N:$N,"Kiran",'Form Details'!$J:$J,$C424,'Form Details'!$W:$W,"Paid/Reject")</f>
        <v>0</v>
      </c>
      <c r="AZ424" s="238"/>
      <c r="BA424" s="238"/>
      <c r="BB424" s="238"/>
      <c r="BC424" s="238"/>
      <c r="BD424" s="238"/>
      <c r="BE424" s="239"/>
      <c r="BF424" s="237">
        <f>COUNTIFS('Form Details'!$D:$D,"&lt;"&amp;'Adv. Filter'!$A$15,'Form Details'!$N:$N,"Kiran",'Form Details'!$J:$J,$C424,'Form Details'!$W:$W,"Staff")</f>
        <v>0</v>
      </c>
      <c r="BG424" s="238"/>
      <c r="BH424" s="238"/>
      <c r="BI424" s="238"/>
      <c r="BJ424" s="238"/>
      <c r="BK424" s="238"/>
      <c r="BL424" s="239"/>
      <c r="BM424" s="237">
        <f>COUNTIFS('Form Details'!$D:$D,"&lt;"&amp;'Adv. Filter'!$A$15,'Form Details'!$N:$N,"Kiran",'Form Details'!$J:$J,$C424,'Form Details'!$W:$W,"File In Office")</f>
        <v>0</v>
      </c>
      <c r="BN424" s="238"/>
      <c r="BO424" s="238"/>
      <c r="BP424" s="238"/>
      <c r="BQ424" s="238"/>
      <c r="BR424" s="238"/>
      <c r="BS424" s="239"/>
      <c r="BT424" s="100"/>
      <c r="BU424" s="237">
        <f>COUNTIFS('Form Details'!$D:$D,"&lt;"&amp;'Adv. Filter'!$A$15,'Form Details'!$N:$N,"Kiran",'Form Details'!$J:$J,$C424,'Form Details'!$AA:$AA,"No")</f>
        <v>0</v>
      </c>
      <c r="BV424" s="238"/>
      <c r="BW424" s="238"/>
      <c r="BX424" s="238"/>
      <c r="BY424" s="238"/>
      <c r="BZ424" s="238"/>
      <c r="CA424" s="239"/>
      <c r="CB424" s="237">
        <f>COUNTIFS('Form Details'!$D:$D,"&lt;"&amp;'Adv. Filter'!$A$15,'Form Details'!$N:$N,"Kiran",'Form Details'!$J:$J,$C424,'Form Details'!$W:$W,"Adv/Paid")</f>
        <v>0</v>
      </c>
      <c r="CC424" s="238"/>
      <c r="CD424" s="238"/>
      <c r="CE424" s="238"/>
      <c r="CF424" s="238"/>
      <c r="CG424" s="238"/>
      <c r="CH424" s="239"/>
      <c r="CI424" s="237">
        <f>COUNTIFS('Form Details'!$D:$D,"&lt;"&amp;'Adv. Filter'!$A$15,'Form Details'!$N:$N,"Kiran",'Form Details'!$J:$J,$C424,'Form Details'!$W:$W,"Adv/Paid/Reject")</f>
        <v>0</v>
      </c>
      <c r="CJ424" s="238"/>
      <c r="CK424" s="238"/>
      <c r="CL424" s="238"/>
      <c r="CM424" s="238"/>
      <c r="CN424" s="238"/>
      <c r="CO424" s="239"/>
      <c r="CP424" s="237">
        <f>COUNTIFS('Form Details'!$D:$D,"&lt;"&amp;'Adv. Filter'!$A$15,'Form Details'!$N:$N,"Kiran",'Form Details'!$J:$J,$C424,'Form Details'!$W:$W,"Reject")</f>
        <v>0</v>
      </c>
      <c r="CQ424" s="238"/>
      <c r="CR424" s="238"/>
      <c r="CS424" s="238"/>
      <c r="CT424" s="238"/>
      <c r="CU424" s="238"/>
      <c r="CV424" s="239"/>
      <c r="CW424" s="237">
        <f>COUNTIFS('Form Details'!$D:$D,"&lt;"&amp;'Adv. Filter'!$A$15,'Form Details'!$N:$N,"Kiran",'Form Details'!$J:$J,$C424,'Form Details'!$W:$W,"Adv/Paid/Pending")</f>
        <v>0</v>
      </c>
      <c r="CX424" s="238"/>
      <c r="CY424" s="238"/>
      <c r="CZ424" s="238"/>
      <c r="DA424" s="238"/>
      <c r="DB424" s="238"/>
      <c r="DC424" s="239"/>
      <c r="DD424" s="237">
        <f>COUNTIFS('Form Details'!$D:$D,"&lt;"&amp;'Adv. Filter'!$A$15,'Form Details'!$N:$N,"Kiran",'Form Details'!$J:$J,$C424,'Form Details'!$W:$W,"Pending")</f>
        <v>0</v>
      </c>
      <c r="DE424" s="238"/>
      <c r="DF424" s="238"/>
      <c r="DG424" s="238"/>
      <c r="DH424" s="238"/>
      <c r="DI424" s="238"/>
      <c r="DJ424" s="239"/>
      <c r="DK424" s="237">
        <f>COUNTIFS('Form Details'!$D:$D,"&lt;"&amp;'Adv. Filter'!$A$15,'Form Details'!$N:$N,"Kiran",'Form Details'!$J:$J,$C424,'Form Details'!$W:$W,"Adv/Paid/NoStatus")</f>
        <v>0</v>
      </c>
      <c r="DL424" s="238"/>
      <c r="DM424" s="238"/>
      <c r="DN424" s="238"/>
      <c r="DO424" s="238"/>
      <c r="DP424" s="238"/>
      <c r="DQ424" s="239"/>
      <c r="DR424" s="237">
        <f>COUNTIFS('Form Details'!$D:$D,"&lt;"&amp;'Adv. Filter'!$A$15,'Form Details'!$N:$N,"Kiran",'Form Details'!$J:$J,$C424,'Form Details'!$W:$W,"No Status")</f>
        <v>0</v>
      </c>
      <c r="DS424" s="238"/>
      <c r="DT424" s="238"/>
      <c r="DU424" s="238"/>
      <c r="DV424" s="238"/>
      <c r="DW424" s="238"/>
      <c r="DX424" s="239"/>
      <c r="DY424" s="237">
        <f>SUM(COUNTIFS('Form Details'!$D:$D,"&lt;"&amp;'Adv. Filter'!$A$15,'Form Details'!$N:$N,"Kiran",'Form Details'!$J:$J,$C424,'Form Details'!$W:$W,{"Wrong Entry ","Double Entry"}))</f>
        <v>0</v>
      </c>
      <c r="DZ424" s="238"/>
      <c r="EA424" s="238"/>
      <c r="EB424" s="238"/>
      <c r="EC424" s="238"/>
      <c r="ED424" s="238"/>
      <c r="EE424" s="239"/>
    </row>
    <row r="425" spans="3:135" hidden="1">
      <c r="C425" s="248" t="s">
        <v>102</v>
      </c>
      <c r="D425" s="249"/>
      <c r="E425" s="249"/>
      <c r="F425" s="249"/>
      <c r="G425" s="249"/>
      <c r="H425" s="249"/>
      <c r="I425" s="249"/>
      <c r="J425" s="249"/>
      <c r="K425" s="249"/>
      <c r="L425" s="249"/>
      <c r="M425" s="249"/>
      <c r="N425" s="249"/>
      <c r="O425" s="237">
        <f>COUNTIFS('Form Details'!$D:$D,"&lt;"&amp;'Adv. Filter'!$A$15,'Form Details'!$N:$N,"Kiran",'Form Details'!$J:$J,$C425)</f>
        <v>0</v>
      </c>
      <c r="P425" s="238"/>
      <c r="Q425" s="238"/>
      <c r="R425" s="238"/>
      <c r="S425" s="238"/>
      <c r="T425" s="238"/>
      <c r="U425" s="239"/>
      <c r="V425" s="100"/>
      <c r="W425" s="237">
        <f>COUNTIFS('Form Details'!$D:$D,"&lt;"&amp;'Adv. Filter'!$A$15,'Form Details'!$N:$N,"Kiran",'Form Details'!$J:$J,$C425,'Form Details'!$AA:$AA,"Yes")</f>
        <v>0</v>
      </c>
      <c r="X425" s="238"/>
      <c r="Y425" s="238"/>
      <c r="Z425" s="238"/>
      <c r="AA425" s="238"/>
      <c r="AB425" s="238"/>
      <c r="AC425" s="239"/>
      <c r="AD425" s="237">
        <f>COUNTIFS('Form Details'!$D:$D,"&lt;"&amp;'Adv. Filter'!$A$15,'Form Details'!$N:$N,"Kiran",'Form Details'!$J:$J,$C425,'Form Details'!$W:$W,"Paid",'Form Details'!$S:$S,'Adv. Filter'!$A$14,'Form Details'!$S:$S,'Adv. Filter'!$B$14)</f>
        <v>0</v>
      </c>
      <c r="AE425" s="238"/>
      <c r="AF425" s="238"/>
      <c r="AG425" s="238"/>
      <c r="AH425" s="238"/>
      <c r="AI425" s="238"/>
      <c r="AJ425" s="239"/>
      <c r="AK425" s="237">
        <f>COUNTIFS('Form Details'!$D:$D,"&lt;"&amp;'Adv. Filter'!$A$15,'Form Details'!$N:$N,"Kiran",'Form Details'!$J:$J,$C425,'Form Details'!$W:$W,"Due")</f>
        <v>0</v>
      </c>
      <c r="AL425" s="238"/>
      <c r="AM425" s="238"/>
      <c r="AN425" s="238"/>
      <c r="AO425" s="238"/>
      <c r="AP425" s="238"/>
      <c r="AQ425" s="239"/>
      <c r="AR425" s="237">
        <f>COUNTIFS('Form Details'!$D:$D,"&lt;"&amp;'Adv. Filter'!$A$15,'Form Details'!$N:$N,"Kiran",'Form Details'!$J:$J,$C425,'Form Details'!$W:$W,"No Fee")</f>
        <v>0</v>
      </c>
      <c r="AS425" s="238"/>
      <c r="AT425" s="238"/>
      <c r="AU425" s="238"/>
      <c r="AV425" s="238"/>
      <c r="AW425" s="238"/>
      <c r="AX425" s="239"/>
      <c r="AY425" s="237">
        <f>COUNTIFS('Form Details'!$D:$D,"&lt;"&amp;'Adv. Filter'!$A$15,'Form Details'!$N:$N,"Kiran",'Form Details'!$J:$J,$C425,'Form Details'!$W:$W,"Paid/Reject")</f>
        <v>0</v>
      </c>
      <c r="AZ425" s="238"/>
      <c r="BA425" s="238"/>
      <c r="BB425" s="238"/>
      <c r="BC425" s="238"/>
      <c r="BD425" s="238"/>
      <c r="BE425" s="239"/>
      <c r="BF425" s="237">
        <f>COUNTIFS('Form Details'!$D:$D,"&lt;"&amp;'Adv. Filter'!$A$15,'Form Details'!$N:$N,"Kiran",'Form Details'!$J:$J,$C425,'Form Details'!$W:$W,"Staff")</f>
        <v>0</v>
      </c>
      <c r="BG425" s="238"/>
      <c r="BH425" s="238"/>
      <c r="BI425" s="238"/>
      <c r="BJ425" s="238"/>
      <c r="BK425" s="238"/>
      <c r="BL425" s="239"/>
      <c r="BM425" s="237">
        <f>COUNTIFS('Form Details'!$D:$D,"&lt;"&amp;'Adv. Filter'!$A$15,'Form Details'!$N:$N,"Kiran",'Form Details'!$J:$J,$C425,'Form Details'!$W:$W,"File In Office")</f>
        <v>0</v>
      </c>
      <c r="BN425" s="238"/>
      <c r="BO425" s="238"/>
      <c r="BP425" s="238"/>
      <c r="BQ425" s="238"/>
      <c r="BR425" s="238"/>
      <c r="BS425" s="239"/>
      <c r="BT425" s="100"/>
      <c r="BU425" s="237">
        <f>COUNTIFS('Form Details'!$D:$D,"&lt;"&amp;'Adv. Filter'!$A$15,'Form Details'!$N:$N,"Kiran",'Form Details'!$J:$J,$C425,'Form Details'!$AA:$AA,"No")</f>
        <v>0</v>
      </c>
      <c r="BV425" s="238"/>
      <c r="BW425" s="238"/>
      <c r="BX425" s="238"/>
      <c r="BY425" s="238"/>
      <c r="BZ425" s="238"/>
      <c r="CA425" s="239"/>
      <c r="CB425" s="237">
        <f>COUNTIFS('Form Details'!$D:$D,"&lt;"&amp;'Adv. Filter'!$A$15,'Form Details'!$N:$N,"Kiran",'Form Details'!$J:$J,$C425,'Form Details'!$W:$W,"Adv/Paid")</f>
        <v>0</v>
      </c>
      <c r="CC425" s="238"/>
      <c r="CD425" s="238"/>
      <c r="CE425" s="238"/>
      <c r="CF425" s="238"/>
      <c r="CG425" s="238"/>
      <c r="CH425" s="239"/>
      <c r="CI425" s="237">
        <f>COUNTIFS('Form Details'!$D:$D,"&lt;"&amp;'Adv. Filter'!$A$15,'Form Details'!$N:$N,"Kiran",'Form Details'!$J:$J,$C425,'Form Details'!$W:$W,"Adv/Paid/Reject")</f>
        <v>0</v>
      </c>
      <c r="CJ425" s="238"/>
      <c r="CK425" s="238"/>
      <c r="CL425" s="238"/>
      <c r="CM425" s="238"/>
      <c r="CN425" s="238"/>
      <c r="CO425" s="239"/>
      <c r="CP425" s="237">
        <f>COUNTIFS('Form Details'!$D:$D,"&lt;"&amp;'Adv. Filter'!$A$15,'Form Details'!$N:$N,"Kiran",'Form Details'!$J:$J,$C425,'Form Details'!$W:$W,"Reject")</f>
        <v>0</v>
      </c>
      <c r="CQ425" s="238"/>
      <c r="CR425" s="238"/>
      <c r="CS425" s="238"/>
      <c r="CT425" s="238"/>
      <c r="CU425" s="238"/>
      <c r="CV425" s="239"/>
      <c r="CW425" s="237">
        <f>COUNTIFS('Form Details'!$D:$D,"&lt;"&amp;'Adv. Filter'!$A$15,'Form Details'!$N:$N,"Kiran",'Form Details'!$J:$J,$C425,'Form Details'!$W:$W,"Adv/Paid/Pending")</f>
        <v>0</v>
      </c>
      <c r="CX425" s="238"/>
      <c r="CY425" s="238"/>
      <c r="CZ425" s="238"/>
      <c r="DA425" s="238"/>
      <c r="DB425" s="238"/>
      <c r="DC425" s="239"/>
      <c r="DD425" s="237">
        <f>COUNTIFS('Form Details'!$D:$D,"&lt;"&amp;'Adv. Filter'!$A$15,'Form Details'!$N:$N,"Kiran",'Form Details'!$J:$J,$C425,'Form Details'!$W:$W,"Pending")</f>
        <v>0</v>
      </c>
      <c r="DE425" s="238"/>
      <c r="DF425" s="238"/>
      <c r="DG425" s="238"/>
      <c r="DH425" s="238"/>
      <c r="DI425" s="238"/>
      <c r="DJ425" s="239"/>
      <c r="DK425" s="237">
        <f>COUNTIFS('Form Details'!$D:$D,"&lt;"&amp;'Adv. Filter'!$A$15,'Form Details'!$N:$N,"Kiran",'Form Details'!$J:$J,$C425,'Form Details'!$W:$W,"Adv/Paid/NoStatus")</f>
        <v>0</v>
      </c>
      <c r="DL425" s="238"/>
      <c r="DM425" s="238"/>
      <c r="DN425" s="238"/>
      <c r="DO425" s="238"/>
      <c r="DP425" s="238"/>
      <c r="DQ425" s="239"/>
      <c r="DR425" s="237">
        <f>COUNTIFS('Form Details'!$D:$D,"&lt;"&amp;'Adv. Filter'!$A$15,'Form Details'!$N:$N,"Kiran",'Form Details'!$J:$J,$C425,'Form Details'!$W:$W,"No Status")</f>
        <v>0</v>
      </c>
      <c r="DS425" s="238"/>
      <c r="DT425" s="238"/>
      <c r="DU425" s="238"/>
      <c r="DV425" s="238"/>
      <c r="DW425" s="238"/>
      <c r="DX425" s="239"/>
      <c r="DY425" s="237">
        <f>SUM(COUNTIFS('Form Details'!$D:$D,"&lt;"&amp;'Adv. Filter'!$A$15,'Form Details'!$N:$N,"Kiran",'Form Details'!$J:$J,$C425,'Form Details'!$W:$W,{"Wrong Entry ","Double Entry"}))</f>
        <v>0</v>
      </c>
      <c r="DZ425" s="238"/>
      <c r="EA425" s="238"/>
      <c r="EB425" s="238"/>
      <c r="EC425" s="238"/>
      <c r="ED425" s="238"/>
      <c r="EE425" s="239"/>
    </row>
    <row r="426" spans="3:135" ht="15.75" hidden="1" thickBot="1">
      <c r="C426" s="248" t="s">
        <v>108</v>
      </c>
      <c r="D426" s="249"/>
      <c r="E426" s="249"/>
      <c r="F426" s="249"/>
      <c r="G426" s="249"/>
      <c r="H426" s="249"/>
      <c r="I426" s="249"/>
      <c r="J426" s="249"/>
      <c r="K426" s="249"/>
      <c r="L426" s="249"/>
      <c r="M426" s="249"/>
      <c r="N426" s="249"/>
      <c r="O426" s="237">
        <f>COUNTIFS('Form Details'!$D:$D,"&lt;"&amp;'Adv. Filter'!$A$15,'Form Details'!$N:$N,"Kiran",'Form Details'!$J:$J,$C426)</f>
        <v>0</v>
      </c>
      <c r="P426" s="238"/>
      <c r="Q426" s="238"/>
      <c r="R426" s="238"/>
      <c r="S426" s="238"/>
      <c r="T426" s="238"/>
      <c r="U426" s="239"/>
      <c r="V426" s="100"/>
      <c r="W426" s="237">
        <f>COUNTIFS('Form Details'!$D:$D,"&lt;"&amp;'Adv. Filter'!$A$15,'Form Details'!$N:$N,"Kiran",'Form Details'!$J:$J,$C426,'Form Details'!$AA:$AA,"Yes")</f>
        <v>0</v>
      </c>
      <c r="X426" s="238"/>
      <c r="Y426" s="238"/>
      <c r="Z426" s="238"/>
      <c r="AA426" s="238"/>
      <c r="AB426" s="238"/>
      <c r="AC426" s="239"/>
      <c r="AD426" s="237">
        <f>COUNTIFS('Form Details'!$D:$D,"&lt;"&amp;'Adv. Filter'!$A$15,'Form Details'!$N:$N,"Kiran",'Form Details'!$J:$J,$C426,'Form Details'!$W:$W,"Paid",'Form Details'!$S:$S,'Adv. Filter'!$A$14,'Form Details'!$S:$S,'Adv. Filter'!$B$14)</f>
        <v>0</v>
      </c>
      <c r="AE426" s="238"/>
      <c r="AF426" s="238"/>
      <c r="AG426" s="238"/>
      <c r="AH426" s="238"/>
      <c r="AI426" s="238"/>
      <c r="AJ426" s="239"/>
      <c r="AK426" s="237">
        <f>COUNTIFS('Form Details'!$D:$D,"&lt;"&amp;'Adv. Filter'!$A$15,'Form Details'!$N:$N,"Kiran",'Form Details'!$J:$J,$C426,'Form Details'!$W:$W,"Due")</f>
        <v>0</v>
      </c>
      <c r="AL426" s="238"/>
      <c r="AM426" s="238"/>
      <c r="AN426" s="238"/>
      <c r="AO426" s="238"/>
      <c r="AP426" s="238"/>
      <c r="AQ426" s="239"/>
      <c r="AR426" s="240">
        <f>COUNTIFS('Form Details'!$D:$D,"&lt;"&amp;'Adv. Filter'!$A$15,'Form Details'!$N:$N,"Kiran",'Form Details'!$J:$J,$C426,'Form Details'!$W:$W,"No Fee")</f>
        <v>0</v>
      </c>
      <c r="AS426" s="241"/>
      <c r="AT426" s="241"/>
      <c r="AU426" s="241"/>
      <c r="AV426" s="241"/>
      <c r="AW426" s="241"/>
      <c r="AX426" s="242"/>
      <c r="AY426" s="240">
        <f>COUNTIFS('Form Details'!$D:$D,"&lt;"&amp;'Adv. Filter'!$A$15,'Form Details'!$N:$N,"Kiran",'Form Details'!$J:$J,$C426,'Form Details'!$W:$W,"Paid/Reject")</f>
        <v>0</v>
      </c>
      <c r="AZ426" s="241"/>
      <c r="BA426" s="241"/>
      <c r="BB426" s="241"/>
      <c r="BC426" s="241"/>
      <c r="BD426" s="241"/>
      <c r="BE426" s="242"/>
      <c r="BF426" s="240">
        <f>COUNTIFS('Form Details'!$D:$D,"&lt;"&amp;'Adv. Filter'!$A$15,'Form Details'!$N:$N,"Kiran",'Form Details'!$J:$J,$C426,'Form Details'!$W:$W,"Staff")</f>
        <v>0</v>
      </c>
      <c r="BG426" s="241"/>
      <c r="BH426" s="241"/>
      <c r="BI426" s="241"/>
      <c r="BJ426" s="241"/>
      <c r="BK426" s="241"/>
      <c r="BL426" s="242"/>
      <c r="BM426" s="240">
        <f>COUNTIFS('Form Details'!$D:$D,"&lt;"&amp;'Adv. Filter'!$A$15,'Form Details'!$N:$N,"Kiran",'Form Details'!$J:$J,$C426,'Form Details'!$W:$W,"File In Office")</f>
        <v>0</v>
      </c>
      <c r="BN426" s="241"/>
      <c r="BO426" s="241"/>
      <c r="BP426" s="241"/>
      <c r="BQ426" s="241"/>
      <c r="BR426" s="241"/>
      <c r="BS426" s="242"/>
      <c r="BT426" s="100"/>
      <c r="BU426" s="240">
        <f>COUNTIFS('Form Details'!$D:$D,"&lt;"&amp;'Adv. Filter'!$A$15,'Form Details'!$N:$N,"Kiran",'Form Details'!$J:$J,$C426,'Form Details'!$AA:$AA,"No")</f>
        <v>0</v>
      </c>
      <c r="BV426" s="241"/>
      <c r="BW426" s="241"/>
      <c r="BX426" s="241"/>
      <c r="BY426" s="241"/>
      <c r="BZ426" s="241"/>
      <c r="CA426" s="242"/>
      <c r="CB426" s="240">
        <f>COUNTIFS('Form Details'!$D:$D,"&lt;"&amp;'Adv. Filter'!$A$15,'Form Details'!$N:$N,"Kiran",'Form Details'!$J:$J,$C426,'Form Details'!$W:$W,"Adv/Paid")</f>
        <v>0</v>
      </c>
      <c r="CC426" s="241"/>
      <c r="CD426" s="241"/>
      <c r="CE426" s="241"/>
      <c r="CF426" s="241"/>
      <c r="CG426" s="241"/>
      <c r="CH426" s="242"/>
      <c r="CI426" s="240">
        <f>COUNTIFS('Form Details'!$D:$D,"&lt;"&amp;'Adv. Filter'!$A$15,'Form Details'!$N:$N,"Kiran",'Form Details'!$J:$J,$C426,'Form Details'!$W:$W,"Adv/Paid/Reject")</f>
        <v>0</v>
      </c>
      <c r="CJ426" s="241"/>
      <c r="CK426" s="241"/>
      <c r="CL426" s="241"/>
      <c r="CM426" s="241"/>
      <c r="CN426" s="241"/>
      <c r="CO426" s="242"/>
      <c r="CP426" s="240">
        <f>COUNTIFS('Form Details'!$D:$D,"&lt;"&amp;'Adv. Filter'!$A$15,'Form Details'!$N:$N,"Kiran",'Form Details'!$J:$J,$C426,'Form Details'!$W:$W,"Reject")</f>
        <v>0</v>
      </c>
      <c r="CQ426" s="241"/>
      <c r="CR426" s="241"/>
      <c r="CS426" s="241"/>
      <c r="CT426" s="241"/>
      <c r="CU426" s="241"/>
      <c r="CV426" s="242"/>
      <c r="CW426" s="240">
        <f>COUNTIFS('Form Details'!$D:$D,"&lt;"&amp;'Adv. Filter'!$A$15,'Form Details'!$N:$N,"Kiran",'Form Details'!$J:$J,$C426,'Form Details'!$W:$W,"Adv/Paid/Pending")</f>
        <v>0</v>
      </c>
      <c r="CX426" s="241"/>
      <c r="CY426" s="241"/>
      <c r="CZ426" s="241"/>
      <c r="DA426" s="241"/>
      <c r="DB426" s="241"/>
      <c r="DC426" s="242"/>
      <c r="DD426" s="240">
        <f>COUNTIFS('Form Details'!$D:$D,"&lt;"&amp;'Adv. Filter'!$A$15,'Form Details'!$N:$N,"Kiran",'Form Details'!$J:$J,$C426,'Form Details'!$W:$W,"Pending")</f>
        <v>0</v>
      </c>
      <c r="DE426" s="241"/>
      <c r="DF426" s="241"/>
      <c r="DG426" s="241"/>
      <c r="DH426" s="241"/>
      <c r="DI426" s="241"/>
      <c r="DJ426" s="242"/>
      <c r="DK426" s="240">
        <f>COUNTIFS('Form Details'!$D:$D,"&lt;"&amp;'Adv. Filter'!$A$15,'Form Details'!$N:$N,"Kiran",'Form Details'!$J:$J,$C426,'Form Details'!$W:$W,"Adv/Paid/NoStatus")</f>
        <v>0</v>
      </c>
      <c r="DL426" s="241"/>
      <c r="DM426" s="241"/>
      <c r="DN426" s="241"/>
      <c r="DO426" s="241"/>
      <c r="DP426" s="241"/>
      <c r="DQ426" s="242"/>
      <c r="DR426" s="240">
        <f>COUNTIFS('Form Details'!$D:$D,"&lt;"&amp;'Adv. Filter'!$A$15,'Form Details'!$N:$N,"Kiran",'Form Details'!$J:$J,$C426,'Form Details'!$W:$W,"No Status")</f>
        <v>0</v>
      </c>
      <c r="DS426" s="241"/>
      <c r="DT426" s="241"/>
      <c r="DU426" s="241"/>
      <c r="DV426" s="241"/>
      <c r="DW426" s="241"/>
      <c r="DX426" s="242"/>
      <c r="DY426" s="240">
        <f>SUM(COUNTIFS('Form Details'!$D:$D,"&lt;"&amp;'Adv. Filter'!$A$15,'Form Details'!$N:$N,"Kiran",'Form Details'!$J:$J,$C426,'Form Details'!$W:$W,{"Wrong Entry ","Double Entry"}))</f>
        <v>0</v>
      </c>
      <c r="DZ426" s="241"/>
      <c r="EA426" s="241"/>
      <c r="EB426" s="241"/>
      <c r="EC426" s="241"/>
      <c r="ED426" s="241"/>
      <c r="EE426" s="242"/>
    </row>
    <row r="427" spans="3:135" ht="15.75" hidden="1" thickTop="1">
      <c r="C427" s="246" t="s">
        <v>503</v>
      </c>
      <c r="D427" s="247"/>
      <c r="E427" s="247"/>
      <c r="F427" s="247"/>
      <c r="G427" s="247"/>
      <c r="H427" s="247"/>
      <c r="I427" s="247"/>
      <c r="J427" s="247"/>
      <c r="K427" s="247"/>
      <c r="L427" s="247"/>
      <c r="M427" s="247"/>
      <c r="N427" s="247"/>
      <c r="O427" s="243">
        <f>SUM(O410:U426)</f>
        <v>52</v>
      </c>
      <c r="P427" s="244"/>
      <c r="Q427" s="244"/>
      <c r="R427" s="244"/>
      <c r="S427" s="244"/>
      <c r="T427" s="244"/>
      <c r="U427" s="244"/>
      <c r="V427" s="106"/>
      <c r="W427" s="243">
        <f>SUM(W410:AC426)</f>
        <v>51</v>
      </c>
      <c r="X427" s="244"/>
      <c r="Y427" s="244"/>
      <c r="Z427" s="244"/>
      <c r="AA427" s="244"/>
      <c r="AB427" s="244"/>
      <c r="AC427" s="244"/>
      <c r="AD427" s="243">
        <f>SUM(AD410:AJ426)</f>
        <v>14</v>
      </c>
      <c r="AE427" s="244"/>
      <c r="AF427" s="244"/>
      <c r="AG427" s="244"/>
      <c r="AH427" s="244"/>
      <c r="AI427" s="244"/>
      <c r="AJ427" s="244"/>
      <c r="AK427" s="243">
        <f>SUM(AK410:AQ426)</f>
        <v>38</v>
      </c>
      <c r="AL427" s="244"/>
      <c r="AM427" s="244"/>
      <c r="AN427" s="244"/>
      <c r="AO427" s="244"/>
      <c r="AP427" s="244"/>
      <c r="AQ427" s="244"/>
      <c r="AR427" s="243">
        <f>SUM(AR410:AX426)</f>
        <v>0</v>
      </c>
      <c r="AS427" s="244"/>
      <c r="AT427" s="244"/>
      <c r="AU427" s="244"/>
      <c r="AV427" s="244"/>
      <c r="AW427" s="244"/>
      <c r="AX427" s="244"/>
      <c r="AY427" s="243">
        <f>SUM(AY410:BE426)</f>
        <v>0</v>
      </c>
      <c r="AZ427" s="244"/>
      <c r="BA427" s="244"/>
      <c r="BB427" s="244"/>
      <c r="BC427" s="244"/>
      <c r="BD427" s="244"/>
      <c r="BE427" s="244"/>
      <c r="BF427" s="243">
        <f>SUM(BF410:BL426)</f>
        <v>0</v>
      </c>
      <c r="BG427" s="244"/>
      <c r="BH427" s="244"/>
      <c r="BI427" s="244"/>
      <c r="BJ427" s="244"/>
      <c r="BK427" s="244"/>
      <c r="BL427" s="244"/>
      <c r="BM427" s="243">
        <f>SUM(BM410:BS426)</f>
        <v>0</v>
      </c>
      <c r="BN427" s="244"/>
      <c r="BO427" s="244"/>
      <c r="BP427" s="244"/>
      <c r="BQ427" s="244"/>
      <c r="BR427" s="244"/>
      <c r="BS427" s="244"/>
      <c r="BT427" s="106"/>
      <c r="BU427" s="243">
        <f>SUM(BU410:CA426)</f>
        <v>1</v>
      </c>
      <c r="BV427" s="244"/>
      <c r="BW427" s="244"/>
      <c r="BX427" s="244"/>
      <c r="BY427" s="244"/>
      <c r="BZ427" s="244"/>
      <c r="CA427" s="244"/>
      <c r="CB427" s="243">
        <f>SUM(CB410:CH426)</f>
        <v>0</v>
      </c>
      <c r="CC427" s="244"/>
      <c r="CD427" s="244"/>
      <c r="CE427" s="244"/>
      <c r="CF427" s="244"/>
      <c r="CG427" s="244"/>
      <c r="CH427" s="244"/>
      <c r="CI427" s="243">
        <f>SUM(CI410:CO426)</f>
        <v>0</v>
      </c>
      <c r="CJ427" s="244"/>
      <c r="CK427" s="244"/>
      <c r="CL427" s="244"/>
      <c r="CM427" s="244"/>
      <c r="CN427" s="244"/>
      <c r="CO427" s="244"/>
      <c r="CP427" s="243">
        <f>SUM(CP410:CV426)</f>
        <v>0</v>
      </c>
      <c r="CQ427" s="244"/>
      <c r="CR427" s="244"/>
      <c r="CS427" s="244"/>
      <c r="CT427" s="244"/>
      <c r="CU427" s="244"/>
      <c r="CV427" s="244"/>
      <c r="CW427" s="243">
        <f>SUM(CW410:DC426)</f>
        <v>0</v>
      </c>
      <c r="CX427" s="244"/>
      <c r="CY427" s="244"/>
      <c r="CZ427" s="244"/>
      <c r="DA427" s="244"/>
      <c r="DB427" s="244"/>
      <c r="DC427" s="244"/>
      <c r="DD427" s="243">
        <f>SUM(DD410:DJ426)</f>
        <v>0</v>
      </c>
      <c r="DE427" s="244"/>
      <c r="DF427" s="244"/>
      <c r="DG427" s="244"/>
      <c r="DH427" s="244"/>
      <c r="DI427" s="244"/>
      <c r="DJ427" s="244"/>
      <c r="DK427" s="243">
        <f>SUM(DK410:DQ426)</f>
        <v>0</v>
      </c>
      <c r="DL427" s="244"/>
      <c r="DM427" s="244"/>
      <c r="DN427" s="244"/>
      <c r="DO427" s="244"/>
      <c r="DP427" s="244"/>
      <c r="DQ427" s="244"/>
      <c r="DR427" s="243">
        <f>SUM(DR410:DX426)</f>
        <v>0</v>
      </c>
      <c r="DS427" s="244"/>
      <c r="DT427" s="244"/>
      <c r="DU427" s="244"/>
      <c r="DV427" s="244"/>
      <c r="DW427" s="244"/>
      <c r="DX427" s="244"/>
      <c r="DY427" s="243">
        <f>SUM(DY410:EE426)</f>
        <v>0</v>
      </c>
      <c r="DZ427" s="244"/>
      <c r="EA427" s="244"/>
      <c r="EB427" s="244"/>
      <c r="EC427" s="244"/>
      <c r="ED427" s="244"/>
      <c r="EE427" s="244"/>
    </row>
    <row r="428" spans="3:135" hidden="1"/>
    <row r="429" spans="3:135" hidden="1"/>
    <row r="430" spans="3:135" hidden="1"/>
    <row r="431" spans="3:135" hidden="1"/>
    <row r="432" spans="3:135" hidden="1"/>
    <row r="433" hidden="1"/>
    <row r="434" hidden="1"/>
    <row r="435" hidden="1"/>
    <row r="436" hidden="1"/>
    <row r="437" hidden="1"/>
    <row r="438" hidden="1"/>
    <row r="439" hidden="1"/>
    <row r="440" hidden="1"/>
    <row r="441" hidden="1"/>
    <row r="442" hidden="1"/>
    <row r="443" hidden="1"/>
    <row r="444" hidden="1"/>
    <row r="445" hidden="1"/>
    <row r="446" hidden="1"/>
    <row r="447" hidden="1"/>
    <row r="448" hidden="1"/>
    <row r="449" spans="1:112" hidden="1"/>
    <row r="450" spans="1:112" hidden="1">
      <c r="A450" s="303"/>
      <c r="B450" s="303"/>
      <c r="C450" s="303"/>
      <c r="D450" s="303"/>
      <c r="E450" s="303"/>
      <c r="F450" s="303"/>
      <c r="G450" s="303"/>
      <c r="H450" s="303"/>
      <c r="I450" s="303"/>
      <c r="J450" s="303"/>
      <c r="K450" s="303"/>
      <c r="L450" s="303"/>
      <c r="M450" s="303"/>
      <c r="N450" s="303"/>
      <c r="O450" s="303"/>
      <c r="P450" s="303"/>
      <c r="Q450" s="303"/>
      <c r="R450" s="303"/>
      <c r="S450" s="303"/>
      <c r="T450" s="303"/>
      <c r="U450" s="303"/>
      <c r="V450" s="303"/>
      <c r="W450" s="303"/>
      <c r="X450" s="303"/>
      <c r="Y450" s="303"/>
      <c r="Z450" s="303"/>
      <c r="AA450" s="303"/>
      <c r="AB450" s="303"/>
      <c r="AC450" s="303"/>
      <c r="AD450" s="303"/>
      <c r="AE450" s="303"/>
      <c r="AF450" s="303"/>
      <c r="AG450" s="303"/>
      <c r="AH450" s="303"/>
      <c r="AI450" s="303"/>
      <c r="AJ450" s="303"/>
      <c r="AK450" s="303"/>
      <c r="AL450" s="303"/>
      <c r="AM450" s="303"/>
      <c r="AN450" s="303"/>
      <c r="AO450" s="303"/>
      <c r="AP450" s="303"/>
      <c r="AQ450" s="303"/>
      <c r="AR450" s="303"/>
      <c r="AS450" s="303"/>
      <c r="AT450" s="303"/>
      <c r="AU450" s="303"/>
      <c r="AV450" s="303"/>
      <c r="AW450" s="303"/>
      <c r="AX450" s="303"/>
      <c r="AY450" s="303"/>
      <c r="AZ450" s="303"/>
      <c r="BA450" s="303"/>
      <c r="BB450" s="303"/>
      <c r="BC450" s="303"/>
      <c r="BD450" s="303"/>
      <c r="BE450" s="303"/>
      <c r="BF450" s="303"/>
      <c r="BG450" s="303"/>
      <c r="BH450" s="303"/>
      <c r="BI450" s="303"/>
      <c r="BJ450" s="303"/>
      <c r="BK450" s="303"/>
      <c r="BL450" s="303"/>
      <c r="BM450" s="303"/>
      <c r="BN450" s="303"/>
      <c r="BO450" s="303"/>
      <c r="BP450" s="303"/>
      <c r="BQ450" s="303"/>
      <c r="BR450" s="303"/>
      <c r="BS450" s="303"/>
      <c r="BT450" s="303"/>
      <c r="BU450" s="303"/>
      <c r="BV450" s="303"/>
      <c r="BW450" s="303"/>
      <c r="BX450" s="303"/>
      <c r="BY450" s="303"/>
      <c r="BZ450" s="303"/>
      <c r="CA450" s="303"/>
      <c r="CB450" s="303"/>
      <c r="CC450" s="303"/>
      <c r="CD450" s="303"/>
      <c r="CE450" s="303"/>
      <c r="CF450" s="303"/>
      <c r="CG450" s="303"/>
      <c r="CH450" s="303"/>
      <c r="CI450" s="303"/>
      <c r="CJ450" s="303"/>
      <c r="CK450" s="303"/>
      <c r="CL450" s="303"/>
      <c r="CM450" s="303"/>
      <c r="CN450" s="303"/>
      <c r="CO450" s="303"/>
      <c r="CP450" s="303"/>
      <c r="CQ450" s="303"/>
      <c r="CR450" s="303"/>
      <c r="CS450" s="303"/>
      <c r="CT450" s="303"/>
      <c r="CU450" s="303"/>
      <c r="CV450" s="303"/>
      <c r="CW450" s="303"/>
      <c r="CX450" s="303"/>
      <c r="CY450" s="303"/>
      <c r="CZ450" s="303"/>
    </row>
    <row r="451" spans="1:112" hidden="1"/>
    <row r="452" spans="1:112" hidden="1"/>
    <row r="453" spans="1:112" ht="15" hidden="1" customHeight="1">
      <c r="AR453" s="441" t="s">
        <v>517</v>
      </c>
      <c r="AS453" s="441"/>
      <c r="AT453" s="441"/>
      <c r="AU453" s="441"/>
      <c r="AV453" s="441"/>
      <c r="AW453" s="441"/>
      <c r="AX453" s="441"/>
      <c r="AY453" s="441"/>
      <c r="AZ453" s="441"/>
      <c r="BA453" s="441"/>
      <c r="BB453" s="441"/>
      <c r="BC453" s="441"/>
      <c r="BD453" s="441"/>
      <c r="BE453" s="441"/>
      <c r="BF453" s="441"/>
      <c r="BG453" s="441"/>
      <c r="BH453" s="441"/>
      <c r="BI453" s="441"/>
      <c r="BJ453" s="441"/>
      <c r="BK453" s="441"/>
      <c r="BL453" s="441"/>
      <c r="BM453" s="441"/>
      <c r="BN453" s="441"/>
      <c r="BO453" s="441"/>
      <c r="BP453" s="441"/>
      <c r="BQ453" s="441"/>
      <c r="BR453" s="441"/>
      <c r="BS453" s="441"/>
      <c r="BT453" s="441"/>
      <c r="BU453" s="441"/>
      <c r="BV453" s="441"/>
      <c r="BW453" s="441"/>
      <c r="BX453" s="441"/>
      <c r="BY453" s="441"/>
      <c r="BZ453" s="441"/>
      <c r="CA453" s="441"/>
      <c r="CB453" s="441"/>
      <c r="CC453" s="441"/>
      <c r="CD453" s="441"/>
      <c r="CE453" s="441"/>
      <c r="CF453" s="441"/>
      <c r="CG453" s="441"/>
      <c r="CH453" s="441"/>
      <c r="CI453" s="441"/>
      <c r="CJ453" s="441"/>
      <c r="CK453" s="441"/>
      <c r="CL453" s="441"/>
      <c r="CM453" s="50"/>
      <c r="CN453" s="50"/>
      <c r="CO453" s="50"/>
      <c r="CP453" s="50"/>
      <c r="CQ453" s="50"/>
      <c r="CR453" s="50"/>
      <c r="CS453" s="50"/>
      <c r="CT453" s="50"/>
      <c r="CU453" s="50"/>
      <c r="CV453" s="50"/>
      <c r="CW453" s="50"/>
    </row>
    <row r="454" spans="1:112" ht="15" hidden="1" customHeight="1">
      <c r="AR454" s="451" t="str">
        <f>CONCATENATE("Statement As of  ",TEXT('Adv. Filter'!$A$15,"DD-MMM-YYYY"), " TO ",TEXT('Adv. Filter'!$B$15,"DD-MMM-YYYY"))</f>
        <v>Statement As of  01-Jan-2017 TO 13-Oct-2017</v>
      </c>
      <c r="AS454" s="451"/>
      <c r="AT454" s="451"/>
      <c r="AU454" s="451"/>
      <c r="AV454" s="451"/>
      <c r="AW454" s="451"/>
      <c r="AX454" s="451"/>
      <c r="AY454" s="451"/>
      <c r="AZ454" s="451"/>
      <c r="BA454" s="451"/>
      <c r="BB454" s="451"/>
      <c r="BC454" s="451"/>
      <c r="BD454" s="451"/>
      <c r="BE454" s="451"/>
      <c r="BF454" s="451"/>
      <c r="BG454" s="451"/>
      <c r="BH454" s="451"/>
      <c r="BI454" s="451"/>
      <c r="BJ454" s="451"/>
      <c r="BK454" s="451"/>
      <c r="BL454" s="451"/>
      <c r="BM454" s="451"/>
      <c r="BN454" s="451"/>
      <c r="BO454" s="451"/>
      <c r="BP454" s="451"/>
      <c r="BQ454" s="451"/>
      <c r="BR454" s="451"/>
      <c r="BS454" s="451"/>
      <c r="BT454" s="451"/>
      <c r="BU454" s="451"/>
      <c r="BV454" s="451"/>
      <c r="BW454" s="451"/>
      <c r="BX454" s="451"/>
      <c r="BY454" s="451"/>
      <c r="BZ454" s="451"/>
      <c r="CA454" s="451"/>
      <c r="CB454" s="451"/>
      <c r="CC454" s="451"/>
      <c r="CD454" s="451"/>
      <c r="CE454" s="451"/>
      <c r="CF454" s="451"/>
      <c r="CG454" s="451"/>
      <c r="CH454" s="451"/>
      <c r="CI454" s="451"/>
      <c r="CJ454" s="451"/>
      <c r="CK454" s="451"/>
      <c r="CL454" s="451"/>
      <c r="CM454" s="50"/>
      <c r="CN454" s="50"/>
      <c r="CO454" s="50"/>
      <c r="CP454" s="50"/>
      <c r="CQ454" s="50"/>
      <c r="CR454" s="50"/>
    </row>
    <row r="455" spans="1:112" hidden="1"/>
    <row r="456" spans="1:112" ht="15.75" hidden="1">
      <c r="C456" s="452" t="s">
        <v>513</v>
      </c>
      <c r="D456" s="452"/>
      <c r="E456" s="452"/>
      <c r="F456" s="452"/>
      <c r="G456" s="452"/>
      <c r="H456" s="452"/>
      <c r="I456" s="452"/>
      <c r="J456" s="452"/>
      <c r="K456" s="452"/>
      <c r="L456" s="452"/>
      <c r="M456" s="452"/>
      <c r="N456" s="452"/>
      <c r="O456" s="452"/>
      <c r="P456" s="452"/>
      <c r="Q456" s="452"/>
      <c r="R456" s="452"/>
      <c r="S456" s="452"/>
      <c r="T456" s="453" t="str">
        <f>CONCATENATE("PRESENT   ",TEXT('Adv. Filter'!$A$15,"( DD-MMM-YY"), " TO ",TEXT('Adv. Filter'!$B$15,"DD-MMM-YY )"))</f>
        <v>PRESENT   ( 01-Jan-17 TO 13-Oct-17 )</v>
      </c>
      <c r="U456" s="454"/>
      <c r="V456" s="454"/>
      <c r="W456" s="454"/>
      <c r="X456" s="454"/>
      <c r="Y456" s="454"/>
      <c r="Z456" s="454"/>
      <c r="AA456" s="454"/>
      <c r="AB456" s="454"/>
      <c r="AC456" s="454"/>
      <c r="AD456" s="454"/>
      <c r="AE456" s="454"/>
      <c r="AF456" s="454"/>
      <c r="AG456" s="454"/>
      <c r="AH456" s="454"/>
      <c r="AI456" s="454"/>
      <c r="AJ456" s="454"/>
      <c r="AK456" s="454"/>
      <c r="AL456" s="454"/>
      <c r="AM456" s="454"/>
      <c r="AN456" s="454"/>
      <c r="AO456" s="454"/>
      <c r="AP456" s="454"/>
      <c r="AQ456" s="454"/>
      <c r="AR456" s="454"/>
      <c r="AS456" s="454"/>
      <c r="AT456" s="454"/>
      <c r="AU456" s="454"/>
      <c r="AV456" s="454"/>
      <c r="AW456" s="455"/>
      <c r="AX456" s="49"/>
      <c r="AY456" s="452" t="s">
        <v>513</v>
      </c>
      <c r="AZ456" s="452"/>
      <c r="BA456" s="452"/>
      <c r="BB456" s="452"/>
      <c r="BC456" s="452"/>
      <c r="BD456" s="452"/>
      <c r="BE456" s="452"/>
      <c r="BF456" s="452"/>
      <c r="BG456" s="452"/>
      <c r="BH456" s="452"/>
      <c r="BI456" s="452"/>
      <c r="BJ456" s="452"/>
      <c r="BK456" s="452"/>
      <c r="BL456" s="452"/>
      <c r="BM456" s="452"/>
      <c r="BN456" s="452"/>
      <c r="BO456" s="452"/>
      <c r="BP456" s="453" t="str">
        <f>CONCATENATE("PREVIOUS   ",TEXT('Adv. Filter'!$A$15,"( up to  DD-MMM-YY )"))</f>
        <v>PREVIOUS   ( up to  01-Jan-17 )</v>
      </c>
      <c r="BQ456" s="454"/>
      <c r="BR456" s="454"/>
      <c r="BS456" s="454"/>
      <c r="BT456" s="454"/>
      <c r="BU456" s="454"/>
      <c r="BV456" s="454"/>
      <c r="BW456" s="454"/>
      <c r="BX456" s="454"/>
      <c r="BY456" s="454"/>
      <c r="BZ456" s="454"/>
      <c r="CA456" s="454"/>
      <c r="CB456" s="454"/>
      <c r="CC456" s="454"/>
      <c r="CD456" s="454"/>
      <c r="CE456" s="454"/>
      <c r="CF456" s="454"/>
      <c r="CG456" s="454"/>
      <c r="CH456" s="454"/>
      <c r="CI456" s="454"/>
      <c r="CJ456" s="454"/>
      <c r="CK456" s="454"/>
      <c r="CL456" s="454"/>
      <c r="CM456" s="454"/>
      <c r="CN456" s="454"/>
      <c r="CO456" s="454"/>
      <c r="CP456" s="454"/>
      <c r="CQ456" s="454"/>
      <c r="CR456" s="454"/>
      <c r="CS456" s="455"/>
      <c r="CT456" s="288"/>
      <c r="CU456" s="229"/>
      <c r="CV456" s="229"/>
      <c r="CW456" s="229"/>
      <c r="CX456" s="229"/>
      <c r="CY456" s="229"/>
      <c r="CZ456" s="229"/>
      <c r="DA456" s="289"/>
      <c r="DH456" s="121" t="s">
        <v>85</v>
      </c>
    </row>
    <row r="457" spans="1:112" hidden="1">
      <c r="C457" s="452"/>
      <c r="D457" s="452"/>
      <c r="E457" s="452"/>
      <c r="F457" s="452"/>
      <c r="G457" s="452"/>
      <c r="H457" s="452"/>
      <c r="I457" s="452"/>
      <c r="J457" s="452"/>
      <c r="K457" s="452"/>
      <c r="L457" s="452"/>
      <c r="M457" s="452"/>
      <c r="N457" s="452"/>
      <c r="O457" s="452"/>
      <c r="P457" s="452"/>
      <c r="Q457" s="452"/>
      <c r="R457" s="452"/>
      <c r="S457" s="452"/>
      <c r="T457" s="442" t="s">
        <v>34</v>
      </c>
      <c r="U457" s="443"/>
      <c r="V457" s="443"/>
      <c r="W457" s="443"/>
      <c r="X457" s="443"/>
      <c r="Y457" s="443"/>
      <c r="Z457" s="443"/>
      <c r="AA457" s="443"/>
      <c r="AB457" s="443"/>
      <c r="AC457" s="444"/>
      <c r="AD457" s="442" t="s">
        <v>10</v>
      </c>
      <c r="AE457" s="443"/>
      <c r="AF457" s="443"/>
      <c r="AG457" s="443"/>
      <c r="AH457" s="443"/>
      <c r="AI457" s="443"/>
      <c r="AJ457" s="443"/>
      <c r="AK457" s="443"/>
      <c r="AL457" s="443"/>
      <c r="AM457" s="444"/>
      <c r="AN457" s="445" t="s">
        <v>503</v>
      </c>
      <c r="AO457" s="446"/>
      <c r="AP457" s="446"/>
      <c r="AQ457" s="446"/>
      <c r="AR457" s="446"/>
      <c r="AS457" s="446"/>
      <c r="AT457" s="446"/>
      <c r="AU457" s="446"/>
      <c r="AV457" s="446"/>
      <c r="AW457" s="447"/>
      <c r="AY457" s="452"/>
      <c r="AZ457" s="452"/>
      <c r="BA457" s="452"/>
      <c r="BB457" s="452"/>
      <c r="BC457" s="452"/>
      <c r="BD457" s="452"/>
      <c r="BE457" s="452"/>
      <c r="BF457" s="452"/>
      <c r="BG457" s="452"/>
      <c r="BH457" s="452"/>
      <c r="BI457" s="452"/>
      <c r="BJ457" s="452"/>
      <c r="BK457" s="452"/>
      <c r="BL457" s="452"/>
      <c r="BM457" s="452"/>
      <c r="BN457" s="452"/>
      <c r="BO457" s="452"/>
      <c r="BP457" s="442" t="s">
        <v>34</v>
      </c>
      <c r="BQ457" s="443"/>
      <c r="BR457" s="443"/>
      <c r="BS457" s="443"/>
      <c r="BT457" s="443"/>
      <c r="BU457" s="443"/>
      <c r="BV457" s="443"/>
      <c r="BW457" s="443"/>
      <c r="BX457" s="443"/>
      <c r="BY457" s="444"/>
      <c r="BZ457" s="442" t="s">
        <v>10</v>
      </c>
      <c r="CA457" s="443"/>
      <c r="CB457" s="443"/>
      <c r="CC457" s="443"/>
      <c r="CD457" s="443"/>
      <c r="CE457" s="443"/>
      <c r="CF457" s="443"/>
      <c r="CG457" s="443"/>
      <c r="CH457" s="443"/>
      <c r="CI457" s="444"/>
      <c r="CJ457" s="445" t="s">
        <v>503</v>
      </c>
      <c r="CK457" s="446"/>
      <c r="CL457" s="446"/>
      <c r="CM457" s="446"/>
      <c r="CN457" s="446"/>
      <c r="CO457" s="446"/>
      <c r="CP457" s="446"/>
      <c r="CQ457" s="446"/>
      <c r="CR457" s="446"/>
      <c r="CS457" s="447"/>
      <c r="DG457" s="131" t="s">
        <v>583</v>
      </c>
      <c r="DH457" s="123">
        <f>COUNTIFS('Form Details'!$W:$W,"Due",'Form Details'!$AB:$AB,"R",'Form Details'!$N:$N,DH456)</f>
        <v>125</v>
      </c>
    </row>
    <row r="458" spans="1:112" hidden="1">
      <c r="A458" s="44"/>
      <c r="B458" s="44"/>
      <c r="C458" s="299" t="s">
        <v>26</v>
      </c>
      <c r="D458" s="300"/>
      <c r="E458" s="300"/>
      <c r="F458" s="300"/>
      <c r="G458" s="300"/>
      <c r="H458" s="300"/>
      <c r="I458" s="300"/>
      <c r="J458" s="300"/>
      <c r="K458" s="300"/>
      <c r="L458" s="300"/>
      <c r="M458" s="300"/>
      <c r="N458" s="300"/>
      <c r="O458" s="300"/>
      <c r="P458" s="300"/>
      <c r="Q458" s="300"/>
      <c r="R458" s="300"/>
      <c r="S458" s="301"/>
      <c r="T458" s="276">
        <f>SUMIFS('Adv. Filter'!$BJ$1:$BJ$50000,'Adv. Filter'!$BT$1:$BT$50000,"Srinivas",'Adv. Filter'!$BQ$1:$BQ$50000,$C458,'Adv. Filter'!$BH$1:$BH$50000,"Cash",'Adv. Filter'!$BO$1:$BO$50000,'Adv. Filter'!$A$14,'Adv. Filter'!$BO$1:$BO$50000,'Adv. Filter'!$B$14)</f>
        <v>0</v>
      </c>
      <c r="U458" s="277"/>
      <c r="V458" s="277"/>
      <c r="W458" s="277"/>
      <c r="X458" s="277"/>
      <c r="Y458" s="277"/>
      <c r="Z458" s="277"/>
      <c r="AA458" s="277"/>
      <c r="AB458" s="277"/>
      <c r="AC458" s="278"/>
      <c r="AD458" s="276">
        <f>SUMIFS('Adv. Filter'!$BJ$1:$BJ$50000,'Adv. Filter'!$BT$1:$BT$50000,"Srinivas",'Adv. Filter'!$BQ$1:$BQ$50000,$C458,'Adv. Filter'!$BH$1:$BH$50000,"Bank",'Adv. Filter'!$BO$1:$BO$50000,'Adv. Filter'!$A$14,'Adv. Filter'!$BO$1:$BO$50000,'Adv. Filter'!$B$14)</f>
        <v>0</v>
      </c>
      <c r="AE458" s="277"/>
      <c r="AF458" s="277"/>
      <c r="AG458" s="277"/>
      <c r="AH458" s="277"/>
      <c r="AI458" s="277"/>
      <c r="AJ458" s="277"/>
      <c r="AK458" s="277"/>
      <c r="AL458" s="277"/>
      <c r="AM458" s="278"/>
      <c r="AN458" s="448">
        <f t="shared" ref="AN458:AN489" si="18">T458+AD458</f>
        <v>0</v>
      </c>
      <c r="AO458" s="449"/>
      <c r="AP458" s="449"/>
      <c r="AQ458" s="449"/>
      <c r="AR458" s="449"/>
      <c r="AS458" s="449"/>
      <c r="AT458" s="449"/>
      <c r="AU458" s="449"/>
      <c r="AV458" s="449"/>
      <c r="AW458" s="450"/>
      <c r="AX458" s="45"/>
      <c r="AY458" s="299" t="s">
        <v>26</v>
      </c>
      <c r="AZ458" s="300"/>
      <c r="BA458" s="300"/>
      <c r="BB458" s="300"/>
      <c r="BC458" s="300"/>
      <c r="BD458" s="300"/>
      <c r="BE458" s="300"/>
      <c r="BF458" s="300"/>
      <c r="BG458" s="300"/>
      <c r="BH458" s="300"/>
      <c r="BI458" s="300"/>
      <c r="BJ458" s="300"/>
      <c r="BK458" s="300"/>
      <c r="BL458" s="300"/>
      <c r="BM458" s="300"/>
      <c r="BN458" s="300"/>
      <c r="BO458" s="301"/>
      <c r="BP458" s="276">
        <f>SUMIFS('Adv. Filter'!$BJ$1:$BJ$50000,'Adv. Filter'!$BT$1:$BT$50000,"Srinivas",'Adv. Filter'!$BQ$1:$BQ$50000,$AY458,'Adv. Filter'!$BH$1:$BH$50000,"Cash",'Adv. Filter'!$BO$1:$BO$50000,"&lt;"&amp;'Adv. Filter'!$A$15)</f>
        <v>0</v>
      </c>
      <c r="BQ458" s="277"/>
      <c r="BR458" s="277"/>
      <c r="BS458" s="277"/>
      <c r="BT458" s="277"/>
      <c r="BU458" s="277"/>
      <c r="BV458" s="277"/>
      <c r="BW458" s="277"/>
      <c r="BX458" s="277"/>
      <c r="BY458" s="278"/>
      <c r="BZ458" s="276">
        <f>SUMIFS('Adv. Filter'!$BJ$1:$BJ$50000,'Adv. Filter'!$BT$1:$BT$50000,"Srinivas",'Adv. Filter'!$BQ$1:$BQ$50000,$AY458,'Adv. Filter'!$BH$1:$BH$50000,"Bank",'Adv. Filter'!$BO$1:$BO$50000,"&lt;"&amp;'Adv. Filter'!$A$15)</f>
        <v>0</v>
      </c>
      <c r="CA458" s="277"/>
      <c r="CB458" s="277"/>
      <c r="CC458" s="277"/>
      <c r="CD458" s="277"/>
      <c r="CE458" s="277"/>
      <c r="CF458" s="277"/>
      <c r="CG458" s="277"/>
      <c r="CH458" s="277"/>
      <c r="CI458" s="278"/>
      <c r="CJ458" s="448">
        <f t="shared" ref="CJ458:CJ489" si="19">BP458+BZ458</f>
        <v>0</v>
      </c>
      <c r="CK458" s="449"/>
      <c r="CL458" s="449"/>
      <c r="CM458" s="449"/>
      <c r="CN458" s="449"/>
      <c r="CO458" s="449"/>
      <c r="CP458" s="449"/>
      <c r="CQ458" s="449"/>
      <c r="CR458" s="449"/>
      <c r="CS458" s="450"/>
      <c r="CT458" s="44"/>
      <c r="CU458" s="44"/>
      <c r="CV458" s="44"/>
      <c r="CW458" s="44"/>
      <c r="CX458" s="44"/>
      <c r="CY458" s="44"/>
      <c r="CZ458" s="44"/>
      <c r="DG458" s="131" t="s">
        <v>584</v>
      </c>
      <c r="DH458" s="123">
        <f>COUNTIFS('Form Details'!$W:$W,"Due",'Form Details'!$AB:$AB,"Y",'Form Details'!$N:$N,DH456)</f>
        <v>0</v>
      </c>
    </row>
    <row r="459" spans="1:112" hidden="1">
      <c r="C459" s="308" t="s">
        <v>115</v>
      </c>
      <c r="D459" s="309"/>
      <c r="E459" s="309"/>
      <c r="F459" s="309"/>
      <c r="G459" s="309"/>
      <c r="H459" s="309"/>
      <c r="I459" s="309"/>
      <c r="J459" s="309"/>
      <c r="K459" s="309"/>
      <c r="L459" s="309"/>
      <c r="M459" s="309"/>
      <c r="N459" s="309"/>
      <c r="O459" s="309"/>
      <c r="P459" s="309"/>
      <c r="Q459" s="309"/>
      <c r="R459" s="309"/>
      <c r="S459" s="310"/>
      <c r="T459" s="267">
        <f>SUMIFS('Adv. Filter'!$BJ$1:$BJ$50000,'Adv. Filter'!$BT$1:$BT$50000,"Srinivas",'Adv. Filter'!$BQ$1:$BQ$50000,$C458,'Adv. Filter'!$BH$1:$BH$50000,"Cash",'Adv. Filter'!$BO$1:$BO$50000,'Adv. Filter'!$A$14,'Adv. Filter'!$BO$1:$BO$50000,'Adv. Filter'!$B$14,'Adv. Filter'!$BP$1:$BP$50000,"Project")</f>
        <v>0</v>
      </c>
      <c r="U459" s="268"/>
      <c r="V459" s="268"/>
      <c r="W459" s="268"/>
      <c r="X459" s="268"/>
      <c r="Y459" s="268"/>
      <c r="Z459" s="268"/>
      <c r="AA459" s="268"/>
      <c r="AB459" s="268"/>
      <c r="AC459" s="269"/>
      <c r="AD459" s="267">
        <f>SUMIFS('Adv. Filter'!$BJ$1:$BJ$50000,'Adv. Filter'!$BT$1:$BT$50000,"Srinivas",'Adv. Filter'!$BQ$1:$BQ$50000,$C458,'Adv. Filter'!$BH$1:$BH$50000,"Bank",'Adv. Filter'!$BO$1:$BO$50000,'Adv. Filter'!$A$14,'Adv. Filter'!$BO$1:$BO$50000,'Adv. Filter'!$B$14,'Adv. Filter'!$BP$1:$BP$50000,"Project")</f>
        <v>0</v>
      </c>
      <c r="AE459" s="268"/>
      <c r="AF459" s="268"/>
      <c r="AG459" s="268"/>
      <c r="AH459" s="268"/>
      <c r="AI459" s="268"/>
      <c r="AJ459" s="268"/>
      <c r="AK459" s="268"/>
      <c r="AL459" s="268"/>
      <c r="AM459" s="269"/>
      <c r="AN459" s="267">
        <f t="shared" si="18"/>
        <v>0</v>
      </c>
      <c r="AO459" s="268"/>
      <c r="AP459" s="268"/>
      <c r="AQ459" s="268"/>
      <c r="AR459" s="268"/>
      <c r="AS459" s="268"/>
      <c r="AT459" s="268"/>
      <c r="AU459" s="268"/>
      <c r="AV459" s="268"/>
      <c r="AW459" s="269"/>
      <c r="AX459" s="22"/>
      <c r="AY459" s="308" t="s">
        <v>115</v>
      </c>
      <c r="AZ459" s="309"/>
      <c r="BA459" s="309"/>
      <c r="BB459" s="309"/>
      <c r="BC459" s="309"/>
      <c r="BD459" s="309"/>
      <c r="BE459" s="309"/>
      <c r="BF459" s="309"/>
      <c r="BG459" s="309"/>
      <c r="BH459" s="309"/>
      <c r="BI459" s="309"/>
      <c r="BJ459" s="309"/>
      <c r="BK459" s="309"/>
      <c r="BL459" s="309"/>
      <c r="BM459" s="309"/>
      <c r="BN459" s="309"/>
      <c r="BO459" s="310"/>
      <c r="BP459" s="267">
        <f>SUMIFS('Adv. Filter'!$BJ$1:$BJ$50000,'Adv. Filter'!$BT$1:$BT$50000,"Srinivas",'Adv. Filter'!$BQ$1:$BQ$50000,$AY458,'Adv. Filter'!$BH$1:$BH$50000,"Cash",'Adv. Filter'!$BO$1:$BO$50000,"&lt;"&amp;'Adv. Filter'!$A$15,'Adv. Filter'!$BP$1:$BP$50000,"Project")</f>
        <v>0</v>
      </c>
      <c r="BQ459" s="268"/>
      <c r="BR459" s="268"/>
      <c r="BS459" s="268"/>
      <c r="BT459" s="268"/>
      <c r="BU459" s="268"/>
      <c r="BV459" s="268"/>
      <c r="BW459" s="268"/>
      <c r="BX459" s="268"/>
      <c r="BY459" s="269"/>
      <c r="BZ459" s="267">
        <f>SUMIFS('Adv. Filter'!$BJ$1:$BJ$50000,'Adv. Filter'!$BT$1:$BT$50000,"Srinivas",'Adv. Filter'!$BQ$1:$BQ$50000,$AY458,'Adv. Filter'!$BH$1:$BH$50000,"Bank",'Adv. Filter'!$BO$1:$BO$50000,"&lt;"&amp;'Adv. Filter'!$A$15,'Adv. Filter'!$BP$1:$BP$50000,"Project")</f>
        <v>0</v>
      </c>
      <c r="CA459" s="268"/>
      <c r="CB459" s="268"/>
      <c r="CC459" s="268"/>
      <c r="CD459" s="268"/>
      <c r="CE459" s="268"/>
      <c r="CF459" s="268"/>
      <c r="CG459" s="268"/>
      <c r="CH459" s="268"/>
      <c r="CI459" s="269"/>
      <c r="CJ459" s="267">
        <f t="shared" si="19"/>
        <v>0</v>
      </c>
      <c r="CK459" s="268"/>
      <c r="CL459" s="268"/>
      <c r="CM459" s="268"/>
      <c r="CN459" s="268"/>
      <c r="CO459" s="268"/>
      <c r="CP459" s="268"/>
      <c r="CQ459" s="268"/>
      <c r="CR459" s="268"/>
      <c r="CS459" s="269"/>
      <c r="DG459" s="131" t="s">
        <v>585</v>
      </c>
      <c r="DH459" s="123">
        <f>COUNTIFS('Form Details'!$W:$W,"Due",'Form Details'!$AB:$AB,"G",'Form Details'!$N:$N,DH456)</f>
        <v>0</v>
      </c>
    </row>
    <row r="460" spans="1:112" hidden="1">
      <c r="C460" s="308" t="s">
        <v>510</v>
      </c>
      <c r="D460" s="309"/>
      <c r="E460" s="309"/>
      <c r="F460" s="309"/>
      <c r="G460" s="309"/>
      <c r="H460" s="309"/>
      <c r="I460" s="309"/>
      <c r="J460" s="309"/>
      <c r="K460" s="309"/>
      <c r="L460" s="309"/>
      <c r="M460" s="309"/>
      <c r="N460" s="309"/>
      <c r="O460" s="309"/>
      <c r="P460" s="309"/>
      <c r="Q460" s="309"/>
      <c r="R460" s="309"/>
      <c r="S460" s="310"/>
      <c r="T460" s="267">
        <v>0</v>
      </c>
      <c r="U460" s="268"/>
      <c r="V460" s="268"/>
      <c r="W460" s="268"/>
      <c r="X460" s="268"/>
      <c r="Y460" s="268"/>
      <c r="Z460" s="268"/>
      <c r="AA460" s="268"/>
      <c r="AB460" s="268"/>
      <c r="AC460" s="269"/>
      <c r="AD460" s="267">
        <v>0</v>
      </c>
      <c r="AE460" s="268"/>
      <c r="AF460" s="268"/>
      <c r="AG460" s="268"/>
      <c r="AH460" s="268"/>
      <c r="AI460" s="268"/>
      <c r="AJ460" s="268"/>
      <c r="AK460" s="268"/>
      <c r="AL460" s="268"/>
      <c r="AM460" s="269"/>
      <c r="AN460" s="267">
        <f t="shared" si="18"/>
        <v>0</v>
      </c>
      <c r="AO460" s="268"/>
      <c r="AP460" s="268"/>
      <c r="AQ460" s="268"/>
      <c r="AR460" s="268"/>
      <c r="AS460" s="268"/>
      <c r="AT460" s="268"/>
      <c r="AU460" s="268"/>
      <c r="AV460" s="268"/>
      <c r="AW460" s="269"/>
      <c r="AX460" s="22"/>
      <c r="AY460" s="308" t="s">
        <v>510</v>
      </c>
      <c r="AZ460" s="309"/>
      <c r="BA460" s="309"/>
      <c r="BB460" s="309"/>
      <c r="BC460" s="309"/>
      <c r="BD460" s="309"/>
      <c r="BE460" s="309"/>
      <c r="BF460" s="309"/>
      <c r="BG460" s="309"/>
      <c r="BH460" s="309"/>
      <c r="BI460" s="309"/>
      <c r="BJ460" s="309"/>
      <c r="BK460" s="309"/>
      <c r="BL460" s="309"/>
      <c r="BM460" s="309"/>
      <c r="BN460" s="309"/>
      <c r="BO460" s="310"/>
      <c r="BP460" s="267"/>
      <c r="BQ460" s="268"/>
      <c r="BR460" s="268"/>
      <c r="BS460" s="268"/>
      <c r="BT460" s="268"/>
      <c r="BU460" s="268"/>
      <c r="BV460" s="268"/>
      <c r="BW460" s="268"/>
      <c r="BX460" s="268"/>
      <c r="BY460" s="269"/>
      <c r="BZ460" s="267"/>
      <c r="CA460" s="268"/>
      <c r="CB460" s="268"/>
      <c r="CC460" s="268"/>
      <c r="CD460" s="268"/>
      <c r="CE460" s="268"/>
      <c r="CF460" s="268"/>
      <c r="CG460" s="268"/>
      <c r="CH460" s="268"/>
      <c r="CI460" s="269"/>
      <c r="CJ460" s="267">
        <f t="shared" si="19"/>
        <v>0</v>
      </c>
      <c r="CK460" s="268"/>
      <c r="CL460" s="268"/>
      <c r="CM460" s="268"/>
      <c r="CN460" s="268"/>
      <c r="CO460" s="268"/>
      <c r="CP460" s="268"/>
      <c r="CQ460" s="268"/>
      <c r="CR460" s="268"/>
      <c r="CS460" s="269"/>
      <c r="DG460" s="131"/>
    </row>
    <row r="461" spans="1:112" hidden="1">
      <c r="C461" s="43"/>
      <c r="D461" s="36" t="str">
        <f>IF(AN458=0,C458&amp;" -","")</f>
        <v>Avanse -</v>
      </c>
      <c r="E461" s="42"/>
      <c r="F461" s="42"/>
      <c r="G461" s="42"/>
      <c r="H461" s="42"/>
      <c r="I461" s="42"/>
      <c r="J461" s="42"/>
      <c r="K461" s="42"/>
      <c r="L461" s="42"/>
      <c r="M461" s="42"/>
      <c r="N461" s="42"/>
      <c r="O461" s="42"/>
      <c r="P461" s="1"/>
      <c r="Q461" s="42"/>
      <c r="R461" s="41" t="s">
        <v>275</v>
      </c>
      <c r="S461" s="40"/>
      <c r="T461" s="267">
        <f>SUMIFS('Adv. Filter'!$CH$1:$CH$50000,'Adv. Filter'!$CD$1:$CD$50000,"Srinivas",'Adv. Filter'!$CE$1:$CE$50000,$C458,'Adv. Filter'!$CC$1:$CC$50000,"Suspense",'Adv. Filter'!$CF$1:$CF$50000,"Cash")</f>
        <v>0</v>
      </c>
      <c r="U461" s="268"/>
      <c r="V461" s="268"/>
      <c r="W461" s="268"/>
      <c r="X461" s="268"/>
      <c r="Y461" s="268"/>
      <c r="Z461" s="268"/>
      <c r="AA461" s="268"/>
      <c r="AB461" s="268"/>
      <c r="AC461" s="269"/>
      <c r="AD461" s="267">
        <f>SUMIFS('Adv. Filter'!$CH$1:$CH$50000,'Adv. Filter'!$CD$1:$CD$50000,"Srinivas",'Adv. Filter'!$CE$1:$CE$50000,$C458,'Adv. Filter'!$CC$1:$CC$50000,"Suspense",'Adv. Filter'!$CF$1:$CF$50000,"Bank")</f>
        <v>0</v>
      </c>
      <c r="AE461" s="268"/>
      <c r="AF461" s="268"/>
      <c r="AG461" s="268"/>
      <c r="AH461" s="268"/>
      <c r="AI461" s="268"/>
      <c r="AJ461" s="268"/>
      <c r="AK461" s="268"/>
      <c r="AL461" s="268"/>
      <c r="AM461" s="269"/>
      <c r="AN461" s="267">
        <f t="shared" si="18"/>
        <v>0</v>
      </c>
      <c r="AO461" s="268"/>
      <c r="AP461" s="268"/>
      <c r="AQ461" s="268"/>
      <c r="AR461" s="268"/>
      <c r="AS461" s="268"/>
      <c r="AT461" s="268"/>
      <c r="AU461" s="268"/>
      <c r="AV461" s="268"/>
      <c r="AW461" s="269"/>
      <c r="AX461" s="22"/>
      <c r="AY461" s="43"/>
      <c r="AZ461" s="36" t="str">
        <f>IF(CJ458=0,AY458&amp;" -","")</f>
        <v>Avanse -</v>
      </c>
      <c r="BA461" s="42"/>
      <c r="BB461" s="42"/>
      <c r="BC461" s="42"/>
      <c r="BD461" s="42"/>
      <c r="BE461" s="42"/>
      <c r="BF461" s="42"/>
      <c r="BG461" s="42"/>
      <c r="BH461" s="42"/>
      <c r="BI461" s="42"/>
      <c r="BJ461" s="42"/>
      <c r="BK461" s="42"/>
      <c r="BL461" s="1"/>
      <c r="BM461" s="42"/>
      <c r="BN461" s="41" t="s">
        <v>275</v>
      </c>
      <c r="BO461" s="40"/>
      <c r="BP461" s="267"/>
      <c r="BQ461" s="268"/>
      <c r="BR461" s="268"/>
      <c r="BS461" s="268"/>
      <c r="BT461" s="268"/>
      <c r="BU461" s="268"/>
      <c r="BV461" s="268"/>
      <c r="BW461" s="268"/>
      <c r="BX461" s="268"/>
      <c r="BY461" s="269"/>
      <c r="BZ461" s="267"/>
      <c r="CA461" s="268"/>
      <c r="CB461" s="268"/>
      <c r="CC461" s="268"/>
      <c r="CD461" s="268"/>
      <c r="CE461" s="268"/>
      <c r="CF461" s="268"/>
      <c r="CG461" s="268"/>
      <c r="CH461" s="268"/>
      <c r="CI461" s="269"/>
      <c r="CJ461" s="267">
        <f t="shared" si="19"/>
        <v>0</v>
      </c>
      <c r="CK461" s="268"/>
      <c r="CL461" s="268"/>
      <c r="CM461" s="268"/>
      <c r="CN461" s="268"/>
      <c r="CO461" s="268"/>
      <c r="CP461" s="268"/>
      <c r="CQ461" s="268"/>
      <c r="CR461" s="268"/>
      <c r="CS461" s="269"/>
      <c r="DG461" s="131"/>
    </row>
    <row r="462" spans="1:112" hidden="1">
      <c r="A462" s="44"/>
      <c r="B462" s="44"/>
      <c r="C462" s="293" t="s">
        <v>38</v>
      </c>
      <c r="D462" s="294"/>
      <c r="E462" s="294"/>
      <c r="F462" s="294"/>
      <c r="G462" s="294"/>
      <c r="H462" s="294"/>
      <c r="I462" s="294"/>
      <c r="J462" s="294"/>
      <c r="K462" s="294"/>
      <c r="L462" s="294"/>
      <c r="M462" s="294"/>
      <c r="N462" s="294"/>
      <c r="O462" s="294"/>
      <c r="P462" s="294"/>
      <c r="Q462" s="294"/>
      <c r="R462" s="294"/>
      <c r="S462" s="295"/>
      <c r="T462" s="276">
        <f>SUMIFS('Adv. Filter'!$BJ$1:$BJ$50000,'Adv. Filter'!$BT$1:$BT$50000,"Srinivas",'Adv. Filter'!$BQ$1:$BQ$50000,$C462,'Adv. Filter'!$BH$1:$BH$50000,"Cash",'Adv. Filter'!$BO$1:$BO$50000,'Adv. Filter'!$A$14,'Adv. Filter'!$BO$1:$BO$50000,'Adv. Filter'!$B$14)</f>
        <v>0</v>
      </c>
      <c r="U462" s="277"/>
      <c r="V462" s="277"/>
      <c r="W462" s="277"/>
      <c r="X462" s="277"/>
      <c r="Y462" s="277"/>
      <c r="Z462" s="277"/>
      <c r="AA462" s="277"/>
      <c r="AB462" s="277"/>
      <c r="AC462" s="278"/>
      <c r="AD462" s="276">
        <f>SUMIFS('Adv. Filter'!$BJ$1:$BJ$50000,'Adv. Filter'!$BT$1:$BT$50000,"Srinivas",'Adv. Filter'!$BQ$1:$BQ$50000,$C462,'Adv. Filter'!$BH$1:$BH$50000,"Bank",'Adv. Filter'!$BO$1:$BO$50000,'Adv. Filter'!$A$14,'Adv. Filter'!$BO$1:$BO$50000,'Adv. Filter'!$B$14)</f>
        <v>0</v>
      </c>
      <c r="AE462" s="277"/>
      <c r="AF462" s="277"/>
      <c r="AG462" s="277"/>
      <c r="AH462" s="277"/>
      <c r="AI462" s="277"/>
      <c r="AJ462" s="277"/>
      <c r="AK462" s="277"/>
      <c r="AL462" s="277"/>
      <c r="AM462" s="278"/>
      <c r="AN462" s="276">
        <f t="shared" si="18"/>
        <v>0</v>
      </c>
      <c r="AO462" s="277"/>
      <c r="AP462" s="277"/>
      <c r="AQ462" s="277"/>
      <c r="AR462" s="277"/>
      <c r="AS462" s="277"/>
      <c r="AT462" s="277"/>
      <c r="AU462" s="277"/>
      <c r="AV462" s="277"/>
      <c r="AW462" s="278"/>
      <c r="AX462" s="45"/>
      <c r="AY462" s="293" t="s">
        <v>38</v>
      </c>
      <c r="AZ462" s="294"/>
      <c r="BA462" s="294"/>
      <c r="BB462" s="294"/>
      <c r="BC462" s="294"/>
      <c r="BD462" s="294"/>
      <c r="BE462" s="294"/>
      <c r="BF462" s="294"/>
      <c r="BG462" s="294"/>
      <c r="BH462" s="294"/>
      <c r="BI462" s="294"/>
      <c r="BJ462" s="294"/>
      <c r="BK462" s="294"/>
      <c r="BL462" s="294"/>
      <c r="BM462" s="294"/>
      <c r="BN462" s="294"/>
      <c r="BO462" s="295"/>
      <c r="BP462" s="276">
        <f>SUMIFS('Adv. Filter'!$BJ$1:$BJ$50000,'Adv. Filter'!$BT$1:$BT$50000,"Srinivas",'Adv. Filter'!$BQ$1:$BQ$50000,$AY462,'Adv. Filter'!$BH$1:$BH$50000,"Cash",'Adv. Filter'!$BO$1:$BO$50000,"&lt;"&amp;'Adv. Filter'!$A$15)</f>
        <v>0</v>
      </c>
      <c r="BQ462" s="277"/>
      <c r="BR462" s="277"/>
      <c r="BS462" s="277"/>
      <c r="BT462" s="277"/>
      <c r="BU462" s="277"/>
      <c r="BV462" s="277"/>
      <c r="BW462" s="277"/>
      <c r="BX462" s="277"/>
      <c r="BY462" s="278"/>
      <c r="BZ462" s="276">
        <f>SUMIFS('Adv. Filter'!$BJ$1:$BJ$50000,'Adv. Filter'!$BT$1:$BT$50000,"Srinivas",'Adv. Filter'!$BQ$1:$BQ$50000,$AY462,'Adv. Filter'!$BH$1:$BH$50000,"Bank",'Adv. Filter'!$BO$1:$BO$50000,"&lt;"&amp;'Adv. Filter'!$A$15)</f>
        <v>0</v>
      </c>
      <c r="CA462" s="277"/>
      <c r="CB462" s="277"/>
      <c r="CC462" s="277"/>
      <c r="CD462" s="277"/>
      <c r="CE462" s="277"/>
      <c r="CF462" s="277"/>
      <c r="CG462" s="277"/>
      <c r="CH462" s="277"/>
      <c r="CI462" s="278"/>
      <c r="CJ462" s="276">
        <f t="shared" si="19"/>
        <v>0</v>
      </c>
      <c r="CK462" s="277"/>
      <c r="CL462" s="277"/>
      <c r="CM462" s="277"/>
      <c r="CN462" s="277"/>
      <c r="CO462" s="277"/>
      <c r="CP462" s="277"/>
      <c r="CQ462" s="277"/>
      <c r="CR462" s="277"/>
      <c r="CS462" s="278"/>
      <c r="CT462" s="44"/>
      <c r="CU462" s="44"/>
      <c r="CV462" s="44"/>
      <c r="CW462" s="44"/>
      <c r="CX462" s="44"/>
      <c r="CY462" s="44"/>
      <c r="CZ462" s="44"/>
      <c r="DG462" s="131"/>
    </row>
    <row r="463" spans="1:112" hidden="1">
      <c r="C463" s="308" t="s">
        <v>115</v>
      </c>
      <c r="D463" s="309"/>
      <c r="E463" s="309"/>
      <c r="F463" s="309"/>
      <c r="G463" s="309"/>
      <c r="H463" s="309"/>
      <c r="I463" s="309"/>
      <c r="J463" s="309"/>
      <c r="K463" s="309"/>
      <c r="L463" s="309"/>
      <c r="M463" s="309"/>
      <c r="N463" s="309"/>
      <c r="O463" s="309"/>
      <c r="P463" s="309"/>
      <c r="Q463" s="309"/>
      <c r="R463" s="309"/>
      <c r="S463" s="310"/>
      <c r="T463" s="267">
        <f>SUMIFS('Adv. Filter'!$BJ$1:$BJ$50000,'Adv. Filter'!$BT$1:$BT$50000,"Srinivas",'Adv. Filter'!$BQ$1:$BQ$50000,$C462,'Adv. Filter'!$BH$1:$BH$50000,"Cash",'Adv. Filter'!$BO$1:$BO$50000,'Adv. Filter'!$A$14,'Adv. Filter'!$BO$1:$BO$50000,'Adv. Filter'!$B$14,'Adv. Filter'!$BP$1:$BP$50000,"Project")</f>
        <v>0</v>
      </c>
      <c r="U463" s="268"/>
      <c r="V463" s="268"/>
      <c r="W463" s="268"/>
      <c r="X463" s="268"/>
      <c r="Y463" s="268"/>
      <c r="Z463" s="268"/>
      <c r="AA463" s="268"/>
      <c r="AB463" s="268"/>
      <c r="AC463" s="269"/>
      <c r="AD463" s="267">
        <f>SUMIFS('Adv. Filter'!$BJ$1:$BJ$50000,'Adv. Filter'!$BT$1:$BT$50000,"Srinivas",'Adv. Filter'!$BQ$1:$BQ$50000,$C462,'Adv. Filter'!$BH$1:$BH$50000,"Bank",'Adv. Filter'!$BO$1:$BO$50000,'Adv. Filter'!$A$14,'Adv. Filter'!$BO$1:$BO$50000,'Adv. Filter'!$B$14,'Adv. Filter'!$BP$1:$BP$50000,"Project")</f>
        <v>0</v>
      </c>
      <c r="AE463" s="268"/>
      <c r="AF463" s="268"/>
      <c r="AG463" s="268"/>
      <c r="AH463" s="268"/>
      <c r="AI463" s="268"/>
      <c r="AJ463" s="268"/>
      <c r="AK463" s="268"/>
      <c r="AL463" s="268"/>
      <c r="AM463" s="269"/>
      <c r="AN463" s="267">
        <f t="shared" si="18"/>
        <v>0</v>
      </c>
      <c r="AO463" s="268"/>
      <c r="AP463" s="268"/>
      <c r="AQ463" s="268"/>
      <c r="AR463" s="268"/>
      <c r="AS463" s="268"/>
      <c r="AT463" s="268"/>
      <c r="AU463" s="268"/>
      <c r="AV463" s="268"/>
      <c r="AW463" s="269"/>
      <c r="AX463" s="22"/>
      <c r="AY463" s="308" t="s">
        <v>115</v>
      </c>
      <c r="AZ463" s="309"/>
      <c r="BA463" s="309"/>
      <c r="BB463" s="309"/>
      <c r="BC463" s="309"/>
      <c r="BD463" s="309"/>
      <c r="BE463" s="309"/>
      <c r="BF463" s="309"/>
      <c r="BG463" s="309"/>
      <c r="BH463" s="309"/>
      <c r="BI463" s="309"/>
      <c r="BJ463" s="309"/>
      <c r="BK463" s="309"/>
      <c r="BL463" s="309"/>
      <c r="BM463" s="309"/>
      <c r="BN463" s="309"/>
      <c r="BO463" s="310"/>
      <c r="BP463" s="267">
        <f>SUMIFS('Adv. Filter'!$BJ$1:$BJ$50000,'Adv. Filter'!$BT$1:$BT$50000,"Srinivas",'Adv. Filter'!$BQ$1:$BQ$50000,$AY462,'Adv. Filter'!$BH$1:$BH$50000,"Cash",'Adv. Filter'!$BO$1:$BO$50000,"&lt;"&amp;'Adv. Filter'!$A$15,'Adv. Filter'!$BP$1:$BP$50000,"Project")</f>
        <v>0</v>
      </c>
      <c r="BQ463" s="268"/>
      <c r="BR463" s="268"/>
      <c r="BS463" s="268"/>
      <c r="BT463" s="268"/>
      <c r="BU463" s="268"/>
      <c r="BV463" s="268"/>
      <c r="BW463" s="268"/>
      <c r="BX463" s="268"/>
      <c r="BY463" s="269"/>
      <c r="BZ463" s="267">
        <f>SUMIFS('Adv. Filter'!$BJ$1:$BJ$50000,'Adv. Filter'!$BT$1:$BT$50000,"Srinivas",'Adv. Filter'!$BQ$1:$BQ$50000,$AY462,'Adv. Filter'!$BH$1:$BH$50000,"Bank",'Adv. Filter'!$BO$1:$BO$50000,"&lt;"&amp;'Adv. Filter'!$A$15,'Adv. Filter'!$BP$1:$BP$50000,"Project")</f>
        <v>0</v>
      </c>
      <c r="CA463" s="268"/>
      <c r="CB463" s="268"/>
      <c r="CC463" s="268"/>
      <c r="CD463" s="268"/>
      <c r="CE463" s="268"/>
      <c r="CF463" s="268"/>
      <c r="CG463" s="268"/>
      <c r="CH463" s="268"/>
      <c r="CI463" s="269"/>
      <c r="CJ463" s="267">
        <f t="shared" si="19"/>
        <v>0</v>
      </c>
      <c r="CK463" s="268"/>
      <c r="CL463" s="268"/>
      <c r="CM463" s="268"/>
      <c r="CN463" s="268"/>
      <c r="CO463" s="268"/>
      <c r="CP463" s="268"/>
      <c r="CQ463" s="268"/>
      <c r="CR463" s="268"/>
      <c r="CS463" s="269"/>
      <c r="DG463" s="131"/>
    </row>
    <row r="464" spans="1:112" hidden="1">
      <c r="C464" s="308" t="s">
        <v>510</v>
      </c>
      <c r="D464" s="309"/>
      <c r="E464" s="309"/>
      <c r="F464" s="309"/>
      <c r="G464" s="309"/>
      <c r="H464" s="309"/>
      <c r="I464" s="309"/>
      <c r="J464" s="309"/>
      <c r="K464" s="309"/>
      <c r="L464" s="309"/>
      <c r="M464" s="309"/>
      <c r="N464" s="309"/>
      <c r="O464" s="309"/>
      <c r="P464" s="309"/>
      <c r="Q464" s="309"/>
      <c r="R464" s="309"/>
      <c r="S464" s="310"/>
      <c r="T464" s="267">
        <v>0</v>
      </c>
      <c r="U464" s="268"/>
      <c r="V464" s="268"/>
      <c r="W464" s="268"/>
      <c r="X464" s="268"/>
      <c r="Y464" s="268"/>
      <c r="Z464" s="268"/>
      <c r="AA464" s="268"/>
      <c r="AB464" s="268"/>
      <c r="AC464" s="269"/>
      <c r="AD464" s="267">
        <v>0</v>
      </c>
      <c r="AE464" s="268"/>
      <c r="AF464" s="268"/>
      <c r="AG464" s="268"/>
      <c r="AH464" s="268"/>
      <c r="AI464" s="268"/>
      <c r="AJ464" s="268"/>
      <c r="AK464" s="268"/>
      <c r="AL464" s="268"/>
      <c r="AM464" s="269"/>
      <c r="AN464" s="267">
        <f t="shared" si="18"/>
        <v>0</v>
      </c>
      <c r="AO464" s="268"/>
      <c r="AP464" s="268"/>
      <c r="AQ464" s="268"/>
      <c r="AR464" s="268"/>
      <c r="AS464" s="268"/>
      <c r="AT464" s="268"/>
      <c r="AU464" s="268"/>
      <c r="AV464" s="268"/>
      <c r="AW464" s="269"/>
      <c r="AX464" s="22"/>
      <c r="AY464" s="308" t="s">
        <v>510</v>
      </c>
      <c r="AZ464" s="309"/>
      <c r="BA464" s="309"/>
      <c r="BB464" s="309"/>
      <c r="BC464" s="309"/>
      <c r="BD464" s="309"/>
      <c r="BE464" s="309"/>
      <c r="BF464" s="309"/>
      <c r="BG464" s="309"/>
      <c r="BH464" s="309"/>
      <c r="BI464" s="309"/>
      <c r="BJ464" s="309"/>
      <c r="BK464" s="309"/>
      <c r="BL464" s="309"/>
      <c r="BM464" s="309"/>
      <c r="BN464" s="309"/>
      <c r="BO464" s="310"/>
      <c r="BP464" s="267"/>
      <c r="BQ464" s="268"/>
      <c r="BR464" s="268"/>
      <c r="BS464" s="268"/>
      <c r="BT464" s="268"/>
      <c r="BU464" s="268"/>
      <c r="BV464" s="268"/>
      <c r="BW464" s="268"/>
      <c r="BX464" s="268"/>
      <c r="BY464" s="269"/>
      <c r="BZ464" s="267"/>
      <c r="CA464" s="268"/>
      <c r="CB464" s="268"/>
      <c r="CC464" s="268"/>
      <c r="CD464" s="268"/>
      <c r="CE464" s="268"/>
      <c r="CF464" s="268"/>
      <c r="CG464" s="268"/>
      <c r="CH464" s="268"/>
      <c r="CI464" s="269"/>
      <c r="CJ464" s="267">
        <f t="shared" si="19"/>
        <v>0</v>
      </c>
      <c r="CK464" s="268"/>
      <c r="CL464" s="268"/>
      <c r="CM464" s="268"/>
      <c r="CN464" s="268"/>
      <c r="CO464" s="268"/>
      <c r="CP464" s="268"/>
      <c r="CQ464" s="268"/>
      <c r="CR464" s="268"/>
      <c r="CS464" s="269"/>
      <c r="DG464" s="131"/>
    </row>
    <row r="465" spans="1:111" hidden="1">
      <c r="A465" s="44"/>
      <c r="B465" s="44"/>
      <c r="C465" s="48"/>
      <c r="D465" s="36" t="str">
        <f>IF(AN462=0,C462&amp;" -","")</f>
        <v>Axis -</v>
      </c>
      <c r="E465" s="42"/>
      <c r="F465" s="42"/>
      <c r="G465" s="42"/>
      <c r="H465" s="42"/>
      <c r="I465" s="42"/>
      <c r="J465" s="42"/>
      <c r="K465" s="42"/>
      <c r="L465" s="42"/>
      <c r="M465" s="42"/>
      <c r="N465" s="42"/>
      <c r="O465" s="42"/>
      <c r="P465" s="47"/>
      <c r="Q465" s="42"/>
      <c r="R465" s="41" t="s">
        <v>275</v>
      </c>
      <c r="S465" s="46"/>
      <c r="T465" s="267">
        <f>SUMIFS('Adv. Filter'!$CH$1:$CH$50000,'Adv. Filter'!$CD$1:$CD$50000,"Srinivas",'Adv. Filter'!$CE$1:$CE$50000,$C462,'Adv. Filter'!$CC$1:$CC$50000,"Suspense",'Adv. Filter'!$CF$1:$CF$50000,"Cash")</f>
        <v>0</v>
      </c>
      <c r="U465" s="268"/>
      <c r="V465" s="268"/>
      <c r="W465" s="268"/>
      <c r="X465" s="268"/>
      <c r="Y465" s="268"/>
      <c r="Z465" s="268"/>
      <c r="AA465" s="268"/>
      <c r="AB465" s="268"/>
      <c r="AC465" s="269"/>
      <c r="AD465" s="267">
        <f>SUMIFS('Adv. Filter'!$CH$1:$CH$50000,'Adv. Filter'!$CD$1:$CD$50000,"Srinivas",'Adv. Filter'!$CE$1:$CE$50000,$C462,'Adv. Filter'!$CC$1:$CC$50000,"Suspense",'Adv. Filter'!$CF$1:$CF$50000,"Bank")</f>
        <v>0</v>
      </c>
      <c r="AE465" s="268"/>
      <c r="AF465" s="268"/>
      <c r="AG465" s="268"/>
      <c r="AH465" s="268"/>
      <c r="AI465" s="268"/>
      <c r="AJ465" s="268"/>
      <c r="AK465" s="268"/>
      <c r="AL465" s="268"/>
      <c r="AM465" s="269"/>
      <c r="AN465" s="276">
        <f t="shared" si="18"/>
        <v>0</v>
      </c>
      <c r="AO465" s="277"/>
      <c r="AP465" s="277"/>
      <c r="AQ465" s="277"/>
      <c r="AR465" s="277"/>
      <c r="AS465" s="277"/>
      <c r="AT465" s="277"/>
      <c r="AU465" s="277"/>
      <c r="AV465" s="277"/>
      <c r="AW465" s="278"/>
      <c r="AX465" s="45"/>
      <c r="AY465" s="48"/>
      <c r="AZ465" s="36" t="str">
        <f>IF(CJ462=0,AY462&amp;" -","")</f>
        <v>Axis -</v>
      </c>
      <c r="BA465" s="42"/>
      <c r="BB465" s="42"/>
      <c r="BC465" s="42"/>
      <c r="BD465" s="42"/>
      <c r="BE465" s="42"/>
      <c r="BF465" s="42"/>
      <c r="BG465" s="42"/>
      <c r="BH465" s="42"/>
      <c r="BI465" s="42"/>
      <c r="BJ465" s="42"/>
      <c r="BK465" s="42"/>
      <c r="BL465" s="47"/>
      <c r="BM465" s="42"/>
      <c r="BN465" s="41" t="s">
        <v>275</v>
      </c>
      <c r="BO465" s="46"/>
      <c r="BP465" s="276"/>
      <c r="BQ465" s="277"/>
      <c r="BR465" s="277"/>
      <c r="BS465" s="277"/>
      <c r="BT465" s="277"/>
      <c r="BU465" s="277"/>
      <c r="BV465" s="277"/>
      <c r="BW465" s="277"/>
      <c r="BX465" s="277"/>
      <c r="BY465" s="278"/>
      <c r="BZ465" s="276"/>
      <c r="CA465" s="277"/>
      <c r="CB465" s="277"/>
      <c r="CC465" s="277"/>
      <c r="CD465" s="277"/>
      <c r="CE465" s="277"/>
      <c r="CF465" s="277"/>
      <c r="CG465" s="277"/>
      <c r="CH465" s="277"/>
      <c r="CI465" s="278"/>
      <c r="CJ465" s="276">
        <f t="shared" si="19"/>
        <v>0</v>
      </c>
      <c r="CK465" s="277"/>
      <c r="CL465" s="277"/>
      <c r="CM465" s="277"/>
      <c r="CN465" s="277"/>
      <c r="CO465" s="277"/>
      <c r="CP465" s="277"/>
      <c r="CQ465" s="277"/>
      <c r="CR465" s="277"/>
      <c r="CS465" s="278"/>
      <c r="CT465" s="44"/>
      <c r="CU465" s="44"/>
      <c r="CV465" s="44"/>
      <c r="CW465" s="44"/>
      <c r="CX465" s="44"/>
      <c r="CY465" s="44"/>
      <c r="CZ465" s="44"/>
      <c r="DG465" s="131"/>
    </row>
    <row r="466" spans="1:111" hidden="1">
      <c r="A466" s="44"/>
      <c r="B466" s="44"/>
      <c r="C466" s="293" t="s">
        <v>49</v>
      </c>
      <c r="D466" s="294"/>
      <c r="E466" s="294"/>
      <c r="F466" s="294"/>
      <c r="G466" s="294"/>
      <c r="H466" s="294"/>
      <c r="I466" s="294"/>
      <c r="J466" s="294"/>
      <c r="K466" s="294"/>
      <c r="L466" s="294"/>
      <c r="M466" s="294"/>
      <c r="N466" s="294"/>
      <c r="O466" s="294"/>
      <c r="P466" s="294"/>
      <c r="Q466" s="294"/>
      <c r="R466" s="294"/>
      <c r="S466" s="295"/>
      <c r="T466" s="276">
        <f>SUMIFS('Adv. Filter'!$BJ$1:$BJ$50000,'Adv. Filter'!$BT$1:$BT$50000,"Srinivas",'Adv. Filter'!$BQ$1:$BQ$50000,$C466,'Adv. Filter'!$BH$1:$BH$50000,"Cash",'Adv. Filter'!$BO$1:$BO$50000,'Adv. Filter'!$A$14,'Adv. Filter'!$BO$1:$BO$50000,'Adv. Filter'!$B$14)</f>
        <v>0</v>
      </c>
      <c r="U466" s="277"/>
      <c r="V466" s="277"/>
      <c r="W466" s="277"/>
      <c r="X466" s="277"/>
      <c r="Y466" s="277"/>
      <c r="Z466" s="277"/>
      <c r="AA466" s="277"/>
      <c r="AB466" s="277"/>
      <c r="AC466" s="278"/>
      <c r="AD466" s="276">
        <f>SUMIFS('Adv. Filter'!$BJ$1:$BJ$50000,'Adv. Filter'!$BT$1:$BT$50000,"Srinivas",'Adv. Filter'!$BQ$1:$BQ$50000,$C466,'Adv. Filter'!$BH$1:$BH$50000,"Bank",'Adv. Filter'!$BO$1:$BO$50000,'Adv. Filter'!$A$14,'Adv. Filter'!$BO$1:$BO$50000,'Adv. Filter'!$B$14)</f>
        <v>0</v>
      </c>
      <c r="AE466" s="277"/>
      <c r="AF466" s="277"/>
      <c r="AG466" s="277"/>
      <c r="AH466" s="277"/>
      <c r="AI466" s="277"/>
      <c r="AJ466" s="277"/>
      <c r="AK466" s="277"/>
      <c r="AL466" s="277"/>
      <c r="AM466" s="278"/>
      <c r="AN466" s="276">
        <f t="shared" si="18"/>
        <v>0</v>
      </c>
      <c r="AO466" s="277"/>
      <c r="AP466" s="277"/>
      <c r="AQ466" s="277"/>
      <c r="AR466" s="277"/>
      <c r="AS466" s="277"/>
      <c r="AT466" s="277"/>
      <c r="AU466" s="277"/>
      <c r="AV466" s="277"/>
      <c r="AW466" s="278"/>
      <c r="AX466" s="45"/>
      <c r="AY466" s="293" t="s">
        <v>49</v>
      </c>
      <c r="AZ466" s="294"/>
      <c r="BA466" s="294"/>
      <c r="BB466" s="294"/>
      <c r="BC466" s="294"/>
      <c r="BD466" s="294"/>
      <c r="BE466" s="294"/>
      <c r="BF466" s="294"/>
      <c r="BG466" s="294"/>
      <c r="BH466" s="294"/>
      <c r="BI466" s="294"/>
      <c r="BJ466" s="294"/>
      <c r="BK466" s="294"/>
      <c r="BL466" s="294"/>
      <c r="BM466" s="294"/>
      <c r="BN466" s="294"/>
      <c r="BO466" s="295"/>
      <c r="BP466" s="276">
        <f>SUMIFS('Adv. Filter'!$BJ$1:$BJ$50000,'Adv. Filter'!$BT$1:$BT$50000,"Srinivas",'Adv. Filter'!$BQ$1:$BQ$50000,$AY466,'Adv. Filter'!$BH$1:$BH$50000,"Cash",'Adv. Filter'!$BO$1:$BO$50000,"&lt;"&amp;'Adv. Filter'!$A$15)</f>
        <v>0</v>
      </c>
      <c r="BQ466" s="277"/>
      <c r="BR466" s="277"/>
      <c r="BS466" s="277"/>
      <c r="BT466" s="277"/>
      <c r="BU466" s="277"/>
      <c r="BV466" s="277"/>
      <c r="BW466" s="277"/>
      <c r="BX466" s="277"/>
      <c r="BY466" s="278"/>
      <c r="BZ466" s="276">
        <f>SUMIFS('Adv. Filter'!$BJ$1:$BJ$50000,'Adv. Filter'!$BT$1:$BT$50000,"Srinivas",'Adv. Filter'!$BQ$1:$BQ$50000,$AY466,'Adv. Filter'!$BH$1:$BH$50000,"Bank",'Adv. Filter'!$BO$1:$BO$50000,"&lt;"&amp;'Adv. Filter'!$A$15)</f>
        <v>0</v>
      </c>
      <c r="CA466" s="277"/>
      <c r="CB466" s="277"/>
      <c r="CC466" s="277"/>
      <c r="CD466" s="277"/>
      <c r="CE466" s="277"/>
      <c r="CF466" s="277"/>
      <c r="CG466" s="277"/>
      <c r="CH466" s="277"/>
      <c r="CI466" s="278"/>
      <c r="CJ466" s="276">
        <f t="shared" si="19"/>
        <v>0</v>
      </c>
      <c r="CK466" s="277"/>
      <c r="CL466" s="277"/>
      <c r="CM466" s="277"/>
      <c r="CN466" s="277"/>
      <c r="CO466" s="277"/>
      <c r="CP466" s="277"/>
      <c r="CQ466" s="277"/>
      <c r="CR466" s="277"/>
      <c r="CS466" s="278"/>
      <c r="CT466" s="44"/>
      <c r="CU466" s="44"/>
      <c r="CV466" s="44"/>
      <c r="CW466" s="44"/>
      <c r="CX466" s="44"/>
      <c r="CY466" s="44"/>
      <c r="CZ466" s="44"/>
      <c r="DG466" s="131"/>
    </row>
    <row r="467" spans="1:111" hidden="1">
      <c r="C467" s="308" t="s">
        <v>115</v>
      </c>
      <c r="D467" s="309"/>
      <c r="E467" s="309"/>
      <c r="F467" s="309"/>
      <c r="G467" s="309"/>
      <c r="H467" s="309"/>
      <c r="I467" s="309"/>
      <c r="J467" s="309"/>
      <c r="K467" s="309"/>
      <c r="L467" s="309"/>
      <c r="M467" s="309"/>
      <c r="N467" s="309"/>
      <c r="O467" s="309"/>
      <c r="P467" s="309"/>
      <c r="Q467" s="309"/>
      <c r="R467" s="309"/>
      <c r="S467" s="310"/>
      <c r="T467" s="267">
        <f>SUMIFS('Adv. Filter'!$BJ$1:$BJ$50000,'Adv. Filter'!$BT$1:$BT$50000,"Srinivas",'Adv. Filter'!$BQ$1:$BQ$50000,$C466,'Adv. Filter'!$BH$1:$BH$50000,"Cash",'Adv. Filter'!$BO$1:$BO$50000,'Adv. Filter'!$A$14,'Adv. Filter'!$BO$1:$BO$50000,'Adv. Filter'!$B$14,'Adv. Filter'!$BP$1:$BP$50000,"Project")</f>
        <v>0</v>
      </c>
      <c r="U467" s="268"/>
      <c r="V467" s="268"/>
      <c r="W467" s="268"/>
      <c r="X467" s="268"/>
      <c r="Y467" s="268"/>
      <c r="Z467" s="268"/>
      <c r="AA467" s="268"/>
      <c r="AB467" s="268"/>
      <c r="AC467" s="269"/>
      <c r="AD467" s="267">
        <f>SUMIFS('Adv. Filter'!$BJ$1:$BJ$50000,'Adv. Filter'!$BT$1:$BT$50000,"Srinivas",'Adv. Filter'!$BQ$1:$BQ$50000,$C466,'Adv. Filter'!$BH$1:$BH$50000,"Bank",'Adv. Filter'!$BO$1:$BO$50000,'Adv. Filter'!$A$14,'Adv. Filter'!$BO$1:$BO$50000,'Adv. Filter'!$B$14,'Adv. Filter'!$BP$1:$BP$50000,"Project")</f>
        <v>0</v>
      </c>
      <c r="AE467" s="268"/>
      <c r="AF467" s="268"/>
      <c r="AG467" s="268"/>
      <c r="AH467" s="268"/>
      <c r="AI467" s="268"/>
      <c r="AJ467" s="268"/>
      <c r="AK467" s="268"/>
      <c r="AL467" s="268"/>
      <c r="AM467" s="269"/>
      <c r="AN467" s="267">
        <f t="shared" si="18"/>
        <v>0</v>
      </c>
      <c r="AO467" s="268"/>
      <c r="AP467" s="268"/>
      <c r="AQ467" s="268"/>
      <c r="AR467" s="268"/>
      <c r="AS467" s="268"/>
      <c r="AT467" s="268"/>
      <c r="AU467" s="268"/>
      <c r="AV467" s="268"/>
      <c r="AW467" s="269"/>
      <c r="AX467" s="22"/>
      <c r="AY467" s="308" t="s">
        <v>115</v>
      </c>
      <c r="AZ467" s="309"/>
      <c r="BA467" s="309"/>
      <c r="BB467" s="309"/>
      <c r="BC467" s="309"/>
      <c r="BD467" s="309"/>
      <c r="BE467" s="309"/>
      <c r="BF467" s="309"/>
      <c r="BG467" s="309"/>
      <c r="BH467" s="309"/>
      <c r="BI467" s="309"/>
      <c r="BJ467" s="309"/>
      <c r="BK467" s="309"/>
      <c r="BL467" s="309"/>
      <c r="BM467" s="309"/>
      <c r="BN467" s="309"/>
      <c r="BO467" s="310"/>
      <c r="BP467" s="267">
        <f>SUMIFS('Adv. Filter'!$BJ$1:$BJ$50000,'Adv. Filter'!$BT$1:$BT$50000,"Srinivas",'Adv. Filter'!$BQ$1:$BQ$50000,$AY466,'Adv. Filter'!$BH$1:$BH$50000,"Cash",'Adv. Filter'!$BO$1:$BO$50000,"&lt;"&amp;'Adv. Filter'!$A$15,'Adv. Filter'!$BP$1:$BP$50000,"Project")</f>
        <v>0</v>
      </c>
      <c r="BQ467" s="268"/>
      <c r="BR467" s="268"/>
      <c r="BS467" s="268"/>
      <c r="BT467" s="268"/>
      <c r="BU467" s="268"/>
      <c r="BV467" s="268"/>
      <c r="BW467" s="268"/>
      <c r="BX467" s="268"/>
      <c r="BY467" s="269"/>
      <c r="BZ467" s="267">
        <f>SUMIFS('Adv. Filter'!$BJ$1:$BJ$50000,'Adv. Filter'!$BT$1:$BT$50000,"Srinivas",'Adv. Filter'!$BQ$1:$BQ$50000,$AY466,'Adv. Filter'!$BH$1:$BH$50000,"Bank",'Adv. Filter'!$BO$1:$BO$50000,"&lt;"&amp;'Adv. Filter'!$A$15,'Adv. Filter'!$BP$1:$BP$50000,"Project")</f>
        <v>0</v>
      </c>
      <c r="CA467" s="268"/>
      <c r="CB467" s="268"/>
      <c r="CC467" s="268"/>
      <c r="CD467" s="268"/>
      <c r="CE467" s="268"/>
      <c r="CF467" s="268"/>
      <c r="CG467" s="268"/>
      <c r="CH467" s="268"/>
      <c r="CI467" s="269"/>
      <c r="CJ467" s="267">
        <f t="shared" si="19"/>
        <v>0</v>
      </c>
      <c r="CK467" s="268"/>
      <c r="CL467" s="268"/>
      <c r="CM467" s="268"/>
      <c r="CN467" s="268"/>
      <c r="CO467" s="268"/>
      <c r="CP467" s="268"/>
      <c r="CQ467" s="268"/>
      <c r="CR467" s="268"/>
      <c r="CS467" s="269"/>
      <c r="DG467" s="131"/>
    </row>
    <row r="468" spans="1:111" hidden="1">
      <c r="C468" s="308" t="s">
        <v>510</v>
      </c>
      <c r="D468" s="309"/>
      <c r="E468" s="309"/>
      <c r="F468" s="309"/>
      <c r="G468" s="309"/>
      <c r="H468" s="309"/>
      <c r="I468" s="309"/>
      <c r="J468" s="309"/>
      <c r="K468" s="309"/>
      <c r="L468" s="309"/>
      <c r="M468" s="309"/>
      <c r="N468" s="309"/>
      <c r="O468" s="309"/>
      <c r="P468" s="309"/>
      <c r="Q468" s="309"/>
      <c r="R468" s="309"/>
      <c r="S468" s="310"/>
      <c r="T468" s="267">
        <v>0</v>
      </c>
      <c r="U468" s="268"/>
      <c r="V468" s="268"/>
      <c r="W468" s="268"/>
      <c r="X468" s="268"/>
      <c r="Y468" s="268"/>
      <c r="Z468" s="268"/>
      <c r="AA468" s="268"/>
      <c r="AB468" s="268"/>
      <c r="AC468" s="269"/>
      <c r="AD468" s="267">
        <v>0</v>
      </c>
      <c r="AE468" s="268"/>
      <c r="AF468" s="268"/>
      <c r="AG468" s="268"/>
      <c r="AH468" s="268"/>
      <c r="AI468" s="268"/>
      <c r="AJ468" s="268"/>
      <c r="AK468" s="268"/>
      <c r="AL468" s="268"/>
      <c r="AM468" s="269"/>
      <c r="AN468" s="267">
        <f t="shared" si="18"/>
        <v>0</v>
      </c>
      <c r="AO468" s="268"/>
      <c r="AP468" s="268"/>
      <c r="AQ468" s="268"/>
      <c r="AR468" s="268"/>
      <c r="AS468" s="268"/>
      <c r="AT468" s="268"/>
      <c r="AU468" s="268"/>
      <c r="AV468" s="268"/>
      <c r="AW468" s="269"/>
      <c r="AX468" s="22"/>
      <c r="AY468" s="308" t="s">
        <v>510</v>
      </c>
      <c r="AZ468" s="309"/>
      <c r="BA468" s="309"/>
      <c r="BB468" s="309"/>
      <c r="BC468" s="309"/>
      <c r="BD468" s="309"/>
      <c r="BE468" s="309"/>
      <c r="BF468" s="309"/>
      <c r="BG468" s="309"/>
      <c r="BH468" s="309"/>
      <c r="BI468" s="309"/>
      <c r="BJ468" s="309"/>
      <c r="BK468" s="309"/>
      <c r="BL468" s="309"/>
      <c r="BM468" s="309"/>
      <c r="BN468" s="309"/>
      <c r="BO468" s="310"/>
      <c r="BP468" s="267"/>
      <c r="BQ468" s="268"/>
      <c r="BR468" s="268"/>
      <c r="BS468" s="268"/>
      <c r="BT468" s="268"/>
      <c r="BU468" s="268"/>
      <c r="BV468" s="268"/>
      <c r="BW468" s="268"/>
      <c r="BX468" s="268"/>
      <c r="BY468" s="269"/>
      <c r="BZ468" s="267"/>
      <c r="CA468" s="268"/>
      <c r="CB468" s="268"/>
      <c r="CC468" s="268"/>
      <c r="CD468" s="268"/>
      <c r="CE468" s="268"/>
      <c r="CF468" s="268"/>
      <c r="CG468" s="268"/>
      <c r="CH468" s="268"/>
      <c r="CI468" s="269"/>
      <c r="CJ468" s="267">
        <f t="shared" si="19"/>
        <v>0</v>
      </c>
      <c r="CK468" s="268"/>
      <c r="CL468" s="268"/>
      <c r="CM468" s="268"/>
      <c r="CN468" s="268"/>
      <c r="CO468" s="268"/>
      <c r="CP468" s="268"/>
      <c r="CQ468" s="268"/>
      <c r="CR468" s="268"/>
      <c r="CS468" s="269"/>
      <c r="DG468" s="131"/>
    </row>
    <row r="469" spans="1:111" hidden="1">
      <c r="C469" s="43"/>
      <c r="D469" s="36" t="str">
        <f>IF(AN466=0,C466&amp;" -","")</f>
        <v>BOI -</v>
      </c>
      <c r="E469" s="42"/>
      <c r="F469" s="42"/>
      <c r="G469" s="42"/>
      <c r="H469" s="42"/>
      <c r="I469" s="42"/>
      <c r="J469" s="42"/>
      <c r="K469" s="42"/>
      <c r="L469" s="42"/>
      <c r="M469" s="42"/>
      <c r="N469" s="42"/>
      <c r="O469" s="42"/>
      <c r="P469" s="1"/>
      <c r="Q469" s="42"/>
      <c r="R469" s="41" t="s">
        <v>275</v>
      </c>
      <c r="S469" s="40"/>
      <c r="T469" s="267">
        <f>SUMIFS('Adv. Filter'!$CH$1:$CH$50000,'Adv. Filter'!$CD$1:$CD$50000,"Srinivas",'Adv. Filter'!$CE$1:$CE$50000,$C466,'Adv. Filter'!$CC$1:$CC$50000,"Suspense",'Adv. Filter'!$CF$1:$CF$50000,"Cash")</f>
        <v>0</v>
      </c>
      <c r="U469" s="268"/>
      <c r="V469" s="268"/>
      <c r="W469" s="268"/>
      <c r="X469" s="268"/>
      <c r="Y469" s="268"/>
      <c r="Z469" s="268"/>
      <c r="AA469" s="268"/>
      <c r="AB469" s="268"/>
      <c r="AC469" s="269"/>
      <c r="AD469" s="267">
        <f>SUMIFS('Adv. Filter'!$CH$1:$CH$50000,'Adv. Filter'!$CD$1:$CD$50000,"Srinivas",'Adv. Filter'!$CE$1:$CE$50000,$C466,'Adv. Filter'!$CC$1:$CC$50000,"Suspense",'Adv. Filter'!$CF$1:$CF$50000,"Bank")</f>
        <v>0</v>
      </c>
      <c r="AE469" s="268"/>
      <c r="AF469" s="268"/>
      <c r="AG469" s="268"/>
      <c r="AH469" s="268"/>
      <c r="AI469" s="268"/>
      <c r="AJ469" s="268"/>
      <c r="AK469" s="268"/>
      <c r="AL469" s="268"/>
      <c r="AM469" s="269"/>
      <c r="AN469" s="267">
        <f t="shared" si="18"/>
        <v>0</v>
      </c>
      <c r="AO469" s="268"/>
      <c r="AP469" s="268"/>
      <c r="AQ469" s="268"/>
      <c r="AR469" s="268"/>
      <c r="AS469" s="268"/>
      <c r="AT469" s="268"/>
      <c r="AU469" s="268"/>
      <c r="AV469" s="268"/>
      <c r="AW469" s="269"/>
      <c r="AX469" s="22"/>
      <c r="AY469" s="43"/>
      <c r="AZ469" s="36" t="str">
        <f>IF(CJ466=0,AY466&amp;" -","")</f>
        <v>BOI -</v>
      </c>
      <c r="BA469" s="42"/>
      <c r="BB469" s="42"/>
      <c r="BC469" s="42"/>
      <c r="BD469" s="42"/>
      <c r="BE469" s="42"/>
      <c r="BF469" s="42"/>
      <c r="BG469" s="42"/>
      <c r="BH469" s="42"/>
      <c r="BI469" s="42"/>
      <c r="BJ469" s="42"/>
      <c r="BK469" s="42"/>
      <c r="BL469" s="1"/>
      <c r="BM469" s="42"/>
      <c r="BN469" s="41" t="s">
        <v>275</v>
      </c>
      <c r="BO469" s="40"/>
      <c r="BP469" s="267"/>
      <c r="BQ469" s="268"/>
      <c r="BR469" s="268"/>
      <c r="BS469" s="268"/>
      <c r="BT469" s="268"/>
      <c r="BU469" s="268"/>
      <c r="BV469" s="268"/>
      <c r="BW469" s="268"/>
      <c r="BX469" s="268"/>
      <c r="BY469" s="269"/>
      <c r="BZ469" s="267"/>
      <c r="CA469" s="268"/>
      <c r="CB469" s="268"/>
      <c r="CC469" s="268"/>
      <c r="CD469" s="268"/>
      <c r="CE469" s="268"/>
      <c r="CF469" s="268"/>
      <c r="CG469" s="268"/>
      <c r="CH469" s="268"/>
      <c r="CI469" s="269"/>
      <c r="CJ469" s="267">
        <f t="shared" si="19"/>
        <v>0</v>
      </c>
      <c r="CK469" s="268"/>
      <c r="CL469" s="268"/>
      <c r="CM469" s="268"/>
      <c r="CN469" s="268"/>
      <c r="CO469" s="268"/>
      <c r="CP469" s="268"/>
      <c r="CQ469" s="268"/>
      <c r="CR469" s="268"/>
      <c r="CS469" s="269"/>
      <c r="DG469" s="131"/>
    </row>
    <row r="470" spans="1:111" hidden="1">
      <c r="A470" s="44"/>
      <c r="B470" s="44"/>
      <c r="C470" s="293" t="s">
        <v>59</v>
      </c>
      <c r="D470" s="294"/>
      <c r="E470" s="294"/>
      <c r="F470" s="294"/>
      <c r="G470" s="294"/>
      <c r="H470" s="294"/>
      <c r="I470" s="294"/>
      <c r="J470" s="294"/>
      <c r="K470" s="294"/>
      <c r="L470" s="294"/>
      <c r="M470" s="294"/>
      <c r="N470" s="294"/>
      <c r="O470" s="294"/>
      <c r="P470" s="294"/>
      <c r="Q470" s="294"/>
      <c r="R470" s="294"/>
      <c r="S470" s="295"/>
      <c r="T470" s="276">
        <f>SUMIFS('Adv. Filter'!$BJ$1:$BJ$50000,'Adv. Filter'!$BT$1:$BT$50000,"Srinivas",'Adv. Filter'!$BQ$1:$BQ$50000,$C470,'Adv. Filter'!$BH$1:$BH$50000,"Cash",'Adv. Filter'!$BO$1:$BO$50000,'Adv. Filter'!$A$14,'Adv. Filter'!$BO$1:$BO$50000,'Adv. Filter'!$B$14)</f>
        <v>0</v>
      </c>
      <c r="U470" s="277"/>
      <c r="V470" s="277"/>
      <c r="W470" s="277"/>
      <c r="X470" s="277"/>
      <c r="Y470" s="277"/>
      <c r="Z470" s="277"/>
      <c r="AA470" s="277"/>
      <c r="AB470" s="277"/>
      <c r="AC470" s="278"/>
      <c r="AD470" s="276">
        <f>SUMIFS('Adv. Filter'!$BJ$1:$BJ$50000,'Adv. Filter'!$BT$1:$BT$50000,"Srinivas",'Adv. Filter'!$BQ$1:$BQ$50000,$C470,'Adv. Filter'!$BH$1:$BH$50000,"Bank",'Adv. Filter'!$BO$1:$BO$50000,'Adv. Filter'!$A$14,'Adv. Filter'!$BO$1:$BO$50000,'Adv. Filter'!$B$14)</f>
        <v>0</v>
      </c>
      <c r="AE470" s="277"/>
      <c r="AF470" s="277"/>
      <c r="AG470" s="277"/>
      <c r="AH470" s="277"/>
      <c r="AI470" s="277"/>
      <c r="AJ470" s="277"/>
      <c r="AK470" s="277"/>
      <c r="AL470" s="277"/>
      <c r="AM470" s="278"/>
      <c r="AN470" s="276">
        <f t="shared" si="18"/>
        <v>0</v>
      </c>
      <c r="AO470" s="277"/>
      <c r="AP470" s="277"/>
      <c r="AQ470" s="277"/>
      <c r="AR470" s="277"/>
      <c r="AS470" s="277"/>
      <c r="AT470" s="277"/>
      <c r="AU470" s="277"/>
      <c r="AV470" s="277"/>
      <c r="AW470" s="278"/>
      <c r="AX470" s="45"/>
      <c r="AY470" s="293" t="s">
        <v>59</v>
      </c>
      <c r="AZ470" s="294"/>
      <c r="BA470" s="294"/>
      <c r="BB470" s="294"/>
      <c r="BC470" s="294"/>
      <c r="BD470" s="294"/>
      <c r="BE470" s="294"/>
      <c r="BF470" s="294"/>
      <c r="BG470" s="294"/>
      <c r="BH470" s="294"/>
      <c r="BI470" s="294"/>
      <c r="BJ470" s="294"/>
      <c r="BK470" s="294"/>
      <c r="BL470" s="294"/>
      <c r="BM470" s="294"/>
      <c r="BN470" s="294"/>
      <c r="BO470" s="295"/>
      <c r="BP470" s="276">
        <f>SUMIFS('Adv. Filter'!$BJ$1:$BJ$50000,'Adv. Filter'!$BT$1:$BT$50000,"Srinivas",'Adv. Filter'!$BQ$1:$BQ$50000,$AY470,'Adv. Filter'!$BH$1:$BH$50000,"Cash",'Adv. Filter'!$BO$1:$BO$50000,"&lt;"&amp;'Adv. Filter'!$A$15)</f>
        <v>0</v>
      </c>
      <c r="BQ470" s="277"/>
      <c r="BR470" s="277"/>
      <c r="BS470" s="277"/>
      <c r="BT470" s="277"/>
      <c r="BU470" s="277"/>
      <c r="BV470" s="277"/>
      <c r="BW470" s="277"/>
      <c r="BX470" s="277"/>
      <c r="BY470" s="278"/>
      <c r="BZ470" s="276">
        <f>SUMIFS('Adv. Filter'!$BJ$1:$BJ$50000,'Adv. Filter'!$BT$1:$BT$50000,"Srinivas",'Adv. Filter'!$BQ$1:$BQ$50000,$AY470,'Adv. Filter'!$BH$1:$BH$50000,"Bank",'Adv. Filter'!$BO$1:$BO$50000,"&lt;"&amp;'Adv. Filter'!$A$15)</f>
        <v>0</v>
      </c>
      <c r="CA470" s="277"/>
      <c r="CB470" s="277"/>
      <c r="CC470" s="277"/>
      <c r="CD470" s="277"/>
      <c r="CE470" s="277"/>
      <c r="CF470" s="277"/>
      <c r="CG470" s="277"/>
      <c r="CH470" s="277"/>
      <c r="CI470" s="278"/>
      <c r="CJ470" s="276">
        <f t="shared" si="19"/>
        <v>0</v>
      </c>
      <c r="CK470" s="277"/>
      <c r="CL470" s="277"/>
      <c r="CM470" s="277"/>
      <c r="CN470" s="277"/>
      <c r="CO470" s="277"/>
      <c r="CP470" s="277"/>
      <c r="CQ470" s="277"/>
      <c r="CR470" s="277"/>
      <c r="CS470" s="278"/>
      <c r="CT470" s="44"/>
      <c r="CU470" s="44"/>
      <c r="CV470" s="44"/>
      <c r="CW470" s="44"/>
      <c r="CX470" s="44"/>
      <c r="CY470" s="44"/>
      <c r="CZ470" s="44"/>
      <c r="DG470" s="131"/>
    </row>
    <row r="471" spans="1:111" hidden="1">
      <c r="C471" s="308" t="s">
        <v>115</v>
      </c>
      <c r="D471" s="309"/>
      <c r="E471" s="309"/>
      <c r="F471" s="309"/>
      <c r="G471" s="309"/>
      <c r="H471" s="309"/>
      <c r="I471" s="309"/>
      <c r="J471" s="309"/>
      <c r="K471" s="309"/>
      <c r="L471" s="309"/>
      <c r="M471" s="309"/>
      <c r="N471" s="309"/>
      <c r="O471" s="309"/>
      <c r="P471" s="309"/>
      <c r="Q471" s="309"/>
      <c r="R471" s="309"/>
      <c r="S471" s="310"/>
      <c r="T471" s="267">
        <f>SUMIFS('Adv. Filter'!$BJ$1:$BJ$50000,'Adv. Filter'!$BT$1:$BT$50000,"Srinivas",'Adv. Filter'!$BQ$1:$BQ$50000,$C470,'Adv. Filter'!$BH$1:$BH$50000,"Cash",'Adv. Filter'!$BO$1:$BO$50000,'Adv. Filter'!$A$14,'Adv. Filter'!$BO$1:$BO$50000,'Adv. Filter'!$B$14,'Adv. Filter'!$BP$1:$BP$50000,"Project")</f>
        <v>0</v>
      </c>
      <c r="U471" s="268"/>
      <c r="V471" s="268"/>
      <c r="W471" s="268"/>
      <c r="X471" s="268"/>
      <c r="Y471" s="268"/>
      <c r="Z471" s="268"/>
      <c r="AA471" s="268"/>
      <c r="AB471" s="268"/>
      <c r="AC471" s="269"/>
      <c r="AD471" s="267">
        <f>SUMIFS('Adv. Filter'!$BJ$1:$BJ$50000,'Adv. Filter'!$BT$1:$BT$50000,"Srinivas",'Adv. Filter'!$BQ$1:$BQ$50000,$C470,'Adv. Filter'!$BH$1:$BH$50000,"Bank",'Adv. Filter'!$BO$1:$BO$50000,'Adv. Filter'!$A$14,'Adv. Filter'!$BO$1:$BO$50000,'Adv. Filter'!$B$14,'Adv. Filter'!$BP$1:$BP$50000,"Project")</f>
        <v>0</v>
      </c>
      <c r="AE471" s="268"/>
      <c r="AF471" s="268"/>
      <c r="AG471" s="268"/>
      <c r="AH471" s="268"/>
      <c r="AI471" s="268"/>
      <c r="AJ471" s="268"/>
      <c r="AK471" s="268"/>
      <c r="AL471" s="268"/>
      <c r="AM471" s="269"/>
      <c r="AN471" s="267">
        <f t="shared" si="18"/>
        <v>0</v>
      </c>
      <c r="AO471" s="268"/>
      <c r="AP471" s="268"/>
      <c r="AQ471" s="268"/>
      <c r="AR471" s="268"/>
      <c r="AS471" s="268"/>
      <c r="AT471" s="268"/>
      <c r="AU471" s="268"/>
      <c r="AV471" s="268"/>
      <c r="AW471" s="269"/>
      <c r="AX471" s="22"/>
      <c r="AY471" s="308" t="s">
        <v>115</v>
      </c>
      <c r="AZ471" s="309"/>
      <c r="BA471" s="309"/>
      <c r="BB471" s="309"/>
      <c r="BC471" s="309"/>
      <c r="BD471" s="309"/>
      <c r="BE471" s="309"/>
      <c r="BF471" s="309"/>
      <c r="BG471" s="309"/>
      <c r="BH471" s="309"/>
      <c r="BI471" s="309"/>
      <c r="BJ471" s="309"/>
      <c r="BK471" s="309"/>
      <c r="BL471" s="309"/>
      <c r="BM471" s="309"/>
      <c r="BN471" s="309"/>
      <c r="BO471" s="310"/>
      <c r="BP471" s="267">
        <f>SUMIFS('Adv. Filter'!$BJ$1:$BJ$50000,'Adv. Filter'!$BT$1:$BT$50000,"Srinivas",'Adv. Filter'!$BQ$1:$BQ$50000,$AY470,'Adv. Filter'!$BH$1:$BH$50000,"Cash",'Adv. Filter'!$BO$1:$BO$50000,"&lt;"&amp;'Adv. Filter'!$A$15,'Adv. Filter'!$BP$1:$BP$50000,"Project")</f>
        <v>0</v>
      </c>
      <c r="BQ471" s="268"/>
      <c r="BR471" s="268"/>
      <c r="BS471" s="268"/>
      <c r="BT471" s="268"/>
      <c r="BU471" s="268"/>
      <c r="BV471" s="268"/>
      <c r="BW471" s="268"/>
      <c r="BX471" s="268"/>
      <c r="BY471" s="269"/>
      <c r="BZ471" s="267">
        <f>SUMIFS('Adv. Filter'!$BJ$1:$BJ$50000,'Adv. Filter'!$BT$1:$BT$50000,"Srinivas",'Adv. Filter'!$BQ$1:$BQ$50000,$AY470,'Adv. Filter'!$BH$1:$BH$50000,"Bank",'Adv. Filter'!$BO$1:$BO$50000,"&lt;"&amp;'Adv. Filter'!$A$15,'Adv. Filter'!$BP$1:$BP$50000,"Project")</f>
        <v>0</v>
      </c>
      <c r="CA471" s="268"/>
      <c r="CB471" s="268"/>
      <c r="CC471" s="268"/>
      <c r="CD471" s="268"/>
      <c r="CE471" s="268"/>
      <c r="CF471" s="268"/>
      <c r="CG471" s="268"/>
      <c r="CH471" s="268"/>
      <c r="CI471" s="269"/>
      <c r="CJ471" s="267">
        <f t="shared" si="19"/>
        <v>0</v>
      </c>
      <c r="CK471" s="268"/>
      <c r="CL471" s="268"/>
      <c r="CM471" s="268"/>
      <c r="CN471" s="268"/>
      <c r="CO471" s="268"/>
      <c r="CP471" s="268"/>
      <c r="CQ471" s="268"/>
      <c r="CR471" s="268"/>
      <c r="CS471" s="269"/>
      <c r="DG471" s="131"/>
    </row>
    <row r="472" spans="1:111" hidden="1">
      <c r="C472" s="308" t="s">
        <v>510</v>
      </c>
      <c r="D472" s="309"/>
      <c r="E472" s="309"/>
      <c r="F472" s="309"/>
      <c r="G472" s="309"/>
      <c r="H472" s="309"/>
      <c r="I472" s="309"/>
      <c r="J472" s="309"/>
      <c r="K472" s="309"/>
      <c r="L472" s="309"/>
      <c r="M472" s="309"/>
      <c r="N472" s="309"/>
      <c r="O472" s="309"/>
      <c r="P472" s="309"/>
      <c r="Q472" s="309"/>
      <c r="R472" s="309"/>
      <c r="S472" s="310"/>
      <c r="T472" s="267">
        <v>0</v>
      </c>
      <c r="U472" s="268"/>
      <c r="V472" s="268"/>
      <c r="W472" s="268"/>
      <c r="X472" s="268"/>
      <c r="Y472" s="268"/>
      <c r="Z472" s="268"/>
      <c r="AA472" s="268"/>
      <c r="AB472" s="268"/>
      <c r="AC472" s="269"/>
      <c r="AD472" s="267">
        <v>0</v>
      </c>
      <c r="AE472" s="268"/>
      <c r="AF472" s="268"/>
      <c r="AG472" s="268"/>
      <c r="AH472" s="268"/>
      <c r="AI472" s="268"/>
      <c r="AJ472" s="268"/>
      <c r="AK472" s="268"/>
      <c r="AL472" s="268"/>
      <c r="AM472" s="269"/>
      <c r="AN472" s="267">
        <f t="shared" si="18"/>
        <v>0</v>
      </c>
      <c r="AO472" s="268"/>
      <c r="AP472" s="268"/>
      <c r="AQ472" s="268"/>
      <c r="AR472" s="268"/>
      <c r="AS472" s="268"/>
      <c r="AT472" s="268"/>
      <c r="AU472" s="268"/>
      <c r="AV472" s="268"/>
      <c r="AW472" s="269"/>
      <c r="AX472" s="22"/>
      <c r="AY472" s="308" t="s">
        <v>510</v>
      </c>
      <c r="AZ472" s="309"/>
      <c r="BA472" s="309"/>
      <c r="BB472" s="309"/>
      <c r="BC472" s="309"/>
      <c r="BD472" s="309"/>
      <c r="BE472" s="309"/>
      <c r="BF472" s="309"/>
      <c r="BG472" s="309"/>
      <c r="BH472" s="309"/>
      <c r="BI472" s="309"/>
      <c r="BJ472" s="309"/>
      <c r="BK472" s="309"/>
      <c r="BL472" s="309"/>
      <c r="BM472" s="309"/>
      <c r="BN472" s="309"/>
      <c r="BO472" s="310"/>
      <c r="BP472" s="267"/>
      <c r="BQ472" s="268"/>
      <c r="BR472" s="268"/>
      <c r="BS472" s="268"/>
      <c r="BT472" s="268"/>
      <c r="BU472" s="268"/>
      <c r="BV472" s="268"/>
      <c r="BW472" s="268"/>
      <c r="BX472" s="268"/>
      <c r="BY472" s="269"/>
      <c r="BZ472" s="267"/>
      <c r="CA472" s="268"/>
      <c r="CB472" s="268"/>
      <c r="CC472" s="268"/>
      <c r="CD472" s="268"/>
      <c r="CE472" s="268"/>
      <c r="CF472" s="268"/>
      <c r="CG472" s="268"/>
      <c r="CH472" s="268"/>
      <c r="CI472" s="269"/>
      <c r="CJ472" s="267">
        <f t="shared" si="19"/>
        <v>0</v>
      </c>
      <c r="CK472" s="268"/>
      <c r="CL472" s="268"/>
      <c r="CM472" s="268"/>
      <c r="CN472" s="268"/>
      <c r="CO472" s="268"/>
      <c r="CP472" s="268"/>
      <c r="CQ472" s="268"/>
      <c r="CR472" s="268"/>
      <c r="CS472" s="269"/>
      <c r="DG472" s="131"/>
    </row>
    <row r="473" spans="1:111" hidden="1">
      <c r="C473" s="43"/>
      <c r="D473" s="36" t="str">
        <f>IF(AN470=0,C470&amp;" -","")</f>
        <v>Canara -</v>
      </c>
      <c r="E473" s="42"/>
      <c r="F473" s="42"/>
      <c r="G473" s="42"/>
      <c r="H473" s="42"/>
      <c r="I473" s="42"/>
      <c r="J473" s="42"/>
      <c r="K473" s="42"/>
      <c r="L473" s="42"/>
      <c r="M473" s="42"/>
      <c r="N473" s="42"/>
      <c r="O473" s="42"/>
      <c r="P473" s="1"/>
      <c r="Q473" s="42"/>
      <c r="R473" s="41" t="s">
        <v>275</v>
      </c>
      <c r="S473" s="40"/>
      <c r="T473" s="267">
        <f>SUMIFS('Adv. Filter'!$CH$1:$CH$50000,'Adv. Filter'!$CD$1:$CD$50000,"Srinivas",'Adv. Filter'!$CE$1:$CE$50000,$C470,'Adv. Filter'!$CC$1:$CC$50000,"Suspense",'Adv. Filter'!$CF$1:$CF$50000,"Cash")</f>
        <v>0</v>
      </c>
      <c r="U473" s="268"/>
      <c r="V473" s="268"/>
      <c r="W473" s="268"/>
      <c r="X473" s="268"/>
      <c r="Y473" s="268"/>
      <c r="Z473" s="268"/>
      <c r="AA473" s="268"/>
      <c r="AB473" s="268"/>
      <c r="AC473" s="269"/>
      <c r="AD473" s="267">
        <f>SUMIFS('Adv. Filter'!$CH$1:$CH$50000,'Adv. Filter'!$CD$1:$CD$50000,"Srinivas",'Adv. Filter'!$CE$1:$CE$50000,$C470,'Adv. Filter'!$CC$1:$CC$50000,"Suspense",'Adv. Filter'!$CF$1:$CF$50000,"Bank")</f>
        <v>0</v>
      </c>
      <c r="AE473" s="268"/>
      <c r="AF473" s="268"/>
      <c r="AG473" s="268"/>
      <c r="AH473" s="268"/>
      <c r="AI473" s="268"/>
      <c r="AJ473" s="268"/>
      <c r="AK473" s="268"/>
      <c r="AL473" s="268"/>
      <c r="AM473" s="269"/>
      <c r="AN473" s="267">
        <f t="shared" si="18"/>
        <v>0</v>
      </c>
      <c r="AO473" s="268"/>
      <c r="AP473" s="268"/>
      <c r="AQ473" s="268"/>
      <c r="AR473" s="268"/>
      <c r="AS473" s="268"/>
      <c r="AT473" s="268"/>
      <c r="AU473" s="268"/>
      <c r="AV473" s="268"/>
      <c r="AW473" s="269"/>
      <c r="AX473" s="22"/>
      <c r="AY473" s="43"/>
      <c r="AZ473" s="36" t="str">
        <f>IF(CJ470=0,AY470&amp;" -","")</f>
        <v>Canara -</v>
      </c>
      <c r="BA473" s="42"/>
      <c r="BB473" s="42"/>
      <c r="BC473" s="42"/>
      <c r="BD473" s="42"/>
      <c r="BE473" s="42"/>
      <c r="BF473" s="42"/>
      <c r="BG473" s="42"/>
      <c r="BH473" s="42"/>
      <c r="BI473" s="42"/>
      <c r="BJ473" s="42"/>
      <c r="BK473" s="42"/>
      <c r="BL473" s="1"/>
      <c r="BM473" s="42"/>
      <c r="BN473" s="41" t="s">
        <v>275</v>
      </c>
      <c r="BO473" s="40"/>
      <c r="BP473" s="267"/>
      <c r="BQ473" s="268"/>
      <c r="BR473" s="268"/>
      <c r="BS473" s="268"/>
      <c r="BT473" s="268"/>
      <c r="BU473" s="268"/>
      <c r="BV473" s="268"/>
      <c r="BW473" s="268"/>
      <c r="BX473" s="268"/>
      <c r="BY473" s="269"/>
      <c r="BZ473" s="267"/>
      <c r="CA473" s="268"/>
      <c r="CB473" s="268"/>
      <c r="CC473" s="268"/>
      <c r="CD473" s="268"/>
      <c r="CE473" s="268"/>
      <c r="CF473" s="268"/>
      <c r="CG473" s="268"/>
      <c r="CH473" s="268"/>
      <c r="CI473" s="269"/>
      <c r="CJ473" s="267">
        <f t="shared" si="19"/>
        <v>0</v>
      </c>
      <c r="CK473" s="268"/>
      <c r="CL473" s="268"/>
      <c r="CM473" s="268"/>
      <c r="CN473" s="268"/>
      <c r="CO473" s="268"/>
      <c r="CP473" s="268"/>
      <c r="CQ473" s="268"/>
      <c r="CR473" s="268"/>
      <c r="CS473" s="269"/>
      <c r="DG473" s="131"/>
    </row>
    <row r="474" spans="1:111" hidden="1">
      <c r="A474" s="44"/>
      <c r="B474" s="44"/>
      <c r="C474" s="293" t="s">
        <v>70</v>
      </c>
      <c r="D474" s="294"/>
      <c r="E474" s="294"/>
      <c r="F474" s="294"/>
      <c r="G474" s="294"/>
      <c r="H474" s="294"/>
      <c r="I474" s="294"/>
      <c r="J474" s="294"/>
      <c r="K474" s="294"/>
      <c r="L474" s="294"/>
      <c r="M474" s="294"/>
      <c r="N474" s="294"/>
      <c r="O474" s="294"/>
      <c r="P474" s="294"/>
      <c r="Q474" s="294"/>
      <c r="R474" s="294"/>
      <c r="S474" s="295"/>
      <c r="T474" s="276">
        <f>SUMIFS('Adv. Filter'!$BJ$1:$BJ$50000,'Adv. Filter'!$BT$1:$BT$50000,"Srinivas",'Adv. Filter'!$BQ$1:$BQ$50000,$C474,'Adv. Filter'!$BH$1:$BH$50000,"Cash",'Adv. Filter'!$BO$1:$BO$50000,'Adv. Filter'!$A$14,'Adv. Filter'!$BO$1:$BO$50000,'Adv. Filter'!$B$14)</f>
        <v>0</v>
      </c>
      <c r="U474" s="277"/>
      <c r="V474" s="277"/>
      <c r="W474" s="277"/>
      <c r="X474" s="277"/>
      <c r="Y474" s="277"/>
      <c r="Z474" s="277"/>
      <c r="AA474" s="277"/>
      <c r="AB474" s="277"/>
      <c r="AC474" s="278"/>
      <c r="AD474" s="276">
        <f>SUMIFS('Adv. Filter'!$BJ$1:$BJ$50000,'Adv. Filter'!$BT$1:$BT$50000,"Srinivas",'Adv. Filter'!$BQ$1:$BQ$50000,$C474,'Adv. Filter'!$BH$1:$BH$50000,"Bank",'Adv. Filter'!$BO$1:$BO$50000,'Adv. Filter'!$A$14,'Adv. Filter'!$BO$1:$BO$50000,'Adv. Filter'!$B$14)</f>
        <v>72495</v>
      </c>
      <c r="AE474" s="277"/>
      <c r="AF474" s="277"/>
      <c r="AG474" s="277"/>
      <c r="AH474" s="277"/>
      <c r="AI474" s="277"/>
      <c r="AJ474" s="277"/>
      <c r="AK474" s="277"/>
      <c r="AL474" s="277"/>
      <c r="AM474" s="278"/>
      <c r="AN474" s="276">
        <f t="shared" si="18"/>
        <v>72495</v>
      </c>
      <c r="AO474" s="277"/>
      <c r="AP474" s="277"/>
      <c r="AQ474" s="277"/>
      <c r="AR474" s="277"/>
      <c r="AS474" s="277"/>
      <c r="AT474" s="277"/>
      <c r="AU474" s="277"/>
      <c r="AV474" s="277"/>
      <c r="AW474" s="278"/>
      <c r="AX474" s="45"/>
      <c r="AY474" s="293" t="s">
        <v>70</v>
      </c>
      <c r="AZ474" s="294"/>
      <c r="BA474" s="294"/>
      <c r="BB474" s="294"/>
      <c r="BC474" s="294"/>
      <c r="BD474" s="294"/>
      <c r="BE474" s="294"/>
      <c r="BF474" s="294"/>
      <c r="BG474" s="294"/>
      <c r="BH474" s="294"/>
      <c r="BI474" s="294"/>
      <c r="BJ474" s="294"/>
      <c r="BK474" s="294"/>
      <c r="BL474" s="294"/>
      <c r="BM474" s="294"/>
      <c r="BN474" s="294"/>
      <c r="BO474" s="295"/>
      <c r="BP474" s="276">
        <f>SUMIFS('Adv. Filter'!$BJ$1:$BJ$50000,'Adv. Filter'!$BT$1:$BT$50000,"Srinivas",'Adv. Filter'!$BQ$1:$BQ$50000,$AY474,'Adv. Filter'!$BH$1:$BH$50000,"Cash",'Adv. Filter'!$BO$1:$BO$50000,"&lt;"&amp;'Adv. Filter'!$A$15)</f>
        <v>0</v>
      </c>
      <c r="BQ474" s="277"/>
      <c r="BR474" s="277"/>
      <c r="BS474" s="277"/>
      <c r="BT474" s="277"/>
      <c r="BU474" s="277"/>
      <c r="BV474" s="277"/>
      <c r="BW474" s="277"/>
      <c r="BX474" s="277"/>
      <c r="BY474" s="278"/>
      <c r="BZ474" s="276">
        <f>SUMIFS('Adv. Filter'!$BJ$1:$BJ$50000,'Adv. Filter'!$BT$1:$BT$50000,"Srinivas",'Adv. Filter'!$BQ$1:$BQ$50000,$AY474,'Adv. Filter'!$BH$1:$BH$50000,"Bank",'Adv. Filter'!$BO$1:$BO$50000,"&lt;"&amp;'Adv. Filter'!$A$15)</f>
        <v>0</v>
      </c>
      <c r="CA474" s="277"/>
      <c r="CB474" s="277"/>
      <c r="CC474" s="277"/>
      <c r="CD474" s="277"/>
      <c r="CE474" s="277"/>
      <c r="CF474" s="277"/>
      <c r="CG474" s="277"/>
      <c r="CH474" s="277"/>
      <c r="CI474" s="278"/>
      <c r="CJ474" s="276">
        <f t="shared" si="19"/>
        <v>0</v>
      </c>
      <c r="CK474" s="277"/>
      <c r="CL474" s="277"/>
      <c r="CM474" s="277"/>
      <c r="CN474" s="277"/>
      <c r="CO474" s="277"/>
      <c r="CP474" s="277"/>
      <c r="CQ474" s="277"/>
      <c r="CR474" s="277"/>
      <c r="CS474" s="278"/>
      <c r="CT474" s="44"/>
      <c r="CU474" s="44"/>
      <c r="CV474" s="44"/>
      <c r="CW474" s="44"/>
      <c r="CX474" s="44"/>
      <c r="CY474" s="44"/>
      <c r="CZ474" s="44"/>
    </row>
    <row r="475" spans="1:111" hidden="1">
      <c r="C475" s="308" t="s">
        <v>115</v>
      </c>
      <c r="D475" s="309"/>
      <c r="E475" s="309"/>
      <c r="F475" s="309"/>
      <c r="G475" s="309"/>
      <c r="H475" s="309"/>
      <c r="I475" s="309"/>
      <c r="J475" s="309"/>
      <c r="K475" s="309"/>
      <c r="L475" s="309"/>
      <c r="M475" s="309"/>
      <c r="N475" s="309"/>
      <c r="O475" s="309"/>
      <c r="P475" s="309"/>
      <c r="Q475" s="309"/>
      <c r="R475" s="309"/>
      <c r="S475" s="310"/>
      <c r="T475" s="267">
        <f>SUMIFS('Adv. Filter'!$BJ$1:$BJ$50000,'Adv. Filter'!$BT$1:$BT$50000,"Srinivas",'Adv. Filter'!$BQ$1:$BQ$50000,$C474,'Adv. Filter'!$BH$1:$BH$50000,"Cash",'Adv. Filter'!$BO$1:$BO$50000,'Adv. Filter'!$A$14,'Adv. Filter'!$BO$1:$BO$50000,'Adv. Filter'!$B$14,'Adv. Filter'!$BP$1:$BP$50000,"Project")</f>
        <v>0</v>
      </c>
      <c r="U475" s="268"/>
      <c r="V475" s="268"/>
      <c r="W475" s="268"/>
      <c r="X475" s="268"/>
      <c r="Y475" s="268"/>
      <c r="Z475" s="268"/>
      <c r="AA475" s="268"/>
      <c r="AB475" s="268"/>
      <c r="AC475" s="269"/>
      <c r="AD475" s="267">
        <f>SUMIFS('Adv. Filter'!$BJ$1:$BJ$50000,'Adv. Filter'!$BT$1:$BT$50000,"Srinivas",'Adv. Filter'!$BQ$1:$BQ$50000,$C474,'Adv. Filter'!$BH$1:$BH$50000,"Bank",'Adv. Filter'!$BO$1:$BO$50000,'Adv. Filter'!$A$14,'Adv. Filter'!$BO$1:$BO$50000,'Adv. Filter'!$B$14,'Adv. Filter'!$BP$1:$BP$50000,"Project")</f>
        <v>0</v>
      </c>
      <c r="AE475" s="268"/>
      <c r="AF475" s="268"/>
      <c r="AG475" s="268"/>
      <c r="AH475" s="268"/>
      <c r="AI475" s="268"/>
      <c r="AJ475" s="268"/>
      <c r="AK475" s="268"/>
      <c r="AL475" s="268"/>
      <c r="AM475" s="269"/>
      <c r="AN475" s="267">
        <f t="shared" si="18"/>
        <v>0</v>
      </c>
      <c r="AO475" s="268"/>
      <c r="AP475" s="268"/>
      <c r="AQ475" s="268"/>
      <c r="AR475" s="268"/>
      <c r="AS475" s="268"/>
      <c r="AT475" s="268"/>
      <c r="AU475" s="268"/>
      <c r="AV475" s="268"/>
      <c r="AW475" s="269"/>
      <c r="AX475" s="22"/>
      <c r="AY475" s="308" t="s">
        <v>115</v>
      </c>
      <c r="AZ475" s="309"/>
      <c r="BA475" s="309"/>
      <c r="BB475" s="309"/>
      <c r="BC475" s="309"/>
      <c r="BD475" s="309"/>
      <c r="BE475" s="309"/>
      <c r="BF475" s="309"/>
      <c r="BG475" s="309"/>
      <c r="BH475" s="309"/>
      <c r="BI475" s="309"/>
      <c r="BJ475" s="309"/>
      <c r="BK475" s="309"/>
      <c r="BL475" s="309"/>
      <c r="BM475" s="309"/>
      <c r="BN475" s="309"/>
      <c r="BO475" s="310"/>
      <c r="BP475" s="267">
        <f>SUMIFS('Adv. Filter'!$BJ$1:$BJ$50000,'Adv. Filter'!$BT$1:$BT$50000,"Srinivas",'Adv. Filter'!$BQ$1:$BQ$50000,$AY474,'Adv. Filter'!$BH$1:$BH$50000,"Cash",'Adv. Filter'!$BO$1:$BO$50000,"&lt;"&amp;'Adv. Filter'!$A$15,'Adv. Filter'!$BP$1:$BP$50000,"Project")</f>
        <v>0</v>
      </c>
      <c r="BQ475" s="268"/>
      <c r="BR475" s="268"/>
      <c r="BS475" s="268"/>
      <c r="BT475" s="268"/>
      <c r="BU475" s="268"/>
      <c r="BV475" s="268"/>
      <c r="BW475" s="268"/>
      <c r="BX475" s="268"/>
      <c r="BY475" s="269"/>
      <c r="BZ475" s="267">
        <f>SUMIFS('Adv. Filter'!$BJ$1:$BJ$50000,'Adv. Filter'!$BT$1:$BT$50000,"Srinivas",'Adv. Filter'!$BQ$1:$BQ$50000,$AY474,'Adv. Filter'!$BH$1:$BH$50000,"Bank",'Adv. Filter'!$BO$1:$BO$50000,"&lt;"&amp;'Adv. Filter'!$A$15,'Adv. Filter'!$BP$1:$BP$50000,"Project")</f>
        <v>0</v>
      </c>
      <c r="CA475" s="268"/>
      <c r="CB475" s="268"/>
      <c r="CC475" s="268"/>
      <c r="CD475" s="268"/>
      <c r="CE475" s="268"/>
      <c r="CF475" s="268"/>
      <c r="CG475" s="268"/>
      <c r="CH475" s="268"/>
      <c r="CI475" s="269"/>
      <c r="CJ475" s="267">
        <f t="shared" si="19"/>
        <v>0</v>
      </c>
      <c r="CK475" s="268"/>
      <c r="CL475" s="268"/>
      <c r="CM475" s="268"/>
      <c r="CN475" s="268"/>
      <c r="CO475" s="268"/>
      <c r="CP475" s="268"/>
      <c r="CQ475" s="268"/>
      <c r="CR475" s="268"/>
      <c r="CS475" s="269"/>
    </row>
    <row r="476" spans="1:111" hidden="1">
      <c r="C476" s="308" t="s">
        <v>510</v>
      </c>
      <c r="D476" s="309"/>
      <c r="E476" s="309"/>
      <c r="F476" s="309"/>
      <c r="G476" s="309"/>
      <c r="H476" s="309"/>
      <c r="I476" s="309"/>
      <c r="J476" s="309"/>
      <c r="K476" s="309"/>
      <c r="L476" s="309"/>
      <c r="M476" s="309"/>
      <c r="N476" s="309"/>
      <c r="O476" s="309"/>
      <c r="P476" s="309"/>
      <c r="Q476" s="309"/>
      <c r="R476" s="309"/>
      <c r="S476" s="310"/>
      <c r="T476" s="267">
        <v>0</v>
      </c>
      <c r="U476" s="268"/>
      <c r="V476" s="268"/>
      <c r="W476" s="268"/>
      <c r="X476" s="268"/>
      <c r="Y476" s="268"/>
      <c r="Z476" s="268"/>
      <c r="AA476" s="268"/>
      <c r="AB476" s="268"/>
      <c r="AC476" s="269"/>
      <c r="AD476" s="267">
        <v>0</v>
      </c>
      <c r="AE476" s="268"/>
      <c r="AF476" s="268"/>
      <c r="AG476" s="268"/>
      <c r="AH476" s="268"/>
      <c r="AI476" s="268"/>
      <c r="AJ476" s="268"/>
      <c r="AK476" s="268"/>
      <c r="AL476" s="268"/>
      <c r="AM476" s="269"/>
      <c r="AN476" s="267">
        <f t="shared" si="18"/>
        <v>0</v>
      </c>
      <c r="AO476" s="268"/>
      <c r="AP476" s="268"/>
      <c r="AQ476" s="268"/>
      <c r="AR476" s="268"/>
      <c r="AS476" s="268"/>
      <c r="AT476" s="268"/>
      <c r="AU476" s="268"/>
      <c r="AV476" s="268"/>
      <c r="AW476" s="269"/>
      <c r="AX476" s="22"/>
      <c r="AY476" s="308" t="s">
        <v>510</v>
      </c>
      <c r="AZ476" s="309"/>
      <c r="BA476" s="309"/>
      <c r="BB476" s="309"/>
      <c r="BC476" s="309"/>
      <c r="BD476" s="309"/>
      <c r="BE476" s="309"/>
      <c r="BF476" s="309"/>
      <c r="BG476" s="309"/>
      <c r="BH476" s="309"/>
      <c r="BI476" s="309"/>
      <c r="BJ476" s="309"/>
      <c r="BK476" s="309"/>
      <c r="BL476" s="309"/>
      <c r="BM476" s="309"/>
      <c r="BN476" s="309"/>
      <c r="BO476" s="310"/>
      <c r="BP476" s="267"/>
      <c r="BQ476" s="268"/>
      <c r="BR476" s="268"/>
      <c r="BS476" s="268"/>
      <c r="BT476" s="268"/>
      <c r="BU476" s="268"/>
      <c r="BV476" s="268"/>
      <c r="BW476" s="268"/>
      <c r="BX476" s="268"/>
      <c r="BY476" s="269"/>
      <c r="BZ476" s="267"/>
      <c r="CA476" s="268"/>
      <c r="CB476" s="268"/>
      <c r="CC476" s="268"/>
      <c r="CD476" s="268"/>
      <c r="CE476" s="268"/>
      <c r="CF476" s="268"/>
      <c r="CG476" s="268"/>
      <c r="CH476" s="268"/>
      <c r="CI476" s="269"/>
      <c r="CJ476" s="267">
        <f t="shared" si="19"/>
        <v>0</v>
      </c>
      <c r="CK476" s="268"/>
      <c r="CL476" s="268"/>
      <c r="CM476" s="268"/>
      <c r="CN476" s="268"/>
      <c r="CO476" s="268"/>
      <c r="CP476" s="268"/>
      <c r="CQ476" s="268"/>
      <c r="CR476" s="268"/>
      <c r="CS476" s="269"/>
      <c r="DG476" s="131"/>
    </row>
    <row r="477" spans="1:111" hidden="1">
      <c r="C477" s="43"/>
      <c r="D477" s="36" t="str">
        <f>IF(AN474=0,C474&amp;" -","")</f>
        <v/>
      </c>
      <c r="E477" s="42"/>
      <c r="F477" s="42"/>
      <c r="G477" s="42"/>
      <c r="H477" s="42"/>
      <c r="I477" s="42"/>
      <c r="J477" s="42"/>
      <c r="K477" s="42"/>
      <c r="L477" s="42"/>
      <c r="M477" s="42"/>
      <c r="N477" s="42"/>
      <c r="O477" s="42"/>
      <c r="P477" s="1"/>
      <c r="Q477" s="42"/>
      <c r="R477" s="41" t="s">
        <v>275</v>
      </c>
      <c r="S477" s="40"/>
      <c r="T477" s="267">
        <f>SUMIFS('Adv. Filter'!$CH$1:$CH$50000,'Adv. Filter'!$CD$1:$CD$50000,"Srinivas",'Adv. Filter'!$CE$1:$CE$50000,$C474,'Adv. Filter'!$CC$1:$CC$50000,"Suspense",'Adv. Filter'!$CF$1:$CF$50000,"Cash")</f>
        <v>0</v>
      </c>
      <c r="U477" s="268"/>
      <c r="V477" s="268"/>
      <c r="W477" s="268"/>
      <c r="X477" s="268"/>
      <c r="Y477" s="268"/>
      <c r="Z477" s="268"/>
      <c r="AA477" s="268"/>
      <c r="AB477" s="268"/>
      <c r="AC477" s="269"/>
      <c r="AD477" s="267">
        <f>SUMIFS('Adv. Filter'!$CH$1:$CH$50000,'Adv. Filter'!$CD$1:$CD$50000,"Srinivas",'Adv. Filter'!$CE$1:$CE$50000,$C474,'Adv. Filter'!$CC$1:$CC$50000,"Suspense",'Adv. Filter'!$CF$1:$CF$50000,"Bank")</f>
        <v>0</v>
      </c>
      <c r="AE477" s="268"/>
      <c r="AF477" s="268"/>
      <c r="AG477" s="268"/>
      <c r="AH477" s="268"/>
      <c r="AI477" s="268"/>
      <c r="AJ477" s="268"/>
      <c r="AK477" s="268"/>
      <c r="AL477" s="268"/>
      <c r="AM477" s="269"/>
      <c r="AN477" s="267">
        <f t="shared" si="18"/>
        <v>0</v>
      </c>
      <c r="AO477" s="268"/>
      <c r="AP477" s="268"/>
      <c r="AQ477" s="268"/>
      <c r="AR477" s="268"/>
      <c r="AS477" s="268"/>
      <c r="AT477" s="268"/>
      <c r="AU477" s="268"/>
      <c r="AV477" s="268"/>
      <c r="AW477" s="269"/>
      <c r="AX477" s="22"/>
      <c r="AY477" s="43"/>
      <c r="AZ477" s="36" t="str">
        <f>IF(CJ474=0,AY474&amp;" -","")</f>
        <v>Cosmos -</v>
      </c>
      <c r="BA477" s="42"/>
      <c r="BB477" s="42"/>
      <c r="BC477" s="42"/>
      <c r="BD477" s="42"/>
      <c r="BE477" s="42"/>
      <c r="BF477" s="42"/>
      <c r="BG477" s="42"/>
      <c r="BH477" s="42"/>
      <c r="BI477" s="42"/>
      <c r="BJ477" s="42"/>
      <c r="BK477" s="42"/>
      <c r="BL477" s="1"/>
      <c r="BM477" s="42"/>
      <c r="BN477" s="41" t="s">
        <v>275</v>
      </c>
      <c r="BO477" s="40"/>
      <c r="BP477" s="267"/>
      <c r="BQ477" s="268"/>
      <c r="BR477" s="268"/>
      <c r="BS477" s="268"/>
      <c r="BT477" s="268"/>
      <c r="BU477" s="268"/>
      <c r="BV477" s="268"/>
      <c r="BW477" s="268"/>
      <c r="BX477" s="268"/>
      <c r="BY477" s="269"/>
      <c r="BZ477" s="267"/>
      <c r="CA477" s="268"/>
      <c r="CB477" s="268"/>
      <c r="CC477" s="268"/>
      <c r="CD477" s="268"/>
      <c r="CE477" s="268"/>
      <c r="CF477" s="268"/>
      <c r="CG477" s="268"/>
      <c r="CH477" s="268"/>
      <c r="CI477" s="269"/>
      <c r="CJ477" s="267">
        <f t="shared" si="19"/>
        <v>0</v>
      </c>
      <c r="CK477" s="268"/>
      <c r="CL477" s="268"/>
      <c r="CM477" s="268"/>
      <c r="CN477" s="268"/>
      <c r="CO477" s="268"/>
      <c r="CP477" s="268"/>
      <c r="CQ477" s="268"/>
      <c r="CR477" s="268"/>
      <c r="CS477" s="269"/>
      <c r="DG477" s="131"/>
    </row>
    <row r="478" spans="1:111" hidden="1">
      <c r="A478" s="44"/>
      <c r="B478" s="44"/>
      <c r="C478" s="293" t="s">
        <v>77</v>
      </c>
      <c r="D478" s="294"/>
      <c r="E478" s="294"/>
      <c r="F478" s="294"/>
      <c r="G478" s="294"/>
      <c r="H478" s="294"/>
      <c r="I478" s="294"/>
      <c r="J478" s="294"/>
      <c r="K478" s="294"/>
      <c r="L478" s="294"/>
      <c r="M478" s="294"/>
      <c r="N478" s="294"/>
      <c r="O478" s="294"/>
      <c r="P478" s="294"/>
      <c r="Q478" s="294"/>
      <c r="R478" s="294"/>
      <c r="S478" s="295"/>
      <c r="T478" s="276">
        <f>SUMIFS('Adv. Filter'!$BJ$1:$BJ$50000,'Adv. Filter'!$BT$1:$BT$50000,"Srinivas",'Adv. Filter'!$BQ$1:$BQ$50000,$C478,'Adv. Filter'!$BH$1:$BH$50000,"Cash",'Adv. Filter'!$BO$1:$BO$50000,'Adv. Filter'!$A$14,'Adv. Filter'!$BO$1:$BO$50000,'Adv. Filter'!$B$14)</f>
        <v>13000</v>
      </c>
      <c r="U478" s="277"/>
      <c r="V478" s="277"/>
      <c r="W478" s="277"/>
      <c r="X478" s="277"/>
      <c r="Y478" s="277"/>
      <c r="Z478" s="277"/>
      <c r="AA478" s="277"/>
      <c r="AB478" s="277"/>
      <c r="AC478" s="278"/>
      <c r="AD478" s="276">
        <f>SUMIFS('Adv. Filter'!$BJ$1:$BJ$50000,'Adv. Filter'!$BT$1:$BT$50000,"Srinivas",'Adv. Filter'!$BQ$1:$BQ$50000,$C478,'Adv. Filter'!$BH$1:$BH$50000,"Bank",'Adv. Filter'!$BO$1:$BO$50000,'Adv. Filter'!$A$14,'Adv. Filter'!$BO$1:$BO$50000,'Adv. Filter'!$B$14)</f>
        <v>29925</v>
      </c>
      <c r="AE478" s="277"/>
      <c r="AF478" s="277"/>
      <c r="AG478" s="277"/>
      <c r="AH478" s="277"/>
      <c r="AI478" s="277"/>
      <c r="AJ478" s="277"/>
      <c r="AK478" s="277"/>
      <c r="AL478" s="277"/>
      <c r="AM478" s="278"/>
      <c r="AN478" s="276">
        <f t="shared" si="18"/>
        <v>42925</v>
      </c>
      <c r="AO478" s="277"/>
      <c r="AP478" s="277"/>
      <c r="AQ478" s="277"/>
      <c r="AR478" s="277"/>
      <c r="AS478" s="277"/>
      <c r="AT478" s="277"/>
      <c r="AU478" s="277"/>
      <c r="AV478" s="277"/>
      <c r="AW478" s="278"/>
      <c r="AX478" s="45"/>
      <c r="AY478" s="293" t="s">
        <v>77</v>
      </c>
      <c r="AZ478" s="294"/>
      <c r="BA478" s="294"/>
      <c r="BB478" s="294"/>
      <c r="BC478" s="294"/>
      <c r="BD478" s="294"/>
      <c r="BE478" s="294"/>
      <c r="BF478" s="294"/>
      <c r="BG478" s="294"/>
      <c r="BH478" s="294"/>
      <c r="BI478" s="294"/>
      <c r="BJ478" s="294"/>
      <c r="BK478" s="294"/>
      <c r="BL478" s="294"/>
      <c r="BM478" s="294"/>
      <c r="BN478" s="294"/>
      <c r="BO478" s="295"/>
      <c r="BP478" s="276">
        <f>SUMIFS('Adv. Filter'!$BJ$1:$BJ$50000,'Adv. Filter'!$BT$1:$BT$50000,"Srinivas",'Adv. Filter'!$BQ$1:$BQ$50000,$AY478,'Adv. Filter'!$BH$1:$BH$50000,"Cash",'Adv. Filter'!$BO$1:$BO$50000,"&lt;"&amp;'Adv. Filter'!$A$15)</f>
        <v>0</v>
      </c>
      <c r="BQ478" s="277"/>
      <c r="BR478" s="277"/>
      <c r="BS478" s="277"/>
      <c r="BT478" s="277"/>
      <c r="BU478" s="277"/>
      <c r="BV478" s="277"/>
      <c r="BW478" s="277"/>
      <c r="BX478" s="277"/>
      <c r="BY478" s="278"/>
      <c r="BZ478" s="276">
        <f>SUMIFS('Adv. Filter'!$BJ$1:$BJ$50000,'Adv. Filter'!$BT$1:$BT$50000,"Srinivas",'Adv. Filter'!$BQ$1:$BQ$50000,$AY478,'Adv. Filter'!$BH$1:$BH$50000,"Bank",'Adv. Filter'!$BO$1:$BO$50000,"&lt;"&amp;'Adv. Filter'!$A$15)</f>
        <v>18503</v>
      </c>
      <c r="CA478" s="277"/>
      <c r="CB478" s="277"/>
      <c r="CC478" s="277"/>
      <c r="CD478" s="277"/>
      <c r="CE478" s="277"/>
      <c r="CF478" s="277"/>
      <c r="CG478" s="277"/>
      <c r="CH478" s="277"/>
      <c r="CI478" s="278"/>
      <c r="CJ478" s="276">
        <f t="shared" si="19"/>
        <v>18503</v>
      </c>
      <c r="CK478" s="277"/>
      <c r="CL478" s="277"/>
      <c r="CM478" s="277"/>
      <c r="CN478" s="277"/>
      <c r="CO478" s="277"/>
      <c r="CP478" s="277"/>
      <c r="CQ478" s="277"/>
      <c r="CR478" s="277"/>
      <c r="CS478" s="278"/>
      <c r="CT478" s="44"/>
      <c r="CU478" s="44"/>
      <c r="CV478" s="44"/>
      <c r="CW478" s="44"/>
      <c r="CX478" s="44"/>
      <c r="CY478" s="44"/>
      <c r="CZ478" s="44"/>
    </row>
    <row r="479" spans="1:111" hidden="1">
      <c r="C479" s="308" t="s">
        <v>115</v>
      </c>
      <c r="D479" s="309"/>
      <c r="E479" s="309"/>
      <c r="F479" s="309"/>
      <c r="G479" s="309"/>
      <c r="H479" s="309"/>
      <c r="I479" s="309"/>
      <c r="J479" s="309"/>
      <c r="K479" s="309"/>
      <c r="L479" s="309"/>
      <c r="M479" s="309"/>
      <c r="N479" s="309"/>
      <c r="O479" s="309"/>
      <c r="P479" s="309"/>
      <c r="Q479" s="309"/>
      <c r="R479" s="309"/>
      <c r="S479" s="310"/>
      <c r="T479" s="267">
        <f>SUMIFS('Adv. Filter'!$BJ$1:$BJ$50000,'Adv. Filter'!$BT$1:$BT$50000,"Srinivas",'Adv. Filter'!$BQ$1:$BQ$50000,$C478,'Adv. Filter'!$BH$1:$BH$50000,"Cash",'Adv. Filter'!$BO$1:$BO$50000,'Adv. Filter'!$A$14,'Adv. Filter'!$BO$1:$BO$50000,'Adv. Filter'!$B$14,'Adv. Filter'!$BP$1:$BP$50000,"Project")</f>
        <v>0</v>
      </c>
      <c r="U479" s="268"/>
      <c r="V479" s="268"/>
      <c r="W479" s="268"/>
      <c r="X479" s="268"/>
      <c r="Y479" s="268"/>
      <c r="Z479" s="268"/>
      <c r="AA479" s="268"/>
      <c r="AB479" s="268"/>
      <c r="AC479" s="269"/>
      <c r="AD479" s="267">
        <f>SUMIFS('Adv. Filter'!$BJ$1:$BJ$50000,'Adv. Filter'!$BT$1:$BT$50000,"Srinivas",'Adv. Filter'!$BQ$1:$BQ$50000,$C478,'Adv. Filter'!$BH$1:$BH$50000,"Bank",'Adv. Filter'!$BO$1:$BO$50000,'Adv. Filter'!$A$14,'Adv. Filter'!$BO$1:$BO$50000,'Adv. Filter'!$B$14,'Adv. Filter'!$BP$1:$BP$50000,"Project")</f>
        <v>0</v>
      </c>
      <c r="AE479" s="268"/>
      <c r="AF479" s="268"/>
      <c r="AG479" s="268"/>
      <c r="AH479" s="268"/>
      <c r="AI479" s="268"/>
      <c r="AJ479" s="268"/>
      <c r="AK479" s="268"/>
      <c r="AL479" s="268"/>
      <c r="AM479" s="269"/>
      <c r="AN479" s="267">
        <f t="shared" si="18"/>
        <v>0</v>
      </c>
      <c r="AO479" s="268"/>
      <c r="AP479" s="268"/>
      <c r="AQ479" s="268"/>
      <c r="AR479" s="268"/>
      <c r="AS479" s="268"/>
      <c r="AT479" s="268"/>
      <c r="AU479" s="268"/>
      <c r="AV479" s="268"/>
      <c r="AW479" s="269"/>
      <c r="AX479" s="22"/>
      <c r="AY479" s="308" t="s">
        <v>115</v>
      </c>
      <c r="AZ479" s="309"/>
      <c r="BA479" s="309"/>
      <c r="BB479" s="309"/>
      <c r="BC479" s="309"/>
      <c r="BD479" s="309"/>
      <c r="BE479" s="309"/>
      <c r="BF479" s="309"/>
      <c r="BG479" s="309"/>
      <c r="BH479" s="309"/>
      <c r="BI479" s="309"/>
      <c r="BJ479" s="309"/>
      <c r="BK479" s="309"/>
      <c r="BL479" s="309"/>
      <c r="BM479" s="309"/>
      <c r="BN479" s="309"/>
      <c r="BO479" s="310"/>
      <c r="BP479" s="267">
        <f>SUMIFS('Adv. Filter'!$BJ$1:$BJ$50000,'Adv. Filter'!$BT$1:$BT$50000,"Srinivas",'Adv. Filter'!$BQ$1:$BQ$50000,$AY478,'Adv. Filter'!$BH$1:$BH$50000,"Cash",'Adv. Filter'!$BO$1:$BO$50000,"&lt;"&amp;'Adv. Filter'!$A$15,'Adv. Filter'!$BP$1:$BP$50000,"Project")</f>
        <v>0</v>
      </c>
      <c r="BQ479" s="268"/>
      <c r="BR479" s="268"/>
      <c r="BS479" s="268"/>
      <c r="BT479" s="268"/>
      <c r="BU479" s="268"/>
      <c r="BV479" s="268"/>
      <c r="BW479" s="268"/>
      <c r="BX479" s="268"/>
      <c r="BY479" s="269"/>
      <c r="BZ479" s="267">
        <f>SUMIFS('Adv. Filter'!$BJ$1:$BJ$50000,'Adv. Filter'!$BT$1:$BT$50000,"Srinivas",'Adv. Filter'!$BQ$1:$BQ$50000,$AY478,'Adv. Filter'!$BH$1:$BH$50000,"Bank",'Adv. Filter'!$BO$1:$BO$50000,"&lt;"&amp;'Adv. Filter'!$A$15,'Adv. Filter'!$BP$1:$BP$50000,"Project")</f>
        <v>0</v>
      </c>
      <c r="CA479" s="268"/>
      <c r="CB479" s="268"/>
      <c r="CC479" s="268"/>
      <c r="CD479" s="268"/>
      <c r="CE479" s="268"/>
      <c r="CF479" s="268"/>
      <c r="CG479" s="268"/>
      <c r="CH479" s="268"/>
      <c r="CI479" s="269"/>
      <c r="CJ479" s="267">
        <f t="shared" si="19"/>
        <v>0</v>
      </c>
      <c r="CK479" s="268"/>
      <c r="CL479" s="268"/>
      <c r="CM479" s="268"/>
      <c r="CN479" s="268"/>
      <c r="CO479" s="268"/>
      <c r="CP479" s="268"/>
      <c r="CQ479" s="268"/>
      <c r="CR479" s="268"/>
      <c r="CS479" s="269"/>
    </row>
    <row r="480" spans="1:111" hidden="1">
      <c r="C480" s="308" t="s">
        <v>510</v>
      </c>
      <c r="D480" s="309"/>
      <c r="E480" s="309"/>
      <c r="F480" s="309"/>
      <c r="G480" s="309"/>
      <c r="H480" s="309"/>
      <c r="I480" s="309"/>
      <c r="J480" s="309"/>
      <c r="K480" s="309"/>
      <c r="L480" s="309"/>
      <c r="M480" s="309"/>
      <c r="N480" s="309"/>
      <c r="O480" s="309"/>
      <c r="P480" s="309"/>
      <c r="Q480" s="309"/>
      <c r="R480" s="309"/>
      <c r="S480" s="310"/>
      <c r="T480" s="267">
        <v>0</v>
      </c>
      <c r="U480" s="268"/>
      <c r="V480" s="268"/>
      <c r="W480" s="268"/>
      <c r="X480" s="268"/>
      <c r="Y480" s="268"/>
      <c r="Z480" s="268"/>
      <c r="AA480" s="268"/>
      <c r="AB480" s="268"/>
      <c r="AC480" s="269"/>
      <c r="AD480" s="267">
        <v>0</v>
      </c>
      <c r="AE480" s="268"/>
      <c r="AF480" s="268"/>
      <c r="AG480" s="268"/>
      <c r="AH480" s="268"/>
      <c r="AI480" s="268"/>
      <c r="AJ480" s="268"/>
      <c r="AK480" s="268"/>
      <c r="AL480" s="268"/>
      <c r="AM480" s="269"/>
      <c r="AN480" s="267">
        <f t="shared" si="18"/>
        <v>0</v>
      </c>
      <c r="AO480" s="268"/>
      <c r="AP480" s="268"/>
      <c r="AQ480" s="268"/>
      <c r="AR480" s="268"/>
      <c r="AS480" s="268"/>
      <c r="AT480" s="268"/>
      <c r="AU480" s="268"/>
      <c r="AV480" s="268"/>
      <c r="AW480" s="269"/>
      <c r="AX480" s="22"/>
      <c r="AY480" s="308" t="s">
        <v>510</v>
      </c>
      <c r="AZ480" s="309"/>
      <c r="BA480" s="309"/>
      <c r="BB480" s="309"/>
      <c r="BC480" s="309"/>
      <c r="BD480" s="309"/>
      <c r="BE480" s="309"/>
      <c r="BF480" s="309"/>
      <c r="BG480" s="309"/>
      <c r="BH480" s="309"/>
      <c r="BI480" s="309"/>
      <c r="BJ480" s="309"/>
      <c r="BK480" s="309"/>
      <c r="BL480" s="309"/>
      <c r="BM480" s="309"/>
      <c r="BN480" s="309"/>
      <c r="BO480" s="310"/>
      <c r="BP480" s="267"/>
      <c r="BQ480" s="268"/>
      <c r="BR480" s="268"/>
      <c r="BS480" s="268"/>
      <c r="BT480" s="268"/>
      <c r="BU480" s="268"/>
      <c r="BV480" s="268"/>
      <c r="BW480" s="268"/>
      <c r="BX480" s="268"/>
      <c r="BY480" s="269"/>
      <c r="BZ480" s="267"/>
      <c r="CA480" s="268"/>
      <c r="CB480" s="268"/>
      <c r="CC480" s="268"/>
      <c r="CD480" s="268"/>
      <c r="CE480" s="268"/>
      <c r="CF480" s="268"/>
      <c r="CG480" s="268"/>
      <c r="CH480" s="268"/>
      <c r="CI480" s="269"/>
      <c r="CJ480" s="267">
        <f t="shared" si="19"/>
        <v>0</v>
      </c>
      <c r="CK480" s="268"/>
      <c r="CL480" s="268"/>
      <c r="CM480" s="268"/>
      <c r="CN480" s="268"/>
      <c r="CO480" s="268"/>
      <c r="CP480" s="268"/>
      <c r="CQ480" s="268"/>
      <c r="CR480" s="268"/>
      <c r="CS480" s="269"/>
    </row>
    <row r="481" spans="1:104" hidden="1">
      <c r="C481" s="43"/>
      <c r="D481" s="36" t="str">
        <f>IF(AN478=0,C478&amp;" -","")</f>
        <v/>
      </c>
      <c r="E481" s="42"/>
      <c r="F481" s="42"/>
      <c r="G481" s="42"/>
      <c r="H481" s="42"/>
      <c r="I481" s="42"/>
      <c r="J481" s="42"/>
      <c r="K481" s="42"/>
      <c r="L481" s="42"/>
      <c r="M481" s="42"/>
      <c r="N481" s="42"/>
      <c r="O481" s="42"/>
      <c r="P481" s="1"/>
      <c r="Q481" s="42"/>
      <c r="R481" s="41" t="s">
        <v>275</v>
      </c>
      <c r="S481" s="40"/>
      <c r="T481" s="267">
        <f>SUMIFS('Adv. Filter'!$CH$1:$CH$50000,'Adv. Filter'!$CD$1:$CD$50000,"Srinivas",'Adv. Filter'!$CE$1:$CE$50000,$C478,'Adv. Filter'!$CC$1:$CC$50000,"Suspense",'Adv. Filter'!$CF$1:$CF$50000,"Cash")</f>
        <v>0</v>
      </c>
      <c r="U481" s="268"/>
      <c r="V481" s="268"/>
      <c r="W481" s="268"/>
      <c r="X481" s="268"/>
      <c r="Y481" s="268"/>
      <c r="Z481" s="268"/>
      <c r="AA481" s="268"/>
      <c r="AB481" s="268"/>
      <c r="AC481" s="269"/>
      <c r="AD481" s="267">
        <f>SUMIFS('Adv. Filter'!$CH$1:$CH$50000,'Adv. Filter'!$CD$1:$CD$50000,"Srinivas",'Adv. Filter'!$CE$1:$CE$50000,$C478,'Adv. Filter'!$CC$1:$CC$50000,"Suspense",'Adv. Filter'!$CF$1:$CF$50000,"Bank")</f>
        <v>0</v>
      </c>
      <c r="AE481" s="268"/>
      <c r="AF481" s="268"/>
      <c r="AG481" s="268"/>
      <c r="AH481" s="268"/>
      <c r="AI481" s="268"/>
      <c r="AJ481" s="268"/>
      <c r="AK481" s="268"/>
      <c r="AL481" s="268"/>
      <c r="AM481" s="269"/>
      <c r="AN481" s="267">
        <f t="shared" si="18"/>
        <v>0</v>
      </c>
      <c r="AO481" s="268"/>
      <c r="AP481" s="268"/>
      <c r="AQ481" s="268"/>
      <c r="AR481" s="268"/>
      <c r="AS481" s="268"/>
      <c r="AT481" s="268"/>
      <c r="AU481" s="268"/>
      <c r="AV481" s="268"/>
      <c r="AW481" s="269"/>
      <c r="AX481" s="22"/>
      <c r="AY481" s="43"/>
      <c r="AZ481" s="36" t="str">
        <f>IF(CJ478=0,AY478&amp;" -","")</f>
        <v/>
      </c>
      <c r="BA481" s="42"/>
      <c r="BB481" s="42"/>
      <c r="BC481" s="42"/>
      <c r="BD481" s="42"/>
      <c r="BE481" s="42"/>
      <c r="BF481" s="42"/>
      <c r="BG481" s="42"/>
      <c r="BH481" s="42"/>
      <c r="BI481" s="42"/>
      <c r="BJ481" s="42"/>
      <c r="BK481" s="42"/>
      <c r="BL481" s="1"/>
      <c r="BM481" s="42"/>
      <c r="BN481" s="41" t="s">
        <v>275</v>
      </c>
      <c r="BO481" s="40"/>
      <c r="BP481" s="267"/>
      <c r="BQ481" s="268"/>
      <c r="BR481" s="268"/>
      <c r="BS481" s="268"/>
      <c r="BT481" s="268"/>
      <c r="BU481" s="268"/>
      <c r="BV481" s="268"/>
      <c r="BW481" s="268"/>
      <c r="BX481" s="268"/>
      <c r="BY481" s="269"/>
      <c r="BZ481" s="267"/>
      <c r="CA481" s="268"/>
      <c r="CB481" s="268"/>
      <c r="CC481" s="268"/>
      <c r="CD481" s="268"/>
      <c r="CE481" s="268"/>
      <c r="CF481" s="268"/>
      <c r="CG481" s="268"/>
      <c r="CH481" s="268"/>
      <c r="CI481" s="269"/>
      <c r="CJ481" s="267">
        <f t="shared" si="19"/>
        <v>0</v>
      </c>
      <c r="CK481" s="268"/>
      <c r="CL481" s="268"/>
      <c r="CM481" s="268"/>
      <c r="CN481" s="268"/>
      <c r="CO481" s="268"/>
      <c r="CP481" s="268"/>
      <c r="CQ481" s="268"/>
      <c r="CR481" s="268"/>
      <c r="CS481" s="269"/>
    </row>
    <row r="482" spans="1:104" hidden="1">
      <c r="A482" s="44"/>
      <c r="B482" s="44"/>
      <c r="C482" s="293" t="s">
        <v>138</v>
      </c>
      <c r="D482" s="294"/>
      <c r="E482" s="294"/>
      <c r="F482" s="294"/>
      <c r="G482" s="294"/>
      <c r="H482" s="294"/>
      <c r="I482" s="294"/>
      <c r="J482" s="294"/>
      <c r="K482" s="294"/>
      <c r="L482" s="294"/>
      <c r="M482" s="294"/>
      <c r="N482" s="294"/>
      <c r="O482" s="294"/>
      <c r="P482" s="294"/>
      <c r="Q482" s="294"/>
      <c r="R482" s="294"/>
      <c r="S482" s="295"/>
      <c r="T482" s="276">
        <f>SUMIFS('Adv. Filter'!$BJ$1:$BJ$50000,'Adv. Filter'!$BT$1:$BT$50000,"Srinivas",'Adv. Filter'!$BQ$1:$BQ$50000,$C482,'Adv. Filter'!$BH$1:$BH$50000,"Cash",'Adv. Filter'!$BO$1:$BO$50000,'Adv. Filter'!$A$14,'Adv. Filter'!$BO$1:$BO$50000,'Adv. Filter'!$B$14)</f>
        <v>0</v>
      </c>
      <c r="U482" s="277"/>
      <c r="V482" s="277"/>
      <c r="W482" s="277"/>
      <c r="X482" s="277"/>
      <c r="Y482" s="277"/>
      <c r="Z482" s="277"/>
      <c r="AA482" s="277"/>
      <c r="AB482" s="277"/>
      <c r="AC482" s="278"/>
      <c r="AD482" s="276">
        <f>SUMIFS('Adv. Filter'!$BJ$1:$BJ$50000,'Adv. Filter'!$BT$1:$BT$50000,"Srinivas",'Adv. Filter'!$BQ$1:$BQ$50000,$C482,'Adv. Filter'!$BH$1:$BH$50000,"Bank",'Adv. Filter'!$BO$1:$BO$50000,'Adv. Filter'!$A$14,'Adv. Filter'!$BO$1:$BO$50000,'Adv. Filter'!$B$14)</f>
        <v>0</v>
      </c>
      <c r="AE482" s="277"/>
      <c r="AF482" s="277"/>
      <c r="AG482" s="277"/>
      <c r="AH482" s="277"/>
      <c r="AI482" s="277"/>
      <c r="AJ482" s="277"/>
      <c r="AK482" s="277"/>
      <c r="AL482" s="277"/>
      <c r="AM482" s="278"/>
      <c r="AN482" s="276">
        <f t="shared" si="18"/>
        <v>0</v>
      </c>
      <c r="AO482" s="277"/>
      <c r="AP482" s="277"/>
      <c r="AQ482" s="277"/>
      <c r="AR482" s="277"/>
      <c r="AS482" s="277"/>
      <c r="AT482" s="277"/>
      <c r="AU482" s="277"/>
      <c r="AV482" s="277"/>
      <c r="AW482" s="278"/>
      <c r="AX482" s="45"/>
      <c r="AY482" s="293" t="s">
        <v>138</v>
      </c>
      <c r="AZ482" s="294"/>
      <c r="BA482" s="294"/>
      <c r="BB482" s="294"/>
      <c r="BC482" s="294"/>
      <c r="BD482" s="294"/>
      <c r="BE482" s="294"/>
      <c r="BF482" s="294"/>
      <c r="BG482" s="294"/>
      <c r="BH482" s="294"/>
      <c r="BI482" s="294"/>
      <c r="BJ482" s="294"/>
      <c r="BK482" s="294"/>
      <c r="BL482" s="294"/>
      <c r="BM482" s="294"/>
      <c r="BN482" s="294"/>
      <c r="BO482" s="295"/>
      <c r="BP482" s="276">
        <f>SUMIFS('Adv. Filter'!$BJ$1:$BJ$50000,'Adv. Filter'!$BT$1:$BT$50000,"Srinivas",'Adv. Filter'!$BQ$1:$BQ$50000,$AY482,'Adv. Filter'!$BH$1:$BH$50000,"Cash",'Adv. Filter'!$BO$1:$BO$50000,"&lt;"&amp;'Adv. Filter'!$A$15)</f>
        <v>0</v>
      </c>
      <c r="BQ482" s="277"/>
      <c r="BR482" s="277"/>
      <c r="BS482" s="277"/>
      <c r="BT482" s="277"/>
      <c r="BU482" s="277"/>
      <c r="BV482" s="277"/>
      <c r="BW482" s="277"/>
      <c r="BX482" s="277"/>
      <c r="BY482" s="278"/>
      <c r="BZ482" s="276">
        <f>SUMIFS('Adv. Filter'!$BJ$1:$BJ$50000,'Adv. Filter'!$BT$1:$BT$50000,"Srinivas",'Adv. Filter'!$BQ$1:$BQ$50000,$AY482,'Adv. Filter'!$BH$1:$BH$50000,"Bank",'Adv. Filter'!$BO$1:$BO$50000,"&lt;"&amp;'Adv. Filter'!$A$15)</f>
        <v>0</v>
      </c>
      <c r="CA482" s="277"/>
      <c r="CB482" s="277"/>
      <c r="CC482" s="277"/>
      <c r="CD482" s="277"/>
      <c r="CE482" s="277"/>
      <c r="CF482" s="277"/>
      <c r="CG482" s="277"/>
      <c r="CH482" s="277"/>
      <c r="CI482" s="278"/>
      <c r="CJ482" s="276">
        <f t="shared" si="19"/>
        <v>0</v>
      </c>
      <c r="CK482" s="277"/>
      <c r="CL482" s="277"/>
      <c r="CM482" s="277"/>
      <c r="CN482" s="277"/>
      <c r="CO482" s="277"/>
      <c r="CP482" s="277"/>
      <c r="CQ482" s="277"/>
      <c r="CR482" s="277"/>
      <c r="CS482" s="278"/>
      <c r="CT482" s="44"/>
      <c r="CU482" s="44"/>
      <c r="CV482" s="44"/>
      <c r="CW482" s="44"/>
      <c r="CX482" s="44"/>
      <c r="CY482" s="44"/>
      <c r="CZ482" s="44"/>
    </row>
    <row r="483" spans="1:104" hidden="1">
      <c r="C483" s="308" t="s">
        <v>115</v>
      </c>
      <c r="D483" s="309"/>
      <c r="E483" s="309"/>
      <c r="F483" s="309"/>
      <c r="G483" s="309"/>
      <c r="H483" s="309"/>
      <c r="I483" s="309"/>
      <c r="J483" s="309"/>
      <c r="K483" s="309"/>
      <c r="L483" s="309"/>
      <c r="M483" s="309"/>
      <c r="N483" s="309"/>
      <c r="O483" s="309"/>
      <c r="P483" s="309"/>
      <c r="Q483" s="309"/>
      <c r="R483" s="309"/>
      <c r="S483" s="310"/>
      <c r="T483" s="267">
        <f>SUMIFS('Adv. Filter'!$BJ$1:$BJ$50000,'Adv. Filter'!$BT$1:$BT$50000,"Srinivas",'Adv. Filter'!$BQ$1:$BQ$50000,$C482,'Adv. Filter'!$BH$1:$BH$50000,"Cash",'Adv. Filter'!$BO$1:$BO$50000,'Adv. Filter'!$A$14,'Adv. Filter'!$BO$1:$BO$50000,'Adv. Filter'!$B$14,'Adv. Filter'!$BP$1:$BP$50000,"Project")</f>
        <v>0</v>
      </c>
      <c r="U483" s="268"/>
      <c r="V483" s="268"/>
      <c r="W483" s="268"/>
      <c r="X483" s="268"/>
      <c r="Y483" s="268"/>
      <c r="Z483" s="268"/>
      <c r="AA483" s="268"/>
      <c r="AB483" s="268"/>
      <c r="AC483" s="269"/>
      <c r="AD483" s="267">
        <f>SUMIFS('Adv. Filter'!$BJ$1:$BJ$50000,'Adv. Filter'!$BT$1:$BT$50000,"Srinivas",'Adv. Filter'!$BQ$1:$BQ$50000,$C482,'Adv. Filter'!$BH$1:$BH$50000,"Bank",'Adv. Filter'!$BO$1:$BO$50000,'Adv. Filter'!$A$14,'Adv. Filter'!$BO$1:$BO$50000,'Adv. Filter'!$B$14,'Adv. Filter'!$BP$1:$BP$50000,"Project")</f>
        <v>0</v>
      </c>
      <c r="AE483" s="268"/>
      <c r="AF483" s="268"/>
      <c r="AG483" s="268"/>
      <c r="AH483" s="268"/>
      <c r="AI483" s="268"/>
      <c r="AJ483" s="268"/>
      <c r="AK483" s="268"/>
      <c r="AL483" s="268"/>
      <c r="AM483" s="269"/>
      <c r="AN483" s="267">
        <f t="shared" si="18"/>
        <v>0</v>
      </c>
      <c r="AO483" s="268"/>
      <c r="AP483" s="268"/>
      <c r="AQ483" s="268"/>
      <c r="AR483" s="268"/>
      <c r="AS483" s="268"/>
      <c r="AT483" s="268"/>
      <c r="AU483" s="268"/>
      <c r="AV483" s="268"/>
      <c r="AW483" s="269"/>
      <c r="AX483" s="22"/>
      <c r="AY483" s="308" t="s">
        <v>115</v>
      </c>
      <c r="AZ483" s="309"/>
      <c r="BA483" s="309"/>
      <c r="BB483" s="309"/>
      <c r="BC483" s="309"/>
      <c r="BD483" s="309"/>
      <c r="BE483" s="309"/>
      <c r="BF483" s="309"/>
      <c r="BG483" s="309"/>
      <c r="BH483" s="309"/>
      <c r="BI483" s="309"/>
      <c r="BJ483" s="309"/>
      <c r="BK483" s="309"/>
      <c r="BL483" s="309"/>
      <c r="BM483" s="309"/>
      <c r="BN483" s="309"/>
      <c r="BO483" s="310"/>
      <c r="BP483" s="267">
        <f>SUMIFS('Adv. Filter'!$BJ$1:$BJ$50000,'Adv. Filter'!$BT$1:$BT$50000,"Srinivas",'Adv. Filter'!$BQ$1:$BQ$50000,$AY482,'Adv. Filter'!$BH$1:$BH$50000,"Cash",'Adv. Filter'!$BO$1:$BO$50000,"&lt;"&amp;'Adv. Filter'!$A$15,'Adv. Filter'!$BP$1:$BP$50000,"Project")</f>
        <v>0</v>
      </c>
      <c r="BQ483" s="268"/>
      <c r="BR483" s="268"/>
      <c r="BS483" s="268"/>
      <c r="BT483" s="268"/>
      <c r="BU483" s="268"/>
      <c r="BV483" s="268"/>
      <c r="BW483" s="268"/>
      <c r="BX483" s="268"/>
      <c r="BY483" s="269"/>
      <c r="BZ483" s="267">
        <f>SUMIFS('Adv. Filter'!$BJ$1:$BJ$50000,'Adv. Filter'!$BT$1:$BT$50000,"Srinivas",'Adv. Filter'!$BQ$1:$BQ$50000,$AY482,'Adv. Filter'!$BH$1:$BH$50000,"Bank",'Adv. Filter'!$BO$1:$BO$50000,"&lt;"&amp;'Adv. Filter'!$A$15,'Adv. Filter'!$BP$1:$BP$50000,"Project")</f>
        <v>0</v>
      </c>
      <c r="CA483" s="268"/>
      <c r="CB483" s="268"/>
      <c r="CC483" s="268"/>
      <c r="CD483" s="268"/>
      <c r="CE483" s="268"/>
      <c r="CF483" s="268"/>
      <c r="CG483" s="268"/>
      <c r="CH483" s="268"/>
      <c r="CI483" s="269"/>
      <c r="CJ483" s="267">
        <f t="shared" si="19"/>
        <v>0</v>
      </c>
      <c r="CK483" s="268"/>
      <c r="CL483" s="268"/>
      <c r="CM483" s="268"/>
      <c r="CN483" s="268"/>
      <c r="CO483" s="268"/>
      <c r="CP483" s="268"/>
      <c r="CQ483" s="268"/>
      <c r="CR483" s="268"/>
      <c r="CS483" s="269"/>
    </row>
    <row r="484" spans="1:104" hidden="1">
      <c r="C484" s="308" t="s">
        <v>510</v>
      </c>
      <c r="D484" s="309"/>
      <c r="E484" s="309"/>
      <c r="F484" s="309"/>
      <c r="G484" s="309"/>
      <c r="H484" s="309"/>
      <c r="I484" s="309"/>
      <c r="J484" s="309"/>
      <c r="K484" s="309"/>
      <c r="L484" s="309"/>
      <c r="M484" s="309"/>
      <c r="N484" s="309"/>
      <c r="O484" s="309"/>
      <c r="P484" s="309"/>
      <c r="Q484" s="309"/>
      <c r="R484" s="309"/>
      <c r="S484" s="310"/>
      <c r="T484" s="267">
        <v>0</v>
      </c>
      <c r="U484" s="268"/>
      <c r="V484" s="268"/>
      <c r="W484" s="268"/>
      <c r="X484" s="268"/>
      <c r="Y484" s="268"/>
      <c r="Z484" s="268"/>
      <c r="AA484" s="268"/>
      <c r="AB484" s="268"/>
      <c r="AC484" s="269"/>
      <c r="AD484" s="267">
        <v>0</v>
      </c>
      <c r="AE484" s="268"/>
      <c r="AF484" s="268"/>
      <c r="AG484" s="268"/>
      <c r="AH484" s="268"/>
      <c r="AI484" s="268"/>
      <c r="AJ484" s="268"/>
      <c r="AK484" s="268"/>
      <c r="AL484" s="268"/>
      <c r="AM484" s="269"/>
      <c r="AN484" s="267">
        <f t="shared" si="18"/>
        <v>0</v>
      </c>
      <c r="AO484" s="268"/>
      <c r="AP484" s="268"/>
      <c r="AQ484" s="268"/>
      <c r="AR484" s="268"/>
      <c r="AS484" s="268"/>
      <c r="AT484" s="268"/>
      <c r="AU484" s="268"/>
      <c r="AV484" s="268"/>
      <c r="AW484" s="269"/>
      <c r="AX484" s="22"/>
      <c r="AY484" s="308" t="s">
        <v>510</v>
      </c>
      <c r="AZ484" s="309"/>
      <c r="BA484" s="309"/>
      <c r="BB484" s="309"/>
      <c r="BC484" s="309"/>
      <c r="BD484" s="309"/>
      <c r="BE484" s="309"/>
      <c r="BF484" s="309"/>
      <c r="BG484" s="309"/>
      <c r="BH484" s="309"/>
      <c r="BI484" s="309"/>
      <c r="BJ484" s="309"/>
      <c r="BK484" s="309"/>
      <c r="BL484" s="309"/>
      <c r="BM484" s="309"/>
      <c r="BN484" s="309"/>
      <c r="BO484" s="310"/>
      <c r="BP484" s="267"/>
      <c r="BQ484" s="268"/>
      <c r="BR484" s="268"/>
      <c r="BS484" s="268"/>
      <c r="BT484" s="268"/>
      <c r="BU484" s="268"/>
      <c r="BV484" s="268"/>
      <c r="BW484" s="268"/>
      <c r="BX484" s="268"/>
      <c r="BY484" s="269"/>
      <c r="BZ484" s="267"/>
      <c r="CA484" s="268"/>
      <c r="CB484" s="268"/>
      <c r="CC484" s="268"/>
      <c r="CD484" s="268"/>
      <c r="CE484" s="268"/>
      <c r="CF484" s="268"/>
      <c r="CG484" s="268"/>
      <c r="CH484" s="268"/>
      <c r="CI484" s="269"/>
      <c r="CJ484" s="267">
        <f t="shared" si="19"/>
        <v>0</v>
      </c>
      <c r="CK484" s="268"/>
      <c r="CL484" s="268"/>
      <c r="CM484" s="268"/>
      <c r="CN484" s="268"/>
      <c r="CO484" s="268"/>
      <c r="CP484" s="268"/>
      <c r="CQ484" s="268"/>
      <c r="CR484" s="268"/>
      <c r="CS484" s="269"/>
    </row>
    <row r="485" spans="1:104" hidden="1">
      <c r="C485" s="43"/>
      <c r="D485" s="36" t="str">
        <f>IF(AN482=0,C482&amp;" -","")</f>
        <v>Indus Ind -</v>
      </c>
      <c r="E485" s="42"/>
      <c r="F485" s="42"/>
      <c r="G485" s="42"/>
      <c r="H485" s="42"/>
      <c r="I485" s="42"/>
      <c r="J485" s="42"/>
      <c r="K485" s="42"/>
      <c r="L485" s="42"/>
      <c r="M485" s="42"/>
      <c r="N485" s="42"/>
      <c r="O485" s="42"/>
      <c r="P485" s="1"/>
      <c r="Q485" s="42"/>
      <c r="R485" s="41" t="s">
        <v>275</v>
      </c>
      <c r="S485" s="40"/>
      <c r="T485" s="267">
        <f>SUMIFS('Adv. Filter'!$CH$1:$CH$50000,'Adv. Filter'!$CD$1:$CD$50000,"Srinivas",'Adv. Filter'!$CE$1:$CE$50000,$C482,'Adv. Filter'!$CC$1:$CC$50000,"Suspense",'Adv. Filter'!$CF$1:$CF$50000,"Cash")</f>
        <v>0</v>
      </c>
      <c r="U485" s="268"/>
      <c r="V485" s="268"/>
      <c r="W485" s="268"/>
      <c r="X485" s="268"/>
      <c r="Y485" s="268"/>
      <c r="Z485" s="268"/>
      <c r="AA485" s="268"/>
      <c r="AB485" s="268"/>
      <c r="AC485" s="269"/>
      <c r="AD485" s="267">
        <f>SUMIFS('Adv. Filter'!$CH$1:$CH$50000,'Adv. Filter'!$CD$1:$CD$50000,"Srinivas",'Adv. Filter'!$CE$1:$CE$50000,$C482,'Adv. Filter'!$CC$1:$CC$50000,"Suspense",'Adv. Filter'!$CF$1:$CF$50000,"Bank")</f>
        <v>0</v>
      </c>
      <c r="AE485" s="268"/>
      <c r="AF485" s="268"/>
      <c r="AG485" s="268"/>
      <c r="AH485" s="268"/>
      <c r="AI485" s="268"/>
      <c r="AJ485" s="268"/>
      <c r="AK485" s="268"/>
      <c r="AL485" s="268"/>
      <c r="AM485" s="269"/>
      <c r="AN485" s="267">
        <f t="shared" si="18"/>
        <v>0</v>
      </c>
      <c r="AO485" s="268"/>
      <c r="AP485" s="268"/>
      <c r="AQ485" s="268"/>
      <c r="AR485" s="268"/>
      <c r="AS485" s="268"/>
      <c r="AT485" s="268"/>
      <c r="AU485" s="268"/>
      <c r="AV485" s="268"/>
      <c r="AW485" s="269"/>
      <c r="AX485" s="22"/>
      <c r="AY485" s="43"/>
      <c r="AZ485" s="36" t="str">
        <f>IF(CJ482=0,AY482&amp;" -","")</f>
        <v>Indus Ind -</v>
      </c>
      <c r="BA485" s="42"/>
      <c r="BB485" s="42"/>
      <c r="BC485" s="42"/>
      <c r="BD485" s="42"/>
      <c r="BE485" s="42"/>
      <c r="BF485" s="42"/>
      <c r="BG485" s="42"/>
      <c r="BH485" s="42"/>
      <c r="BI485" s="42"/>
      <c r="BJ485" s="42"/>
      <c r="BK485" s="42"/>
      <c r="BL485" s="1"/>
      <c r="BM485" s="42"/>
      <c r="BN485" s="41" t="s">
        <v>275</v>
      </c>
      <c r="BO485" s="40"/>
      <c r="BP485" s="267"/>
      <c r="BQ485" s="268"/>
      <c r="BR485" s="268"/>
      <c r="BS485" s="268"/>
      <c r="BT485" s="268"/>
      <c r="BU485" s="268"/>
      <c r="BV485" s="268"/>
      <c r="BW485" s="268"/>
      <c r="BX485" s="268"/>
      <c r="BY485" s="269"/>
      <c r="BZ485" s="267"/>
      <c r="CA485" s="268"/>
      <c r="CB485" s="268"/>
      <c r="CC485" s="268"/>
      <c r="CD485" s="268"/>
      <c r="CE485" s="268"/>
      <c r="CF485" s="268"/>
      <c r="CG485" s="268"/>
      <c r="CH485" s="268"/>
      <c r="CI485" s="269"/>
      <c r="CJ485" s="267">
        <f t="shared" si="19"/>
        <v>0</v>
      </c>
      <c r="CK485" s="268"/>
      <c r="CL485" s="268"/>
      <c r="CM485" s="268"/>
      <c r="CN485" s="268"/>
      <c r="CO485" s="268"/>
      <c r="CP485" s="268"/>
      <c r="CQ485" s="268"/>
      <c r="CR485" s="268"/>
      <c r="CS485" s="269"/>
    </row>
    <row r="486" spans="1:104" hidden="1">
      <c r="A486" s="44"/>
      <c r="B486" s="44"/>
      <c r="C486" s="293" t="s">
        <v>84</v>
      </c>
      <c r="D486" s="294"/>
      <c r="E486" s="294"/>
      <c r="F486" s="294"/>
      <c r="G486" s="294"/>
      <c r="H486" s="294"/>
      <c r="I486" s="294"/>
      <c r="J486" s="294"/>
      <c r="K486" s="294"/>
      <c r="L486" s="294"/>
      <c r="M486" s="294"/>
      <c r="N486" s="294"/>
      <c r="O486" s="294"/>
      <c r="P486" s="294"/>
      <c r="Q486" s="294"/>
      <c r="R486" s="294"/>
      <c r="S486" s="295"/>
      <c r="T486" s="276">
        <f>SUMIFS('Adv. Filter'!$BJ$1:$BJ$50000,'Adv. Filter'!$BT$1:$BT$50000,"Srinivas",'Adv. Filter'!$BQ$1:$BQ$50000,$C486,'Adv. Filter'!$BH$1:$BH$50000,"Cash",'Adv. Filter'!$BO$1:$BO$50000,'Adv. Filter'!$A$14,'Adv. Filter'!$BO$1:$BO$50000,'Adv. Filter'!$B$14)</f>
        <v>0</v>
      </c>
      <c r="U486" s="277"/>
      <c r="V486" s="277"/>
      <c r="W486" s="277"/>
      <c r="X486" s="277"/>
      <c r="Y486" s="277"/>
      <c r="Z486" s="277"/>
      <c r="AA486" s="277"/>
      <c r="AB486" s="277"/>
      <c r="AC486" s="278"/>
      <c r="AD486" s="276">
        <f>SUMIFS('Adv. Filter'!$BJ$1:$BJ$50000,'Adv. Filter'!$BT$1:$BT$50000,"Srinivas",'Adv. Filter'!$BQ$1:$BQ$50000,$C486,'Adv. Filter'!$BH$1:$BH$50000,"Bank",'Adv. Filter'!$BO$1:$BO$50000,'Adv. Filter'!$A$14,'Adv. Filter'!$BO$1:$BO$50000,'Adv. Filter'!$B$14)</f>
        <v>0</v>
      </c>
      <c r="AE486" s="277"/>
      <c r="AF486" s="277"/>
      <c r="AG486" s="277"/>
      <c r="AH486" s="277"/>
      <c r="AI486" s="277"/>
      <c r="AJ486" s="277"/>
      <c r="AK486" s="277"/>
      <c r="AL486" s="277"/>
      <c r="AM486" s="278"/>
      <c r="AN486" s="276">
        <f t="shared" si="18"/>
        <v>0</v>
      </c>
      <c r="AO486" s="277"/>
      <c r="AP486" s="277"/>
      <c r="AQ486" s="277"/>
      <c r="AR486" s="277"/>
      <c r="AS486" s="277"/>
      <c r="AT486" s="277"/>
      <c r="AU486" s="277"/>
      <c r="AV486" s="277"/>
      <c r="AW486" s="278"/>
      <c r="AX486" s="45"/>
      <c r="AY486" s="293" t="s">
        <v>84</v>
      </c>
      <c r="AZ486" s="294"/>
      <c r="BA486" s="294"/>
      <c r="BB486" s="294"/>
      <c r="BC486" s="294"/>
      <c r="BD486" s="294"/>
      <c r="BE486" s="294"/>
      <c r="BF486" s="294"/>
      <c r="BG486" s="294"/>
      <c r="BH486" s="294"/>
      <c r="BI486" s="294"/>
      <c r="BJ486" s="294"/>
      <c r="BK486" s="294"/>
      <c r="BL486" s="294"/>
      <c r="BM486" s="294"/>
      <c r="BN486" s="294"/>
      <c r="BO486" s="295"/>
      <c r="BP486" s="276">
        <f>SUMIFS('Adv. Filter'!$BJ$1:$BJ$50000,'Adv. Filter'!$BT$1:$BT$50000,"Srinivas",'Adv. Filter'!$BQ$1:$BQ$50000,$AY486,'Adv. Filter'!$BH$1:$BH$50000,"Cash",'Adv. Filter'!$BO$1:$BO$50000,"&lt;"&amp;'Adv. Filter'!$A$15)</f>
        <v>0</v>
      </c>
      <c r="BQ486" s="277"/>
      <c r="BR486" s="277"/>
      <c r="BS486" s="277"/>
      <c r="BT486" s="277"/>
      <c r="BU486" s="277"/>
      <c r="BV486" s="277"/>
      <c r="BW486" s="277"/>
      <c r="BX486" s="277"/>
      <c r="BY486" s="278"/>
      <c r="BZ486" s="276">
        <f>SUMIFS('Adv. Filter'!$BJ$1:$BJ$50000,'Adv. Filter'!$BT$1:$BT$50000,"Srinivas",'Adv. Filter'!$BQ$1:$BQ$50000,$AY486,'Adv. Filter'!$BH$1:$BH$50000,"Bank",'Adv. Filter'!$BO$1:$BO$50000,"&lt;"&amp;'Adv. Filter'!$A$15)</f>
        <v>0</v>
      </c>
      <c r="CA486" s="277"/>
      <c r="CB486" s="277"/>
      <c r="CC486" s="277"/>
      <c r="CD486" s="277"/>
      <c r="CE486" s="277"/>
      <c r="CF486" s="277"/>
      <c r="CG486" s="277"/>
      <c r="CH486" s="277"/>
      <c r="CI486" s="278"/>
      <c r="CJ486" s="276">
        <f t="shared" si="19"/>
        <v>0</v>
      </c>
      <c r="CK486" s="277"/>
      <c r="CL486" s="277"/>
      <c r="CM486" s="277"/>
      <c r="CN486" s="277"/>
      <c r="CO486" s="277"/>
      <c r="CP486" s="277"/>
      <c r="CQ486" s="277"/>
      <c r="CR486" s="277"/>
      <c r="CS486" s="278"/>
      <c r="CT486" s="44"/>
      <c r="CU486" s="44"/>
      <c r="CV486" s="44"/>
      <c r="CW486" s="44"/>
      <c r="CX486" s="44"/>
      <c r="CY486" s="44"/>
      <c r="CZ486" s="44"/>
    </row>
    <row r="487" spans="1:104" hidden="1">
      <c r="C487" s="308" t="s">
        <v>115</v>
      </c>
      <c r="D487" s="309"/>
      <c r="E487" s="309"/>
      <c r="F487" s="309"/>
      <c r="G487" s="309"/>
      <c r="H487" s="309"/>
      <c r="I487" s="309"/>
      <c r="J487" s="309"/>
      <c r="K487" s="309"/>
      <c r="L487" s="309"/>
      <c r="M487" s="309"/>
      <c r="N487" s="309"/>
      <c r="O487" s="309"/>
      <c r="P487" s="309"/>
      <c r="Q487" s="309"/>
      <c r="R487" s="309"/>
      <c r="S487" s="310"/>
      <c r="T487" s="267">
        <f>SUMIFS('Adv. Filter'!$BJ$1:$BJ$50000,'Adv. Filter'!$BT$1:$BT$50000,"Srinivas",'Adv. Filter'!$BQ$1:$BQ$50000,$C486,'Adv. Filter'!$BH$1:$BH$50000,"Cash",'Adv. Filter'!$BO$1:$BO$50000,'Adv. Filter'!$A$14,'Adv. Filter'!$BO$1:$BO$50000,'Adv. Filter'!$B$14,'Adv. Filter'!$BP$1:$BP$50000,"Project")</f>
        <v>0</v>
      </c>
      <c r="U487" s="268"/>
      <c r="V487" s="268"/>
      <c r="W487" s="268"/>
      <c r="X487" s="268"/>
      <c r="Y487" s="268"/>
      <c r="Z487" s="268"/>
      <c r="AA487" s="268"/>
      <c r="AB487" s="268"/>
      <c r="AC487" s="269"/>
      <c r="AD487" s="267">
        <f>SUMIFS('Adv. Filter'!$BJ$1:$BJ$50000,'Adv. Filter'!$BT$1:$BT$50000,"Srinivas",'Adv. Filter'!$BQ$1:$BQ$50000,$C486,'Adv. Filter'!$BH$1:$BH$50000,"Bank",'Adv. Filter'!$BO$1:$BO$50000,'Adv. Filter'!$A$14,'Adv. Filter'!$BO$1:$BO$50000,'Adv. Filter'!$B$14,'Adv. Filter'!$BP$1:$BP$50000,"Project")</f>
        <v>0</v>
      </c>
      <c r="AE487" s="268"/>
      <c r="AF487" s="268"/>
      <c r="AG487" s="268"/>
      <c r="AH487" s="268"/>
      <c r="AI487" s="268"/>
      <c r="AJ487" s="268"/>
      <c r="AK487" s="268"/>
      <c r="AL487" s="268"/>
      <c r="AM487" s="269"/>
      <c r="AN487" s="267">
        <f t="shared" si="18"/>
        <v>0</v>
      </c>
      <c r="AO487" s="268"/>
      <c r="AP487" s="268"/>
      <c r="AQ487" s="268"/>
      <c r="AR487" s="268"/>
      <c r="AS487" s="268"/>
      <c r="AT487" s="268"/>
      <c r="AU487" s="268"/>
      <c r="AV487" s="268"/>
      <c r="AW487" s="269"/>
      <c r="AX487" s="22"/>
      <c r="AY487" s="308" t="s">
        <v>115</v>
      </c>
      <c r="AZ487" s="309"/>
      <c r="BA487" s="309"/>
      <c r="BB487" s="309"/>
      <c r="BC487" s="309"/>
      <c r="BD487" s="309"/>
      <c r="BE487" s="309"/>
      <c r="BF487" s="309"/>
      <c r="BG487" s="309"/>
      <c r="BH487" s="309"/>
      <c r="BI487" s="309"/>
      <c r="BJ487" s="309"/>
      <c r="BK487" s="309"/>
      <c r="BL487" s="309"/>
      <c r="BM487" s="309"/>
      <c r="BN487" s="309"/>
      <c r="BO487" s="310"/>
      <c r="BP487" s="267">
        <f>SUMIFS('Adv. Filter'!$BJ$1:$BJ$50000,'Adv. Filter'!$BT$1:$BT$50000,"Srinivas",'Adv. Filter'!$BQ$1:$BQ$50000,$AY486,'Adv. Filter'!$BH$1:$BH$50000,"Cash",'Adv. Filter'!$BO$1:$BO$50000,"&lt;"&amp;'Adv. Filter'!$A$15,'Adv. Filter'!$BP$1:$BP$50000,"Project")</f>
        <v>0</v>
      </c>
      <c r="BQ487" s="268"/>
      <c r="BR487" s="268"/>
      <c r="BS487" s="268"/>
      <c r="BT487" s="268"/>
      <c r="BU487" s="268"/>
      <c r="BV487" s="268"/>
      <c r="BW487" s="268"/>
      <c r="BX487" s="268"/>
      <c r="BY487" s="269"/>
      <c r="BZ487" s="267">
        <f>SUMIFS('Adv. Filter'!$BJ$1:$BJ$50000,'Adv. Filter'!$BT$1:$BT$50000,"Srinivas",'Adv. Filter'!$BQ$1:$BQ$50000,$AY486,'Adv. Filter'!$BH$1:$BH$50000,"Bank",'Adv. Filter'!$BO$1:$BO$50000,"&lt;"&amp;'Adv. Filter'!$A$15,'Adv. Filter'!$BP$1:$BP$50000,"Project")</f>
        <v>0</v>
      </c>
      <c r="CA487" s="268"/>
      <c r="CB487" s="268"/>
      <c r="CC487" s="268"/>
      <c r="CD487" s="268"/>
      <c r="CE487" s="268"/>
      <c r="CF487" s="268"/>
      <c r="CG487" s="268"/>
      <c r="CH487" s="268"/>
      <c r="CI487" s="269"/>
      <c r="CJ487" s="267">
        <f t="shared" si="19"/>
        <v>0</v>
      </c>
      <c r="CK487" s="268"/>
      <c r="CL487" s="268"/>
      <c r="CM487" s="268"/>
      <c r="CN487" s="268"/>
      <c r="CO487" s="268"/>
      <c r="CP487" s="268"/>
      <c r="CQ487" s="268"/>
      <c r="CR487" s="268"/>
      <c r="CS487" s="269"/>
    </row>
    <row r="488" spans="1:104" hidden="1">
      <c r="C488" s="308" t="s">
        <v>510</v>
      </c>
      <c r="D488" s="309"/>
      <c r="E488" s="309"/>
      <c r="F488" s="309"/>
      <c r="G488" s="309"/>
      <c r="H488" s="309"/>
      <c r="I488" s="309"/>
      <c r="J488" s="309"/>
      <c r="K488" s="309"/>
      <c r="L488" s="309"/>
      <c r="M488" s="309"/>
      <c r="N488" s="309"/>
      <c r="O488" s="309"/>
      <c r="P488" s="309"/>
      <c r="Q488" s="309"/>
      <c r="R488" s="309"/>
      <c r="S488" s="310"/>
      <c r="T488" s="267">
        <v>0</v>
      </c>
      <c r="U488" s="268"/>
      <c r="V488" s="268"/>
      <c r="W488" s="268"/>
      <c r="X488" s="268"/>
      <c r="Y488" s="268"/>
      <c r="Z488" s="268"/>
      <c r="AA488" s="268"/>
      <c r="AB488" s="268"/>
      <c r="AC488" s="269"/>
      <c r="AD488" s="267">
        <v>0</v>
      </c>
      <c r="AE488" s="268"/>
      <c r="AF488" s="268"/>
      <c r="AG488" s="268"/>
      <c r="AH488" s="268"/>
      <c r="AI488" s="268"/>
      <c r="AJ488" s="268"/>
      <c r="AK488" s="268"/>
      <c r="AL488" s="268"/>
      <c r="AM488" s="269"/>
      <c r="AN488" s="267">
        <f t="shared" si="18"/>
        <v>0</v>
      </c>
      <c r="AO488" s="268"/>
      <c r="AP488" s="268"/>
      <c r="AQ488" s="268"/>
      <c r="AR488" s="268"/>
      <c r="AS488" s="268"/>
      <c r="AT488" s="268"/>
      <c r="AU488" s="268"/>
      <c r="AV488" s="268"/>
      <c r="AW488" s="269"/>
      <c r="AX488" s="22"/>
      <c r="AY488" s="308" t="s">
        <v>510</v>
      </c>
      <c r="AZ488" s="309"/>
      <c r="BA488" s="309"/>
      <c r="BB488" s="309"/>
      <c r="BC488" s="309"/>
      <c r="BD488" s="309"/>
      <c r="BE488" s="309"/>
      <c r="BF488" s="309"/>
      <c r="BG488" s="309"/>
      <c r="BH488" s="309"/>
      <c r="BI488" s="309"/>
      <c r="BJ488" s="309"/>
      <c r="BK488" s="309"/>
      <c r="BL488" s="309"/>
      <c r="BM488" s="309"/>
      <c r="BN488" s="309"/>
      <c r="BO488" s="310"/>
      <c r="BP488" s="267"/>
      <c r="BQ488" s="268"/>
      <c r="BR488" s="268"/>
      <c r="BS488" s="268"/>
      <c r="BT488" s="268"/>
      <c r="BU488" s="268"/>
      <c r="BV488" s="268"/>
      <c r="BW488" s="268"/>
      <c r="BX488" s="268"/>
      <c r="BY488" s="269"/>
      <c r="BZ488" s="267"/>
      <c r="CA488" s="268"/>
      <c r="CB488" s="268"/>
      <c r="CC488" s="268"/>
      <c r="CD488" s="268"/>
      <c r="CE488" s="268"/>
      <c r="CF488" s="268"/>
      <c r="CG488" s="268"/>
      <c r="CH488" s="268"/>
      <c r="CI488" s="269"/>
      <c r="CJ488" s="267">
        <f t="shared" si="19"/>
        <v>0</v>
      </c>
      <c r="CK488" s="268"/>
      <c r="CL488" s="268"/>
      <c r="CM488" s="268"/>
      <c r="CN488" s="268"/>
      <c r="CO488" s="268"/>
      <c r="CP488" s="268"/>
      <c r="CQ488" s="268"/>
      <c r="CR488" s="268"/>
      <c r="CS488" s="269"/>
    </row>
    <row r="489" spans="1:104" hidden="1">
      <c r="C489" s="43"/>
      <c r="D489" s="36" t="str">
        <f>IF(AN486=0,C486&amp;" -","")</f>
        <v>SBI -</v>
      </c>
      <c r="E489" s="42"/>
      <c r="F489" s="42"/>
      <c r="G489" s="42"/>
      <c r="H489" s="42"/>
      <c r="I489" s="42"/>
      <c r="J489" s="42"/>
      <c r="K489" s="42"/>
      <c r="L489" s="42"/>
      <c r="M489" s="42"/>
      <c r="N489" s="42"/>
      <c r="O489" s="42"/>
      <c r="P489" s="1"/>
      <c r="Q489" s="42"/>
      <c r="R489" s="41" t="s">
        <v>275</v>
      </c>
      <c r="S489" s="40"/>
      <c r="T489" s="267">
        <f>SUMIFS('Adv. Filter'!$CH$1:$CH$50000,'Adv. Filter'!$CD$1:$CD$50000,"Srinivas",'Adv. Filter'!$CE$1:$CE$50000,$C486,'Adv. Filter'!$CC$1:$CC$50000,"Suspense",'Adv. Filter'!$CF$1:$CF$50000,"Cash")</f>
        <v>4500</v>
      </c>
      <c r="U489" s="268"/>
      <c r="V489" s="268"/>
      <c r="W489" s="268"/>
      <c r="X489" s="268"/>
      <c r="Y489" s="268"/>
      <c r="Z489" s="268"/>
      <c r="AA489" s="268"/>
      <c r="AB489" s="268"/>
      <c r="AC489" s="269"/>
      <c r="AD489" s="267">
        <f>SUMIFS('Adv. Filter'!$CH$1:$CH$50000,'Adv. Filter'!$CD$1:$CD$50000,"Srinivas",'Adv. Filter'!$CE$1:$CE$50000,$C486,'Adv. Filter'!$CC$1:$CC$50000,"Suspense",'Adv. Filter'!$CF$1:$CF$50000,"Bank")</f>
        <v>0</v>
      </c>
      <c r="AE489" s="268"/>
      <c r="AF489" s="268"/>
      <c r="AG489" s="268"/>
      <c r="AH489" s="268"/>
      <c r="AI489" s="268"/>
      <c r="AJ489" s="268"/>
      <c r="AK489" s="268"/>
      <c r="AL489" s="268"/>
      <c r="AM489" s="269"/>
      <c r="AN489" s="267">
        <f t="shared" si="18"/>
        <v>4500</v>
      </c>
      <c r="AO489" s="268"/>
      <c r="AP489" s="268"/>
      <c r="AQ489" s="268"/>
      <c r="AR489" s="268"/>
      <c r="AS489" s="268"/>
      <c r="AT489" s="268"/>
      <c r="AU489" s="268"/>
      <c r="AV489" s="268"/>
      <c r="AW489" s="269"/>
      <c r="AX489" s="22"/>
      <c r="AY489" s="43"/>
      <c r="AZ489" s="36" t="str">
        <f>IF(CJ486=0,AY486&amp;" -","")</f>
        <v>SBI -</v>
      </c>
      <c r="BA489" s="42"/>
      <c r="BB489" s="42"/>
      <c r="BC489" s="42"/>
      <c r="BD489" s="42"/>
      <c r="BE489" s="42"/>
      <c r="BF489" s="42"/>
      <c r="BG489" s="42"/>
      <c r="BH489" s="42"/>
      <c r="BI489" s="42"/>
      <c r="BJ489" s="42"/>
      <c r="BK489" s="42"/>
      <c r="BL489" s="1"/>
      <c r="BM489" s="42"/>
      <c r="BN489" s="41" t="s">
        <v>275</v>
      </c>
      <c r="BO489" s="40"/>
      <c r="BP489" s="267"/>
      <c r="BQ489" s="268"/>
      <c r="BR489" s="268"/>
      <c r="BS489" s="268"/>
      <c r="BT489" s="268"/>
      <c r="BU489" s="268"/>
      <c r="BV489" s="268"/>
      <c r="BW489" s="268"/>
      <c r="BX489" s="268"/>
      <c r="BY489" s="269"/>
      <c r="BZ489" s="267"/>
      <c r="CA489" s="268"/>
      <c r="CB489" s="268"/>
      <c r="CC489" s="268"/>
      <c r="CD489" s="268"/>
      <c r="CE489" s="268"/>
      <c r="CF489" s="268"/>
      <c r="CG489" s="268"/>
      <c r="CH489" s="268"/>
      <c r="CI489" s="269"/>
      <c r="CJ489" s="267">
        <f t="shared" si="19"/>
        <v>0</v>
      </c>
      <c r="CK489" s="268"/>
      <c r="CL489" s="268"/>
      <c r="CM489" s="268"/>
      <c r="CN489" s="268"/>
      <c r="CO489" s="268"/>
      <c r="CP489" s="268"/>
      <c r="CQ489" s="268"/>
      <c r="CR489" s="268"/>
      <c r="CS489" s="269"/>
    </row>
    <row r="490" spans="1:104" ht="15.75" hidden="1" thickBot="1">
      <c r="A490" s="44"/>
      <c r="B490" s="44"/>
      <c r="C490" s="293" t="s">
        <v>551</v>
      </c>
      <c r="D490" s="294"/>
      <c r="E490" s="294"/>
      <c r="F490" s="294"/>
      <c r="G490" s="294"/>
      <c r="H490" s="294"/>
      <c r="I490" s="294"/>
      <c r="J490" s="294"/>
      <c r="K490" s="294"/>
      <c r="L490" s="294"/>
      <c r="M490" s="294"/>
      <c r="N490" s="294"/>
      <c r="O490" s="294"/>
      <c r="P490" s="294"/>
      <c r="Q490" s="294"/>
      <c r="R490" s="294"/>
      <c r="S490" s="295"/>
      <c r="T490" s="276">
        <f>SUMIFS('Adv. Filter'!$BJ$1:$BJ$50000,'Adv. Filter'!$BT$1:$BT$50000,"Srinivas",'Adv. Filter'!$BQ$1:$BQ$50000,$C490,'Adv. Filter'!$BH$1:$BH$50000,"Cash",'Adv. Filter'!$BO$1:$BO$50000,'Adv. Filter'!$A$14,'Adv. Filter'!$BO$1:$BO$50000,'Adv. Filter'!$B$14)</f>
        <v>36000</v>
      </c>
      <c r="U490" s="277"/>
      <c r="V490" s="277"/>
      <c r="W490" s="277"/>
      <c r="X490" s="277"/>
      <c r="Y490" s="277"/>
      <c r="Z490" s="277"/>
      <c r="AA490" s="277"/>
      <c r="AB490" s="277"/>
      <c r="AC490" s="278"/>
      <c r="AD490" s="276">
        <f>SUMIFS('Adv. Filter'!$BJ$1:$BJ$50000,'Adv. Filter'!$BT$1:$BT$50000,"Srinivas",'Adv. Filter'!$BQ$1:$BQ$50000,$C490,'Adv. Filter'!$BH$1:$BH$50000,"Bank",'Adv. Filter'!$BO$1:$BO$50000,'Adv. Filter'!$A$14,'Adv. Filter'!$BO$1:$BO$50000,'Adv. Filter'!$B$14)</f>
        <v>24000</v>
      </c>
      <c r="AE490" s="277"/>
      <c r="AF490" s="277"/>
      <c r="AG490" s="277"/>
      <c r="AH490" s="277"/>
      <c r="AI490" s="277"/>
      <c r="AJ490" s="277"/>
      <c r="AK490" s="277"/>
      <c r="AL490" s="277"/>
      <c r="AM490" s="278"/>
      <c r="AN490" s="276">
        <f t="shared" ref="AN490:AN525" si="20">T490+AD490</f>
        <v>60000</v>
      </c>
      <c r="AO490" s="277"/>
      <c r="AP490" s="277"/>
      <c r="AQ490" s="277"/>
      <c r="AR490" s="277"/>
      <c r="AS490" s="277"/>
      <c r="AT490" s="277"/>
      <c r="AU490" s="277"/>
      <c r="AV490" s="277"/>
      <c r="AW490" s="278"/>
      <c r="AX490" s="45"/>
      <c r="AY490" s="293" t="s">
        <v>551</v>
      </c>
      <c r="AZ490" s="294"/>
      <c r="BA490" s="294"/>
      <c r="BB490" s="294"/>
      <c r="BC490" s="294"/>
      <c r="BD490" s="294"/>
      <c r="BE490" s="294"/>
      <c r="BF490" s="294"/>
      <c r="BG490" s="294"/>
      <c r="BH490" s="294"/>
      <c r="BI490" s="294"/>
      <c r="BJ490" s="294"/>
      <c r="BK490" s="294"/>
      <c r="BL490" s="294"/>
      <c r="BM490" s="294"/>
      <c r="BN490" s="294"/>
      <c r="BO490" s="295"/>
      <c r="BP490" s="276">
        <f>SUMIFS('Adv. Filter'!$BJ$1:$BJ$50000,'Adv. Filter'!$BT$1:$BT$50000,"Srinivas",'Adv. Filter'!$BQ$1:$BQ$50000,$AY490,'Adv. Filter'!$BH$1:$BH$50000,"Cash",'Adv. Filter'!$BO$1:$BO$50000,"&lt;"&amp;'Adv. Filter'!$A$15)</f>
        <v>0</v>
      </c>
      <c r="BQ490" s="277"/>
      <c r="BR490" s="277"/>
      <c r="BS490" s="277"/>
      <c r="BT490" s="277"/>
      <c r="BU490" s="277"/>
      <c r="BV490" s="277"/>
      <c r="BW490" s="277"/>
      <c r="BX490" s="277"/>
      <c r="BY490" s="278"/>
      <c r="BZ490" s="276">
        <f>SUMIFS('Adv. Filter'!$BJ$1:$BJ$50000,'Adv. Filter'!$BT$1:$BT$50000,"Srinivas",'Adv. Filter'!$BQ$1:$BQ$50000,$AY490,'Adv. Filter'!$BH$1:$BH$50000,"Bank",'Adv. Filter'!$BO$1:$BO$50000,"&lt;"&amp;'Adv. Filter'!$A$15)</f>
        <v>17887</v>
      </c>
      <c r="CA490" s="277"/>
      <c r="CB490" s="277"/>
      <c r="CC490" s="277"/>
      <c r="CD490" s="277"/>
      <c r="CE490" s="277"/>
      <c r="CF490" s="277"/>
      <c r="CG490" s="277"/>
      <c r="CH490" s="277"/>
      <c r="CI490" s="278"/>
      <c r="CJ490" s="276">
        <f t="shared" ref="CJ490:CJ525" si="21">BP490+BZ490</f>
        <v>17887</v>
      </c>
      <c r="CK490" s="277"/>
      <c r="CL490" s="277"/>
      <c r="CM490" s="277"/>
      <c r="CN490" s="277"/>
      <c r="CO490" s="277"/>
      <c r="CP490" s="277"/>
      <c r="CQ490" s="277"/>
      <c r="CR490" s="277"/>
      <c r="CS490" s="278"/>
      <c r="CT490" s="44"/>
      <c r="CU490" s="44"/>
      <c r="CV490" s="44"/>
      <c r="CW490" s="44"/>
      <c r="CX490" s="44"/>
      <c r="CY490" s="44"/>
      <c r="CZ490" s="44"/>
    </row>
    <row r="491" spans="1:104" hidden="1">
      <c r="C491" s="308" t="s">
        <v>115</v>
      </c>
      <c r="D491" s="309"/>
      <c r="E491" s="309"/>
      <c r="F491" s="309"/>
      <c r="G491" s="309"/>
      <c r="H491" s="309"/>
      <c r="I491" s="309"/>
      <c r="J491" s="309"/>
      <c r="K491" s="309"/>
      <c r="L491" s="309"/>
      <c r="M491" s="309"/>
      <c r="N491" s="309"/>
      <c r="O491" s="309"/>
      <c r="P491" s="309"/>
      <c r="Q491" s="309"/>
      <c r="R491" s="309"/>
      <c r="S491" s="310"/>
      <c r="T491" s="267">
        <f>SUMIFS('Adv. Filter'!$BJ$1:$BJ$50000,'Adv. Filter'!$BT$1:$BT$50000,"Srinivas",'Adv. Filter'!$BQ$1:$BQ$50000,$C490,'Adv. Filter'!$BH$1:$BH$50000,"Cash",'Adv. Filter'!$BO$1:$BO$50000,'Adv. Filter'!$A$14,'Adv. Filter'!$BO$1:$BO$50000,'Adv. Filter'!$B$14,'Adv. Filter'!$BP$1:$BP$50000,"Project")</f>
        <v>0</v>
      </c>
      <c r="U491" s="268"/>
      <c r="V491" s="268"/>
      <c r="W491" s="268"/>
      <c r="X491" s="268"/>
      <c r="Y491" s="268"/>
      <c r="Z491" s="268"/>
      <c r="AA491" s="268"/>
      <c r="AB491" s="268"/>
      <c r="AC491" s="269"/>
      <c r="AD491" s="267">
        <f>SUMIFS('Adv. Filter'!$BJ$1:$BJ$50000,'Adv. Filter'!$BT$1:$BT$50000,"Srinivas",'Adv. Filter'!$BQ$1:$BQ$50000,$C490,'Adv. Filter'!$BH$1:$BH$50000,"Bank",'Adv. Filter'!$BO$1:$BO$50000,'Adv. Filter'!$A$14,'Adv. Filter'!$BO$1:$BO$50000,'Adv. Filter'!$B$14,'Adv. Filter'!$BP$1:$BP$50000,"Project")</f>
        <v>0</v>
      </c>
      <c r="AE491" s="268"/>
      <c r="AF491" s="268"/>
      <c r="AG491" s="268"/>
      <c r="AH491" s="268"/>
      <c r="AI491" s="268"/>
      <c r="AJ491" s="268"/>
      <c r="AK491" s="268"/>
      <c r="AL491" s="268"/>
      <c r="AM491" s="269"/>
      <c r="AN491" s="267">
        <f t="shared" si="20"/>
        <v>0</v>
      </c>
      <c r="AO491" s="268"/>
      <c r="AP491" s="268"/>
      <c r="AQ491" s="268"/>
      <c r="AR491" s="268"/>
      <c r="AS491" s="268"/>
      <c r="AT491" s="268"/>
      <c r="AU491" s="268"/>
      <c r="AV491" s="268"/>
      <c r="AW491" s="269"/>
      <c r="AX491" s="22"/>
      <c r="AY491" s="308" t="s">
        <v>115</v>
      </c>
      <c r="AZ491" s="309"/>
      <c r="BA491" s="309"/>
      <c r="BB491" s="309"/>
      <c r="BC491" s="309"/>
      <c r="BD491" s="309"/>
      <c r="BE491" s="309"/>
      <c r="BF491" s="309"/>
      <c r="BG491" s="309"/>
      <c r="BH491" s="309"/>
      <c r="BI491" s="309"/>
      <c r="BJ491" s="309"/>
      <c r="BK491" s="309"/>
      <c r="BL491" s="309"/>
      <c r="BM491" s="309"/>
      <c r="BN491" s="309"/>
      <c r="BO491" s="310"/>
      <c r="BP491" s="267">
        <f>SUMIFS('Adv. Filter'!$BJ$1:$BJ$50000,'Adv. Filter'!$BT$1:$BT$50000,"Srinivas",'Adv. Filter'!$BQ$1:$BQ$50000,$AY490,'Adv. Filter'!$BH$1:$BH$50000,"Cash",'Adv. Filter'!$BO$1:$BO$50000,"&lt;"&amp;'Adv. Filter'!$A$15,'Adv. Filter'!$BP$1:$BP$50000,"Project")</f>
        <v>0</v>
      </c>
      <c r="BQ491" s="268"/>
      <c r="BR491" s="268"/>
      <c r="BS491" s="268"/>
      <c r="BT491" s="268"/>
      <c r="BU491" s="268"/>
      <c r="BV491" s="268"/>
      <c r="BW491" s="268"/>
      <c r="BX491" s="268"/>
      <c r="BY491" s="269"/>
      <c r="BZ491" s="267">
        <f>SUMIFS('Adv. Filter'!$BJ$1:$BJ$50000,'Adv. Filter'!$BT$1:$BT$50000,"Srinivas",'Adv. Filter'!$BQ$1:$BQ$50000,$AY490,'Adv. Filter'!$BH$1:$BH$50000,"Bank",'Adv. Filter'!$BO$1:$BO$50000,"&lt;"&amp;'Adv. Filter'!$A$15,'Adv. Filter'!$BP$1:$BP$50000,"Project")</f>
        <v>0</v>
      </c>
      <c r="CA491" s="268"/>
      <c r="CB491" s="268"/>
      <c r="CC491" s="268"/>
      <c r="CD491" s="268"/>
      <c r="CE491" s="268"/>
      <c r="CF491" s="268"/>
      <c r="CG491" s="268"/>
      <c r="CH491" s="268"/>
      <c r="CI491" s="269"/>
      <c r="CJ491" s="267">
        <f t="shared" si="21"/>
        <v>0</v>
      </c>
      <c r="CK491" s="268"/>
      <c r="CL491" s="268"/>
      <c r="CM491" s="268"/>
      <c r="CN491" s="268"/>
      <c r="CO491" s="268"/>
      <c r="CP491" s="268"/>
      <c r="CQ491" s="268"/>
      <c r="CR491" s="268"/>
      <c r="CS491" s="269"/>
    </row>
    <row r="492" spans="1:104" hidden="1">
      <c r="C492" s="308" t="s">
        <v>510</v>
      </c>
      <c r="D492" s="309"/>
      <c r="E492" s="309"/>
      <c r="F492" s="309"/>
      <c r="G492" s="309"/>
      <c r="H492" s="309"/>
      <c r="I492" s="309"/>
      <c r="J492" s="309"/>
      <c r="K492" s="309"/>
      <c r="L492" s="309"/>
      <c r="M492" s="309"/>
      <c r="N492" s="309"/>
      <c r="O492" s="309"/>
      <c r="P492" s="309"/>
      <c r="Q492" s="309"/>
      <c r="R492" s="309"/>
      <c r="S492" s="310"/>
      <c r="T492" s="267">
        <v>0</v>
      </c>
      <c r="U492" s="268"/>
      <c r="V492" s="268"/>
      <c r="W492" s="268"/>
      <c r="X492" s="268"/>
      <c r="Y492" s="268"/>
      <c r="Z492" s="268"/>
      <c r="AA492" s="268"/>
      <c r="AB492" s="268"/>
      <c r="AC492" s="269"/>
      <c r="AD492" s="267">
        <v>0</v>
      </c>
      <c r="AE492" s="268"/>
      <c r="AF492" s="268"/>
      <c r="AG492" s="268"/>
      <c r="AH492" s="268"/>
      <c r="AI492" s="268"/>
      <c r="AJ492" s="268"/>
      <c r="AK492" s="268"/>
      <c r="AL492" s="268"/>
      <c r="AM492" s="269"/>
      <c r="AN492" s="267">
        <f t="shared" si="20"/>
        <v>0</v>
      </c>
      <c r="AO492" s="268"/>
      <c r="AP492" s="268"/>
      <c r="AQ492" s="268"/>
      <c r="AR492" s="268"/>
      <c r="AS492" s="268"/>
      <c r="AT492" s="268"/>
      <c r="AU492" s="268"/>
      <c r="AV492" s="268"/>
      <c r="AW492" s="269"/>
      <c r="AX492" s="22"/>
      <c r="AY492" s="308" t="s">
        <v>510</v>
      </c>
      <c r="AZ492" s="309"/>
      <c r="BA492" s="309"/>
      <c r="BB492" s="309"/>
      <c r="BC492" s="309"/>
      <c r="BD492" s="309"/>
      <c r="BE492" s="309"/>
      <c r="BF492" s="309"/>
      <c r="BG492" s="309"/>
      <c r="BH492" s="309"/>
      <c r="BI492" s="309"/>
      <c r="BJ492" s="309"/>
      <c r="BK492" s="309"/>
      <c r="BL492" s="309"/>
      <c r="BM492" s="309"/>
      <c r="BN492" s="309"/>
      <c r="BO492" s="310"/>
      <c r="BP492" s="267"/>
      <c r="BQ492" s="268"/>
      <c r="BR492" s="268"/>
      <c r="BS492" s="268"/>
      <c r="BT492" s="268"/>
      <c r="BU492" s="268"/>
      <c r="BV492" s="268"/>
      <c r="BW492" s="268"/>
      <c r="BX492" s="268"/>
      <c r="BY492" s="269"/>
      <c r="BZ492" s="267"/>
      <c r="CA492" s="268"/>
      <c r="CB492" s="268"/>
      <c r="CC492" s="268"/>
      <c r="CD492" s="268"/>
      <c r="CE492" s="268"/>
      <c r="CF492" s="268"/>
      <c r="CG492" s="268"/>
      <c r="CH492" s="268"/>
      <c r="CI492" s="269"/>
      <c r="CJ492" s="267">
        <f t="shared" si="21"/>
        <v>0</v>
      </c>
      <c r="CK492" s="268"/>
      <c r="CL492" s="268"/>
      <c r="CM492" s="268"/>
      <c r="CN492" s="268"/>
      <c r="CO492" s="268"/>
      <c r="CP492" s="268"/>
      <c r="CQ492" s="268"/>
      <c r="CR492" s="268"/>
      <c r="CS492" s="269"/>
    </row>
    <row r="493" spans="1:104" hidden="1">
      <c r="A493" s="44"/>
      <c r="B493" s="44"/>
      <c r="C493" s="293" t="s">
        <v>121</v>
      </c>
      <c r="D493" s="294"/>
      <c r="E493" s="294"/>
      <c r="F493" s="294"/>
      <c r="G493" s="294"/>
      <c r="H493" s="294"/>
      <c r="I493" s="294"/>
      <c r="J493" s="294"/>
      <c r="K493" s="294"/>
      <c r="L493" s="294"/>
      <c r="M493" s="294"/>
      <c r="N493" s="294"/>
      <c r="O493" s="294"/>
      <c r="P493" s="294"/>
      <c r="Q493" s="294"/>
      <c r="R493" s="294"/>
      <c r="S493" s="295"/>
      <c r="T493" s="276">
        <f>SUMIFS('Adv. Filter'!$BJ$1:$BJ$50000,'Adv. Filter'!$BT$1:$BT$50000,"Srinivas",'Adv. Filter'!$BQ$1:$BQ$50000,$C493,'Adv. Filter'!$BH$1:$BH$50000,"Cash",'Adv. Filter'!$BO$1:$BO$50000,'Adv. Filter'!$A$14,'Adv. Filter'!$BO$1:$BO$50000,'Adv. Filter'!$B$14)</f>
        <v>0</v>
      </c>
      <c r="U493" s="277"/>
      <c r="V493" s="277"/>
      <c r="W493" s="277"/>
      <c r="X493" s="277"/>
      <c r="Y493" s="277"/>
      <c r="Z493" s="277"/>
      <c r="AA493" s="277"/>
      <c r="AB493" s="277"/>
      <c r="AC493" s="278"/>
      <c r="AD493" s="276">
        <f>SUMIFS('Adv. Filter'!$BJ$1:$BJ$50000,'Adv. Filter'!$BT$1:$BT$50000,"Srinivas",'Adv. Filter'!$BQ$1:$BQ$50000,$C493,'Adv. Filter'!$BH$1:$BH$50000,"Bank",'Adv. Filter'!$BO$1:$BO$50000,'Adv. Filter'!$A$14,'Adv. Filter'!$BO$1:$BO$50000,'Adv. Filter'!$B$14)</f>
        <v>0</v>
      </c>
      <c r="AE493" s="277"/>
      <c r="AF493" s="277"/>
      <c r="AG493" s="277"/>
      <c r="AH493" s="277"/>
      <c r="AI493" s="277"/>
      <c r="AJ493" s="277"/>
      <c r="AK493" s="277"/>
      <c r="AL493" s="277"/>
      <c r="AM493" s="278"/>
      <c r="AN493" s="276">
        <f t="shared" si="20"/>
        <v>0</v>
      </c>
      <c r="AO493" s="277"/>
      <c r="AP493" s="277"/>
      <c r="AQ493" s="277"/>
      <c r="AR493" s="277"/>
      <c r="AS493" s="277"/>
      <c r="AT493" s="277"/>
      <c r="AU493" s="277"/>
      <c r="AV493" s="277"/>
      <c r="AW493" s="278"/>
      <c r="AX493" s="45"/>
      <c r="AY493" s="293" t="s">
        <v>121</v>
      </c>
      <c r="AZ493" s="294"/>
      <c r="BA493" s="294"/>
      <c r="BB493" s="294"/>
      <c r="BC493" s="294"/>
      <c r="BD493" s="294"/>
      <c r="BE493" s="294"/>
      <c r="BF493" s="294"/>
      <c r="BG493" s="294"/>
      <c r="BH493" s="294"/>
      <c r="BI493" s="294"/>
      <c r="BJ493" s="294"/>
      <c r="BK493" s="294"/>
      <c r="BL493" s="294"/>
      <c r="BM493" s="294"/>
      <c r="BN493" s="294"/>
      <c r="BO493" s="295"/>
      <c r="BP493" s="276">
        <f>SUMIFS('Adv. Filter'!$BJ$1:$BJ$50000,'Adv. Filter'!$BT$1:$BT$50000,"Srinivas",'Adv. Filter'!$BQ$1:$BQ$50000,$AY493,'Adv. Filter'!$BH$1:$BH$50000,"Cash",'Adv. Filter'!$BO$1:$BO$50000,"&lt;"&amp;'Adv. Filter'!$A$15)</f>
        <v>0</v>
      </c>
      <c r="BQ493" s="277"/>
      <c r="BR493" s="277"/>
      <c r="BS493" s="277"/>
      <c r="BT493" s="277"/>
      <c r="BU493" s="277"/>
      <c r="BV493" s="277"/>
      <c r="BW493" s="277"/>
      <c r="BX493" s="277"/>
      <c r="BY493" s="278"/>
      <c r="BZ493" s="276">
        <f>SUMIFS('Adv. Filter'!$BJ$1:$BJ$50000,'Adv. Filter'!$BT$1:$BT$50000,"Srinivas",'Adv. Filter'!$BQ$1:$BQ$50000,$AY493,'Adv. Filter'!$BH$1:$BH$50000,"Bank",'Adv. Filter'!$BO$1:$BO$50000,"&lt;"&amp;'Adv. Filter'!$A$15)</f>
        <v>0</v>
      </c>
      <c r="CA493" s="277"/>
      <c r="CB493" s="277"/>
      <c r="CC493" s="277"/>
      <c r="CD493" s="277"/>
      <c r="CE493" s="277"/>
      <c r="CF493" s="277"/>
      <c r="CG493" s="277"/>
      <c r="CH493" s="277"/>
      <c r="CI493" s="278"/>
      <c r="CJ493" s="276">
        <f t="shared" si="21"/>
        <v>0</v>
      </c>
      <c r="CK493" s="277"/>
      <c r="CL493" s="277"/>
      <c r="CM493" s="277"/>
      <c r="CN493" s="277"/>
      <c r="CO493" s="277"/>
      <c r="CP493" s="277"/>
      <c r="CQ493" s="277"/>
      <c r="CR493" s="277"/>
      <c r="CS493" s="278"/>
      <c r="CT493" s="44"/>
      <c r="CU493" s="44"/>
      <c r="CV493" s="44"/>
      <c r="CW493" s="44"/>
      <c r="CX493" s="44"/>
      <c r="CY493" s="44"/>
      <c r="CZ493" s="44"/>
    </row>
    <row r="494" spans="1:104" hidden="1">
      <c r="C494" s="308" t="s">
        <v>115</v>
      </c>
      <c r="D494" s="309"/>
      <c r="E494" s="309"/>
      <c r="F494" s="309"/>
      <c r="G494" s="309"/>
      <c r="H494" s="309"/>
      <c r="I494" s="309"/>
      <c r="J494" s="309"/>
      <c r="K494" s="309"/>
      <c r="L494" s="309"/>
      <c r="M494" s="309"/>
      <c r="N494" s="309"/>
      <c r="O494" s="309"/>
      <c r="P494" s="309"/>
      <c r="Q494" s="309"/>
      <c r="R494" s="309"/>
      <c r="S494" s="310"/>
      <c r="T494" s="267">
        <f>SUMIFS('Adv. Filter'!$BJ$1:$BJ$50000,'Adv. Filter'!$BT$1:$BT$50000,"Srinivas",'Adv. Filter'!$BQ$1:$BQ$50000,$C493,'Adv. Filter'!$BH$1:$BH$50000,"Cash",'Adv. Filter'!$BO$1:$BO$50000,'Adv. Filter'!$A$14,'Adv. Filter'!$BO$1:$BO$50000,'Adv. Filter'!$B$14,'Adv. Filter'!$BP$1:$BP$50000,"Project")</f>
        <v>0</v>
      </c>
      <c r="U494" s="268"/>
      <c r="V494" s="268"/>
      <c r="W494" s="268"/>
      <c r="X494" s="268"/>
      <c r="Y494" s="268"/>
      <c r="Z494" s="268"/>
      <c r="AA494" s="268"/>
      <c r="AB494" s="268"/>
      <c r="AC494" s="269"/>
      <c r="AD494" s="267">
        <f>SUMIFS('Adv. Filter'!$BJ$1:$BJ$50000,'Adv. Filter'!$BT$1:$BT$50000,"Srinivas",'Adv. Filter'!$BQ$1:$BQ$50000,$C493,'Adv. Filter'!$BH$1:$BH$50000,"Bank",'Adv. Filter'!$BO$1:$BO$50000,'Adv. Filter'!$A$14,'Adv. Filter'!$BO$1:$BO$50000,'Adv. Filter'!$B$14,'Adv. Filter'!$BP$1:$BP$50000,"Project")</f>
        <v>0</v>
      </c>
      <c r="AE494" s="268"/>
      <c r="AF494" s="268"/>
      <c r="AG494" s="268"/>
      <c r="AH494" s="268"/>
      <c r="AI494" s="268"/>
      <c r="AJ494" s="268"/>
      <c r="AK494" s="268"/>
      <c r="AL494" s="268"/>
      <c r="AM494" s="269"/>
      <c r="AN494" s="267">
        <f t="shared" si="20"/>
        <v>0</v>
      </c>
      <c r="AO494" s="268"/>
      <c r="AP494" s="268"/>
      <c r="AQ494" s="268"/>
      <c r="AR494" s="268"/>
      <c r="AS494" s="268"/>
      <c r="AT494" s="268"/>
      <c r="AU494" s="268"/>
      <c r="AV494" s="268"/>
      <c r="AW494" s="269"/>
      <c r="AX494" s="22"/>
      <c r="AY494" s="308" t="s">
        <v>115</v>
      </c>
      <c r="AZ494" s="309"/>
      <c r="BA494" s="309"/>
      <c r="BB494" s="309"/>
      <c r="BC494" s="309"/>
      <c r="BD494" s="309"/>
      <c r="BE494" s="309"/>
      <c r="BF494" s="309"/>
      <c r="BG494" s="309"/>
      <c r="BH494" s="309"/>
      <c r="BI494" s="309"/>
      <c r="BJ494" s="309"/>
      <c r="BK494" s="309"/>
      <c r="BL494" s="309"/>
      <c r="BM494" s="309"/>
      <c r="BN494" s="309"/>
      <c r="BO494" s="310"/>
      <c r="BP494" s="267">
        <f>SUMIFS('Adv. Filter'!$BJ$1:$BJ$50000,'Adv. Filter'!$BT$1:$BT$50000,"Srinivas",'Adv. Filter'!$BQ$1:$BQ$50000,$AY493,'Adv. Filter'!$BH$1:$BH$50000,"Cash",'Adv. Filter'!$BO$1:$BO$50000,"&lt;"&amp;'Adv. Filter'!$A$15,'Adv. Filter'!$BP$1:$BP$50000,"Project")</f>
        <v>0</v>
      </c>
      <c r="BQ494" s="268"/>
      <c r="BR494" s="268"/>
      <c r="BS494" s="268"/>
      <c r="BT494" s="268"/>
      <c r="BU494" s="268"/>
      <c r="BV494" s="268"/>
      <c r="BW494" s="268"/>
      <c r="BX494" s="268"/>
      <c r="BY494" s="269"/>
      <c r="BZ494" s="267">
        <f>SUMIFS('Adv. Filter'!$BJ$1:$BJ$50000,'Adv. Filter'!$BT$1:$BT$50000,"Srinivas",'Adv. Filter'!$BQ$1:$BQ$50000,$AY493,'Adv. Filter'!$BH$1:$BH$50000,"Bank",'Adv. Filter'!$BO$1:$BO$50000,"&lt;"&amp;'Adv. Filter'!$A$15,'Adv. Filter'!$BP$1:$BP$50000,"Project")</f>
        <v>0</v>
      </c>
      <c r="CA494" s="268"/>
      <c r="CB494" s="268"/>
      <c r="CC494" s="268"/>
      <c r="CD494" s="268"/>
      <c r="CE494" s="268"/>
      <c r="CF494" s="268"/>
      <c r="CG494" s="268"/>
      <c r="CH494" s="268"/>
      <c r="CI494" s="269"/>
      <c r="CJ494" s="267">
        <f t="shared" si="21"/>
        <v>0</v>
      </c>
      <c r="CK494" s="268"/>
      <c r="CL494" s="268"/>
      <c r="CM494" s="268"/>
      <c r="CN494" s="268"/>
      <c r="CO494" s="268"/>
      <c r="CP494" s="268"/>
      <c r="CQ494" s="268"/>
      <c r="CR494" s="268"/>
      <c r="CS494" s="269"/>
    </row>
    <row r="495" spans="1:104" hidden="1">
      <c r="C495" s="308" t="s">
        <v>510</v>
      </c>
      <c r="D495" s="309"/>
      <c r="E495" s="309"/>
      <c r="F495" s="309"/>
      <c r="G495" s="309"/>
      <c r="H495" s="309"/>
      <c r="I495" s="309"/>
      <c r="J495" s="309"/>
      <c r="K495" s="309"/>
      <c r="L495" s="309"/>
      <c r="M495" s="309"/>
      <c r="N495" s="309"/>
      <c r="O495" s="309"/>
      <c r="P495" s="309"/>
      <c r="Q495" s="309"/>
      <c r="R495" s="309"/>
      <c r="S495" s="310"/>
      <c r="T495" s="267">
        <v>0</v>
      </c>
      <c r="U495" s="268"/>
      <c r="V495" s="268"/>
      <c r="W495" s="268"/>
      <c r="X495" s="268"/>
      <c r="Y495" s="268"/>
      <c r="Z495" s="268"/>
      <c r="AA495" s="268"/>
      <c r="AB495" s="268"/>
      <c r="AC495" s="269"/>
      <c r="AD495" s="267">
        <v>0</v>
      </c>
      <c r="AE495" s="268"/>
      <c r="AF495" s="268"/>
      <c r="AG495" s="268"/>
      <c r="AH495" s="268"/>
      <c r="AI495" s="268"/>
      <c r="AJ495" s="268"/>
      <c r="AK495" s="268"/>
      <c r="AL495" s="268"/>
      <c r="AM495" s="269"/>
      <c r="AN495" s="267">
        <f t="shared" si="20"/>
        <v>0</v>
      </c>
      <c r="AO495" s="268"/>
      <c r="AP495" s="268"/>
      <c r="AQ495" s="268"/>
      <c r="AR495" s="268"/>
      <c r="AS495" s="268"/>
      <c r="AT495" s="268"/>
      <c r="AU495" s="268"/>
      <c r="AV495" s="268"/>
      <c r="AW495" s="269"/>
      <c r="AX495" s="22"/>
      <c r="AY495" s="308" t="s">
        <v>510</v>
      </c>
      <c r="AZ495" s="309"/>
      <c r="BA495" s="309"/>
      <c r="BB495" s="309"/>
      <c r="BC495" s="309"/>
      <c r="BD495" s="309"/>
      <c r="BE495" s="309"/>
      <c r="BF495" s="309"/>
      <c r="BG495" s="309"/>
      <c r="BH495" s="309"/>
      <c r="BI495" s="309"/>
      <c r="BJ495" s="309"/>
      <c r="BK495" s="309"/>
      <c r="BL495" s="309"/>
      <c r="BM495" s="309"/>
      <c r="BN495" s="309"/>
      <c r="BO495" s="310"/>
      <c r="BP495" s="267"/>
      <c r="BQ495" s="268"/>
      <c r="BR495" s="268"/>
      <c r="BS495" s="268"/>
      <c r="BT495" s="268"/>
      <c r="BU495" s="268"/>
      <c r="BV495" s="268"/>
      <c r="BW495" s="268"/>
      <c r="BX495" s="268"/>
      <c r="BY495" s="269"/>
      <c r="BZ495" s="267"/>
      <c r="CA495" s="268"/>
      <c r="CB495" s="268"/>
      <c r="CC495" s="268"/>
      <c r="CD495" s="268"/>
      <c r="CE495" s="268"/>
      <c r="CF495" s="268"/>
      <c r="CG495" s="268"/>
      <c r="CH495" s="268"/>
      <c r="CI495" s="269"/>
      <c r="CJ495" s="267">
        <f t="shared" si="21"/>
        <v>0</v>
      </c>
      <c r="CK495" s="268"/>
      <c r="CL495" s="268"/>
      <c r="CM495" s="268"/>
      <c r="CN495" s="268"/>
      <c r="CO495" s="268"/>
      <c r="CP495" s="268"/>
      <c r="CQ495" s="268"/>
      <c r="CR495" s="268"/>
      <c r="CS495" s="269"/>
    </row>
    <row r="496" spans="1:104" hidden="1">
      <c r="C496" s="43"/>
      <c r="D496" s="36" t="str">
        <f>IF(AN493=0,C493&amp;" -","")</f>
        <v>SBH -</v>
      </c>
      <c r="E496" s="42"/>
      <c r="F496" s="42"/>
      <c r="G496" s="42"/>
      <c r="H496" s="42"/>
      <c r="I496" s="42"/>
      <c r="J496" s="42"/>
      <c r="K496" s="42"/>
      <c r="L496" s="42"/>
      <c r="M496" s="42"/>
      <c r="N496" s="42"/>
      <c r="O496" s="42"/>
      <c r="P496" s="1"/>
      <c r="Q496" s="42"/>
      <c r="R496" s="41" t="s">
        <v>275</v>
      </c>
      <c r="S496" s="40"/>
      <c r="T496" s="267">
        <f>SUMIFS('Adv. Filter'!$CH$1:$CH$50000,'Adv. Filter'!$CD$1:$CD$50000,"Srinivas",'Adv. Filter'!$CE$1:$CE$50000,$C493,'Adv. Filter'!$CC$1:$CC$50000,"Suspense",'Adv. Filter'!$CF$1:$CF$50000,"Cash")</f>
        <v>0</v>
      </c>
      <c r="U496" s="268"/>
      <c r="V496" s="268"/>
      <c r="W496" s="268"/>
      <c r="X496" s="268"/>
      <c r="Y496" s="268"/>
      <c r="Z496" s="268"/>
      <c r="AA496" s="268"/>
      <c r="AB496" s="268"/>
      <c r="AC496" s="269"/>
      <c r="AD496" s="267">
        <f>SUMIFS('Adv. Filter'!$CH$1:$CH$50000,'Adv. Filter'!$CD$1:$CD$50000,"Srinivas",'Adv. Filter'!$CE$1:$CE$50000,$C493,'Adv. Filter'!$CC$1:$CC$50000,"Suspense",'Adv. Filter'!$CF$1:$CF$50000,"Bank")</f>
        <v>0</v>
      </c>
      <c r="AE496" s="268"/>
      <c r="AF496" s="268"/>
      <c r="AG496" s="268"/>
      <c r="AH496" s="268"/>
      <c r="AI496" s="268"/>
      <c r="AJ496" s="268"/>
      <c r="AK496" s="268"/>
      <c r="AL496" s="268"/>
      <c r="AM496" s="269"/>
      <c r="AN496" s="267">
        <f t="shared" si="20"/>
        <v>0</v>
      </c>
      <c r="AO496" s="268"/>
      <c r="AP496" s="268"/>
      <c r="AQ496" s="268"/>
      <c r="AR496" s="268"/>
      <c r="AS496" s="268"/>
      <c r="AT496" s="268"/>
      <c r="AU496" s="268"/>
      <c r="AV496" s="268"/>
      <c r="AW496" s="269"/>
      <c r="AX496" s="22"/>
      <c r="AY496" s="43"/>
      <c r="AZ496" s="36" t="str">
        <f>IF(CJ493=0,AY493&amp;" -","")</f>
        <v>SBH -</v>
      </c>
      <c r="BA496" s="42"/>
      <c r="BB496" s="42"/>
      <c r="BC496" s="42"/>
      <c r="BD496" s="42"/>
      <c r="BE496" s="42"/>
      <c r="BF496" s="42"/>
      <c r="BG496" s="42"/>
      <c r="BH496" s="42"/>
      <c r="BI496" s="42"/>
      <c r="BJ496" s="42"/>
      <c r="BK496" s="42"/>
      <c r="BL496" s="1"/>
      <c r="BM496" s="42"/>
      <c r="BN496" s="41" t="s">
        <v>275</v>
      </c>
      <c r="BO496" s="40"/>
      <c r="BP496" s="267"/>
      <c r="BQ496" s="268"/>
      <c r="BR496" s="268"/>
      <c r="BS496" s="268"/>
      <c r="BT496" s="268"/>
      <c r="BU496" s="268"/>
      <c r="BV496" s="268"/>
      <c r="BW496" s="268"/>
      <c r="BX496" s="268"/>
      <c r="BY496" s="269"/>
      <c r="BZ496" s="267"/>
      <c r="CA496" s="268"/>
      <c r="CB496" s="268"/>
      <c r="CC496" s="268"/>
      <c r="CD496" s="268"/>
      <c r="CE496" s="268"/>
      <c r="CF496" s="268"/>
      <c r="CG496" s="268"/>
      <c r="CH496" s="268"/>
      <c r="CI496" s="269"/>
      <c r="CJ496" s="267">
        <f t="shared" si="21"/>
        <v>0</v>
      </c>
      <c r="CK496" s="268"/>
      <c r="CL496" s="268"/>
      <c r="CM496" s="268"/>
      <c r="CN496" s="268"/>
      <c r="CO496" s="268"/>
      <c r="CP496" s="268"/>
      <c r="CQ496" s="268"/>
      <c r="CR496" s="268"/>
      <c r="CS496" s="269"/>
    </row>
    <row r="497" spans="1:104" hidden="1">
      <c r="A497" s="44"/>
      <c r="B497" s="44"/>
      <c r="C497" s="293" t="s">
        <v>111</v>
      </c>
      <c r="D497" s="294"/>
      <c r="E497" s="294"/>
      <c r="F497" s="294"/>
      <c r="G497" s="294"/>
      <c r="H497" s="294"/>
      <c r="I497" s="294"/>
      <c r="J497" s="294"/>
      <c r="K497" s="294"/>
      <c r="L497" s="294"/>
      <c r="M497" s="294"/>
      <c r="N497" s="294"/>
      <c r="O497" s="294"/>
      <c r="P497" s="294"/>
      <c r="Q497" s="294"/>
      <c r="R497" s="294"/>
      <c r="S497" s="295"/>
      <c r="T497" s="276">
        <f>SUMIFS('Adv. Filter'!$BJ$1:$BJ$50000,'Adv. Filter'!$BT$1:$BT$50000,"Srinivas",'Adv. Filter'!$BQ$1:$BQ$50000,$C497,'Adv. Filter'!$BH$1:$BH$50000,"Cash",'Adv. Filter'!$BO$1:$BO$50000,'Adv. Filter'!$A$14,'Adv. Filter'!$BO$1:$BO$50000,'Adv. Filter'!$B$14)</f>
        <v>0</v>
      </c>
      <c r="U497" s="277"/>
      <c r="V497" s="277"/>
      <c r="W497" s="277"/>
      <c r="X497" s="277"/>
      <c r="Y497" s="277"/>
      <c r="Z497" s="277"/>
      <c r="AA497" s="277"/>
      <c r="AB497" s="277"/>
      <c r="AC497" s="278"/>
      <c r="AD497" s="276">
        <f>SUMIFS('Adv. Filter'!$BJ$1:$BJ$50000,'Adv. Filter'!$BT$1:$BT$50000,"Srinivas",'Adv. Filter'!$BQ$1:$BQ$50000,$C497,'Adv. Filter'!$BH$1:$BH$50000,"Bank",'Adv. Filter'!$BO$1:$BO$50000,'Adv. Filter'!$A$14,'Adv. Filter'!$BO$1:$BO$50000,'Adv. Filter'!$B$14)</f>
        <v>0</v>
      </c>
      <c r="AE497" s="277"/>
      <c r="AF497" s="277"/>
      <c r="AG497" s="277"/>
      <c r="AH497" s="277"/>
      <c r="AI497" s="277"/>
      <c r="AJ497" s="277"/>
      <c r="AK497" s="277"/>
      <c r="AL497" s="277"/>
      <c r="AM497" s="278"/>
      <c r="AN497" s="276">
        <f t="shared" si="20"/>
        <v>0</v>
      </c>
      <c r="AO497" s="277"/>
      <c r="AP497" s="277"/>
      <c r="AQ497" s="277"/>
      <c r="AR497" s="277"/>
      <c r="AS497" s="277"/>
      <c r="AT497" s="277"/>
      <c r="AU497" s="277"/>
      <c r="AV497" s="277"/>
      <c r="AW497" s="278"/>
      <c r="AX497" s="45"/>
      <c r="AY497" s="293" t="s">
        <v>111</v>
      </c>
      <c r="AZ497" s="294"/>
      <c r="BA497" s="294"/>
      <c r="BB497" s="294"/>
      <c r="BC497" s="294"/>
      <c r="BD497" s="294"/>
      <c r="BE497" s="294"/>
      <c r="BF497" s="294"/>
      <c r="BG497" s="294"/>
      <c r="BH497" s="294"/>
      <c r="BI497" s="294"/>
      <c r="BJ497" s="294"/>
      <c r="BK497" s="294"/>
      <c r="BL497" s="294"/>
      <c r="BM497" s="294"/>
      <c r="BN497" s="294"/>
      <c r="BO497" s="295"/>
      <c r="BP497" s="276">
        <f>SUMIFS('Adv. Filter'!$BJ$1:$BJ$50000,'Adv. Filter'!$BT$1:$BT$50000,"Srinivas",'Adv. Filter'!$BQ$1:$BQ$50000,$AY497,'Adv. Filter'!$BH$1:$BH$50000,"Cash",'Adv. Filter'!$BO$1:$BO$50000,"&lt;"&amp;'Adv. Filter'!$A$15)</f>
        <v>0</v>
      </c>
      <c r="BQ497" s="277"/>
      <c r="BR497" s="277"/>
      <c r="BS497" s="277"/>
      <c r="BT497" s="277"/>
      <c r="BU497" s="277"/>
      <c r="BV497" s="277"/>
      <c r="BW497" s="277"/>
      <c r="BX497" s="277"/>
      <c r="BY497" s="278"/>
      <c r="BZ497" s="276">
        <f>SUMIFS('Adv. Filter'!$BJ$1:$BJ$50000,'Adv. Filter'!$BT$1:$BT$50000,"Srinivas",'Adv. Filter'!$BQ$1:$BQ$50000,$AY497,'Adv. Filter'!$BH$1:$BH$50000,"Bank",'Adv. Filter'!$BO$1:$BO$50000,"&lt;"&amp;'Adv. Filter'!$A$15)</f>
        <v>0</v>
      </c>
      <c r="CA497" s="277"/>
      <c r="CB497" s="277"/>
      <c r="CC497" s="277"/>
      <c r="CD497" s="277"/>
      <c r="CE497" s="277"/>
      <c r="CF497" s="277"/>
      <c r="CG497" s="277"/>
      <c r="CH497" s="277"/>
      <c r="CI497" s="278"/>
      <c r="CJ497" s="276">
        <f t="shared" si="21"/>
        <v>0</v>
      </c>
      <c r="CK497" s="277"/>
      <c r="CL497" s="277"/>
      <c r="CM497" s="277"/>
      <c r="CN497" s="277"/>
      <c r="CO497" s="277"/>
      <c r="CP497" s="277"/>
      <c r="CQ497" s="277"/>
      <c r="CR497" s="277"/>
      <c r="CS497" s="278"/>
      <c r="CT497" s="44"/>
      <c r="CU497" s="44"/>
      <c r="CV497" s="44"/>
      <c r="CW497" s="44"/>
      <c r="CX497" s="44"/>
      <c r="CY497" s="44"/>
      <c r="CZ497" s="44"/>
    </row>
    <row r="498" spans="1:104" hidden="1">
      <c r="C498" s="308" t="s">
        <v>115</v>
      </c>
      <c r="D498" s="309"/>
      <c r="E498" s="309"/>
      <c r="F498" s="309"/>
      <c r="G498" s="309"/>
      <c r="H498" s="309"/>
      <c r="I498" s="309"/>
      <c r="J498" s="309"/>
      <c r="K498" s="309"/>
      <c r="L498" s="309"/>
      <c r="M498" s="309"/>
      <c r="N498" s="309"/>
      <c r="O498" s="309"/>
      <c r="P498" s="309"/>
      <c r="Q498" s="309"/>
      <c r="R498" s="309"/>
      <c r="S498" s="310"/>
      <c r="T498" s="267">
        <f>SUMIFS('Adv. Filter'!$BJ$1:$BJ$50000,'Adv. Filter'!$BT$1:$BT$50000,"Srinivas",'Adv. Filter'!$BQ$1:$BQ$50000,$C497,'Adv. Filter'!$BH$1:$BH$50000,"Cash",'Adv. Filter'!$BO$1:$BO$50000,'Adv. Filter'!$A$14,'Adv. Filter'!$BO$1:$BO$50000,'Adv. Filter'!$B$14,'Adv. Filter'!$BP$1:$BP$50000,"Project")</f>
        <v>0</v>
      </c>
      <c r="U498" s="268"/>
      <c r="V498" s="268"/>
      <c r="W498" s="268"/>
      <c r="X498" s="268"/>
      <c r="Y498" s="268"/>
      <c r="Z498" s="268"/>
      <c r="AA498" s="268"/>
      <c r="AB498" s="268"/>
      <c r="AC498" s="269"/>
      <c r="AD498" s="267">
        <f>SUMIFS('Adv. Filter'!$BJ$1:$BJ$50000,'Adv. Filter'!$BT$1:$BT$50000,"Srinivas",'Adv. Filter'!$BQ$1:$BQ$50000,$C497,'Adv. Filter'!$BH$1:$BH$50000,"Bank",'Adv. Filter'!$BO$1:$BO$50000,'Adv. Filter'!$A$14,'Adv. Filter'!$BO$1:$BO$50000,'Adv. Filter'!$B$14,'Adv. Filter'!$BP$1:$BP$50000,"Project")</f>
        <v>0</v>
      </c>
      <c r="AE498" s="268"/>
      <c r="AF498" s="268"/>
      <c r="AG498" s="268"/>
      <c r="AH498" s="268"/>
      <c r="AI498" s="268"/>
      <c r="AJ498" s="268"/>
      <c r="AK498" s="268"/>
      <c r="AL498" s="268"/>
      <c r="AM498" s="269"/>
      <c r="AN498" s="267">
        <f t="shared" si="20"/>
        <v>0</v>
      </c>
      <c r="AO498" s="268"/>
      <c r="AP498" s="268"/>
      <c r="AQ498" s="268"/>
      <c r="AR498" s="268"/>
      <c r="AS498" s="268"/>
      <c r="AT498" s="268"/>
      <c r="AU498" s="268"/>
      <c r="AV498" s="268"/>
      <c r="AW498" s="269"/>
      <c r="AX498" s="22"/>
      <c r="AY498" s="308" t="s">
        <v>115</v>
      </c>
      <c r="AZ498" s="309"/>
      <c r="BA498" s="309"/>
      <c r="BB498" s="309"/>
      <c r="BC498" s="309"/>
      <c r="BD498" s="309"/>
      <c r="BE498" s="309"/>
      <c r="BF498" s="309"/>
      <c r="BG498" s="309"/>
      <c r="BH498" s="309"/>
      <c r="BI498" s="309"/>
      <c r="BJ498" s="309"/>
      <c r="BK498" s="309"/>
      <c r="BL498" s="309"/>
      <c r="BM498" s="309"/>
      <c r="BN498" s="309"/>
      <c r="BO498" s="310"/>
      <c r="BP498" s="267">
        <f>SUMIFS('Adv. Filter'!$BJ$1:$BJ$50000,'Adv. Filter'!$BT$1:$BT$50000,"Srinivas",'Adv. Filter'!$BQ$1:$BQ$50000,$AY497,'Adv. Filter'!$BH$1:$BH$50000,"Cash",'Adv. Filter'!$BO$1:$BO$50000,"&lt;"&amp;'Adv. Filter'!$A$15,'Adv. Filter'!$BP$1:$BP$50000,"Project")</f>
        <v>0</v>
      </c>
      <c r="BQ498" s="268"/>
      <c r="BR498" s="268"/>
      <c r="BS498" s="268"/>
      <c r="BT498" s="268"/>
      <c r="BU498" s="268"/>
      <c r="BV498" s="268"/>
      <c r="BW498" s="268"/>
      <c r="BX498" s="268"/>
      <c r="BY498" s="269"/>
      <c r="BZ498" s="267">
        <f>SUMIFS('Adv. Filter'!$BJ$1:$BJ$50000,'Adv. Filter'!$BT$1:$BT$50000,"Srinivas",'Adv. Filter'!$BQ$1:$BQ$50000,$AY497,'Adv. Filter'!$BH$1:$BH$50000,"Bank",'Adv. Filter'!$BO$1:$BO$50000,"&lt;"&amp;'Adv. Filter'!$A$15,'Adv. Filter'!$BP$1:$BP$50000,"Project")</f>
        <v>0</v>
      </c>
      <c r="CA498" s="268"/>
      <c r="CB498" s="268"/>
      <c r="CC498" s="268"/>
      <c r="CD498" s="268"/>
      <c r="CE498" s="268"/>
      <c r="CF498" s="268"/>
      <c r="CG498" s="268"/>
      <c r="CH498" s="268"/>
      <c r="CI498" s="269"/>
      <c r="CJ498" s="267">
        <f t="shared" si="21"/>
        <v>0</v>
      </c>
      <c r="CK498" s="268"/>
      <c r="CL498" s="268"/>
      <c r="CM498" s="268"/>
      <c r="CN498" s="268"/>
      <c r="CO498" s="268"/>
      <c r="CP498" s="268"/>
      <c r="CQ498" s="268"/>
      <c r="CR498" s="268"/>
      <c r="CS498" s="269"/>
    </row>
    <row r="499" spans="1:104" hidden="1">
      <c r="C499" s="308" t="s">
        <v>510</v>
      </c>
      <c r="D499" s="309"/>
      <c r="E499" s="309"/>
      <c r="F499" s="309"/>
      <c r="G499" s="309"/>
      <c r="H499" s="309"/>
      <c r="I499" s="309"/>
      <c r="J499" s="309"/>
      <c r="K499" s="309"/>
      <c r="L499" s="309"/>
      <c r="M499" s="309"/>
      <c r="N499" s="309"/>
      <c r="O499" s="309"/>
      <c r="P499" s="309"/>
      <c r="Q499" s="309"/>
      <c r="R499" s="309"/>
      <c r="S499" s="310"/>
      <c r="T499" s="267">
        <v>0</v>
      </c>
      <c r="U499" s="268"/>
      <c r="V499" s="268"/>
      <c r="W499" s="268"/>
      <c r="X499" s="268"/>
      <c r="Y499" s="268"/>
      <c r="Z499" s="268"/>
      <c r="AA499" s="268"/>
      <c r="AB499" s="268"/>
      <c r="AC499" s="269"/>
      <c r="AD499" s="267">
        <v>0</v>
      </c>
      <c r="AE499" s="268"/>
      <c r="AF499" s="268"/>
      <c r="AG499" s="268"/>
      <c r="AH499" s="268"/>
      <c r="AI499" s="268"/>
      <c r="AJ499" s="268"/>
      <c r="AK499" s="268"/>
      <c r="AL499" s="268"/>
      <c r="AM499" s="269"/>
      <c r="AN499" s="267">
        <f t="shared" si="20"/>
        <v>0</v>
      </c>
      <c r="AO499" s="268"/>
      <c r="AP499" s="268"/>
      <c r="AQ499" s="268"/>
      <c r="AR499" s="268"/>
      <c r="AS499" s="268"/>
      <c r="AT499" s="268"/>
      <c r="AU499" s="268"/>
      <c r="AV499" s="268"/>
      <c r="AW499" s="269"/>
      <c r="AX499" s="22"/>
      <c r="AY499" s="308" t="s">
        <v>510</v>
      </c>
      <c r="AZ499" s="309"/>
      <c r="BA499" s="309"/>
      <c r="BB499" s="309"/>
      <c r="BC499" s="309"/>
      <c r="BD499" s="309"/>
      <c r="BE499" s="309"/>
      <c r="BF499" s="309"/>
      <c r="BG499" s="309"/>
      <c r="BH499" s="309"/>
      <c r="BI499" s="309"/>
      <c r="BJ499" s="309"/>
      <c r="BK499" s="309"/>
      <c r="BL499" s="309"/>
      <c r="BM499" s="309"/>
      <c r="BN499" s="309"/>
      <c r="BO499" s="310"/>
      <c r="BP499" s="267"/>
      <c r="BQ499" s="268"/>
      <c r="BR499" s="268"/>
      <c r="BS499" s="268"/>
      <c r="BT499" s="268"/>
      <c r="BU499" s="268"/>
      <c r="BV499" s="268"/>
      <c r="BW499" s="268"/>
      <c r="BX499" s="268"/>
      <c r="BY499" s="269"/>
      <c r="BZ499" s="267"/>
      <c r="CA499" s="268"/>
      <c r="CB499" s="268"/>
      <c r="CC499" s="268"/>
      <c r="CD499" s="268"/>
      <c r="CE499" s="268"/>
      <c r="CF499" s="268"/>
      <c r="CG499" s="268"/>
      <c r="CH499" s="268"/>
      <c r="CI499" s="269"/>
      <c r="CJ499" s="267">
        <f t="shared" si="21"/>
        <v>0</v>
      </c>
      <c r="CK499" s="268"/>
      <c r="CL499" s="268"/>
      <c r="CM499" s="268"/>
      <c r="CN499" s="268"/>
      <c r="CO499" s="268"/>
      <c r="CP499" s="268"/>
      <c r="CQ499" s="268"/>
      <c r="CR499" s="268"/>
      <c r="CS499" s="269"/>
    </row>
    <row r="500" spans="1:104" hidden="1">
      <c r="C500" s="43"/>
      <c r="D500" s="36" t="str">
        <f>IF(AN497=0,C497&amp;" -","")</f>
        <v>SBM -</v>
      </c>
      <c r="E500" s="42"/>
      <c r="F500" s="42"/>
      <c r="G500" s="42"/>
      <c r="H500" s="42"/>
      <c r="I500" s="42"/>
      <c r="J500" s="42"/>
      <c r="K500" s="42"/>
      <c r="L500" s="42"/>
      <c r="M500" s="42"/>
      <c r="N500" s="42"/>
      <c r="O500" s="42"/>
      <c r="P500" s="1"/>
      <c r="Q500" s="42"/>
      <c r="R500" s="41" t="s">
        <v>275</v>
      </c>
      <c r="S500" s="40"/>
      <c r="T500" s="267">
        <f>SUMIFS('Adv. Filter'!$CH$1:$CH$50000,'Adv. Filter'!$CD$1:$CD$50000,"Srinivas",'Adv. Filter'!$CE$1:$CE$50000,$C497,'Adv. Filter'!$CC$1:$CC$50000,"Suspense",'Adv. Filter'!$CF$1:$CF$50000,"Cash")</f>
        <v>0</v>
      </c>
      <c r="U500" s="268"/>
      <c r="V500" s="268"/>
      <c r="W500" s="268"/>
      <c r="X500" s="268"/>
      <c r="Y500" s="268"/>
      <c r="Z500" s="268"/>
      <c r="AA500" s="268"/>
      <c r="AB500" s="268"/>
      <c r="AC500" s="269"/>
      <c r="AD500" s="267">
        <f>SUMIFS('Adv. Filter'!$CH$1:$CH$50000,'Adv. Filter'!$CD$1:$CD$50000,"Srinivas",'Adv. Filter'!$CE$1:$CE$50000,$C497,'Adv. Filter'!$CC$1:$CC$50000,"Suspense",'Adv. Filter'!$CF$1:$CF$50000,"Bank")</f>
        <v>0</v>
      </c>
      <c r="AE500" s="268"/>
      <c r="AF500" s="268"/>
      <c r="AG500" s="268"/>
      <c r="AH500" s="268"/>
      <c r="AI500" s="268"/>
      <c r="AJ500" s="268"/>
      <c r="AK500" s="268"/>
      <c r="AL500" s="268"/>
      <c r="AM500" s="269"/>
      <c r="AN500" s="267">
        <f t="shared" si="20"/>
        <v>0</v>
      </c>
      <c r="AO500" s="268"/>
      <c r="AP500" s="268"/>
      <c r="AQ500" s="268"/>
      <c r="AR500" s="268"/>
      <c r="AS500" s="268"/>
      <c r="AT500" s="268"/>
      <c r="AU500" s="268"/>
      <c r="AV500" s="268"/>
      <c r="AW500" s="269"/>
      <c r="AX500" s="22"/>
      <c r="AY500" s="43"/>
      <c r="AZ500" s="36" t="str">
        <f>IF(CJ497=0,AY497&amp;" -","")</f>
        <v>SBM -</v>
      </c>
      <c r="BA500" s="42"/>
      <c r="BB500" s="42"/>
      <c r="BC500" s="42"/>
      <c r="BD500" s="42"/>
      <c r="BE500" s="42"/>
      <c r="BF500" s="42"/>
      <c r="BG500" s="42"/>
      <c r="BH500" s="42"/>
      <c r="BI500" s="42"/>
      <c r="BJ500" s="42"/>
      <c r="BK500" s="42"/>
      <c r="BL500" s="1"/>
      <c r="BM500" s="42"/>
      <c r="BN500" s="41" t="s">
        <v>275</v>
      </c>
      <c r="BO500" s="40"/>
      <c r="BP500" s="267"/>
      <c r="BQ500" s="268"/>
      <c r="BR500" s="268"/>
      <c r="BS500" s="268"/>
      <c r="BT500" s="268"/>
      <c r="BU500" s="268"/>
      <c r="BV500" s="268"/>
      <c r="BW500" s="268"/>
      <c r="BX500" s="268"/>
      <c r="BY500" s="269"/>
      <c r="BZ500" s="267"/>
      <c r="CA500" s="268"/>
      <c r="CB500" s="268"/>
      <c r="CC500" s="268"/>
      <c r="CD500" s="268"/>
      <c r="CE500" s="268"/>
      <c r="CF500" s="268"/>
      <c r="CG500" s="268"/>
      <c r="CH500" s="268"/>
      <c r="CI500" s="269"/>
      <c r="CJ500" s="267">
        <f t="shared" si="21"/>
        <v>0</v>
      </c>
      <c r="CK500" s="268"/>
      <c r="CL500" s="268"/>
      <c r="CM500" s="268"/>
      <c r="CN500" s="268"/>
      <c r="CO500" s="268"/>
      <c r="CP500" s="268"/>
      <c r="CQ500" s="268"/>
      <c r="CR500" s="268"/>
      <c r="CS500" s="269"/>
    </row>
    <row r="501" spans="1:104" hidden="1">
      <c r="A501" s="44"/>
      <c r="B501" s="44"/>
      <c r="C501" s="293" t="s">
        <v>116</v>
      </c>
      <c r="D501" s="294"/>
      <c r="E501" s="294"/>
      <c r="F501" s="294"/>
      <c r="G501" s="294"/>
      <c r="H501" s="294"/>
      <c r="I501" s="294"/>
      <c r="J501" s="294"/>
      <c r="K501" s="294"/>
      <c r="L501" s="294"/>
      <c r="M501" s="294"/>
      <c r="N501" s="294"/>
      <c r="O501" s="294"/>
      <c r="P501" s="294"/>
      <c r="Q501" s="294"/>
      <c r="R501" s="294"/>
      <c r="S501" s="295"/>
      <c r="T501" s="276">
        <f>SUMIFS('Adv. Filter'!$BJ$1:$BJ$50000,'Adv. Filter'!$BT$1:$BT$50000,"Srinivas",'Adv. Filter'!$BQ$1:$BQ$50000,$C501,'Adv. Filter'!$BH$1:$BH$50000,"Cash",'Adv. Filter'!$BO$1:$BO$50000,'Adv. Filter'!$A$14,'Adv. Filter'!$BO$1:$BO$50000,'Adv. Filter'!$B$14)</f>
        <v>0</v>
      </c>
      <c r="U501" s="277"/>
      <c r="V501" s="277"/>
      <c r="W501" s="277"/>
      <c r="X501" s="277"/>
      <c r="Y501" s="277"/>
      <c r="Z501" s="277"/>
      <c r="AA501" s="277"/>
      <c r="AB501" s="277"/>
      <c r="AC501" s="278"/>
      <c r="AD501" s="276">
        <f>SUMIFS('Adv. Filter'!$BJ$1:$BJ$50000,'Adv. Filter'!$BT$1:$BT$50000,"Srinivas",'Adv. Filter'!$BQ$1:$BQ$50000,$C501,'Adv. Filter'!$BH$1:$BH$50000,"Bank",'Adv. Filter'!$BO$1:$BO$50000,'Adv. Filter'!$A$14,'Adv. Filter'!$BO$1:$BO$50000,'Adv. Filter'!$B$14)</f>
        <v>0</v>
      </c>
      <c r="AE501" s="277"/>
      <c r="AF501" s="277"/>
      <c r="AG501" s="277"/>
      <c r="AH501" s="277"/>
      <c r="AI501" s="277"/>
      <c r="AJ501" s="277"/>
      <c r="AK501" s="277"/>
      <c r="AL501" s="277"/>
      <c r="AM501" s="278"/>
      <c r="AN501" s="276">
        <f t="shared" si="20"/>
        <v>0</v>
      </c>
      <c r="AO501" s="277"/>
      <c r="AP501" s="277"/>
      <c r="AQ501" s="277"/>
      <c r="AR501" s="277"/>
      <c r="AS501" s="277"/>
      <c r="AT501" s="277"/>
      <c r="AU501" s="277"/>
      <c r="AV501" s="277"/>
      <c r="AW501" s="278"/>
      <c r="AX501" s="45"/>
      <c r="AY501" s="293" t="s">
        <v>116</v>
      </c>
      <c r="AZ501" s="294"/>
      <c r="BA501" s="294"/>
      <c r="BB501" s="294"/>
      <c r="BC501" s="294"/>
      <c r="BD501" s="294"/>
      <c r="BE501" s="294"/>
      <c r="BF501" s="294"/>
      <c r="BG501" s="294"/>
      <c r="BH501" s="294"/>
      <c r="BI501" s="294"/>
      <c r="BJ501" s="294"/>
      <c r="BK501" s="294"/>
      <c r="BL501" s="294"/>
      <c r="BM501" s="294"/>
      <c r="BN501" s="294"/>
      <c r="BO501" s="295"/>
      <c r="BP501" s="276">
        <f>SUMIFS('Adv. Filter'!$BJ$1:$BJ$50000,'Adv. Filter'!$BT$1:$BT$50000,"Srinivas",'Adv. Filter'!$BQ$1:$BQ$50000,$AY501,'Adv. Filter'!$BH$1:$BH$50000,"Cash",'Adv. Filter'!$BO$1:$BO$50000,"&lt;"&amp;'Adv. Filter'!$A$15)</f>
        <v>0</v>
      </c>
      <c r="BQ501" s="277"/>
      <c r="BR501" s="277"/>
      <c r="BS501" s="277"/>
      <c r="BT501" s="277"/>
      <c r="BU501" s="277"/>
      <c r="BV501" s="277"/>
      <c r="BW501" s="277"/>
      <c r="BX501" s="277"/>
      <c r="BY501" s="278"/>
      <c r="BZ501" s="276">
        <f>SUMIFS('Adv. Filter'!$BJ$1:$BJ$50000,'Adv. Filter'!$BT$1:$BT$50000,"Srinivas",'Adv. Filter'!$BQ$1:$BQ$50000,$AY501,'Adv. Filter'!$BH$1:$BH$50000,"Bank",'Adv. Filter'!$BO$1:$BO$50000,"&lt;"&amp;'Adv. Filter'!$A$15)</f>
        <v>0</v>
      </c>
      <c r="CA501" s="277"/>
      <c r="CB501" s="277"/>
      <c r="CC501" s="277"/>
      <c r="CD501" s="277"/>
      <c r="CE501" s="277"/>
      <c r="CF501" s="277"/>
      <c r="CG501" s="277"/>
      <c r="CH501" s="277"/>
      <c r="CI501" s="278"/>
      <c r="CJ501" s="276">
        <f t="shared" si="21"/>
        <v>0</v>
      </c>
      <c r="CK501" s="277"/>
      <c r="CL501" s="277"/>
      <c r="CM501" s="277"/>
      <c r="CN501" s="277"/>
      <c r="CO501" s="277"/>
      <c r="CP501" s="277"/>
      <c r="CQ501" s="277"/>
      <c r="CR501" s="277"/>
      <c r="CS501" s="278"/>
      <c r="CT501" s="44"/>
      <c r="CU501" s="44"/>
      <c r="CV501" s="44"/>
      <c r="CW501" s="44"/>
      <c r="CX501" s="44"/>
      <c r="CY501" s="44"/>
      <c r="CZ501" s="44"/>
    </row>
    <row r="502" spans="1:104" hidden="1">
      <c r="C502" s="308" t="s">
        <v>115</v>
      </c>
      <c r="D502" s="309"/>
      <c r="E502" s="309"/>
      <c r="F502" s="309"/>
      <c r="G502" s="309"/>
      <c r="H502" s="309"/>
      <c r="I502" s="309"/>
      <c r="J502" s="309"/>
      <c r="K502" s="309"/>
      <c r="L502" s="309"/>
      <c r="M502" s="309"/>
      <c r="N502" s="309"/>
      <c r="O502" s="309"/>
      <c r="P502" s="309"/>
      <c r="Q502" s="309"/>
      <c r="R502" s="309"/>
      <c r="S502" s="310"/>
      <c r="T502" s="267">
        <f>SUMIFS('Adv. Filter'!$BJ$1:$BJ$50000,'Adv. Filter'!$BT$1:$BT$50000,"Srinivas",'Adv. Filter'!$BQ$1:$BQ$50000,$C501,'Adv. Filter'!$BH$1:$BH$50000,"Cash",'Adv. Filter'!$BO$1:$BO$50000,'Adv. Filter'!$A$14,'Adv. Filter'!$BO$1:$BO$50000,'Adv. Filter'!$B$14,'Adv. Filter'!$BP$1:$BP$50000,"Project")</f>
        <v>0</v>
      </c>
      <c r="U502" s="268"/>
      <c r="V502" s="268"/>
      <c r="W502" s="268"/>
      <c r="X502" s="268"/>
      <c r="Y502" s="268"/>
      <c r="Z502" s="268"/>
      <c r="AA502" s="268"/>
      <c r="AB502" s="268"/>
      <c r="AC502" s="269"/>
      <c r="AD502" s="267">
        <f>SUMIFS('Adv. Filter'!$BJ$1:$BJ$50000,'Adv. Filter'!$BT$1:$BT$50000,"Srinivas",'Adv. Filter'!$BQ$1:$BQ$50000,$C501,'Adv. Filter'!$BH$1:$BH$50000,"Bank",'Adv. Filter'!$BO$1:$BO$50000,'Adv. Filter'!$A$14,'Adv. Filter'!$BO$1:$BO$50000,'Adv. Filter'!$B$14,'Adv. Filter'!$BP$1:$BP$50000,"Project")</f>
        <v>0</v>
      </c>
      <c r="AE502" s="268"/>
      <c r="AF502" s="268"/>
      <c r="AG502" s="268"/>
      <c r="AH502" s="268"/>
      <c r="AI502" s="268"/>
      <c r="AJ502" s="268"/>
      <c r="AK502" s="268"/>
      <c r="AL502" s="268"/>
      <c r="AM502" s="269"/>
      <c r="AN502" s="267">
        <f t="shared" si="20"/>
        <v>0</v>
      </c>
      <c r="AO502" s="268"/>
      <c r="AP502" s="268"/>
      <c r="AQ502" s="268"/>
      <c r="AR502" s="268"/>
      <c r="AS502" s="268"/>
      <c r="AT502" s="268"/>
      <c r="AU502" s="268"/>
      <c r="AV502" s="268"/>
      <c r="AW502" s="269"/>
      <c r="AX502" s="22"/>
      <c r="AY502" s="308" t="s">
        <v>115</v>
      </c>
      <c r="AZ502" s="309"/>
      <c r="BA502" s="309"/>
      <c r="BB502" s="309"/>
      <c r="BC502" s="309"/>
      <c r="BD502" s="309"/>
      <c r="BE502" s="309"/>
      <c r="BF502" s="309"/>
      <c r="BG502" s="309"/>
      <c r="BH502" s="309"/>
      <c r="BI502" s="309"/>
      <c r="BJ502" s="309"/>
      <c r="BK502" s="309"/>
      <c r="BL502" s="309"/>
      <c r="BM502" s="309"/>
      <c r="BN502" s="309"/>
      <c r="BO502" s="310"/>
      <c r="BP502" s="267">
        <f>SUMIFS('Adv. Filter'!$BJ$1:$BJ$50000,'Adv. Filter'!$BT$1:$BT$50000,"Srinivas",'Adv. Filter'!$BQ$1:$BQ$50000,$AY501,'Adv. Filter'!$BH$1:$BH$50000,"Cash",'Adv. Filter'!$BO$1:$BO$50000,"&lt;"&amp;'Adv. Filter'!$A$15,'Adv. Filter'!$BP$1:$BP$50000,"Project")</f>
        <v>0</v>
      </c>
      <c r="BQ502" s="268"/>
      <c r="BR502" s="268"/>
      <c r="BS502" s="268"/>
      <c r="BT502" s="268"/>
      <c r="BU502" s="268"/>
      <c r="BV502" s="268"/>
      <c r="BW502" s="268"/>
      <c r="BX502" s="268"/>
      <c r="BY502" s="269"/>
      <c r="BZ502" s="267">
        <f>SUMIFS('Adv. Filter'!$BJ$1:$BJ$50000,'Adv. Filter'!$BT$1:$BT$50000,"Srinivas",'Adv. Filter'!$BQ$1:$BQ$50000,$AY501,'Adv. Filter'!$BH$1:$BH$50000,"Bank",'Adv. Filter'!$BO$1:$BO$50000,"&lt;"&amp;'Adv. Filter'!$A$15,'Adv. Filter'!$BP$1:$BP$50000,"Project")</f>
        <v>0</v>
      </c>
      <c r="CA502" s="268"/>
      <c r="CB502" s="268"/>
      <c r="CC502" s="268"/>
      <c r="CD502" s="268"/>
      <c r="CE502" s="268"/>
      <c r="CF502" s="268"/>
      <c r="CG502" s="268"/>
      <c r="CH502" s="268"/>
      <c r="CI502" s="269"/>
      <c r="CJ502" s="267">
        <f t="shared" si="21"/>
        <v>0</v>
      </c>
      <c r="CK502" s="268"/>
      <c r="CL502" s="268"/>
      <c r="CM502" s="268"/>
      <c r="CN502" s="268"/>
      <c r="CO502" s="268"/>
      <c r="CP502" s="268"/>
      <c r="CQ502" s="268"/>
      <c r="CR502" s="268"/>
      <c r="CS502" s="269"/>
    </row>
    <row r="503" spans="1:104" hidden="1">
      <c r="C503" s="308" t="s">
        <v>510</v>
      </c>
      <c r="D503" s="309"/>
      <c r="E503" s="309"/>
      <c r="F503" s="309"/>
      <c r="G503" s="309"/>
      <c r="H503" s="309"/>
      <c r="I503" s="309"/>
      <c r="J503" s="309"/>
      <c r="K503" s="309"/>
      <c r="L503" s="309"/>
      <c r="M503" s="309"/>
      <c r="N503" s="309"/>
      <c r="O503" s="309"/>
      <c r="P503" s="309"/>
      <c r="Q503" s="309"/>
      <c r="R503" s="309"/>
      <c r="S503" s="310"/>
      <c r="T503" s="267">
        <v>0</v>
      </c>
      <c r="U503" s="268"/>
      <c r="V503" s="268"/>
      <c r="W503" s="268"/>
      <c r="X503" s="268"/>
      <c r="Y503" s="268"/>
      <c r="Z503" s="268"/>
      <c r="AA503" s="268"/>
      <c r="AB503" s="268"/>
      <c r="AC503" s="269"/>
      <c r="AD503" s="267">
        <v>0</v>
      </c>
      <c r="AE503" s="268"/>
      <c r="AF503" s="268"/>
      <c r="AG503" s="268"/>
      <c r="AH503" s="268"/>
      <c r="AI503" s="268"/>
      <c r="AJ503" s="268"/>
      <c r="AK503" s="268"/>
      <c r="AL503" s="268"/>
      <c r="AM503" s="269"/>
      <c r="AN503" s="267">
        <f t="shared" si="20"/>
        <v>0</v>
      </c>
      <c r="AO503" s="268"/>
      <c r="AP503" s="268"/>
      <c r="AQ503" s="268"/>
      <c r="AR503" s="268"/>
      <c r="AS503" s="268"/>
      <c r="AT503" s="268"/>
      <c r="AU503" s="268"/>
      <c r="AV503" s="268"/>
      <c r="AW503" s="269"/>
      <c r="AX503" s="22"/>
      <c r="AY503" s="308" t="s">
        <v>510</v>
      </c>
      <c r="AZ503" s="309"/>
      <c r="BA503" s="309"/>
      <c r="BB503" s="309"/>
      <c r="BC503" s="309"/>
      <c r="BD503" s="309"/>
      <c r="BE503" s="309"/>
      <c r="BF503" s="309"/>
      <c r="BG503" s="309"/>
      <c r="BH503" s="309"/>
      <c r="BI503" s="309"/>
      <c r="BJ503" s="309"/>
      <c r="BK503" s="309"/>
      <c r="BL503" s="309"/>
      <c r="BM503" s="309"/>
      <c r="BN503" s="309"/>
      <c r="BO503" s="310"/>
      <c r="BP503" s="267"/>
      <c r="BQ503" s="268"/>
      <c r="BR503" s="268"/>
      <c r="BS503" s="268"/>
      <c r="BT503" s="268"/>
      <c r="BU503" s="268"/>
      <c r="BV503" s="268"/>
      <c r="BW503" s="268"/>
      <c r="BX503" s="268"/>
      <c r="BY503" s="269"/>
      <c r="BZ503" s="267"/>
      <c r="CA503" s="268"/>
      <c r="CB503" s="268"/>
      <c r="CC503" s="268"/>
      <c r="CD503" s="268"/>
      <c r="CE503" s="268"/>
      <c r="CF503" s="268"/>
      <c r="CG503" s="268"/>
      <c r="CH503" s="268"/>
      <c r="CI503" s="269"/>
      <c r="CJ503" s="267">
        <f t="shared" si="21"/>
        <v>0</v>
      </c>
      <c r="CK503" s="268"/>
      <c r="CL503" s="268"/>
      <c r="CM503" s="268"/>
      <c r="CN503" s="268"/>
      <c r="CO503" s="268"/>
      <c r="CP503" s="268"/>
      <c r="CQ503" s="268"/>
      <c r="CR503" s="268"/>
      <c r="CS503" s="269"/>
    </row>
    <row r="504" spans="1:104" hidden="1">
      <c r="C504" s="43"/>
      <c r="D504" s="36" t="str">
        <f>IF(AN501=0,C501&amp;" -","")</f>
        <v>SBP -</v>
      </c>
      <c r="E504" s="42"/>
      <c r="F504" s="42"/>
      <c r="G504" s="42"/>
      <c r="H504" s="42"/>
      <c r="I504" s="42"/>
      <c r="J504" s="42"/>
      <c r="K504" s="42"/>
      <c r="L504" s="42"/>
      <c r="M504" s="42"/>
      <c r="N504" s="42"/>
      <c r="O504" s="42"/>
      <c r="P504" s="1"/>
      <c r="Q504" s="42"/>
      <c r="R504" s="41" t="s">
        <v>275</v>
      </c>
      <c r="S504" s="40"/>
      <c r="T504" s="267">
        <f>SUMIFS('Adv. Filter'!$CH$1:$CH$50000,'Adv. Filter'!$CD$1:$CD$50000,"Srinivas",'Adv. Filter'!$CE$1:$CE$50000,$C501,'Adv. Filter'!$CC$1:$CC$50000,"Suspense",'Adv. Filter'!$CF$1:$CF$50000,"Cash")</f>
        <v>0</v>
      </c>
      <c r="U504" s="268"/>
      <c r="V504" s="268"/>
      <c r="W504" s="268"/>
      <c r="X504" s="268"/>
      <c r="Y504" s="268"/>
      <c r="Z504" s="268"/>
      <c r="AA504" s="268"/>
      <c r="AB504" s="268"/>
      <c r="AC504" s="269"/>
      <c r="AD504" s="267">
        <f>SUMIFS('Adv. Filter'!$CH$1:$CH$50000,'Adv. Filter'!$CD$1:$CD$50000,"Srinivas",'Adv. Filter'!$CE$1:$CE$50000,$C501,'Adv. Filter'!$CC$1:$CC$50000,"Suspense",'Adv. Filter'!$CF$1:$CF$50000,"Bank")</f>
        <v>0</v>
      </c>
      <c r="AE504" s="268"/>
      <c r="AF504" s="268"/>
      <c r="AG504" s="268"/>
      <c r="AH504" s="268"/>
      <c r="AI504" s="268"/>
      <c r="AJ504" s="268"/>
      <c r="AK504" s="268"/>
      <c r="AL504" s="268"/>
      <c r="AM504" s="269"/>
      <c r="AN504" s="267">
        <f t="shared" si="20"/>
        <v>0</v>
      </c>
      <c r="AO504" s="268"/>
      <c r="AP504" s="268"/>
      <c r="AQ504" s="268"/>
      <c r="AR504" s="268"/>
      <c r="AS504" s="268"/>
      <c r="AT504" s="268"/>
      <c r="AU504" s="268"/>
      <c r="AV504" s="268"/>
      <c r="AW504" s="269"/>
      <c r="AX504" s="22"/>
      <c r="AY504" s="43"/>
      <c r="AZ504" s="36" t="str">
        <f>IF(CJ501=0,AY501&amp;" -","")</f>
        <v>SBP -</v>
      </c>
      <c r="BA504" s="42"/>
      <c r="BB504" s="42"/>
      <c r="BC504" s="42"/>
      <c r="BD504" s="42"/>
      <c r="BE504" s="42"/>
      <c r="BF504" s="42"/>
      <c r="BG504" s="42"/>
      <c r="BH504" s="42"/>
      <c r="BI504" s="42"/>
      <c r="BJ504" s="42"/>
      <c r="BK504" s="42"/>
      <c r="BL504" s="1"/>
      <c r="BM504" s="42"/>
      <c r="BN504" s="41" t="s">
        <v>275</v>
      </c>
      <c r="BO504" s="40"/>
      <c r="BP504" s="267"/>
      <c r="BQ504" s="268"/>
      <c r="BR504" s="268"/>
      <c r="BS504" s="268"/>
      <c r="BT504" s="268"/>
      <c r="BU504" s="268"/>
      <c r="BV504" s="268"/>
      <c r="BW504" s="268"/>
      <c r="BX504" s="268"/>
      <c r="BY504" s="269"/>
      <c r="BZ504" s="267"/>
      <c r="CA504" s="268"/>
      <c r="CB504" s="268"/>
      <c r="CC504" s="268"/>
      <c r="CD504" s="268"/>
      <c r="CE504" s="268"/>
      <c r="CF504" s="268"/>
      <c r="CG504" s="268"/>
      <c r="CH504" s="268"/>
      <c r="CI504" s="269"/>
      <c r="CJ504" s="267">
        <f t="shared" si="21"/>
        <v>0</v>
      </c>
      <c r="CK504" s="268"/>
      <c r="CL504" s="268"/>
      <c r="CM504" s="268"/>
      <c r="CN504" s="268"/>
      <c r="CO504" s="268"/>
      <c r="CP504" s="268"/>
      <c r="CQ504" s="268"/>
      <c r="CR504" s="268"/>
      <c r="CS504" s="269"/>
    </row>
    <row r="505" spans="1:104" hidden="1">
      <c r="A505" s="44"/>
      <c r="B505" s="44"/>
      <c r="C505" s="293" t="s">
        <v>119</v>
      </c>
      <c r="D505" s="294"/>
      <c r="E505" s="294"/>
      <c r="F505" s="294"/>
      <c r="G505" s="294"/>
      <c r="H505" s="294"/>
      <c r="I505" s="294"/>
      <c r="J505" s="294"/>
      <c r="K505" s="294"/>
      <c r="L505" s="294"/>
      <c r="M505" s="294"/>
      <c r="N505" s="294"/>
      <c r="O505" s="294"/>
      <c r="P505" s="294"/>
      <c r="Q505" s="294"/>
      <c r="R505" s="294"/>
      <c r="S505" s="295"/>
      <c r="T505" s="276">
        <f>SUMIFS('Adv. Filter'!$BJ$1:$BJ$50000,'Adv. Filter'!$BT$1:$BT$50000,"Srinivas",'Adv. Filter'!$BQ$1:$BQ$50000,$C505,'Adv. Filter'!$BH$1:$BH$50000,"Cash",'Adv. Filter'!$BO$1:$BO$50000,'Adv. Filter'!$A$14,'Adv. Filter'!$BO$1:$BO$50000,'Adv. Filter'!$B$14)</f>
        <v>0</v>
      </c>
      <c r="U505" s="277"/>
      <c r="V505" s="277"/>
      <c r="W505" s="277"/>
      <c r="X505" s="277"/>
      <c r="Y505" s="277"/>
      <c r="Z505" s="277"/>
      <c r="AA505" s="277"/>
      <c r="AB505" s="277"/>
      <c r="AC505" s="278"/>
      <c r="AD505" s="276">
        <f>SUMIFS('Adv. Filter'!$BJ$1:$BJ$50000,'Adv. Filter'!$BT$1:$BT$50000,"Srinivas",'Adv. Filter'!$BQ$1:$BQ$50000,$C505,'Adv. Filter'!$BH$1:$BH$50000,"Bank",'Adv. Filter'!$BO$1:$BO$50000,'Adv. Filter'!$A$14,'Adv. Filter'!$BO$1:$BO$50000,'Adv. Filter'!$B$14)</f>
        <v>0</v>
      </c>
      <c r="AE505" s="277"/>
      <c r="AF505" s="277"/>
      <c r="AG505" s="277"/>
      <c r="AH505" s="277"/>
      <c r="AI505" s="277"/>
      <c r="AJ505" s="277"/>
      <c r="AK505" s="277"/>
      <c r="AL505" s="277"/>
      <c r="AM505" s="278"/>
      <c r="AN505" s="276">
        <f t="shared" si="20"/>
        <v>0</v>
      </c>
      <c r="AO505" s="277"/>
      <c r="AP505" s="277"/>
      <c r="AQ505" s="277"/>
      <c r="AR505" s="277"/>
      <c r="AS505" s="277"/>
      <c r="AT505" s="277"/>
      <c r="AU505" s="277"/>
      <c r="AV505" s="277"/>
      <c r="AW505" s="278"/>
      <c r="AX505" s="45"/>
      <c r="AY505" s="293" t="s">
        <v>119</v>
      </c>
      <c r="AZ505" s="294"/>
      <c r="BA505" s="294"/>
      <c r="BB505" s="294"/>
      <c r="BC505" s="294"/>
      <c r="BD505" s="294"/>
      <c r="BE505" s="294"/>
      <c r="BF505" s="294"/>
      <c r="BG505" s="294"/>
      <c r="BH505" s="294"/>
      <c r="BI505" s="294"/>
      <c r="BJ505" s="294"/>
      <c r="BK505" s="294"/>
      <c r="BL505" s="294"/>
      <c r="BM505" s="294"/>
      <c r="BN505" s="294"/>
      <c r="BO505" s="295"/>
      <c r="BP505" s="276">
        <f>SUMIFS('Adv. Filter'!$BJ$1:$BJ$50000,'Adv. Filter'!$BT$1:$BT$50000,"Srinivas",'Adv. Filter'!$BQ$1:$BQ$50000,$AY505,'Adv. Filter'!$BH$1:$BH$50000,"Cash",'Adv. Filter'!$BO$1:$BO$50000,"&lt;"&amp;'Adv. Filter'!$A$15)</f>
        <v>0</v>
      </c>
      <c r="BQ505" s="277"/>
      <c r="BR505" s="277"/>
      <c r="BS505" s="277"/>
      <c r="BT505" s="277"/>
      <c r="BU505" s="277"/>
      <c r="BV505" s="277"/>
      <c r="BW505" s="277"/>
      <c r="BX505" s="277"/>
      <c r="BY505" s="278"/>
      <c r="BZ505" s="276">
        <f>SUMIFS('Adv. Filter'!$BJ$1:$BJ$50000,'Adv. Filter'!$BT$1:$BT$50000,"Srinivas",'Adv. Filter'!$BQ$1:$BQ$50000,$AY505,'Adv. Filter'!$BH$1:$BH$50000,"Bank",'Adv. Filter'!$BO$1:$BO$50000,"&lt;"&amp;'Adv. Filter'!$A$15)</f>
        <v>0</v>
      </c>
      <c r="CA505" s="277"/>
      <c r="CB505" s="277"/>
      <c r="CC505" s="277"/>
      <c r="CD505" s="277"/>
      <c r="CE505" s="277"/>
      <c r="CF505" s="277"/>
      <c r="CG505" s="277"/>
      <c r="CH505" s="277"/>
      <c r="CI505" s="278"/>
      <c r="CJ505" s="276">
        <f t="shared" si="21"/>
        <v>0</v>
      </c>
      <c r="CK505" s="277"/>
      <c r="CL505" s="277"/>
      <c r="CM505" s="277"/>
      <c r="CN505" s="277"/>
      <c r="CO505" s="277"/>
      <c r="CP505" s="277"/>
      <c r="CQ505" s="277"/>
      <c r="CR505" s="277"/>
      <c r="CS505" s="278"/>
      <c r="CT505" s="44"/>
      <c r="CU505" s="44"/>
      <c r="CV505" s="44"/>
      <c r="CW505" s="44"/>
      <c r="CX505" s="44"/>
      <c r="CY505" s="44"/>
      <c r="CZ505" s="44"/>
    </row>
    <row r="506" spans="1:104" hidden="1">
      <c r="C506" s="308" t="s">
        <v>115</v>
      </c>
      <c r="D506" s="309"/>
      <c r="E506" s="309"/>
      <c r="F506" s="309"/>
      <c r="G506" s="309"/>
      <c r="H506" s="309"/>
      <c r="I506" s="309"/>
      <c r="J506" s="309"/>
      <c r="K506" s="309"/>
      <c r="L506" s="309"/>
      <c r="M506" s="309"/>
      <c r="N506" s="309"/>
      <c r="O506" s="309"/>
      <c r="P506" s="309"/>
      <c r="Q506" s="309"/>
      <c r="R506" s="309"/>
      <c r="S506" s="310"/>
      <c r="T506" s="267">
        <f>SUMIFS('Adv. Filter'!$BJ$1:$BJ$50000,'Adv. Filter'!$BT$1:$BT$50000,"Srinivas",'Adv. Filter'!$BQ$1:$BQ$50000,$C505,'Adv. Filter'!$BH$1:$BH$50000,"Cash",'Adv. Filter'!$BO$1:$BO$50000,'Adv. Filter'!$A$14,'Adv. Filter'!$BO$1:$BO$50000,'Adv. Filter'!$B$14,'Adv. Filter'!$BP$1:$BP$50000,"Project")</f>
        <v>0</v>
      </c>
      <c r="U506" s="268"/>
      <c r="V506" s="268"/>
      <c r="W506" s="268"/>
      <c r="X506" s="268"/>
      <c r="Y506" s="268"/>
      <c r="Z506" s="268"/>
      <c r="AA506" s="268"/>
      <c r="AB506" s="268"/>
      <c r="AC506" s="269"/>
      <c r="AD506" s="267">
        <f>SUMIFS('Adv. Filter'!$BJ$1:$BJ$50000,'Adv. Filter'!$BT$1:$BT$50000,"Srinivas",'Adv. Filter'!$BQ$1:$BQ$50000,$C505,'Adv. Filter'!$BH$1:$BH$50000,"Bank",'Adv. Filter'!$BO$1:$BO$50000,'Adv. Filter'!$A$14,'Adv. Filter'!$BO$1:$BO$50000,'Adv. Filter'!$B$14,'Adv. Filter'!$BP$1:$BP$50000,"Project")</f>
        <v>0</v>
      </c>
      <c r="AE506" s="268"/>
      <c r="AF506" s="268"/>
      <c r="AG506" s="268"/>
      <c r="AH506" s="268"/>
      <c r="AI506" s="268"/>
      <c r="AJ506" s="268"/>
      <c r="AK506" s="268"/>
      <c r="AL506" s="268"/>
      <c r="AM506" s="269"/>
      <c r="AN506" s="267">
        <f t="shared" si="20"/>
        <v>0</v>
      </c>
      <c r="AO506" s="268"/>
      <c r="AP506" s="268"/>
      <c r="AQ506" s="268"/>
      <c r="AR506" s="268"/>
      <c r="AS506" s="268"/>
      <c r="AT506" s="268"/>
      <c r="AU506" s="268"/>
      <c r="AV506" s="268"/>
      <c r="AW506" s="269"/>
      <c r="AX506" s="22"/>
      <c r="AY506" s="308" t="s">
        <v>115</v>
      </c>
      <c r="AZ506" s="309"/>
      <c r="BA506" s="309"/>
      <c r="BB506" s="309"/>
      <c r="BC506" s="309"/>
      <c r="BD506" s="309"/>
      <c r="BE506" s="309"/>
      <c r="BF506" s="309"/>
      <c r="BG506" s="309"/>
      <c r="BH506" s="309"/>
      <c r="BI506" s="309"/>
      <c r="BJ506" s="309"/>
      <c r="BK506" s="309"/>
      <c r="BL506" s="309"/>
      <c r="BM506" s="309"/>
      <c r="BN506" s="309"/>
      <c r="BO506" s="310"/>
      <c r="BP506" s="267">
        <f>SUMIFS('Adv. Filter'!$BJ$1:$BJ$50000,'Adv. Filter'!$BT$1:$BT$50000,"Srinivas",'Adv. Filter'!$BQ$1:$BQ$50000,$AY505,'Adv. Filter'!$BH$1:$BH$50000,"Cash",'Adv. Filter'!$BO$1:$BO$50000,"&lt;"&amp;'Adv. Filter'!$A$15,'Adv. Filter'!$BP$1:$BP$50000,"Project")</f>
        <v>0</v>
      </c>
      <c r="BQ506" s="268"/>
      <c r="BR506" s="268"/>
      <c r="BS506" s="268"/>
      <c r="BT506" s="268"/>
      <c r="BU506" s="268"/>
      <c r="BV506" s="268"/>
      <c r="BW506" s="268"/>
      <c r="BX506" s="268"/>
      <c r="BY506" s="269"/>
      <c r="BZ506" s="267">
        <f>SUMIFS('Adv. Filter'!$BJ$1:$BJ$50000,'Adv. Filter'!$BT$1:$BT$50000,"Srinivas",'Adv. Filter'!$BQ$1:$BQ$50000,$AY505,'Adv. Filter'!$BH$1:$BH$50000,"Bank",'Adv. Filter'!$BO$1:$BO$50000,"&lt;"&amp;'Adv. Filter'!$A$15,'Adv. Filter'!$BP$1:$BP$50000,"Project")</f>
        <v>0</v>
      </c>
      <c r="CA506" s="268"/>
      <c r="CB506" s="268"/>
      <c r="CC506" s="268"/>
      <c r="CD506" s="268"/>
      <c r="CE506" s="268"/>
      <c r="CF506" s="268"/>
      <c r="CG506" s="268"/>
      <c r="CH506" s="268"/>
      <c r="CI506" s="269"/>
      <c r="CJ506" s="267">
        <f t="shared" si="21"/>
        <v>0</v>
      </c>
      <c r="CK506" s="268"/>
      <c r="CL506" s="268"/>
      <c r="CM506" s="268"/>
      <c r="CN506" s="268"/>
      <c r="CO506" s="268"/>
      <c r="CP506" s="268"/>
      <c r="CQ506" s="268"/>
      <c r="CR506" s="268"/>
      <c r="CS506" s="269"/>
    </row>
    <row r="507" spans="1:104" hidden="1">
      <c r="C507" s="308" t="s">
        <v>510</v>
      </c>
      <c r="D507" s="309"/>
      <c r="E507" s="309"/>
      <c r="F507" s="309"/>
      <c r="G507" s="309"/>
      <c r="H507" s="309"/>
      <c r="I507" s="309"/>
      <c r="J507" s="309"/>
      <c r="K507" s="309"/>
      <c r="L507" s="309"/>
      <c r="M507" s="309"/>
      <c r="N507" s="309"/>
      <c r="O507" s="309"/>
      <c r="P507" s="309"/>
      <c r="Q507" s="309"/>
      <c r="R507" s="309"/>
      <c r="S507" s="310"/>
      <c r="T507" s="267">
        <v>0</v>
      </c>
      <c r="U507" s="268"/>
      <c r="V507" s="268"/>
      <c r="W507" s="268"/>
      <c r="X507" s="268"/>
      <c r="Y507" s="268"/>
      <c r="Z507" s="268"/>
      <c r="AA507" s="268"/>
      <c r="AB507" s="268"/>
      <c r="AC507" s="269"/>
      <c r="AD507" s="267">
        <v>0</v>
      </c>
      <c r="AE507" s="268"/>
      <c r="AF507" s="268"/>
      <c r="AG507" s="268"/>
      <c r="AH507" s="268"/>
      <c r="AI507" s="268"/>
      <c r="AJ507" s="268"/>
      <c r="AK507" s="268"/>
      <c r="AL507" s="268"/>
      <c r="AM507" s="269"/>
      <c r="AN507" s="267">
        <f t="shared" si="20"/>
        <v>0</v>
      </c>
      <c r="AO507" s="268"/>
      <c r="AP507" s="268"/>
      <c r="AQ507" s="268"/>
      <c r="AR507" s="268"/>
      <c r="AS507" s="268"/>
      <c r="AT507" s="268"/>
      <c r="AU507" s="268"/>
      <c r="AV507" s="268"/>
      <c r="AW507" s="269"/>
      <c r="AX507" s="22"/>
      <c r="AY507" s="308" t="s">
        <v>510</v>
      </c>
      <c r="AZ507" s="309"/>
      <c r="BA507" s="309"/>
      <c r="BB507" s="309"/>
      <c r="BC507" s="309"/>
      <c r="BD507" s="309"/>
      <c r="BE507" s="309"/>
      <c r="BF507" s="309"/>
      <c r="BG507" s="309"/>
      <c r="BH507" s="309"/>
      <c r="BI507" s="309"/>
      <c r="BJ507" s="309"/>
      <c r="BK507" s="309"/>
      <c r="BL507" s="309"/>
      <c r="BM507" s="309"/>
      <c r="BN507" s="309"/>
      <c r="BO507" s="310"/>
      <c r="BP507" s="267"/>
      <c r="BQ507" s="268"/>
      <c r="BR507" s="268"/>
      <c r="BS507" s="268"/>
      <c r="BT507" s="268"/>
      <c r="BU507" s="268"/>
      <c r="BV507" s="268"/>
      <c r="BW507" s="268"/>
      <c r="BX507" s="268"/>
      <c r="BY507" s="269"/>
      <c r="BZ507" s="267"/>
      <c r="CA507" s="268"/>
      <c r="CB507" s="268"/>
      <c r="CC507" s="268"/>
      <c r="CD507" s="268"/>
      <c r="CE507" s="268"/>
      <c r="CF507" s="268"/>
      <c r="CG507" s="268"/>
      <c r="CH507" s="268"/>
      <c r="CI507" s="269"/>
      <c r="CJ507" s="267">
        <f t="shared" si="21"/>
        <v>0</v>
      </c>
      <c r="CK507" s="268"/>
      <c r="CL507" s="268"/>
      <c r="CM507" s="268"/>
      <c r="CN507" s="268"/>
      <c r="CO507" s="268"/>
      <c r="CP507" s="268"/>
      <c r="CQ507" s="268"/>
      <c r="CR507" s="268"/>
      <c r="CS507" s="269"/>
    </row>
    <row r="508" spans="1:104" hidden="1">
      <c r="C508" s="43"/>
      <c r="D508" s="36" t="str">
        <f>IF(AN505=0,C505&amp;" -","")</f>
        <v>SBT -</v>
      </c>
      <c r="E508" s="42"/>
      <c r="F508" s="42"/>
      <c r="G508" s="42"/>
      <c r="H508" s="42"/>
      <c r="I508" s="42"/>
      <c r="J508" s="42"/>
      <c r="K508" s="42"/>
      <c r="L508" s="42"/>
      <c r="M508" s="42"/>
      <c r="N508" s="42"/>
      <c r="O508" s="42"/>
      <c r="P508" s="1"/>
      <c r="Q508" s="42"/>
      <c r="R508" s="41" t="s">
        <v>275</v>
      </c>
      <c r="S508" s="40"/>
      <c r="T508" s="267">
        <f>SUMIFS('Adv. Filter'!$CH$1:$CH$50000,'Adv. Filter'!$CD$1:$CD$50000,"Srinivas",'Adv. Filter'!$CE$1:$CE$50000,$C505,'Adv. Filter'!$CC$1:$CC$50000,"Suspense",'Adv. Filter'!$CF$1:$CF$50000,"Cash")</f>
        <v>0</v>
      </c>
      <c r="U508" s="268"/>
      <c r="V508" s="268"/>
      <c r="W508" s="268"/>
      <c r="X508" s="268"/>
      <c r="Y508" s="268"/>
      <c r="Z508" s="268"/>
      <c r="AA508" s="268"/>
      <c r="AB508" s="268"/>
      <c r="AC508" s="269"/>
      <c r="AD508" s="267">
        <f>SUMIFS('Adv. Filter'!$CH$1:$CH$50000,'Adv. Filter'!$CD$1:$CD$50000,"Srinivas",'Adv. Filter'!$CE$1:$CE$50000,$C505,'Adv. Filter'!$CC$1:$CC$50000,"Suspense",'Adv. Filter'!$CF$1:$CF$50000,"Bank")</f>
        <v>0</v>
      </c>
      <c r="AE508" s="268"/>
      <c r="AF508" s="268"/>
      <c r="AG508" s="268"/>
      <c r="AH508" s="268"/>
      <c r="AI508" s="268"/>
      <c r="AJ508" s="268"/>
      <c r="AK508" s="268"/>
      <c r="AL508" s="268"/>
      <c r="AM508" s="269"/>
      <c r="AN508" s="267">
        <f t="shared" si="20"/>
        <v>0</v>
      </c>
      <c r="AO508" s="268"/>
      <c r="AP508" s="268"/>
      <c r="AQ508" s="268"/>
      <c r="AR508" s="268"/>
      <c r="AS508" s="268"/>
      <c r="AT508" s="268"/>
      <c r="AU508" s="268"/>
      <c r="AV508" s="268"/>
      <c r="AW508" s="269"/>
      <c r="AX508" s="22"/>
      <c r="AY508" s="43"/>
      <c r="AZ508" s="36" t="str">
        <f>IF(CJ505=0,AY505&amp;" -","")</f>
        <v>SBT -</v>
      </c>
      <c r="BA508" s="42"/>
      <c r="BB508" s="42"/>
      <c r="BC508" s="42"/>
      <c r="BD508" s="42"/>
      <c r="BE508" s="42"/>
      <c r="BF508" s="42"/>
      <c r="BG508" s="42"/>
      <c r="BH508" s="42"/>
      <c r="BI508" s="42"/>
      <c r="BJ508" s="42"/>
      <c r="BK508" s="42"/>
      <c r="BL508" s="1"/>
      <c r="BM508" s="42"/>
      <c r="BN508" s="41" t="s">
        <v>275</v>
      </c>
      <c r="BO508" s="40"/>
      <c r="BP508" s="267"/>
      <c r="BQ508" s="268"/>
      <c r="BR508" s="268"/>
      <c r="BS508" s="268"/>
      <c r="BT508" s="268"/>
      <c r="BU508" s="268"/>
      <c r="BV508" s="268"/>
      <c r="BW508" s="268"/>
      <c r="BX508" s="268"/>
      <c r="BY508" s="269"/>
      <c r="BZ508" s="267"/>
      <c r="CA508" s="268"/>
      <c r="CB508" s="268"/>
      <c r="CC508" s="268"/>
      <c r="CD508" s="268"/>
      <c r="CE508" s="268"/>
      <c r="CF508" s="268"/>
      <c r="CG508" s="268"/>
      <c r="CH508" s="268"/>
      <c r="CI508" s="269"/>
      <c r="CJ508" s="267">
        <f t="shared" si="21"/>
        <v>0</v>
      </c>
      <c r="CK508" s="268"/>
      <c r="CL508" s="268"/>
      <c r="CM508" s="268"/>
      <c r="CN508" s="268"/>
      <c r="CO508" s="268"/>
      <c r="CP508" s="268"/>
      <c r="CQ508" s="268"/>
      <c r="CR508" s="268"/>
      <c r="CS508" s="269"/>
    </row>
    <row r="509" spans="1:104" hidden="1">
      <c r="A509" s="44"/>
      <c r="B509" s="44"/>
      <c r="C509" s="293" t="s">
        <v>92</v>
      </c>
      <c r="D509" s="294"/>
      <c r="E509" s="294"/>
      <c r="F509" s="294"/>
      <c r="G509" s="294"/>
      <c r="H509" s="294"/>
      <c r="I509" s="294"/>
      <c r="J509" s="294"/>
      <c r="K509" s="294"/>
      <c r="L509" s="294"/>
      <c r="M509" s="294"/>
      <c r="N509" s="294"/>
      <c r="O509" s="294"/>
      <c r="P509" s="294"/>
      <c r="Q509" s="294"/>
      <c r="R509" s="294"/>
      <c r="S509" s="295"/>
      <c r="T509" s="276">
        <f>SUMIFS('Adv. Filter'!$BJ$1:$BJ$50000,'Adv. Filter'!$BT$1:$BT$50000,"Srinivas",'Adv. Filter'!$BQ$1:$BQ$50000,$C509,'Adv. Filter'!$BH$1:$BH$50000,"Cash",'Adv. Filter'!$BO$1:$BO$50000,'Adv. Filter'!$A$14,'Adv. Filter'!$BO$1:$BO$50000,'Adv. Filter'!$B$14)</f>
        <v>0</v>
      </c>
      <c r="U509" s="277"/>
      <c r="V509" s="277"/>
      <c r="W509" s="277"/>
      <c r="X509" s="277"/>
      <c r="Y509" s="277"/>
      <c r="Z509" s="277"/>
      <c r="AA509" s="277"/>
      <c r="AB509" s="277"/>
      <c r="AC509" s="278"/>
      <c r="AD509" s="276">
        <f>SUMIFS('Adv. Filter'!$BJ$1:$BJ$50000,'Adv. Filter'!$BT$1:$BT$50000,"Srinivas",'Adv. Filter'!$BQ$1:$BQ$50000,$C509,'Adv. Filter'!$BH$1:$BH$50000,"Bank",'Adv. Filter'!$BO$1:$BO$50000,'Adv. Filter'!$A$14,'Adv. Filter'!$BO$1:$BO$50000,'Adv. Filter'!$B$14)</f>
        <v>0</v>
      </c>
      <c r="AE509" s="277"/>
      <c r="AF509" s="277"/>
      <c r="AG509" s="277"/>
      <c r="AH509" s="277"/>
      <c r="AI509" s="277"/>
      <c r="AJ509" s="277"/>
      <c r="AK509" s="277"/>
      <c r="AL509" s="277"/>
      <c r="AM509" s="278"/>
      <c r="AN509" s="276">
        <f t="shared" si="20"/>
        <v>0</v>
      </c>
      <c r="AO509" s="277"/>
      <c r="AP509" s="277"/>
      <c r="AQ509" s="277"/>
      <c r="AR509" s="277"/>
      <c r="AS509" s="277"/>
      <c r="AT509" s="277"/>
      <c r="AU509" s="277"/>
      <c r="AV509" s="277"/>
      <c r="AW509" s="278"/>
      <c r="AX509" s="45"/>
      <c r="AY509" s="293" t="s">
        <v>92</v>
      </c>
      <c r="AZ509" s="294"/>
      <c r="BA509" s="294"/>
      <c r="BB509" s="294"/>
      <c r="BC509" s="294"/>
      <c r="BD509" s="294"/>
      <c r="BE509" s="294"/>
      <c r="BF509" s="294"/>
      <c r="BG509" s="294"/>
      <c r="BH509" s="294"/>
      <c r="BI509" s="294"/>
      <c r="BJ509" s="294"/>
      <c r="BK509" s="294"/>
      <c r="BL509" s="294"/>
      <c r="BM509" s="294"/>
      <c r="BN509" s="294"/>
      <c r="BO509" s="295"/>
      <c r="BP509" s="276">
        <f>SUMIFS('Adv. Filter'!$BJ$1:$BJ$50000,'Adv. Filter'!$BT$1:$BT$50000,"Srinivas",'Adv. Filter'!$BQ$1:$BQ$50000,$AY509,'Adv. Filter'!$BH$1:$BH$50000,"Cash",'Adv. Filter'!$BO$1:$BO$50000,"&lt;"&amp;'Adv. Filter'!$A$15)</f>
        <v>0</v>
      </c>
      <c r="BQ509" s="277"/>
      <c r="BR509" s="277"/>
      <c r="BS509" s="277"/>
      <c r="BT509" s="277"/>
      <c r="BU509" s="277"/>
      <c r="BV509" s="277"/>
      <c r="BW509" s="277"/>
      <c r="BX509" s="277"/>
      <c r="BY509" s="278"/>
      <c r="BZ509" s="276">
        <f>SUMIFS('Adv. Filter'!$BJ$1:$BJ$50000,'Adv. Filter'!$BT$1:$BT$50000,"Srinivas",'Adv. Filter'!$BQ$1:$BQ$50000,$AY509,'Adv. Filter'!$BH$1:$BH$50000,"Bank",'Adv. Filter'!$BO$1:$BO$50000,"&lt;"&amp;'Adv. Filter'!$A$15)</f>
        <v>0</v>
      </c>
      <c r="CA509" s="277"/>
      <c r="CB509" s="277"/>
      <c r="CC509" s="277"/>
      <c r="CD509" s="277"/>
      <c r="CE509" s="277"/>
      <c r="CF509" s="277"/>
      <c r="CG509" s="277"/>
      <c r="CH509" s="277"/>
      <c r="CI509" s="278"/>
      <c r="CJ509" s="276">
        <f t="shared" si="21"/>
        <v>0</v>
      </c>
      <c r="CK509" s="277"/>
      <c r="CL509" s="277"/>
      <c r="CM509" s="277"/>
      <c r="CN509" s="277"/>
      <c r="CO509" s="277"/>
      <c r="CP509" s="277"/>
      <c r="CQ509" s="277"/>
      <c r="CR509" s="277"/>
      <c r="CS509" s="278"/>
      <c r="CT509" s="44"/>
      <c r="CU509" s="44"/>
      <c r="CV509" s="44"/>
      <c r="CW509" s="44"/>
      <c r="CX509" s="44"/>
      <c r="CY509" s="44"/>
      <c r="CZ509" s="44"/>
    </row>
    <row r="510" spans="1:104" hidden="1">
      <c r="C510" s="308" t="s">
        <v>115</v>
      </c>
      <c r="D510" s="309"/>
      <c r="E510" s="309"/>
      <c r="F510" s="309"/>
      <c r="G510" s="309"/>
      <c r="H510" s="309"/>
      <c r="I510" s="309"/>
      <c r="J510" s="309"/>
      <c r="K510" s="309"/>
      <c r="L510" s="309"/>
      <c r="M510" s="309"/>
      <c r="N510" s="309"/>
      <c r="O510" s="309"/>
      <c r="P510" s="309"/>
      <c r="Q510" s="309"/>
      <c r="R510" s="309"/>
      <c r="S510" s="310"/>
      <c r="T510" s="267">
        <f>SUMIFS('Adv. Filter'!$BJ$1:$BJ$50000,'Adv. Filter'!$BT$1:$BT$50000,"Srinivas",'Adv. Filter'!$BQ$1:$BQ$50000,$C509,'Adv. Filter'!$BH$1:$BH$50000,"Cash",'Adv. Filter'!$BO$1:$BO$50000,'Adv. Filter'!$A$14,'Adv. Filter'!$BO$1:$BO$50000,'Adv. Filter'!$B$14,'Adv. Filter'!$BP$1:$BP$50000,"Project")</f>
        <v>0</v>
      </c>
      <c r="U510" s="268"/>
      <c r="V510" s="268"/>
      <c r="W510" s="268"/>
      <c r="X510" s="268"/>
      <c r="Y510" s="268"/>
      <c r="Z510" s="268"/>
      <c r="AA510" s="268"/>
      <c r="AB510" s="268"/>
      <c r="AC510" s="269"/>
      <c r="AD510" s="267">
        <f>SUMIFS('Adv. Filter'!$BJ$1:$BJ$50000,'Adv. Filter'!$BT$1:$BT$50000,"Srinivas",'Adv. Filter'!$BQ$1:$BQ$50000,$C509,'Adv. Filter'!$BH$1:$BH$50000,"Bank",'Adv. Filter'!$BO$1:$BO$50000,'Adv. Filter'!$A$14,'Adv. Filter'!$BO$1:$BO$50000,'Adv. Filter'!$B$14,'Adv. Filter'!$BP$1:$BP$50000,"Project")</f>
        <v>0</v>
      </c>
      <c r="AE510" s="268"/>
      <c r="AF510" s="268"/>
      <c r="AG510" s="268"/>
      <c r="AH510" s="268"/>
      <c r="AI510" s="268"/>
      <c r="AJ510" s="268"/>
      <c r="AK510" s="268"/>
      <c r="AL510" s="268"/>
      <c r="AM510" s="269"/>
      <c r="AN510" s="267">
        <f t="shared" si="20"/>
        <v>0</v>
      </c>
      <c r="AO510" s="268"/>
      <c r="AP510" s="268"/>
      <c r="AQ510" s="268"/>
      <c r="AR510" s="268"/>
      <c r="AS510" s="268"/>
      <c r="AT510" s="268"/>
      <c r="AU510" s="268"/>
      <c r="AV510" s="268"/>
      <c r="AW510" s="269"/>
      <c r="AX510" s="22"/>
      <c r="AY510" s="308" t="s">
        <v>115</v>
      </c>
      <c r="AZ510" s="309"/>
      <c r="BA510" s="309"/>
      <c r="BB510" s="309"/>
      <c r="BC510" s="309"/>
      <c r="BD510" s="309"/>
      <c r="BE510" s="309"/>
      <c r="BF510" s="309"/>
      <c r="BG510" s="309"/>
      <c r="BH510" s="309"/>
      <c r="BI510" s="309"/>
      <c r="BJ510" s="309"/>
      <c r="BK510" s="309"/>
      <c r="BL510" s="309"/>
      <c r="BM510" s="309"/>
      <c r="BN510" s="309"/>
      <c r="BO510" s="310"/>
      <c r="BP510" s="267">
        <f>SUMIFS('Adv. Filter'!$BJ$1:$BJ$50000,'Adv. Filter'!$BT$1:$BT$50000,"Srinivas",'Adv. Filter'!$BQ$1:$BQ$50000,$AY509,'Adv. Filter'!$BH$1:$BH$50000,"Cash",'Adv. Filter'!$BO$1:$BO$50000,"&lt;"&amp;'Adv. Filter'!$A$15,'Adv. Filter'!$BP$1:$BP$50000,"Project")</f>
        <v>0</v>
      </c>
      <c r="BQ510" s="268"/>
      <c r="BR510" s="268"/>
      <c r="BS510" s="268"/>
      <c r="BT510" s="268"/>
      <c r="BU510" s="268"/>
      <c r="BV510" s="268"/>
      <c r="BW510" s="268"/>
      <c r="BX510" s="268"/>
      <c r="BY510" s="269"/>
      <c r="BZ510" s="267">
        <f>SUMIFS('Adv. Filter'!$BJ$1:$BJ$50000,'Adv. Filter'!$BT$1:$BT$50000,"Srinivas",'Adv. Filter'!$BQ$1:$BQ$50000,$AY509,'Adv. Filter'!$BH$1:$BH$50000,"Bank",'Adv. Filter'!$BO$1:$BO$50000,"&lt;"&amp;'Adv. Filter'!$A$15,'Adv. Filter'!$BP$1:$BP$50000,"Project")</f>
        <v>0</v>
      </c>
      <c r="CA510" s="268"/>
      <c r="CB510" s="268"/>
      <c r="CC510" s="268"/>
      <c r="CD510" s="268"/>
      <c r="CE510" s="268"/>
      <c r="CF510" s="268"/>
      <c r="CG510" s="268"/>
      <c r="CH510" s="268"/>
      <c r="CI510" s="269"/>
      <c r="CJ510" s="267">
        <f t="shared" si="21"/>
        <v>0</v>
      </c>
      <c r="CK510" s="268"/>
      <c r="CL510" s="268"/>
      <c r="CM510" s="268"/>
      <c r="CN510" s="268"/>
      <c r="CO510" s="268"/>
      <c r="CP510" s="268"/>
      <c r="CQ510" s="268"/>
      <c r="CR510" s="268"/>
      <c r="CS510" s="269"/>
    </row>
    <row r="511" spans="1:104" hidden="1">
      <c r="C511" s="308" t="s">
        <v>510</v>
      </c>
      <c r="D511" s="309"/>
      <c r="E511" s="309"/>
      <c r="F511" s="309"/>
      <c r="G511" s="309"/>
      <c r="H511" s="309"/>
      <c r="I511" s="309"/>
      <c r="J511" s="309"/>
      <c r="K511" s="309"/>
      <c r="L511" s="309"/>
      <c r="M511" s="309"/>
      <c r="N511" s="309"/>
      <c r="O511" s="309"/>
      <c r="P511" s="309"/>
      <c r="Q511" s="309"/>
      <c r="R511" s="309"/>
      <c r="S511" s="310"/>
      <c r="T511" s="267">
        <v>0</v>
      </c>
      <c r="U511" s="268"/>
      <c r="V511" s="268"/>
      <c r="W511" s="268"/>
      <c r="X511" s="268"/>
      <c r="Y511" s="268"/>
      <c r="Z511" s="268"/>
      <c r="AA511" s="268"/>
      <c r="AB511" s="268"/>
      <c r="AC511" s="269"/>
      <c r="AD511" s="267">
        <v>0</v>
      </c>
      <c r="AE511" s="268"/>
      <c r="AF511" s="268"/>
      <c r="AG511" s="268"/>
      <c r="AH511" s="268"/>
      <c r="AI511" s="268"/>
      <c r="AJ511" s="268"/>
      <c r="AK511" s="268"/>
      <c r="AL511" s="268"/>
      <c r="AM511" s="269"/>
      <c r="AN511" s="267">
        <f t="shared" si="20"/>
        <v>0</v>
      </c>
      <c r="AO511" s="268"/>
      <c r="AP511" s="268"/>
      <c r="AQ511" s="268"/>
      <c r="AR511" s="268"/>
      <c r="AS511" s="268"/>
      <c r="AT511" s="268"/>
      <c r="AU511" s="268"/>
      <c r="AV511" s="268"/>
      <c r="AW511" s="269"/>
      <c r="AX511" s="22"/>
      <c r="AY511" s="308" t="s">
        <v>510</v>
      </c>
      <c r="AZ511" s="309"/>
      <c r="BA511" s="309"/>
      <c r="BB511" s="309"/>
      <c r="BC511" s="309"/>
      <c r="BD511" s="309"/>
      <c r="BE511" s="309"/>
      <c r="BF511" s="309"/>
      <c r="BG511" s="309"/>
      <c r="BH511" s="309"/>
      <c r="BI511" s="309"/>
      <c r="BJ511" s="309"/>
      <c r="BK511" s="309"/>
      <c r="BL511" s="309"/>
      <c r="BM511" s="309"/>
      <c r="BN511" s="309"/>
      <c r="BO511" s="310"/>
      <c r="BP511" s="267"/>
      <c r="BQ511" s="268"/>
      <c r="BR511" s="268"/>
      <c r="BS511" s="268"/>
      <c r="BT511" s="268"/>
      <c r="BU511" s="268"/>
      <c r="BV511" s="268"/>
      <c r="BW511" s="268"/>
      <c r="BX511" s="268"/>
      <c r="BY511" s="269"/>
      <c r="BZ511" s="267"/>
      <c r="CA511" s="268"/>
      <c r="CB511" s="268"/>
      <c r="CC511" s="268"/>
      <c r="CD511" s="268"/>
      <c r="CE511" s="268"/>
      <c r="CF511" s="268"/>
      <c r="CG511" s="268"/>
      <c r="CH511" s="268"/>
      <c r="CI511" s="269"/>
      <c r="CJ511" s="267">
        <f t="shared" si="21"/>
        <v>0</v>
      </c>
      <c r="CK511" s="268"/>
      <c r="CL511" s="268"/>
      <c r="CM511" s="268"/>
      <c r="CN511" s="268"/>
      <c r="CO511" s="268"/>
      <c r="CP511" s="268"/>
      <c r="CQ511" s="268"/>
      <c r="CR511" s="268"/>
      <c r="CS511" s="269"/>
    </row>
    <row r="512" spans="1:104" hidden="1">
      <c r="C512" s="43"/>
      <c r="D512" s="36" t="str">
        <f>IF(AN509=0,C509&amp;" -","")</f>
        <v>Syndicate -</v>
      </c>
      <c r="E512" s="42"/>
      <c r="F512" s="42"/>
      <c r="G512" s="42"/>
      <c r="H512" s="42"/>
      <c r="I512" s="42"/>
      <c r="J512" s="42"/>
      <c r="K512" s="42"/>
      <c r="L512" s="42"/>
      <c r="M512" s="42"/>
      <c r="N512" s="42"/>
      <c r="O512" s="42"/>
      <c r="P512" s="1"/>
      <c r="Q512" s="42"/>
      <c r="R512" s="41" t="s">
        <v>275</v>
      </c>
      <c r="S512" s="40"/>
      <c r="T512" s="267">
        <f>SUMIFS('Adv. Filter'!$CH$1:$CH$50000,'Adv. Filter'!$CD$1:$CD$50000,"Srinivas",'Adv. Filter'!$CE$1:$CE$50000,$C509,'Adv. Filter'!$CC$1:$CC$50000,"Suspense",'Adv. Filter'!$CF$1:$CF$50000,"Cash")</f>
        <v>0</v>
      </c>
      <c r="U512" s="268"/>
      <c r="V512" s="268"/>
      <c r="W512" s="268"/>
      <c r="X512" s="268"/>
      <c r="Y512" s="268"/>
      <c r="Z512" s="268"/>
      <c r="AA512" s="268"/>
      <c r="AB512" s="268"/>
      <c r="AC512" s="269"/>
      <c r="AD512" s="267">
        <f>SUMIFS('Adv. Filter'!$CH$1:$CH$50000,'Adv. Filter'!$CD$1:$CD$50000,"Srinivas",'Adv. Filter'!$CE$1:$CE$50000,$C509,'Adv. Filter'!$CC$1:$CC$50000,"Suspense",'Adv. Filter'!$CF$1:$CF$50000,"Bank")</f>
        <v>0</v>
      </c>
      <c r="AE512" s="268"/>
      <c r="AF512" s="268"/>
      <c r="AG512" s="268"/>
      <c r="AH512" s="268"/>
      <c r="AI512" s="268"/>
      <c r="AJ512" s="268"/>
      <c r="AK512" s="268"/>
      <c r="AL512" s="268"/>
      <c r="AM512" s="269"/>
      <c r="AN512" s="267">
        <f t="shared" si="20"/>
        <v>0</v>
      </c>
      <c r="AO512" s="268"/>
      <c r="AP512" s="268"/>
      <c r="AQ512" s="268"/>
      <c r="AR512" s="268"/>
      <c r="AS512" s="268"/>
      <c r="AT512" s="268"/>
      <c r="AU512" s="268"/>
      <c r="AV512" s="268"/>
      <c r="AW512" s="269"/>
      <c r="AX512" s="22"/>
      <c r="AY512" s="43"/>
      <c r="AZ512" s="36" t="str">
        <f>IF(CJ509=0,AY509&amp;" -","")</f>
        <v>Syndicate -</v>
      </c>
      <c r="BA512" s="42"/>
      <c r="BB512" s="42"/>
      <c r="BC512" s="42"/>
      <c r="BD512" s="42"/>
      <c r="BE512" s="42"/>
      <c r="BF512" s="42"/>
      <c r="BG512" s="42"/>
      <c r="BH512" s="42"/>
      <c r="BI512" s="42"/>
      <c r="BJ512" s="42"/>
      <c r="BK512" s="42"/>
      <c r="BL512" s="1"/>
      <c r="BM512" s="42"/>
      <c r="BN512" s="41" t="s">
        <v>275</v>
      </c>
      <c r="BO512" s="40"/>
      <c r="BP512" s="267"/>
      <c r="BQ512" s="268"/>
      <c r="BR512" s="268"/>
      <c r="BS512" s="268"/>
      <c r="BT512" s="268"/>
      <c r="BU512" s="268"/>
      <c r="BV512" s="268"/>
      <c r="BW512" s="268"/>
      <c r="BX512" s="268"/>
      <c r="BY512" s="269"/>
      <c r="BZ512" s="267"/>
      <c r="CA512" s="268"/>
      <c r="CB512" s="268"/>
      <c r="CC512" s="268"/>
      <c r="CD512" s="268"/>
      <c r="CE512" s="268"/>
      <c r="CF512" s="268"/>
      <c r="CG512" s="268"/>
      <c r="CH512" s="268"/>
      <c r="CI512" s="269"/>
      <c r="CJ512" s="267">
        <f t="shared" si="21"/>
        <v>0</v>
      </c>
      <c r="CK512" s="268"/>
      <c r="CL512" s="268"/>
      <c r="CM512" s="268"/>
      <c r="CN512" s="268"/>
      <c r="CO512" s="268"/>
      <c r="CP512" s="268"/>
      <c r="CQ512" s="268"/>
      <c r="CR512" s="268"/>
      <c r="CS512" s="269"/>
    </row>
    <row r="513" spans="1:104" hidden="1">
      <c r="A513" s="44"/>
      <c r="B513" s="44"/>
      <c r="C513" s="293" t="s">
        <v>97</v>
      </c>
      <c r="D513" s="294"/>
      <c r="E513" s="294"/>
      <c r="F513" s="294"/>
      <c r="G513" s="294"/>
      <c r="H513" s="294"/>
      <c r="I513" s="294"/>
      <c r="J513" s="294"/>
      <c r="K513" s="294"/>
      <c r="L513" s="294"/>
      <c r="M513" s="294"/>
      <c r="N513" s="294"/>
      <c r="O513" s="294"/>
      <c r="P513" s="294"/>
      <c r="Q513" s="294"/>
      <c r="R513" s="294"/>
      <c r="S513" s="295"/>
      <c r="T513" s="276">
        <f>SUMIFS('Adv. Filter'!$BJ$1:$BJ$50000,'Adv. Filter'!$BT$1:$BT$50000,"Srinivas",'Adv. Filter'!$BQ$1:$BQ$50000,$C513,'Adv. Filter'!$BH$1:$BH$50000,"Cash",'Adv. Filter'!$BO$1:$BO$50000,'Adv. Filter'!$A$14,'Adv. Filter'!$BO$1:$BO$50000,'Adv. Filter'!$B$14)</f>
        <v>0</v>
      </c>
      <c r="U513" s="277"/>
      <c r="V513" s="277"/>
      <c r="W513" s="277"/>
      <c r="X513" s="277"/>
      <c r="Y513" s="277"/>
      <c r="Z513" s="277"/>
      <c r="AA513" s="277"/>
      <c r="AB513" s="277"/>
      <c r="AC513" s="278"/>
      <c r="AD513" s="276">
        <f>SUMIFS('Adv. Filter'!$BJ$1:$BJ$50000,'Adv. Filter'!$BT$1:$BT$50000,"Srinivas",'Adv. Filter'!$BQ$1:$BQ$50000,$C513,'Adv. Filter'!$BH$1:$BH$50000,"Bank",'Adv. Filter'!$BO$1:$BO$50000,'Adv. Filter'!$A$14,'Adv. Filter'!$BO$1:$BO$50000,'Adv. Filter'!$B$14)</f>
        <v>0</v>
      </c>
      <c r="AE513" s="277"/>
      <c r="AF513" s="277"/>
      <c r="AG513" s="277"/>
      <c r="AH513" s="277"/>
      <c r="AI513" s="277"/>
      <c r="AJ513" s="277"/>
      <c r="AK513" s="277"/>
      <c r="AL513" s="277"/>
      <c r="AM513" s="278"/>
      <c r="AN513" s="276">
        <f t="shared" si="20"/>
        <v>0</v>
      </c>
      <c r="AO513" s="277"/>
      <c r="AP513" s="277"/>
      <c r="AQ513" s="277"/>
      <c r="AR513" s="277"/>
      <c r="AS513" s="277"/>
      <c r="AT513" s="277"/>
      <c r="AU513" s="277"/>
      <c r="AV513" s="277"/>
      <c r="AW513" s="278"/>
      <c r="AX513" s="45"/>
      <c r="AY513" s="293" t="s">
        <v>97</v>
      </c>
      <c r="AZ513" s="294"/>
      <c r="BA513" s="294"/>
      <c r="BB513" s="294"/>
      <c r="BC513" s="294"/>
      <c r="BD513" s="294"/>
      <c r="BE513" s="294"/>
      <c r="BF513" s="294"/>
      <c r="BG513" s="294"/>
      <c r="BH513" s="294"/>
      <c r="BI513" s="294"/>
      <c r="BJ513" s="294"/>
      <c r="BK513" s="294"/>
      <c r="BL513" s="294"/>
      <c r="BM513" s="294"/>
      <c r="BN513" s="294"/>
      <c r="BO513" s="295"/>
      <c r="BP513" s="276">
        <f>SUMIFS('Adv. Filter'!$BJ$1:$BJ$50000,'Adv. Filter'!$BT$1:$BT$50000,"Srinivas",'Adv. Filter'!$BQ$1:$BQ$50000,$AY513,'Adv. Filter'!$BH$1:$BH$50000,"Cash",'Adv. Filter'!$BO$1:$BO$50000,"&lt;"&amp;'Adv. Filter'!$A$15)</f>
        <v>0</v>
      </c>
      <c r="BQ513" s="277"/>
      <c r="BR513" s="277"/>
      <c r="BS513" s="277"/>
      <c r="BT513" s="277"/>
      <c r="BU513" s="277"/>
      <c r="BV513" s="277"/>
      <c r="BW513" s="277"/>
      <c r="BX513" s="277"/>
      <c r="BY513" s="278"/>
      <c r="BZ513" s="276">
        <f>SUMIFS('Adv. Filter'!$BJ$1:$BJ$50000,'Adv. Filter'!$BT$1:$BT$50000,"Srinivas",'Adv. Filter'!$BQ$1:$BQ$50000,$AY513,'Adv. Filter'!$BH$1:$BH$50000,"Bank",'Adv. Filter'!$BO$1:$BO$50000,"&lt;"&amp;'Adv. Filter'!$A$15)</f>
        <v>0</v>
      </c>
      <c r="CA513" s="277"/>
      <c r="CB513" s="277"/>
      <c r="CC513" s="277"/>
      <c r="CD513" s="277"/>
      <c r="CE513" s="277"/>
      <c r="CF513" s="277"/>
      <c r="CG513" s="277"/>
      <c r="CH513" s="277"/>
      <c r="CI513" s="278"/>
      <c r="CJ513" s="276">
        <f t="shared" si="21"/>
        <v>0</v>
      </c>
      <c r="CK513" s="277"/>
      <c r="CL513" s="277"/>
      <c r="CM513" s="277"/>
      <c r="CN513" s="277"/>
      <c r="CO513" s="277"/>
      <c r="CP513" s="277"/>
      <c r="CQ513" s="277"/>
      <c r="CR513" s="277"/>
      <c r="CS513" s="278"/>
      <c r="CT513" s="44"/>
      <c r="CU513" s="44"/>
      <c r="CV513" s="44"/>
      <c r="CW513" s="44"/>
      <c r="CX513" s="44"/>
      <c r="CY513" s="44"/>
      <c r="CZ513" s="44"/>
    </row>
    <row r="514" spans="1:104" hidden="1">
      <c r="C514" s="308" t="s">
        <v>115</v>
      </c>
      <c r="D514" s="309"/>
      <c r="E514" s="309"/>
      <c r="F514" s="309"/>
      <c r="G514" s="309"/>
      <c r="H514" s="309"/>
      <c r="I514" s="309"/>
      <c r="J514" s="309"/>
      <c r="K514" s="309"/>
      <c r="L514" s="309"/>
      <c r="M514" s="309"/>
      <c r="N514" s="309"/>
      <c r="O514" s="309"/>
      <c r="P514" s="309"/>
      <c r="Q514" s="309"/>
      <c r="R514" s="309"/>
      <c r="S514" s="310"/>
      <c r="T514" s="267">
        <f>SUMIFS('Adv. Filter'!$BJ$1:$BJ$50000,'Adv. Filter'!$BT$1:$BT$50000,"Srinivas",'Adv. Filter'!$BQ$1:$BQ$50000,$C513,'Adv. Filter'!$BH$1:$BH$50000,"Cash",'Adv. Filter'!$BO$1:$BO$50000,'Adv. Filter'!$A$14,'Adv. Filter'!$BO$1:$BO$50000,'Adv. Filter'!$B$14,'Adv. Filter'!$BP$1:$BP$50000,"Project")</f>
        <v>0</v>
      </c>
      <c r="U514" s="268"/>
      <c r="V514" s="268"/>
      <c r="W514" s="268"/>
      <c r="X514" s="268"/>
      <c r="Y514" s="268"/>
      <c r="Z514" s="268"/>
      <c r="AA514" s="268"/>
      <c r="AB514" s="268"/>
      <c r="AC514" s="269"/>
      <c r="AD514" s="267">
        <f>SUMIFS('Adv. Filter'!$BJ$1:$BJ$50000,'Adv. Filter'!$BT$1:$BT$50000,"Srinivas",'Adv. Filter'!$BQ$1:$BQ$50000,$C513,'Adv. Filter'!$BH$1:$BH$50000,"Bank",'Adv. Filter'!$BO$1:$BO$50000,'Adv. Filter'!$A$14,'Adv. Filter'!$BO$1:$BO$50000,'Adv. Filter'!$B$14,'Adv. Filter'!$BP$1:$BP$50000,"Project")</f>
        <v>0</v>
      </c>
      <c r="AE514" s="268"/>
      <c r="AF514" s="268"/>
      <c r="AG514" s="268"/>
      <c r="AH514" s="268"/>
      <c r="AI514" s="268"/>
      <c r="AJ514" s="268"/>
      <c r="AK514" s="268"/>
      <c r="AL514" s="268"/>
      <c r="AM514" s="269"/>
      <c r="AN514" s="267">
        <f t="shared" si="20"/>
        <v>0</v>
      </c>
      <c r="AO514" s="268"/>
      <c r="AP514" s="268"/>
      <c r="AQ514" s="268"/>
      <c r="AR514" s="268"/>
      <c r="AS514" s="268"/>
      <c r="AT514" s="268"/>
      <c r="AU514" s="268"/>
      <c r="AV514" s="268"/>
      <c r="AW514" s="269"/>
      <c r="AX514" s="22"/>
      <c r="AY514" s="308" t="s">
        <v>115</v>
      </c>
      <c r="AZ514" s="309"/>
      <c r="BA514" s="309"/>
      <c r="BB514" s="309"/>
      <c r="BC514" s="309"/>
      <c r="BD514" s="309"/>
      <c r="BE514" s="309"/>
      <c r="BF514" s="309"/>
      <c r="BG514" s="309"/>
      <c r="BH514" s="309"/>
      <c r="BI514" s="309"/>
      <c r="BJ514" s="309"/>
      <c r="BK514" s="309"/>
      <c r="BL514" s="309"/>
      <c r="BM514" s="309"/>
      <c r="BN514" s="309"/>
      <c r="BO514" s="310"/>
      <c r="BP514" s="267">
        <f>SUMIFS('Adv. Filter'!$BJ$1:$BJ$50000,'Adv. Filter'!$BT$1:$BT$50000,"Srinivas",'Adv. Filter'!$BQ$1:$BQ$50000,$AY513,'Adv. Filter'!$BH$1:$BH$50000,"Cash",'Adv. Filter'!$BO$1:$BO$50000,"&lt;"&amp;'Adv. Filter'!$A$15,'Adv. Filter'!$BP$1:$BP$50000,"Project")</f>
        <v>0</v>
      </c>
      <c r="BQ514" s="268"/>
      <c r="BR514" s="268"/>
      <c r="BS514" s="268"/>
      <c r="BT514" s="268"/>
      <c r="BU514" s="268"/>
      <c r="BV514" s="268"/>
      <c r="BW514" s="268"/>
      <c r="BX514" s="268"/>
      <c r="BY514" s="269"/>
      <c r="BZ514" s="267">
        <f>SUMIFS('Adv. Filter'!$BJ$1:$BJ$50000,'Adv. Filter'!$BT$1:$BT$50000,"Srinivas",'Adv. Filter'!$BQ$1:$BQ$50000,$AY513,'Adv. Filter'!$BH$1:$BH$50000,"Bank",'Adv. Filter'!$BO$1:$BO$50000,"&lt;"&amp;'Adv. Filter'!$A$15,'Adv. Filter'!$BP$1:$BP$50000,"Project")</f>
        <v>0</v>
      </c>
      <c r="CA514" s="268"/>
      <c r="CB514" s="268"/>
      <c r="CC514" s="268"/>
      <c r="CD514" s="268"/>
      <c r="CE514" s="268"/>
      <c r="CF514" s="268"/>
      <c r="CG514" s="268"/>
      <c r="CH514" s="268"/>
      <c r="CI514" s="269"/>
      <c r="CJ514" s="267">
        <f t="shared" si="21"/>
        <v>0</v>
      </c>
      <c r="CK514" s="268"/>
      <c r="CL514" s="268"/>
      <c r="CM514" s="268"/>
      <c r="CN514" s="268"/>
      <c r="CO514" s="268"/>
      <c r="CP514" s="268"/>
      <c r="CQ514" s="268"/>
      <c r="CR514" s="268"/>
      <c r="CS514" s="269"/>
    </row>
    <row r="515" spans="1:104" hidden="1">
      <c r="C515" s="308" t="s">
        <v>510</v>
      </c>
      <c r="D515" s="309"/>
      <c r="E515" s="309"/>
      <c r="F515" s="309"/>
      <c r="G515" s="309"/>
      <c r="H515" s="309"/>
      <c r="I515" s="309"/>
      <c r="J515" s="309"/>
      <c r="K515" s="309"/>
      <c r="L515" s="309"/>
      <c r="M515" s="309"/>
      <c r="N515" s="309"/>
      <c r="O515" s="309"/>
      <c r="P515" s="309"/>
      <c r="Q515" s="309"/>
      <c r="R515" s="309"/>
      <c r="S515" s="310"/>
      <c r="T515" s="267">
        <v>0</v>
      </c>
      <c r="U515" s="268"/>
      <c r="V515" s="268"/>
      <c r="W515" s="268"/>
      <c r="X515" s="268"/>
      <c r="Y515" s="268"/>
      <c r="Z515" s="268"/>
      <c r="AA515" s="268"/>
      <c r="AB515" s="268"/>
      <c r="AC515" s="269"/>
      <c r="AD515" s="267">
        <v>0</v>
      </c>
      <c r="AE515" s="268"/>
      <c r="AF515" s="268"/>
      <c r="AG515" s="268"/>
      <c r="AH515" s="268"/>
      <c r="AI515" s="268"/>
      <c r="AJ515" s="268"/>
      <c r="AK515" s="268"/>
      <c r="AL515" s="268"/>
      <c r="AM515" s="269"/>
      <c r="AN515" s="267">
        <f t="shared" si="20"/>
        <v>0</v>
      </c>
      <c r="AO515" s="268"/>
      <c r="AP515" s="268"/>
      <c r="AQ515" s="268"/>
      <c r="AR515" s="268"/>
      <c r="AS515" s="268"/>
      <c r="AT515" s="268"/>
      <c r="AU515" s="268"/>
      <c r="AV515" s="268"/>
      <c r="AW515" s="269"/>
      <c r="AX515" s="22"/>
      <c r="AY515" s="308" t="s">
        <v>510</v>
      </c>
      <c r="AZ515" s="309"/>
      <c r="BA515" s="309"/>
      <c r="BB515" s="309"/>
      <c r="BC515" s="309"/>
      <c r="BD515" s="309"/>
      <c r="BE515" s="309"/>
      <c r="BF515" s="309"/>
      <c r="BG515" s="309"/>
      <c r="BH515" s="309"/>
      <c r="BI515" s="309"/>
      <c r="BJ515" s="309"/>
      <c r="BK515" s="309"/>
      <c r="BL515" s="309"/>
      <c r="BM515" s="309"/>
      <c r="BN515" s="309"/>
      <c r="BO515" s="310"/>
      <c r="BP515" s="267"/>
      <c r="BQ515" s="268"/>
      <c r="BR515" s="268"/>
      <c r="BS515" s="268"/>
      <c r="BT515" s="268"/>
      <c r="BU515" s="268"/>
      <c r="BV515" s="268"/>
      <c r="BW515" s="268"/>
      <c r="BX515" s="268"/>
      <c r="BY515" s="269"/>
      <c r="BZ515" s="267"/>
      <c r="CA515" s="268"/>
      <c r="CB515" s="268"/>
      <c r="CC515" s="268"/>
      <c r="CD515" s="268"/>
      <c r="CE515" s="268"/>
      <c r="CF515" s="268"/>
      <c r="CG515" s="268"/>
      <c r="CH515" s="268"/>
      <c r="CI515" s="269"/>
      <c r="CJ515" s="267">
        <f t="shared" si="21"/>
        <v>0</v>
      </c>
      <c r="CK515" s="268"/>
      <c r="CL515" s="268"/>
      <c r="CM515" s="268"/>
      <c r="CN515" s="268"/>
      <c r="CO515" s="268"/>
      <c r="CP515" s="268"/>
      <c r="CQ515" s="268"/>
      <c r="CR515" s="268"/>
      <c r="CS515" s="269"/>
    </row>
    <row r="516" spans="1:104" hidden="1">
      <c r="C516" s="43"/>
      <c r="D516" s="36" t="str">
        <f>IF(AN513=0,C513&amp;" -","")</f>
        <v>TGB -</v>
      </c>
      <c r="E516" s="42"/>
      <c r="F516" s="42"/>
      <c r="G516" s="42"/>
      <c r="H516" s="42"/>
      <c r="I516" s="42"/>
      <c r="J516" s="42"/>
      <c r="K516" s="42"/>
      <c r="L516" s="42"/>
      <c r="M516" s="42"/>
      <c r="N516" s="42"/>
      <c r="O516" s="42"/>
      <c r="P516" s="1"/>
      <c r="Q516" s="42"/>
      <c r="R516" s="41" t="s">
        <v>275</v>
      </c>
      <c r="S516" s="40"/>
      <c r="T516" s="267">
        <f>SUMIFS('Adv. Filter'!$CH$1:$CH$50000,'Adv. Filter'!$CD$1:$CD$50000,"Srinivas",'Adv. Filter'!$CE$1:$CE$50000,$C513,'Adv. Filter'!$CC$1:$CC$50000,"Suspense",'Adv. Filter'!$CF$1:$CF$50000,"Cash")</f>
        <v>0</v>
      </c>
      <c r="U516" s="268"/>
      <c r="V516" s="268"/>
      <c r="W516" s="268"/>
      <c r="X516" s="268"/>
      <c r="Y516" s="268"/>
      <c r="Z516" s="268"/>
      <c r="AA516" s="268"/>
      <c r="AB516" s="268"/>
      <c r="AC516" s="269"/>
      <c r="AD516" s="267">
        <f>SUMIFS('Adv. Filter'!$CH$1:$CH$50000,'Adv. Filter'!$CD$1:$CD$50000,"Srinivas",'Adv. Filter'!$CE$1:$CE$50000,$C513,'Adv. Filter'!$CC$1:$CC$50000,"Suspense",'Adv. Filter'!$CF$1:$CF$50000,"Bank")</f>
        <v>0</v>
      </c>
      <c r="AE516" s="268"/>
      <c r="AF516" s="268"/>
      <c r="AG516" s="268"/>
      <c r="AH516" s="268"/>
      <c r="AI516" s="268"/>
      <c r="AJ516" s="268"/>
      <c r="AK516" s="268"/>
      <c r="AL516" s="268"/>
      <c r="AM516" s="269"/>
      <c r="AN516" s="267">
        <f t="shared" si="20"/>
        <v>0</v>
      </c>
      <c r="AO516" s="268"/>
      <c r="AP516" s="268"/>
      <c r="AQ516" s="268"/>
      <c r="AR516" s="268"/>
      <c r="AS516" s="268"/>
      <c r="AT516" s="268"/>
      <c r="AU516" s="268"/>
      <c r="AV516" s="268"/>
      <c r="AW516" s="269"/>
      <c r="AX516" s="22"/>
      <c r="AY516" s="43"/>
      <c r="AZ516" s="36" t="str">
        <f>IF(CJ513=0,AY513&amp;" -","")</f>
        <v>TGB -</v>
      </c>
      <c r="BA516" s="42"/>
      <c r="BB516" s="42"/>
      <c r="BC516" s="42"/>
      <c r="BD516" s="42"/>
      <c r="BE516" s="42"/>
      <c r="BF516" s="42"/>
      <c r="BG516" s="42"/>
      <c r="BH516" s="42"/>
      <c r="BI516" s="42"/>
      <c r="BJ516" s="42"/>
      <c r="BK516" s="42"/>
      <c r="BL516" s="1"/>
      <c r="BM516" s="42"/>
      <c r="BN516" s="41" t="s">
        <v>275</v>
      </c>
      <c r="BO516" s="40"/>
      <c r="BP516" s="267"/>
      <c r="BQ516" s="268"/>
      <c r="BR516" s="268"/>
      <c r="BS516" s="268"/>
      <c r="BT516" s="268"/>
      <c r="BU516" s="268"/>
      <c r="BV516" s="268"/>
      <c r="BW516" s="268"/>
      <c r="BX516" s="268"/>
      <c r="BY516" s="269"/>
      <c r="BZ516" s="267"/>
      <c r="CA516" s="268"/>
      <c r="CB516" s="268"/>
      <c r="CC516" s="268"/>
      <c r="CD516" s="268"/>
      <c r="CE516" s="268"/>
      <c r="CF516" s="268"/>
      <c r="CG516" s="268"/>
      <c r="CH516" s="268"/>
      <c r="CI516" s="269"/>
      <c r="CJ516" s="267">
        <f t="shared" si="21"/>
        <v>0</v>
      </c>
      <c r="CK516" s="268"/>
      <c r="CL516" s="268"/>
      <c r="CM516" s="268"/>
      <c r="CN516" s="268"/>
      <c r="CO516" s="268"/>
      <c r="CP516" s="268"/>
      <c r="CQ516" s="268"/>
      <c r="CR516" s="268"/>
      <c r="CS516" s="269"/>
    </row>
    <row r="517" spans="1:104" hidden="1">
      <c r="A517" s="44"/>
      <c r="B517" s="44"/>
      <c r="C517" s="293" t="s">
        <v>102</v>
      </c>
      <c r="D517" s="294"/>
      <c r="E517" s="294"/>
      <c r="F517" s="294"/>
      <c r="G517" s="294"/>
      <c r="H517" s="294"/>
      <c r="I517" s="294"/>
      <c r="J517" s="294"/>
      <c r="K517" s="294"/>
      <c r="L517" s="294"/>
      <c r="M517" s="294"/>
      <c r="N517" s="294"/>
      <c r="O517" s="294"/>
      <c r="P517" s="294"/>
      <c r="Q517" s="294"/>
      <c r="R517" s="294"/>
      <c r="S517" s="295"/>
      <c r="T517" s="276">
        <f>SUMIFS('Adv. Filter'!$BJ$1:$BJ$50000,'Adv. Filter'!$BT$1:$BT$50000,"Srinivas",'Adv. Filter'!$BQ$1:$BQ$50000,$C517,'Adv. Filter'!$BH$1:$BH$50000,"Cash",'Adv. Filter'!$BO$1:$BO$50000,'Adv. Filter'!$A$14,'Adv. Filter'!$BO$1:$BO$50000,'Adv. Filter'!$B$14)</f>
        <v>0</v>
      </c>
      <c r="U517" s="277"/>
      <c r="V517" s="277"/>
      <c r="W517" s="277"/>
      <c r="X517" s="277"/>
      <c r="Y517" s="277"/>
      <c r="Z517" s="277"/>
      <c r="AA517" s="277"/>
      <c r="AB517" s="277"/>
      <c r="AC517" s="278"/>
      <c r="AD517" s="276">
        <f>SUMIFS('Adv. Filter'!$BJ$1:$BJ$50000,'Adv. Filter'!$BT$1:$BT$50000,"Srinivas",'Adv. Filter'!$BQ$1:$BQ$50000,$C517,'Adv. Filter'!$BH$1:$BH$50000,"Bank",'Adv. Filter'!$BO$1:$BO$50000,'Adv. Filter'!$A$14,'Adv. Filter'!$BO$1:$BO$50000,'Adv. Filter'!$B$14)</f>
        <v>0</v>
      </c>
      <c r="AE517" s="277"/>
      <c r="AF517" s="277"/>
      <c r="AG517" s="277"/>
      <c r="AH517" s="277"/>
      <c r="AI517" s="277"/>
      <c r="AJ517" s="277"/>
      <c r="AK517" s="277"/>
      <c r="AL517" s="277"/>
      <c r="AM517" s="278"/>
      <c r="AN517" s="276">
        <f t="shared" si="20"/>
        <v>0</v>
      </c>
      <c r="AO517" s="277"/>
      <c r="AP517" s="277"/>
      <c r="AQ517" s="277"/>
      <c r="AR517" s="277"/>
      <c r="AS517" s="277"/>
      <c r="AT517" s="277"/>
      <c r="AU517" s="277"/>
      <c r="AV517" s="277"/>
      <c r="AW517" s="278"/>
      <c r="AX517" s="45"/>
      <c r="AY517" s="293" t="s">
        <v>102</v>
      </c>
      <c r="AZ517" s="294"/>
      <c r="BA517" s="294"/>
      <c r="BB517" s="294"/>
      <c r="BC517" s="294"/>
      <c r="BD517" s="294"/>
      <c r="BE517" s="294"/>
      <c r="BF517" s="294"/>
      <c r="BG517" s="294"/>
      <c r="BH517" s="294"/>
      <c r="BI517" s="294"/>
      <c r="BJ517" s="294"/>
      <c r="BK517" s="294"/>
      <c r="BL517" s="294"/>
      <c r="BM517" s="294"/>
      <c r="BN517" s="294"/>
      <c r="BO517" s="295"/>
      <c r="BP517" s="276">
        <f>SUMIFS('Adv. Filter'!$BJ$1:$BJ$50000,'Adv. Filter'!$BT$1:$BT$50000,"Srinivas",'Adv. Filter'!$BQ$1:$BQ$50000,$AY517,'Adv. Filter'!$BH$1:$BH$50000,"Cash",'Adv. Filter'!$BO$1:$BO$50000,"&lt;"&amp;'Adv. Filter'!$A$15)</f>
        <v>0</v>
      </c>
      <c r="BQ517" s="277"/>
      <c r="BR517" s="277"/>
      <c r="BS517" s="277"/>
      <c r="BT517" s="277"/>
      <c r="BU517" s="277"/>
      <c r="BV517" s="277"/>
      <c r="BW517" s="277"/>
      <c r="BX517" s="277"/>
      <c r="BY517" s="278"/>
      <c r="BZ517" s="276">
        <f>SUMIFS('Adv. Filter'!$BJ$1:$BJ$50000,'Adv. Filter'!$BT$1:$BT$50000,"Srinivas",'Adv. Filter'!$BQ$1:$BQ$50000,$AY517,'Adv. Filter'!$BH$1:$BH$50000,"Bank",'Adv. Filter'!$BO$1:$BO$50000,"&lt;"&amp;'Adv. Filter'!$A$15)</f>
        <v>0</v>
      </c>
      <c r="CA517" s="277"/>
      <c r="CB517" s="277"/>
      <c r="CC517" s="277"/>
      <c r="CD517" s="277"/>
      <c r="CE517" s="277"/>
      <c r="CF517" s="277"/>
      <c r="CG517" s="277"/>
      <c r="CH517" s="277"/>
      <c r="CI517" s="278"/>
      <c r="CJ517" s="276">
        <f t="shared" si="21"/>
        <v>0</v>
      </c>
      <c r="CK517" s="277"/>
      <c r="CL517" s="277"/>
      <c r="CM517" s="277"/>
      <c r="CN517" s="277"/>
      <c r="CO517" s="277"/>
      <c r="CP517" s="277"/>
      <c r="CQ517" s="277"/>
      <c r="CR517" s="277"/>
      <c r="CS517" s="278"/>
      <c r="CT517" s="44"/>
      <c r="CU517" s="44"/>
      <c r="CV517" s="44"/>
      <c r="CW517" s="44"/>
      <c r="CX517" s="44"/>
      <c r="CY517" s="44"/>
      <c r="CZ517" s="44"/>
    </row>
    <row r="518" spans="1:104" hidden="1">
      <c r="C518" s="308" t="s">
        <v>115</v>
      </c>
      <c r="D518" s="309"/>
      <c r="E518" s="309"/>
      <c r="F518" s="309"/>
      <c r="G518" s="309"/>
      <c r="H518" s="309"/>
      <c r="I518" s="309"/>
      <c r="J518" s="309"/>
      <c r="K518" s="309"/>
      <c r="L518" s="309"/>
      <c r="M518" s="309"/>
      <c r="N518" s="309"/>
      <c r="O518" s="309"/>
      <c r="P518" s="309"/>
      <c r="Q518" s="309"/>
      <c r="R518" s="309"/>
      <c r="S518" s="310"/>
      <c r="T518" s="267">
        <f>SUMIFS('Adv. Filter'!$BJ$1:$BJ$50000,'Adv. Filter'!$BT$1:$BT$50000,"Srinivas",'Adv. Filter'!$BQ$1:$BQ$50000,$C517,'Adv. Filter'!$BH$1:$BH$50000,"Cash",'Adv. Filter'!$BO$1:$BO$50000,'Adv. Filter'!$A$14,'Adv. Filter'!$BO$1:$BO$50000,'Adv. Filter'!$B$14,'Adv. Filter'!$BP$1:$BP$50000,"Project")</f>
        <v>0</v>
      </c>
      <c r="U518" s="268"/>
      <c r="V518" s="268"/>
      <c r="W518" s="268"/>
      <c r="X518" s="268"/>
      <c r="Y518" s="268"/>
      <c r="Z518" s="268"/>
      <c r="AA518" s="268"/>
      <c r="AB518" s="268"/>
      <c r="AC518" s="269"/>
      <c r="AD518" s="267">
        <f>SUMIFS('Adv. Filter'!$BJ$1:$BJ$50000,'Adv. Filter'!$BT$1:$BT$50000,"Srinivas",'Adv. Filter'!$BQ$1:$BQ$50000,$C517,'Adv. Filter'!$BH$1:$BH$50000,"Bank",'Adv. Filter'!$BO$1:$BO$50000,'Adv. Filter'!$A$14,'Adv. Filter'!$BO$1:$BO$50000,'Adv. Filter'!$B$14,'Adv. Filter'!$BP$1:$BP$50000,"Project")</f>
        <v>0</v>
      </c>
      <c r="AE518" s="268"/>
      <c r="AF518" s="268"/>
      <c r="AG518" s="268"/>
      <c r="AH518" s="268"/>
      <c r="AI518" s="268"/>
      <c r="AJ518" s="268"/>
      <c r="AK518" s="268"/>
      <c r="AL518" s="268"/>
      <c r="AM518" s="269"/>
      <c r="AN518" s="267">
        <f t="shared" si="20"/>
        <v>0</v>
      </c>
      <c r="AO518" s="268"/>
      <c r="AP518" s="268"/>
      <c r="AQ518" s="268"/>
      <c r="AR518" s="268"/>
      <c r="AS518" s="268"/>
      <c r="AT518" s="268"/>
      <c r="AU518" s="268"/>
      <c r="AV518" s="268"/>
      <c r="AW518" s="269"/>
      <c r="AX518" s="22"/>
      <c r="AY518" s="308" t="s">
        <v>115</v>
      </c>
      <c r="AZ518" s="309"/>
      <c r="BA518" s="309"/>
      <c r="BB518" s="309"/>
      <c r="BC518" s="309"/>
      <c r="BD518" s="309"/>
      <c r="BE518" s="309"/>
      <c r="BF518" s="309"/>
      <c r="BG518" s="309"/>
      <c r="BH518" s="309"/>
      <c r="BI518" s="309"/>
      <c r="BJ518" s="309"/>
      <c r="BK518" s="309"/>
      <c r="BL518" s="309"/>
      <c r="BM518" s="309"/>
      <c r="BN518" s="309"/>
      <c r="BO518" s="310"/>
      <c r="BP518" s="267">
        <f>SUMIFS('Adv. Filter'!$BJ$1:$BJ$50000,'Adv. Filter'!$BT$1:$BT$50000,"Srinivas",'Adv. Filter'!$BQ$1:$BQ$50000,$AY517,'Adv. Filter'!$BH$1:$BH$50000,"Cash",'Adv. Filter'!$BO$1:$BO$50000,"&lt;"&amp;'Adv. Filter'!$A$15,'Adv. Filter'!$BP$1:$BP$50000,"Project")</f>
        <v>0</v>
      </c>
      <c r="BQ518" s="268"/>
      <c r="BR518" s="268"/>
      <c r="BS518" s="268"/>
      <c r="BT518" s="268"/>
      <c r="BU518" s="268"/>
      <c r="BV518" s="268"/>
      <c r="BW518" s="268"/>
      <c r="BX518" s="268"/>
      <c r="BY518" s="269"/>
      <c r="BZ518" s="267">
        <f>SUMIFS('Adv. Filter'!$BJ$1:$BJ$50000,'Adv. Filter'!$BT$1:$BT$50000,"Srinivas",'Adv. Filter'!$BQ$1:$BQ$50000,$AY517,'Adv. Filter'!$BH$1:$BH$50000,"Bank",'Adv. Filter'!$BO$1:$BO$50000,"&lt;"&amp;'Adv. Filter'!$A$15,'Adv. Filter'!$BP$1:$BP$50000,"Project")</f>
        <v>0</v>
      </c>
      <c r="CA518" s="268"/>
      <c r="CB518" s="268"/>
      <c r="CC518" s="268"/>
      <c r="CD518" s="268"/>
      <c r="CE518" s="268"/>
      <c r="CF518" s="268"/>
      <c r="CG518" s="268"/>
      <c r="CH518" s="268"/>
      <c r="CI518" s="269"/>
      <c r="CJ518" s="267">
        <f t="shared" si="21"/>
        <v>0</v>
      </c>
      <c r="CK518" s="268"/>
      <c r="CL518" s="268"/>
      <c r="CM518" s="268"/>
      <c r="CN518" s="268"/>
      <c r="CO518" s="268"/>
      <c r="CP518" s="268"/>
      <c r="CQ518" s="268"/>
      <c r="CR518" s="268"/>
      <c r="CS518" s="269"/>
    </row>
    <row r="519" spans="1:104" hidden="1">
      <c r="C519" s="308" t="s">
        <v>510</v>
      </c>
      <c r="D519" s="309"/>
      <c r="E519" s="309"/>
      <c r="F519" s="309"/>
      <c r="G519" s="309"/>
      <c r="H519" s="309"/>
      <c r="I519" s="309"/>
      <c r="J519" s="309"/>
      <c r="K519" s="309"/>
      <c r="L519" s="309"/>
      <c r="M519" s="309"/>
      <c r="N519" s="309"/>
      <c r="O519" s="309"/>
      <c r="P519" s="309"/>
      <c r="Q519" s="309"/>
      <c r="R519" s="309"/>
      <c r="S519" s="310"/>
      <c r="T519" s="267">
        <v>0</v>
      </c>
      <c r="U519" s="268"/>
      <c r="V519" s="268"/>
      <c r="W519" s="268"/>
      <c r="X519" s="268"/>
      <c r="Y519" s="268"/>
      <c r="Z519" s="268"/>
      <c r="AA519" s="268"/>
      <c r="AB519" s="268"/>
      <c r="AC519" s="269"/>
      <c r="AD519" s="267">
        <v>0</v>
      </c>
      <c r="AE519" s="268"/>
      <c r="AF519" s="268"/>
      <c r="AG519" s="268"/>
      <c r="AH519" s="268"/>
      <c r="AI519" s="268"/>
      <c r="AJ519" s="268"/>
      <c r="AK519" s="268"/>
      <c r="AL519" s="268"/>
      <c r="AM519" s="269"/>
      <c r="AN519" s="267">
        <f t="shared" si="20"/>
        <v>0</v>
      </c>
      <c r="AO519" s="268"/>
      <c r="AP519" s="268"/>
      <c r="AQ519" s="268"/>
      <c r="AR519" s="268"/>
      <c r="AS519" s="268"/>
      <c r="AT519" s="268"/>
      <c r="AU519" s="268"/>
      <c r="AV519" s="268"/>
      <c r="AW519" s="269"/>
      <c r="AX519" s="22"/>
      <c r="AY519" s="308" t="s">
        <v>510</v>
      </c>
      <c r="AZ519" s="309"/>
      <c r="BA519" s="309"/>
      <c r="BB519" s="309"/>
      <c r="BC519" s="309"/>
      <c r="BD519" s="309"/>
      <c r="BE519" s="309"/>
      <c r="BF519" s="309"/>
      <c r="BG519" s="309"/>
      <c r="BH519" s="309"/>
      <c r="BI519" s="309"/>
      <c r="BJ519" s="309"/>
      <c r="BK519" s="309"/>
      <c r="BL519" s="309"/>
      <c r="BM519" s="309"/>
      <c r="BN519" s="309"/>
      <c r="BO519" s="310"/>
      <c r="BP519" s="267"/>
      <c r="BQ519" s="268"/>
      <c r="BR519" s="268"/>
      <c r="BS519" s="268"/>
      <c r="BT519" s="268"/>
      <c r="BU519" s="268"/>
      <c r="BV519" s="268"/>
      <c r="BW519" s="268"/>
      <c r="BX519" s="268"/>
      <c r="BY519" s="269"/>
      <c r="BZ519" s="267"/>
      <c r="CA519" s="268"/>
      <c r="CB519" s="268"/>
      <c r="CC519" s="268"/>
      <c r="CD519" s="268"/>
      <c r="CE519" s="268"/>
      <c r="CF519" s="268"/>
      <c r="CG519" s="268"/>
      <c r="CH519" s="268"/>
      <c r="CI519" s="269"/>
      <c r="CJ519" s="267">
        <f t="shared" si="21"/>
        <v>0</v>
      </c>
      <c r="CK519" s="268"/>
      <c r="CL519" s="268"/>
      <c r="CM519" s="268"/>
      <c r="CN519" s="268"/>
      <c r="CO519" s="268"/>
      <c r="CP519" s="268"/>
      <c r="CQ519" s="268"/>
      <c r="CR519" s="268"/>
      <c r="CS519" s="269"/>
    </row>
    <row r="520" spans="1:104" hidden="1">
      <c r="C520" s="43"/>
      <c r="D520" s="36" t="str">
        <f>IF(AN517=0,C517&amp;" -","")</f>
        <v>UBI -</v>
      </c>
      <c r="E520" s="42"/>
      <c r="F520" s="42"/>
      <c r="G520" s="42"/>
      <c r="H520" s="42"/>
      <c r="I520" s="42"/>
      <c r="J520" s="42"/>
      <c r="K520" s="42"/>
      <c r="L520" s="42"/>
      <c r="M520" s="42"/>
      <c r="N520" s="42"/>
      <c r="O520" s="42"/>
      <c r="P520" s="1"/>
      <c r="Q520" s="42"/>
      <c r="R520" s="41" t="s">
        <v>275</v>
      </c>
      <c r="S520" s="40"/>
      <c r="T520" s="267">
        <f>SUMIFS('Adv. Filter'!$CH$1:$CH$50000,'Adv. Filter'!$CD$1:$CD$50000,"Srinivas",'Adv. Filter'!$CE$1:$CE$50000,$C517,'Adv. Filter'!$CC$1:$CC$50000,"Suspense",'Adv. Filter'!$CF$1:$CF$50000,"Cash")</f>
        <v>0</v>
      </c>
      <c r="U520" s="268"/>
      <c r="V520" s="268"/>
      <c r="W520" s="268"/>
      <c r="X520" s="268"/>
      <c r="Y520" s="268"/>
      <c r="Z520" s="268"/>
      <c r="AA520" s="268"/>
      <c r="AB520" s="268"/>
      <c r="AC520" s="269"/>
      <c r="AD520" s="267">
        <f>SUMIFS('Adv. Filter'!$CH$1:$CH$50000,'Adv. Filter'!$CD$1:$CD$50000,"Srinivas",'Adv. Filter'!$CE$1:$CE$50000,$C517,'Adv. Filter'!$CC$1:$CC$50000,"Suspense",'Adv. Filter'!$CF$1:$CF$50000,"Bank")</f>
        <v>0</v>
      </c>
      <c r="AE520" s="268"/>
      <c r="AF520" s="268"/>
      <c r="AG520" s="268"/>
      <c r="AH520" s="268"/>
      <c r="AI520" s="268"/>
      <c r="AJ520" s="268"/>
      <c r="AK520" s="268"/>
      <c r="AL520" s="268"/>
      <c r="AM520" s="269"/>
      <c r="AN520" s="267">
        <f t="shared" si="20"/>
        <v>0</v>
      </c>
      <c r="AO520" s="268"/>
      <c r="AP520" s="268"/>
      <c r="AQ520" s="268"/>
      <c r="AR520" s="268"/>
      <c r="AS520" s="268"/>
      <c r="AT520" s="268"/>
      <c r="AU520" s="268"/>
      <c r="AV520" s="268"/>
      <c r="AW520" s="269"/>
      <c r="AX520" s="22"/>
      <c r="AY520" s="43"/>
      <c r="AZ520" s="36" t="str">
        <f>IF(CJ517=0,AY517&amp;" -","")</f>
        <v>UBI -</v>
      </c>
      <c r="BA520" s="42"/>
      <c r="BB520" s="42"/>
      <c r="BC520" s="42"/>
      <c r="BD520" s="42"/>
      <c r="BE520" s="42"/>
      <c r="BF520" s="42"/>
      <c r="BG520" s="42"/>
      <c r="BH520" s="42"/>
      <c r="BI520" s="42"/>
      <c r="BJ520" s="42"/>
      <c r="BK520" s="42"/>
      <c r="BL520" s="1"/>
      <c r="BM520" s="42"/>
      <c r="BN520" s="41" t="s">
        <v>275</v>
      </c>
      <c r="BO520" s="40"/>
      <c r="BP520" s="267"/>
      <c r="BQ520" s="268"/>
      <c r="BR520" s="268"/>
      <c r="BS520" s="268"/>
      <c r="BT520" s="268"/>
      <c r="BU520" s="268"/>
      <c r="BV520" s="268"/>
      <c r="BW520" s="268"/>
      <c r="BX520" s="268"/>
      <c r="BY520" s="269"/>
      <c r="BZ520" s="267"/>
      <c r="CA520" s="268"/>
      <c r="CB520" s="268"/>
      <c r="CC520" s="268"/>
      <c r="CD520" s="268"/>
      <c r="CE520" s="268"/>
      <c r="CF520" s="268"/>
      <c r="CG520" s="268"/>
      <c r="CH520" s="268"/>
      <c r="CI520" s="269"/>
      <c r="CJ520" s="267">
        <f t="shared" si="21"/>
        <v>0</v>
      </c>
      <c r="CK520" s="268"/>
      <c r="CL520" s="268"/>
      <c r="CM520" s="268"/>
      <c r="CN520" s="268"/>
      <c r="CO520" s="268"/>
      <c r="CP520" s="268"/>
      <c r="CQ520" s="268"/>
      <c r="CR520" s="268"/>
      <c r="CS520" s="269"/>
    </row>
    <row r="521" spans="1:104" hidden="1">
      <c r="A521" s="44"/>
      <c r="B521" s="44"/>
      <c r="C521" s="293" t="s">
        <v>108</v>
      </c>
      <c r="D521" s="294"/>
      <c r="E521" s="294"/>
      <c r="F521" s="294"/>
      <c r="G521" s="294"/>
      <c r="H521" s="294"/>
      <c r="I521" s="294"/>
      <c r="J521" s="294"/>
      <c r="K521" s="294"/>
      <c r="L521" s="294"/>
      <c r="M521" s="294"/>
      <c r="N521" s="294"/>
      <c r="O521" s="294"/>
      <c r="P521" s="294"/>
      <c r="Q521" s="294"/>
      <c r="R521" s="294"/>
      <c r="S521" s="295"/>
      <c r="T521" s="276">
        <f>SUMIFS('Adv. Filter'!$BJ$1:$BJ$50000,'Adv. Filter'!$BT$1:$BT$50000,"Srinivas",'Adv. Filter'!$BQ$1:$BQ$50000,$C521,'Adv. Filter'!$BH$1:$BH$50000,"Cash",'Adv. Filter'!$BO$1:$BO$50000,'Adv. Filter'!$A$14,'Adv. Filter'!$BO$1:$BO$50000,'Adv. Filter'!$B$14)</f>
        <v>0</v>
      </c>
      <c r="U521" s="277"/>
      <c r="V521" s="277"/>
      <c r="W521" s="277"/>
      <c r="X521" s="277"/>
      <c r="Y521" s="277"/>
      <c r="Z521" s="277"/>
      <c r="AA521" s="277"/>
      <c r="AB521" s="277"/>
      <c r="AC521" s="278"/>
      <c r="AD521" s="276">
        <f>SUMIFS('Adv. Filter'!$BJ$1:$BJ$50000,'Adv. Filter'!$BT$1:$BT$50000,"Srinivas",'Adv. Filter'!$BQ$1:$BQ$50000,$C521,'Adv. Filter'!$BH$1:$BH$50000,"Bank",'Adv. Filter'!$BO$1:$BO$50000,'Adv. Filter'!$A$14,'Adv. Filter'!$BO$1:$BO$50000,'Adv. Filter'!$B$14)</f>
        <v>0</v>
      </c>
      <c r="AE521" s="277"/>
      <c r="AF521" s="277"/>
      <c r="AG521" s="277"/>
      <c r="AH521" s="277"/>
      <c r="AI521" s="277"/>
      <c r="AJ521" s="277"/>
      <c r="AK521" s="277"/>
      <c r="AL521" s="277"/>
      <c r="AM521" s="278"/>
      <c r="AN521" s="276">
        <f t="shared" si="20"/>
        <v>0</v>
      </c>
      <c r="AO521" s="277"/>
      <c r="AP521" s="277"/>
      <c r="AQ521" s="277"/>
      <c r="AR521" s="277"/>
      <c r="AS521" s="277"/>
      <c r="AT521" s="277"/>
      <c r="AU521" s="277"/>
      <c r="AV521" s="277"/>
      <c r="AW521" s="278"/>
      <c r="AX521" s="45"/>
      <c r="AY521" s="293" t="s">
        <v>108</v>
      </c>
      <c r="AZ521" s="294"/>
      <c r="BA521" s="294"/>
      <c r="BB521" s="294"/>
      <c r="BC521" s="294"/>
      <c r="BD521" s="294"/>
      <c r="BE521" s="294"/>
      <c r="BF521" s="294"/>
      <c r="BG521" s="294"/>
      <c r="BH521" s="294"/>
      <c r="BI521" s="294"/>
      <c r="BJ521" s="294"/>
      <c r="BK521" s="294"/>
      <c r="BL521" s="294"/>
      <c r="BM521" s="294"/>
      <c r="BN521" s="294"/>
      <c r="BO521" s="295"/>
      <c r="BP521" s="276">
        <f>SUMIFS('Adv. Filter'!$BJ$1:$BJ$50000,'Adv. Filter'!$BT$1:$BT$50000,"Srinivas",'Adv. Filter'!$BQ$1:$BQ$50000,$AY521,'Adv. Filter'!$BH$1:$BH$50000,"Cash",'Adv. Filter'!$BO$1:$BO$50000,"&lt;"&amp;'Adv. Filter'!$A$15)</f>
        <v>0</v>
      </c>
      <c r="BQ521" s="277"/>
      <c r="BR521" s="277"/>
      <c r="BS521" s="277"/>
      <c r="BT521" s="277"/>
      <c r="BU521" s="277"/>
      <c r="BV521" s="277"/>
      <c r="BW521" s="277"/>
      <c r="BX521" s="277"/>
      <c r="BY521" s="278"/>
      <c r="BZ521" s="276">
        <f>SUMIFS('Adv. Filter'!$BJ$1:$BJ$50000,'Adv. Filter'!$BT$1:$BT$50000,"Srinivas",'Adv. Filter'!$BQ$1:$BQ$50000,$AY521,'Adv. Filter'!$BH$1:$BH$50000,"Bank",'Adv. Filter'!$BO$1:$BO$50000,"&lt;"&amp;'Adv. Filter'!$A$15)</f>
        <v>0</v>
      </c>
      <c r="CA521" s="277"/>
      <c r="CB521" s="277"/>
      <c r="CC521" s="277"/>
      <c r="CD521" s="277"/>
      <c r="CE521" s="277"/>
      <c r="CF521" s="277"/>
      <c r="CG521" s="277"/>
      <c r="CH521" s="277"/>
      <c r="CI521" s="278"/>
      <c r="CJ521" s="276">
        <f t="shared" si="21"/>
        <v>0</v>
      </c>
      <c r="CK521" s="277"/>
      <c r="CL521" s="277"/>
      <c r="CM521" s="277"/>
      <c r="CN521" s="277"/>
      <c r="CO521" s="277"/>
      <c r="CP521" s="277"/>
      <c r="CQ521" s="277"/>
      <c r="CR521" s="277"/>
      <c r="CS521" s="278"/>
      <c r="CT521" s="44"/>
      <c r="CU521" s="44"/>
      <c r="CV521" s="44"/>
      <c r="CW521" s="44"/>
      <c r="CX521" s="44"/>
      <c r="CY521" s="44"/>
      <c r="CZ521" s="44"/>
    </row>
    <row r="522" spans="1:104" hidden="1">
      <c r="C522" s="308" t="s">
        <v>115</v>
      </c>
      <c r="D522" s="309"/>
      <c r="E522" s="309"/>
      <c r="F522" s="309"/>
      <c r="G522" s="309"/>
      <c r="H522" s="309"/>
      <c r="I522" s="309"/>
      <c r="J522" s="309"/>
      <c r="K522" s="309"/>
      <c r="L522" s="309"/>
      <c r="M522" s="309"/>
      <c r="N522" s="309"/>
      <c r="O522" s="309"/>
      <c r="P522" s="309"/>
      <c r="Q522" s="309"/>
      <c r="R522" s="309"/>
      <c r="S522" s="310"/>
      <c r="T522" s="267">
        <f>SUMIFS('Adv. Filter'!$BJ$1:$BJ$50000,'Adv. Filter'!$BT$1:$BT$50000,"Srinivas",'Adv. Filter'!$BQ$1:$BQ$50000,$C521,'Adv. Filter'!$BH$1:$BH$50000,"Cash",'Adv. Filter'!$BO$1:$BO$50000,'Adv. Filter'!$A$14,'Adv. Filter'!$BO$1:$BO$50000,'Adv. Filter'!$B$14,'Adv. Filter'!$BP$1:$BP$50000,"Project")</f>
        <v>0</v>
      </c>
      <c r="U522" s="268"/>
      <c r="V522" s="268"/>
      <c r="W522" s="268"/>
      <c r="X522" s="268"/>
      <c r="Y522" s="268"/>
      <c r="Z522" s="268"/>
      <c r="AA522" s="268"/>
      <c r="AB522" s="268"/>
      <c r="AC522" s="269"/>
      <c r="AD522" s="267">
        <f>SUMIFS('Adv. Filter'!$BJ$1:$BJ$50000,'Adv. Filter'!$BT$1:$BT$50000,"Srinivas",'Adv. Filter'!$BQ$1:$BQ$50000,$C521,'Adv. Filter'!$BH$1:$BH$50000,"Bank",'Adv. Filter'!$BO$1:$BO$50000,'Adv. Filter'!$A$14,'Adv. Filter'!$BO$1:$BO$50000,'Adv. Filter'!$B$14,'Adv. Filter'!$BP$1:$BP$50000,"Project")</f>
        <v>0</v>
      </c>
      <c r="AE522" s="268"/>
      <c r="AF522" s="268"/>
      <c r="AG522" s="268"/>
      <c r="AH522" s="268"/>
      <c r="AI522" s="268"/>
      <c r="AJ522" s="268"/>
      <c r="AK522" s="268"/>
      <c r="AL522" s="268"/>
      <c r="AM522" s="269"/>
      <c r="AN522" s="267">
        <f t="shared" si="20"/>
        <v>0</v>
      </c>
      <c r="AO522" s="268"/>
      <c r="AP522" s="268"/>
      <c r="AQ522" s="268"/>
      <c r="AR522" s="268"/>
      <c r="AS522" s="268"/>
      <c r="AT522" s="268"/>
      <c r="AU522" s="268"/>
      <c r="AV522" s="268"/>
      <c r="AW522" s="269"/>
      <c r="AX522" s="22"/>
      <c r="AY522" s="308" t="s">
        <v>115</v>
      </c>
      <c r="AZ522" s="309"/>
      <c r="BA522" s="309"/>
      <c r="BB522" s="309"/>
      <c r="BC522" s="309"/>
      <c r="BD522" s="309"/>
      <c r="BE522" s="309"/>
      <c r="BF522" s="309"/>
      <c r="BG522" s="309"/>
      <c r="BH522" s="309"/>
      <c r="BI522" s="309"/>
      <c r="BJ522" s="309"/>
      <c r="BK522" s="309"/>
      <c r="BL522" s="309"/>
      <c r="BM522" s="309"/>
      <c r="BN522" s="309"/>
      <c r="BO522" s="310"/>
      <c r="BP522" s="267">
        <f>SUMIFS('Adv. Filter'!$BJ$1:$BJ$50000,'Adv. Filter'!$BT$1:$BT$50000,"Srinivas",'Adv. Filter'!$BQ$1:$BQ$50000,$AY521,'Adv. Filter'!$BH$1:$BH$50000,"Cash",'Adv. Filter'!$BO$1:$BO$50000,"&lt;"&amp;'Adv. Filter'!$A$15,'Adv. Filter'!$BP$1:$BP$50000,"Project")</f>
        <v>0</v>
      </c>
      <c r="BQ522" s="268"/>
      <c r="BR522" s="268"/>
      <c r="BS522" s="268"/>
      <c r="BT522" s="268"/>
      <c r="BU522" s="268"/>
      <c r="BV522" s="268"/>
      <c r="BW522" s="268"/>
      <c r="BX522" s="268"/>
      <c r="BY522" s="269"/>
      <c r="BZ522" s="267">
        <f>SUMIFS('Adv. Filter'!$BJ$1:$BJ$50000,'Adv. Filter'!$BT$1:$BT$50000,"Srinivas",'Adv. Filter'!$BQ$1:$BQ$50000,$AY521,'Adv. Filter'!$BH$1:$BH$50000,"Bank",'Adv. Filter'!$BO$1:$BO$50000,"&lt;"&amp;'Adv. Filter'!$A$15,'Adv. Filter'!$BP$1:$BP$50000,"Project")</f>
        <v>0</v>
      </c>
      <c r="CA522" s="268"/>
      <c r="CB522" s="268"/>
      <c r="CC522" s="268"/>
      <c r="CD522" s="268"/>
      <c r="CE522" s="268"/>
      <c r="CF522" s="268"/>
      <c r="CG522" s="268"/>
      <c r="CH522" s="268"/>
      <c r="CI522" s="269"/>
      <c r="CJ522" s="267">
        <f t="shared" si="21"/>
        <v>0</v>
      </c>
      <c r="CK522" s="268"/>
      <c r="CL522" s="268"/>
      <c r="CM522" s="268"/>
      <c r="CN522" s="268"/>
      <c r="CO522" s="268"/>
      <c r="CP522" s="268"/>
      <c r="CQ522" s="268"/>
      <c r="CR522" s="268"/>
      <c r="CS522" s="269"/>
    </row>
    <row r="523" spans="1:104" hidden="1">
      <c r="C523" s="308" t="s">
        <v>510</v>
      </c>
      <c r="D523" s="309"/>
      <c r="E523" s="309"/>
      <c r="F523" s="309"/>
      <c r="G523" s="309"/>
      <c r="H523" s="309"/>
      <c r="I523" s="309"/>
      <c r="J523" s="309"/>
      <c r="K523" s="309"/>
      <c r="L523" s="309"/>
      <c r="M523" s="309"/>
      <c r="N523" s="309"/>
      <c r="O523" s="309"/>
      <c r="P523" s="309"/>
      <c r="Q523" s="309"/>
      <c r="R523" s="309"/>
      <c r="S523" s="310"/>
      <c r="T523" s="267">
        <v>0</v>
      </c>
      <c r="U523" s="268"/>
      <c r="V523" s="268"/>
      <c r="W523" s="268"/>
      <c r="X523" s="268"/>
      <c r="Y523" s="268"/>
      <c r="Z523" s="268"/>
      <c r="AA523" s="268"/>
      <c r="AB523" s="268"/>
      <c r="AC523" s="269"/>
      <c r="AD523" s="267">
        <v>0</v>
      </c>
      <c r="AE523" s="268"/>
      <c r="AF523" s="268"/>
      <c r="AG523" s="268"/>
      <c r="AH523" s="268"/>
      <c r="AI523" s="268"/>
      <c r="AJ523" s="268"/>
      <c r="AK523" s="268"/>
      <c r="AL523" s="268"/>
      <c r="AM523" s="269"/>
      <c r="AN523" s="267">
        <f t="shared" si="20"/>
        <v>0</v>
      </c>
      <c r="AO523" s="268"/>
      <c r="AP523" s="268"/>
      <c r="AQ523" s="268"/>
      <c r="AR523" s="268"/>
      <c r="AS523" s="268"/>
      <c r="AT523" s="268"/>
      <c r="AU523" s="268"/>
      <c r="AV523" s="268"/>
      <c r="AW523" s="269"/>
      <c r="AX523" s="22"/>
      <c r="AY523" s="308" t="s">
        <v>510</v>
      </c>
      <c r="AZ523" s="309"/>
      <c r="BA523" s="309"/>
      <c r="BB523" s="309"/>
      <c r="BC523" s="309"/>
      <c r="BD523" s="309"/>
      <c r="BE523" s="309"/>
      <c r="BF523" s="309"/>
      <c r="BG523" s="309"/>
      <c r="BH523" s="309"/>
      <c r="BI523" s="309"/>
      <c r="BJ523" s="309"/>
      <c r="BK523" s="309"/>
      <c r="BL523" s="309"/>
      <c r="BM523" s="309"/>
      <c r="BN523" s="309"/>
      <c r="BO523" s="310"/>
      <c r="BP523" s="267"/>
      <c r="BQ523" s="268"/>
      <c r="BR523" s="268"/>
      <c r="BS523" s="268"/>
      <c r="BT523" s="268"/>
      <c r="BU523" s="268"/>
      <c r="BV523" s="268"/>
      <c r="BW523" s="268"/>
      <c r="BX523" s="268"/>
      <c r="BY523" s="269"/>
      <c r="BZ523" s="267"/>
      <c r="CA523" s="268"/>
      <c r="CB523" s="268"/>
      <c r="CC523" s="268"/>
      <c r="CD523" s="268"/>
      <c r="CE523" s="268"/>
      <c r="CF523" s="268"/>
      <c r="CG523" s="268"/>
      <c r="CH523" s="268"/>
      <c r="CI523" s="269"/>
      <c r="CJ523" s="267">
        <f t="shared" si="21"/>
        <v>0</v>
      </c>
      <c r="CK523" s="268"/>
      <c r="CL523" s="268"/>
      <c r="CM523" s="268"/>
      <c r="CN523" s="268"/>
      <c r="CO523" s="268"/>
      <c r="CP523" s="268"/>
      <c r="CQ523" s="268"/>
      <c r="CR523" s="268"/>
      <c r="CS523" s="269"/>
    </row>
    <row r="524" spans="1:104" ht="15.75" hidden="1" thickBot="1">
      <c r="C524" s="43"/>
      <c r="D524" s="36" t="str">
        <f>IF(AN521=0,C521&amp;" -","")</f>
        <v>Vijaya -</v>
      </c>
      <c r="E524" s="42"/>
      <c r="F524" s="42"/>
      <c r="G524" s="42"/>
      <c r="H524" s="42"/>
      <c r="I524" s="42"/>
      <c r="J524" s="42"/>
      <c r="K524" s="42"/>
      <c r="L524" s="42"/>
      <c r="M524" s="42"/>
      <c r="N524" s="42"/>
      <c r="O524" s="42"/>
      <c r="P524" s="1"/>
      <c r="Q524" s="42"/>
      <c r="R524" s="41" t="s">
        <v>275</v>
      </c>
      <c r="S524" s="40"/>
      <c r="T524" s="267">
        <f>SUMIFS('Adv. Filter'!$CH$1:$CH$50000,'Adv. Filter'!$CD$1:$CD$50000,"Srinivas",'Adv. Filter'!$CE$1:$CE$50000,$C521,'Adv. Filter'!$CC$1:$CC$50000,"Suspense",'Adv. Filter'!$CF$1:$CF$50000,"Cash")</f>
        <v>0</v>
      </c>
      <c r="U524" s="268"/>
      <c r="V524" s="268"/>
      <c r="W524" s="268"/>
      <c r="X524" s="268"/>
      <c r="Y524" s="268"/>
      <c r="Z524" s="268"/>
      <c r="AA524" s="268"/>
      <c r="AB524" s="268"/>
      <c r="AC524" s="269"/>
      <c r="AD524" s="267">
        <f>SUMIFS('Adv. Filter'!$CH$1:$CH$50000,'Adv. Filter'!$CD$1:$CD$50000,"Srinivas",'Adv. Filter'!$CE$1:$CE$50000,$C521,'Adv. Filter'!$CC$1:$CC$50000,"Suspense",'Adv. Filter'!$CF$1:$CF$50000,"Bank")</f>
        <v>0</v>
      </c>
      <c r="AE524" s="268"/>
      <c r="AF524" s="268"/>
      <c r="AG524" s="268"/>
      <c r="AH524" s="268"/>
      <c r="AI524" s="268"/>
      <c r="AJ524" s="268"/>
      <c r="AK524" s="268"/>
      <c r="AL524" s="268"/>
      <c r="AM524" s="269"/>
      <c r="AN524" s="267">
        <f t="shared" si="20"/>
        <v>0</v>
      </c>
      <c r="AO524" s="268"/>
      <c r="AP524" s="268"/>
      <c r="AQ524" s="268"/>
      <c r="AR524" s="268"/>
      <c r="AS524" s="268"/>
      <c r="AT524" s="268"/>
      <c r="AU524" s="268"/>
      <c r="AV524" s="268"/>
      <c r="AW524" s="269"/>
      <c r="AX524" s="22"/>
      <c r="AY524" s="43"/>
      <c r="AZ524" s="36" t="str">
        <f>IF(CJ521=0,AY521&amp;" -","")</f>
        <v>Vijaya -</v>
      </c>
      <c r="BA524" s="42"/>
      <c r="BB524" s="42"/>
      <c r="BC524" s="42"/>
      <c r="BD524" s="42"/>
      <c r="BE524" s="42"/>
      <c r="BF524" s="42"/>
      <c r="BG524" s="42"/>
      <c r="BH524" s="42"/>
      <c r="BI524" s="42"/>
      <c r="BJ524" s="42"/>
      <c r="BK524" s="42"/>
      <c r="BL524" s="1"/>
      <c r="BM524" s="42"/>
      <c r="BN524" s="41" t="s">
        <v>275</v>
      </c>
      <c r="BO524" s="40"/>
      <c r="BP524" s="267"/>
      <c r="BQ524" s="268"/>
      <c r="BR524" s="268"/>
      <c r="BS524" s="268"/>
      <c r="BT524" s="268"/>
      <c r="BU524" s="268"/>
      <c r="BV524" s="268"/>
      <c r="BW524" s="268"/>
      <c r="BX524" s="268"/>
      <c r="BY524" s="269"/>
      <c r="BZ524" s="267"/>
      <c r="CA524" s="268"/>
      <c r="CB524" s="268"/>
      <c r="CC524" s="268"/>
      <c r="CD524" s="268"/>
      <c r="CE524" s="268"/>
      <c r="CF524" s="268"/>
      <c r="CG524" s="268"/>
      <c r="CH524" s="268"/>
      <c r="CI524" s="269"/>
      <c r="CJ524" s="267">
        <f t="shared" si="21"/>
        <v>0</v>
      </c>
      <c r="CK524" s="268"/>
      <c r="CL524" s="268"/>
      <c r="CM524" s="268"/>
      <c r="CN524" s="268"/>
      <c r="CO524" s="268"/>
      <c r="CP524" s="268"/>
      <c r="CQ524" s="268"/>
      <c r="CR524" s="268"/>
      <c r="CS524" s="269"/>
    </row>
    <row r="525" spans="1:104" ht="16.5" hidden="1" thickTop="1">
      <c r="C525" s="459" t="s">
        <v>503</v>
      </c>
      <c r="D525" s="459"/>
      <c r="E525" s="459"/>
      <c r="F525" s="459"/>
      <c r="G525" s="459"/>
      <c r="H525" s="459"/>
      <c r="I525" s="459"/>
      <c r="J525" s="459"/>
      <c r="K525" s="459"/>
      <c r="L525" s="459"/>
      <c r="M525" s="459"/>
      <c r="N525" s="459"/>
      <c r="O525" s="459"/>
      <c r="P525" s="459"/>
      <c r="Q525" s="459"/>
      <c r="R525" s="459"/>
      <c r="S525" s="459"/>
      <c r="T525" s="273">
        <f>T458+T462+T466+T470+T474+T478+T482+T486+T490+T493+T497+T501+T505+T509+T513+T517+T521+T461+T465+T469+T473+T477+T481+T485+T489+T496+T500+T504+T508+T512+T516+T520+T524</f>
        <v>53500</v>
      </c>
      <c r="U525" s="274"/>
      <c r="V525" s="274"/>
      <c r="W525" s="274"/>
      <c r="X525" s="274"/>
      <c r="Y525" s="274"/>
      <c r="Z525" s="274"/>
      <c r="AA525" s="274"/>
      <c r="AB525" s="274"/>
      <c r="AC525" s="275"/>
      <c r="AD525" s="273">
        <f>AD458+AD462+AD466+AD470+AD474+AD478+AD482+AD486+AD490+AD493+AD497+AD501+AD505+AD509+AD513+AD517+AD521+AD461+AD465+AD469+AD473+AD477+AD481+AD485+AD489+AD496+AD500+AD504+AD508+AD512+AD516+AD520+AD524</f>
        <v>126420</v>
      </c>
      <c r="AE525" s="274"/>
      <c r="AF525" s="274"/>
      <c r="AG525" s="274"/>
      <c r="AH525" s="274"/>
      <c r="AI525" s="274"/>
      <c r="AJ525" s="274"/>
      <c r="AK525" s="274"/>
      <c r="AL525" s="274"/>
      <c r="AM525" s="275"/>
      <c r="AN525" s="273">
        <f t="shared" si="20"/>
        <v>179920</v>
      </c>
      <c r="AO525" s="274"/>
      <c r="AP525" s="274"/>
      <c r="AQ525" s="274"/>
      <c r="AR525" s="274"/>
      <c r="AS525" s="274"/>
      <c r="AT525" s="274"/>
      <c r="AU525" s="274"/>
      <c r="AV525" s="274"/>
      <c r="AW525" s="275"/>
      <c r="AX525" s="39"/>
      <c r="AY525" s="459" t="s">
        <v>503</v>
      </c>
      <c r="AZ525" s="459"/>
      <c r="BA525" s="459"/>
      <c r="BB525" s="459"/>
      <c r="BC525" s="459"/>
      <c r="BD525" s="459"/>
      <c r="BE525" s="459"/>
      <c r="BF525" s="459"/>
      <c r="BG525" s="459"/>
      <c r="BH525" s="459"/>
      <c r="BI525" s="459"/>
      <c r="BJ525" s="459"/>
      <c r="BK525" s="459"/>
      <c r="BL525" s="459"/>
      <c r="BM525" s="459"/>
      <c r="BN525" s="459"/>
      <c r="BO525" s="459"/>
      <c r="BP525" s="273">
        <f>BP458+BP462+BP466+BP470+BP474+BP478+BP482+BP486+BP490+BP493+BP497+BP501+BP505+BP509+BP513+BP517+BP521</f>
        <v>0</v>
      </c>
      <c r="BQ525" s="274"/>
      <c r="BR525" s="274"/>
      <c r="BS525" s="274"/>
      <c r="BT525" s="274"/>
      <c r="BU525" s="274"/>
      <c r="BV525" s="274"/>
      <c r="BW525" s="274"/>
      <c r="BX525" s="274"/>
      <c r="BY525" s="275"/>
      <c r="BZ525" s="273">
        <f>BZ458+BZ462+BZ466+BZ470+BZ474+BZ478+BZ482+BZ486+BZ490+BZ493+BZ497+BZ501+BZ505+BZ509+BZ513+BZ517+BZ521</f>
        <v>36390</v>
      </c>
      <c r="CA525" s="274"/>
      <c r="CB525" s="274"/>
      <c r="CC525" s="274"/>
      <c r="CD525" s="274"/>
      <c r="CE525" s="274"/>
      <c r="CF525" s="274"/>
      <c r="CG525" s="274"/>
      <c r="CH525" s="274"/>
      <c r="CI525" s="275"/>
      <c r="CJ525" s="273">
        <f t="shared" si="21"/>
        <v>36390</v>
      </c>
      <c r="CK525" s="274"/>
      <c r="CL525" s="274"/>
      <c r="CM525" s="274"/>
      <c r="CN525" s="274"/>
      <c r="CO525" s="274"/>
      <c r="CP525" s="274"/>
      <c r="CQ525" s="274"/>
      <c r="CR525" s="274"/>
      <c r="CS525" s="275"/>
    </row>
    <row r="526" spans="1:104" hidden="1"/>
    <row r="527" spans="1:104" hidden="1">
      <c r="D527"/>
      <c r="E527" s="261" t="s">
        <v>509</v>
      </c>
      <c r="F527" s="262"/>
      <c r="G527" s="262"/>
      <c r="H527" s="262"/>
      <c r="I527" s="262"/>
      <c r="J527" s="262"/>
      <c r="K527" s="262"/>
      <c r="L527" s="262"/>
      <c r="M527" s="262"/>
      <c r="N527" s="262"/>
      <c r="O527" s="262"/>
      <c r="P527" s="262"/>
      <c r="Q527" s="262"/>
      <c r="R527" s="262"/>
      <c r="S527" s="262"/>
      <c r="T527" s="262"/>
      <c r="U527" s="262"/>
      <c r="V527" s="262"/>
      <c r="W527" s="262"/>
      <c r="X527" s="262"/>
      <c r="Y527" s="262"/>
      <c r="Z527" s="262"/>
      <c r="AA527" s="262"/>
      <c r="AB527" s="262"/>
      <c r="AC527" s="262"/>
      <c r="AD527" s="262"/>
      <c r="AE527" s="262"/>
      <c r="AF527" s="262"/>
      <c r="AG527" s="262"/>
      <c r="AH527" s="262"/>
      <c r="AI527" s="262"/>
      <c r="AJ527" s="262"/>
      <c r="AK527" s="262"/>
      <c r="AL527" s="262"/>
      <c r="AM527" s="262"/>
      <c r="AN527" s="262"/>
      <c r="AO527" s="262"/>
      <c r="AP527" s="262"/>
      <c r="AQ527" s="262"/>
      <c r="AR527" s="262"/>
      <c r="AS527" s="262"/>
      <c r="AT527" s="262"/>
      <c r="AU527" s="262"/>
      <c r="AV527" s="262"/>
      <c r="AW527" s="263"/>
      <c r="AY527" s="261" t="s">
        <v>508</v>
      </c>
      <c r="AZ527" s="262"/>
      <c r="BA527" s="262"/>
      <c r="BB527" s="262"/>
      <c r="BC527" s="262"/>
      <c r="BD527" s="262"/>
      <c r="BE527" s="262"/>
      <c r="BF527" s="262"/>
      <c r="BG527" s="262"/>
      <c r="BH527" s="262"/>
      <c r="BI527" s="262"/>
      <c r="BJ527" s="262"/>
      <c r="BK527" s="262"/>
      <c r="BL527" s="262"/>
      <c r="BM527" s="262"/>
      <c r="BN527" s="262"/>
      <c r="BO527" s="262"/>
      <c r="BP527" s="262"/>
      <c r="BQ527" s="262"/>
      <c r="BR527" s="262"/>
      <c r="BS527" s="262"/>
      <c r="BT527" s="262"/>
      <c r="BU527" s="262"/>
      <c r="BV527" s="262"/>
      <c r="BW527" s="262"/>
      <c r="BX527" s="262"/>
      <c r="BY527" s="262"/>
      <c r="BZ527" s="262"/>
      <c r="CA527" s="262"/>
      <c r="CB527" s="262"/>
      <c r="CC527" s="262"/>
      <c r="CD527" s="262"/>
      <c r="CE527" s="262"/>
      <c r="CF527" s="262"/>
      <c r="CG527" s="262"/>
      <c r="CH527" s="262"/>
      <c r="CI527" s="262"/>
      <c r="CJ527" s="262"/>
      <c r="CK527" s="262"/>
      <c r="CL527" s="262"/>
      <c r="CM527" s="262"/>
      <c r="CN527" s="262"/>
      <c r="CO527" s="262"/>
      <c r="CP527" s="262"/>
      <c r="CQ527" s="263"/>
    </row>
    <row r="528" spans="1:104" hidden="1">
      <c r="D528"/>
      <c r="E528" s="231" t="s">
        <v>317</v>
      </c>
      <c r="F528" s="232"/>
      <c r="G528" s="232"/>
      <c r="H528" s="232"/>
      <c r="I528" s="232"/>
      <c r="J528" s="232"/>
      <c r="K528" s="232"/>
      <c r="L528" s="232"/>
      <c r="M528" s="232"/>
      <c r="N528" s="232"/>
      <c r="O528" s="232"/>
      <c r="P528" s="232"/>
      <c r="Q528" s="232"/>
      <c r="R528" s="232"/>
      <c r="S528" s="233"/>
      <c r="T528" s="445" t="s">
        <v>34</v>
      </c>
      <c r="U528" s="446"/>
      <c r="V528" s="446"/>
      <c r="W528" s="446"/>
      <c r="X528" s="446"/>
      <c r="Y528" s="446"/>
      <c r="Z528" s="446"/>
      <c r="AA528" s="446"/>
      <c r="AB528" s="446"/>
      <c r="AC528" s="447"/>
      <c r="AD528" s="445" t="s">
        <v>10</v>
      </c>
      <c r="AE528" s="446"/>
      <c r="AF528" s="446"/>
      <c r="AG528" s="446"/>
      <c r="AH528" s="446"/>
      <c r="AI528" s="446"/>
      <c r="AJ528" s="446"/>
      <c r="AK528" s="446"/>
      <c r="AL528" s="446"/>
      <c r="AM528" s="447"/>
      <c r="AN528" s="445" t="s">
        <v>503</v>
      </c>
      <c r="AO528" s="446"/>
      <c r="AP528" s="446"/>
      <c r="AQ528" s="446"/>
      <c r="AR528" s="446"/>
      <c r="AS528" s="446"/>
      <c r="AT528" s="446"/>
      <c r="AU528" s="446"/>
      <c r="AV528" s="446"/>
      <c r="AW528" s="447"/>
      <c r="AY528" s="231" t="s">
        <v>317</v>
      </c>
      <c r="AZ528" s="232"/>
      <c r="BA528" s="232"/>
      <c r="BB528" s="232"/>
      <c r="BC528" s="232"/>
      <c r="BD528" s="232"/>
      <c r="BE528" s="232"/>
      <c r="BF528" s="232"/>
      <c r="BG528" s="232"/>
      <c r="BH528" s="232"/>
      <c r="BI528" s="232"/>
      <c r="BJ528" s="232"/>
      <c r="BK528" s="232"/>
      <c r="BL528" s="232"/>
      <c r="BM528" s="233"/>
      <c r="BN528" s="445" t="s">
        <v>34</v>
      </c>
      <c r="BO528" s="446"/>
      <c r="BP528" s="446"/>
      <c r="BQ528" s="446"/>
      <c r="BR528" s="446"/>
      <c r="BS528" s="446"/>
      <c r="BT528" s="446"/>
      <c r="BU528" s="446"/>
      <c r="BV528" s="446"/>
      <c r="BW528" s="447"/>
      <c r="BX528" s="445" t="s">
        <v>10</v>
      </c>
      <c r="BY528" s="446"/>
      <c r="BZ528" s="446"/>
      <c r="CA528" s="446"/>
      <c r="CB528" s="446"/>
      <c r="CC528" s="446"/>
      <c r="CD528" s="446"/>
      <c r="CE528" s="446"/>
      <c r="CF528" s="446"/>
      <c r="CG528" s="447"/>
      <c r="CH528" s="445" t="s">
        <v>503</v>
      </c>
      <c r="CI528" s="446"/>
      <c r="CJ528" s="446"/>
      <c r="CK528" s="446"/>
      <c r="CL528" s="446"/>
      <c r="CM528" s="446"/>
      <c r="CN528" s="446"/>
      <c r="CO528" s="446"/>
      <c r="CP528" s="446"/>
      <c r="CQ528" s="447"/>
    </row>
    <row r="529" spans="3:135" hidden="1">
      <c r="D529"/>
      <c r="E529" s="460" t="s">
        <v>495</v>
      </c>
      <c r="F529" s="461"/>
      <c r="G529" s="461"/>
      <c r="H529" s="461"/>
      <c r="I529" s="461"/>
      <c r="J529" s="461"/>
      <c r="K529" s="461"/>
      <c r="L529" s="461"/>
      <c r="M529" s="461"/>
      <c r="N529" s="461"/>
      <c r="O529" s="461"/>
      <c r="P529" s="461"/>
      <c r="Q529" s="461"/>
      <c r="R529" s="461"/>
      <c r="S529" s="462"/>
      <c r="T529" s="304">
        <f>SUMIFS('Adv. Filter'!$CH$1:$CH$50000,'Adv. Filter'!$CD$1:$CD$50000,"Srinivas",'Adv. Filter'!$CB$1:$CB$50000,E529,'Adv. Filter'!$CF$1:$CF$50000,"Cash")</f>
        <v>5500</v>
      </c>
      <c r="U529" s="463"/>
      <c r="V529" s="463"/>
      <c r="W529" s="463"/>
      <c r="X529" s="463"/>
      <c r="Y529" s="463"/>
      <c r="Z529" s="463"/>
      <c r="AA529" s="463"/>
      <c r="AB529" s="463"/>
      <c r="AC529" s="464"/>
      <c r="AD529" s="304">
        <f>SUMIFS('Adv. Filter'!$CH$1:$CH$50000,'Adv. Filter'!$CD$1:$CD$50000,"Srinivas",'Adv. Filter'!$CB$1:$CB$50000,E529,'Adv. Filter'!$CF$1:$CF$50000,"Bank")</f>
        <v>0</v>
      </c>
      <c r="AE529" s="463"/>
      <c r="AF529" s="463"/>
      <c r="AG529" s="463"/>
      <c r="AH529" s="463"/>
      <c r="AI529" s="463"/>
      <c r="AJ529" s="463"/>
      <c r="AK529" s="463"/>
      <c r="AL529" s="463"/>
      <c r="AM529" s="464"/>
      <c r="AN529" s="304">
        <f>T529+AD529</f>
        <v>5500</v>
      </c>
      <c r="AO529" s="463"/>
      <c r="AP529" s="463"/>
      <c r="AQ529" s="463"/>
      <c r="AR529" s="463"/>
      <c r="AS529" s="463"/>
      <c r="AT529" s="463"/>
      <c r="AU529" s="463"/>
      <c r="AV529" s="463"/>
      <c r="AW529" s="464"/>
      <c r="AY529" s="465" t="s">
        <v>507</v>
      </c>
      <c r="AZ529" s="466"/>
      <c r="BA529" s="466"/>
      <c r="BB529" s="466"/>
      <c r="BC529" s="466"/>
      <c r="BD529" s="466"/>
      <c r="BE529" s="466"/>
      <c r="BF529" s="466"/>
      <c r="BG529" s="466"/>
      <c r="BH529" s="466"/>
      <c r="BI529" s="466"/>
      <c r="BJ529" s="466"/>
      <c r="BK529" s="466"/>
      <c r="BL529" s="466"/>
      <c r="BM529" s="467"/>
      <c r="BN529" s="304">
        <f>T525</f>
        <v>53500</v>
      </c>
      <c r="BO529" s="463"/>
      <c r="BP529" s="463"/>
      <c r="BQ529" s="463"/>
      <c r="BR529" s="463"/>
      <c r="BS529" s="463"/>
      <c r="BT529" s="463"/>
      <c r="BU529" s="463"/>
      <c r="BV529" s="463"/>
      <c r="BW529" s="464"/>
      <c r="BX529" s="304">
        <f>AD525</f>
        <v>126420</v>
      </c>
      <c r="BY529" s="463"/>
      <c r="BZ529" s="463"/>
      <c r="CA529" s="463"/>
      <c r="CB529" s="463"/>
      <c r="CC529" s="463"/>
      <c r="CD529" s="463"/>
      <c r="CE529" s="463"/>
      <c r="CF529" s="463"/>
      <c r="CG529" s="464"/>
      <c r="CH529" s="304">
        <f>BN529+BX529</f>
        <v>179920</v>
      </c>
      <c r="CI529" s="463"/>
      <c r="CJ529" s="463"/>
      <c r="CK529" s="463"/>
      <c r="CL529" s="463"/>
      <c r="CM529" s="463"/>
      <c r="CN529" s="463"/>
      <c r="CO529" s="463"/>
      <c r="CP529" s="463"/>
      <c r="CQ529" s="464"/>
    </row>
    <row r="530" spans="3:135" hidden="1">
      <c r="D530"/>
      <c r="E530" s="264" t="s">
        <v>496</v>
      </c>
      <c r="F530" s="265"/>
      <c r="G530" s="265"/>
      <c r="H530" s="265"/>
      <c r="I530" s="265"/>
      <c r="J530" s="265"/>
      <c r="K530" s="265"/>
      <c r="L530" s="265"/>
      <c r="M530" s="265"/>
      <c r="N530" s="265"/>
      <c r="O530" s="265"/>
      <c r="P530" s="265"/>
      <c r="Q530" s="265"/>
      <c r="R530" s="265"/>
      <c r="S530" s="266"/>
      <c r="T530" s="267">
        <f>SUMIFS('Adv. Filter'!$CH$1:$CH$50000,'Adv. Filter'!$CD$1:$CD$50000,"Srinivas",'Adv. Filter'!$CB$1:$CB$50000,E530,'Adv. Filter'!$CF$1:$CF$50000,"Cash")</f>
        <v>0</v>
      </c>
      <c r="U530" s="268"/>
      <c r="V530" s="268"/>
      <c r="W530" s="268"/>
      <c r="X530" s="268"/>
      <c r="Y530" s="268"/>
      <c r="Z530" s="268"/>
      <c r="AA530" s="268"/>
      <c r="AB530" s="268"/>
      <c r="AC530" s="269"/>
      <c r="AD530" s="267">
        <f>SUMIFS('Adv. Filter'!$CH$1:$CH$50000,'Adv. Filter'!$CD$1:$CD$50000,"Srinivas",'Adv. Filter'!$CB$1:$CB$50000,E530,'Adv. Filter'!$CF$1:$CF$50000,"Bank")</f>
        <v>0</v>
      </c>
      <c r="AE530" s="268"/>
      <c r="AF530" s="268"/>
      <c r="AG530" s="268"/>
      <c r="AH530" s="268"/>
      <c r="AI530" s="268"/>
      <c r="AJ530" s="268"/>
      <c r="AK530" s="268"/>
      <c r="AL530" s="268"/>
      <c r="AM530" s="269"/>
      <c r="AN530" s="267">
        <f>T530+AD530</f>
        <v>0</v>
      </c>
      <c r="AO530" s="268"/>
      <c r="AP530" s="268"/>
      <c r="AQ530" s="268"/>
      <c r="AR530" s="268"/>
      <c r="AS530" s="268"/>
      <c r="AT530" s="268"/>
      <c r="AU530" s="268"/>
      <c r="AV530" s="268"/>
      <c r="AW530" s="269"/>
      <c r="AY530" s="468" t="s">
        <v>506</v>
      </c>
      <c r="AZ530" s="469"/>
      <c r="BA530" s="469"/>
      <c r="BB530" s="469"/>
      <c r="BC530" s="469"/>
      <c r="BD530" s="469"/>
      <c r="BE530" s="469"/>
      <c r="BF530" s="469"/>
      <c r="BG530" s="469"/>
      <c r="BH530" s="469"/>
      <c r="BI530" s="469"/>
      <c r="BJ530" s="469"/>
      <c r="BK530" s="469"/>
      <c r="BL530" s="469"/>
      <c r="BM530" s="470"/>
      <c r="BN530" s="267">
        <f>BP525</f>
        <v>0</v>
      </c>
      <c r="BO530" s="268"/>
      <c r="BP530" s="268"/>
      <c r="BQ530" s="268"/>
      <c r="BR530" s="268"/>
      <c r="BS530" s="268"/>
      <c r="BT530" s="268"/>
      <c r="BU530" s="268"/>
      <c r="BV530" s="268"/>
      <c r="BW530" s="269"/>
      <c r="BX530" s="267">
        <f>BZ525</f>
        <v>36390</v>
      </c>
      <c r="BY530" s="268"/>
      <c r="BZ530" s="268"/>
      <c r="CA530" s="268"/>
      <c r="CB530" s="268"/>
      <c r="CC530" s="268"/>
      <c r="CD530" s="268"/>
      <c r="CE530" s="268"/>
      <c r="CF530" s="268"/>
      <c r="CG530" s="269"/>
      <c r="CH530" s="267">
        <f>BN530+BX530</f>
        <v>36390</v>
      </c>
      <c r="CI530" s="268"/>
      <c r="CJ530" s="268"/>
      <c r="CK530" s="268"/>
      <c r="CL530" s="268"/>
      <c r="CM530" s="268"/>
      <c r="CN530" s="268"/>
      <c r="CO530" s="268"/>
      <c r="CP530" s="268"/>
      <c r="CQ530" s="269"/>
    </row>
    <row r="531" spans="3:135" hidden="1">
      <c r="D531"/>
      <c r="E531" s="264" t="s">
        <v>505</v>
      </c>
      <c r="F531" s="265"/>
      <c r="G531" s="265"/>
      <c r="H531" s="265"/>
      <c r="I531" s="265"/>
      <c r="J531" s="265"/>
      <c r="K531" s="265"/>
      <c r="L531" s="265"/>
      <c r="M531" s="265"/>
      <c r="N531" s="265"/>
      <c r="O531" s="265"/>
      <c r="P531" s="265"/>
      <c r="Q531" s="265"/>
      <c r="R531" s="265"/>
      <c r="S531" s="266"/>
      <c r="T531" s="267">
        <f>SUMIFS('Adv. Filter'!$CH$1:$CH$50000,'Adv. Filter'!$CD$1:$CD$50000,"Srinivas",'Adv. Filter'!$CB$1:$CB$50000,E531,'Adv. Filter'!$CF$1:$CF$50000,"Cash")</f>
        <v>0</v>
      </c>
      <c r="U531" s="268"/>
      <c r="V531" s="268"/>
      <c r="W531" s="268"/>
      <c r="X531" s="268"/>
      <c r="Y531" s="268"/>
      <c r="Z531" s="268"/>
      <c r="AA531" s="268"/>
      <c r="AB531" s="268"/>
      <c r="AC531" s="269"/>
      <c r="AD531" s="267">
        <f>SUMIFS('Adv. Filter'!$CH$1:$CH$50000,'Adv. Filter'!$CD$1:$CD$50000,"Srinivas",'Adv. Filter'!$CB$1:$CB$50000,E531,'Adv. Filter'!$CF$1:$CF$50000,"Bank")</f>
        <v>0</v>
      </c>
      <c r="AE531" s="268"/>
      <c r="AF531" s="268"/>
      <c r="AG531" s="268"/>
      <c r="AH531" s="268"/>
      <c r="AI531" s="268"/>
      <c r="AJ531" s="268"/>
      <c r="AK531" s="268"/>
      <c r="AL531" s="268"/>
      <c r="AM531" s="269"/>
      <c r="AN531" s="267">
        <f>T531+AD531</f>
        <v>0</v>
      </c>
      <c r="AO531" s="268"/>
      <c r="AP531" s="268"/>
      <c r="AQ531" s="268"/>
      <c r="AR531" s="268"/>
      <c r="AS531" s="268"/>
      <c r="AT531" s="268"/>
      <c r="AU531" s="268"/>
      <c r="AV531" s="268"/>
      <c r="AW531" s="269"/>
      <c r="AY531" s="270"/>
      <c r="AZ531" s="271"/>
      <c r="BA531" s="271"/>
      <c r="BB531" s="271"/>
      <c r="BC531" s="271"/>
      <c r="BD531" s="271"/>
      <c r="BE531" s="271"/>
      <c r="BF531" s="271"/>
      <c r="BG531" s="271"/>
      <c r="BH531" s="271"/>
      <c r="BI531" s="271"/>
      <c r="BJ531" s="271"/>
      <c r="BK531" s="271"/>
      <c r="BL531" s="271"/>
      <c r="BM531" s="272"/>
      <c r="BN531" s="267"/>
      <c r="BO531" s="268"/>
      <c r="BP531" s="268"/>
      <c r="BQ531" s="268"/>
      <c r="BR531" s="268"/>
      <c r="BS531" s="268"/>
      <c r="BT531" s="268"/>
      <c r="BU531" s="268"/>
      <c r="BV531" s="268"/>
      <c r="BW531" s="269"/>
      <c r="BX531" s="267"/>
      <c r="BY531" s="268"/>
      <c r="BZ531" s="268"/>
      <c r="CA531" s="268"/>
      <c r="CB531" s="268"/>
      <c r="CC531" s="268"/>
      <c r="CD531" s="268"/>
      <c r="CE531" s="268"/>
      <c r="CF531" s="268"/>
      <c r="CG531" s="269"/>
      <c r="CH531" s="267"/>
      <c r="CI531" s="268"/>
      <c r="CJ531" s="268"/>
      <c r="CK531" s="268"/>
      <c r="CL531" s="268"/>
      <c r="CM531" s="268"/>
      <c r="CN531" s="268"/>
      <c r="CO531" s="268"/>
      <c r="CP531" s="268"/>
      <c r="CQ531" s="269"/>
    </row>
    <row r="532" spans="3:135" ht="15.75" hidden="1" thickBot="1">
      <c r="D532"/>
      <c r="E532" s="285" t="s">
        <v>504</v>
      </c>
      <c r="F532" s="286"/>
      <c r="G532" s="286"/>
      <c r="H532" s="286"/>
      <c r="I532" s="286"/>
      <c r="J532" s="286"/>
      <c r="K532" s="286"/>
      <c r="L532" s="286"/>
      <c r="M532" s="286"/>
      <c r="N532" s="286"/>
      <c r="O532" s="286"/>
      <c r="P532" s="286"/>
      <c r="Q532" s="286"/>
      <c r="R532" s="286"/>
      <c r="S532" s="287"/>
      <c r="T532" s="252">
        <f>SUMIFS('Adv. Filter'!$CH$1:$CH$50000,'Adv. Filter'!$CD$1:$CD$50000,"Srinivas",'Adv. Filter'!$CB$1:$CB$50000,E532,'Adv. Filter'!$CF$1:$CF$50000,"Cash")</f>
        <v>1600</v>
      </c>
      <c r="U532" s="253"/>
      <c r="V532" s="253"/>
      <c r="W532" s="253"/>
      <c r="X532" s="253"/>
      <c r="Y532" s="253"/>
      <c r="Z532" s="253"/>
      <c r="AA532" s="253"/>
      <c r="AB532" s="253"/>
      <c r="AC532" s="254"/>
      <c r="AD532" s="252">
        <f>SUMIFS('Adv. Filter'!$CH$1:$CH$50000,'Adv. Filter'!$CD$1:$CD$50000,"Srinivas",'Adv. Filter'!$CB$1:$CB$50000,E532,'Adv. Filter'!$CF$1:$CF$50000,"Bank")</f>
        <v>0</v>
      </c>
      <c r="AE532" s="253"/>
      <c r="AF532" s="253"/>
      <c r="AG532" s="253"/>
      <c r="AH532" s="253"/>
      <c r="AI532" s="253"/>
      <c r="AJ532" s="253"/>
      <c r="AK532" s="253"/>
      <c r="AL532" s="253"/>
      <c r="AM532" s="254"/>
      <c r="AN532" s="252">
        <f>T532+AD532</f>
        <v>1600</v>
      </c>
      <c r="AO532" s="253"/>
      <c r="AP532" s="253"/>
      <c r="AQ532" s="253"/>
      <c r="AR532" s="253"/>
      <c r="AS532" s="253"/>
      <c r="AT532" s="253"/>
      <c r="AU532" s="253"/>
      <c r="AV532" s="253"/>
      <c r="AW532" s="254"/>
      <c r="AY532" s="255" t="s">
        <v>329</v>
      </c>
      <c r="AZ532" s="256"/>
      <c r="BA532" s="256"/>
      <c r="BB532" s="256"/>
      <c r="BC532" s="256"/>
      <c r="BD532" s="256"/>
      <c r="BE532" s="256"/>
      <c r="BF532" s="256"/>
      <c r="BG532" s="256"/>
      <c r="BH532" s="256"/>
      <c r="BI532" s="256"/>
      <c r="BJ532" s="256"/>
      <c r="BK532" s="256"/>
      <c r="BL532" s="256"/>
      <c r="BM532" s="257"/>
      <c r="BN532" s="252">
        <f>SUMIFS('Adv. Filter'!$CH$1:$CH$50000,'Adv. Filter'!$CD$1:$CD$50000,"Srinivas",'Adv. Filter'!$CC$1:$CC$50000,"TDS",'Adv. Filter'!$CF$1:$CF$50000,"Cash")</f>
        <v>0</v>
      </c>
      <c r="BO532" s="253"/>
      <c r="BP532" s="253"/>
      <c r="BQ532" s="253"/>
      <c r="BR532" s="253"/>
      <c r="BS532" s="253"/>
      <c r="BT532" s="253"/>
      <c r="BU532" s="253"/>
      <c r="BV532" s="253"/>
      <c r="BW532" s="254"/>
      <c r="BX532" s="252">
        <f>SUMIFS('Adv. Filter'!$CH$1:$CH$50000,'Adv. Filter'!$CD$1:$CD$50000,"Srinivas",'Adv. Filter'!$CC$1:$CC$50000,"TDS",'Adv. Filter'!$CF$1:$CF$50000,"Bank")</f>
        <v>8275</v>
      </c>
      <c r="BY532" s="253"/>
      <c r="BZ532" s="253"/>
      <c r="CA532" s="253"/>
      <c r="CB532" s="253"/>
      <c r="CC532" s="253"/>
      <c r="CD532" s="253"/>
      <c r="CE532" s="253"/>
      <c r="CF532" s="253"/>
      <c r="CG532" s="254"/>
      <c r="CH532" s="252">
        <f>BN532+BX532</f>
        <v>8275</v>
      </c>
      <c r="CI532" s="253"/>
      <c r="CJ532" s="253"/>
      <c r="CK532" s="253"/>
      <c r="CL532" s="253"/>
      <c r="CM532" s="253"/>
      <c r="CN532" s="253"/>
      <c r="CO532" s="253"/>
      <c r="CP532" s="253"/>
      <c r="CQ532" s="254"/>
    </row>
    <row r="533" spans="3:135" ht="16.5" hidden="1" thickTop="1">
      <c r="D533"/>
      <c r="E533" s="279" t="s">
        <v>503</v>
      </c>
      <c r="F533" s="280"/>
      <c r="G533" s="280"/>
      <c r="H533" s="280"/>
      <c r="I533" s="280"/>
      <c r="J533" s="280"/>
      <c r="K533" s="280"/>
      <c r="L533" s="280"/>
      <c r="M533" s="280"/>
      <c r="N533" s="280"/>
      <c r="O533" s="280"/>
      <c r="P533" s="280"/>
      <c r="Q533" s="280"/>
      <c r="R533" s="280"/>
      <c r="S533" s="281"/>
      <c r="T533" s="258">
        <f>SUM(T529:AC532)</f>
        <v>7100</v>
      </c>
      <c r="U533" s="259"/>
      <c r="V533" s="259"/>
      <c r="W533" s="259"/>
      <c r="X533" s="259"/>
      <c r="Y533" s="259"/>
      <c r="Z533" s="259"/>
      <c r="AA533" s="259"/>
      <c r="AB533" s="259"/>
      <c r="AC533" s="260"/>
      <c r="AD533" s="258">
        <f>SUM(AD529:AM532)</f>
        <v>0</v>
      </c>
      <c r="AE533" s="259"/>
      <c r="AF533" s="259"/>
      <c r="AG533" s="259"/>
      <c r="AH533" s="259"/>
      <c r="AI533" s="259"/>
      <c r="AJ533" s="259"/>
      <c r="AK533" s="259"/>
      <c r="AL533" s="259"/>
      <c r="AM533" s="260"/>
      <c r="AN533" s="258">
        <f>T533+AD533</f>
        <v>7100</v>
      </c>
      <c r="AO533" s="259"/>
      <c r="AP533" s="259"/>
      <c r="AQ533" s="259"/>
      <c r="AR533" s="259"/>
      <c r="AS533" s="259"/>
      <c r="AT533" s="259"/>
      <c r="AU533" s="259"/>
      <c r="AV533" s="259"/>
      <c r="AW533" s="260"/>
      <c r="AX533" s="37"/>
      <c r="AY533" s="279" t="s">
        <v>503</v>
      </c>
      <c r="AZ533" s="280"/>
      <c r="BA533" s="280"/>
      <c r="BB533" s="280"/>
      <c r="BC533" s="280"/>
      <c r="BD533" s="280"/>
      <c r="BE533" s="280"/>
      <c r="BF533" s="280"/>
      <c r="BG533" s="280"/>
      <c r="BH533" s="280"/>
      <c r="BI533" s="280"/>
      <c r="BJ533" s="280"/>
      <c r="BK533" s="280"/>
      <c r="BL533" s="280"/>
      <c r="BM533" s="281"/>
      <c r="BN533" s="258">
        <f>SUM(BN529:BW532)</f>
        <v>53500</v>
      </c>
      <c r="BO533" s="259"/>
      <c r="BP533" s="259"/>
      <c r="BQ533" s="259"/>
      <c r="BR533" s="259"/>
      <c r="BS533" s="259"/>
      <c r="BT533" s="259"/>
      <c r="BU533" s="259"/>
      <c r="BV533" s="259"/>
      <c r="BW533" s="260"/>
      <c r="BX533" s="258">
        <f>SUM(BX529:CG532)</f>
        <v>171085</v>
      </c>
      <c r="BY533" s="259"/>
      <c r="BZ533" s="259"/>
      <c r="CA533" s="259"/>
      <c r="CB533" s="259"/>
      <c r="CC533" s="259"/>
      <c r="CD533" s="259"/>
      <c r="CE533" s="259"/>
      <c r="CF533" s="259"/>
      <c r="CG533" s="260"/>
      <c r="CH533" s="258">
        <f>BN533+BX533</f>
        <v>224585</v>
      </c>
      <c r="CI533" s="259"/>
      <c r="CJ533" s="259"/>
      <c r="CK533" s="259"/>
      <c r="CL533" s="259"/>
      <c r="CM533" s="259"/>
      <c r="CN533" s="259"/>
      <c r="CO533" s="259"/>
      <c r="CP533" s="259"/>
      <c r="CQ533" s="260"/>
    </row>
    <row r="534" spans="3:135" hidden="1">
      <c r="D534"/>
    </row>
    <row r="535" spans="3:135" ht="15.75" hidden="1">
      <c r="C535" s="453" t="str">
        <f>CONCATENATE("PRESENT FORMS    ",TEXT('Adv. Filter'!$A$15,"( DD-MMM-YY"), " TO ",TEXT('Adv. Filter'!$B$15,"DD-MMM-YY )"))</f>
        <v>PRESENT FORMS    ( 01-Jan-17 TO 13-Oct-17 )</v>
      </c>
      <c r="D535" s="454"/>
      <c r="E535" s="454"/>
      <c r="F535" s="454"/>
      <c r="G535" s="454"/>
      <c r="H535" s="454"/>
      <c r="I535" s="454"/>
      <c r="J535" s="454"/>
      <c r="K535" s="454"/>
      <c r="L535" s="454"/>
      <c r="M535" s="454"/>
      <c r="N535" s="454"/>
      <c r="O535" s="454"/>
      <c r="P535" s="454"/>
      <c r="Q535" s="454"/>
      <c r="R535" s="454"/>
      <c r="S535" s="454"/>
      <c r="T535" s="454"/>
      <c r="U535" s="454"/>
      <c r="V535" s="454"/>
      <c r="W535" s="454"/>
      <c r="X535" s="454"/>
      <c r="Y535" s="454"/>
      <c r="Z535" s="454"/>
      <c r="AA535" s="454"/>
      <c r="AB535" s="454"/>
      <c r="AC535" s="454"/>
      <c r="AD535" s="454"/>
      <c r="AE535" s="454"/>
      <c r="AF535" s="454"/>
      <c r="AG535" s="454"/>
      <c r="AH535" s="454"/>
      <c r="AI535" s="454"/>
      <c r="AJ535" s="454"/>
      <c r="AK535" s="454"/>
      <c r="AL535" s="454"/>
      <c r="AM535" s="454"/>
      <c r="AN535" s="454"/>
      <c r="AO535" s="454"/>
      <c r="AP535" s="454"/>
      <c r="AQ535" s="454"/>
      <c r="AR535" s="454"/>
      <c r="AS535" s="454"/>
      <c r="AT535" s="454"/>
      <c r="AU535" s="454"/>
      <c r="AV535" s="454"/>
      <c r="AW535" s="454"/>
      <c r="AX535" s="454"/>
      <c r="AY535" s="454"/>
      <c r="AZ535" s="454"/>
      <c r="BA535" s="454"/>
      <c r="BB535" s="454"/>
      <c r="BC535" s="454"/>
      <c r="BD535" s="454"/>
      <c r="BE535" s="454"/>
      <c r="BF535" s="454"/>
      <c r="BG535" s="454"/>
      <c r="BH535" s="454"/>
      <c r="BI535" s="454"/>
      <c r="BJ535" s="454"/>
      <c r="BK535" s="454"/>
      <c r="BL535" s="454"/>
      <c r="BM535" s="454"/>
      <c r="BN535" s="454"/>
      <c r="BO535" s="454"/>
      <c r="BP535" s="454"/>
      <c r="BQ535" s="454"/>
      <c r="BR535" s="454"/>
      <c r="BS535" s="454"/>
      <c r="BT535" s="454"/>
      <c r="BU535" s="454"/>
      <c r="BV535" s="454"/>
      <c r="BW535" s="454"/>
      <c r="BX535" s="454"/>
      <c r="BY535" s="454"/>
      <c r="BZ535" s="454"/>
      <c r="CA535" s="454"/>
      <c r="CB535" s="454"/>
      <c r="CC535" s="454"/>
      <c r="CD535" s="454"/>
      <c r="CE535" s="454"/>
      <c r="CF535" s="454"/>
      <c r="CG535" s="454"/>
      <c r="CH535" s="454"/>
      <c r="CI535" s="454"/>
      <c r="CJ535" s="454"/>
      <c r="CK535" s="454"/>
      <c r="CL535" s="454"/>
      <c r="CM535" s="454"/>
      <c r="CN535" s="454"/>
      <c r="CO535" s="454"/>
      <c r="CP535" s="454"/>
      <c r="CQ535" s="454"/>
      <c r="CR535" s="454"/>
      <c r="CS535" s="454"/>
      <c r="CT535" s="454"/>
      <c r="CU535" s="454"/>
      <c r="CV535" s="454"/>
      <c r="CW535" s="454"/>
      <c r="CX535" s="454"/>
      <c r="CY535" s="454"/>
      <c r="CZ535" s="454"/>
      <c r="DA535" s="454"/>
      <c r="DB535" s="454"/>
      <c r="DC535" s="454"/>
      <c r="DD535" s="454"/>
      <c r="DE535" s="454"/>
      <c r="DF535" s="454"/>
      <c r="DG535" s="454"/>
      <c r="DH535" s="454"/>
      <c r="DI535" s="454"/>
      <c r="DJ535" s="454"/>
      <c r="DK535" s="454"/>
      <c r="DL535" s="454"/>
      <c r="DM535" s="454"/>
      <c r="DN535" s="454"/>
      <c r="DO535" s="454"/>
      <c r="DP535" s="454"/>
      <c r="DQ535" s="454"/>
      <c r="DR535" s="454"/>
      <c r="DS535" s="454"/>
      <c r="DT535" s="454"/>
      <c r="DU535" s="454"/>
      <c r="DV535" s="454"/>
      <c r="DW535" s="454"/>
      <c r="DX535" s="454"/>
      <c r="DY535" s="454"/>
      <c r="DZ535" s="454"/>
      <c r="EA535" s="454"/>
      <c r="EB535" s="454"/>
      <c r="EC535" s="454"/>
      <c r="ED535" s="454"/>
      <c r="EE535" s="455"/>
    </row>
    <row r="536" spans="3:135" hidden="1">
      <c r="C536" s="478" t="s">
        <v>513</v>
      </c>
      <c r="D536" s="478"/>
      <c r="E536" s="478"/>
      <c r="F536" s="478"/>
      <c r="G536" s="478"/>
      <c r="H536" s="478"/>
      <c r="I536" s="478"/>
      <c r="J536" s="478"/>
      <c r="K536" s="478"/>
      <c r="L536" s="478"/>
      <c r="M536" s="478"/>
      <c r="N536" s="478"/>
      <c r="O536" s="209" t="s">
        <v>117</v>
      </c>
      <c r="P536" s="209"/>
      <c r="Q536" s="209"/>
      <c r="R536" s="209"/>
      <c r="S536" s="209"/>
      <c r="T536" s="209"/>
      <c r="U536" s="209"/>
      <c r="V536" s="100"/>
      <c r="W536" s="231" t="s">
        <v>511</v>
      </c>
      <c r="X536" s="232"/>
      <c r="Y536" s="232"/>
      <c r="Z536" s="232"/>
      <c r="AA536" s="232"/>
      <c r="AB536" s="232"/>
      <c r="AC536" s="232"/>
      <c r="AD536" s="232"/>
      <c r="AE536" s="232"/>
      <c r="AF536" s="232"/>
      <c r="AG536" s="232"/>
      <c r="AH536" s="232"/>
      <c r="AI536" s="232"/>
      <c r="AJ536" s="232"/>
      <c r="AK536" s="232"/>
      <c r="AL536" s="232"/>
      <c r="AM536" s="232"/>
      <c r="AN536" s="232"/>
      <c r="AO536" s="232"/>
      <c r="AP536" s="232"/>
      <c r="AQ536" s="232"/>
      <c r="AR536" s="232"/>
      <c r="AS536" s="232"/>
      <c r="AT536" s="232"/>
      <c r="AU536" s="232"/>
      <c r="AV536" s="232"/>
      <c r="AW536" s="232"/>
      <c r="AX536" s="232"/>
      <c r="AY536" s="232"/>
      <c r="AZ536" s="232"/>
      <c r="BA536" s="232"/>
      <c r="BB536" s="232"/>
      <c r="BC536" s="232"/>
      <c r="BD536" s="232"/>
      <c r="BE536" s="232"/>
      <c r="BF536" s="232"/>
      <c r="BG536" s="232"/>
      <c r="BH536" s="232"/>
      <c r="BI536" s="232"/>
      <c r="BJ536" s="232"/>
      <c r="BK536" s="232"/>
      <c r="BL536" s="232"/>
      <c r="BM536" s="232"/>
      <c r="BN536" s="232"/>
      <c r="BO536" s="232"/>
      <c r="BP536" s="232"/>
      <c r="BQ536" s="232"/>
      <c r="BR536" s="232"/>
      <c r="BS536" s="233"/>
      <c r="BT536" s="100"/>
      <c r="BU536" s="231" t="s">
        <v>571</v>
      </c>
      <c r="BV536" s="232"/>
      <c r="BW536" s="232"/>
      <c r="BX536" s="232"/>
      <c r="BY536" s="232"/>
      <c r="BZ536" s="232"/>
      <c r="CA536" s="232"/>
      <c r="CB536" s="232"/>
      <c r="CC536" s="232"/>
      <c r="CD536" s="232"/>
      <c r="CE536" s="232"/>
      <c r="CF536" s="232"/>
      <c r="CG536" s="232"/>
      <c r="CH536" s="232"/>
      <c r="CI536" s="232"/>
      <c r="CJ536" s="232"/>
      <c r="CK536" s="232"/>
      <c r="CL536" s="232"/>
      <c r="CM536" s="232"/>
      <c r="CN536" s="232"/>
      <c r="CO536" s="232"/>
      <c r="CP536" s="232"/>
      <c r="CQ536" s="232"/>
      <c r="CR536" s="232"/>
      <c r="CS536" s="232"/>
      <c r="CT536" s="232"/>
      <c r="CU536" s="232"/>
      <c r="CV536" s="232"/>
      <c r="CW536" s="232"/>
      <c r="CX536" s="232"/>
      <c r="CY536" s="232"/>
      <c r="CZ536" s="232"/>
      <c r="DA536" s="232"/>
      <c r="DB536" s="232"/>
      <c r="DC536" s="232"/>
      <c r="DD536" s="232"/>
      <c r="DE536" s="232"/>
      <c r="DF536" s="232"/>
      <c r="DG536" s="232"/>
      <c r="DH536" s="232"/>
      <c r="DI536" s="232"/>
      <c r="DJ536" s="232"/>
      <c r="DK536" s="232"/>
      <c r="DL536" s="232"/>
      <c r="DM536" s="232"/>
      <c r="DN536" s="232"/>
      <c r="DO536" s="232"/>
      <c r="DP536" s="232"/>
      <c r="DQ536" s="232"/>
      <c r="DR536" s="232"/>
      <c r="DS536" s="232"/>
      <c r="DT536" s="232"/>
      <c r="DU536" s="232"/>
      <c r="DV536" s="232"/>
      <c r="DW536" s="232"/>
      <c r="DX536" s="232"/>
      <c r="DY536" s="232"/>
      <c r="DZ536" s="232"/>
      <c r="EA536" s="232"/>
      <c r="EB536" s="232"/>
      <c r="EC536" s="232"/>
      <c r="ED536" s="232"/>
      <c r="EE536" s="233"/>
    </row>
    <row r="537" spans="3:135" hidden="1">
      <c r="C537" s="478"/>
      <c r="D537" s="478"/>
      <c r="E537" s="478"/>
      <c r="F537" s="478"/>
      <c r="G537" s="478"/>
      <c r="H537" s="478"/>
      <c r="I537" s="478"/>
      <c r="J537" s="478"/>
      <c r="K537" s="478"/>
      <c r="L537" s="478"/>
      <c r="M537" s="478"/>
      <c r="N537" s="478"/>
      <c r="O537" s="208" t="s">
        <v>569</v>
      </c>
      <c r="P537" s="208"/>
      <c r="Q537" s="208"/>
      <c r="R537" s="208"/>
      <c r="S537" s="208"/>
      <c r="T537" s="208"/>
      <c r="U537" s="208"/>
      <c r="V537" s="100"/>
      <c r="W537" s="250" t="s">
        <v>511</v>
      </c>
      <c r="X537" s="251"/>
      <c r="Y537" s="251"/>
      <c r="Z537" s="251"/>
      <c r="AA537" s="251"/>
      <c r="AB537" s="251"/>
      <c r="AC537" s="245"/>
      <c r="AD537" s="250" t="s">
        <v>493</v>
      </c>
      <c r="AE537" s="251"/>
      <c r="AF537" s="251"/>
      <c r="AG537" s="251"/>
      <c r="AH537" s="251"/>
      <c r="AI537" s="251"/>
      <c r="AJ537" s="245"/>
      <c r="AK537" s="250" t="s">
        <v>485</v>
      </c>
      <c r="AL537" s="251"/>
      <c r="AM537" s="251"/>
      <c r="AN537" s="251"/>
      <c r="AO537" s="251"/>
      <c r="AP537" s="251"/>
      <c r="AQ537" s="245"/>
      <c r="AR537" s="250" t="s">
        <v>575</v>
      </c>
      <c r="AS537" s="251"/>
      <c r="AT537" s="251"/>
      <c r="AU537" s="251"/>
      <c r="AV537" s="251"/>
      <c r="AW537" s="251"/>
      <c r="AX537" s="245"/>
      <c r="AY537" s="250" t="s">
        <v>568</v>
      </c>
      <c r="AZ537" s="251"/>
      <c r="BA537" s="251"/>
      <c r="BB537" s="251"/>
      <c r="BC537" s="251"/>
      <c r="BD537" s="251"/>
      <c r="BE537" s="245"/>
      <c r="BF537" s="250" t="s">
        <v>492</v>
      </c>
      <c r="BG537" s="251"/>
      <c r="BH537" s="251"/>
      <c r="BI537" s="251"/>
      <c r="BJ537" s="251"/>
      <c r="BK537" s="251"/>
      <c r="BL537" s="245"/>
      <c r="BM537" s="250" t="s">
        <v>567</v>
      </c>
      <c r="BN537" s="251"/>
      <c r="BO537" s="251"/>
      <c r="BP537" s="251"/>
      <c r="BQ537" s="251"/>
      <c r="BR537" s="251"/>
      <c r="BS537" s="245"/>
      <c r="BT537" s="100"/>
      <c r="BU537" s="208" t="s">
        <v>570</v>
      </c>
      <c r="BV537" s="208"/>
      <c r="BW537" s="208"/>
      <c r="BX537" s="208"/>
      <c r="BY537" s="208"/>
      <c r="BZ537" s="208"/>
      <c r="CA537" s="208"/>
      <c r="CB537" s="208" t="s">
        <v>559</v>
      </c>
      <c r="CC537" s="208"/>
      <c r="CD537" s="208"/>
      <c r="CE537" s="208"/>
      <c r="CF537" s="208"/>
      <c r="CG537" s="208"/>
      <c r="CH537" s="208"/>
      <c r="CI537" s="208" t="s">
        <v>560</v>
      </c>
      <c r="CJ537" s="208"/>
      <c r="CK537" s="208"/>
      <c r="CL537" s="208"/>
      <c r="CM537" s="208"/>
      <c r="CN537" s="208"/>
      <c r="CO537" s="208"/>
      <c r="CP537" s="208" t="s">
        <v>561</v>
      </c>
      <c r="CQ537" s="208"/>
      <c r="CR537" s="208"/>
      <c r="CS537" s="208"/>
      <c r="CT537" s="208"/>
      <c r="CU537" s="208"/>
      <c r="CV537" s="208"/>
      <c r="CW537" s="208" t="s">
        <v>562</v>
      </c>
      <c r="CX537" s="208"/>
      <c r="CY537" s="208"/>
      <c r="CZ537" s="208"/>
      <c r="DA537" s="208"/>
      <c r="DB537" s="208"/>
      <c r="DC537" s="208"/>
      <c r="DD537" s="208" t="s">
        <v>563</v>
      </c>
      <c r="DE537" s="208"/>
      <c r="DF537" s="208"/>
      <c r="DG537" s="208"/>
      <c r="DH537" s="208"/>
      <c r="DI537" s="208"/>
      <c r="DJ537" s="208"/>
      <c r="DK537" s="208" t="s">
        <v>564</v>
      </c>
      <c r="DL537" s="208"/>
      <c r="DM537" s="208"/>
      <c r="DN537" s="208"/>
      <c r="DO537" s="208"/>
      <c r="DP537" s="208"/>
      <c r="DQ537" s="208"/>
      <c r="DR537" s="208" t="s">
        <v>565</v>
      </c>
      <c r="DS537" s="208"/>
      <c r="DT537" s="208"/>
      <c r="DU537" s="208"/>
      <c r="DV537" s="208"/>
      <c r="DW537" s="208"/>
      <c r="DX537" s="208"/>
      <c r="DY537" s="208" t="s">
        <v>566</v>
      </c>
      <c r="DZ537" s="208"/>
      <c r="EA537" s="208"/>
      <c r="EB537" s="208"/>
      <c r="EC537" s="208"/>
      <c r="ED537" s="208"/>
      <c r="EE537" s="208"/>
    </row>
    <row r="538" spans="3:135" hidden="1">
      <c r="C538" s="248" t="s">
        <v>26</v>
      </c>
      <c r="D538" s="249"/>
      <c r="E538" s="249"/>
      <c r="F538" s="249"/>
      <c r="G538" s="249"/>
      <c r="H538" s="249"/>
      <c r="I538" s="249"/>
      <c r="J538" s="249"/>
      <c r="K538" s="249"/>
      <c r="L538" s="249"/>
      <c r="M538" s="249"/>
      <c r="N538" s="249"/>
      <c r="O538" s="234">
        <f>SUM(COUNTIFS('Form Details'!$AA:$AA,{"Yes","No","-"},'Form Details'!$N:$N,"Srinivas",'Form Details'!$J:$J,$C538,'Form Details'!$D:$D,'Adv. Filter'!$A$14,'Form Details'!$D:$D,'Adv. Filter'!$B$14))</f>
        <v>0</v>
      </c>
      <c r="P538" s="235"/>
      <c r="Q538" s="235"/>
      <c r="R538" s="235"/>
      <c r="S538" s="235"/>
      <c r="T538" s="235"/>
      <c r="U538" s="236"/>
      <c r="V538" s="100"/>
      <c r="W538" s="234">
        <f>COUNTIFS('Form Details'!$AA:$AA,"Yes",'Form Details'!$N:$N,"Srinivas",'Form Details'!$J:$J,$C538,'Form Details'!$D:$D,'Adv. Filter'!$A$14,'Form Details'!$D:$D,'Adv. Filter'!$B$14)</f>
        <v>0</v>
      </c>
      <c r="X538" s="235"/>
      <c r="Y538" s="235"/>
      <c r="Z538" s="235"/>
      <c r="AA538" s="235"/>
      <c r="AB538" s="235"/>
      <c r="AC538" s="236"/>
      <c r="AD538" s="234">
        <f>COUNTIFS('Form Details'!$W:$W,"Paid",'Form Details'!$N:$N,"Srinivas",'Form Details'!$J:$J,$C538,'Form Details'!$D:$D,'Adv. Filter'!$A$14,'Form Details'!$D:$D,'Adv. Filter'!$B$14)</f>
        <v>0</v>
      </c>
      <c r="AE538" s="235"/>
      <c r="AF538" s="235"/>
      <c r="AG538" s="235"/>
      <c r="AH538" s="235"/>
      <c r="AI538" s="235"/>
      <c r="AJ538" s="236"/>
      <c r="AK538" s="234">
        <f>COUNTIFS('Form Details'!$W:$W,"Due",'Form Details'!$N:$N,"Srinivas",'Form Details'!$J:$J,$C538,'Form Details'!$D:$D,'Adv. Filter'!$A$14,'Form Details'!$D:$D,'Adv. Filter'!$B$14)</f>
        <v>0</v>
      </c>
      <c r="AL538" s="235"/>
      <c r="AM538" s="235"/>
      <c r="AN538" s="235"/>
      <c r="AO538" s="235"/>
      <c r="AP538" s="235"/>
      <c r="AQ538" s="236"/>
      <c r="AR538" s="234">
        <f>COUNTIFS('Form Details'!$W:$W,"No Fee",'Form Details'!$N:$N,"Srinivas",'Form Details'!$J:$J,$C538,'Form Details'!$D:$D,'Adv. Filter'!$A$14,'Form Details'!$D:$D,'Adv. Filter'!$B$14)</f>
        <v>0</v>
      </c>
      <c r="AS538" s="235"/>
      <c r="AT538" s="235"/>
      <c r="AU538" s="235"/>
      <c r="AV538" s="235"/>
      <c r="AW538" s="235"/>
      <c r="AX538" s="236"/>
      <c r="AY538" s="234">
        <f>COUNTIFS('Form Details'!$W:$W,"Paid/Reject",'Form Details'!$N:$N,"Srinivas",'Form Details'!$J:$J,$C538,'Form Details'!$D:$D,'Adv. Filter'!$A$14,'Form Details'!$D:$D,'Adv. Filter'!$B$14)</f>
        <v>0</v>
      </c>
      <c r="AZ538" s="235"/>
      <c r="BA538" s="235"/>
      <c r="BB538" s="235"/>
      <c r="BC538" s="235"/>
      <c r="BD538" s="235"/>
      <c r="BE538" s="236"/>
      <c r="BF538" s="234">
        <f>COUNTIFS('Form Details'!$W:$W,"Staff",'Form Details'!$N:$N,"Srinivas",'Form Details'!$J:$J,$C538,'Form Details'!$D:$D,'Adv. Filter'!$A$14,'Form Details'!$D:$D,'Adv. Filter'!$B$14)</f>
        <v>0</v>
      </c>
      <c r="BG538" s="235"/>
      <c r="BH538" s="235"/>
      <c r="BI538" s="235"/>
      <c r="BJ538" s="235"/>
      <c r="BK538" s="235"/>
      <c r="BL538" s="236"/>
      <c r="BM538" s="234">
        <f>COUNTIFS('Form Details'!$W:$W,"File in Office",'Form Details'!$N:$N,"Srinivas",'Form Details'!$J:$J,$C538,'Form Details'!$D:$D,'Adv. Filter'!$A$14,'Form Details'!$D:$D,'Adv. Filter'!$B$14)</f>
        <v>0</v>
      </c>
      <c r="BN538" s="235"/>
      <c r="BO538" s="235"/>
      <c r="BP538" s="235"/>
      <c r="BQ538" s="235"/>
      <c r="BR538" s="235"/>
      <c r="BS538" s="236"/>
      <c r="BT538" s="100"/>
      <c r="BU538" s="234">
        <f>COUNTIFS('Form Details'!$AA:$AA,"No",'Form Details'!$N:$N,"Srinivas",'Form Details'!$J:$J,$C538,'Form Details'!$D:$D,'Adv. Filter'!$A$14,'Form Details'!$D:$D,'Adv. Filter'!$B$14)</f>
        <v>0</v>
      </c>
      <c r="BV538" s="235"/>
      <c r="BW538" s="235"/>
      <c r="BX538" s="235"/>
      <c r="BY538" s="235"/>
      <c r="BZ538" s="235"/>
      <c r="CA538" s="236"/>
      <c r="CB538" s="234">
        <f>COUNTIFS('Form Details'!$W:$W,"Adv/Paid",'Form Details'!$N:$N,"Srinivas",'Form Details'!$J:$J,$C538,'Form Details'!$D:$D,'Adv. Filter'!$A$14,'Form Details'!$D:$D,'Adv. Filter'!$B$14)</f>
        <v>0</v>
      </c>
      <c r="CC538" s="235"/>
      <c r="CD538" s="235"/>
      <c r="CE538" s="235"/>
      <c r="CF538" s="235"/>
      <c r="CG538" s="235"/>
      <c r="CH538" s="236"/>
      <c r="CI538" s="234">
        <f>COUNTIFS('Form Details'!$W:$W,"Adv/Paid/Reject",'Form Details'!$N:$N,"Srinivas",'Form Details'!$J:$J,$C538,'Form Details'!$D:$D,'Adv. Filter'!$A$14,'Form Details'!$D:$D,'Adv. Filter'!$B$14)</f>
        <v>0</v>
      </c>
      <c r="CJ538" s="235"/>
      <c r="CK538" s="235"/>
      <c r="CL538" s="235"/>
      <c r="CM538" s="235"/>
      <c r="CN538" s="235"/>
      <c r="CO538" s="236"/>
      <c r="CP538" s="234">
        <f>COUNTIFS('Form Details'!$W:$W,"Reject",'Form Details'!$N:$N,"Srinivas",'Form Details'!$J:$J,$C538,'Form Details'!$D:$D,'Adv. Filter'!$A$14,'Form Details'!$D:$D,'Adv. Filter'!$B$14)</f>
        <v>0</v>
      </c>
      <c r="CQ538" s="235"/>
      <c r="CR538" s="235"/>
      <c r="CS538" s="235"/>
      <c r="CT538" s="235"/>
      <c r="CU538" s="235"/>
      <c r="CV538" s="236"/>
      <c r="CW538" s="234">
        <f>COUNTIFS('Form Details'!$W:$W,"Adv/Paid/Pending",'Form Details'!$N:$N,"Srinivas",'Form Details'!$J:$J,$C538,'Form Details'!$D:$D,'Adv. Filter'!$A$14,'Form Details'!$D:$D,'Adv. Filter'!$B$14)</f>
        <v>0</v>
      </c>
      <c r="CX538" s="235"/>
      <c r="CY538" s="235"/>
      <c r="CZ538" s="235"/>
      <c r="DA538" s="235"/>
      <c r="DB538" s="235"/>
      <c r="DC538" s="236"/>
      <c r="DD538" s="234">
        <f>COUNTIFS('Form Details'!$W:$W,"Pending",'Form Details'!$N:$N,"Srinivas",'Form Details'!$J:$J,$C538,'Form Details'!$D:$D,'Adv. Filter'!$A$14,'Form Details'!$D:$D,'Adv. Filter'!$B$14)</f>
        <v>0</v>
      </c>
      <c r="DE538" s="235"/>
      <c r="DF538" s="235"/>
      <c r="DG538" s="235"/>
      <c r="DH538" s="235"/>
      <c r="DI538" s="235"/>
      <c r="DJ538" s="236"/>
      <c r="DK538" s="234">
        <f>COUNTIFS('Form Details'!$W:$W,"Adv/Paid/NoStatus",'Form Details'!$N:$N,"Srinivas",'Form Details'!$J:$J,$C538,'Form Details'!$D:$D,'Adv. Filter'!$A$14,'Form Details'!$D:$D,'Adv. Filter'!$B$14)</f>
        <v>0</v>
      </c>
      <c r="DL538" s="235"/>
      <c r="DM538" s="235"/>
      <c r="DN538" s="235"/>
      <c r="DO538" s="235"/>
      <c r="DP538" s="235"/>
      <c r="DQ538" s="236"/>
      <c r="DR538" s="234">
        <f>COUNTIFS('Form Details'!$W:$W,"No Status",'Form Details'!$N:$N,"Srinivas",'Form Details'!$J:$J,$C538,'Form Details'!$D:$D,'Adv. Filter'!$A$14,'Form Details'!$D:$D,'Adv. Filter'!$B$14)</f>
        <v>0</v>
      </c>
      <c r="DS538" s="235"/>
      <c r="DT538" s="235"/>
      <c r="DU538" s="235"/>
      <c r="DV538" s="235"/>
      <c r="DW538" s="235"/>
      <c r="DX538" s="236"/>
      <c r="DY538" s="234">
        <f>SUM(COUNTIFS('Form Details'!$W:$W,{"Wrong Entry ","Double Entry"},'Form Details'!$N:$N,"Srinivas",'Form Details'!$J:$J,$C538,'Form Details'!$D:$D,'Adv. Filter'!$A$14,'Form Details'!$D:$D,'Adv. Filter'!$B$14))</f>
        <v>0</v>
      </c>
      <c r="DZ538" s="235"/>
      <c r="EA538" s="235"/>
      <c r="EB538" s="235"/>
      <c r="EC538" s="235"/>
      <c r="ED538" s="235"/>
      <c r="EE538" s="236"/>
    </row>
    <row r="539" spans="3:135" hidden="1">
      <c r="C539" s="248" t="s">
        <v>38</v>
      </c>
      <c r="D539" s="249"/>
      <c r="E539" s="249"/>
      <c r="F539" s="249"/>
      <c r="G539" s="249"/>
      <c r="H539" s="249"/>
      <c r="I539" s="249"/>
      <c r="J539" s="249"/>
      <c r="K539" s="249"/>
      <c r="L539" s="249"/>
      <c r="M539" s="249"/>
      <c r="N539" s="249"/>
      <c r="O539" s="237">
        <f>SUM(COUNTIFS('Form Details'!$AA:$AA,{"Yes","No","-"},'Form Details'!$N:$N,"Srinivas",'Form Details'!$J:$J,$C539,'Form Details'!$D:$D,'Adv. Filter'!$A$14,'Form Details'!$D:$D,'Adv. Filter'!$B$14))</f>
        <v>0</v>
      </c>
      <c r="P539" s="238"/>
      <c r="Q539" s="238"/>
      <c r="R539" s="238"/>
      <c r="S539" s="238"/>
      <c r="T539" s="238"/>
      <c r="U539" s="239"/>
      <c r="V539" s="100"/>
      <c r="W539" s="237">
        <f>COUNTIFS('Form Details'!$AA:$AA,"Yes",'Form Details'!$N:$N,"Srinivas",'Form Details'!$J:$J,$C539,'Form Details'!$D:$D,'Adv. Filter'!$A$14,'Form Details'!$D:$D,'Adv. Filter'!$B$14)</f>
        <v>0</v>
      </c>
      <c r="X539" s="238"/>
      <c r="Y539" s="238"/>
      <c r="Z539" s="238"/>
      <c r="AA539" s="238"/>
      <c r="AB539" s="238"/>
      <c r="AC539" s="239"/>
      <c r="AD539" s="237">
        <f>COUNTIFS('Form Details'!$W:$W,"Paid",'Form Details'!$N:$N,"Srinivas",'Form Details'!$J:$J,$C539,'Form Details'!$D:$D,'Adv. Filter'!$A$14,'Form Details'!$D:$D,'Adv. Filter'!$B$14)</f>
        <v>0</v>
      </c>
      <c r="AE539" s="238"/>
      <c r="AF539" s="238"/>
      <c r="AG539" s="238"/>
      <c r="AH539" s="238"/>
      <c r="AI539" s="238"/>
      <c r="AJ539" s="239"/>
      <c r="AK539" s="237">
        <f>COUNTIFS('Form Details'!$W:$W,"Due",'Form Details'!$N:$N,"Srinivas",'Form Details'!$J:$J,$C539,'Form Details'!$D:$D,'Adv. Filter'!$A$14,'Form Details'!$D:$D,'Adv. Filter'!$B$14)</f>
        <v>0</v>
      </c>
      <c r="AL539" s="238"/>
      <c r="AM539" s="238"/>
      <c r="AN539" s="238"/>
      <c r="AO539" s="238"/>
      <c r="AP539" s="238"/>
      <c r="AQ539" s="239"/>
      <c r="AR539" s="237">
        <f>COUNTIFS('Form Details'!$W:$W,"No Fee",'Form Details'!$N:$N,"Srinivas",'Form Details'!$J:$J,$C539,'Form Details'!$D:$D,'Adv. Filter'!$A$14,'Form Details'!$D:$D,'Adv. Filter'!$B$14)</f>
        <v>0</v>
      </c>
      <c r="AS539" s="238"/>
      <c r="AT539" s="238"/>
      <c r="AU539" s="238"/>
      <c r="AV539" s="238"/>
      <c r="AW539" s="238"/>
      <c r="AX539" s="239"/>
      <c r="AY539" s="237">
        <f>COUNTIFS('Form Details'!$W:$W,"Paid/Reject",'Form Details'!$N:$N,"Srinivas",'Form Details'!$J:$J,$C539,'Form Details'!$D:$D,'Adv. Filter'!$A$14,'Form Details'!$D:$D,'Adv. Filter'!$B$14)</f>
        <v>0</v>
      </c>
      <c r="AZ539" s="238"/>
      <c r="BA539" s="238"/>
      <c r="BB539" s="238"/>
      <c r="BC539" s="238"/>
      <c r="BD539" s="238"/>
      <c r="BE539" s="239"/>
      <c r="BF539" s="237">
        <f>COUNTIFS('Form Details'!$W:$W,"Staff",'Form Details'!$N:$N,"Srinivas",'Form Details'!$J:$J,$C539,'Form Details'!$D:$D,'Adv. Filter'!$A$14,'Form Details'!$D:$D,'Adv. Filter'!$B$14)</f>
        <v>0</v>
      </c>
      <c r="BG539" s="238"/>
      <c r="BH539" s="238"/>
      <c r="BI539" s="238"/>
      <c r="BJ539" s="238"/>
      <c r="BK539" s="238"/>
      <c r="BL539" s="239"/>
      <c r="BM539" s="237">
        <f>COUNTIFS('Form Details'!$W:$W,"File in Office",'Form Details'!$N:$N,"Srinivas",'Form Details'!$J:$J,$C539,'Form Details'!$D:$D,'Adv. Filter'!$A$14,'Form Details'!$D:$D,'Adv. Filter'!$B$14)</f>
        <v>0</v>
      </c>
      <c r="BN539" s="238"/>
      <c r="BO539" s="238"/>
      <c r="BP539" s="238"/>
      <c r="BQ539" s="238"/>
      <c r="BR539" s="238"/>
      <c r="BS539" s="239"/>
      <c r="BT539" s="100"/>
      <c r="BU539" s="237">
        <f>COUNTIFS('Form Details'!$AA:$AA,"No",'Form Details'!$N:$N,"Srinivas",'Form Details'!$J:$J,$C539,'Form Details'!$D:$D,'Adv. Filter'!$A$14,'Form Details'!$D:$D,'Adv. Filter'!$B$14)</f>
        <v>0</v>
      </c>
      <c r="BV539" s="238"/>
      <c r="BW539" s="238"/>
      <c r="BX539" s="238"/>
      <c r="BY539" s="238"/>
      <c r="BZ539" s="238"/>
      <c r="CA539" s="239"/>
      <c r="CB539" s="237">
        <f>COUNTIFS('Form Details'!$W:$W,"Adv/Paid",'Form Details'!$N:$N,"Srinivas",'Form Details'!$J:$J,$C539,'Form Details'!$D:$D,'Adv. Filter'!$A$14,'Form Details'!$D:$D,'Adv. Filter'!$B$14)</f>
        <v>0</v>
      </c>
      <c r="CC539" s="238"/>
      <c r="CD539" s="238"/>
      <c r="CE539" s="238"/>
      <c r="CF539" s="238"/>
      <c r="CG539" s="238"/>
      <c r="CH539" s="239"/>
      <c r="CI539" s="237">
        <f>COUNTIFS('Form Details'!$W:$W,"Adv/Paid/Reject",'Form Details'!$N:$N,"Srinivas",'Form Details'!$J:$J,$C539,'Form Details'!$D:$D,'Adv. Filter'!$A$14,'Form Details'!$D:$D,'Adv. Filter'!$B$14)</f>
        <v>0</v>
      </c>
      <c r="CJ539" s="238"/>
      <c r="CK539" s="238"/>
      <c r="CL539" s="238"/>
      <c r="CM539" s="238"/>
      <c r="CN539" s="238"/>
      <c r="CO539" s="239"/>
      <c r="CP539" s="237">
        <f>COUNTIFS('Form Details'!$W:$W,"Reject",'Form Details'!$N:$N,"Srinivas",'Form Details'!$J:$J,$C539,'Form Details'!$D:$D,'Adv. Filter'!$A$14,'Form Details'!$D:$D,'Adv. Filter'!$B$14)</f>
        <v>0</v>
      </c>
      <c r="CQ539" s="238"/>
      <c r="CR539" s="238"/>
      <c r="CS539" s="238"/>
      <c r="CT539" s="238"/>
      <c r="CU539" s="238"/>
      <c r="CV539" s="239"/>
      <c r="CW539" s="237">
        <f>COUNTIFS('Form Details'!$W:$W,"Adv/Paid/Pending",'Form Details'!$N:$N,"Srinivas",'Form Details'!$J:$J,$C539,'Form Details'!$D:$D,'Adv. Filter'!$A$14,'Form Details'!$D:$D,'Adv. Filter'!$B$14)</f>
        <v>0</v>
      </c>
      <c r="CX539" s="238"/>
      <c r="CY539" s="238"/>
      <c r="CZ539" s="238"/>
      <c r="DA539" s="238"/>
      <c r="DB539" s="238"/>
      <c r="DC539" s="239"/>
      <c r="DD539" s="237">
        <f>COUNTIFS('Form Details'!$W:$W,"Pending",'Form Details'!$N:$N,"Srinivas",'Form Details'!$J:$J,$C539,'Form Details'!$D:$D,'Adv. Filter'!$A$14,'Form Details'!$D:$D,'Adv. Filter'!$B$14)</f>
        <v>0</v>
      </c>
      <c r="DE539" s="238"/>
      <c r="DF539" s="238"/>
      <c r="DG539" s="238"/>
      <c r="DH539" s="238"/>
      <c r="DI539" s="238"/>
      <c r="DJ539" s="239"/>
      <c r="DK539" s="237">
        <f>COUNTIFS('Form Details'!$W:$W,"Adv/Paid/NoStatus",'Form Details'!$N:$N,"Srinivas",'Form Details'!$J:$J,$C539,'Form Details'!$D:$D,'Adv. Filter'!$A$14,'Form Details'!$D:$D,'Adv. Filter'!$B$14)</f>
        <v>0</v>
      </c>
      <c r="DL539" s="238"/>
      <c r="DM539" s="238"/>
      <c r="DN539" s="238"/>
      <c r="DO539" s="238"/>
      <c r="DP539" s="238"/>
      <c r="DQ539" s="239"/>
      <c r="DR539" s="237">
        <f>COUNTIFS('Form Details'!$W:$W,"No Status",'Form Details'!$N:$N,"Srinivas",'Form Details'!$J:$J,$C539,'Form Details'!$D:$D,'Adv. Filter'!$A$14,'Form Details'!$D:$D,'Adv. Filter'!$B$14)</f>
        <v>0</v>
      </c>
      <c r="DS539" s="238"/>
      <c r="DT539" s="238"/>
      <c r="DU539" s="238"/>
      <c r="DV539" s="238"/>
      <c r="DW539" s="238"/>
      <c r="DX539" s="239"/>
      <c r="DY539" s="237">
        <f>SUM(COUNTIFS('Form Details'!$W:$W,{"Wrong Entry ","Double Entry"},'Form Details'!$N:$N,"Srinivas",'Form Details'!$J:$J,$C539,'Form Details'!$D:$D,'Adv. Filter'!$A$14,'Form Details'!$D:$D,'Adv. Filter'!$B$14))</f>
        <v>0</v>
      </c>
      <c r="DZ539" s="238"/>
      <c r="EA539" s="238"/>
      <c r="EB539" s="238"/>
      <c r="EC539" s="238"/>
      <c r="ED539" s="238"/>
      <c r="EE539" s="239"/>
    </row>
    <row r="540" spans="3:135" hidden="1">
      <c r="C540" s="248" t="s">
        <v>49</v>
      </c>
      <c r="D540" s="249"/>
      <c r="E540" s="249"/>
      <c r="F540" s="249"/>
      <c r="G540" s="249"/>
      <c r="H540" s="249"/>
      <c r="I540" s="249"/>
      <c r="J540" s="249"/>
      <c r="K540" s="249"/>
      <c r="L540" s="249"/>
      <c r="M540" s="249"/>
      <c r="N540" s="249"/>
      <c r="O540" s="237">
        <f>SUM(COUNTIFS('Form Details'!$AA:$AA,{"Yes","No","-"},'Form Details'!$N:$N,"Srinivas",'Form Details'!$J:$J,$C540,'Form Details'!$D:$D,'Adv. Filter'!$A$14,'Form Details'!$D:$D,'Adv. Filter'!$B$14))</f>
        <v>0</v>
      </c>
      <c r="P540" s="238"/>
      <c r="Q540" s="238"/>
      <c r="R540" s="238"/>
      <c r="S540" s="238"/>
      <c r="T540" s="238"/>
      <c r="U540" s="239"/>
      <c r="V540" s="100"/>
      <c r="W540" s="237">
        <f>COUNTIFS('Form Details'!$AA:$AA,"Yes",'Form Details'!$N:$N,"Srinivas",'Form Details'!$J:$J,$C540,'Form Details'!$D:$D,'Adv. Filter'!$A$14,'Form Details'!$D:$D,'Adv. Filter'!$B$14)</f>
        <v>0</v>
      </c>
      <c r="X540" s="238"/>
      <c r="Y540" s="238"/>
      <c r="Z540" s="238"/>
      <c r="AA540" s="238"/>
      <c r="AB540" s="238"/>
      <c r="AC540" s="239"/>
      <c r="AD540" s="237">
        <f>COUNTIFS('Form Details'!$W:$W,"Paid",'Form Details'!$N:$N,"Srinivas",'Form Details'!$J:$J,$C540,'Form Details'!$D:$D,'Adv. Filter'!$A$14,'Form Details'!$D:$D,'Adv. Filter'!$B$14)</f>
        <v>0</v>
      </c>
      <c r="AE540" s="238"/>
      <c r="AF540" s="238"/>
      <c r="AG540" s="238"/>
      <c r="AH540" s="238"/>
      <c r="AI540" s="238"/>
      <c r="AJ540" s="239"/>
      <c r="AK540" s="237">
        <f>COUNTIFS('Form Details'!$W:$W,"Due",'Form Details'!$N:$N,"Srinivas",'Form Details'!$J:$J,$C540,'Form Details'!$D:$D,'Adv. Filter'!$A$14,'Form Details'!$D:$D,'Adv. Filter'!$B$14)</f>
        <v>0</v>
      </c>
      <c r="AL540" s="238"/>
      <c r="AM540" s="238"/>
      <c r="AN540" s="238"/>
      <c r="AO540" s="238"/>
      <c r="AP540" s="238"/>
      <c r="AQ540" s="239"/>
      <c r="AR540" s="237">
        <f>COUNTIFS('Form Details'!$W:$W,"No Fee",'Form Details'!$N:$N,"Srinivas",'Form Details'!$J:$J,$C540,'Form Details'!$D:$D,'Adv. Filter'!$A$14,'Form Details'!$D:$D,'Adv. Filter'!$B$14)</f>
        <v>0</v>
      </c>
      <c r="AS540" s="238"/>
      <c r="AT540" s="238"/>
      <c r="AU540" s="238"/>
      <c r="AV540" s="238"/>
      <c r="AW540" s="238"/>
      <c r="AX540" s="239"/>
      <c r="AY540" s="237">
        <f>COUNTIFS('Form Details'!$W:$W,"Paid/Reject",'Form Details'!$N:$N,"Srinivas",'Form Details'!$J:$J,$C540,'Form Details'!$D:$D,'Adv. Filter'!$A$14,'Form Details'!$D:$D,'Adv. Filter'!$B$14)</f>
        <v>0</v>
      </c>
      <c r="AZ540" s="238"/>
      <c r="BA540" s="238"/>
      <c r="BB540" s="238"/>
      <c r="BC540" s="238"/>
      <c r="BD540" s="238"/>
      <c r="BE540" s="239"/>
      <c r="BF540" s="237">
        <f>COUNTIFS('Form Details'!$W:$W,"Staff",'Form Details'!$N:$N,"Srinivas",'Form Details'!$J:$J,$C540,'Form Details'!$D:$D,'Adv. Filter'!$A$14,'Form Details'!$D:$D,'Adv. Filter'!$B$14)</f>
        <v>0</v>
      </c>
      <c r="BG540" s="238"/>
      <c r="BH540" s="238"/>
      <c r="BI540" s="238"/>
      <c r="BJ540" s="238"/>
      <c r="BK540" s="238"/>
      <c r="BL540" s="239"/>
      <c r="BM540" s="237">
        <f>COUNTIFS('Form Details'!$W:$W,"File in Office",'Form Details'!$N:$N,"Srinivas",'Form Details'!$J:$J,$C540,'Form Details'!$D:$D,'Adv. Filter'!$A$14,'Form Details'!$D:$D,'Adv. Filter'!$B$14)</f>
        <v>0</v>
      </c>
      <c r="BN540" s="238"/>
      <c r="BO540" s="238"/>
      <c r="BP540" s="238"/>
      <c r="BQ540" s="238"/>
      <c r="BR540" s="238"/>
      <c r="BS540" s="239"/>
      <c r="BT540" s="100"/>
      <c r="BU540" s="237">
        <f>COUNTIFS('Form Details'!$AA:$AA,"No",'Form Details'!$N:$N,"Srinivas",'Form Details'!$J:$J,$C540,'Form Details'!$D:$D,'Adv. Filter'!$A$14,'Form Details'!$D:$D,'Adv. Filter'!$B$14)</f>
        <v>0</v>
      </c>
      <c r="BV540" s="238"/>
      <c r="BW540" s="238"/>
      <c r="BX540" s="238"/>
      <c r="BY540" s="238"/>
      <c r="BZ540" s="238"/>
      <c r="CA540" s="239"/>
      <c r="CB540" s="237">
        <f>COUNTIFS('Form Details'!$W:$W,"Adv/Paid",'Form Details'!$N:$N,"Srinivas",'Form Details'!$J:$J,$C540,'Form Details'!$D:$D,'Adv. Filter'!$A$14,'Form Details'!$D:$D,'Adv. Filter'!$B$14)</f>
        <v>0</v>
      </c>
      <c r="CC540" s="238"/>
      <c r="CD540" s="238"/>
      <c r="CE540" s="238"/>
      <c r="CF540" s="238"/>
      <c r="CG540" s="238"/>
      <c r="CH540" s="239"/>
      <c r="CI540" s="237">
        <f>COUNTIFS('Form Details'!$W:$W,"Adv/Paid/Reject",'Form Details'!$N:$N,"Srinivas",'Form Details'!$J:$J,$C540,'Form Details'!$D:$D,'Adv. Filter'!$A$14,'Form Details'!$D:$D,'Adv. Filter'!$B$14)</f>
        <v>0</v>
      </c>
      <c r="CJ540" s="238"/>
      <c r="CK540" s="238"/>
      <c r="CL540" s="238"/>
      <c r="CM540" s="238"/>
      <c r="CN540" s="238"/>
      <c r="CO540" s="239"/>
      <c r="CP540" s="237">
        <f>COUNTIFS('Form Details'!$W:$W,"Reject",'Form Details'!$N:$N,"Srinivas",'Form Details'!$J:$J,$C540,'Form Details'!$D:$D,'Adv. Filter'!$A$14,'Form Details'!$D:$D,'Adv. Filter'!$B$14)</f>
        <v>0</v>
      </c>
      <c r="CQ540" s="238"/>
      <c r="CR540" s="238"/>
      <c r="CS540" s="238"/>
      <c r="CT540" s="238"/>
      <c r="CU540" s="238"/>
      <c r="CV540" s="239"/>
      <c r="CW540" s="237">
        <f>COUNTIFS('Form Details'!$W:$W,"Adv/Paid/Pending",'Form Details'!$N:$N,"Srinivas",'Form Details'!$J:$J,$C540,'Form Details'!$D:$D,'Adv. Filter'!$A$14,'Form Details'!$D:$D,'Adv. Filter'!$B$14)</f>
        <v>0</v>
      </c>
      <c r="CX540" s="238"/>
      <c r="CY540" s="238"/>
      <c r="CZ540" s="238"/>
      <c r="DA540" s="238"/>
      <c r="DB540" s="238"/>
      <c r="DC540" s="239"/>
      <c r="DD540" s="237">
        <f>COUNTIFS('Form Details'!$W:$W,"Pending",'Form Details'!$N:$N,"Srinivas",'Form Details'!$J:$J,$C540,'Form Details'!$D:$D,'Adv. Filter'!$A$14,'Form Details'!$D:$D,'Adv. Filter'!$B$14)</f>
        <v>0</v>
      </c>
      <c r="DE540" s="238"/>
      <c r="DF540" s="238"/>
      <c r="DG540" s="238"/>
      <c r="DH540" s="238"/>
      <c r="DI540" s="238"/>
      <c r="DJ540" s="239"/>
      <c r="DK540" s="237">
        <f>COUNTIFS('Form Details'!$W:$W,"Adv/Paid/NoStatus",'Form Details'!$N:$N,"Srinivas",'Form Details'!$J:$J,$C540,'Form Details'!$D:$D,'Adv. Filter'!$A$14,'Form Details'!$D:$D,'Adv. Filter'!$B$14)</f>
        <v>0</v>
      </c>
      <c r="DL540" s="238"/>
      <c r="DM540" s="238"/>
      <c r="DN540" s="238"/>
      <c r="DO540" s="238"/>
      <c r="DP540" s="238"/>
      <c r="DQ540" s="239"/>
      <c r="DR540" s="237">
        <f>COUNTIFS('Form Details'!$W:$W,"No Status",'Form Details'!$N:$N,"Srinivas",'Form Details'!$J:$J,$C540,'Form Details'!$D:$D,'Adv. Filter'!$A$14,'Form Details'!$D:$D,'Adv. Filter'!$B$14)</f>
        <v>0</v>
      </c>
      <c r="DS540" s="238"/>
      <c r="DT540" s="238"/>
      <c r="DU540" s="238"/>
      <c r="DV540" s="238"/>
      <c r="DW540" s="238"/>
      <c r="DX540" s="239"/>
      <c r="DY540" s="237">
        <f>SUM(COUNTIFS('Form Details'!$W:$W,{"Wrong Entry ","Double Entry"},'Form Details'!$N:$N,"Srinivas",'Form Details'!$J:$J,$C540,'Form Details'!$D:$D,'Adv. Filter'!$A$14,'Form Details'!$D:$D,'Adv. Filter'!$B$14))</f>
        <v>0</v>
      </c>
      <c r="DZ540" s="238"/>
      <c r="EA540" s="238"/>
      <c r="EB540" s="238"/>
      <c r="EC540" s="238"/>
      <c r="ED540" s="238"/>
      <c r="EE540" s="239"/>
    </row>
    <row r="541" spans="3:135" hidden="1">
      <c r="C541" s="248" t="s">
        <v>59</v>
      </c>
      <c r="D541" s="249"/>
      <c r="E541" s="249"/>
      <c r="F541" s="249"/>
      <c r="G541" s="249"/>
      <c r="H541" s="249"/>
      <c r="I541" s="249"/>
      <c r="J541" s="249"/>
      <c r="K541" s="249"/>
      <c r="L541" s="249"/>
      <c r="M541" s="249"/>
      <c r="N541" s="249"/>
      <c r="O541" s="237">
        <f>SUM(COUNTIFS('Form Details'!$AA:$AA,{"Yes","No","-"},'Form Details'!$N:$N,"Srinivas",'Form Details'!$J:$J,$C541,'Form Details'!$D:$D,'Adv. Filter'!$A$14,'Form Details'!$D:$D,'Adv. Filter'!$B$14))</f>
        <v>0</v>
      </c>
      <c r="P541" s="238"/>
      <c r="Q541" s="238"/>
      <c r="R541" s="238"/>
      <c r="S541" s="238"/>
      <c r="T541" s="238"/>
      <c r="U541" s="239"/>
      <c r="V541" s="100"/>
      <c r="W541" s="237">
        <f>COUNTIFS('Form Details'!$AA:$AA,"Yes",'Form Details'!$N:$N,"Srinivas",'Form Details'!$J:$J,$C541,'Form Details'!$D:$D,'Adv. Filter'!$A$14,'Form Details'!$D:$D,'Adv. Filter'!$B$14)</f>
        <v>0</v>
      </c>
      <c r="X541" s="238"/>
      <c r="Y541" s="238"/>
      <c r="Z541" s="238"/>
      <c r="AA541" s="238"/>
      <c r="AB541" s="238"/>
      <c r="AC541" s="239"/>
      <c r="AD541" s="237">
        <f>COUNTIFS('Form Details'!$W:$W,"Paid",'Form Details'!$N:$N,"Srinivas",'Form Details'!$J:$J,$C541,'Form Details'!$D:$D,'Adv. Filter'!$A$14,'Form Details'!$D:$D,'Adv. Filter'!$B$14)</f>
        <v>0</v>
      </c>
      <c r="AE541" s="238"/>
      <c r="AF541" s="238"/>
      <c r="AG541" s="238"/>
      <c r="AH541" s="238"/>
      <c r="AI541" s="238"/>
      <c r="AJ541" s="239"/>
      <c r="AK541" s="237">
        <f>COUNTIFS('Form Details'!$W:$W,"Due",'Form Details'!$N:$N,"Srinivas",'Form Details'!$J:$J,$C541,'Form Details'!$D:$D,'Adv. Filter'!$A$14,'Form Details'!$D:$D,'Adv. Filter'!$B$14)</f>
        <v>0</v>
      </c>
      <c r="AL541" s="238"/>
      <c r="AM541" s="238"/>
      <c r="AN541" s="238"/>
      <c r="AO541" s="238"/>
      <c r="AP541" s="238"/>
      <c r="AQ541" s="239"/>
      <c r="AR541" s="237">
        <f>COUNTIFS('Form Details'!$W:$W,"No Fee",'Form Details'!$N:$N,"Srinivas",'Form Details'!$J:$J,$C541,'Form Details'!$D:$D,'Adv. Filter'!$A$14,'Form Details'!$D:$D,'Adv. Filter'!$B$14)</f>
        <v>0</v>
      </c>
      <c r="AS541" s="238"/>
      <c r="AT541" s="238"/>
      <c r="AU541" s="238"/>
      <c r="AV541" s="238"/>
      <c r="AW541" s="238"/>
      <c r="AX541" s="239"/>
      <c r="AY541" s="237">
        <f>COUNTIFS('Form Details'!$W:$W,"Paid/Reject",'Form Details'!$N:$N,"Srinivas",'Form Details'!$J:$J,$C541,'Form Details'!$D:$D,'Adv. Filter'!$A$14,'Form Details'!$D:$D,'Adv. Filter'!$B$14)</f>
        <v>0</v>
      </c>
      <c r="AZ541" s="238"/>
      <c r="BA541" s="238"/>
      <c r="BB541" s="238"/>
      <c r="BC541" s="238"/>
      <c r="BD541" s="238"/>
      <c r="BE541" s="239"/>
      <c r="BF541" s="237">
        <f>COUNTIFS('Form Details'!$W:$W,"Staff",'Form Details'!$N:$N,"Srinivas",'Form Details'!$J:$J,$C541,'Form Details'!$D:$D,'Adv. Filter'!$A$14,'Form Details'!$D:$D,'Adv. Filter'!$B$14)</f>
        <v>0</v>
      </c>
      <c r="BG541" s="238"/>
      <c r="BH541" s="238"/>
      <c r="BI541" s="238"/>
      <c r="BJ541" s="238"/>
      <c r="BK541" s="238"/>
      <c r="BL541" s="239"/>
      <c r="BM541" s="237">
        <f>COUNTIFS('Form Details'!$W:$W,"File in Office",'Form Details'!$N:$N,"Srinivas",'Form Details'!$J:$J,$C541,'Form Details'!$D:$D,'Adv. Filter'!$A$14,'Form Details'!$D:$D,'Adv. Filter'!$B$14)</f>
        <v>0</v>
      </c>
      <c r="BN541" s="238"/>
      <c r="BO541" s="238"/>
      <c r="BP541" s="238"/>
      <c r="BQ541" s="238"/>
      <c r="BR541" s="238"/>
      <c r="BS541" s="239"/>
      <c r="BT541" s="100"/>
      <c r="BU541" s="237">
        <f>COUNTIFS('Form Details'!$AA:$AA,"No",'Form Details'!$N:$N,"Srinivas",'Form Details'!$J:$J,$C541,'Form Details'!$D:$D,'Adv. Filter'!$A$14,'Form Details'!$D:$D,'Adv. Filter'!$B$14)</f>
        <v>0</v>
      </c>
      <c r="BV541" s="238"/>
      <c r="BW541" s="238"/>
      <c r="BX541" s="238"/>
      <c r="BY541" s="238"/>
      <c r="BZ541" s="238"/>
      <c r="CA541" s="239"/>
      <c r="CB541" s="237">
        <f>COUNTIFS('Form Details'!$W:$W,"Adv/Paid",'Form Details'!$N:$N,"Srinivas",'Form Details'!$J:$J,$C541,'Form Details'!$D:$D,'Adv. Filter'!$A$14,'Form Details'!$D:$D,'Adv. Filter'!$B$14)</f>
        <v>0</v>
      </c>
      <c r="CC541" s="238"/>
      <c r="CD541" s="238"/>
      <c r="CE541" s="238"/>
      <c r="CF541" s="238"/>
      <c r="CG541" s="238"/>
      <c r="CH541" s="239"/>
      <c r="CI541" s="237">
        <f>COUNTIFS('Form Details'!$W:$W,"Adv/Paid/Reject",'Form Details'!$N:$N,"Srinivas",'Form Details'!$J:$J,$C541,'Form Details'!$D:$D,'Adv. Filter'!$A$14,'Form Details'!$D:$D,'Adv. Filter'!$B$14)</f>
        <v>0</v>
      </c>
      <c r="CJ541" s="238"/>
      <c r="CK541" s="238"/>
      <c r="CL541" s="238"/>
      <c r="CM541" s="238"/>
      <c r="CN541" s="238"/>
      <c r="CO541" s="239"/>
      <c r="CP541" s="237">
        <f>COUNTIFS('Form Details'!$W:$W,"Reject",'Form Details'!$N:$N,"Srinivas",'Form Details'!$J:$J,$C541,'Form Details'!$D:$D,'Adv. Filter'!$A$14,'Form Details'!$D:$D,'Adv. Filter'!$B$14)</f>
        <v>0</v>
      </c>
      <c r="CQ541" s="238"/>
      <c r="CR541" s="238"/>
      <c r="CS541" s="238"/>
      <c r="CT541" s="238"/>
      <c r="CU541" s="238"/>
      <c r="CV541" s="239"/>
      <c r="CW541" s="237">
        <f>COUNTIFS('Form Details'!$W:$W,"Adv/Paid/Pending",'Form Details'!$N:$N,"Srinivas",'Form Details'!$J:$J,$C541,'Form Details'!$D:$D,'Adv. Filter'!$A$14,'Form Details'!$D:$D,'Adv. Filter'!$B$14)</f>
        <v>0</v>
      </c>
      <c r="CX541" s="238"/>
      <c r="CY541" s="238"/>
      <c r="CZ541" s="238"/>
      <c r="DA541" s="238"/>
      <c r="DB541" s="238"/>
      <c r="DC541" s="239"/>
      <c r="DD541" s="237">
        <f>COUNTIFS('Form Details'!$W:$W,"Pending",'Form Details'!$N:$N,"Srinivas",'Form Details'!$J:$J,$C541,'Form Details'!$D:$D,'Adv. Filter'!$A$14,'Form Details'!$D:$D,'Adv. Filter'!$B$14)</f>
        <v>0</v>
      </c>
      <c r="DE541" s="238"/>
      <c r="DF541" s="238"/>
      <c r="DG541" s="238"/>
      <c r="DH541" s="238"/>
      <c r="DI541" s="238"/>
      <c r="DJ541" s="239"/>
      <c r="DK541" s="237">
        <f>COUNTIFS('Form Details'!$W:$W,"Adv/Paid/NoStatus",'Form Details'!$N:$N,"Srinivas",'Form Details'!$J:$J,$C541,'Form Details'!$D:$D,'Adv. Filter'!$A$14,'Form Details'!$D:$D,'Adv. Filter'!$B$14)</f>
        <v>0</v>
      </c>
      <c r="DL541" s="238"/>
      <c r="DM541" s="238"/>
      <c r="DN541" s="238"/>
      <c r="DO541" s="238"/>
      <c r="DP541" s="238"/>
      <c r="DQ541" s="239"/>
      <c r="DR541" s="237">
        <f>COUNTIFS('Form Details'!$W:$W,"No Status",'Form Details'!$N:$N,"Srinivas",'Form Details'!$J:$J,$C541,'Form Details'!$D:$D,'Adv. Filter'!$A$14,'Form Details'!$D:$D,'Adv. Filter'!$B$14)</f>
        <v>0</v>
      </c>
      <c r="DS541" s="238"/>
      <c r="DT541" s="238"/>
      <c r="DU541" s="238"/>
      <c r="DV541" s="238"/>
      <c r="DW541" s="238"/>
      <c r="DX541" s="239"/>
      <c r="DY541" s="237">
        <f>SUM(COUNTIFS('Form Details'!$W:$W,{"Wrong Entry ","Double Entry"},'Form Details'!$N:$N,"Srinivas",'Form Details'!$J:$J,$C541,'Form Details'!$D:$D,'Adv. Filter'!$A$14,'Form Details'!$D:$D,'Adv. Filter'!$B$14))</f>
        <v>0</v>
      </c>
      <c r="DZ541" s="238"/>
      <c r="EA541" s="238"/>
      <c r="EB541" s="238"/>
      <c r="EC541" s="238"/>
      <c r="ED541" s="238"/>
      <c r="EE541" s="239"/>
    </row>
    <row r="542" spans="3:135" hidden="1">
      <c r="C542" s="248" t="s">
        <v>70</v>
      </c>
      <c r="D542" s="249"/>
      <c r="E542" s="249"/>
      <c r="F542" s="249"/>
      <c r="G542" s="249"/>
      <c r="H542" s="249"/>
      <c r="I542" s="249"/>
      <c r="J542" s="249"/>
      <c r="K542" s="249"/>
      <c r="L542" s="249"/>
      <c r="M542" s="249"/>
      <c r="N542" s="249"/>
      <c r="O542" s="237">
        <f>SUM(COUNTIFS('Form Details'!$AA:$AA,{"Yes","No","-"},'Form Details'!$N:$N,"Srinivas",'Form Details'!$J:$J,$C542,'Form Details'!$D:$D,'Adv. Filter'!$A$14,'Form Details'!$D:$D,'Adv. Filter'!$B$14))</f>
        <v>19</v>
      </c>
      <c r="P542" s="238"/>
      <c r="Q542" s="238"/>
      <c r="R542" s="238"/>
      <c r="S542" s="238"/>
      <c r="T542" s="238"/>
      <c r="U542" s="239"/>
      <c r="V542" s="100"/>
      <c r="W542" s="237">
        <f>COUNTIFS('Form Details'!$AA:$AA,"Yes",'Form Details'!$N:$N,"Srinivas",'Form Details'!$J:$J,$C542,'Form Details'!$D:$D,'Adv. Filter'!$A$14,'Form Details'!$D:$D,'Adv. Filter'!$B$14)</f>
        <v>19</v>
      </c>
      <c r="X542" s="238"/>
      <c r="Y542" s="238"/>
      <c r="Z542" s="238"/>
      <c r="AA542" s="238"/>
      <c r="AB542" s="238"/>
      <c r="AC542" s="239"/>
      <c r="AD542" s="237">
        <f>COUNTIFS('Form Details'!$W:$W,"Paid",'Form Details'!$N:$N,"Srinivas",'Form Details'!$J:$J,$C542,'Form Details'!$D:$D,'Adv. Filter'!$A$14,'Form Details'!$D:$D,'Adv. Filter'!$B$14)</f>
        <v>8</v>
      </c>
      <c r="AE542" s="238"/>
      <c r="AF542" s="238"/>
      <c r="AG542" s="238"/>
      <c r="AH542" s="238"/>
      <c r="AI542" s="238"/>
      <c r="AJ542" s="239"/>
      <c r="AK542" s="237">
        <f>COUNTIFS('Form Details'!$W:$W,"Due",'Form Details'!$N:$N,"Srinivas",'Form Details'!$J:$J,$C542,'Form Details'!$D:$D,'Adv. Filter'!$A$14,'Form Details'!$D:$D,'Adv. Filter'!$B$14)</f>
        <v>11</v>
      </c>
      <c r="AL542" s="238"/>
      <c r="AM542" s="238"/>
      <c r="AN542" s="238"/>
      <c r="AO542" s="238"/>
      <c r="AP542" s="238"/>
      <c r="AQ542" s="239"/>
      <c r="AR542" s="237">
        <f>COUNTIFS('Form Details'!$W:$W,"No Fee",'Form Details'!$N:$N,"Srinivas",'Form Details'!$J:$J,$C542,'Form Details'!$D:$D,'Adv. Filter'!$A$14,'Form Details'!$D:$D,'Adv. Filter'!$B$14)</f>
        <v>0</v>
      </c>
      <c r="AS542" s="238"/>
      <c r="AT542" s="238"/>
      <c r="AU542" s="238"/>
      <c r="AV542" s="238"/>
      <c r="AW542" s="238"/>
      <c r="AX542" s="239"/>
      <c r="AY542" s="237">
        <f>COUNTIFS('Form Details'!$W:$W,"Paid/Reject",'Form Details'!$N:$N,"Srinivas",'Form Details'!$J:$J,$C542,'Form Details'!$D:$D,'Adv. Filter'!$A$14,'Form Details'!$D:$D,'Adv. Filter'!$B$14)</f>
        <v>0</v>
      </c>
      <c r="AZ542" s="238"/>
      <c r="BA542" s="238"/>
      <c r="BB542" s="238"/>
      <c r="BC542" s="238"/>
      <c r="BD542" s="238"/>
      <c r="BE542" s="239"/>
      <c r="BF542" s="237">
        <f>COUNTIFS('Form Details'!$W:$W,"Staff",'Form Details'!$N:$N,"Srinivas",'Form Details'!$J:$J,$C542,'Form Details'!$D:$D,'Adv. Filter'!$A$14,'Form Details'!$D:$D,'Adv. Filter'!$B$14)</f>
        <v>0</v>
      </c>
      <c r="BG542" s="238"/>
      <c r="BH542" s="238"/>
      <c r="BI542" s="238"/>
      <c r="BJ542" s="238"/>
      <c r="BK542" s="238"/>
      <c r="BL542" s="239"/>
      <c r="BM542" s="237">
        <f>COUNTIFS('Form Details'!$W:$W,"File in Office",'Form Details'!$N:$N,"Srinivas",'Form Details'!$J:$J,$C542,'Form Details'!$D:$D,'Adv. Filter'!$A$14,'Form Details'!$D:$D,'Adv. Filter'!$B$14)</f>
        <v>0</v>
      </c>
      <c r="BN542" s="238"/>
      <c r="BO542" s="238"/>
      <c r="BP542" s="238"/>
      <c r="BQ542" s="238"/>
      <c r="BR542" s="238"/>
      <c r="BS542" s="239"/>
      <c r="BT542" s="100"/>
      <c r="BU542" s="237">
        <f>COUNTIFS('Form Details'!$AA:$AA,"No",'Form Details'!$N:$N,"Srinivas",'Form Details'!$J:$J,$C542,'Form Details'!$D:$D,'Adv. Filter'!$A$14,'Form Details'!$D:$D,'Adv. Filter'!$B$14)</f>
        <v>0</v>
      </c>
      <c r="BV542" s="238"/>
      <c r="BW542" s="238"/>
      <c r="BX542" s="238"/>
      <c r="BY542" s="238"/>
      <c r="BZ542" s="238"/>
      <c r="CA542" s="239"/>
      <c r="CB542" s="237">
        <f>COUNTIFS('Form Details'!$W:$W,"Adv/Paid",'Form Details'!$N:$N,"Srinivas",'Form Details'!$J:$J,$C542,'Form Details'!$D:$D,'Adv. Filter'!$A$14,'Form Details'!$D:$D,'Adv. Filter'!$B$14)</f>
        <v>0</v>
      </c>
      <c r="CC542" s="238"/>
      <c r="CD542" s="238"/>
      <c r="CE542" s="238"/>
      <c r="CF542" s="238"/>
      <c r="CG542" s="238"/>
      <c r="CH542" s="239"/>
      <c r="CI542" s="237">
        <f>COUNTIFS('Form Details'!$W:$W,"Adv/Paid/Reject",'Form Details'!$N:$N,"Srinivas",'Form Details'!$J:$J,$C542,'Form Details'!$D:$D,'Adv. Filter'!$A$14,'Form Details'!$D:$D,'Adv. Filter'!$B$14)</f>
        <v>0</v>
      </c>
      <c r="CJ542" s="238"/>
      <c r="CK542" s="238"/>
      <c r="CL542" s="238"/>
      <c r="CM542" s="238"/>
      <c r="CN542" s="238"/>
      <c r="CO542" s="239"/>
      <c r="CP542" s="237">
        <f>COUNTIFS('Form Details'!$W:$W,"Reject",'Form Details'!$N:$N,"Srinivas",'Form Details'!$J:$J,$C542,'Form Details'!$D:$D,'Adv. Filter'!$A$14,'Form Details'!$D:$D,'Adv. Filter'!$B$14)</f>
        <v>0</v>
      </c>
      <c r="CQ542" s="238"/>
      <c r="CR542" s="238"/>
      <c r="CS542" s="238"/>
      <c r="CT542" s="238"/>
      <c r="CU542" s="238"/>
      <c r="CV542" s="239"/>
      <c r="CW542" s="237">
        <f>COUNTIFS('Form Details'!$W:$W,"Adv/Paid/Pending",'Form Details'!$N:$N,"Srinivas",'Form Details'!$J:$J,$C542,'Form Details'!$D:$D,'Adv. Filter'!$A$14,'Form Details'!$D:$D,'Adv. Filter'!$B$14)</f>
        <v>0</v>
      </c>
      <c r="CX542" s="238"/>
      <c r="CY542" s="238"/>
      <c r="CZ542" s="238"/>
      <c r="DA542" s="238"/>
      <c r="DB542" s="238"/>
      <c r="DC542" s="239"/>
      <c r="DD542" s="237">
        <f>COUNTIFS('Form Details'!$W:$W,"Pending",'Form Details'!$N:$N,"Srinivas",'Form Details'!$J:$J,$C542,'Form Details'!$D:$D,'Adv. Filter'!$A$14,'Form Details'!$D:$D,'Adv. Filter'!$B$14)</f>
        <v>0</v>
      </c>
      <c r="DE542" s="238"/>
      <c r="DF542" s="238"/>
      <c r="DG542" s="238"/>
      <c r="DH542" s="238"/>
      <c r="DI542" s="238"/>
      <c r="DJ542" s="239"/>
      <c r="DK542" s="237">
        <f>COUNTIFS('Form Details'!$W:$W,"Adv/Paid/NoStatus",'Form Details'!$N:$N,"Srinivas",'Form Details'!$J:$J,$C542,'Form Details'!$D:$D,'Adv. Filter'!$A$14,'Form Details'!$D:$D,'Adv. Filter'!$B$14)</f>
        <v>0</v>
      </c>
      <c r="DL542" s="238"/>
      <c r="DM542" s="238"/>
      <c r="DN542" s="238"/>
      <c r="DO542" s="238"/>
      <c r="DP542" s="238"/>
      <c r="DQ542" s="239"/>
      <c r="DR542" s="237">
        <f>COUNTIFS('Form Details'!$W:$W,"No Status",'Form Details'!$N:$N,"Srinivas",'Form Details'!$J:$J,$C542,'Form Details'!$D:$D,'Adv. Filter'!$A$14,'Form Details'!$D:$D,'Adv. Filter'!$B$14)</f>
        <v>0</v>
      </c>
      <c r="DS542" s="238"/>
      <c r="DT542" s="238"/>
      <c r="DU542" s="238"/>
      <c r="DV542" s="238"/>
      <c r="DW542" s="238"/>
      <c r="DX542" s="239"/>
      <c r="DY542" s="237">
        <f>SUM(COUNTIFS('Form Details'!$W:$W,{"Wrong Entry ","Double Entry"},'Form Details'!$N:$N,"Srinivas",'Form Details'!$J:$J,$C542,'Form Details'!$D:$D,'Adv. Filter'!$A$14,'Form Details'!$D:$D,'Adv. Filter'!$B$14))</f>
        <v>0</v>
      </c>
      <c r="DZ542" s="238"/>
      <c r="EA542" s="238"/>
      <c r="EB542" s="238"/>
      <c r="EC542" s="238"/>
      <c r="ED542" s="238"/>
      <c r="EE542" s="239"/>
    </row>
    <row r="543" spans="3:135" hidden="1">
      <c r="C543" s="248" t="s">
        <v>77</v>
      </c>
      <c r="D543" s="249"/>
      <c r="E543" s="249"/>
      <c r="F543" s="249"/>
      <c r="G543" s="249"/>
      <c r="H543" s="249"/>
      <c r="I543" s="249"/>
      <c r="J543" s="249"/>
      <c r="K543" s="249"/>
      <c r="L543" s="249"/>
      <c r="M543" s="249"/>
      <c r="N543" s="249"/>
      <c r="O543" s="237">
        <f>SUM(COUNTIFS('Form Details'!$AA:$AA,{"Yes","No","-"},'Form Details'!$N:$N,"Srinivas",'Form Details'!$J:$J,$C543,'Form Details'!$D:$D,'Adv. Filter'!$A$14,'Form Details'!$D:$D,'Adv. Filter'!$B$14))</f>
        <v>28</v>
      </c>
      <c r="P543" s="238"/>
      <c r="Q543" s="238"/>
      <c r="R543" s="238"/>
      <c r="S543" s="238"/>
      <c r="T543" s="238"/>
      <c r="U543" s="239"/>
      <c r="V543" s="100"/>
      <c r="W543" s="237">
        <f>COUNTIFS('Form Details'!$AA:$AA,"Yes",'Form Details'!$N:$N,"Srinivas",'Form Details'!$J:$J,$C543,'Form Details'!$D:$D,'Adv. Filter'!$A$14,'Form Details'!$D:$D,'Adv. Filter'!$B$14)</f>
        <v>27</v>
      </c>
      <c r="X543" s="238"/>
      <c r="Y543" s="238"/>
      <c r="Z543" s="238"/>
      <c r="AA543" s="238"/>
      <c r="AB543" s="238"/>
      <c r="AC543" s="239"/>
      <c r="AD543" s="237">
        <f>COUNTIFS('Form Details'!$W:$W,"Paid",'Form Details'!$N:$N,"Srinivas",'Form Details'!$J:$J,$C543,'Form Details'!$D:$D,'Adv. Filter'!$A$14,'Form Details'!$D:$D,'Adv. Filter'!$B$14)</f>
        <v>15</v>
      </c>
      <c r="AE543" s="238"/>
      <c r="AF543" s="238"/>
      <c r="AG543" s="238"/>
      <c r="AH543" s="238"/>
      <c r="AI543" s="238"/>
      <c r="AJ543" s="239"/>
      <c r="AK543" s="237">
        <f>COUNTIFS('Form Details'!$W:$W,"Due",'Form Details'!$N:$N,"Srinivas",'Form Details'!$J:$J,$C543,'Form Details'!$D:$D,'Adv. Filter'!$A$14,'Form Details'!$D:$D,'Adv. Filter'!$B$14)</f>
        <v>12</v>
      </c>
      <c r="AL543" s="238"/>
      <c r="AM543" s="238"/>
      <c r="AN543" s="238"/>
      <c r="AO543" s="238"/>
      <c r="AP543" s="238"/>
      <c r="AQ543" s="239"/>
      <c r="AR543" s="237">
        <f>COUNTIFS('Form Details'!$W:$W,"No Fee",'Form Details'!$N:$N,"Srinivas",'Form Details'!$J:$J,$C543,'Form Details'!$D:$D,'Adv. Filter'!$A$14,'Form Details'!$D:$D,'Adv. Filter'!$B$14)</f>
        <v>0</v>
      </c>
      <c r="AS543" s="238"/>
      <c r="AT543" s="238"/>
      <c r="AU543" s="238"/>
      <c r="AV543" s="238"/>
      <c r="AW543" s="238"/>
      <c r="AX543" s="239"/>
      <c r="AY543" s="237">
        <f>COUNTIFS('Form Details'!$W:$W,"Paid/Reject",'Form Details'!$N:$N,"Srinivas",'Form Details'!$J:$J,$C543,'Form Details'!$D:$D,'Adv. Filter'!$A$14,'Form Details'!$D:$D,'Adv. Filter'!$B$14)</f>
        <v>0</v>
      </c>
      <c r="AZ543" s="238"/>
      <c r="BA543" s="238"/>
      <c r="BB543" s="238"/>
      <c r="BC543" s="238"/>
      <c r="BD543" s="238"/>
      <c r="BE543" s="239"/>
      <c r="BF543" s="237">
        <f>COUNTIFS('Form Details'!$W:$W,"Staff",'Form Details'!$N:$N,"Srinivas",'Form Details'!$J:$J,$C543,'Form Details'!$D:$D,'Adv. Filter'!$A$14,'Form Details'!$D:$D,'Adv. Filter'!$B$14)</f>
        <v>0</v>
      </c>
      <c r="BG543" s="238"/>
      <c r="BH543" s="238"/>
      <c r="BI543" s="238"/>
      <c r="BJ543" s="238"/>
      <c r="BK543" s="238"/>
      <c r="BL543" s="239"/>
      <c r="BM543" s="237">
        <f>COUNTIFS('Form Details'!$W:$W,"File in Office",'Form Details'!$N:$N,"Srinivas",'Form Details'!$J:$J,$C543,'Form Details'!$D:$D,'Adv. Filter'!$A$14,'Form Details'!$D:$D,'Adv. Filter'!$B$14)</f>
        <v>0</v>
      </c>
      <c r="BN543" s="238"/>
      <c r="BO543" s="238"/>
      <c r="BP543" s="238"/>
      <c r="BQ543" s="238"/>
      <c r="BR543" s="238"/>
      <c r="BS543" s="239"/>
      <c r="BT543" s="100"/>
      <c r="BU543" s="237">
        <f>COUNTIFS('Form Details'!$AA:$AA,"No",'Form Details'!$N:$N,"Srinivas",'Form Details'!$J:$J,$C543,'Form Details'!$D:$D,'Adv. Filter'!$A$14,'Form Details'!$D:$D,'Adv. Filter'!$B$14)</f>
        <v>1</v>
      </c>
      <c r="BV543" s="238"/>
      <c r="BW543" s="238"/>
      <c r="BX543" s="238"/>
      <c r="BY543" s="238"/>
      <c r="BZ543" s="238"/>
      <c r="CA543" s="239"/>
      <c r="CB543" s="237">
        <f>COUNTIFS('Form Details'!$W:$W,"Adv/Paid",'Form Details'!$N:$N,"Srinivas",'Form Details'!$J:$J,$C543,'Form Details'!$D:$D,'Adv. Filter'!$A$14,'Form Details'!$D:$D,'Adv. Filter'!$B$14)</f>
        <v>0</v>
      </c>
      <c r="CC543" s="238"/>
      <c r="CD543" s="238"/>
      <c r="CE543" s="238"/>
      <c r="CF543" s="238"/>
      <c r="CG543" s="238"/>
      <c r="CH543" s="239"/>
      <c r="CI543" s="237">
        <f>COUNTIFS('Form Details'!$W:$W,"Adv/Paid/Reject",'Form Details'!$N:$N,"Srinivas",'Form Details'!$J:$J,$C543,'Form Details'!$D:$D,'Adv. Filter'!$A$14,'Form Details'!$D:$D,'Adv. Filter'!$B$14)</f>
        <v>0</v>
      </c>
      <c r="CJ543" s="238"/>
      <c r="CK543" s="238"/>
      <c r="CL543" s="238"/>
      <c r="CM543" s="238"/>
      <c r="CN543" s="238"/>
      <c r="CO543" s="239"/>
      <c r="CP543" s="237">
        <f>COUNTIFS('Form Details'!$W:$W,"Reject",'Form Details'!$N:$N,"Srinivas",'Form Details'!$J:$J,$C543,'Form Details'!$D:$D,'Adv. Filter'!$A$14,'Form Details'!$D:$D,'Adv. Filter'!$B$14)</f>
        <v>0</v>
      </c>
      <c r="CQ543" s="238"/>
      <c r="CR543" s="238"/>
      <c r="CS543" s="238"/>
      <c r="CT543" s="238"/>
      <c r="CU543" s="238"/>
      <c r="CV543" s="239"/>
      <c r="CW543" s="237">
        <f>COUNTIFS('Form Details'!$W:$W,"Adv/Paid/Pending",'Form Details'!$N:$N,"Srinivas",'Form Details'!$J:$J,$C543,'Form Details'!$D:$D,'Adv. Filter'!$A$14,'Form Details'!$D:$D,'Adv. Filter'!$B$14)</f>
        <v>0</v>
      </c>
      <c r="CX543" s="238"/>
      <c r="CY543" s="238"/>
      <c r="CZ543" s="238"/>
      <c r="DA543" s="238"/>
      <c r="DB543" s="238"/>
      <c r="DC543" s="239"/>
      <c r="DD543" s="237">
        <f>COUNTIFS('Form Details'!$W:$W,"Pending",'Form Details'!$N:$N,"Srinivas",'Form Details'!$J:$J,$C543,'Form Details'!$D:$D,'Adv. Filter'!$A$14,'Form Details'!$D:$D,'Adv. Filter'!$B$14)</f>
        <v>0</v>
      </c>
      <c r="DE543" s="238"/>
      <c r="DF543" s="238"/>
      <c r="DG543" s="238"/>
      <c r="DH543" s="238"/>
      <c r="DI543" s="238"/>
      <c r="DJ543" s="239"/>
      <c r="DK543" s="237">
        <f>COUNTIFS('Form Details'!$W:$W,"Adv/Paid/NoStatus",'Form Details'!$N:$N,"Srinivas",'Form Details'!$J:$J,$C543,'Form Details'!$D:$D,'Adv. Filter'!$A$14,'Form Details'!$D:$D,'Adv. Filter'!$B$14)</f>
        <v>0</v>
      </c>
      <c r="DL543" s="238"/>
      <c r="DM543" s="238"/>
      <c r="DN543" s="238"/>
      <c r="DO543" s="238"/>
      <c r="DP543" s="238"/>
      <c r="DQ543" s="239"/>
      <c r="DR543" s="237">
        <f>COUNTIFS('Form Details'!$W:$W,"No Status",'Form Details'!$N:$N,"Srinivas",'Form Details'!$J:$J,$C543,'Form Details'!$D:$D,'Adv. Filter'!$A$14,'Form Details'!$D:$D,'Adv. Filter'!$B$14)</f>
        <v>0</v>
      </c>
      <c r="DS543" s="238"/>
      <c r="DT543" s="238"/>
      <c r="DU543" s="238"/>
      <c r="DV543" s="238"/>
      <c r="DW543" s="238"/>
      <c r="DX543" s="239"/>
      <c r="DY543" s="237">
        <f>SUM(COUNTIFS('Form Details'!$W:$W,{"Wrong Entry ","Double Entry"},'Form Details'!$N:$N,"Srinivas",'Form Details'!$J:$J,$C543,'Form Details'!$D:$D,'Adv. Filter'!$A$14,'Form Details'!$D:$D,'Adv. Filter'!$B$14))</f>
        <v>1</v>
      </c>
      <c r="DZ543" s="238"/>
      <c r="EA543" s="238"/>
      <c r="EB543" s="238"/>
      <c r="EC543" s="238"/>
      <c r="ED543" s="238"/>
      <c r="EE543" s="239"/>
    </row>
    <row r="544" spans="3:135" hidden="1">
      <c r="C544" s="248" t="s">
        <v>138</v>
      </c>
      <c r="D544" s="249"/>
      <c r="E544" s="249"/>
      <c r="F544" s="249"/>
      <c r="G544" s="249"/>
      <c r="H544" s="249"/>
      <c r="I544" s="249"/>
      <c r="J544" s="249"/>
      <c r="K544" s="249"/>
      <c r="L544" s="249"/>
      <c r="M544" s="249"/>
      <c r="N544" s="249"/>
      <c r="O544" s="237">
        <f>SUM(COUNTIFS('Form Details'!$AA:$AA,{"Yes","No","-"},'Form Details'!$N:$N,"Srinivas",'Form Details'!$J:$J,$C544,'Form Details'!$D:$D,'Adv. Filter'!$A$14,'Form Details'!$D:$D,'Adv. Filter'!$B$14))</f>
        <v>0</v>
      </c>
      <c r="P544" s="238"/>
      <c r="Q544" s="238"/>
      <c r="R544" s="238"/>
      <c r="S544" s="238"/>
      <c r="T544" s="238"/>
      <c r="U544" s="239"/>
      <c r="V544" s="100"/>
      <c r="W544" s="237">
        <f>COUNTIFS('Form Details'!$AA:$AA,"Yes",'Form Details'!$N:$N,"Srinivas",'Form Details'!$J:$J,$C544,'Form Details'!$D:$D,'Adv. Filter'!$A$14,'Form Details'!$D:$D,'Adv. Filter'!$B$14)</f>
        <v>0</v>
      </c>
      <c r="X544" s="238"/>
      <c r="Y544" s="238"/>
      <c r="Z544" s="238"/>
      <c r="AA544" s="238"/>
      <c r="AB544" s="238"/>
      <c r="AC544" s="239"/>
      <c r="AD544" s="237">
        <f>COUNTIFS('Form Details'!$W:$W,"Paid",'Form Details'!$N:$N,"Srinivas",'Form Details'!$J:$J,$C544,'Form Details'!$D:$D,'Adv. Filter'!$A$14,'Form Details'!$D:$D,'Adv. Filter'!$B$14)</f>
        <v>0</v>
      </c>
      <c r="AE544" s="238"/>
      <c r="AF544" s="238"/>
      <c r="AG544" s="238"/>
      <c r="AH544" s="238"/>
      <c r="AI544" s="238"/>
      <c r="AJ544" s="239"/>
      <c r="AK544" s="237">
        <f>COUNTIFS('Form Details'!$W:$W,"Due",'Form Details'!$N:$N,"Srinivas",'Form Details'!$J:$J,$C544,'Form Details'!$D:$D,'Adv. Filter'!$A$14,'Form Details'!$D:$D,'Adv. Filter'!$B$14)</f>
        <v>0</v>
      </c>
      <c r="AL544" s="238"/>
      <c r="AM544" s="238"/>
      <c r="AN544" s="238"/>
      <c r="AO544" s="238"/>
      <c r="AP544" s="238"/>
      <c r="AQ544" s="239"/>
      <c r="AR544" s="237">
        <f>COUNTIFS('Form Details'!$W:$W,"No Fee",'Form Details'!$N:$N,"Srinivas",'Form Details'!$J:$J,$C544,'Form Details'!$D:$D,'Adv. Filter'!$A$14,'Form Details'!$D:$D,'Adv. Filter'!$B$14)</f>
        <v>0</v>
      </c>
      <c r="AS544" s="238"/>
      <c r="AT544" s="238"/>
      <c r="AU544" s="238"/>
      <c r="AV544" s="238"/>
      <c r="AW544" s="238"/>
      <c r="AX544" s="239"/>
      <c r="AY544" s="237">
        <f>COUNTIFS('Form Details'!$W:$W,"Paid/Reject",'Form Details'!$N:$N,"Srinivas",'Form Details'!$J:$J,$C544,'Form Details'!$D:$D,'Adv. Filter'!$A$14,'Form Details'!$D:$D,'Adv. Filter'!$B$14)</f>
        <v>0</v>
      </c>
      <c r="AZ544" s="238"/>
      <c r="BA544" s="238"/>
      <c r="BB544" s="238"/>
      <c r="BC544" s="238"/>
      <c r="BD544" s="238"/>
      <c r="BE544" s="239"/>
      <c r="BF544" s="237">
        <f>COUNTIFS('Form Details'!$W:$W,"Staff",'Form Details'!$N:$N,"Srinivas",'Form Details'!$J:$J,$C544,'Form Details'!$D:$D,'Adv. Filter'!$A$14,'Form Details'!$D:$D,'Adv. Filter'!$B$14)</f>
        <v>0</v>
      </c>
      <c r="BG544" s="238"/>
      <c r="BH544" s="238"/>
      <c r="BI544" s="238"/>
      <c r="BJ544" s="238"/>
      <c r="BK544" s="238"/>
      <c r="BL544" s="239"/>
      <c r="BM544" s="237">
        <f>COUNTIFS('Form Details'!$W:$W,"File in Office",'Form Details'!$N:$N,"Srinivas",'Form Details'!$J:$J,$C544,'Form Details'!$D:$D,'Adv. Filter'!$A$14,'Form Details'!$D:$D,'Adv. Filter'!$B$14)</f>
        <v>0</v>
      </c>
      <c r="BN544" s="238"/>
      <c r="BO544" s="238"/>
      <c r="BP544" s="238"/>
      <c r="BQ544" s="238"/>
      <c r="BR544" s="238"/>
      <c r="BS544" s="239"/>
      <c r="BT544" s="100"/>
      <c r="BU544" s="237">
        <f>COUNTIFS('Form Details'!$AA:$AA,"No",'Form Details'!$N:$N,"Srinivas",'Form Details'!$J:$J,$C544,'Form Details'!$D:$D,'Adv. Filter'!$A$14,'Form Details'!$D:$D,'Adv. Filter'!$B$14)</f>
        <v>0</v>
      </c>
      <c r="BV544" s="238"/>
      <c r="BW544" s="238"/>
      <c r="BX544" s="238"/>
      <c r="BY544" s="238"/>
      <c r="BZ544" s="238"/>
      <c r="CA544" s="239"/>
      <c r="CB544" s="237">
        <f>COUNTIFS('Form Details'!$W:$W,"Adv/Paid",'Form Details'!$N:$N,"Srinivas",'Form Details'!$J:$J,$C544,'Form Details'!$D:$D,'Adv. Filter'!$A$14,'Form Details'!$D:$D,'Adv. Filter'!$B$14)</f>
        <v>0</v>
      </c>
      <c r="CC544" s="238"/>
      <c r="CD544" s="238"/>
      <c r="CE544" s="238"/>
      <c r="CF544" s="238"/>
      <c r="CG544" s="238"/>
      <c r="CH544" s="239"/>
      <c r="CI544" s="237">
        <f>COUNTIFS('Form Details'!$W:$W,"Adv/Paid/Reject",'Form Details'!$N:$N,"Srinivas",'Form Details'!$J:$J,$C544,'Form Details'!$D:$D,'Adv. Filter'!$A$14,'Form Details'!$D:$D,'Adv. Filter'!$B$14)</f>
        <v>0</v>
      </c>
      <c r="CJ544" s="238"/>
      <c r="CK544" s="238"/>
      <c r="CL544" s="238"/>
      <c r="CM544" s="238"/>
      <c r="CN544" s="238"/>
      <c r="CO544" s="239"/>
      <c r="CP544" s="237">
        <f>COUNTIFS('Form Details'!$W:$W,"Reject",'Form Details'!$N:$N,"Srinivas",'Form Details'!$J:$J,$C544,'Form Details'!$D:$D,'Adv. Filter'!$A$14,'Form Details'!$D:$D,'Adv. Filter'!$B$14)</f>
        <v>0</v>
      </c>
      <c r="CQ544" s="238"/>
      <c r="CR544" s="238"/>
      <c r="CS544" s="238"/>
      <c r="CT544" s="238"/>
      <c r="CU544" s="238"/>
      <c r="CV544" s="239"/>
      <c r="CW544" s="237">
        <f>COUNTIFS('Form Details'!$W:$W,"Adv/Paid/Pending",'Form Details'!$N:$N,"Srinivas",'Form Details'!$J:$J,$C544,'Form Details'!$D:$D,'Adv. Filter'!$A$14,'Form Details'!$D:$D,'Adv. Filter'!$B$14)</f>
        <v>0</v>
      </c>
      <c r="CX544" s="238"/>
      <c r="CY544" s="238"/>
      <c r="CZ544" s="238"/>
      <c r="DA544" s="238"/>
      <c r="DB544" s="238"/>
      <c r="DC544" s="239"/>
      <c r="DD544" s="237">
        <f>COUNTIFS('Form Details'!$W:$W,"Pending",'Form Details'!$N:$N,"Srinivas",'Form Details'!$J:$J,$C544,'Form Details'!$D:$D,'Adv. Filter'!$A$14,'Form Details'!$D:$D,'Adv. Filter'!$B$14)</f>
        <v>0</v>
      </c>
      <c r="DE544" s="238"/>
      <c r="DF544" s="238"/>
      <c r="DG544" s="238"/>
      <c r="DH544" s="238"/>
      <c r="DI544" s="238"/>
      <c r="DJ544" s="239"/>
      <c r="DK544" s="237">
        <f>COUNTIFS('Form Details'!$W:$W,"Adv/Paid/NoStatus",'Form Details'!$N:$N,"Srinivas",'Form Details'!$J:$J,$C544,'Form Details'!$D:$D,'Adv. Filter'!$A$14,'Form Details'!$D:$D,'Adv. Filter'!$B$14)</f>
        <v>0</v>
      </c>
      <c r="DL544" s="238"/>
      <c r="DM544" s="238"/>
      <c r="DN544" s="238"/>
      <c r="DO544" s="238"/>
      <c r="DP544" s="238"/>
      <c r="DQ544" s="239"/>
      <c r="DR544" s="237">
        <f>COUNTIFS('Form Details'!$W:$W,"No Status",'Form Details'!$N:$N,"Srinivas",'Form Details'!$J:$J,$C544,'Form Details'!$D:$D,'Adv. Filter'!$A$14,'Form Details'!$D:$D,'Adv. Filter'!$B$14)</f>
        <v>0</v>
      </c>
      <c r="DS544" s="238"/>
      <c r="DT544" s="238"/>
      <c r="DU544" s="238"/>
      <c r="DV544" s="238"/>
      <c r="DW544" s="238"/>
      <c r="DX544" s="239"/>
      <c r="DY544" s="237">
        <f>SUM(COUNTIFS('Form Details'!$W:$W,{"Wrong Entry ","Double Entry"},'Form Details'!$N:$N,"Srinivas",'Form Details'!$J:$J,$C544,'Form Details'!$D:$D,'Adv. Filter'!$A$14,'Form Details'!$D:$D,'Adv. Filter'!$B$14))</f>
        <v>0</v>
      </c>
      <c r="DZ544" s="238"/>
      <c r="EA544" s="238"/>
      <c r="EB544" s="238"/>
      <c r="EC544" s="238"/>
      <c r="ED544" s="238"/>
      <c r="EE544" s="239"/>
    </row>
    <row r="545" spans="3:135" hidden="1">
      <c r="C545" s="248" t="s">
        <v>84</v>
      </c>
      <c r="D545" s="249"/>
      <c r="E545" s="249"/>
      <c r="F545" s="249"/>
      <c r="G545" s="249"/>
      <c r="H545" s="249"/>
      <c r="I545" s="249"/>
      <c r="J545" s="249"/>
      <c r="K545" s="249"/>
      <c r="L545" s="249"/>
      <c r="M545" s="249"/>
      <c r="N545" s="249"/>
      <c r="O545" s="237">
        <f>SUM(COUNTIFS('Form Details'!$AA:$AA,{"Yes","No","-"},'Form Details'!$N:$N,"Srinivas",'Form Details'!$J:$J,$C545,'Form Details'!$D:$D,'Adv. Filter'!$A$14,'Form Details'!$D:$D,'Adv. Filter'!$B$14))</f>
        <v>0</v>
      </c>
      <c r="P545" s="238"/>
      <c r="Q545" s="238"/>
      <c r="R545" s="238"/>
      <c r="S545" s="238"/>
      <c r="T545" s="238"/>
      <c r="U545" s="239"/>
      <c r="V545" s="100"/>
      <c r="W545" s="237">
        <f>COUNTIFS('Form Details'!$AA:$AA,"Yes",'Form Details'!$N:$N,"Srinivas",'Form Details'!$J:$J,$C545,'Form Details'!$D:$D,'Adv. Filter'!$A$14,'Form Details'!$D:$D,'Adv. Filter'!$B$14)</f>
        <v>0</v>
      </c>
      <c r="X545" s="238"/>
      <c r="Y545" s="238"/>
      <c r="Z545" s="238"/>
      <c r="AA545" s="238"/>
      <c r="AB545" s="238"/>
      <c r="AC545" s="239"/>
      <c r="AD545" s="237">
        <f>COUNTIFS('Form Details'!$W:$W,"Paid",'Form Details'!$N:$N,"Srinivas",'Form Details'!$J:$J,$C545,'Form Details'!$D:$D,'Adv. Filter'!$A$14,'Form Details'!$D:$D,'Adv. Filter'!$B$14)</f>
        <v>0</v>
      </c>
      <c r="AE545" s="238"/>
      <c r="AF545" s="238"/>
      <c r="AG545" s="238"/>
      <c r="AH545" s="238"/>
      <c r="AI545" s="238"/>
      <c r="AJ545" s="239"/>
      <c r="AK545" s="237">
        <f>COUNTIFS('Form Details'!$W:$W,"Due",'Form Details'!$N:$N,"Srinivas",'Form Details'!$J:$J,$C545,'Form Details'!$D:$D,'Adv. Filter'!$A$14,'Form Details'!$D:$D,'Adv. Filter'!$B$14)</f>
        <v>0</v>
      </c>
      <c r="AL545" s="238"/>
      <c r="AM545" s="238"/>
      <c r="AN545" s="238"/>
      <c r="AO545" s="238"/>
      <c r="AP545" s="238"/>
      <c r="AQ545" s="239"/>
      <c r="AR545" s="237">
        <f>COUNTIFS('Form Details'!$W:$W,"No Fee",'Form Details'!$N:$N,"Srinivas",'Form Details'!$J:$J,$C545,'Form Details'!$D:$D,'Adv. Filter'!$A$14,'Form Details'!$D:$D,'Adv. Filter'!$B$14)</f>
        <v>0</v>
      </c>
      <c r="AS545" s="238"/>
      <c r="AT545" s="238"/>
      <c r="AU545" s="238"/>
      <c r="AV545" s="238"/>
      <c r="AW545" s="238"/>
      <c r="AX545" s="239"/>
      <c r="AY545" s="237">
        <f>COUNTIFS('Form Details'!$W:$W,"Paid/Reject",'Form Details'!$N:$N,"Srinivas",'Form Details'!$J:$J,$C545,'Form Details'!$D:$D,'Adv. Filter'!$A$14,'Form Details'!$D:$D,'Adv. Filter'!$B$14)</f>
        <v>0</v>
      </c>
      <c r="AZ545" s="238"/>
      <c r="BA545" s="238"/>
      <c r="BB545" s="238"/>
      <c r="BC545" s="238"/>
      <c r="BD545" s="238"/>
      <c r="BE545" s="239"/>
      <c r="BF545" s="237">
        <f>COUNTIFS('Form Details'!$W:$W,"Staff",'Form Details'!$N:$N,"Srinivas",'Form Details'!$J:$J,$C545,'Form Details'!$D:$D,'Adv. Filter'!$A$14,'Form Details'!$D:$D,'Adv. Filter'!$B$14)</f>
        <v>0</v>
      </c>
      <c r="BG545" s="238"/>
      <c r="BH545" s="238"/>
      <c r="BI545" s="238"/>
      <c r="BJ545" s="238"/>
      <c r="BK545" s="238"/>
      <c r="BL545" s="239"/>
      <c r="BM545" s="237">
        <f>COUNTIFS('Form Details'!$W:$W,"File in Office",'Form Details'!$N:$N,"Srinivas",'Form Details'!$J:$J,$C545,'Form Details'!$D:$D,'Adv. Filter'!$A$14,'Form Details'!$D:$D,'Adv. Filter'!$B$14)</f>
        <v>0</v>
      </c>
      <c r="BN545" s="238"/>
      <c r="BO545" s="238"/>
      <c r="BP545" s="238"/>
      <c r="BQ545" s="238"/>
      <c r="BR545" s="238"/>
      <c r="BS545" s="239"/>
      <c r="BT545" s="100"/>
      <c r="BU545" s="237">
        <f>COUNTIFS('Form Details'!$AA:$AA,"No",'Form Details'!$N:$N,"Srinivas",'Form Details'!$J:$J,$C545,'Form Details'!$D:$D,'Adv. Filter'!$A$14,'Form Details'!$D:$D,'Adv. Filter'!$B$14)</f>
        <v>0</v>
      </c>
      <c r="BV545" s="238"/>
      <c r="BW545" s="238"/>
      <c r="BX545" s="238"/>
      <c r="BY545" s="238"/>
      <c r="BZ545" s="238"/>
      <c r="CA545" s="239"/>
      <c r="CB545" s="237">
        <f>COUNTIFS('Form Details'!$W:$W,"Adv/Paid",'Form Details'!$N:$N,"Srinivas",'Form Details'!$J:$J,$C545,'Form Details'!$D:$D,'Adv. Filter'!$A$14,'Form Details'!$D:$D,'Adv. Filter'!$B$14)</f>
        <v>0</v>
      </c>
      <c r="CC545" s="238"/>
      <c r="CD545" s="238"/>
      <c r="CE545" s="238"/>
      <c r="CF545" s="238"/>
      <c r="CG545" s="238"/>
      <c r="CH545" s="239"/>
      <c r="CI545" s="237">
        <f>COUNTIFS('Form Details'!$W:$W,"Adv/Paid/Reject",'Form Details'!$N:$N,"Srinivas",'Form Details'!$J:$J,$C545,'Form Details'!$D:$D,'Adv. Filter'!$A$14,'Form Details'!$D:$D,'Adv. Filter'!$B$14)</f>
        <v>0</v>
      </c>
      <c r="CJ545" s="238"/>
      <c r="CK545" s="238"/>
      <c r="CL545" s="238"/>
      <c r="CM545" s="238"/>
      <c r="CN545" s="238"/>
      <c r="CO545" s="239"/>
      <c r="CP545" s="237">
        <f>COUNTIFS('Form Details'!$W:$W,"Reject",'Form Details'!$N:$N,"Srinivas",'Form Details'!$J:$J,$C545,'Form Details'!$D:$D,'Adv. Filter'!$A$14,'Form Details'!$D:$D,'Adv. Filter'!$B$14)</f>
        <v>0</v>
      </c>
      <c r="CQ545" s="238"/>
      <c r="CR545" s="238"/>
      <c r="CS545" s="238"/>
      <c r="CT545" s="238"/>
      <c r="CU545" s="238"/>
      <c r="CV545" s="239"/>
      <c r="CW545" s="237">
        <f>COUNTIFS('Form Details'!$W:$W,"Adv/Paid/Pending",'Form Details'!$N:$N,"Srinivas",'Form Details'!$J:$J,$C545,'Form Details'!$D:$D,'Adv. Filter'!$A$14,'Form Details'!$D:$D,'Adv. Filter'!$B$14)</f>
        <v>0</v>
      </c>
      <c r="CX545" s="238"/>
      <c r="CY545" s="238"/>
      <c r="CZ545" s="238"/>
      <c r="DA545" s="238"/>
      <c r="DB545" s="238"/>
      <c r="DC545" s="239"/>
      <c r="DD545" s="237">
        <f>COUNTIFS('Form Details'!$W:$W,"Pending",'Form Details'!$N:$N,"Srinivas",'Form Details'!$J:$J,$C545,'Form Details'!$D:$D,'Adv. Filter'!$A$14,'Form Details'!$D:$D,'Adv. Filter'!$B$14)</f>
        <v>0</v>
      </c>
      <c r="DE545" s="238"/>
      <c r="DF545" s="238"/>
      <c r="DG545" s="238"/>
      <c r="DH545" s="238"/>
      <c r="DI545" s="238"/>
      <c r="DJ545" s="239"/>
      <c r="DK545" s="237">
        <f>COUNTIFS('Form Details'!$W:$W,"Adv/Paid/NoStatus",'Form Details'!$N:$N,"Srinivas",'Form Details'!$J:$J,$C545,'Form Details'!$D:$D,'Adv. Filter'!$A$14,'Form Details'!$D:$D,'Adv. Filter'!$B$14)</f>
        <v>0</v>
      </c>
      <c r="DL545" s="238"/>
      <c r="DM545" s="238"/>
      <c r="DN545" s="238"/>
      <c r="DO545" s="238"/>
      <c r="DP545" s="238"/>
      <c r="DQ545" s="239"/>
      <c r="DR545" s="237">
        <f>COUNTIFS('Form Details'!$W:$W,"No Status",'Form Details'!$N:$N,"Srinivas",'Form Details'!$J:$J,$C545,'Form Details'!$D:$D,'Adv. Filter'!$A$14,'Form Details'!$D:$D,'Adv. Filter'!$B$14)</f>
        <v>0</v>
      </c>
      <c r="DS545" s="238"/>
      <c r="DT545" s="238"/>
      <c r="DU545" s="238"/>
      <c r="DV545" s="238"/>
      <c r="DW545" s="238"/>
      <c r="DX545" s="239"/>
      <c r="DY545" s="237">
        <f>SUM(COUNTIFS('Form Details'!$W:$W,{"Wrong Entry ","Double Entry"},'Form Details'!$N:$N,"Srinivas",'Form Details'!$J:$J,$C545,'Form Details'!$D:$D,'Adv. Filter'!$A$14,'Form Details'!$D:$D,'Adv. Filter'!$B$14))</f>
        <v>0</v>
      </c>
      <c r="DZ545" s="238"/>
      <c r="EA545" s="238"/>
      <c r="EB545" s="238"/>
      <c r="EC545" s="238"/>
      <c r="ED545" s="238"/>
      <c r="EE545" s="239"/>
    </row>
    <row r="546" spans="3:135" ht="15.75" hidden="1" thickBot="1">
      <c r="C546" s="248" t="s">
        <v>551</v>
      </c>
      <c r="D546" s="249"/>
      <c r="E546" s="249"/>
      <c r="F546" s="249"/>
      <c r="G546" s="249"/>
      <c r="H546" s="249"/>
      <c r="I546" s="249"/>
      <c r="J546" s="249"/>
      <c r="K546" s="249"/>
      <c r="L546" s="249"/>
      <c r="M546" s="249"/>
      <c r="N546" s="249"/>
      <c r="O546" s="237">
        <f>SUM(COUNTIFS('Form Details'!$AA:$AA,{"Yes","No","-"},'Form Details'!$N:$N,"Srinivas",'Form Details'!$J:$J,$C546,'Form Details'!$D:$D,'Adv. Filter'!$A$14,'Form Details'!$D:$D,'Adv. Filter'!$B$14))</f>
        <v>54</v>
      </c>
      <c r="P546" s="238"/>
      <c r="Q546" s="238"/>
      <c r="R546" s="238"/>
      <c r="S546" s="238"/>
      <c r="T546" s="238"/>
      <c r="U546" s="239"/>
      <c r="V546" s="100"/>
      <c r="W546" s="237">
        <f>COUNTIFS('Form Details'!$AA:$AA,"Yes",'Form Details'!$N:$N,"Srinivas",'Form Details'!$J:$J,$C546,'Form Details'!$D:$D,'Adv. Filter'!$A$14,'Form Details'!$D:$D,'Adv. Filter'!$B$14)</f>
        <v>53</v>
      </c>
      <c r="X546" s="238"/>
      <c r="Y546" s="238"/>
      <c r="Z546" s="238"/>
      <c r="AA546" s="238"/>
      <c r="AB546" s="238"/>
      <c r="AC546" s="239"/>
      <c r="AD546" s="237">
        <f>COUNTIFS('Form Details'!$W:$W,"Paid",'Form Details'!$N:$N,"Srinivas",'Form Details'!$J:$J,$C546,'Form Details'!$D:$D,'Adv. Filter'!$A$14,'Form Details'!$D:$D,'Adv. Filter'!$B$14)</f>
        <v>15</v>
      </c>
      <c r="AE546" s="238"/>
      <c r="AF546" s="238"/>
      <c r="AG546" s="238"/>
      <c r="AH546" s="238"/>
      <c r="AI546" s="238"/>
      <c r="AJ546" s="239"/>
      <c r="AK546" s="237">
        <f>COUNTIFS('Form Details'!$W:$W,"Due",'Form Details'!$N:$N,"Srinivas",'Form Details'!$J:$J,$C546,'Form Details'!$D:$D,'Adv. Filter'!$A$14,'Form Details'!$D:$D,'Adv. Filter'!$B$14)</f>
        <v>38</v>
      </c>
      <c r="AL546" s="238"/>
      <c r="AM546" s="238"/>
      <c r="AN546" s="238"/>
      <c r="AO546" s="238"/>
      <c r="AP546" s="238"/>
      <c r="AQ546" s="239"/>
      <c r="AR546" s="237">
        <f>COUNTIFS('Form Details'!$W:$W,"No Fee",'Form Details'!$N:$N,"Srinivas",'Form Details'!$J:$J,$C546,'Form Details'!$D:$D,'Adv. Filter'!$A$14,'Form Details'!$D:$D,'Adv. Filter'!$B$14)</f>
        <v>0</v>
      </c>
      <c r="AS546" s="238"/>
      <c r="AT546" s="238"/>
      <c r="AU546" s="238"/>
      <c r="AV546" s="238"/>
      <c r="AW546" s="238"/>
      <c r="AX546" s="239"/>
      <c r="AY546" s="237">
        <f>COUNTIFS('Form Details'!$W:$W,"Paid/Reject",'Form Details'!$N:$N,"Srinivas",'Form Details'!$J:$J,$C546,'Form Details'!$D:$D,'Adv. Filter'!$A$14,'Form Details'!$D:$D,'Adv. Filter'!$B$14)</f>
        <v>0</v>
      </c>
      <c r="AZ546" s="238"/>
      <c r="BA546" s="238"/>
      <c r="BB546" s="238"/>
      <c r="BC546" s="238"/>
      <c r="BD546" s="238"/>
      <c r="BE546" s="239"/>
      <c r="BF546" s="237">
        <f>COUNTIFS('Form Details'!$W:$W,"Staff",'Form Details'!$N:$N,"Srinivas",'Form Details'!$J:$J,$C546,'Form Details'!$D:$D,'Adv. Filter'!$A$14,'Form Details'!$D:$D,'Adv. Filter'!$B$14)</f>
        <v>0</v>
      </c>
      <c r="BG546" s="238"/>
      <c r="BH546" s="238"/>
      <c r="BI546" s="238"/>
      <c r="BJ546" s="238"/>
      <c r="BK546" s="238"/>
      <c r="BL546" s="239"/>
      <c r="BM546" s="237">
        <f>COUNTIFS('Form Details'!$W:$W,"File in Office",'Form Details'!$N:$N,"Srinivas",'Form Details'!$J:$J,$C546,'Form Details'!$D:$D,'Adv. Filter'!$A$14,'Form Details'!$D:$D,'Adv. Filter'!$B$14)</f>
        <v>0</v>
      </c>
      <c r="BN546" s="238"/>
      <c r="BO546" s="238"/>
      <c r="BP546" s="238"/>
      <c r="BQ546" s="238"/>
      <c r="BR546" s="238"/>
      <c r="BS546" s="239"/>
      <c r="BT546" s="100"/>
      <c r="BU546" s="237">
        <f>COUNTIFS('Form Details'!$AA:$AA,"No",'Form Details'!$N:$N,"Srinivas",'Form Details'!$J:$J,$C546,'Form Details'!$D:$D,'Adv. Filter'!$A$14,'Form Details'!$D:$D,'Adv. Filter'!$B$14)</f>
        <v>1</v>
      </c>
      <c r="BV546" s="238"/>
      <c r="BW546" s="238"/>
      <c r="BX546" s="238"/>
      <c r="BY546" s="238"/>
      <c r="BZ546" s="238"/>
      <c r="CA546" s="239"/>
      <c r="CB546" s="237">
        <f>COUNTIFS('Form Details'!$W:$W,"Adv/Paid",'Form Details'!$N:$N,"Srinivas",'Form Details'!$J:$J,$C546,'Form Details'!$D:$D,'Adv. Filter'!$A$14,'Form Details'!$D:$D,'Adv. Filter'!$B$14)</f>
        <v>0</v>
      </c>
      <c r="CC546" s="238"/>
      <c r="CD546" s="238"/>
      <c r="CE546" s="238"/>
      <c r="CF546" s="238"/>
      <c r="CG546" s="238"/>
      <c r="CH546" s="239"/>
      <c r="CI546" s="237">
        <f>COUNTIFS('Form Details'!$W:$W,"Adv/Paid/Reject",'Form Details'!$N:$N,"Srinivas",'Form Details'!$J:$J,$C546,'Form Details'!$D:$D,'Adv. Filter'!$A$14,'Form Details'!$D:$D,'Adv. Filter'!$B$14)</f>
        <v>0</v>
      </c>
      <c r="CJ546" s="238"/>
      <c r="CK546" s="238"/>
      <c r="CL546" s="238"/>
      <c r="CM546" s="238"/>
      <c r="CN546" s="238"/>
      <c r="CO546" s="239"/>
      <c r="CP546" s="237">
        <f>COUNTIFS('Form Details'!$W:$W,"Reject",'Form Details'!$N:$N,"Srinivas",'Form Details'!$J:$J,$C546,'Form Details'!$D:$D,'Adv. Filter'!$A$14,'Form Details'!$D:$D,'Adv. Filter'!$B$14)</f>
        <v>0</v>
      </c>
      <c r="CQ546" s="238"/>
      <c r="CR546" s="238"/>
      <c r="CS546" s="238"/>
      <c r="CT546" s="238"/>
      <c r="CU546" s="238"/>
      <c r="CV546" s="239"/>
      <c r="CW546" s="237">
        <f>COUNTIFS('Form Details'!$W:$W,"Adv/Paid/Pending",'Form Details'!$N:$N,"Srinivas",'Form Details'!$J:$J,$C546,'Form Details'!$D:$D,'Adv. Filter'!$A$14,'Form Details'!$D:$D,'Adv. Filter'!$B$14)</f>
        <v>0</v>
      </c>
      <c r="CX546" s="238"/>
      <c r="CY546" s="238"/>
      <c r="CZ546" s="238"/>
      <c r="DA546" s="238"/>
      <c r="DB546" s="238"/>
      <c r="DC546" s="239"/>
      <c r="DD546" s="237">
        <f>COUNTIFS('Form Details'!$W:$W,"Pending",'Form Details'!$N:$N,"Srinivas",'Form Details'!$J:$J,$C546,'Form Details'!$D:$D,'Adv. Filter'!$A$14,'Form Details'!$D:$D,'Adv. Filter'!$B$14)</f>
        <v>0</v>
      </c>
      <c r="DE546" s="238"/>
      <c r="DF546" s="238"/>
      <c r="DG546" s="238"/>
      <c r="DH546" s="238"/>
      <c r="DI546" s="238"/>
      <c r="DJ546" s="239"/>
      <c r="DK546" s="237">
        <f>COUNTIFS('Form Details'!$W:$W,"Adv/Paid/NoStatus",'Form Details'!$N:$N,"Srinivas",'Form Details'!$J:$J,$C546,'Form Details'!$D:$D,'Adv. Filter'!$A$14,'Form Details'!$D:$D,'Adv. Filter'!$B$14)</f>
        <v>0</v>
      </c>
      <c r="DL546" s="238"/>
      <c r="DM546" s="238"/>
      <c r="DN546" s="238"/>
      <c r="DO546" s="238"/>
      <c r="DP546" s="238"/>
      <c r="DQ546" s="239"/>
      <c r="DR546" s="237">
        <f>COUNTIFS('Form Details'!$W:$W,"No Status",'Form Details'!$N:$N,"Srinivas",'Form Details'!$J:$J,$C546,'Form Details'!$D:$D,'Adv. Filter'!$A$14,'Form Details'!$D:$D,'Adv. Filter'!$B$14)</f>
        <v>0</v>
      </c>
      <c r="DS546" s="238"/>
      <c r="DT546" s="238"/>
      <c r="DU546" s="238"/>
      <c r="DV546" s="238"/>
      <c r="DW546" s="238"/>
      <c r="DX546" s="239"/>
      <c r="DY546" s="237">
        <f>SUM(COUNTIFS('Form Details'!$W:$W,{"Wrong Entry ","Double Entry"},'Form Details'!$N:$N,"Srinivas",'Form Details'!$J:$J,$C546,'Form Details'!$D:$D,'Adv. Filter'!$A$14,'Form Details'!$D:$D,'Adv. Filter'!$B$14))</f>
        <v>1</v>
      </c>
      <c r="DZ546" s="238"/>
      <c r="EA546" s="238"/>
      <c r="EB546" s="238"/>
      <c r="EC546" s="238"/>
      <c r="ED546" s="238"/>
      <c r="EE546" s="239"/>
    </row>
    <row r="547" spans="3:135" hidden="1">
      <c r="C547" s="248" t="s">
        <v>121</v>
      </c>
      <c r="D547" s="249"/>
      <c r="E547" s="249"/>
      <c r="F547" s="249"/>
      <c r="G547" s="249"/>
      <c r="H547" s="249"/>
      <c r="I547" s="249"/>
      <c r="J547" s="249"/>
      <c r="K547" s="249"/>
      <c r="L547" s="249"/>
      <c r="M547" s="249"/>
      <c r="N547" s="249"/>
      <c r="O547" s="237">
        <f>SUM(COUNTIFS('Form Details'!$AA:$AA,{"Yes","No","-"},'Form Details'!$N:$N,"Srinivas",'Form Details'!$J:$J,$C547,'Form Details'!$D:$D,'Adv. Filter'!$A$14,'Form Details'!$D:$D,'Adv. Filter'!$B$14))</f>
        <v>0</v>
      </c>
      <c r="P547" s="238"/>
      <c r="Q547" s="238"/>
      <c r="R547" s="238"/>
      <c r="S547" s="238"/>
      <c r="T547" s="238"/>
      <c r="U547" s="239"/>
      <c r="V547" s="100"/>
      <c r="W547" s="237">
        <f>COUNTIFS('Form Details'!$AA:$AA,"Yes",'Form Details'!$N:$N,"Srinivas",'Form Details'!$J:$J,$C547,'Form Details'!$D:$D,'Adv. Filter'!$A$14,'Form Details'!$D:$D,'Adv. Filter'!$B$14)</f>
        <v>0</v>
      </c>
      <c r="X547" s="238"/>
      <c r="Y547" s="238"/>
      <c r="Z547" s="238"/>
      <c r="AA547" s="238"/>
      <c r="AB547" s="238"/>
      <c r="AC547" s="239"/>
      <c r="AD547" s="237">
        <f>COUNTIFS('Form Details'!$W:$W,"Paid",'Form Details'!$N:$N,"Srinivas",'Form Details'!$J:$J,$C547,'Form Details'!$D:$D,'Adv. Filter'!$A$14,'Form Details'!$D:$D,'Adv. Filter'!$B$14)</f>
        <v>0</v>
      </c>
      <c r="AE547" s="238"/>
      <c r="AF547" s="238"/>
      <c r="AG547" s="238"/>
      <c r="AH547" s="238"/>
      <c r="AI547" s="238"/>
      <c r="AJ547" s="239"/>
      <c r="AK547" s="237">
        <f>COUNTIFS('Form Details'!$W:$W,"Due",'Form Details'!$N:$N,"Srinivas",'Form Details'!$J:$J,$C547,'Form Details'!$D:$D,'Adv. Filter'!$A$14,'Form Details'!$D:$D,'Adv. Filter'!$B$14)</f>
        <v>0</v>
      </c>
      <c r="AL547" s="238"/>
      <c r="AM547" s="238"/>
      <c r="AN547" s="238"/>
      <c r="AO547" s="238"/>
      <c r="AP547" s="238"/>
      <c r="AQ547" s="239"/>
      <c r="AR547" s="237">
        <f>COUNTIFS('Form Details'!$W:$W,"No Fee",'Form Details'!$N:$N,"Srinivas",'Form Details'!$J:$J,$C547,'Form Details'!$D:$D,'Adv. Filter'!$A$14,'Form Details'!$D:$D,'Adv. Filter'!$B$14)</f>
        <v>0</v>
      </c>
      <c r="AS547" s="238"/>
      <c r="AT547" s="238"/>
      <c r="AU547" s="238"/>
      <c r="AV547" s="238"/>
      <c r="AW547" s="238"/>
      <c r="AX547" s="239"/>
      <c r="AY547" s="237">
        <f>COUNTIFS('Form Details'!$W:$W,"Paid/Reject",'Form Details'!$N:$N,"Srinivas",'Form Details'!$J:$J,$C547,'Form Details'!$D:$D,'Adv. Filter'!$A$14,'Form Details'!$D:$D,'Adv. Filter'!$B$14)</f>
        <v>0</v>
      </c>
      <c r="AZ547" s="238"/>
      <c r="BA547" s="238"/>
      <c r="BB547" s="238"/>
      <c r="BC547" s="238"/>
      <c r="BD547" s="238"/>
      <c r="BE547" s="239"/>
      <c r="BF547" s="237">
        <f>COUNTIFS('Form Details'!$W:$W,"Staff",'Form Details'!$N:$N,"Srinivas",'Form Details'!$J:$J,$C547,'Form Details'!$D:$D,'Adv. Filter'!$A$14,'Form Details'!$D:$D,'Adv. Filter'!$B$14)</f>
        <v>0</v>
      </c>
      <c r="BG547" s="238"/>
      <c r="BH547" s="238"/>
      <c r="BI547" s="238"/>
      <c r="BJ547" s="238"/>
      <c r="BK547" s="238"/>
      <c r="BL547" s="239"/>
      <c r="BM547" s="237">
        <f>COUNTIFS('Form Details'!$W:$W,"File in Office",'Form Details'!$N:$N,"Srinivas",'Form Details'!$J:$J,$C547,'Form Details'!$D:$D,'Adv. Filter'!$A$14,'Form Details'!$D:$D,'Adv. Filter'!$B$14)</f>
        <v>0</v>
      </c>
      <c r="BN547" s="238"/>
      <c r="BO547" s="238"/>
      <c r="BP547" s="238"/>
      <c r="BQ547" s="238"/>
      <c r="BR547" s="238"/>
      <c r="BS547" s="239"/>
      <c r="BT547" s="100"/>
      <c r="BU547" s="237">
        <f>COUNTIFS('Form Details'!$AA:$AA,"No",'Form Details'!$N:$N,"Srinivas",'Form Details'!$J:$J,$C547,'Form Details'!$D:$D,'Adv. Filter'!$A$14,'Form Details'!$D:$D,'Adv. Filter'!$B$14)</f>
        <v>0</v>
      </c>
      <c r="BV547" s="238"/>
      <c r="BW547" s="238"/>
      <c r="BX547" s="238"/>
      <c r="BY547" s="238"/>
      <c r="BZ547" s="238"/>
      <c r="CA547" s="239"/>
      <c r="CB547" s="237">
        <f>COUNTIFS('Form Details'!$W:$W,"Adv/Paid",'Form Details'!$N:$N,"Srinivas",'Form Details'!$J:$J,$C547,'Form Details'!$D:$D,'Adv. Filter'!$A$14,'Form Details'!$D:$D,'Adv. Filter'!$B$14)</f>
        <v>0</v>
      </c>
      <c r="CC547" s="238"/>
      <c r="CD547" s="238"/>
      <c r="CE547" s="238"/>
      <c r="CF547" s="238"/>
      <c r="CG547" s="238"/>
      <c r="CH547" s="239"/>
      <c r="CI547" s="237">
        <f>COUNTIFS('Form Details'!$W:$W,"Adv/Paid/Reject",'Form Details'!$N:$N,"Srinivas",'Form Details'!$J:$J,$C547,'Form Details'!$D:$D,'Adv. Filter'!$A$14,'Form Details'!$D:$D,'Adv. Filter'!$B$14)</f>
        <v>0</v>
      </c>
      <c r="CJ547" s="238"/>
      <c r="CK547" s="238"/>
      <c r="CL547" s="238"/>
      <c r="CM547" s="238"/>
      <c r="CN547" s="238"/>
      <c r="CO547" s="239"/>
      <c r="CP547" s="237">
        <f>COUNTIFS('Form Details'!$W:$W,"Reject",'Form Details'!$N:$N,"Srinivas",'Form Details'!$J:$J,$C547,'Form Details'!$D:$D,'Adv. Filter'!$A$14,'Form Details'!$D:$D,'Adv. Filter'!$B$14)</f>
        <v>0</v>
      </c>
      <c r="CQ547" s="238"/>
      <c r="CR547" s="238"/>
      <c r="CS547" s="238"/>
      <c r="CT547" s="238"/>
      <c r="CU547" s="238"/>
      <c r="CV547" s="239"/>
      <c r="CW547" s="237">
        <f>COUNTIFS('Form Details'!$W:$W,"Adv/Paid/Pending",'Form Details'!$N:$N,"Srinivas",'Form Details'!$J:$J,$C547,'Form Details'!$D:$D,'Adv. Filter'!$A$14,'Form Details'!$D:$D,'Adv. Filter'!$B$14)</f>
        <v>0</v>
      </c>
      <c r="CX547" s="238"/>
      <c r="CY547" s="238"/>
      <c r="CZ547" s="238"/>
      <c r="DA547" s="238"/>
      <c r="DB547" s="238"/>
      <c r="DC547" s="239"/>
      <c r="DD547" s="237">
        <f>COUNTIFS('Form Details'!$W:$W,"Pending",'Form Details'!$N:$N,"Srinivas",'Form Details'!$J:$J,$C547,'Form Details'!$D:$D,'Adv. Filter'!$A$14,'Form Details'!$D:$D,'Adv. Filter'!$B$14)</f>
        <v>0</v>
      </c>
      <c r="DE547" s="238"/>
      <c r="DF547" s="238"/>
      <c r="DG547" s="238"/>
      <c r="DH547" s="238"/>
      <c r="DI547" s="238"/>
      <c r="DJ547" s="239"/>
      <c r="DK547" s="237">
        <f>COUNTIFS('Form Details'!$W:$W,"Adv/Paid/NoStatus",'Form Details'!$N:$N,"Srinivas",'Form Details'!$J:$J,$C547,'Form Details'!$D:$D,'Adv. Filter'!$A$14,'Form Details'!$D:$D,'Adv. Filter'!$B$14)</f>
        <v>0</v>
      </c>
      <c r="DL547" s="238"/>
      <c r="DM547" s="238"/>
      <c r="DN547" s="238"/>
      <c r="DO547" s="238"/>
      <c r="DP547" s="238"/>
      <c r="DQ547" s="239"/>
      <c r="DR547" s="237">
        <f>COUNTIFS('Form Details'!$W:$W,"No Status",'Form Details'!$N:$N,"Srinivas",'Form Details'!$J:$J,$C547,'Form Details'!$D:$D,'Adv. Filter'!$A$14,'Form Details'!$D:$D,'Adv. Filter'!$B$14)</f>
        <v>0</v>
      </c>
      <c r="DS547" s="238"/>
      <c r="DT547" s="238"/>
      <c r="DU547" s="238"/>
      <c r="DV547" s="238"/>
      <c r="DW547" s="238"/>
      <c r="DX547" s="239"/>
      <c r="DY547" s="237">
        <f>SUM(COUNTIFS('Form Details'!$W:$W,{"Wrong Entry ","Double Entry"},'Form Details'!$N:$N,"Srinivas",'Form Details'!$J:$J,$C547,'Form Details'!$D:$D,'Adv. Filter'!$A$14,'Form Details'!$D:$D,'Adv. Filter'!$B$14))</f>
        <v>0</v>
      </c>
      <c r="DZ547" s="238"/>
      <c r="EA547" s="238"/>
      <c r="EB547" s="238"/>
      <c r="EC547" s="238"/>
      <c r="ED547" s="238"/>
      <c r="EE547" s="239"/>
    </row>
    <row r="548" spans="3:135" hidden="1">
      <c r="C548" s="248" t="s">
        <v>111</v>
      </c>
      <c r="D548" s="249"/>
      <c r="E548" s="249"/>
      <c r="F548" s="249"/>
      <c r="G548" s="249"/>
      <c r="H548" s="249"/>
      <c r="I548" s="249"/>
      <c r="J548" s="249"/>
      <c r="K548" s="249"/>
      <c r="L548" s="249"/>
      <c r="M548" s="249"/>
      <c r="N548" s="249"/>
      <c r="O548" s="237">
        <f>SUM(COUNTIFS('Form Details'!$AA:$AA,{"Yes","No","-"},'Form Details'!$N:$N,"Srinivas",'Form Details'!$J:$J,$C548,'Form Details'!$D:$D,'Adv. Filter'!$A$14,'Form Details'!$D:$D,'Adv. Filter'!$B$14))</f>
        <v>0</v>
      </c>
      <c r="P548" s="238"/>
      <c r="Q548" s="238"/>
      <c r="R548" s="238"/>
      <c r="S548" s="238"/>
      <c r="T548" s="238"/>
      <c r="U548" s="239"/>
      <c r="V548" s="100"/>
      <c r="W548" s="237">
        <f>COUNTIFS('Form Details'!$AA:$AA,"Yes",'Form Details'!$N:$N,"Srinivas",'Form Details'!$J:$J,$C548,'Form Details'!$D:$D,'Adv. Filter'!$A$14,'Form Details'!$D:$D,'Adv. Filter'!$B$14)</f>
        <v>0</v>
      </c>
      <c r="X548" s="238"/>
      <c r="Y548" s="238"/>
      <c r="Z548" s="238"/>
      <c r="AA548" s="238"/>
      <c r="AB548" s="238"/>
      <c r="AC548" s="239"/>
      <c r="AD548" s="237">
        <f>COUNTIFS('Form Details'!$W:$W,"Paid",'Form Details'!$N:$N,"Srinivas",'Form Details'!$J:$J,$C548,'Form Details'!$D:$D,'Adv. Filter'!$A$14,'Form Details'!$D:$D,'Adv. Filter'!$B$14)</f>
        <v>0</v>
      </c>
      <c r="AE548" s="238"/>
      <c r="AF548" s="238"/>
      <c r="AG548" s="238"/>
      <c r="AH548" s="238"/>
      <c r="AI548" s="238"/>
      <c r="AJ548" s="239"/>
      <c r="AK548" s="237">
        <f>COUNTIFS('Form Details'!$W:$W,"Due",'Form Details'!$N:$N,"Srinivas",'Form Details'!$J:$J,$C548,'Form Details'!$D:$D,'Adv. Filter'!$A$14,'Form Details'!$D:$D,'Adv. Filter'!$B$14)</f>
        <v>0</v>
      </c>
      <c r="AL548" s="238"/>
      <c r="AM548" s="238"/>
      <c r="AN548" s="238"/>
      <c r="AO548" s="238"/>
      <c r="AP548" s="238"/>
      <c r="AQ548" s="239"/>
      <c r="AR548" s="237">
        <f>COUNTIFS('Form Details'!$W:$W,"No Fee",'Form Details'!$N:$N,"Srinivas",'Form Details'!$J:$J,$C548,'Form Details'!$D:$D,'Adv. Filter'!$A$14,'Form Details'!$D:$D,'Adv. Filter'!$B$14)</f>
        <v>0</v>
      </c>
      <c r="AS548" s="238"/>
      <c r="AT548" s="238"/>
      <c r="AU548" s="238"/>
      <c r="AV548" s="238"/>
      <c r="AW548" s="238"/>
      <c r="AX548" s="239"/>
      <c r="AY548" s="237">
        <f>COUNTIFS('Form Details'!$W:$W,"Paid/Reject",'Form Details'!$N:$N,"Srinivas",'Form Details'!$J:$J,$C548,'Form Details'!$D:$D,'Adv. Filter'!$A$14,'Form Details'!$D:$D,'Adv. Filter'!$B$14)</f>
        <v>0</v>
      </c>
      <c r="AZ548" s="238"/>
      <c r="BA548" s="238"/>
      <c r="BB548" s="238"/>
      <c r="BC548" s="238"/>
      <c r="BD548" s="238"/>
      <c r="BE548" s="239"/>
      <c r="BF548" s="237">
        <f>COUNTIFS('Form Details'!$W:$W,"Staff",'Form Details'!$N:$N,"Srinivas",'Form Details'!$J:$J,$C548,'Form Details'!$D:$D,'Adv. Filter'!$A$14,'Form Details'!$D:$D,'Adv. Filter'!$B$14)</f>
        <v>0</v>
      </c>
      <c r="BG548" s="238"/>
      <c r="BH548" s="238"/>
      <c r="BI548" s="238"/>
      <c r="BJ548" s="238"/>
      <c r="BK548" s="238"/>
      <c r="BL548" s="239"/>
      <c r="BM548" s="237">
        <f>COUNTIFS('Form Details'!$W:$W,"File in Office",'Form Details'!$N:$N,"Srinivas",'Form Details'!$J:$J,$C548,'Form Details'!$D:$D,'Adv. Filter'!$A$14,'Form Details'!$D:$D,'Adv. Filter'!$B$14)</f>
        <v>0</v>
      </c>
      <c r="BN548" s="238"/>
      <c r="BO548" s="238"/>
      <c r="BP548" s="238"/>
      <c r="BQ548" s="238"/>
      <c r="BR548" s="238"/>
      <c r="BS548" s="239"/>
      <c r="BT548" s="100"/>
      <c r="BU548" s="237">
        <f>COUNTIFS('Form Details'!$AA:$AA,"No",'Form Details'!$N:$N,"Srinivas",'Form Details'!$J:$J,$C548,'Form Details'!$D:$D,'Adv. Filter'!$A$14,'Form Details'!$D:$D,'Adv. Filter'!$B$14)</f>
        <v>0</v>
      </c>
      <c r="BV548" s="238"/>
      <c r="BW548" s="238"/>
      <c r="BX548" s="238"/>
      <c r="BY548" s="238"/>
      <c r="BZ548" s="238"/>
      <c r="CA548" s="239"/>
      <c r="CB548" s="237">
        <f>COUNTIFS('Form Details'!$W:$W,"Adv/Paid",'Form Details'!$N:$N,"Srinivas",'Form Details'!$J:$J,$C548,'Form Details'!$D:$D,'Adv. Filter'!$A$14,'Form Details'!$D:$D,'Adv. Filter'!$B$14)</f>
        <v>0</v>
      </c>
      <c r="CC548" s="238"/>
      <c r="CD548" s="238"/>
      <c r="CE548" s="238"/>
      <c r="CF548" s="238"/>
      <c r="CG548" s="238"/>
      <c r="CH548" s="239"/>
      <c r="CI548" s="237">
        <f>COUNTIFS('Form Details'!$W:$W,"Adv/Paid/Reject",'Form Details'!$N:$N,"Srinivas",'Form Details'!$J:$J,$C548,'Form Details'!$D:$D,'Adv. Filter'!$A$14,'Form Details'!$D:$D,'Adv. Filter'!$B$14)</f>
        <v>0</v>
      </c>
      <c r="CJ548" s="238"/>
      <c r="CK548" s="238"/>
      <c r="CL548" s="238"/>
      <c r="CM548" s="238"/>
      <c r="CN548" s="238"/>
      <c r="CO548" s="239"/>
      <c r="CP548" s="237">
        <f>COUNTIFS('Form Details'!$W:$W,"Reject",'Form Details'!$N:$N,"Srinivas",'Form Details'!$J:$J,$C548,'Form Details'!$D:$D,'Adv. Filter'!$A$14,'Form Details'!$D:$D,'Adv. Filter'!$B$14)</f>
        <v>0</v>
      </c>
      <c r="CQ548" s="238"/>
      <c r="CR548" s="238"/>
      <c r="CS548" s="238"/>
      <c r="CT548" s="238"/>
      <c r="CU548" s="238"/>
      <c r="CV548" s="239"/>
      <c r="CW548" s="237">
        <f>COUNTIFS('Form Details'!$W:$W,"Adv/Paid/Pending",'Form Details'!$N:$N,"Srinivas",'Form Details'!$J:$J,$C548,'Form Details'!$D:$D,'Adv. Filter'!$A$14,'Form Details'!$D:$D,'Adv. Filter'!$B$14)</f>
        <v>0</v>
      </c>
      <c r="CX548" s="238"/>
      <c r="CY548" s="238"/>
      <c r="CZ548" s="238"/>
      <c r="DA548" s="238"/>
      <c r="DB548" s="238"/>
      <c r="DC548" s="239"/>
      <c r="DD548" s="237">
        <f>COUNTIFS('Form Details'!$W:$W,"Pending",'Form Details'!$N:$N,"Srinivas",'Form Details'!$J:$J,$C548,'Form Details'!$D:$D,'Adv. Filter'!$A$14,'Form Details'!$D:$D,'Adv. Filter'!$B$14)</f>
        <v>0</v>
      </c>
      <c r="DE548" s="238"/>
      <c r="DF548" s="238"/>
      <c r="DG548" s="238"/>
      <c r="DH548" s="238"/>
      <c r="DI548" s="238"/>
      <c r="DJ548" s="239"/>
      <c r="DK548" s="237">
        <f>COUNTIFS('Form Details'!$W:$W,"Adv/Paid/NoStatus",'Form Details'!$N:$N,"Srinivas",'Form Details'!$J:$J,$C548,'Form Details'!$D:$D,'Adv. Filter'!$A$14,'Form Details'!$D:$D,'Adv. Filter'!$B$14)</f>
        <v>0</v>
      </c>
      <c r="DL548" s="238"/>
      <c r="DM548" s="238"/>
      <c r="DN548" s="238"/>
      <c r="DO548" s="238"/>
      <c r="DP548" s="238"/>
      <c r="DQ548" s="239"/>
      <c r="DR548" s="237">
        <f>COUNTIFS('Form Details'!$W:$W,"No Status",'Form Details'!$N:$N,"Srinivas",'Form Details'!$J:$J,$C548,'Form Details'!$D:$D,'Adv. Filter'!$A$14,'Form Details'!$D:$D,'Adv. Filter'!$B$14)</f>
        <v>0</v>
      </c>
      <c r="DS548" s="238"/>
      <c r="DT548" s="238"/>
      <c r="DU548" s="238"/>
      <c r="DV548" s="238"/>
      <c r="DW548" s="238"/>
      <c r="DX548" s="239"/>
      <c r="DY548" s="237">
        <f>SUM(COUNTIFS('Form Details'!$W:$W,{"Wrong Entry ","Double Entry"},'Form Details'!$N:$N,"Srinivas",'Form Details'!$J:$J,$C548,'Form Details'!$D:$D,'Adv. Filter'!$A$14,'Form Details'!$D:$D,'Adv. Filter'!$B$14))</f>
        <v>0</v>
      </c>
      <c r="DZ548" s="238"/>
      <c r="EA548" s="238"/>
      <c r="EB548" s="238"/>
      <c r="EC548" s="238"/>
      <c r="ED548" s="238"/>
      <c r="EE548" s="239"/>
    </row>
    <row r="549" spans="3:135" hidden="1">
      <c r="C549" s="248" t="s">
        <v>116</v>
      </c>
      <c r="D549" s="249"/>
      <c r="E549" s="249"/>
      <c r="F549" s="249"/>
      <c r="G549" s="249"/>
      <c r="H549" s="249"/>
      <c r="I549" s="249"/>
      <c r="J549" s="249"/>
      <c r="K549" s="249"/>
      <c r="L549" s="249"/>
      <c r="M549" s="249"/>
      <c r="N549" s="249"/>
      <c r="O549" s="237">
        <f>SUM(COUNTIFS('Form Details'!$AA:$AA,{"Yes","No","-"},'Form Details'!$N:$N,"Srinivas",'Form Details'!$J:$J,$C549,'Form Details'!$D:$D,'Adv. Filter'!$A$14,'Form Details'!$D:$D,'Adv. Filter'!$B$14))</f>
        <v>0</v>
      </c>
      <c r="P549" s="238"/>
      <c r="Q549" s="238"/>
      <c r="R549" s="238"/>
      <c r="S549" s="238"/>
      <c r="T549" s="238"/>
      <c r="U549" s="239"/>
      <c r="V549" s="100"/>
      <c r="W549" s="237">
        <f>COUNTIFS('Form Details'!$AA:$AA,"Yes",'Form Details'!$N:$N,"Srinivas",'Form Details'!$J:$J,$C549,'Form Details'!$D:$D,'Adv. Filter'!$A$14,'Form Details'!$D:$D,'Adv. Filter'!$B$14)</f>
        <v>0</v>
      </c>
      <c r="X549" s="238"/>
      <c r="Y549" s="238"/>
      <c r="Z549" s="238"/>
      <c r="AA549" s="238"/>
      <c r="AB549" s="238"/>
      <c r="AC549" s="239"/>
      <c r="AD549" s="237">
        <f>COUNTIFS('Form Details'!$W:$W,"Paid",'Form Details'!$N:$N,"Srinivas",'Form Details'!$J:$J,$C549,'Form Details'!$D:$D,'Adv. Filter'!$A$14,'Form Details'!$D:$D,'Adv. Filter'!$B$14)</f>
        <v>0</v>
      </c>
      <c r="AE549" s="238"/>
      <c r="AF549" s="238"/>
      <c r="AG549" s="238"/>
      <c r="AH549" s="238"/>
      <c r="AI549" s="238"/>
      <c r="AJ549" s="239"/>
      <c r="AK549" s="237">
        <f>COUNTIFS('Form Details'!$W:$W,"Due",'Form Details'!$N:$N,"Srinivas",'Form Details'!$J:$J,$C549,'Form Details'!$D:$D,'Adv. Filter'!$A$14,'Form Details'!$D:$D,'Adv. Filter'!$B$14)</f>
        <v>0</v>
      </c>
      <c r="AL549" s="238"/>
      <c r="AM549" s="238"/>
      <c r="AN549" s="238"/>
      <c r="AO549" s="238"/>
      <c r="AP549" s="238"/>
      <c r="AQ549" s="239"/>
      <c r="AR549" s="237">
        <f>COUNTIFS('Form Details'!$W:$W,"No Fee",'Form Details'!$N:$N,"Srinivas",'Form Details'!$J:$J,$C549,'Form Details'!$D:$D,'Adv. Filter'!$A$14,'Form Details'!$D:$D,'Adv. Filter'!$B$14)</f>
        <v>0</v>
      </c>
      <c r="AS549" s="238"/>
      <c r="AT549" s="238"/>
      <c r="AU549" s="238"/>
      <c r="AV549" s="238"/>
      <c r="AW549" s="238"/>
      <c r="AX549" s="239"/>
      <c r="AY549" s="237">
        <f>COUNTIFS('Form Details'!$W:$W,"Paid/Reject",'Form Details'!$N:$N,"Srinivas",'Form Details'!$J:$J,$C549,'Form Details'!$D:$D,'Adv. Filter'!$A$14,'Form Details'!$D:$D,'Adv. Filter'!$B$14)</f>
        <v>0</v>
      </c>
      <c r="AZ549" s="238"/>
      <c r="BA549" s="238"/>
      <c r="BB549" s="238"/>
      <c r="BC549" s="238"/>
      <c r="BD549" s="238"/>
      <c r="BE549" s="239"/>
      <c r="BF549" s="237">
        <f>COUNTIFS('Form Details'!$W:$W,"Staff",'Form Details'!$N:$N,"Srinivas",'Form Details'!$J:$J,$C549,'Form Details'!$D:$D,'Adv. Filter'!$A$14,'Form Details'!$D:$D,'Adv. Filter'!$B$14)</f>
        <v>0</v>
      </c>
      <c r="BG549" s="238"/>
      <c r="BH549" s="238"/>
      <c r="BI549" s="238"/>
      <c r="BJ549" s="238"/>
      <c r="BK549" s="238"/>
      <c r="BL549" s="239"/>
      <c r="BM549" s="237">
        <f>COUNTIFS('Form Details'!$W:$W,"File in Office",'Form Details'!$N:$N,"Srinivas",'Form Details'!$J:$J,$C549,'Form Details'!$D:$D,'Adv. Filter'!$A$14,'Form Details'!$D:$D,'Adv. Filter'!$B$14)</f>
        <v>0</v>
      </c>
      <c r="BN549" s="238"/>
      <c r="BO549" s="238"/>
      <c r="BP549" s="238"/>
      <c r="BQ549" s="238"/>
      <c r="BR549" s="238"/>
      <c r="BS549" s="239"/>
      <c r="BT549" s="100"/>
      <c r="BU549" s="237">
        <f>COUNTIFS('Form Details'!$AA:$AA,"No",'Form Details'!$N:$N,"Srinivas",'Form Details'!$J:$J,$C549,'Form Details'!$D:$D,'Adv. Filter'!$A$14,'Form Details'!$D:$D,'Adv. Filter'!$B$14)</f>
        <v>0</v>
      </c>
      <c r="BV549" s="238"/>
      <c r="BW549" s="238"/>
      <c r="BX549" s="238"/>
      <c r="BY549" s="238"/>
      <c r="BZ549" s="238"/>
      <c r="CA549" s="239"/>
      <c r="CB549" s="237">
        <f>COUNTIFS('Form Details'!$W:$W,"Adv/Paid",'Form Details'!$N:$N,"Srinivas",'Form Details'!$J:$J,$C549,'Form Details'!$D:$D,'Adv. Filter'!$A$14,'Form Details'!$D:$D,'Adv. Filter'!$B$14)</f>
        <v>0</v>
      </c>
      <c r="CC549" s="238"/>
      <c r="CD549" s="238"/>
      <c r="CE549" s="238"/>
      <c r="CF549" s="238"/>
      <c r="CG549" s="238"/>
      <c r="CH549" s="239"/>
      <c r="CI549" s="237">
        <f>COUNTIFS('Form Details'!$W:$W,"Adv/Paid/Reject",'Form Details'!$N:$N,"Srinivas",'Form Details'!$J:$J,$C549,'Form Details'!$D:$D,'Adv. Filter'!$A$14,'Form Details'!$D:$D,'Adv. Filter'!$B$14)</f>
        <v>0</v>
      </c>
      <c r="CJ549" s="238"/>
      <c r="CK549" s="238"/>
      <c r="CL549" s="238"/>
      <c r="CM549" s="238"/>
      <c r="CN549" s="238"/>
      <c r="CO549" s="239"/>
      <c r="CP549" s="237">
        <f>COUNTIFS('Form Details'!$W:$W,"Reject",'Form Details'!$N:$N,"Srinivas",'Form Details'!$J:$J,$C549,'Form Details'!$D:$D,'Adv. Filter'!$A$14,'Form Details'!$D:$D,'Adv. Filter'!$B$14)</f>
        <v>0</v>
      </c>
      <c r="CQ549" s="238"/>
      <c r="CR549" s="238"/>
      <c r="CS549" s="238"/>
      <c r="CT549" s="238"/>
      <c r="CU549" s="238"/>
      <c r="CV549" s="239"/>
      <c r="CW549" s="237">
        <f>COUNTIFS('Form Details'!$W:$W,"Adv/Paid/Pending",'Form Details'!$N:$N,"Srinivas",'Form Details'!$J:$J,$C549,'Form Details'!$D:$D,'Adv. Filter'!$A$14,'Form Details'!$D:$D,'Adv. Filter'!$B$14)</f>
        <v>0</v>
      </c>
      <c r="CX549" s="238"/>
      <c r="CY549" s="238"/>
      <c r="CZ549" s="238"/>
      <c r="DA549" s="238"/>
      <c r="DB549" s="238"/>
      <c r="DC549" s="239"/>
      <c r="DD549" s="237">
        <f>COUNTIFS('Form Details'!$W:$W,"Pending",'Form Details'!$N:$N,"Srinivas",'Form Details'!$J:$J,$C549,'Form Details'!$D:$D,'Adv. Filter'!$A$14,'Form Details'!$D:$D,'Adv. Filter'!$B$14)</f>
        <v>0</v>
      </c>
      <c r="DE549" s="238"/>
      <c r="DF549" s="238"/>
      <c r="DG549" s="238"/>
      <c r="DH549" s="238"/>
      <c r="DI549" s="238"/>
      <c r="DJ549" s="239"/>
      <c r="DK549" s="237">
        <f>COUNTIFS('Form Details'!$W:$W,"Adv/Paid/NoStatus",'Form Details'!$N:$N,"Srinivas",'Form Details'!$J:$J,$C549,'Form Details'!$D:$D,'Adv. Filter'!$A$14,'Form Details'!$D:$D,'Adv. Filter'!$B$14)</f>
        <v>0</v>
      </c>
      <c r="DL549" s="238"/>
      <c r="DM549" s="238"/>
      <c r="DN549" s="238"/>
      <c r="DO549" s="238"/>
      <c r="DP549" s="238"/>
      <c r="DQ549" s="239"/>
      <c r="DR549" s="237">
        <f>COUNTIFS('Form Details'!$W:$W,"No Status",'Form Details'!$N:$N,"Srinivas",'Form Details'!$J:$J,$C549,'Form Details'!$D:$D,'Adv. Filter'!$A$14,'Form Details'!$D:$D,'Adv. Filter'!$B$14)</f>
        <v>0</v>
      </c>
      <c r="DS549" s="238"/>
      <c r="DT549" s="238"/>
      <c r="DU549" s="238"/>
      <c r="DV549" s="238"/>
      <c r="DW549" s="238"/>
      <c r="DX549" s="239"/>
      <c r="DY549" s="237">
        <f>SUM(COUNTIFS('Form Details'!$W:$W,{"Wrong Entry ","Double Entry"},'Form Details'!$N:$N,"Srinivas",'Form Details'!$J:$J,$C549,'Form Details'!$D:$D,'Adv. Filter'!$A$14,'Form Details'!$D:$D,'Adv. Filter'!$B$14))</f>
        <v>0</v>
      </c>
      <c r="DZ549" s="238"/>
      <c r="EA549" s="238"/>
      <c r="EB549" s="238"/>
      <c r="EC549" s="238"/>
      <c r="ED549" s="238"/>
      <c r="EE549" s="239"/>
    </row>
    <row r="550" spans="3:135" hidden="1">
      <c r="C550" s="248" t="s">
        <v>119</v>
      </c>
      <c r="D550" s="249"/>
      <c r="E550" s="249"/>
      <c r="F550" s="249"/>
      <c r="G550" s="249"/>
      <c r="H550" s="249"/>
      <c r="I550" s="249"/>
      <c r="J550" s="249"/>
      <c r="K550" s="249"/>
      <c r="L550" s="249"/>
      <c r="M550" s="249"/>
      <c r="N550" s="249"/>
      <c r="O550" s="237">
        <f>SUM(COUNTIFS('Form Details'!$AA:$AA,{"Yes","No","-"},'Form Details'!$N:$N,"Srinivas",'Form Details'!$J:$J,$C550,'Form Details'!$D:$D,'Adv. Filter'!$A$14,'Form Details'!$D:$D,'Adv. Filter'!$B$14))</f>
        <v>0</v>
      </c>
      <c r="P550" s="238"/>
      <c r="Q550" s="238"/>
      <c r="R550" s="238"/>
      <c r="S550" s="238"/>
      <c r="T550" s="238"/>
      <c r="U550" s="239"/>
      <c r="V550" s="100"/>
      <c r="W550" s="237">
        <f>COUNTIFS('Form Details'!$AA:$AA,"Yes",'Form Details'!$N:$N,"Srinivas",'Form Details'!$J:$J,$C550,'Form Details'!$D:$D,'Adv. Filter'!$A$14,'Form Details'!$D:$D,'Adv. Filter'!$B$14)</f>
        <v>0</v>
      </c>
      <c r="X550" s="238"/>
      <c r="Y550" s="238"/>
      <c r="Z550" s="238"/>
      <c r="AA550" s="238"/>
      <c r="AB550" s="238"/>
      <c r="AC550" s="239"/>
      <c r="AD550" s="237">
        <f>COUNTIFS('Form Details'!$W:$W,"Paid",'Form Details'!$N:$N,"Srinivas",'Form Details'!$J:$J,$C550,'Form Details'!$D:$D,'Adv. Filter'!$A$14,'Form Details'!$D:$D,'Adv. Filter'!$B$14)</f>
        <v>0</v>
      </c>
      <c r="AE550" s="238"/>
      <c r="AF550" s="238"/>
      <c r="AG550" s="238"/>
      <c r="AH550" s="238"/>
      <c r="AI550" s="238"/>
      <c r="AJ550" s="239"/>
      <c r="AK550" s="237">
        <f>COUNTIFS('Form Details'!$W:$W,"Due",'Form Details'!$N:$N,"Srinivas",'Form Details'!$J:$J,$C550,'Form Details'!$D:$D,'Adv. Filter'!$A$14,'Form Details'!$D:$D,'Adv. Filter'!$B$14)</f>
        <v>0</v>
      </c>
      <c r="AL550" s="238"/>
      <c r="AM550" s="238"/>
      <c r="AN550" s="238"/>
      <c r="AO550" s="238"/>
      <c r="AP550" s="238"/>
      <c r="AQ550" s="239"/>
      <c r="AR550" s="237">
        <f>COUNTIFS('Form Details'!$W:$W,"No Fee",'Form Details'!$N:$N,"Srinivas",'Form Details'!$J:$J,$C550,'Form Details'!$D:$D,'Adv. Filter'!$A$14,'Form Details'!$D:$D,'Adv. Filter'!$B$14)</f>
        <v>0</v>
      </c>
      <c r="AS550" s="238"/>
      <c r="AT550" s="238"/>
      <c r="AU550" s="238"/>
      <c r="AV550" s="238"/>
      <c r="AW550" s="238"/>
      <c r="AX550" s="239"/>
      <c r="AY550" s="237">
        <f>COUNTIFS('Form Details'!$W:$W,"Paid/Reject",'Form Details'!$N:$N,"Srinivas",'Form Details'!$J:$J,$C550,'Form Details'!$D:$D,'Adv. Filter'!$A$14,'Form Details'!$D:$D,'Adv. Filter'!$B$14)</f>
        <v>0</v>
      </c>
      <c r="AZ550" s="238"/>
      <c r="BA550" s="238"/>
      <c r="BB550" s="238"/>
      <c r="BC550" s="238"/>
      <c r="BD550" s="238"/>
      <c r="BE550" s="239"/>
      <c r="BF550" s="237">
        <f>COUNTIFS('Form Details'!$W:$W,"Staff",'Form Details'!$N:$N,"Srinivas",'Form Details'!$J:$J,$C550,'Form Details'!$D:$D,'Adv. Filter'!$A$14,'Form Details'!$D:$D,'Adv. Filter'!$B$14)</f>
        <v>0</v>
      </c>
      <c r="BG550" s="238"/>
      <c r="BH550" s="238"/>
      <c r="BI550" s="238"/>
      <c r="BJ550" s="238"/>
      <c r="BK550" s="238"/>
      <c r="BL550" s="239"/>
      <c r="BM550" s="237">
        <f>COUNTIFS('Form Details'!$W:$W,"File in Office",'Form Details'!$N:$N,"Srinivas",'Form Details'!$J:$J,$C550,'Form Details'!$D:$D,'Adv. Filter'!$A$14,'Form Details'!$D:$D,'Adv. Filter'!$B$14)</f>
        <v>0</v>
      </c>
      <c r="BN550" s="238"/>
      <c r="BO550" s="238"/>
      <c r="BP550" s="238"/>
      <c r="BQ550" s="238"/>
      <c r="BR550" s="238"/>
      <c r="BS550" s="239"/>
      <c r="BT550" s="100"/>
      <c r="BU550" s="237">
        <f>COUNTIFS('Form Details'!$AA:$AA,"No",'Form Details'!$N:$N,"Srinivas",'Form Details'!$J:$J,$C550,'Form Details'!$D:$D,'Adv. Filter'!$A$14,'Form Details'!$D:$D,'Adv. Filter'!$B$14)</f>
        <v>0</v>
      </c>
      <c r="BV550" s="238"/>
      <c r="BW550" s="238"/>
      <c r="BX550" s="238"/>
      <c r="BY550" s="238"/>
      <c r="BZ550" s="238"/>
      <c r="CA550" s="239"/>
      <c r="CB550" s="237">
        <f>COUNTIFS('Form Details'!$W:$W,"Adv/Paid",'Form Details'!$N:$N,"Srinivas",'Form Details'!$J:$J,$C550,'Form Details'!$D:$D,'Adv. Filter'!$A$14,'Form Details'!$D:$D,'Adv. Filter'!$B$14)</f>
        <v>0</v>
      </c>
      <c r="CC550" s="238"/>
      <c r="CD550" s="238"/>
      <c r="CE550" s="238"/>
      <c r="CF550" s="238"/>
      <c r="CG550" s="238"/>
      <c r="CH550" s="239"/>
      <c r="CI550" s="237">
        <f>COUNTIFS('Form Details'!$W:$W,"Adv/Paid/Reject",'Form Details'!$N:$N,"Srinivas",'Form Details'!$J:$J,$C550,'Form Details'!$D:$D,'Adv. Filter'!$A$14,'Form Details'!$D:$D,'Adv. Filter'!$B$14)</f>
        <v>0</v>
      </c>
      <c r="CJ550" s="238"/>
      <c r="CK550" s="238"/>
      <c r="CL550" s="238"/>
      <c r="CM550" s="238"/>
      <c r="CN550" s="238"/>
      <c r="CO550" s="239"/>
      <c r="CP550" s="237">
        <f>COUNTIFS('Form Details'!$W:$W,"Reject",'Form Details'!$N:$N,"Srinivas",'Form Details'!$J:$J,$C550,'Form Details'!$D:$D,'Adv. Filter'!$A$14,'Form Details'!$D:$D,'Adv. Filter'!$B$14)</f>
        <v>0</v>
      </c>
      <c r="CQ550" s="238"/>
      <c r="CR550" s="238"/>
      <c r="CS550" s="238"/>
      <c r="CT550" s="238"/>
      <c r="CU550" s="238"/>
      <c r="CV550" s="239"/>
      <c r="CW550" s="237">
        <f>COUNTIFS('Form Details'!$W:$W,"Adv/Paid/Pending",'Form Details'!$N:$N,"Srinivas",'Form Details'!$J:$J,$C550,'Form Details'!$D:$D,'Adv. Filter'!$A$14,'Form Details'!$D:$D,'Adv. Filter'!$B$14)</f>
        <v>0</v>
      </c>
      <c r="CX550" s="238"/>
      <c r="CY550" s="238"/>
      <c r="CZ550" s="238"/>
      <c r="DA550" s="238"/>
      <c r="DB550" s="238"/>
      <c r="DC550" s="239"/>
      <c r="DD550" s="237">
        <f>COUNTIFS('Form Details'!$W:$W,"Pending",'Form Details'!$N:$N,"Srinivas",'Form Details'!$J:$J,$C550,'Form Details'!$D:$D,'Adv. Filter'!$A$14,'Form Details'!$D:$D,'Adv. Filter'!$B$14)</f>
        <v>0</v>
      </c>
      <c r="DE550" s="238"/>
      <c r="DF550" s="238"/>
      <c r="DG550" s="238"/>
      <c r="DH550" s="238"/>
      <c r="DI550" s="238"/>
      <c r="DJ550" s="239"/>
      <c r="DK550" s="237">
        <f>COUNTIFS('Form Details'!$W:$W,"Adv/Paid/NoStatus",'Form Details'!$N:$N,"Srinivas",'Form Details'!$J:$J,$C550,'Form Details'!$D:$D,'Adv. Filter'!$A$14,'Form Details'!$D:$D,'Adv. Filter'!$B$14)</f>
        <v>0</v>
      </c>
      <c r="DL550" s="238"/>
      <c r="DM550" s="238"/>
      <c r="DN550" s="238"/>
      <c r="DO550" s="238"/>
      <c r="DP550" s="238"/>
      <c r="DQ550" s="239"/>
      <c r="DR550" s="237">
        <f>COUNTIFS('Form Details'!$W:$W,"No Status",'Form Details'!$N:$N,"Srinivas",'Form Details'!$J:$J,$C550,'Form Details'!$D:$D,'Adv. Filter'!$A$14,'Form Details'!$D:$D,'Adv. Filter'!$B$14)</f>
        <v>0</v>
      </c>
      <c r="DS550" s="238"/>
      <c r="DT550" s="238"/>
      <c r="DU550" s="238"/>
      <c r="DV550" s="238"/>
      <c r="DW550" s="238"/>
      <c r="DX550" s="239"/>
      <c r="DY550" s="237">
        <f>SUM(COUNTIFS('Form Details'!$W:$W,{"Wrong Entry ","Double Entry"},'Form Details'!$N:$N,"Srinivas",'Form Details'!$J:$J,$C550,'Form Details'!$D:$D,'Adv. Filter'!$A$14,'Form Details'!$D:$D,'Adv. Filter'!$B$14))</f>
        <v>0</v>
      </c>
      <c r="DZ550" s="238"/>
      <c r="EA550" s="238"/>
      <c r="EB550" s="238"/>
      <c r="EC550" s="238"/>
      <c r="ED550" s="238"/>
      <c r="EE550" s="239"/>
    </row>
    <row r="551" spans="3:135" hidden="1">
      <c r="C551" s="248" t="s">
        <v>92</v>
      </c>
      <c r="D551" s="249"/>
      <c r="E551" s="249"/>
      <c r="F551" s="249"/>
      <c r="G551" s="249"/>
      <c r="H551" s="249"/>
      <c r="I551" s="249"/>
      <c r="J551" s="249"/>
      <c r="K551" s="249"/>
      <c r="L551" s="249"/>
      <c r="M551" s="249"/>
      <c r="N551" s="249"/>
      <c r="O551" s="237">
        <f>SUM(COUNTIFS('Form Details'!$AA:$AA,{"Yes","No","-"},'Form Details'!$N:$N,"Srinivas",'Form Details'!$J:$J,$C551,'Form Details'!$D:$D,'Adv. Filter'!$A$14,'Form Details'!$D:$D,'Adv. Filter'!$B$14))</f>
        <v>0</v>
      </c>
      <c r="P551" s="238"/>
      <c r="Q551" s="238"/>
      <c r="R551" s="238"/>
      <c r="S551" s="238"/>
      <c r="T551" s="238"/>
      <c r="U551" s="239"/>
      <c r="V551" s="100"/>
      <c r="W551" s="237">
        <f>COUNTIFS('Form Details'!$AA:$AA,"Yes",'Form Details'!$N:$N,"Srinivas",'Form Details'!$J:$J,$C551,'Form Details'!$D:$D,'Adv. Filter'!$A$14,'Form Details'!$D:$D,'Adv. Filter'!$B$14)</f>
        <v>0</v>
      </c>
      <c r="X551" s="238"/>
      <c r="Y551" s="238"/>
      <c r="Z551" s="238"/>
      <c r="AA551" s="238"/>
      <c r="AB551" s="238"/>
      <c r="AC551" s="239"/>
      <c r="AD551" s="237">
        <f>COUNTIFS('Form Details'!$W:$W,"Paid",'Form Details'!$N:$N,"Srinivas",'Form Details'!$J:$J,$C551,'Form Details'!$D:$D,'Adv. Filter'!$A$14,'Form Details'!$D:$D,'Adv. Filter'!$B$14)</f>
        <v>0</v>
      </c>
      <c r="AE551" s="238"/>
      <c r="AF551" s="238"/>
      <c r="AG551" s="238"/>
      <c r="AH551" s="238"/>
      <c r="AI551" s="238"/>
      <c r="AJ551" s="239"/>
      <c r="AK551" s="237">
        <f>COUNTIFS('Form Details'!$W:$W,"Due",'Form Details'!$N:$N,"Srinivas",'Form Details'!$J:$J,$C551,'Form Details'!$D:$D,'Adv. Filter'!$A$14,'Form Details'!$D:$D,'Adv. Filter'!$B$14)</f>
        <v>0</v>
      </c>
      <c r="AL551" s="238"/>
      <c r="AM551" s="238"/>
      <c r="AN551" s="238"/>
      <c r="AO551" s="238"/>
      <c r="AP551" s="238"/>
      <c r="AQ551" s="239"/>
      <c r="AR551" s="237">
        <f>COUNTIFS('Form Details'!$W:$W,"No Fee",'Form Details'!$N:$N,"Srinivas",'Form Details'!$J:$J,$C551,'Form Details'!$D:$D,'Adv. Filter'!$A$14,'Form Details'!$D:$D,'Adv. Filter'!$B$14)</f>
        <v>0</v>
      </c>
      <c r="AS551" s="238"/>
      <c r="AT551" s="238"/>
      <c r="AU551" s="238"/>
      <c r="AV551" s="238"/>
      <c r="AW551" s="238"/>
      <c r="AX551" s="239"/>
      <c r="AY551" s="237">
        <f>COUNTIFS('Form Details'!$W:$W,"Paid/Reject",'Form Details'!$N:$N,"Srinivas",'Form Details'!$J:$J,$C551,'Form Details'!$D:$D,'Adv. Filter'!$A$14,'Form Details'!$D:$D,'Adv. Filter'!$B$14)</f>
        <v>0</v>
      </c>
      <c r="AZ551" s="238"/>
      <c r="BA551" s="238"/>
      <c r="BB551" s="238"/>
      <c r="BC551" s="238"/>
      <c r="BD551" s="238"/>
      <c r="BE551" s="239"/>
      <c r="BF551" s="237">
        <f>COUNTIFS('Form Details'!$W:$W,"Staff",'Form Details'!$N:$N,"Srinivas",'Form Details'!$J:$J,$C551,'Form Details'!$D:$D,'Adv. Filter'!$A$14,'Form Details'!$D:$D,'Adv. Filter'!$B$14)</f>
        <v>0</v>
      </c>
      <c r="BG551" s="238"/>
      <c r="BH551" s="238"/>
      <c r="BI551" s="238"/>
      <c r="BJ551" s="238"/>
      <c r="BK551" s="238"/>
      <c r="BL551" s="239"/>
      <c r="BM551" s="237">
        <f>COUNTIFS('Form Details'!$W:$W,"File in Office",'Form Details'!$N:$N,"Srinivas",'Form Details'!$J:$J,$C551,'Form Details'!$D:$D,'Adv. Filter'!$A$14,'Form Details'!$D:$D,'Adv. Filter'!$B$14)</f>
        <v>0</v>
      </c>
      <c r="BN551" s="238"/>
      <c r="BO551" s="238"/>
      <c r="BP551" s="238"/>
      <c r="BQ551" s="238"/>
      <c r="BR551" s="238"/>
      <c r="BS551" s="239"/>
      <c r="BT551" s="100"/>
      <c r="BU551" s="237">
        <f>COUNTIFS('Form Details'!$AA:$AA,"No",'Form Details'!$N:$N,"Srinivas",'Form Details'!$J:$J,$C551,'Form Details'!$D:$D,'Adv. Filter'!$A$14,'Form Details'!$D:$D,'Adv. Filter'!$B$14)</f>
        <v>0</v>
      </c>
      <c r="BV551" s="238"/>
      <c r="BW551" s="238"/>
      <c r="BX551" s="238"/>
      <c r="BY551" s="238"/>
      <c r="BZ551" s="238"/>
      <c r="CA551" s="239"/>
      <c r="CB551" s="237">
        <f>COUNTIFS('Form Details'!$W:$W,"Adv/Paid",'Form Details'!$N:$N,"Srinivas",'Form Details'!$J:$J,$C551,'Form Details'!$D:$D,'Adv. Filter'!$A$14,'Form Details'!$D:$D,'Adv. Filter'!$B$14)</f>
        <v>0</v>
      </c>
      <c r="CC551" s="238"/>
      <c r="CD551" s="238"/>
      <c r="CE551" s="238"/>
      <c r="CF551" s="238"/>
      <c r="CG551" s="238"/>
      <c r="CH551" s="239"/>
      <c r="CI551" s="237">
        <f>COUNTIFS('Form Details'!$W:$W,"Adv/Paid/Reject",'Form Details'!$N:$N,"Srinivas",'Form Details'!$J:$J,$C551,'Form Details'!$D:$D,'Adv. Filter'!$A$14,'Form Details'!$D:$D,'Adv. Filter'!$B$14)</f>
        <v>0</v>
      </c>
      <c r="CJ551" s="238"/>
      <c r="CK551" s="238"/>
      <c r="CL551" s="238"/>
      <c r="CM551" s="238"/>
      <c r="CN551" s="238"/>
      <c r="CO551" s="239"/>
      <c r="CP551" s="237">
        <f>COUNTIFS('Form Details'!$W:$W,"Reject",'Form Details'!$N:$N,"Srinivas",'Form Details'!$J:$J,$C551,'Form Details'!$D:$D,'Adv. Filter'!$A$14,'Form Details'!$D:$D,'Adv. Filter'!$B$14)</f>
        <v>0</v>
      </c>
      <c r="CQ551" s="238"/>
      <c r="CR551" s="238"/>
      <c r="CS551" s="238"/>
      <c r="CT551" s="238"/>
      <c r="CU551" s="238"/>
      <c r="CV551" s="239"/>
      <c r="CW551" s="237">
        <f>COUNTIFS('Form Details'!$W:$W,"Adv/Paid/Pending",'Form Details'!$N:$N,"Srinivas",'Form Details'!$J:$J,$C551,'Form Details'!$D:$D,'Adv. Filter'!$A$14,'Form Details'!$D:$D,'Adv. Filter'!$B$14)</f>
        <v>0</v>
      </c>
      <c r="CX551" s="238"/>
      <c r="CY551" s="238"/>
      <c r="CZ551" s="238"/>
      <c r="DA551" s="238"/>
      <c r="DB551" s="238"/>
      <c r="DC551" s="239"/>
      <c r="DD551" s="237">
        <f>COUNTIFS('Form Details'!$W:$W,"Pending",'Form Details'!$N:$N,"Srinivas",'Form Details'!$J:$J,$C551,'Form Details'!$D:$D,'Adv. Filter'!$A$14,'Form Details'!$D:$D,'Adv. Filter'!$B$14)</f>
        <v>0</v>
      </c>
      <c r="DE551" s="238"/>
      <c r="DF551" s="238"/>
      <c r="DG551" s="238"/>
      <c r="DH551" s="238"/>
      <c r="DI551" s="238"/>
      <c r="DJ551" s="239"/>
      <c r="DK551" s="237">
        <f>COUNTIFS('Form Details'!$W:$W,"Adv/Paid/NoStatus",'Form Details'!$N:$N,"Srinivas",'Form Details'!$J:$J,$C551,'Form Details'!$D:$D,'Adv. Filter'!$A$14,'Form Details'!$D:$D,'Adv. Filter'!$B$14)</f>
        <v>0</v>
      </c>
      <c r="DL551" s="238"/>
      <c r="DM551" s="238"/>
      <c r="DN551" s="238"/>
      <c r="DO551" s="238"/>
      <c r="DP551" s="238"/>
      <c r="DQ551" s="239"/>
      <c r="DR551" s="237">
        <f>COUNTIFS('Form Details'!$W:$W,"No Status",'Form Details'!$N:$N,"Srinivas",'Form Details'!$J:$J,$C551,'Form Details'!$D:$D,'Adv. Filter'!$A$14,'Form Details'!$D:$D,'Adv. Filter'!$B$14)</f>
        <v>0</v>
      </c>
      <c r="DS551" s="238"/>
      <c r="DT551" s="238"/>
      <c r="DU551" s="238"/>
      <c r="DV551" s="238"/>
      <c r="DW551" s="238"/>
      <c r="DX551" s="239"/>
      <c r="DY551" s="237">
        <f>SUM(COUNTIFS('Form Details'!$W:$W,{"Wrong Entry ","Double Entry"},'Form Details'!$N:$N,"Srinivas",'Form Details'!$J:$J,$C551,'Form Details'!$D:$D,'Adv. Filter'!$A$14,'Form Details'!$D:$D,'Adv. Filter'!$B$14))</f>
        <v>0</v>
      </c>
      <c r="DZ551" s="238"/>
      <c r="EA551" s="238"/>
      <c r="EB551" s="238"/>
      <c r="EC551" s="238"/>
      <c r="ED551" s="238"/>
      <c r="EE551" s="239"/>
    </row>
    <row r="552" spans="3:135" hidden="1">
      <c r="C552" s="248" t="s">
        <v>97</v>
      </c>
      <c r="D552" s="249"/>
      <c r="E552" s="249"/>
      <c r="F552" s="249"/>
      <c r="G552" s="249"/>
      <c r="H552" s="249"/>
      <c r="I552" s="249"/>
      <c r="J552" s="249"/>
      <c r="K552" s="249"/>
      <c r="L552" s="249"/>
      <c r="M552" s="249"/>
      <c r="N552" s="249"/>
      <c r="O552" s="237">
        <f>SUM(COUNTIFS('Form Details'!$AA:$AA,{"Yes","No","-"},'Form Details'!$N:$N,"Srinivas",'Form Details'!$J:$J,$C552,'Form Details'!$D:$D,'Adv. Filter'!$A$14,'Form Details'!$D:$D,'Adv. Filter'!$B$14))</f>
        <v>0</v>
      </c>
      <c r="P552" s="238"/>
      <c r="Q552" s="238"/>
      <c r="R552" s="238"/>
      <c r="S552" s="238"/>
      <c r="T552" s="238"/>
      <c r="U552" s="239"/>
      <c r="V552" s="100"/>
      <c r="W552" s="237">
        <f>COUNTIFS('Form Details'!$AA:$AA,"Yes",'Form Details'!$N:$N,"Srinivas",'Form Details'!$J:$J,$C552,'Form Details'!$D:$D,'Adv. Filter'!$A$14,'Form Details'!$D:$D,'Adv. Filter'!$B$14)</f>
        <v>0</v>
      </c>
      <c r="X552" s="238"/>
      <c r="Y552" s="238"/>
      <c r="Z552" s="238"/>
      <c r="AA552" s="238"/>
      <c r="AB552" s="238"/>
      <c r="AC552" s="239"/>
      <c r="AD552" s="237">
        <f>COUNTIFS('Form Details'!$W:$W,"Paid",'Form Details'!$N:$N,"Srinivas",'Form Details'!$J:$J,$C552,'Form Details'!$D:$D,'Adv. Filter'!$A$14,'Form Details'!$D:$D,'Adv. Filter'!$B$14)</f>
        <v>0</v>
      </c>
      <c r="AE552" s="238"/>
      <c r="AF552" s="238"/>
      <c r="AG552" s="238"/>
      <c r="AH552" s="238"/>
      <c r="AI552" s="238"/>
      <c r="AJ552" s="239"/>
      <c r="AK552" s="237">
        <f>COUNTIFS('Form Details'!$W:$W,"Due",'Form Details'!$N:$N,"Srinivas",'Form Details'!$J:$J,$C552,'Form Details'!$D:$D,'Adv. Filter'!$A$14,'Form Details'!$D:$D,'Adv. Filter'!$B$14)</f>
        <v>0</v>
      </c>
      <c r="AL552" s="238"/>
      <c r="AM552" s="238"/>
      <c r="AN552" s="238"/>
      <c r="AO552" s="238"/>
      <c r="AP552" s="238"/>
      <c r="AQ552" s="239"/>
      <c r="AR552" s="237">
        <f>COUNTIFS('Form Details'!$W:$W,"No Fee",'Form Details'!$N:$N,"Srinivas",'Form Details'!$J:$J,$C552,'Form Details'!$D:$D,'Adv. Filter'!$A$14,'Form Details'!$D:$D,'Adv. Filter'!$B$14)</f>
        <v>0</v>
      </c>
      <c r="AS552" s="238"/>
      <c r="AT552" s="238"/>
      <c r="AU552" s="238"/>
      <c r="AV552" s="238"/>
      <c r="AW552" s="238"/>
      <c r="AX552" s="239"/>
      <c r="AY552" s="237">
        <f>COUNTIFS('Form Details'!$W:$W,"Paid/Reject",'Form Details'!$N:$N,"Srinivas",'Form Details'!$J:$J,$C552,'Form Details'!$D:$D,'Adv. Filter'!$A$14,'Form Details'!$D:$D,'Adv. Filter'!$B$14)</f>
        <v>0</v>
      </c>
      <c r="AZ552" s="238"/>
      <c r="BA552" s="238"/>
      <c r="BB552" s="238"/>
      <c r="BC552" s="238"/>
      <c r="BD552" s="238"/>
      <c r="BE552" s="239"/>
      <c r="BF552" s="237">
        <f>COUNTIFS('Form Details'!$W:$W,"Staff",'Form Details'!$N:$N,"Srinivas",'Form Details'!$J:$J,$C552,'Form Details'!$D:$D,'Adv. Filter'!$A$14,'Form Details'!$D:$D,'Adv. Filter'!$B$14)</f>
        <v>0</v>
      </c>
      <c r="BG552" s="238"/>
      <c r="BH552" s="238"/>
      <c r="BI552" s="238"/>
      <c r="BJ552" s="238"/>
      <c r="BK552" s="238"/>
      <c r="BL552" s="239"/>
      <c r="BM552" s="237">
        <f>COUNTIFS('Form Details'!$W:$W,"File in Office",'Form Details'!$N:$N,"Srinivas",'Form Details'!$J:$J,$C552,'Form Details'!$D:$D,'Adv. Filter'!$A$14,'Form Details'!$D:$D,'Adv. Filter'!$B$14)</f>
        <v>0</v>
      </c>
      <c r="BN552" s="238"/>
      <c r="BO552" s="238"/>
      <c r="BP552" s="238"/>
      <c r="BQ552" s="238"/>
      <c r="BR552" s="238"/>
      <c r="BS552" s="239"/>
      <c r="BT552" s="100"/>
      <c r="BU552" s="237">
        <f>COUNTIFS('Form Details'!$AA:$AA,"No",'Form Details'!$N:$N,"Srinivas",'Form Details'!$J:$J,$C552,'Form Details'!$D:$D,'Adv. Filter'!$A$14,'Form Details'!$D:$D,'Adv. Filter'!$B$14)</f>
        <v>0</v>
      </c>
      <c r="BV552" s="238"/>
      <c r="BW552" s="238"/>
      <c r="BX552" s="238"/>
      <c r="BY552" s="238"/>
      <c r="BZ552" s="238"/>
      <c r="CA552" s="239"/>
      <c r="CB552" s="237">
        <f>COUNTIFS('Form Details'!$W:$W,"Adv/Paid",'Form Details'!$N:$N,"Srinivas",'Form Details'!$J:$J,$C552,'Form Details'!$D:$D,'Adv. Filter'!$A$14,'Form Details'!$D:$D,'Adv. Filter'!$B$14)</f>
        <v>0</v>
      </c>
      <c r="CC552" s="238"/>
      <c r="CD552" s="238"/>
      <c r="CE552" s="238"/>
      <c r="CF552" s="238"/>
      <c r="CG552" s="238"/>
      <c r="CH552" s="239"/>
      <c r="CI552" s="237">
        <f>COUNTIFS('Form Details'!$W:$W,"Adv/Paid/Reject",'Form Details'!$N:$N,"Srinivas",'Form Details'!$J:$J,$C552,'Form Details'!$D:$D,'Adv. Filter'!$A$14,'Form Details'!$D:$D,'Adv. Filter'!$B$14)</f>
        <v>0</v>
      </c>
      <c r="CJ552" s="238"/>
      <c r="CK552" s="238"/>
      <c r="CL552" s="238"/>
      <c r="CM552" s="238"/>
      <c r="CN552" s="238"/>
      <c r="CO552" s="239"/>
      <c r="CP552" s="237">
        <f>COUNTIFS('Form Details'!$W:$W,"Reject",'Form Details'!$N:$N,"Srinivas",'Form Details'!$J:$J,$C552,'Form Details'!$D:$D,'Adv. Filter'!$A$14,'Form Details'!$D:$D,'Adv. Filter'!$B$14)</f>
        <v>0</v>
      </c>
      <c r="CQ552" s="238"/>
      <c r="CR552" s="238"/>
      <c r="CS552" s="238"/>
      <c r="CT552" s="238"/>
      <c r="CU552" s="238"/>
      <c r="CV552" s="239"/>
      <c r="CW552" s="237">
        <f>COUNTIFS('Form Details'!$W:$W,"Adv/Paid/Pending",'Form Details'!$N:$N,"Srinivas",'Form Details'!$J:$J,$C552,'Form Details'!$D:$D,'Adv. Filter'!$A$14,'Form Details'!$D:$D,'Adv. Filter'!$B$14)</f>
        <v>0</v>
      </c>
      <c r="CX552" s="238"/>
      <c r="CY552" s="238"/>
      <c r="CZ552" s="238"/>
      <c r="DA552" s="238"/>
      <c r="DB552" s="238"/>
      <c r="DC552" s="239"/>
      <c r="DD552" s="237">
        <f>COUNTIFS('Form Details'!$W:$W,"Pending",'Form Details'!$N:$N,"Srinivas",'Form Details'!$J:$J,$C552,'Form Details'!$D:$D,'Adv. Filter'!$A$14,'Form Details'!$D:$D,'Adv. Filter'!$B$14)</f>
        <v>0</v>
      </c>
      <c r="DE552" s="238"/>
      <c r="DF552" s="238"/>
      <c r="DG552" s="238"/>
      <c r="DH552" s="238"/>
      <c r="DI552" s="238"/>
      <c r="DJ552" s="239"/>
      <c r="DK552" s="237">
        <f>COUNTIFS('Form Details'!$W:$W,"Adv/Paid/NoStatus",'Form Details'!$N:$N,"Srinivas",'Form Details'!$J:$J,$C552,'Form Details'!$D:$D,'Adv. Filter'!$A$14,'Form Details'!$D:$D,'Adv. Filter'!$B$14)</f>
        <v>0</v>
      </c>
      <c r="DL552" s="238"/>
      <c r="DM552" s="238"/>
      <c r="DN552" s="238"/>
      <c r="DO552" s="238"/>
      <c r="DP552" s="238"/>
      <c r="DQ552" s="239"/>
      <c r="DR552" s="237">
        <f>COUNTIFS('Form Details'!$W:$W,"No Status",'Form Details'!$N:$N,"Srinivas",'Form Details'!$J:$J,$C552,'Form Details'!$D:$D,'Adv. Filter'!$A$14,'Form Details'!$D:$D,'Adv. Filter'!$B$14)</f>
        <v>0</v>
      </c>
      <c r="DS552" s="238"/>
      <c r="DT552" s="238"/>
      <c r="DU552" s="238"/>
      <c r="DV552" s="238"/>
      <c r="DW552" s="238"/>
      <c r="DX552" s="239"/>
      <c r="DY552" s="237">
        <f>SUM(COUNTIFS('Form Details'!$W:$W,{"Wrong Entry ","Double Entry"},'Form Details'!$N:$N,"Srinivas",'Form Details'!$J:$J,$C552,'Form Details'!$D:$D,'Adv. Filter'!$A$14,'Form Details'!$D:$D,'Adv. Filter'!$B$14))</f>
        <v>0</v>
      </c>
      <c r="DZ552" s="238"/>
      <c r="EA552" s="238"/>
      <c r="EB552" s="238"/>
      <c r="EC552" s="238"/>
      <c r="ED552" s="238"/>
      <c r="EE552" s="239"/>
    </row>
    <row r="553" spans="3:135" hidden="1">
      <c r="C553" s="248" t="s">
        <v>102</v>
      </c>
      <c r="D553" s="249"/>
      <c r="E553" s="249"/>
      <c r="F553" s="249"/>
      <c r="G553" s="249"/>
      <c r="H553" s="249"/>
      <c r="I553" s="249"/>
      <c r="J553" s="249"/>
      <c r="K553" s="249"/>
      <c r="L553" s="249"/>
      <c r="M553" s="249"/>
      <c r="N553" s="249"/>
      <c r="O553" s="237">
        <f>SUM(COUNTIFS('Form Details'!$AA:$AA,{"Yes","No","-"},'Form Details'!$N:$N,"Srinivas",'Form Details'!$J:$J,$C553,'Form Details'!$D:$D,'Adv. Filter'!$A$14,'Form Details'!$D:$D,'Adv. Filter'!$B$14))</f>
        <v>0</v>
      </c>
      <c r="P553" s="238"/>
      <c r="Q553" s="238"/>
      <c r="R553" s="238"/>
      <c r="S553" s="238"/>
      <c r="T553" s="238"/>
      <c r="U553" s="239"/>
      <c r="V553" s="100"/>
      <c r="W553" s="237">
        <f>COUNTIFS('Form Details'!$AA:$AA,"Yes",'Form Details'!$N:$N,"Srinivas",'Form Details'!$J:$J,$C553,'Form Details'!$D:$D,'Adv. Filter'!$A$14,'Form Details'!$D:$D,'Adv. Filter'!$B$14)</f>
        <v>0</v>
      </c>
      <c r="X553" s="238"/>
      <c r="Y553" s="238"/>
      <c r="Z553" s="238"/>
      <c r="AA553" s="238"/>
      <c r="AB553" s="238"/>
      <c r="AC553" s="239"/>
      <c r="AD553" s="237">
        <f>COUNTIFS('Form Details'!$W:$W,"Paid",'Form Details'!$N:$N,"Srinivas",'Form Details'!$J:$J,$C553,'Form Details'!$D:$D,'Adv. Filter'!$A$14,'Form Details'!$D:$D,'Adv. Filter'!$B$14)</f>
        <v>0</v>
      </c>
      <c r="AE553" s="238"/>
      <c r="AF553" s="238"/>
      <c r="AG553" s="238"/>
      <c r="AH553" s="238"/>
      <c r="AI553" s="238"/>
      <c r="AJ553" s="239"/>
      <c r="AK553" s="237">
        <f>COUNTIFS('Form Details'!$W:$W,"Due",'Form Details'!$N:$N,"Srinivas",'Form Details'!$J:$J,$C553,'Form Details'!$D:$D,'Adv. Filter'!$A$14,'Form Details'!$D:$D,'Adv. Filter'!$B$14)</f>
        <v>0</v>
      </c>
      <c r="AL553" s="238"/>
      <c r="AM553" s="238"/>
      <c r="AN553" s="238"/>
      <c r="AO553" s="238"/>
      <c r="AP553" s="238"/>
      <c r="AQ553" s="239"/>
      <c r="AR553" s="237">
        <f>COUNTIFS('Form Details'!$W:$W,"No Fee",'Form Details'!$N:$N,"Srinivas",'Form Details'!$J:$J,$C553,'Form Details'!$D:$D,'Adv. Filter'!$A$14,'Form Details'!$D:$D,'Adv. Filter'!$B$14)</f>
        <v>0</v>
      </c>
      <c r="AS553" s="238"/>
      <c r="AT553" s="238"/>
      <c r="AU553" s="238"/>
      <c r="AV553" s="238"/>
      <c r="AW553" s="238"/>
      <c r="AX553" s="239"/>
      <c r="AY553" s="237">
        <f>COUNTIFS('Form Details'!$W:$W,"Paid/Reject",'Form Details'!$N:$N,"Srinivas",'Form Details'!$J:$J,$C553,'Form Details'!$D:$D,'Adv. Filter'!$A$14,'Form Details'!$D:$D,'Adv. Filter'!$B$14)</f>
        <v>0</v>
      </c>
      <c r="AZ553" s="238"/>
      <c r="BA553" s="238"/>
      <c r="BB553" s="238"/>
      <c r="BC553" s="238"/>
      <c r="BD553" s="238"/>
      <c r="BE553" s="239"/>
      <c r="BF553" s="237">
        <f>COUNTIFS('Form Details'!$W:$W,"Staff",'Form Details'!$N:$N,"Srinivas",'Form Details'!$J:$J,$C553,'Form Details'!$D:$D,'Adv. Filter'!$A$14,'Form Details'!$D:$D,'Adv. Filter'!$B$14)</f>
        <v>0</v>
      </c>
      <c r="BG553" s="238"/>
      <c r="BH553" s="238"/>
      <c r="BI553" s="238"/>
      <c r="BJ553" s="238"/>
      <c r="BK553" s="238"/>
      <c r="BL553" s="239"/>
      <c r="BM553" s="237">
        <f>COUNTIFS('Form Details'!$W:$W,"File in Office",'Form Details'!$N:$N,"Srinivas",'Form Details'!$J:$J,$C553,'Form Details'!$D:$D,'Adv. Filter'!$A$14,'Form Details'!$D:$D,'Adv. Filter'!$B$14)</f>
        <v>0</v>
      </c>
      <c r="BN553" s="238"/>
      <c r="BO553" s="238"/>
      <c r="BP553" s="238"/>
      <c r="BQ553" s="238"/>
      <c r="BR553" s="238"/>
      <c r="BS553" s="239"/>
      <c r="BT553" s="100"/>
      <c r="BU553" s="237">
        <f>COUNTIFS('Form Details'!$AA:$AA,"No",'Form Details'!$N:$N,"Srinivas",'Form Details'!$J:$J,$C553,'Form Details'!$D:$D,'Adv. Filter'!$A$14,'Form Details'!$D:$D,'Adv. Filter'!$B$14)</f>
        <v>0</v>
      </c>
      <c r="BV553" s="238"/>
      <c r="BW553" s="238"/>
      <c r="BX553" s="238"/>
      <c r="BY553" s="238"/>
      <c r="BZ553" s="238"/>
      <c r="CA553" s="239"/>
      <c r="CB553" s="237">
        <f>COUNTIFS('Form Details'!$W:$W,"Adv/Paid",'Form Details'!$N:$N,"Srinivas",'Form Details'!$J:$J,$C553,'Form Details'!$D:$D,'Adv. Filter'!$A$14,'Form Details'!$D:$D,'Adv. Filter'!$B$14)</f>
        <v>0</v>
      </c>
      <c r="CC553" s="238"/>
      <c r="CD553" s="238"/>
      <c r="CE553" s="238"/>
      <c r="CF553" s="238"/>
      <c r="CG553" s="238"/>
      <c r="CH553" s="239"/>
      <c r="CI553" s="237">
        <f>COUNTIFS('Form Details'!$W:$W,"Adv/Paid/Reject",'Form Details'!$N:$N,"Srinivas",'Form Details'!$J:$J,$C553,'Form Details'!$D:$D,'Adv. Filter'!$A$14,'Form Details'!$D:$D,'Adv. Filter'!$B$14)</f>
        <v>0</v>
      </c>
      <c r="CJ553" s="238"/>
      <c r="CK553" s="238"/>
      <c r="CL553" s="238"/>
      <c r="CM553" s="238"/>
      <c r="CN553" s="238"/>
      <c r="CO553" s="239"/>
      <c r="CP553" s="237">
        <f>COUNTIFS('Form Details'!$W:$W,"Reject",'Form Details'!$N:$N,"Srinivas",'Form Details'!$J:$J,$C553,'Form Details'!$D:$D,'Adv. Filter'!$A$14,'Form Details'!$D:$D,'Adv. Filter'!$B$14)</f>
        <v>0</v>
      </c>
      <c r="CQ553" s="238"/>
      <c r="CR553" s="238"/>
      <c r="CS553" s="238"/>
      <c r="CT553" s="238"/>
      <c r="CU553" s="238"/>
      <c r="CV553" s="239"/>
      <c r="CW553" s="237">
        <f>COUNTIFS('Form Details'!$W:$W,"Adv/Paid/Pending",'Form Details'!$N:$N,"Srinivas",'Form Details'!$J:$J,$C553,'Form Details'!$D:$D,'Adv. Filter'!$A$14,'Form Details'!$D:$D,'Adv. Filter'!$B$14)</f>
        <v>0</v>
      </c>
      <c r="CX553" s="238"/>
      <c r="CY553" s="238"/>
      <c r="CZ553" s="238"/>
      <c r="DA553" s="238"/>
      <c r="DB553" s="238"/>
      <c r="DC553" s="239"/>
      <c r="DD553" s="237">
        <f>COUNTIFS('Form Details'!$W:$W,"Pending",'Form Details'!$N:$N,"Srinivas",'Form Details'!$J:$J,$C553,'Form Details'!$D:$D,'Adv. Filter'!$A$14,'Form Details'!$D:$D,'Adv. Filter'!$B$14)</f>
        <v>0</v>
      </c>
      <c r="DE553" s="238"/>
      <c r="DF553" s="238"/>
      <c r="DG553" s="238"/>
      <c r="DH553" s="238"/>
      <c r="DI553" s="238"/>
      <c r="DJ553" s="239"/>
      <c r="DK553" s="237">
        <f>COUNTIFS('Form Details'!$W:$W,"Adv/Paid/NoStatus",'Form Details'!$N:$N,"Srinivas",'Form Details'!$J:$J,$C553,'Form Details'!$D:$D,'Adv. Filter'!$A$14,'Form Details'!$D:$D,'Adv. Filter'!$B$14)</f>
        <v>0</v>
      </c>
      <c r="DL553" s="238"/>
      <c r="DM553" s="238"/>
      <c r="DN553" s="238"/>
      <c r="DO553" s="238"/>
      <c r="DP553" s="238"/>
      <c r="DQ553" s="239"/>
      <c r="DR553" s="237">
        <f>COUNTIFS('Form Details'!$W:$W,"No Status",'Form Details'!$N:$N,"Srinivas",'Form Details'!$J:$J,$C553,'Form Details'!$D:$D,'Adv. Filter'!$A$14,'Form Details'!$D:$D,'Adv. Filter'!$B$14)</f>
        <v>0</v>
      </c>
      <c r="DS553" s="238"/>
      <c r="DT553" s="238"/>
      <c r="DU553" s="238"/>
      <c r="DV553" s="238"/>
      <c r="DW553" s="238"/>
      <c r="DX553" s="239"/>
      <c r="DY553" s="237">
        <f>SUM(COUNTIFS('Form Details'!$W:$W,{"Wrong Entry ","Double Entry"},'Form Details'!$N:$N,"Srinivas",'Form Details'!$J:$J,$C553,'Form Details'!$D:$D,'Adv. Filter'!$A$14,'Form Details'!$D:$D,'Adv. Filter'!$B$14))</f>
        <v>0</v>
      </c>
      <c r="DZ553" s="238"/>
      <c r="EA553" s="238"/>
      <c r="EB553" s="238"/>
      <c r="EC553" s="238"/>
      <c r="ED553" s="238"/>
      <c r="EE553" s="239"/>
    </row>
    <row r="554" spans="3:135" ht="15.75" hidden="1" thickBot="1">
      <c r="C554" s="248" t="s">
        <v>108</v>
      </c>
      <c r="D554" s="249"/>
      <c r="E554" s="249"/>
      <c r="F554" s="249"/>
      <c r="G554" s="249"/>
      <c r="H554" s="249"/>
      <c r="I554" s="249"/>
      <c r="J554" s="249"/>
      <c r="K554" s="249"/>
      <c r="L554" s="249"/>
      <c r="M554" s="249"/>
      <c r="N554" s="249"/>
      <c r="O554" s="240">
        <f>SUM(COUNTIFS('Form Details'!$AA:$AA,{"Yes","No","-"},'Form Details'!$N:$N,"Srinivas",'Form Details'!$J:$J,$C554,'Form Details'!$D:$D,'Adv. Filter'!$A$14,'Form Details'!$D:$D,'Adv. Filter'!$B$14))</f>
        <v>0</v>
      </c>
      <c r="P554" s="241"/>
      <c r="Q554" s="241"/>
      <c r="R554" s="241"/>
      <c r="S554" s="241"/>
      <c r="T554" s="241"/>
      <c r="U554" s="242"/>
      <c r="V554" s="100"/>
      <c r="W554" s="240">
        <f>COUNTIFS('Form Details'!$AA:$AA,"Yes",'Form Details'!$N:$N,"Srinivas",'Form Details'!$J:$J,$C554,'Form Details'!$D:$D,'Adv. Filter'!$A$14,'Form Details'!$D:$D,'Adv. Filter'!$B$14)</f>
        <v>0</v>
      </c>
      <c r="X554" s="241"/>
      <c r="Y554" s="241"/>
      <c r="Z554" s="241"/>
      <c r="AA554" s="241"/>
      <c r="AB554" s="241"/>
      <c r="AC554" s="242"/>
      <c r="AD554" s="240">
        <f>COUNTIFS('Form Details'!$W:$W,"Paid",'Form Details'!$N:$N,"Srinivas",'Form Details'!$J:$J,$C554,'Form Details'!$D:$D,'Adv. Filter'!$A$14,'Form Details'!$D:$D,'Adv. Filter'!$B$14)</f>
        <v>0</v>
      </c>
      <c r="AE554" s="241"/>
      <c r="AF554" s="241"/>
      <c r="AG554" s="241"/>
      <c r="AH554" s="241"/>
      <c r="AI554" s="241"/>
      <c r="AJ554" s="242"/>
      <c r="AK554" s="240">
        <f>COUNTIFS('Form Details'!$W:$W,"Due",'Form Details'!$N:$N,"Srinivas",'Form Details'!$J:$J,$C554,'Form Details'!$D:$D,'Adv. Filter'!$A$14,'Form Details'!$D:$D,'Adv. Filter'!$B$14)</f>
        <v>0</v>
      </c>
      <c r="AL554" s="241"/>
      <c r="AM554" s="241"/>
      <c r="AN554" s="241"/>
      <c r="AO554" s="241"/>
      <c r="AP554" s="241"/>
      <c r="AQ554" s="242"/>
      <c r="AR554" s="240">
        <f>COUNTIFS('Form Details'!$W:$W,"No Fee",'Form Details'!$N:$N,"Srinivas",'Form Details'!$J:$J,$C554,'Form Details'!$D:$D,'Adv. Filter'!$A$14,'Form Details'!$D:$D,'Adv. Filter'!$B$14)</f>
        <v>0</v>
      </c>
      <c r="AS554" s="241"/>
      <c r="AT554" s="241"/>
      <c r="AU554" s="241"/>
      <c r="AV554" s="241"/>
      <c r="AW554" s="241"/>
      <c r="AX554" s="242"/>
      <c r="AY554" s="240">
        <f>COUNTIFS('Form Details'!$W:$W,"Paid/Reject",'Form Details'!$N:$N,"Srinivas",'Form Details'!$J:$J,$C554,'Form Details'!$D:$D,'Adv. Filter'!$A$14,'Form Details'!$D:$D,'Adv. Filter'!$B$14)</f>
        <v>0</v>
      </c>
      <c r="AZ554" s="241"/>
      <c r="BA554" s="241"/>
      <c r="BB554" s="241"/>
      <c r="BC554" s="241"/>
      <c r="BD554" s="241"/>
      <c r="BE554" s="242"/>
      <c r="BF554" s="240">
        <f>COUNTIFS('Form Details'!$W:$W,"Staff",'Form Details'!$N:$N,"Srinivas",'Form Details'!$J:$J,$C554,'Form Details'!$D:$D,'Adv. Filter'!$A$14,'Form Details'!$D:$D,'Adv. Filter'!$B$14)</f>
        <v>0</v>
      </c>
      <c r="BG554" s="241"/>
      <c r="BH554" s="241"/>
      <c r="BI554" s="241"/>
      <c r="BJ554" s="241"/>
      <c r="BK554" s="241"/>
      <c r="BL554" s="242"/>
      <c r="BM554" s="240">
        <f>COUNTIFS('Form Details'!$W:$W,"File in Office",'Form Details'!$N:$N,"Srinivas",'Form Details'!$J:$J,$C554,'Form Details'!$D:$D,'Adv. Filter'!$A$14,'Form Details'!$D:$D,'Adv. Filter'!$B$14)</f>
        <v>0</v>
      </c>
      <c r="BN554" s="241"/>
      <c r="BO554" s="241"/>
      <c r="BP554" s="241"/>
      <c r="BQ554" s="241"/>
      <c r="BR554" s="241"/>
      <c r="BS554" s="242"/>
      <c r="BT554" s="100"/>
      <c r="BU554" s="240">
        <f>COUNTIFS('Form Details'!$AA:$AA,"No",'Form Details'!$N:$N,"Srinivas",'Form Details'!$J:$J,$C554,'Form Details'!$D:$D,'Adv. Filter'!$A$14,'Form Details'!$D:$D,'Adv. Filter'!$B$14)</f>
        <v>0</v>
      </c>
      <c r="BV554" s="241"/>
      <c r="BW554" s="241"/>
      <c r="BX554" s="241"/>
      <c r="BY554" s="241"/>
      <c r="BZ554" s="241"/>
      <c r="CA554" s="242"/>
      <c r="CB554" s="240">
        <f>COUNTIFS('Form Details'!$W:$W,"Adv/Paid",'Form Details'!$N:$N,"Srinivas",'Form Details'!$J:$J,$C554,'Form Details'!$D:$D,'Adv. Filter'!$A$14,'Form Details'!$D:$D,'Adv. Filter'!$B$14)</f>
        <v>0</v>
      </c>
      <c r="CC554" s="241"/>
      <c r="CD554" s="241"/>
      <c r="CE554" s="241"/>
      <c r="CF554" s="241"/>
      <c r="CG554" s="241"/>
      <c r="CH554" s="242"/>
      <c r="CI554" s="240">
        <f>COUNTIFS('Form Details'!$W:$W,"Adv/Paid/Reject",'Form Details'!$N:$N,"Srinivas",'Form Details'!$J:$J,$C554,'Form Details'!$D:$D,'Adv. Filter'!$A$14,'Form Details'!$D:$D,'Adv. Filter'!$B$14)</f>
        <v>0</v>
      </c>
      <c r="CJ554" s="241"/>
      <c r="CK554" s="241"/>
      <c r="CL554" s="241"/>
      <c r="CM554" s="241"/>
      <c r="CN554" s="241"/>
      <c r="CO554" s="242"/>
      <c r="CP554" s="240">
        <f>COUNTIFS('Form Details'!$W:$W,"Reject",'Form Details'!$N:$N,"Srinivas",'Form Details'!$J:$J,$C554,'Form Details'!$D:$D,'Adv. Filter'!$A$14,'Form Details'!$D:$D,'Adv. Filter'!$B$14)</f>
        <v>0</v>
      </c>
      <c r="CQ554" s="241"/>
      <c r="CR554" s="241"/>
      <c r="CS554" s="241"/>
      <c r="CT554" s="241"/>
      <c r="CU554" s="241"/>
      <c r="CV554" s="242"/>
      <c r="CW554" s="240">
        <f>COUNTIFS('Form Details'!$W:$W,"Adv/Paid/Pending",'Form Details'!$N:$N,"Srinivas",'Form Details'!$J:$J,$C554,'Form Details'!$D:$D,'Adv. Filter'!$A$14,'Form Details'!$D:$D,'Adv. Filter'!$B$14)</f>
        <v>0</v>
      </c>
      <c r="CX554" s="241"/>
      <c r="CY554" s="241"/>
      <c r="CZ554" s="241"/>
      <c r="DA554" s="241"/>
      <c r="DB554" s="241"/>
      <c r="DC554" s="242"/>
      <c r="DD554" s="240">
        <f>COUNTIFS('Form Details'!$W:$W,"Pending",'Form Details'!$N:$N,"Srinivas",'Form Details'!$J:$J,$C554,'Form Details'!$D:$D,'Adv. Filter'!$A$14,'Form Details'!$D:$D,'Adv. Filter'!$B$14)</f>
        <v>0</v>
      </c>
      <c r="DE554" s="241"/>
      <c r="DF554" s="241"/>
      <c r="DG554" s="241"/>
      <c r="DH554" s="241"/>
      <c r="DI554" s="241"/>
      <c r="DJ554" s="242"/>
      <c r="DK554" s="240">
        <f>COUNTIFS('Form Details'!$W:$W,"Adv/Paid/NoStatus",'Form Details'!$N:$N,"Srinivas",'Form Details'!$J:$J,$C554,'Form Details'!$D:$D,'Adv. Filter'!$A$14,'Form Details'!$D:$D,'Adv. Filter'!$B$14)</f>
        <v>0</v>
      </c>
      <c r="DL554" s="241"/>
      <c r="DM554" s="241"/>
      <c r="DN554" s="241"/>
      <c r="DO554" s="241"/>
      <c r="DP554" s="241"/>
      <c r="DQ554" s="242"/>
      <c r="DR554" s="240">
        <f>COUNTIFS('Form Details'!$W:$W,"No Status",'Form Details'!$N:$N,"Srinivas",'Form Details'!$J:$J,$C554,'Form Details'!$D:$D,'Adv. Filter'!$A$14,'Form Details'!$D:$D,'Adv. Filter'!$B$14)</f>
        <v>0</v>
      </c>
      <c r="DS554" s="241"/>
      <c r="DT554" s="241"/>
      <c r="DU554" s="241"/>
      <c r="DV554" s="241"/>
      <c r="DW554" s="241"/>
      <c r="DX554" s="242"/>
      <c r="DY554" s="240">
        <f>SUM(COUNTIFS('Form Details'!$W:$W,{"Wrong Entry ","Double Entry"},'Form Details'!$N:$N,"Srinivas",'Form Details'!$J:$J,$C554,'Form Details'!$D:$D,'Adv. Filter'!$A$14,'Form Details'!$D:$D,'Adv. Filter'!$B$14))</f>
        <v>0</v>
      </c>
      <c r="DZ554" s="241"/>
      <c r="EA554" s="241"/>
      <c r="EB554" s="241"/>
      <c r="EC554" s="241"/>
      <c r="ED554" s="241"/>
      <c r="EE554" s="242"/>
    </row>
    <row r="555" spans="3:135" ht="15.75" hidden="1" thickTop="1">
      <c r="C555" s="246" t="s">
        <v>503</v>
      </c>
      <c r="D555" s="247"/>
      <c r="E555" s="247"/>
      <c r="F555" s="247"/>
      <c r="G555" s="247"/>
      <c r="H555" s="247"/>
      <c r="I555" s="247"/>
      <c r="J555" s="247"/>
      <c r="K555" s="247"/>
      <c r="L555" s="247"/>
      <c r="M555" s="247"/>
      <c r="N555" s="247"/>
      <c r="O555" s="243">
        <f>SUM(O538:U554)</f>
        <v>101</v>
      </c>
      <c r="P555" s="244"/>
      <c r="Q555" s="244"/>
      <c r="R555" s="244"/>
      <c r="S555" s="244"/>
      <c r="T555" s="244"/>
      <c r="U555" s="244"/>
      <c r="V555" s="106"/>
      <c r="W555" s="243">
        <f>SUM(W538:AC554)</f>
        <v>99</v>
      </c>
      <c r="X555" s="244"/>
      <c r="Y555" s="244"/>
      <c r="Z555" s="244"/>
      <c r="AA555" s="244"/>
      <c r="AB555" s="244"/>
      <c r="AC555" s="244"/>
      <c r="AD555" s="243">
        <f>SUM(AD538:AJ554)</f>
        <v>38</v>
      </c>
      <c r="AE555" s="244"/>
      <c r="AF555" s="244"/>
      <c r="AG555" s="244"/>
      <c r="AH555" s="244"/>
      <c r="AI555" s="244"/>
      <c r="AJ555" s="244"/>
      <c r="AK555" s="243">
        <f>SUM(AK538:AQ554)</f>
        <v>61</v>
      </c>
      <c r="AL555" s="244"/>
      <c r="AM555" s="244"/>
      <c r="AN555" s="244"/>
      <c r="AO555" s="244"/>
      <c r="AP555" s="244"/>
      <c r="AQ555" s="244"/>
      <c r="AR555" s="243">
        <f>SUM(AR538:AX554)</f>
        <v>0</v>
      </c>
      <c r="AS555" s="244"/>
      <c r="AT555" s="244"/>
      <c r="AU555" s="244"/>
      <c r="AV555" s="244"/>
      <c r="AW555" s="244"/>
      <c r="AX555" s="244"/>
      <c r="AY555" s="243">
        <f>SUM(AY538:BE554)</f>
        <v>0</v>
      </c>
      <c r="AZ555" s="244"/>
      <c r="BA555" s="244"/>
      <c r="BB555" s="244"/>
      <c r="BC555" s="244"/>
      <c r="BD555" s="244"/>
      <c r="BE555" s="244"/>
      <c r="BF555" s="243">
        <f>SUM(BF538:BL554)</f>
        <v>0</v>
      </c>
      <c r="BG555" s="244"/>
      <c r="BH555" s="244"/>
      <c r="BI555" s="244"/>
      <c r="BJ555" s="244"/>
      <c r="BK555" s="244"/>
      <c r="BL555" s="244"/>
      <c r="BM555" s="243">
        <f>SUM(BM538:BS554)</f>
        <v>0</v>
      </c>
      <c r="BN555" s="244"/>
      <c r="BO555" s="244"/>
      <c r="BP555" s="244"/>
      <c r="BQ555" s="244"/>
      <c r="BR555" s="244"/>
      <c r="BS555" s="244"/>
      <c r="BT555" s="106"/>
      <c r="BU555" s="243">
        <f>SUM(BU538:CA554)</f>
        <v>2</v>
      </c>
      <c r="BV555" s="244"/>
      <c r="BW555" s="244"/>
      <c r="BX555" s="244"/>
      <c r="BY555" s="244"/>
      <c r="BZ555" s="244"/>
      <c r="CA555" s="244"/>
      <c r="CB555" s="243">
        <f>SUM(CB538:CH554)</f>
        <v>0</v>
      </c>
      <c r="CC555" s="244"/>
      <c r="CD555" s="244"/>
      <c r="CE555" s="244"/>
      <c r="CF555" s="244"/>
      <c r="CG555" s="244"/>
      <c r="CH555" s="244"/>
      <c r="CI555" s="243">
        <f>SUM(CI538:CO554)</f>
        <v>0</v>
      </c>
      <c r="CJ555" s="244"/>
      <c r="CK555" s="244"/>
      <c r="CL555" s="244"/>
      <c r="CM555" s="244"/>
      <c r="CN555" s="244"/>
      <c r="CO555" s="244"/>
      <c r="CP555" s="243">
        <f>SUM(CP538:CV554)</f>
        <v>0</v>
      </c>
      <c r="CQ555" s="244"/>
      <c r="CR555" s="244"/>
      <c r="CS555" s="244"/>
      <c r="CT555" s="244"/>
      <c r="CU555" s="244"/>
      <c r="CV555" s="244"/>
      <c r="CW555" s="243">
        <f>SUM(CW538:DC554)</f>
        <v>0</v>
      </c>
      <c r="CX555" s="244"/>
      <c r="CY555" s="244"/>
      <c r="CZ555" s="244"/>
      <c r="DA555" s="244"/>
      <c r="DB555" s="244"/>
      <c r="DC555" s="244"/>
      <c r="DD555" s="243">
        <f>SUM(DD538:DJ554)</f>
        <v>0</v>
      </c>
      <c r="DE555" s="244"/>
      <c r="DF555" s="244"/>
      <c r="DG555" s="244"/>
      <c r="DH555" s="244"/>
      <c r="DI555" s="244"/>
      <c r="DJ555" s="244"/>
      <c r="DK555" s="243">
        <f>SUM(DK538:DQ554)</f>
        <v>0</v>
      </c>
      <c r="DL555" s="244"/>
      <c r="DM555" s="244"/>
      <c r="DN555" s="244"/>
      <c r="DO555" s="244"/>
      <c r="DP555" s="244"/>
      <c r="DQ555" s="244"/>
      <c r="DR555" s="243">
        <f>SUM(DR538:DX554)</f>
        <v>0</v>
      </c>
      <c r="DS555" s="244"/>
      <c r="DT555" s="244"/>
      <c r="DU555" s="244"/>
      <c r="DV555" s="244"/>
      <c r="DW555" s="244"/>
      <c r="DX555" s="244"/>
      <c r="DY555" s="243">
        <f>SUM(DY538:EE554)</f>
        <v>2</v>
      </c>
      <c r="DZ555" s="244"/>
      <c r="EA555" s="244"/>
      <c r="EB555" s="244"/>
      <c r="EC555" s="244"/>
      <c r="ED555" s="244"/>
      <c r="EE555" s="244"/>
    </row>
    <row r="556" spans="3:135" hidden="1">
      <c r="C556" s="100"/>
      <c r="E556" s="100"/>
      <c r="F556" s="100"/>
      <c r="G556" s="100"/>
      <c r="H556" s="100"/>
      <c r="I556" s="100"/>
      <c r="J556" s="100"/>
      <c r="K556" s="100"/>
      <c r="L556" s="100"/>
      <c r="M556" s="100"/>
      <c r="N556" s="100"/>
      <c r="O556" s="100"/>
      <c r="P556" s="100"/>
      <c r="Q556" s="100"/>
      <c r="R556" s="100"/>
      <c r="S556" s="100"/>
      <c r="T556" s="100"/>
      <c r="U556" s="100"/>
      <c r="V556" s="100"/>
      <c r="W556" s="100"/>
      <c r="X556" s="100"/>
      <c r="Y556" s="100"/>
      <c r="Z556" s="100"/>
      <c r="AA556" s="100"/>
      <c r="AB556" s="100"/>
      <c r="AC556" s="100"/>
      <c r="AD556" s="100"/>
      <c r="AE556" s="100"/>
      <c r="AF556" s="100"/>
      <c r="AG556" s="100"/>
      <c r="AH556" s="100"/>
      <c r="AI556" s="100"/>
      <c r="AJ556" s="100"/>
      <c r="AK556" s="100"/>
      <c r="AL556" s="100"/>
      <c r="AM556" s="100"/>
      <c r="AN556" s="100"/>
      <c r="AO556" s="100"/>
      <c r="AP556" s="100"/>
      <c r="AQ556" s="100"/>
      <c r="AR556" s="100"/>
      <c r="AS556" s="100"/>
      <c r="AT556" s="100"/>
      <c r="AU556" s="100"/>
      <c r="AV556" s="100"/>
      <c r="AW556" s="100"/>
      <c r="AX556" s="100"/>
      <c r="AY556" s="100"/>
      <c r="AZ556" s="100"/>
      <c r="BA556" s="100"/>
      <c r="BB556" s="100"/>
      <c r="BC556" s="100"/>
      <c r="BD556" s="100"/>
      <c r="BE556" s="100"/>
      <c r="BF556" s="100"/>
      <c r="BG556" s="100"/>
      <c r="BH556" s="100"/>
      <c r="BI556" s="100"/>
      <c r="BJ556" s="100"/>
      <c r="BK556" s="100"/>
      <c r="BL556" s="100"/>
      <c r="BM556" s="100"/>
      <c r="BN556" s="100"/>
      <c r="BO556" s="100"/>
      <c r="BP556" s="100"/>
      <c r="BQ556" s="100"/>
      <c r="BR556" s="100"/>
      <c r="BS556" s="100"/>
      <c r="BT556" s="100"/>
      <c r="BU556" s="100"/>
      <c r="BV556" s="100"/>
      <c r="BW556" s="100"/>
      <c r="BX556" s="100"/>
      <c r="BY556" s="100"/>
      <c r="BZ556" s="100"/>
      <c r="CA556" s="100"/>
      <c r="CB556" s="100"/>
      <c r="CC556" s="100"/>
      <c r="CD556" s="100"/>
      <c r="CE556" s="100"/>
      <c r="CF556" s="100"/>
      <c r="CG556" s="100"/>
      <c r="CH556" s="100"/>
      <c r="CI556" s="100"/>
      <c r="CJ556" s="100"/>
      <c r="CK556" s="100"/>
      <c r="CL556" s="100"/>
      <c r="CM556" s="100"/>
      <c r="CN556" s="100"/>
      <c r="CO556" s="100"/>
      <c r="CP556" s="100"/>
      <c r="CQ556" s="100"/>
      <c r="CR556" s="100"/>
      <c r="CS556" s="100"/>
      <c r="CT556" s="100"/>
      <c r="CU556" s="100"/>
      <c r="CV556" s="100"/>
      <c r="CW556" s="100"/>
      <c r="CX556" s="100"/>
      <c r="CY556" s="100"/>
      <c r="CZ556" s="100"/>
      <c r="DA556" s="100"/>
      <c r="DB556" s="100"/>
      <c r="DC556" s="100"/>
      <c r="DD556" s="100"/>
      <c r="DE556" s="100"/>
      <c r="DF556" s="100"/>
      <c r="DG556" s="100"/>
      <c r="DH556" s="100"/>
      <c r="DI556" s="100"/>
      <c r="DJ556" s="100"/>
      <c r="DK556" s="100"/>
      <c r="DL556" s="100"/>
      <c r="DM556" s="100"/>
      <c r="DN556" s="100"/>
      <c r="DO556" s="100"/>
      <c r="DP556" s="100"/>
      <c r="DQ556" s="100"/>
      <c r="DR556" s="100"/>
      <c r="DS556" s="100"/>
      <c r="DT556" s="100"/>
      <c r="DU556" s="100"/>
      <c r="DV556" s="100"/>
      <c r="DW556" s="100"/>
      <c r="DX556" s="100"/>
      <c r="DY556" s="100"/>
      <c r="DZ556" s="100"/>
      <c r="EA556" s="100"/>
      <c r="EB556" s="100"/>
      <c r="EC556" s="100"/>
      <c r="ED556" s="100"/>
      <c r="EE556" s="100"/>
    </row>
    <row r="557" spans="3:135" ht="15.75" hidden="1">
      <c r="C557" s="452" t="str">
        <f>CONCATENATE("PREVIOUS FORMS   ",TEXT('Adv. Filter'!$A$15,"( up to  DD-MMM-YY )"))</f>
        <v>PREVIOUS FORMS   ( up to  01-Jan-17 )</v>
      </c>
      <c r="D557" s="452"/>
      <c r="E557" s="452"/>
      <c r="F557" s="452"/>
      <c r="G557" s="452"/>
      <c r="H557" s="452"/>
      <c r="I557" s="452"/>
      <c r="J557" s="452"/>
      <c r="K557" s="452"/>
      <c r="L557" s="452"/>
      <c r="M557" s="452"/>
      <c r="N557" s="452"/>
      <c r="O557" s="452"/>
      <c r="P557" s="452"/>
      <c r="Q557" s="452"/>
      <c r="R557" s="452"/>
      <c r="S557" s="452"/>
      <c r="T557" s="452"/>
      <c r="U557" s="452"/>
      <c r="V557" s="452"/>
      <c r="W557" s="452"/>
      <c r="X557" s="452"/>
      <c r="Y557" s="452"/>
      <c r="Z557" s="452"/>
      <c r="AA557" s="452"/>
      <c r="AB557" s="452"/>
      <c r="AC557" s="452"/>
      <c r="AD557" s="452"/>
      <c r="AE557" s="452"/>
      <c r="AF557" s="452"/>
      <c r="AG557" s="452"/>
      <c r="AH557" s="452"/>
      <c r="AI557" s="452"/>
      <c r="AJ557" s="452"/>
      <c r="AK557" s="452"/>
      <c r="AL557" s="452"/>
      <c r="AM557" s="452"/>
      <c r="AN557" s="452"/>
      <c r="AO557" s="452"/>
      <c r="AP557" s="452"/>
      <c r="AQ557" s="452"/>
      <c r="AR557" s="452"/>
      <c r="AS557" s="452"/>
      <c r="AT557" s="452"/>
      <c r="AU557" s="452"/>
      <c r="AV557" s="452"/>
      <c r="AW557" s="452"/>
      <c r="AX557" s="452"/>
      <c r="AY557" s="452"/>
      <c r="AZ557" s="452"/>
      <c r="BA557" s="452"/>
      <c r="BB557" s="452"/>
      <c r="BC557" s="452"/>
      <c r="BD557" s="452"/>
      <c r="BE557" s="452"/>
      <c r="BF557" s="452"/>
      <c r="BG557" s="452"/>
      <c r="BH557" s="452"/>
      <c r="BI557" s="452"/>
      <c r="BJ557" s="452"/>
      <c r="BK557" s="452"/>
      <c r="BL557" s="452"/>
      <c r="BM557" s="452"/>
      <c r="BN557" s="452"/>
      <c r="BO557" s="452"/>
      <c r="BP557" s="452"/>
      <c r="BQ557" s="452"/>
      <c r="BR557" s="452"/>
      <c r="BS557" s="452"/>
      <c r="BT557" s="452"/>
      <c r="BU557" s="452"/>
      <c r="BV557" s="452"/>
      <c r="BW557" s="452"/>
      <c r="BX557" s="452"/>
      <c r="BY557" s="452"/>
      <c r="BZ557" s="452"/>
      <c r="CA557" s="452"/>
      <c r="CB557" s="452"/>
      <c r="CC557" s="452"/>
      <c r="CD557" s="452"/>
      <c r="CE557" s="452"/>
      <c r="CF557" s="452"/>
      <c r="CG557" s="452"/>
      <c r="CH557" s="452"/>
      <c r="CI557" s="452"/>
      <c r="CJ557" s="452"/>
      <c r="CK557" s="452"/>
      <c r="CL557" s="452"/>
      <c r="CM557" s="452"/>
      <c r="CN557" s="452"/>
      <c r="CO557" s="452"/>
      <c r="CP557" s="452"/>
      <c r="CQ557" s="452"/>
      <c r="CR557" s="452"/>
      <c r="CS557" s="452"/>
      <c r="CT557" s="452"/>
      <c r="CU557" s="452"/>
      <c r="CV557" s="452"/>
      <c r="CW557" s="452"/>
      <c r="CX557" s="452"/>
      <c r="CY557" s="452"/>
      <c r="CZ557" s="452"/>
      <c r="DA557" s="452"/>
      <c r="DB557" s="452"/>
      <c r="DC557" s="452"/>
      <c r="DD557" s="452"/>
      <c r="DE557" s="452"/>
      <c r="DF557" s="452"/>
      <c r="DG557" s="452"/>
      <c r="DH557" s="452"/>
      <c r="DI557" s="452"/>
      <c r="DJ557" s="452"/>
      <c r="DK557" s="452"/>
      <c r="DL557" s="452"/>
      <c r="DM557" s="452"/>
      <c r="DN557" s="452"/>
      <c r="DO557" s="452"/>
      <c r="DP557" s="452"/>
      <c r="DQ557" s="452"/>
      <c r="DR557" s="452"/>
      <c r="DS557" s="452"/>
      <c r="DT557" s="452"/>
      <c r="DU557" s="452"/>
      <c r="DV557" s="452"/>
      <c r="DW557" s="452"/>
      <c r="DX557" s="452"/>
      <c r="DY557" s="452"/>
      <c r="DZ557" s="452"/>
      <c r="EA557" s="452"/>
      <c r="EB557" s="452"/>
      <c r="EC557" s="452"/>
      <c r="ED557" s="452"/>
      <c r="EE557" s="452"/>
    </row>
    <row r="558" spans="3:135" hidden="1">
      <c r="C558" s="478" t="s">
        <v>513</v>
      </c>
      <c r="D558" s="478"/>
      <c r="E558" s="478"/>
      <c r="F558" s="478"/>
      <c r="G558" s="478"/>
      <c r="H558" s="478"/>
      <c r="I558" s="478"/>
      <c r="J558" s="478"/>
      <c r="K558" s="478"/>
      <c r="L558" s="478"/>
      <c r="M558" s="478"/>
      <c r="N558" s="478"/>
      <c r="O558" s="209" t="s">
        <v>117</v>
      </c>
      <c r="P558" s="209"/>
      <c r="Q558" s="209"/>
      <c r="R558" s="209"/>
      <c r="S558" s="209"/>
      <c r="T558" s="209"/>
      <c r="U558" s="209"/>
      <c r="V558" s="100"/>
      <c r="W558" s="231" t="s">
        <v>511</v>
      </c>
      <c r="X558" s="232"/>
      <c r="Y558" s="232"/>
      <c r="Z558" s="232"/>
      <c r="AA558" s="232"/>
      <c r="AB558" s="232"/>
      <c r="AC558" s="232"/>
      <c r="AD558" s="232"/>
      <c r="AE558" s="232"/>
      <c r="AF558" s="232"/>
      <c r="AG558" s="232"/>
      <c r="AH558" s="232"/>
      <c r="AI558" s="232"/>
      <c r="AJ558" s="232"/>
      <c r="AK558" s="232"/>
      <c r="AL558" s="232"/>
      <c r="AM558" s="232"/>
      <c r="AN558" s="232"/>
      <c r="AO558" s="232"/>
      <c r="AP558" s="232"/>
      <c r="AQ558" s="232"/>
      <c r="AR558" s="232"/>
      <c r="AS558" s="232"/>
      <c r="AT558" s="232"/>
      <c r="AU558" s="232"/>
      <c r="AV558" s="232"/>
      <c r="AW558" s="232"/>
      <c r="AX558" s="232"/>
      <c r="AY558" s="232"/>
      <c r="AZ558" s="232"/>
      <c r="BA558" s="232"/>
      <c r="BB558" s="232"/>
      <c r="BC558" s="232"/>
      <c r="BD558" s="232"/>
      <c r="BE558" s="232"/>
      <c r="BF558" s="232"/>
      <c r="BG558" s="232"/>
      <c r="BH558" s="232"/>
      <c r="BI558" s="232"/>
      <c r="BJ558" s="232"/>
      <c r="BK558" s="232"/>
      <c r="BL558" s="232"/>
      <c r="BM558" s="232"/>
      <c r="BN558" s="232"/>
      <c r="BO558" s="232"/>
      <c r="BP558" s="232"/>
      <c r="BQ558" s="232"/>
      <c r="BR558" s="232"/>
      <c r="BS558" s="233"/>
      <c r="BT558" s="100"/>
      <c r="BU558" s="231" t="s">
        <v>571</v>
      </c>
      <c r="BV558" s="232"/>
      <c r="BW558" s="232"/>
      <c r="BX558" s="232"/>
      <c r="BY558" s="232"/>
      <c r="BZ558" s="232"/>
      <c r="CA558" s="232"/>
      <c r="CB558" s="232"/>
      <c r="CC558" s="232"/>
      <c r="CD558" s="232"/>
      <c r="CE558" s="232"/>
      <c r="CF558" s="232"/>
      <c r="CG558" s="232"/>
      <c r="CH558" s="232"/>
      <c r="CI558" s="232"/>
      <c r="CJ558" s="232"/>
      <c r="CK558" s="232"/>
      <c r="CL558" s="232"/>
      <c r="CM558" s="232"/>
      <c r="CN558" s="232"/>
      <c r="CO558" s="232"/>
      <c r="CP558" s="232"/>
      <c r="CQ558" s="232"/>
      <c r="CR558" s="232"/>
      <c r="CS558" s="232"/>
      <c r="CT558" s="232"/>
      <c r="CU558" s="232"/>
      <c r="CV558" s="232"/>
      <c r="CW558" s="232"/>
      <c r="CX558" s="232"/>
      <c r="CY558" s="232"/>
      <c r="CZ558" s="232"/>
      <c r="DA558" s="232"/>
      <c r="DB558" s="232"/>
      <c r="DC558" s="232"/>
      <c r="DD558" s="232"/>
      <c r="DE558" s="232"/>
      <c r="DF558" s="232"/>
      <c r="DG558" s="232"/>
      <c r="DH558" s="232"/>
      <c r="DI558" s="232"/>
      <c r="DJ558" s="232"/>
      <c r="DK558" s="232"/>
      <c r="DL558" s="232"/>
      <c r="DM558" s="232"/>
      <c r="DN558" s="232"/>
      <c r="DO558" s="232"/>
      <c r="DP558" s="232"/>
      <c r="DQ558" s="232"/>
      <c r="DR558" s="232"/>
      <c r="DS558" s="232"/>
      <c r="DT558" s="232"/>
      <c r="DU558" s="232"/>
      <c r="DV558" s="232"/>
      <c r="DW558" s="232"/>
      <c r="DX558" s="232"/>
      <c r="DY558" s="232"/>
      <c r="DZ558" s="232"/>
      <c r="EA558" s="232"/>
      <c r="EB558" s="232"/>
      <c r="EC558" s="232"/>
      <c r="ED558" s="232"/>
      <c r="EE558" s="233"/>
    </row>
    <row r="559" spans="3:135" hidden="1">
      <c r="C559" s="478"/>
      <c r="D559" s="478"/>
      <c r="E559" s="478"/>
      <c r="F559" s="478"/>
      <c r="G559" s="478"/>
      <c r="H559" s="478"/>
      <c r="I559" s="478"/>
      <c r="J559" s="478"/>
      <c r="K559" s="478"/>
      <c r="L559" s="478"/>
      <c r="M559" s="478"/>
      <c r="N559" s="478"/>
      <c r="O559" s="208" t="s">
        <v>569</v>
      </c>
      <c r="P559" s="208"/>
      <c r="Q559" s="208"/>
      <c r="R559" s="208"/>
      <c r="S559" s="208"/>
      <c r="T559" s="208"/>
      <c r="U559" s="208"/>
      <c r="V559" s="100"/>
      <c r="W559" s="208" t="s">
        <v>511</v>
      </c>
      <c r="X559" s="208"/>
      <c r="Y559" s="208"/>
      <c r="Z559" s="208"/>
      <c r="AA559" s="208"/>
      <c r="AB559" s="208"/>
      <c r="AC559" s="208"/>
      <c r="AD559" s="245" t="s">
        <v>493</v>
      </c>
      <c r="AE559" s="208"/>
      <c r="AF559" s="208"/>
      <c r="AG559" s="208"/>
      <c r="AH559" s="208"/>
      <c r="AI559" s="208"/>
      <c r="AJ559" s="208"/>
      <c r="AK559" s="208" t="s">
        <v>485</v>
      </c>
      <c r="AL559" s="208"/>
      <c r="AM559" s="208"/>
      <c r="AN559" s="208"/>
      <c r="AO559" s="208"/>
      <c r="AP559" s="208"/>
      <c r="AQ559" s="208"/>
      <c r="AR559" s="208" t="s">
        <v>575</v>
      </c>
      <c r="AS559" s="208"/>
      <c r="AT559" s="208"/>
      <c r="AU559" s="208"/>
      <c r="AV559" s="208"/>
      <c r="AW559" s="208"/>
      <c r="AX559" s="208"/>
      <c r="AY559" s="208" t="s">
        <v>568</v>
      </c>
      <c r="AZ559" s="208"/>
      <c r="BA559" s="208"/>
      <c r="BB559" s="208"/>
      <c r="BC559" s="208"/>
      <c r="BD559" s="208"/>
      <c r="BE559" s="208"/>
      <c r="BF559" s="208" t="s">
        <v>492</v>
      </c>
      <c r="BG559" s="208"/>
      <c r="BH559" s="208"/>
      <c r="BI559" s="208"/>
      <c r="BJ559" s="208"/>
      <c r="BK559" s="208"/>
      <c r="BL559" s="208"/>
      <c r="BM559" s="208" t="s">
        <v>567</v>
      </c>
      <c r="BN559" s="208"/>
      <c r="BO559" s="208"/>
      <c r="BP559" s="208"/>
      <c r="BQ559" s="208"/>
      <c r="BR559" s="208"/>
      <c r="BS559" s="208"/>
      <c r="BT559" s="100"/>
      <c r="BU559" s="208" t="s">
        <v>570</v>
      </c>
      <c r="BV559" s="208"/>
      <c r="BW559" s="208"/>
      <c r="BX559" s="208"/>
      <c r="BY559" s="208"/>
      <c r="BZ559" s="208"/>
      <c r="CA559" s="208"/>
      <c r="CB559" s="208" t="s">
        <v>559</v>
      </c>
      <c r="CC559" s="208"/>
      <c r="CD559" s="208"/>
      <c r="CE559" s="208"/>
      <c r="CF559" s="208"/>
      <c r="CG559" s="208"/>
      <c r="CH559" s="208"/>
      <c r="CI559" s="208" t="s">
        <v>560</v>
      </c>
      <c r="CJ559" s="208"/>
      <c r="CK559" s="208"/>
      <c r="CL559" s="208"/>
      <c r="CM559" s="208"/>
      <c r="CN559" s="208"/>
      <c r="CO559" s="208"/>
      <c r="CP559" s="208" t="s">
        <v>561</v>
      </c>
      <c r="CQ559" s="208"/>
      <c r="CR559" s="208"/>
      <c r="CS559" s="208"/>
      <c r="CT559" s="208"/>
      <c r="CU559" s="208"/>
      <c r="CV559" s="208"/>
      <c r="CW559" s="208" t="s">
        <v>562</v>
      </c>
      <c r="CX559" s="208"/>
      <c r="CY559" s="208"/>
      <c r="CZ559" s="208"/>
      <c r="DA559" s="208"/>
      <c r="DB559" s="208"/>
      <c r="DC559" s="208"/>
      <c r="DD559" s="208" t="s">
        <v>563</v>
      </c>
      <c r="DE559" s="208"/>
      <c r="DF559" s="208"/>
      <c r="DG559" s="208"/>
      <c r="DH559" s="208"/>
      <c r="DI559" s="208"/>
      <c r="DJ559" s="208"/>
      <c r="DK559" s="208" t="s">
        <v>564</v>
      </c>
      <c r="DL559" s="208"/>
      <c r="DM559" s="208"/>
      <c r="DN559" s="208"/>
      <c r="DO559" s="208"/>
      <c r="DP559" s="208"/>
      <c r="DQ559" s="208"/>
      <c r="DR559" s="208" t="s">
        <v>565</v>
      </c>
      <c r="DS559" s="208"/>
      <c r="DT559" s="208"/>
      <c r="DU559" s="208"/>
      <c r="DV559" s="208"/>
      <c r="DW559" s="208"/>
      <c r="DX559" s="208"/>
      <c r="DY559" s="208" t="s">
        <v>566</v>
      </c>
      <c r="DZ559" s="208"/>
      <c r="EA559" s="208"/>
      <c r="EB559" s="208"/>
      <c r="EC559" s="208"/>
      <c r="ED559" s="208"/>
      <c r="EE559" s="208"/>
    </row>
    <row r="560" spans="3:135" hidden="1">
      <c r="C560" s="248" t="s">
        <v>26</v>
      </c>
      <c r="D560" s="249"/>
      <c r="E560" s="249"/>
      <c r="F560" s="249"/>
      <c r="G560" s="249"/>
      <c r="H560" s="249"/>
      <c r="I560" s="249"/>
      <c r="J560" s="249"/>
      <c r="K560" s="249"/>
      <c r="L560" s="249"/>
      <c r="M560" s="249"/>
      <c r="N560" s="249"/>
      <c r="O560" s="237">
        <f>COUNTIFS('Form Details'!$D:$D,"&lt;"&amp;'Adv. Filter'!$A$15,'Form Details'!$N:$N,"Srinivas",'Form Details'!$J:$J,$C560)</f>
        <v>0</v>
      </c>
      <c r="P560" s="238"/>
      <c r="Q560" s="238"/>
      <c r="R560" s="238"/>
      <c r="S560" s="238"/>
      <c r="T560" s="238"/>
      <c r="U560" s="239"/>
      <c r="V560" s="100"/>
      <c r="W560" s="237">
        <f>COUNTIFS('Form Details'!$D:$D,"&lt;"&amp;'Adv. Filter'!$A$15,'Form Details'!$N:$N,"Srinivas",'Form Details'!$J:$J,$C560,'Form Details'!$AA:$AA,"Yes")</f>
        <v>0</v>
      </c>
      <c r="X560" s="238"/>
      <c r="Y560" s="238"/>
      <c r="Z560" s="238"/>
      <c r="AA560" s="238"/>
      <c r="AB560" s="238"/>
      <c r="AC560" s="239"/>
      <c r="AD560" s="237">
        <f>COUNTIFS('Form Details'!$D:$D,"&lt;"&amp;'Adv. Filter'!$A$15,'Form Details'!$N:$N,"Srinivas",'Form Details'!$J:$J,$C560,'Form Details'!$W:$W,"Paid",'Form Details'!$S:$S,'Adv. Filter'!$A$14,'Form Details'!$S:$S,'Adv. Filter'!$B$14)</f>
        <v>0</v>
      </c>
      <c r="AE560" s="238"/>
      <c r="AF560" s="238"/>
      <c r="AG560" s="238"/>
      <c r="AH560" s="238"/>
      <c r="AI560" s="238"/>
      <c r="AJ560" s="239"/>
      <c r="AK560" s="237">
        <f>COUNTIFS('Form Details'!$D:$D,"&lt;"&amp;'Adv. Filter'!$A$15,'Form Details'!$N:$N,"Srinivas",'Form Details'!$J:$J,$C560,'Form Details'!$W:$W,"Due")</f>
        <v>0</v>
      </c>
      <c r="AL560" s="238"/>
      <c r="AM560" s="238"/>
      <c r="AN560" s="238"/>
      <c r="AO560" s="238"/>
      <c r="AP560" s="238"/>
      <c r="AQ560" s="239"/>
      <c r="AR560" s="234">
        <f>COUNTIFS('Form Details'!$D:$D,"&lt;"&amp;'Adv. Filter'!$A$15,'Form Details'!$N:$N,"Srinivas",'Form Details'!$J:$J,$C560,'Form Details'!$W:$W,"No Fee")</f>
        <v>0</v>
      </c>
      <c r="AS560" s="235"/>
      <c r="AT560" s="235"/>
      <c r="AU560" s="235"/>
      <c r="AV560" s="235"/>
      <c r="AW560" s="235"/>
      <c r="AX560" s="236"/>
      <c r="AY560" s="234">
        <f>COUNTIFS('Form Details'!$D:$D,"&lt;"&amp;'Adv. Filter'!$A$15,'Form Details'!$N:$N,"Srinivas",'Form Details'!$J:$J,$C560,'Form Details'!$W:$W,"Paid/Reject")</f>
        <v>0</v>
      </c>
      <c r="AZ560" s="235"/>
      <c r="BA560" s="235"/>
      <c r="BB560" s="235"/>
      <c r="BC560" s="235"/>
      <c r="BD560" s="235"/>
      <c r="BE560" s="236"/>
      <c r="BF560" s="234">
        <f>COUNTIFS('Form Details'!$D:$D,"&lt;"&amp;'Adv. Filter'!$A$15,'Form Details'!$N:$N,"Srinivas",'Form Details'!$J:$J,$C560,'Form Details'!$W:$W,"Staff")</f>
        <v>0</v>
      </c>
      <c r="BG560" s="235"/>
      <c r="BH560" s="235"/>
      <c r="BI560" s="235"/>
      <c r="BJ560" s="235"/>
      <c r="BK560" s="235"/>
      <c r="BL560" s="236"/>
      <c r="BM560" s="234">
        <f>COUNTIFS('Form Details'!$D:$D,"&lt;"&amp;'Adv. Filter'!$A$15,'Form Details'!$N:$N,"Srinivas",'Form Details'!$J:$J,$C560,'Form Details'!$W:$W,"File In Office")</f>
        <v>0</v>
      </c>
      <c r="BN560" s="235"/>
      <c r="BO560" s="235"/>
      <c r="BP560" s="235"/>
      <c r="BQ560" s="235"/>
      <c r="BR560" s="235"/>
      <c r="BS560" s="236"/>
      <c r="BT560" s="100"/>
      <c r="BU560" s="234">
        <f>COUNTIFS('Form Details'!$D:$D,"&lt;"&amp;'Adv. Filter'!$A$15,'Form Details'!$N:$N,"Srinivas",'Form Details'!$J:$J,$C560,'Form Details'!$AA:$AA,"No")</f>
        <v>0</v>
      </c>
      <c r="BV560" s="235"/>
      <c r="BW560" s="235"/>
      <c r="BX560" s="235"/>
      <c r="BY560" s="235"/>
      <c r="BZ560" s="235"/>
      <c r="CA560" s="236"/>
      <c r="CB560" s="234">
        <f>COUNTIFS('Form Details'!$D:$D,"&lt;"&amp;'Adv. Filter'!$A$15,'Form Details'!$N:$N,"Srinivas",'Form Details'!$J:$J,$C560,'Form Details'!$W:$W,"Adv/Paid")</f>
        <v>0</v>
      </c>
      <c r="CC560" s="235"/>
      <c r="CD560" s="235"/>
      <c r="CE560" s="235"/>
      <c r="CF560" s="235"/>
      <c r="CG560" s="235"/>
      <c r="CH560" s="236"/>
      <c r="CI560" s="234">
        <f>COUNTIFS('Form Details'!$D:$D,"&lt;"&amp;'Adv. Filter'!$A$15,'Form Details'!$N:$N,"Srinivas",'Form Details'!$J:$J,$C560,'Form Details'!$W:$W,"Adv/Paid/Reject")</f>
        <v>0</v>
      </c>
      <c r="CJ560" s="235"/>
      <c r="CK560" s="235"/>
      <c r="CL560" s="235"/>
      <c r="CM560" s="235"/>
      <c r="CN560" s="235"/>
      <c r="CO560" s="236"/>
      <c r="CP560" s="234">
        <f>COUNTIFS('Form Details'!$D:$D,"&lt;"&amp;'Adv. Filter'!$A$15,'Form Details'!$N:$N,"Srinivas",'Form Details'!$J:$J,$C560,'Form Details'!$W:$W,"Reject")</f>
        <v>0</v>
      </c>
      <c r="CQ560" s="235"/>
      <c r="CR560" s="235"/>
      <c r="CS560" s="235"/>
      <c r="CT560" s="235"/>
      <c r="CU560" s="235"/>
      <c r="CV560" s="236"/>
      <c r="CW560" s="234">
        <f>COUNTIFS('Form Details'!$D:$D,"&lt;"&amp;'Adv. Filter'!$A$15,'Form Details'!$N:$N,"Srinivas",'Form Details'!$J:$J,$C560,'Form Details'!$W:$W,"Adv/Paid/Pending")</f>
        <v>0</v>
      </c>
      <c r="CX560" s="235"/>
      <c r="CY560" s="235"/>
      <c r="CZ560" s="235"/>
      <c r="DA560" s="235"/>
      <c r="DB560" s="235"/>
      <c r="DC560" s="236"/>
      <c r="DD560" s="234">
        <f>COUNTIFS('Form Details'!$D:$D,"&lt;"&amp;'Adv. Filter'!$A$15,'Form Details'!$N:$N,"Srinivas",'Form Details'!$J:$J,$C560,'Form Details'!$W:$W,"Pending")</f>
        <v>0</v>
      </c>
      <c r="DE560" s="235"/>
      <c r="DF560" s="235"/>
      <c r="DG560" s="235"/>
      <c r="DH560" s="235"/>
      <c r="DI560" s="235"/>
      <c r="DJ560" s="236"/>
      <c r="DK560" s="234">
        <f>COUNTIFS('Form Details'!$D:$D,"&lt;"&amp;'Adv. Filter'!$A$15,'Form Details'!$N:$N,"Srinivas",'Form Details'!$J:$J,$C560,'Form Details'!$W:$W,"Adv/Paid/NoStatus")</f>
        <v>0</v>
      </c>
      <c r="DL560" s="235"/>
      <c r="DM560" s="235"/>
      <c r="DN560" s="235"/>
      <c r="DO560" s="235"/>
      <c r="DP560" s="235"/>
      <c r="DQ560" s="236"/>
      <c r="DR560" s="234">
        <f>COUNTIFS('Form Details'!$D:$D,"&lt;"&amp;'Adv. Filter'!$A$15,'Form Details'!$N:$N,"Srinivas",'Form Details'!$J:$J,$C560,'Form Details'!$W:$W,"No Status")</f>
        <v>0</v>
      </c>
      <c r="DS560" s="235"/>
      <c r="DT560" s="235"/>
      <c r="DU560" s="235"/>
      <c r="DV560" s="235"/>
      <c r="DW560" s="235"/>
      <c r="DX560" s="236"/>
      <c r="DY560" s="234">
        <f>SUM(COUNTIFS('Form Details'!$D:$D,"&lt;"&amp;'Adv. Filter'!$A$15,'Form Details'!$N:$N,"Srinivas",'Form Details'!$J:$J,$C560,'Form Details'!$W:$W,{"Wrong Entry ","Double Entry"}))</f>
        <v>0</v>
      </c>
      <c r="DZ560" s="235"/>
      <c r="EA560" s="235"/>
      <c r="EB560" s="235"/>
      <c r="EC560" s="235"/>
      <c r="ED560" s="235"/>
      <c r="EE560" s="236"/>
    </row>
    <row r="561" spans="3:135" hidden="1">
      <c r="C561" s="248" t="s">
        <v>38</v>
      </c>
      <c r="D561" s="249"/>
      <c r="E561" s="249"/>
      <c r="F561" s="249"/>
      <c r="G561" s="249"/>
      <c r="H561" s="249"/>
      <c r="I561" s="249"/>
      <c r="J561" s="249"/>
      <c r="K561" s="249"/>
      <c r="L561" s="249"/>
      <c r="M561" s="249"/>
      <c r="N561" s="249"/>
      <c r="O561" s="237">
        <f>COUNTIFS('Form Details'!$D:$D,"&lt;"&amp;'Adv. Filter'!$A$15,'Form Details'!$N:$N,"Srinivas",'Form Details'!$J:$J,$C561)</f>
        <v>0</v>
      </c>
      <c r="P561" s="238"/>
      <c r="Q561" s="238"/>
      <c r="R561" s="238"/>
      <c r="S561" s="238"/>
      <c r="T561" s="238"/>
      <c r="U561" s="239"/>
      <c r="V561" s="100"/>
      <c r="W561" s="237">
        <f>COUNTIFS('Form Details'!$D:$D,"&lt;"&amp;'Adv. Filter'!$A$15,'Form Details'!$N:$N,"Srinivas",'Form Details'!$J:$J,$C561,'Form Details'!$AA:$AA,"Yes")</f>
        <v>0</v>
      </c>
      <c r="X561" s="238"/>
      <c r="Y561" s="238"/>
      <c r="Z561" s="238"/>
      <c r="AA561" s="238"/>
      <c r="AB561" s="238"/>
      <c r="AC561" s="239"/>
      <c r="AD561" s="237">
        <f>COUNTIFS('Form Details'!$D:$D,"&lt;"&amp;'Adv. Filter'!$A$15,'Form Details'!$N:$N,"Srinivas",'Form Details'!$J:$J,$C561,'Form Details'!$W:$W,"Paid",'Form Details'!$S:$S,'Adv. Filter'!$A$14,'Form Details'!$S:$S,'Adv. Filter'!$B$14)</f>
        <v>0</v>
      </c>
      <c r="AE561" s="238"/>
      <c r="AF561" s="238"/>
      <c r="AG561" s="238"/>
      <c r="AH561" s="238"/>
      <c r="AI561" s="238"/>
      <c r="AJ561" s="239"/>
      <c r="AK561" s="237">
        <f>COUNTIFS('Form Details'!$D:$D,"&lt;"&amp;'Adv. Filter'!$A$15,'Form Details'!$N:$N,"Srinivas",'Form Details'!$J:$J,$C561,'Form Details'!$W:$W,"Due")</f>
        <v>0</v>
      </c>
      <c r="AL561" s="238"/>
      <c r="AM561" s="238"/>
      <c r="AN561" s="238"/>
      <c r="AO561" s="238"/>
      <c r="AP561" s="238"/>
      <c r="AQ561" s="239"/>
      <c r="AR561" s="237">
        <f>COUNTIFS('Form Details'!$D:$D,"&lt;"&amp;'Adv. Filter'!$A$15,'Form Details'!$N:$N,"Srinivas",'Form Details'!$J:$J,$C561,'Form Details'!$W:$W,"No Fee")</f>
        <v>0</v>
      </c>
      <c r="AS561" s="238"/>
      <c r="AT561" s="238"/>
      <c r="AU561" s="238"/>
      <c r="AV561" s="238"/>
      <c r="AW561" s="238"/>
      <c r="AX561" s="239"/>
      <c r="AY561" s="237">
        <f>COUNTIFS('Form Details'!$D:$D,"&lt;"&amp;'Adv. Filter'!$A$15,'Form Details'!$N:$N,"Srinivas",'Form Details'!$J:$J,$C561,'Form Details'!$W:$W,"Paid/Reject")</f>
        <v>0</v>
      </c>
      <c r="AZ561" s="238"/>
      <c r="BA561" s="238"/>
      <c r="BB561" s="238"/>
      <c r="BC561" s="238"/>
      <c r="BD561" s="238"/>
      <c r="BE561" s="239"/>
      <c r="BF561" s="237">
        <f>COUNTIFS('Form Details'!$D:$D,"&lt;"&amp;'Adv. Filter'!$A$15,'Form Details'!$N:$N,"Srinivas",'Form Details'!$J:$J,$C561,'Form Details'!$W:$W,"Staff")</f>
        <v>0</v>
      </c>
      <c r="BG561" s="238"/>
      <c r="BH561" s="238"/>
      <c r="BI561" s="238"/>
      <c r="BJ561" s="238"/>
      <c r="BK561" s="238"/>
      <c r="BL561" s="239"/>
      <c r="BM561" s="237">
        <f>COUNTIFS('Form Details'!$D:$D,"&lt;"&amp;'Adv. Filter'!$A$15,'Form Details'!$N:$N,"Srinivas",'Form Details'!$J:$J,$C561,'Form Details'!$W:$W,"File In Office")</f>
        <v>0</v>
      </c>
      <c r="BN561" s="238"/>
      <c r="BO561" s="238"/>
      <c r="BP561" s="238"/>
      <c r="BQ561" s="238"/>
      <c r="BR561" s="238"/>
      <c r="BS561" s="239"/>
      <c r="BT561" s="100"/>
      <c r="BU561" s="237">
        <f>COUNTIFS('Form Details'!$D:$D,"&lt;"&amp;'Adv. Filter'!$A$15,'Form Details'!$N:$N,"Srinivas",'Form Details'!$J:$J,$C561,'Form Details'!$AA:$AA,"No")</f>
        <v>0</v>
      </c>
      <c r="BV561" s="238"/>
      <c r="BW561" s="238"/>
      <c r="BX561" s="238"/>
      <c r="BY561" s="238"/>
      <c r="BZ561" s="238"/>
      <c r="CA561" s="239"/>
      <c r="CB561" s="237">
        <f>COUNTIFS('Form Details'!$D:$D,"&lt;"&amp;'Adv. Filter'!$A$15,'Form Details'!$N:$N,"Srinivas",'Form Details'!$J:$J,$C561,'Form Details'!$W:$W,"Adv/Paid")</f>
        <v>0</v>
      </c>
      <c r="CC561" s="238"/>
      <c r="CD561" s="238"/>
      <c r="CE561" s="238"/>
      <c r="CF561" s="238"/>
      <c r="CG561" s="238"/>
      <c r="CH561" s="239"/>
      <c r="CI561" s="237">
        <f>COUNTIFS('Form Details'!$D:$D,"&lt;"&amp;'Adv. Filter'!$A$15,'Form Details'!$N:$N,"Srinivas",'Form Details'!$J:$J,$C561,'Form Details'!$W:$W,"Adv/Paid/Reject")</f>
        <v>0</v>
      </c>
      <c r="CJ561" s="238"/>
      <c r="CK561" s="238"/>
      <c r="CL561" s="238"/>
      <c r="CM561" s="238"/>
      <c r="CN561" s="238"/>
      <c r="CO561" s="239"/>
      <c r="CP561" s="237">
        <f>COUNTIFS('Form Details'!$D:$D,"&lt;"&amp;'Adv. Filter'!$A$15,'Form Details'!$N:$N,"Srinivas",'Form Details'!$J:$J,$C561,'Form Details'!$W:$W,"Reject")</f>
        <v>0</v>
      </c>
      <c r="CQ561" s="238"/>
      <c r="CR561" s="238"/>
      <c r="CS561" s="238"/>
      <c r="CT561" s="238"/>
      <c r="CU561" s="238"/>
      <c r="CV561" s="239"/>
      <c r="CW561" s="237">
        <f>COUNTIFS('Form Details'!$D:$D,"&lt;"&amp;'Adv. Filter'!$A$15,'Form Details'!$N:$N,"Srinivas",'Form Details'!$J:$J,$C561,'Form Details'!$W:$W,"Adv/Paid/Pending")</f>
        <v>0</v>
      </c>
      <c r="CX561" s="238"/>
      <c r="CY561" s="238"/>
      <c r="CZ561" s="238"/>
      <c r="DA561" s="238"/>
      <c r="DB561" s="238"/>
      <c r="DC561" s="239"/>
      <c r="DD561" s="237">
        <f>COUNTIFS('Form Details'!$D:$D,"&lt;"&amp;'Adv. Filter'!$A$15,'Form Details'!$N:$N,"Srinivas",'Form Details'!$J:$J,$C561,'Form Details'!$W:$W,"Pending")</f>
        <v>0</v>
      </c>
      <c r="DE561" s="238"/>
      <c r="DF561" s="238"/>
      <c r="DG561" s="238"/>
      <c r="DH561" s="238"/>
      <c r="DI561" s="238"/>
      <c r="DJ561" s="239"/>
      <c r="DK561" s="237">
        <f>COUNTIFS('Form Details'!$D:$D,"&lt;"&amp;'Adv. Filter'!$A$15,'Form Details'!$N:$N,"Srinivas",'Form Details'!$J:$J,$C561,'Form Details'!$W:$W,"Adv/Paid/NoStatus")</f>
        <v>0</v>
      </c>
      <c r="DL561" s="238"/>
      <c r="DM561" s="238"/>
      <c r="DN561" s="238"/>
      <c r="DO561" s="238"/>
      <c r="DP561" s="238"/>
      <c r="DQ561" s="239"/>
      <c r="DR561" s="237">
        <f>COUNTIFS('Form Details'!$D:$D,"&lt;"&amp;'Adv. Filter'!$A$15,'Form Details'!$N:$N,"Srinivas",'Form Details'!$J:$J,$C561,'Form Details'!$W:$W,"No Status")</f>
        <v>0</v>
      </c>
      <c r="DS561" s="238"/>
      <c r="DT561" s="238"/>
      <c r="DU561" s="238"/>
      <c r="DV561" s="238"/>
      <c r="DW561" s="238"/>
      <c r="DX561" s="239"/>
      <c r="DY561" s="237">
        <f>SUM(COUNTIFS('Form Details'!$D:$D,"&lt;"&amp;'Adv. Filter'!$A$15,'Form Details'!$N:$N,"Srinivas",'Form Details'!$J:$J,$C561,'Form Details'!$W:$W,{"Wrong Entry ","Double Entry"}))</f>
        <v>0</v>
      </c>
      <c r="DZ561" s="238"/>
      <c r="EA561" s="238"/>
      <c r="EB561" s="238"/>
      <c r="EC561" s="238"/>
      <c r="ED561" s="238"/>
      <c r="EE561" s="239"/>
    </row>
    <row r="562" spans="3:135" hidden="1">
      <c r="C562" s="248" t="s">
        <v>49</v>
      </c>
      <c r="D562" s="249"/>
      <c r="E562" s="249"/>
      <c r="F562" s="249"/>
      <c r="G562" s="249"/>
      <c r="H562" s="249"/>
      <c r="I562" s="249"/>
      <c r="J562" s="249"/>
      <c r="K562" s="249"/>
      <c r="L562" s="249"/>
      <c r="M562" s="249"/>
      <c r="N562" s="249"/>
      <c r="O562" s="237">
        <f>COUNTIFS('Form Details'!$D:$D,"&lt;"&amp;'Adv. Filter'!$A$15,'Form Details'!$N:$N,"Srinivas",'Form Details'!$J:$J,$C562)</f>
        <v>0</v>
      </c>
      <c r="P562" s="238"/>
      <c r="Q562" s="238"/>
      <c r="R562" s="238"/>
      <c r="S562" s="238"/>
      <c r="T562" s="238"/>
      <c r="U562" s="239"/>
      <c r="V562" s="100"/>
      <c r="W562" s="237">
        <f>COUNTIFS('Form Details'!$D:$D,"&lt;"&amp;'Adv. Filter'!$A$15,'Form Details'!$N:$N,"Srinivas",'Form Details'!$J:$J,$C562,'Form Details'!$AA:$AA,"Yes")</f>
        <v>0</v>
      </c>
      <c r="X562" s="238"/>
      <c r="Y562" s="238"/>
      <c r="Z562" s="238"/>
      <c r="AA562" s="238"/>
      <c r="AB562" s="238"/>
      <c r="AC562" s="239"/>
      <c r="AD562" s="237">
        <f>COUNTIFS('Form Details'!$D:$D,"&lt;"&amp;'Adv. Filter'!$A$15,'Form Details'!$N:$N,"Srinivas",'Form Details'!$J:$J,$C562,'Form Details'!$W:$W,"Paid",'Form Details'!$S:$S,'Adv. Filter'!$A$14,'Form Details'!$S:$S,'Adv. Filter'!$B$14)</f>
        <v>0</v>
      </c>
      <c r="AE562" s="238"/>
      <c r="AF562" s="238"/>
      <c r="AG562" s="238"/>
      <c r="AH562" s="238"/>
      <c r="AI562" s="238"/>
      <c r="AJ562" s="239"/>
      <c r="AK562" s="237">
        <f>COUNTIFS('Form Details'!$D:$D,"&lt;"&amp;'Adv. Filter'!$A$15,'Form Details'!$N:$N,"Srinivas",'Form Details'!$J:$J,$C562,'Form Details'!$W:$W,"Due")</f>
        <v>0</v>
      </c>
      <c r="AL562" s="238"/>
      <c r="AM562" s="238"/>
      <c r="AN562" s="238"/>
      <c r="AO562" s="238"/>
      <c r="AP562" s="238"/>
      <c r="AQ562" s="239"/>
      <c r="AR562" s="237">
        <f>COUNTIFS('Form Details'!$D:$D,"&lt;"&amp;'Adv. Filter'!$A$15,'Form Details'!$N:$N,"Srinivas",'Form Details'!$J:$J,$C562,'Form Details'!$W:$W,"No Fee")</f>
        <v>0</v>
      </c>
      <c r="AS562" s="238"/>
      <c r="AT562" s="238"/>
      <c r="AU562" s="238"/>
      <c r="AV562" s="238"/>
      <c r="AW562" s="238"/>
      <c r="AX562" s="239"/>
      <c r="AY562" s="237">
        <f>COUNTIFS('Form Details'!$D:$D,"&lt;"&amp;'Adv. Filter'!$A$15,'Form Details'!$N:$N,"Srinivas",'Form Details'!$J:$J,$C562,'Form Details'!$W:$W,"Paid/Reject")</f>
        <v>0</v>
      </c>
      <c r="AZ562" s="238"/>
      <c r="BA562" s="238"/>
      <c r="BB562" s="238"/>
      <c r="BC562" s="238"/>
      <c r="BD562" s="238"/>
      <c r="BE562" s="239"/>
      <c r="BF562" s="237">
        <f>COUNTIFS('Form Details'!$D:$D,"&lt;"&amp;'Adv. Filter'!$A$15,'Form Details'!$N:$N,"Srinivas",'Form Details'!$J:$J,$C562,'Form Details'!$W:$W,"Staff")</f>
        <v>0</v>
      </c>
      <c r="BG562" s="238"/>
      <c r="BH562" s="238"/>
      <c r="BI562" s="238"/>
      <c r="BJ562" s="238"/>
      <c r="BK562" s="238"/>
      <c r="BL562" s="239"/>
      <c r="BM562" s="237">
        <f>COUNTIFS('Form Details'!$D:$D,"&lt;"&amp;'Adv. Filter'!$A$15,'Form Details'!$N:$N,"Srinivas",'Form Details'!$J:$J,$C562,'Form Details'!$W:$W,"File In Office")</f>
        <v>0</v>
      </c>
      <c r="BN562" s="238"/>
      <c r="BO562" s="238"/>
      <c r="BP562" s="238"/>
      <c r="BQ562" s="238"/>
      <c r="BR562" s="238"/>
      <c r="BS562" s="239"/>
      <c r="BT562" s="100"/>
      <c r="BU562" s="237">
        <f>COUNTIFS('Form Details'!$D:$D,"&lt;"&amp;'Adv. Filter'!$A$15,'Form Details'!$N:$N,"Srinivas",'Form Details'!$J:$J,$C562,'Form Details'!$AA:$AA,"No")</f>
        <v>0</v>
      </c>
      <c r="BV562" s="238"/>
      <c r="BW562" s="238"/>
      <c r="BX562" s="238"/>
      <c r="BY562" s="238"/>
      <c r="BZ562" s="238"/>
      <c r="CA562" s="239"/>
      <c r="CB562" s="237">
        <f>COUNTIFS('Form Details'!$D:$D,"&lt;"&amp;'Adv. Filter'!$A$15,'Form Details'!$N:$N,"Srinivas",'Form Details'!$J:$J,$C562,'Form Details'!$W:$W,"Adv/Paid")</f>
        <v>0</v>
      </c>
      <c r="CC562" s="238"/>
      <c r="CD562" s="238"/>
      <c r="CE562" s="238"/>
      <c r="CF562" s="238"/>
      <c r="CG562" s="238"/>
      <c r="CH562" s="239"/>
      <c r="CI562" s="237">
        <f>COUNTIFS('Form Details'!$D:$D,"&lt;"&amp;'Adv. Filter'!$A$15,'Form Details'!$N:$N,"Srinivas",'Form Details'!$J:$J,$C562,'Form Details'!$W:$W,"Adv/Paid/Reject")</f>
        <v>0</v>
      </c>
      <c r="CJ562" s="238"/>
      <c r="CK562" s="238"/>
      <c r="CL562" s="238"/>
      <c r="CM562" s="238"/>
      <c r="CN562" s="238"/>
      <c r="CO562" s="239"/>
      <c r="CP562" s="237">
        <f>COUNTIFS('Form Details'!$D:$D,"&lt;"&amp;'Adv. Filter'!$A$15,'Form Details'!$N:$N,"Srinivas",'Form Details'!$J:$J,$C562,'Form Details'!$W:$W,"Reject")</f>
        <v>0</v>
      </c>
      <c r="CQ562" s="238"/>
      <c r="CR562" s="238"/>
      <c r="CS562" s="238"/>
      <c r="CT562" s="238"/>
      <c r="CU562" s="238"/>
      <c r="CV562" s="239"/>
      <c r="CW562" s="237">
        <f>COUNTIFS('Form Details'!$D:$D,"&lt;"&amp;'Adv. Filter'!$A$15,'Form Details'!$N:$N,"Srinivas",'Form Details'!$J:$J,$C562,'Form Details'!$W:$W,"Adv/Paid/Pending")</f>
        <v>0</v>
      </c>
      <c r="CX562" s="238"/>
      <c r="CY562" s="238"/>
      <c r="CZ562" s="238"/>
      <c r="DA562" s="238"/>
      <c r="DB562" s="238"/>
      <c r="DC562" s="239"/>
      <c r="DD562" s="237">
        <f>COUNTIFS('Form Details'!$D:$D,"&lt;"&amp;'Adv. Filter'!$A$15,'Form Details'!$N:$N,"Srinivas",'Form Details'!$J:$J,$C562,'Form Details'!$W:$W,"Pending")</f>
        <v>0</v>
      </c>
      <c r="DE562" s="238"/>
      <c r="DF562" s="238"/>
      <c r="DG562" s="238"/>
      <c r="DH562" s="238"/>
      <c r="DI562" s="238"/>
      <c r="DJ562" s="239"/>
      <c r="DK562" s="237">
        <f>COUNTIFS('Form Details'!$D:$D,"&lt;"&amp;'Adv. Filter'!$A$15,'Form Details'!$N:$N,"Srinivas",'Form Details'!$J:$J,$C562,'Form Details'!$W:$W,"Adv/Paid/NoStatus")</f>
        <v>0</v>
      </c>
      <c r="DL562" s="238"/>
      <c r="DM562" s="238"/>
      <c r="DN562" s="238"/>
      <c r="DO562" s="238"/>
      <c r="DP562" s="238"/>
      <c r="DQ562" s="239"/>
      <c r="DR562" s="237">
        <f>COUNTIFS('Form Details'!$D:$D,"&lt;"&amp;'Adv. Filter'!$A$15,'Form Details'!$N:$N,"Srinivas",'Form Details'!$J:$J,$C562,'Form Details'!$W:$W,"No Status")</f>
        <v>0</v>
      </c>
      <c r="DS562" s="238"/>
      <c r="DT562" s="238"/>
      <c r="DU562" s="238"/>
      <c r="DV562" s="238"/>
      <c r="DW562" s="238"/>
      <c r="DX562" s="239"/>
      <c r="DY562" s="237">
        <f>SUM(COUNTIFS('Form Details'!$D:$D,"&lt;"&amp;'Adv. Filter'!$A$15,'Form Details'!$N:$N,"Srinivas",'Form Details'!$J:$J,$C562,'Form Details'!$W:$W,{"Wrong Entry ","Double Entry"}))</f>
        <v>0</v>
      </c>
      <c r="DZ562" s="238"/>
      <c r="EA562" s="238"/>
      <c r="EB562" s="238"/>
      <c r="EC562" s="238"/>
      <c r="ED562" s="238"/>
      <c r="EE562" s="239"/>
    </row>
    <row r="563" spans="3:135" hidden="1">
      <c r="C563" s="248" t="s">
        <v>59</v>
      </c>
      <c r="D563" s="249"/>
      <c r="E563" s="249"/>
      <c r="F563" s="249"/>
      <c r="G563" s="249"/>
      <c r="H563" s="249"/>
      <c r="I563" s="249"/>
      <c r="J563" s="249"/>
      <c r="K563" s="249"/>
      <c r="L563" s="249"/>
      <c r="M563" s="249"/>
      <c r="N563" s="249"/>
      <c r="O563" s="237">
        <f>COUNTIFS('Form Details'!$D:$D,"&lt;"&amp;'Adv. Filter'!$A$15,'Form Details'!$N:$N,"Srinivas",'Form Details'!$J:$J,$C563)</f>
        <v>0</v>
      </c>
      <c r="P563" s="238"/>
      <c r="Q563" s="238"/>
      <c r="R563" s="238"/>
      <c r="S563" s="238"/>
      <c r="T563" s="238"/>
      <c r="U563" s="239"/>
      <c r="V563" s="100"/>
      <c r="W563" s="237">
        <f>COUNTIFS('Form Details'!$D:$D,"&lt;"&amp;'Adv. Filter'!$A$15,'Form Details'!$N:$N,"Srinivas",'Form Details'!$J:$J,$C563,'Form Details'!$AA:$AA,"Yes")</f>
        <v>0</v>
      </c>
      <c r="X563" s="238"/>
      <c r="Y563" s="238"/>
      <c r="Z563" s="238"/>
      <c r="AA563" s="238"/>
      <c r="AB563" s="238"/>
      <c r="AC563" s="239"/>
      <c r="AD563" s="237">
        <f>COUNTIFS('Form Details'!$D:$D,"&lt;"&amp;'Adv. Filter'!$A$15,'Form Details'!$N:$N,"Srinivas",'Form Details'!$J:$J,$C563,'Form Details'!$W:$W,"Paid",'Form Details'!$S:$S,'Adv. Filter'!$A$14,'Form Details'!$S:$S,'Adv. Filter'!$B$14)</f>
        <v>0</v>
      </c>
      <c r="AE563" s="238"/>
      <c r="AF563" s="238"/>
      <c r="AG563" s="238"/>
      <c r="AH563" s="238"/>
      <c r="AI563" s="238"/>
      <c r="AJ563" s="239"/>
      <c r="AK563" s="237">
        <f>COUNTIFS('Form Details'!$D:$D,"&lt;"&amp;'Adv. Filter'!$A$15,'Form Details'!$N:$N,"Srinivas",'Form Details'!$J:$J,$C563,'Form Details'!$W:$W,"Due")</f>
        <v>0</v>
      </c>
      <c r="AL563" s="238"/>
      <c r="AM563" s="238"/>
      <c r="AN563" s="238"/>
      <c r="AO563" s="238"/>
      <c r="AP563" s="238"/>
      <c r="AQ563" s="239"/>
      <c r="AR563" s="237">
        <f>COUNTIFS('Form Details'!$D:$D,"&lt;"&amp;'Adv. Filter'!$A$15,'Form Details'!$N:$N,"Srinivas",'Form Details'!$J:$J,$C563,'Form Details'!$W:$W,"No Fee")</f>
        <v>0</v>
      </c>
      <c r="AS563" s="238"/>
      <c r="AT563" s="238"/>
      <c r="AU563" s="238"/>
      <c r="AV563" s="238"/>
      <c r="AW563" s="238"/>
      <c r="AX563" s="239"/>
      <c r="AY563" s="237">
        <f>COUNTIFS('Form Details'!$D:$D,"&lt;"&amp;'Adv. Filter'!$A$15,'Form Details'!$N:$N,"Srinivas",'Form Details'!$J:$J,$C563,'Form Details'!$W:$W,"Paid/Reject")</f>
        <v>0</v>
      </c>
      <c r="AZ563" s="238"/>
      <c r="BA563" s="238"/>
      <c r="BB563" s="238"/>
      <c r="BC563" s="238"/>
      <c r="BD563" s="238"/>
      <c r="BE563" s="239"/>
      <c r="BF563" s="237">
        <f>COUNTIFS('Form Details'!$D:$D,"&lt;"&amp;'Adv. Filter'!$A$15,'Form Details'!$N:$N,"Srinivas",'Form Details'!$J:$J,$C563,'Form Details'!$W:$W,"Staff")</f>
        <v>0</v>
      </c>
      <c r="BG563" s="238"/>
      <c r="BH563" s="238"/>
      <c r="BI563" s="238"/>
      <c r="BJ563" s="238"/>
      <c r="BK563" s="238"/>
      <c r="BL563" s="239"/>
      <c r="BM563" s="237">
        <f>COUNTIFS('Form Details'!$D:$D,"&lt;"&amp;'Adv. Filter'!$A$15,'Form Details'!$N:$N,"Srinivas",'Form Details'!$J:$J,$C563,'Form Details'!$W:$W,"File In Office")</f>
        <v>0</v>
      </c>
      <c r="BN563" s="238"/>
      <c r="BO563" s="238"/>
      <c r="BP563" s="238"/>
      <c r="BQ563" s="238"/>
      <c r="BR563" s="238"/>
      <c r="BS563" s="239"/>
      <c r="BT563" s="100"/>
      <c r="BU563" s="237">
        <f>COUNTIFS('Form Details'!$D:$D,"&lt;"&amp;'Adv. Filter'!$A$15,'Form Details'!$N:$N,"Srinivas",'Form Details'!$J:$J,$C563,'Form Details'!$AA:$AA,"No")</f>
        <v>0</v>
      </c>
      <c r="BV563" s="238"/>
      <c r="BW563" s="238"/>
      <c r="BX563" s="238"/>
      <c r="BY563" s="238"/>
      <c r="BZ563" s="238"/>
      <c r="CA563" s="239"/>
      <c r="CB563" s="237">
        <f>COUNTIFS('Form Details'!$D:$D,"&lt;"&amp;'Adv. Filter'!$A$15,'Form Details'!$N:$N,"Srinivas",'Form Details'!$J:$J,$C563,'Form Details'!$W:$W,"Adv/Paid")</f>
        <v>0</v>
      </c>
      <c r="CC563" s="238"/>
      <c r="CD563" s="238"/>
      <c r="CE563" s="238"/>
      <c r="CF563" s="238"/>
      <c r="CG563" s="238"/>
      <c r="CH563" s="239"/>
      <c r="CI563" s="237">
        <f>COUNTIFS('Form Details'!$D:$D,"&lt;"&amp;'Adv. Filter'!$A$15,'Form Details'!$N:$N,"Srinivas",'Form Details'!$J:$J,$C563,'Form Details'!$W:$W,"Adv/Paid/Reject")</f>
        <v>0</v>
      </c>
      <c r="CJ563" s="238"/>
      <c r="CK563" s="238"/>
      <c r="CL563" s="238"/>
      <c r="CM563" s="238"/>
      <c r="CN563" s="238"/>
      <c r="CO563" s="239"/>
      <c r="CP563" s="237">
        <f>COUNTIFS('Form Details'!$D:$D,"&lt;"&amp;'Adv. Filter'!$A$15,'Form Details'!$N:$N,"Srinivas",'Form Details'!$J:$J,$C563,'Form Details'!$W:$W,"Reject")</f>
        <v>0</v>
      </c>
      <c r="CQ563" s="238"/>
      <c r="CR563" s="238"/>
      <c r="CS563" s="238"/>
      <c r="CT563" s="238"/>
      <c r="CU563" s="238"/>
      <c r="CV563" s="239"/>
      <c r="CW563" s="237">
        <f>COUNTIFS('Form Details'!$D:$D,"&lt;"&amp;'Adv. Filter'!$A$15,'Form Details'!$N:$N,"Srinivas",'Form Details'!$J:$J,$C563,'Form Details'!$W:$W,"Adv/Paid/Pending")</f>
        <v>0</v>
      </c>
      <c r="CX563" s="238"/>
      <c r="CY563" s="238"/>
      <c r="CZ563" s="238"/>
      <c r="DA563" s="238"/>
      <c r="DB563" s="238"/>
      <c r="DC563" s="239"/>
      <c r="DD563" s="237">
        <f>COUNTIFS('Form Details'!$D:$D,"&lt;"&amp;'Adv. Filter'!$A$15,'Form Details'!$N:$N,"Srinivas",'Form Details'!$J:$J,$C563,'Form Details'!$W:$W,"Pending")</f>
        <v>0</v>
      </c>
      <c r="DE563" s="238"/>
      <c r="DF563" s="238"/>
      <c r="DG563" s="238"/>
      <c r="DH563" s="238"/>
      <c r="DI563" s="238"/>
      <c r="DJ563" s="239"/>
      <c r="DK563" s="237">
        <f>COUNTIFS('Form Details'!$D:$D,"&lt;"&amp;'Adv. Filter'!$A$15,'Form Details'!$N:$N,"Srinivas",'Form Details'!$J:$J,$C563,'Form Details'!$W:$W,"Adv/Paid/NoStatus")</f>
        <v>0</v>
      </c>
      <c r="DL563" s="238"/>
      <c r="DM563" s="238"/>
      <c r="DN563" s="238"/>
      <c r="DO563" s="238"/>
      <c r="DP563" s="238"/>
      <c r="DQ563" s="239"/>
      <c r="DR563" s="237">
        <f>COUNTIFS('Form Details'!$D:$D,"&lt;"&amp;'Adv. Filter'!$A$15,'Form Details'!$N:$N,"Srinivas",'Form Details'!$J:$J,$C563,'Form Details'!$W:$W,"No Status")</f>
        <v>0</v>
      </c>
      <c r="DS563" s="238"/>
      <c r="DT563" s="238"/>
      <c r="DU563" s="238"/>
      <c r="DV563" s="238"/>
      <c r="DW563" s="238"/>
      <c r="DX563" s="239"/>
      <c r="DY563" s="237">
        <f>SUM(COUNTIFS('Form Details'!$D:$D,"&lt;"&amp;'Adv. Filter'!$A$15,'Form Details'!$N:$N,"Srinivas",'Form Details'!$J:$J,$C563,'Form Details'!$W:$W,{"Wrong Entry ","Double Entry"}))</f>
        <v>0</v>
      </c>
      <c r="DZ563" s="238"/>
      <c r="EA563" s="238"/>
      <c r="EB563" s="238"/>
      <c r="EC563" s="238"/>
      <c r="ED563" s="238"/>
      <c r="EE563" s="239"/>
    </row>
    <row r="564" spans="3:135" hidden="1">
      <c r="C564" s="248" t="s">
        <v>70</v>
      </c>
      <c r="D564" s="249"/>
      <c r="E564" s="249"/>
      <c r="F564" s="249"/>
      <c r="G564" s="249"/>
      <c r="H564" s="249"/>
      <c r="I564" s="249"/>
      <c r="J564" s="249"/>
      <c r="K564" s="249"/>
      <c r="L564" s="249"/>
      <c r="M564" s="249"/>
      <c r="N564" s="249"/>
      <c r="O564" s="237">
        <f>COUNTIFS('Form Details'!$D:$D,"&lt;"&amp;'Adv. Filter'!$A$15,'Form Details'!$N:$N,"Srinivas",'Form Details'!$J:$J,$C564)</f>
        <v>4</v>
      </c>
      <c r="P564" s="238"/>
      <c r="Q564" s="238"/>
      <c r="R564" s="238"/>
      <c r="S564" s="238"/>
      <c r="T564" s="238"/>
      <c r="U564" s="239"/>
      <c r="V564" s="100"/>
      <c r="W564" s="237">
        <f>COUNTIFS('Form Details'!$D:$D,"&lt;"&amp;'Adv. Filter'!$A$15,'Form Details'!$N:$N,"Srinivas",'Form Details'!$J:$J,$C564,'Form Details'!$AA:$AA,"Yes")</f>
        <v>4</v>
      </c>
      <c r="X564" s="238"/>
      <c r="Y564" s="238"/>
      <c r="Z564" s="238"/>
      <c r="AA564" s="238"/>
      <c r="AB564" s="238"/>
      <c r="AC564" s="239"/>
      <c r="AD564" s="237">
        <f>COUNTIFS('Form Details'!$D:$D,"&lt;"&amp;'Adv. Filter'!$A$15,'Form Details'!$N:$N,"Srinivas",'Form Details'!$J:$J,$C564,'Form Details'!$W:$W,"Paid",'Form Details'!$S:$S,'Adv. Filter'!$A$14,'Form Details'!$S:$S,'Adv. Filter'!$B$14)</f>
        <v>0</v>
      </c>
      <c r="AE564" s="238"/>
      <c r="AF564" s="238"/>
      <c r="AG564" s="238"/>
      <c r="AH564" s="238"/>
      <c r="AI564" s="238"/>
      <c r="AJ564" s="239"/>
      <c r="AK564" s="237">
        <f>COUNTIFS('Form Details'!$D:$D,"&lt;"&amp;'Adv. Filter'!$A$15,'Form Details'!$N:$N,"Srinivas",'Form Details'!$J:$J,$C564,'Form Details'!$W:$W,"Due")</f>
        <v>4</v>
      </c>
      <c r="AL564" s="238"/>
      <c r="AM564" s="238"/>
      <c r="AN564" s="238"/>
      <c r="AO564" s="238"/>
      <c r="AP564" s="238"/>
      <c r="AQ564" s="239"/>
      <c r="AR564" s="237">
        <f>COUNTIFS('Form Details'!$D:$D,"&lt;"&amp;'Adv. Filter'!$A$15,'Form Details'!$N:$N,"Srinivas",'Form Details'!$J:$J,$C564,'Form Details'!$W:$W,"No Fee")</f>
        <v>0</v>
      </c>
      <c r="AS564" s="238"/>
      <c r="AT564" s="238"/>
      <c r="AU564" s="238"/>
      <c r="AV564" s="238"/>
      <c r="AW564" s="238"/>
      <c r="AX564" s="239"/>
      <c r="AY564" s="237">
        <f>COUNTIFS('Form Details'!$D:$D,"&lt;"&amp;'Adv. Filter'!$A$15,'Form Details'!$N:$N,"Srinivas",'Form Details'!$J:$J,$C564,'Form Details'!$W:$W,"Paid/Reject")</f>
        <v>0</v>
      </c>
      <c r="AZ564" s="238"/>
      <c r="BA564" s="238"/>
      <c r="BB564" s="238"/>
      <c r="BC564" s="238"/>
      <c r="BD564" s="238"/>
      <c r="BE564" s="239"/>
      <c r="BF564" s="237">
        <f>COUNTIFS('Form Details'!$D:$D,"&lt;"&amp;'Adv. Filter'!$A$15,'Form Details'!$N:$N,"Srinivas",'Form Details'!$J:$J,$C564,'Form Details'!$W:$W,"Staff")</f>
        <v>0</v>
      </c>
      <c r="BG564" s="238"/>
      <c r="BH564" s="238"/>
      <c r="BI564" s="238"/>
      <c r="BJ564" s="238"/>
      <c r="BK564" s="238"/>
      <c r="BL564" s="239"/>
      <c r="BM564" s="237">
        <f>COUNTIFS('Form Details'!$D:$D,"&lt;"&amp;'Adv. Filter'!$A$15,'Form Details'!$N:$N,"Srinivas",'Form Details'!$J:$J,$C564,'Form Details'!$W:$W,"File In Office")</f>
        <v>0</v>
      </c>
      <c r="BN564" s="238"/>
      <c r="BO564" s="238"/>
      <c r="BP564" s="238"/>
      <c r="BQ564" s="238"/>
      <c r="BR564" s="238"/>
      <c r="BS564" s="239"/>
      <c r="BT564" s="100"/>
      <c r="BU564" s="237">
        <f>COUNTIFS('Form Details'!$D:$D,"&lt;"&amp;'Adv. Filter'!$A$15,'Form Details'!$N:$N,"Srinivas",'Form Details'!$J:$J,$C564,'Form Details'!$AA:$AA,"No")</f>
        <v>0</v>
      </c>
      <c r="BV564" s="238"/>
      <c r="BW564" s="238"/>
      <c r="BX564" s="238"/>
      <c r="BY564" s="238"/>
      <c r="BZ564" s="238"/>
      <c r="CA564" s="239"/>
      <c r="CB564" s="237">
        <f>COUNTIFS('Form Details'!$D:$D,"&lt;"&amp;'Adv. Filter'!$A$15,'Form Details'!$N:$N,"Srinivas",'Form Details'!$J:$J,$C564,'Form Details'!$W:$W,"Adv/Paid")</f>
        <v>0</v>
      </c>
      <c r="CC564" s="238"/>
      <c r="CD564" s="238"/>
      <c r="CE564" s="238"/>
      <c r="CF564" s="238"/>
      <c r="CG564" s="238"/>
      <c r="CH564" s="239"/>
      <c r="CI564" s="237">
        <f>COUNTIFS('Form Details'!$D:$D,"&lt;"&amp;'Adv. Filter'!$A$15,'Form Details'!$N:$N,"Srinivas",'Form Details'!$J:$J,$C564,'Form Details'!$W:$W,"Adv/Paid/Reject")</f>
        <v>0</v>
      </c>
      <c r="CJ564" s="238"/>
      <c r="CK564" s="238"/>
      <c r="CL564" s="238"/>
      <c r="CM564" s="238"/>
      <c r="CN564" s="238"/>
      <c r="CO564" s="239"/>
      <c r="CP564" s="237">
        <f>COUNTIFS('Form Details'!$D:$D,"&lt;"&amp;'Adv. Filter'!$A$15,'Form Details'!$N:$N,"Srinivas",'Form Details'!$J:$J,$C564,'Form Details'!$W:$W,"Reject")</f>
        <v>0</v>
      </c>
      <c r="CQ564" s="238"/>
      <c r="CR564" s="238"/>
      <c r="CS564" s="238"/>
      <c r="CT564" s="238"/>
      <c r="CU564" s="238"/>
      <c r="CV564" s="239"/>
      <c r="CW564" s="237">
        <f>COUNTIFS('Form Details'!$D:$D,"&lt;"&amp;'Adv. Filter'!$A$15,'Form Details'!$N:$N,"Srinivas",'Form Details'!$J:$J,$C564,'Form Details'!$W:$W,"Adv/Paid/Pending")</f>
        <v>0</v>
      </c>
      <c r="CX564" s="238"/>
      <c r="CY564" s="238"/>
      <c r="CZ564" s="238"/>
      <c r="DA564" s="238"/>
      <c r="DB564" s="238"/>
      <c r="DC564" s="239"/>
      <c r="DD564" s="237">
        <f>COUNTIFS('Form Details'!$D:$D,"&lt;"&amp;'Adv. Filter'!$A$15,'Form Details'!$N:$N,"Srinivas",'Form Details'!$J:$J,$C564,'Form Details'!$W:$W,"Pending")</f>
        <v>0</v>
      </c>
      <c r="DE564" s="238"/>
      <c r="DF564" s="238"/>
      <c r="DG564" s="238"/>
      <c r="DH564" s="238"/>
      <c r="DI564" s="238"/>
      <c r="DJ564" s="239"/>
      <c r="DK564" s="237">
        <f>COUNTIFS('Form Details'!$D:$D,"&lt;"&amp;'Adv. Filter'!$A$15,'Form Details'!$N:$N,"Srinivas",'Form Details'!$J:$J,$C564,'Form Details'!$W:$W,"Adv/Paid/NoStatus")</f>
        <v>0</v>
      </c>
      <c r="DL564" s="238"/>
      <c r="DM564" s="238"/>
      <c r="DN564" s="238"/>
      <c r="DO564" s="238"/>
      <c r="DP564" s="238"/>
      <c r="DQ564" s="239"/>
      <c r="DR564" s="237">
        <f>COUNTIFS('Form Details'!$D:$D,"&lt;"&amp;'Adv. Filter'!$A$15,'Form Details'!$N:$N,"Srinivas",'Form Details'!$J:$J,$C564,'Form Details'!$W:$W,"No Status")</f>
        <v>0</v>
      </c>
      <c r="DS564" s="238"/>
      <c r="DT564" s="238"/>
      <c r="DU564" s="238"/>
      <c r="DV564" s="238"/>
      <c r="DW564" s="238"/>
      <c r="DX564" s="239"/>
      <c r="DY564" s="237">
        <f>SUM(COUNTIFS('Form Details'!$D:$D,"&lt;"&amp;'Adv. Filter'!$A$15,'Form Details'!$N:$N,"Srinivas",'Form Details'!$J:$J,$C564,'Form Details'!$W:$W,{"Wrong Entry ","Double Entry"}))</f>
        <v>0</v>
      </c>
      <c r="DZ564" s="238"/>
      <c r="EA564" s="238"/>
      <c r="EB564" s="238"/>
      <c r="EC564" s="238"/>
      <c r="ED564" s="238"/>
      <c r="EE564" s="239"/>
    </row>
    <row r="565" spans="3:135" hidden="1">
      <c r="C565" s="248" t="s">
        <v>77</v>
      </c>
      <c r="D565" s="249"/>
      <c r="E565" s="249"/>
      <c r="F565" s="249"/>
      <c r="G565" s="249"/>
      <c r="H565" s="249"/>
      <c r="I565" s="249"/>
      <c r="J565" s="249"/>
      <c r="K565" s="249"/>
      <c r="L565" s="249"/>
      <c r="M565" s="249"/>
      <c r="N565" s="249"/>
      <c r="O565" s="237">
        <f>COUNTIFS('Form Details'!$D:$D,"&lt;"&amp;'Adv. Filter'!$A$15,'Form Details'!$N:$N,"Srinivas",'Form Details'!$J:$J,$C565)</f>
        <v>29</v>
      </c>
      <c r="P565" s="238"/>
      <c r="Q565" s="238"/>
      <c r="R565" s="238"/>
      <c r="S565" s="238"/>
      <c r="T565" s="238"/>
      <c r="U565" s="239"/>
      <c r="V565" s="100"/>
      <c r="W565" s="237">
        <f>COUNTIFS('Form Details'!$D:$D,"&lt;"&amp;'Adv. Filter'!$A$15,'Form Details'!$N:$N,"Srinivas",'Form Details'!$J:$J,$C565,'Form Details'!$AA:$AA,"Yes")</f>
        <v>28</v>
      </c>
      <c r="X565" s="238"/>
      <c r="Y565" s="238"/>
      <c r="Z565" s="238"/>
      <c r="AA565" s="238"/>
      <c r="AB565" s="238"/>
      <c r="AC565" s="239"/>
      <c r="AD565" s="237">
        <f>COUNTIFS('Form Details'!$D:$D,"&lt;"&amp;'Adv. Filter'!$A$15,'Form Details'!$N:$N,"Srinivas",'Form Details'!$J:$J,$C565,'Form Details'!$W:$W,"Paid",'Form Details'!$S:$S,'Adv. Filter'!$A$14,'Form Details'!$S:$S,'Adv. Filter'!$B$14)</f>
        <v>6</v>
      </c>
      <c r="AE565" s="238"/>
      <c r="AF565" s="238"/>
      <c r="AG565" s="238"/>
      <c r="AH565" s="238"/>
      <c r="AI565" s="238"/>
      <c r="AJ565" s="239"/>
      <c r="AK565" s="237">
        <f>COUNTIFS('Form Details'!$D:$D,"&lt;"&amp;'Adv. Filter'!$A$15,'Form Details'!$N:$N,"Srinivas",'Form Details'!$J:$J,$C565,'Form Details'!$W:$W,"Due")</f>
        <v>22</v>
      </c>
      <c r="AL565" s="238"/>
      <c r="AM565" s="238"/>
      <c r="AN565" s="238"/>
      <c r="AO565" s="238"/>
      <c r="AP565" s="238"/>
      <c r="AQ565" s="239"/>
      <c r="AR565" s="237">
        <f>COUNTIFS('Form Details'!$D:$D,"&lt;"&amp;'Adv. Filter'!$A$15,'Form Details'!$N:$N,"Srinivas",'Form Details'!$J:$J,$C565,'Form Details'!$W:$W,"No Fee")</f>
        <v>0</v>
      </c>
      <c r="AS565" s="238"/>
      <c r="AT565" s="238"/>
      <c r="AU565" s="238"/>
      <c r="AV565" s="238"/>
      <c r="AW565" s="238"/>
      <c r="AX565" s="239"/>
      <c r="AY565" s="237">
        <f>COUNTIFS('Form Details'!$D:$D,"&lt;"&amp;'Adv. Filter'!$A$15,'Form Details'!$N:$N,"Srinivas",'Form Details'!$J:$J,$C565,'Form Details'!$W:$W,"Paid/Reject")</f>
        <v>0</v>
      </c>
      <c r="AZ565" s="238"/>
      <c r="BA565" s="238"/>
      <c r="BB565" s="238"/>
      <c r="BC565" s="238"/>
      <c r="BD565" s="238"/>
      <c r="BE565" s="239"/>
      <c r="BF565" s="237">
        <f>COUNTIFS('Form Details'!$D:$D,"&lt;"&amp;'Adv. Filter'!$A$15,'Form Details'!$N:$N,"Srinivas",'Form Details'!$J:$J,$C565,'Form Details'!$W:$W,"Staff")</f>
        <v>0</v>
      </c>
      <c r="BG565" s="238"/>
      <c r="BH565" s="238"/>
      <c r="BI565" s="238"/>
      <c r="BJ565" s="238"/>
      <c r="BK565" s="238"/>
      <c r="BL565" s="239"/>
      <c r="BM565" s="237">
        <f>COUNTIFS('Form Details'!$D:$D,"&lt;"&amp;'Adv. Filter'!$A$15,'Form Details'!$N:$N,"Srinivas",'Form Details'!$J:$J,$C565,'Form Details'!$W:$W,"File In Office")</f>
        <v>0</v>
      </c>
      <c r="BN565" s="238"/>
      <c r="BO565" s="238"/>
      <c r="BP565" s="238"/>
      <c r="BQ565" s="238"/>
      <c r="BR565" s="238"/>
      <c r="BS565" s="239"/>
      <c r="BT565" s="100"/>
      <c r="BU565" s="237">
        <f>COUNTIFS('Form Details'!$D:$D,"&lt;"&amp;'Adv. Filter'!$A$15,'Form Details'!$N:$N,"Srinivas",'Form Details'!$J:$J,$C565,'Form Details'!$AA:$AA,"No")</f>
        <v>1</v>
      </c>
      <c r="BV565" s="238"/>
      <c r="BW565" s="238"/>
      <c r="BX565" s="238"/>
      <c r="BY565" s="238"/>
      <c r="BZ565" s="238"/>
      <c r="CA565" s="239"/>
      <c r="CB565" s="237">
        <f>COUNTIFS('Form Details'!$D:$D,"&lt;"&amp;'Adv. Filter'!$A$15,'Form Details'!$N:$N,"Srinivas",'Form Details'!$J:$J,$C565,'Form Details'!$W:$W,"Adv/Paid")</f>
        <v>1</v>
      </c>
      <c r="CC565" s="238"/>
      <c r="CD565" s="238"/>
      <c r="CE565" s="238"/>
      <c r="CF565" s="238"/>
      <c r="CG565" s="238"/>
      <c r="CH565" s="239"/>
      <c r="CI565" s="237">
        <f>COUNTIFS('Form Details'!$D:$D,"&lt;"&amp;'Adv. Filter'!$A$15,'Form Details'!$N:$N,"Srinivas",'Form Details'!$J:$J,$C565,'Form Details'!$W:$W,"Adv/Paid/Reject")</f>
        <v>0</v>
      </c>
      <c r="CJ565" s="238"/>
      <c r="CK565" s="238"/>
      <c r="CL565" s="238"/>
      <c r="CM565" s="238"/>
      <c r="CN565" s="238"/>
      <c r="CO565" s="239"/>
      <c r="CP565" s="237">
        <f>COUNTIFS('Form Details'!$D:$D,"&lt;"&amp;'Adv. Filter'!$A$15,'Form Details'!$N:$N,"Srinivas",'Form Details'!$J:$J,$C565,'Form Details'!$W:$W,"Reject")</f>
        <v>0</v>
      </c>
      <c r="CQ565" s="238"/>
      <c r="CR565" s="238"/>
      <c r="CS565" s="238"/>
      <c r="CT565" s="238"/>
      <c r="CU565" s="238"/>
      <c r="CV565" s="239"/>
      <c r="CW565" s="237">
        <f>COUNTIFS('Form Details'!$D:$D,"&lt;"&amp;'Adv. Filter'!$A$15,'Form Details'!$N:$N,"Srinivas",'Form Details'!$J:$J,$C565,'Form Details'!$W:$W,"Adv/Paid/Pending")</f>
        <v>0</v>
      </c>
      <c r="CX565" s="238"/>
      <c r="CY565" s="238"/>
      <c r="CZ565" s="238"/>
      <c r="DA565" s="238"/>
      <c r="DB565" s="238"/>
      <c r="DC565" s="239"/>
      <c r="DD565" s="237">
        <f>COUNTIFS('Form Details'!$D:$D,"&lt;"&amp;'Adv. Filter'!$A$15,'Form Details'!$N:$N,"Srinivas",'Form Details'!$J:$J,$C565,'Form Details'!$W:$W,"Pending")</f>
        <v>0</v>
      </c>
      <c r="DE565" s="238"/>
      <c r="DF565" s="238"/>
      <c r="DG565" s="238"/>
      <c r="DH565" s="238"/>
      <c r="DI565" s="238"/>
      <c r="DJ565" s="239"/>
      <c r="DK565" s="237">
        <f>COUNTIFS('Form Details'!$D:$D,"&lt;"&amp;'Adv. Filter'!$A$15,'Form Details'!$N:$N,"Srinivas",'Form Details'!$J:$J,$C565,'Form Details'!$W:$W,"Adv/Paid/NoStatus")</f>
        <v>0</v>
      </c>
      <c r="DL565" s="238"/>
      <c r="DM565" s="238"/>
      <c r="DN565" s="238"/>
      <c r="DO565" s="238"/>
      <c r="DP565" s="238"/>
      <c r="DQ565" s="239"/>
      <c r="DR565" s="237">
        <f>COUNTIFS('Form Details'!$D:$D,"&lt;"&amp;'Adv. Filter'!$A$15,'Form Details'!$N:$N,"Srinivas",'Form Details'!$J:$J,$C565,'Form Details'!$W:$W,"No Status")</f>
        <v>0</v>
      </c>
      <c r="DS565" s="238"/>
      <c r="DT565" s="238"/>
      <c r="DU565" s="238"/>
      <c r="DV565" s="238"/>
      <c r="DW565" s="238"/>
      <c r="DX565" s="239"/>
      <c r="DY565" s="237">
        <f>SUM(COUNTIFS('Form Details'!$D:$D,"&lt;"&amp;'Adv. Filter'!$A$15,'Form Details'!$N:$N,"Srinivas",'Form Details'!$J:$J,$C565,'Form Details'!$W:$W,{"Wrong Entry ","Double Entry"}))</f>
        <v>0</v>
      </c>
      <c r="DZ565" s="238"/>
      <c r="EA565" s="238"/>
      <c r="EB565" s="238"/>
      <c r="EC565" s="238"/>
      <c r="ED565" s="238"/>
      <c r="EE565" s="239"/>
    </row>
    <row r="566" spans="3:135" hidden="1">
      <c r="C566" s="248" t="s">
        <v>138</v>
      </c>
      <c r="D566" s="249"/>
      <c r="E566" s="249"/>
      <c r="F566" s="249"/>
      <c r="G566" s="249"/>
      <c r="H566" s="249"/>
      <c r="I566" s="249"/>
      <c r="J566" s="249"/>
      <c r="K566" s="249"/>
      <c r="L566" s="249"/>
      <c r="M566" s="249"/>
      <c r="N566" s="249"/>
      <c r="O566" s="237">
        <f>COUNTIFS('Form Details'!$D:$D,"&lt;"&amp;'Adv. Filter'!$A$15,'Form Details'!$N:$N,"Srinivas",'Form Details'!$J:$J,$C566)</f>
        <v>0</v>
      </c>
      <c r="P566" s="238"/>
      <c r="Q566" s="238"/>
      <c r="R566" s="238"/>
      <c r="S566" s="238"/>
      <c r="T566" s="238"/>
      <c r="U566" s="239"/>
      <c r="V566" s="100"/>
      <c r="W566" s="237">
        <f>COUNTIFS('Form Details'!$D:$D,"&lt;"&amp;'Adv. Filter'!$A$15,'Form Details'!$N:$N,"Srinivas",'Form Details'!$J:$J,$C566,'Form Details'!$AA:$AA,"Yes")</f>
        <v>0</v>
      </c>
      <c r="X566" s="238"/>
      <c r="Y566" s="238"/>
      <c r="Z566" s="238"/>
      <c r="AA566" s="238"/>
      <c r="AB566" s="238"/>
      <c r="AC566" s="239"/>
      <c r="AD566" s="237">
        <f>COUNTIFS('Form Details'!$D:$D,"&lt;"&amp;'Adv. Filter'!$A$15,'Form Details'!$N:$N,"Srinivas",'Form Details'!$J:$J,$C566,'Form Details'!$W:$W,"Paid",'Form Details'!$S:$S,'Adv. Filter'!$A$14,'Form Details'!$S:$S,'Adv. Filter'!$B$14)</f>
        <v>0</v>
      </c>
      <c r="AE566" s="238"/>
      <c r="AF566" s="238"/>
      <c r="AG566" s="238"/>
      <c r="AH566" s="238"/>
      <c r="AI566" s="238"/>
      <c r="AJ566" s="239"/>
      <c r="AK566" s="237">
        <f>COUNTIFS('Form Details'!$D:$D,"&lt;"&amp;'Adv. Filter'!$A$15,'Form Details'!$N:$N,"Srinivas",'Form Details'!$J:$J,$C566,'Form Details'!$W:$W,"Due")</f>
        <v>0</v>
      </c>
      <c r="AL566" s="238"/>
      <c r="AM566" s="238"/>
      <c r="AN566" s="238"/>
      <c r="AO566" s="238"/>
      <c r="AP566" s="238"/>
      <c r="AQ566" s="239"/>
      <c r="AR566" s="237">
        <f>COUNTIFS('Form Details'!$D:$D,"&lt;"&amp;'Adv. Filter'!$A$15,'Form Details'!$N:$N,"Srinivas",'Form Details'!$J:$J,$C566,'Form Details'!$W:$W,"No Fee")</f>
        <v>0</v>
      </c>
      <c r="AS566" s="238"/>
      <c r="AT566" s="238"/>
      <c r="AU566" s="238"/>
      <c r="AV566" s="238"/>
      <c r="AW566" s="238"/>
      <c r="AX566" s="239"/>
      <c r="AY566" s="237">
        <f>COUNTIFS('Form Details'!$D:$D,"&lt;"&amp;'Adv. Filter'!$A$15,'Form Details'!$N:$N,"Srinivas",'Form Details'!$J:$J,$C566,'Form Details'!$W:$W,"Paid/Reject")</f>
        <v>0</v>
      </c>
      <c r="AZ566" s="238"/>
      <c r="BA566" s="238"/>
      <c r="BB566" s="238"/>
      <c r="BC566" s="238"/>
      <c r="BD566" s="238"/>
      <c r="BE566" s="239"/>
      <c r="BF566" s="237">
        <f>COUNTIFS('Form Details'!$D:$D,"&lt;"&amp;'Adv. Filter'!$A$15,'Form Details'!$N:$N,"Srinivas",'Form Details'!$J:$J,$C566,'Form Details'!$W:$W,"Staff")</f>
        <v>0</v>
      </c>
      <c r="BG566" s="238"/>
      <c r="BH566" s="238"/>
      <c r="BI566" s="238"/>
      <c r="BJ566" s="238"/>
      <c r="BK566" s="238"/>
      <c r="BL566" s="239"/>
      <c r="BM566" s="237">
        <f>COUNTIFS('Form Details'!$D:$D,"&lt;"&amp;'Adv. Filter'!$A$15,'Form Details'!$N:$N,"Srinivas",'Form Details'!$J:$J,$C566,'Form Details'!$W:$W,"File In Office")</f>
        <v>0</v>
      </c>
      <c r="BN566" s="238"/>
      <c r="BO566" s="238"/>
      <c r="BP566" s="238"/>
      <c r="BQ566" s="238"/>
      <c r="BR566" s="238"/>
      <c r="BS566" s="239"/>
      <c r="BT566" s="100"/>
      <c r="BU566" s="237">
        <f>COUNTIFS('Form Details'!$D:$D,"&lt;"&amp;'Adv. Filter'!$A$15,'Form Details'!$N:$N,"Srinivas",'Form Details'!$J:$J,$C566,'Form Details'!$AA:$AA,"No")</f>
        <v>0</v>
      </c>
      <c r="BV566" s="238"/>
      <c r="BW566" s="238"/>
      <c r="BX566" s="238"/>
      <c r="BY566" s="238"/>
      <c r="BZ566" s="238"/>
      <c r="CA566" s="239"/>
      <c r="CB566" s="237">
        <f>COUNTIFS('Form Details'!$D:$D,"&lt;"&amp;'Adv. Filter'!$A$15,'Form Details'!$N:$N,"Srinivas",'Form Details'!$J:$J,$C566,'Form Details'!$W:$W,"Adv/Paid")</f>
        <v>0</v>
      </c>
      <c r="CC566" s="238"/>
      <c r="CD566" s="238"/>
      <c r="CE566" s="238"/>
      <c r="CF566" s="238"/>
      <c r="CG566" s="238"/>
      <c r="CH566" s="239"/>
      <c r="CI566" s="237">
        <f>COUNTIFS('Form Details'!$D:$D,"&lt;"&amp;'Adv. Filter'!$A$15,'Form Details'!$N:$N,"Srinivas",'Form Details'!$J:$J,$C566,'Form Details'!$W:$W,"Adv/Paid/Reject")</f>
        <v>0</v>
      </c>
      <c r="CJ566" s="238"/>
      <c r="CK566" s="238"/>
      <c r="CL566" s="238"/>
      <c r="CM566" s="238"/>
      <c r="CN566" s="238"/>
      <c r="CO566" s="239"/>
      <c r="CP566" s="237">
        <f>COUNTIFS('Form Details'!$D:$D,"&lt;"&amp;'Adv. Filter'!$A$15,'Form Details'!$N:$N,"Srinivas",'Form Details'!$J:$J,$C566,'Form Details'!$W:$W,"Reject")</f>
        <v>0</v>
      </c>
      <c r="CQ566" s="238"/>
      <c r="CR566" s="238"/>
      <c r="CS566" s="238"/>
      <c r="CT566" s="238"/>
      <c r="CU566" s="238"/>
      <c r="CV566" s="239"/>
      <c r="CW566" s="237">
        <f>COUNTIFS('Form Details'!$D:$D,"&lt;"&amp;'Adv. Filter'!$A$15,'Form Details'!$N:$N,"Srinivas",'Form Details'!$J:$J,$C566,'Form Details'!$W:$W,"Adv/Paid/Pending")</f>
        <v>0</v>
      </c>
      <c r="CX566" s="238"/>
      <c r="CY566" s="238"/>
      <c r="CZ566" s="238"/>
      <c r="DA566" s="238"/>
      <c r="DB566" s="238"/>
      <c r="DC566" s="239"/>
      <c r="DD566" s="237">
        <f>COUNTIFS('Form Details'!$D:$D,"&lt;"&amp;'Adv. Filter'!$A$15,'Form Details'!$N:$N,"Srinivas",'Form Details'!$J:$J,$C566,'Form Details'!$W:$W,"Pending")</f>
        <v>0</v>
      </c>
      <c r="DE566" s="238"/>
      <c r="DF566" s="238"/>
      <c r="DG566" s="238"/>
      <c r="DH566" s="238"/>
      <c r="DI566" s="238"/>
      <c r="DJ566" s="239"/>
      <c r="DK566" s="237">
        <f>COUNTIFS('Form Details'!$D:$D,"&lt;"&amp;'Adv. Filter'!$A$15,'Form Details'!$N:$N,"Srinivas",'Form Details'!$J:$J,$C566,'Form Details'!$W:$W,"Adv/Paid/NoStatus")</f>
        <v>0</v>
      </c>
      <c r="DL566" s="238"/>
      <c r="DM566" s="238"/>
      <c r="DN566" s="238"/>
      <c r="DO566" s="238"/>
      <c r="DP566" s="238"/>
      <c r="DQ566" s="239"/>
      <c r="DR566" s="237">
        <f>COUNTIFS('Form Details'!$D:$D,"&lt;"&amp;'Adv. Filter'!$A$15,'Form Details'!$N:$N,"Srinivas",'Form Details'!$J:$J,$C566,'Form Details'!$W:$W,"No Status")</f>
        <v>0</v>
      </c>
      <c r="DS566" s="238"/>
      <c r="DT566" s="238"/>
      <c r="DU566" s="238"/>
      <c r="DV566" s="238"/>
      <c r="DW566" s="238"/>
      <c r="DX566" s="239"/>
      <c r="DY566" s="237">
        <f>SUM(COUNTIFS('Form Details'!$D:$D,"&lt;"&amp;'Adv. Filter'!$A$15,'Form Details'!$N:$N,"Srinivas",'Form Details'!$J:$J,$C566,'Form Details'!$W:$W,{"Wrong Entry ","Double Entry"}))</f>
        <v>0</v>
      </c>
      <c r="DZ566" s="238"/>
      <c r="EA566" s="238"/>
      <c r="EB566" s="238"/>
      <c r="EC566" s="238"/>
      <c r="ED566" s="238"/>
      <c r="EE566" s="239"/>
    </row>
    <row r="567" spans="3:135" hidden="1">
      <c r="C567" s="248" t="s">
        <v>84</v>
      </c>
      <c r="D567" s="249"/>
      <c r="E567" s="249"/>
      <c r="F567" s="249"/>
      <c r="G567" s="249"/>
      <c r="H567" s="249"/>
      <c r="I567" s="249"/>
      <c r="J567" s="249"/>
      <c r="K567" s="249"/>
      <c r="L567" s="249"/>
      <c r="M567" s="249"/>
      <c r="N567" s="249"/>
      <c r="O567" s="237">
        <f>COUNTIFS('Form Details'!$D:$D,"&lt;"&amp;'Adv. Filter'!$A$15,'Form Details'!$N:$N,"Srinivas",'Form Details'!$J:$J,$C567)</f>
        <v>0</v>
      </c>
      <c r="P567" s="238"/>
      <c r="Q567" s="238"/>
      <c r="R567" s="238"/>
      <c r="S567" s="238"/>
      <c r="T567" s="238"/>
      <c r="U567" s="239"/>
      <c r="V567" s="100"/>
      <c r="W567" s="237">
        <f>COUNTIFS('Form Details'!$D:$D,"&lt;"&amp;'Adv. Filter'!$A$15,'Form Details'!$N:$N,"Srinivas",'Form Details'!$J:$J,$C567,'Form Details'!$AA:$AA,"Yes")</f>
        <v>0</v>
      </c>
      <c r="X567" s="238"/>
      <c r="Y567" s="238"/>
      <c r="Z567" s="238"/>
      <c r="AA567" s="238"/>
      <c r="AB567" s="238"/>
      <c r="AC567" s="239"/>
      <c r="AD567" s="237">
        <f>COUNTIFS('Form Details'!$D:$D,"&lt;"&amp;'Adv. Filter'!$A$15,'Form Details'!$N:$N,"Srinivas",'Form Details'!$J:$J,$C567,'Form Details'!$W:$W,"Paid",'Form Details'!$S:$S,'Adv. Filter'!$A$14,'Form Details'!$S:$S,'Adv. Filter'!$B$14)</f>
        <v>0</v>
      </c>
      <c r="AE567" s="238"/>
      <c r="AF567" s="238"/>
      <c r="AG567" s="238"/>
      <c r="AH567" s="238"/>
      <c r="AI567" s="238"/>
      <c r="AJ567" s="239"/>
      <c r="AK567" s="237">
        <f>COUNTIFS('Form Details'!$D:$D,"&lt;"&amp;'Adv. Filter'!$A$15,'Form Details'!$N:$N,"Srinivas",'Form Details'!$J:$J,$C567,'Form Details'!$W:$W,"Due")</f>
        <v>0</v>
      </c>
      <c r="AL567" s="238"/>
      <c r="AM567" s="238"/>
      <c r="AN567" s="238"/>
      <c r="AO567" s="238"/>
      <c r="AP567" s="238"/>
      <c r="AQ567" s="239"/>
      <c r="AR567" s="237">
        <f>COUNTIFS('Form Details'!$D:$D,"&lt;"&amp;'Adv. Filter'!$A$15,'Form Details'!$N:$N,"Srinivas",'Form Details'!$J:$J,$C567,'Form Details'!$W:$W,"No Fee")</f>
        <v>0</v>
      </c>
      <c r="AS567" s="238"/>
      <c r="AT567" s="238"/>
      <c r="AU567" s="238"/>
      <c r="AV567" s="238"/>
      <c r="AW567" s="238"/>
      <c r="AX567" s="239"/>
      <c r="AY567" s="237">
        <f>COUNTIFS('Form Details'!$D:$D,"&lt;"&amp;'Adv. Filter'!$A$15,'Form Details'!$N:$N,"Srinivas",'Form Details'!$J:$J,$C567,'Form Details'!$W:$W,"Paid/Reject")</f>
        <v>0</v>
      </c>
      <c r="AZ567" s="238"/>
      <c r="BA567" s="238"/>
      <c r="BB567" s="238"/>
      <c r="BC567" s="238"/>
      <c r="BD567" s="238"/>
      <c r="BE567" s="239"/>
      <c r="BF567" s="237">
        <f>COUNTIFS('Form Details'!$D:$D,"&lt;"&amp;'Adv. Filter'!$A$15,'Form Details'!$N:$N,"Srinivas",'Form Details'!$J:$J,$C567,'Form Details'!$W:$W,"Staff")</f>
        <v>0</v>
      </c>
      <c r="BG567" s="238"/>
      <c r="BH567" s="238"/>
      <c r="BI567" s="238"/>
      <c r="BJ567" s="238"/>
      <c r="BK567" s="238"/>
      <c r="BL567" s="239"/>
      <c r="BM567" s="237">
        <f>COUNTIFS('Form Details'!$D:$D,"&lt;"&amp;'Adv. Filter'!$A$15,'Form Details'!$N:$N,"Srinivas",'Form Details'!$J:$J,$C567,'Form Details'!$W:$W,"File In Office")</f>
        <v>0</v>
      </c>
      <c r="BN567" s="238"/>
      <c r="BO567" s="238"/>
      <c r="BP567" s="238"/>
      <c r="BQ567" s="238"/>
      <c r="BR567" s="238"/>
      <c r="BS567" s="239"/>
      <c r="BT567" s="100"/>
      <c r="BU567" s="237">
        <f>COUNTIFS('Form Details'!$D:$D,"&lt;"&amp;'Adv. Filter'!$A$15,'Form Details'!$N:$N,"Srinivas",'Form Details'!$J:$J,$C567,'Form Details'!$AA:$AA,"No")</f>
        <v>0</v>
      </c>
      <c r="BV567" s="238"/>
      <c r="BW567" s="238"/>
      <c r="BX567" s="238"/>
      <c r="BY567" s="238"/>
      <c r="BZ567" s="238"/>
      <c r="CA567" s="239"/>
      <c r="CB567" s="237">
        <f>COUNTIFS('Form Details'!$D:$D,"&lt;"&amp;'Adv. Filter'!$A$15,'Form Details'!$N:$N,"Srinivas",'Form Details'!$J:$J,$C567,'Form Details'!$W:$W,"Adv/Paid")</f>
        <v>0</v>
      </c>
      <c r="CC567" s="238"/>
      <c r="CD567" s="238"/>
      <c r="CE567" s="238"/>
      <c r="CF567" s="238"/>
      <c r="CG567" s="238"/>
      <c r="CH567" s="239"/>
      <c r="CI567" s="237">
        <f>COUNTIFS('Form Details'!$D:$D,"&lt;"&amp;'Adv. Filter'!$A$15,'Form Details'!$N:$N,"Srinivas",'Form Details'!$J:$J,$C567,'Form Details'!$W:$W,"Adv/Paid/Reject")</f>
        <v>0</v>
      </c>
      <c r="CJ567" s="238"/>
      <c r="CK567" s="238"/>
      <c r="CL567" s="238"/>
      <c r="CM567" s="238"/>
      <c r="CN567" s="238"/>
      <c r="CO567" s="239"/>
      <c r="CP567" s="237">
        <f>COUNTIFS('Form Details'!$D:$D,"&lt;"&amp;'Adv. Filter'!$A$15,'Form Details'!$N:$N,"Srinivas",'Form Details'!$J:$J,$C567,'Form Details'!$W:$W,"Reject")</f>
        <v>0</v>
      </c>
      <c r="CQ567" s="238"/>
      <c r="CR567" s="238"/>
      <c r="CS567" s="238"/>
      <c r="CT567" s="238"/>
      <c r="CU567" s="238"/>
      <c r="CV567" s="239"/>
      <c r="CW567" s="237">
        <f>COUNTIFS('Form Details'!$D:$D,"&lt;"&amp;'Adv. Filter'!$A$15,'Form Details'!$N:$N,"Srinivas",'Form Details'!$J:$J,$C567,'Form Details'!$W:$W,"Adv/Paid/Pending")</f>
        <v>0</v>
      </c>
      <c r="CX567" s="238"/>
      <c r="CY567" s="238"/>
      <c r="CZ567" s="238"/>
      <c r="DA567" s="238"/>
      <c r="DB567" s="238"/>
      <c r="DC567" s="239"/>
      <c r="DD567" s="237">
        <f>COUNTIFS('Form Details'!$D:$D,"&lt;"&amp;'Adv. Filter'!$A$15,'Form Details'!$N:$N,"Srinivas",'Form Details'!$J:$J,$C567,'Form Details'!$W:$W,"Pending")</f>
        <v>0</v>
      </c>
      <c r="DE567" s="238"/>
      <c r="DF567" s="238"/>
      <c r="DG567" s="238"/>
      <c r="DH567" s="238"/>
      <c r="DI567" s="238"/>
      <c r="DJ567" s="239"/>
      <c r="DK567" s="237">
        <f>COUNTIFS('Form Details'!$D:$D,"&lt;"&amp;'Adv. Filter'!$A$15,'Form Details'!$N:$N,"Srinivas",'Form Details'!$J:$J,$C567,'Form Details'!$W:$W,"Adv/Paid/NoStatus")</f>
        <v>0</v>
      </c>
      <c r="DL567" s="238"/>
      <c r="DM567" s="238"/>
      <c r="DN567" s="238"/>
      <c r="DO567" s="238"/>
      <c r="DP567" s="238"/>
      <c r="DQ567" s="239"/>
      <c r="DR567" s="237">
        <f>COUNTIFS('Form Details'!$D:$D,"&lt;"&amp;'Adv. Filter'!$A$15,'Form Details'!$N:$N,"Srinivas",'Form Details'!$J:$J,$C567,'Form Details'!$W:$W,"No Status")</f>
        <v>0</v>
      </c>
      <c r="DS567" s="238"/>
      <c r="DT567" s="238"/>
      <c r="DU567" s="238"/>
      <c r="DV567" s="238"/>
      <c r="DW567" s="238"/>
      <c r="DX567" s="239"/>
      <c r="DY567" s="237">
        <f>SUM(COUNTIFS('Form Details'!$D:$D,"&lt;"&amp;'Adv. Filter'!$A$15,'Form Details'!$N:$N,"Srinivas",'Form Details'!$J:$J,$C567,'Form Details'!$W:$W,{"Wrong Entry ","Double Entry"}))</f>
        <v>0</v>
      </c>
      <c r="DZ567" s="238"/>
      <c r="EA567" s="238"/>
      <c r="EB567" s="238"/>
      <c r="EC567" s="238"/>
      <c r="ED567" s="238"/>
      <c r="EE567" s="239"/>
    </row>
    <row r="568" spans="3:135" ht="15.75" hidden="1" thickBot="1">
      <c r="C568" s="248" t="s">
        <v>551</v>
      </c>
      <c r="D568" s="249"/>
      <c r="E568" s="249"/>
      <c r="F568" s="249"/>
      <c r="G568" s="249"/>
      <c r="H568" s="249"/>
      <c r="I568" s="249"/>
      <c r="J568" s="249"/>
      <c r="K568" s="249"/>
      <c r="L568" s="249"/>
      <c r="M568" s="249"/>
      <c r="N568" s="249"/>
      <c r="O568" s="237">
        <f>COUNTIFS('Form Details'!$D:$D,"&lt;"&amp;'Adv. Filter'!$A$15,'Form Details'!$N:$N,"Srinivas",'Form Details'!$J:$J,$C568)</f>
        <v>41</v>
      </c>
      <c r="P568" s="238"/>
      <c r="Q568" s="238"/>
      <c r="R568" s="238"/>
      <c r="S568" s="238"/>
      <c r="T568" s="238"/>
      <c r="U568" s="239"/>
      <c r="V568" s="100"/>
      <c r="W568" s="237">
        <f>COUNTIFS('Form Details'!$D:$D,"&lt;"&amp;'Adv. Filter'!$A$15,'Form Details'!$N:$N,"Srinivas",'Form Details'!$J:$J,$C568,'Form Details'!$AA:$AA,"Yes")</f>
        <v>41</v>
      </c>
      <c r="X568" s="238"/>
      <c r="Y568" s="238"/>
      <c r="Z568" s="238"/>
      <c r="AA568" s="238"/>
      <c r="AB568" s="238"/>
      <c r="AC568" s="239"/>
      <c r="AD568" s="237">
        <f>COUNTIFS('Form Details'!$D:$D,"&lt;"&amp;'Adv. Filter'!$A$15,'Form Details'!$N:$N,"Srinivas",'Form Details'!$J:$J,$C568,'Form Details'!$W:$W,"Paid",'Form Details'!$S:$S,'Adv. Filter'!$A$14,'Form Details'!$S:$S,'Adv. Filter'!$B$14)</f>
        <v>3</v>
      </c>
      <c r="AE568" s="238"/>
      <c r="AF568" s="238"/>
      <c r="AG568" s="238"/>
      <c r="AH568" s="238"/>
      <c r="AI568" s="238"/>
      <c r="AJ568" s="239"/>
      <c r="AK568" s="237">
        <f>COUNTIFS('Form Details'!$D:$D,"&lt;"&amp;'Adv. Filter'!$A$15,'Form Details'!$N:$N,"Srinivas",'Form Details'!$J:$J,$C568,'Form Details'!$W:$W,"Due")</f>
        <v>38</v>
      </c>
      <c r="AL568" s="238"/>
      <c r="AM568" s="238"/>
      <c r="AN568" s="238"/>
      <c r="AO568" s="238"/>
      <c r="AP568" s="238"/>
      <c r="AQ568" s="239"/>
      <c r="AR568" s="237">
        <f>COUNTIFS('Form Details'!$D:$D,"&lt;"&amp;'Adv. Filter'!$A$15,'Form Details'!$N:$N,"Srinivas",'Form Details'!$J:$J,$C568,'Form Details'!$W:$W,"No Fee")</f>
        <v>0</v>
      </c>
      <c r="AS568" s="238"/>
      <c r="AT568" s="238"/>
      <c r="AU568" s="238"/>
      <c r="AV568" s="238"/>
      <c r="AW568" s="238"/>
      <c r="AX568" s="239"/>
      <c r="AY568" s="237">
        <f>COUNTIFS('Form Details'!$D:$D,"&lt;"&amp;'Adv. Filter'!$A$15,'Form Details'!$N:$N,"Srinivas",'Form Details'!$J:$J,$C568,'Form Details'!$W:$W,"Paid/Reject")</f>
        <v>0</v>
      </c>
      <c r="AZ568" s="238"/>
      <c r="BA568" s="238"/>
      <c r="BB568" s="238"/>
      <c r="BC568" s="238"/>
      <c r="BD568" s="238"/>
      <c r="BE568" s="239"/>
      <c r="BF568" s="237">
        <f>COUNTIFS('Form Details'!$D:$D,"&lt;"&amp;'Adv. Filter'!$A$15,'Form Details'!$N:$N,"Srinivas",'Form Details'!$J:$J,$C568,'Form Details'!$W:$W,"Staff")</f>
        <v>0</v>
      </c>
      <c r="BG568" s="238"/>
      <c r="BH568" s="238"/>
      <c r="BI568" s="238"/>
      <c r="BJ568" s="238"/>
      <c r="BK568" s="238"/>
      <c r="BL568" s="239"/>
      <c r="BM568" s="237">
        <f>COUNTIFS('Form Details'!$D:$D,"&lt;"&amp;'Adv. Filter'!$A$15,'Form Details'!$N:$N,"Srinivas",'Form Details'!$J:$J,$C568,'Form Details'!$W:$W,"File In Office")</f>
        <v>0</v>
      </c>
      <c r="BN568" s="238"/>
      <c r="BO568" s="238"/>
      <c r="BP568" s="238"/>
      <c r="BQ568" s="238"/>
      <c r="BR568" s="238"/>
      <c r="BS568" s="239"/>
      <c r="BT568" s="100"/>
      <c r="BU568" s="237">
        <f>COUNTIFS('Form Details'!$D:$D,"&lt;"&amp;'Adv. Filter'!$A$15,'Form Details'!$N:$N,"Srinivas",'Form Details'!$J:$J,$C568,'Form Details'!$AA:$AA,"No")</f>
        <v>0</v>
      </c>
      <c r="BV568" s="238"/>
      <c r="BW568" s="238"/>
      <c r="BX568" s="238"/>
      <c r="BY568" s="238"/>
      <c r="BZ568" s="238"/>
      <c r="CA568" s="239"/>
      <c r="CB568" s="237">
        <f>COUNTIFS('Form Details'!$D:$D,"&lt;"&amp;'Adv. Filter'!$A$15,'Form Details'!$N:$N,"Srinivas",'Form Details'!$J:$J,$C568,'Form Details'!$W:$W,"Adv/Paid")</f>
        <v>0</v>
      </c>
      <c r="CC568" s="238"/>
      <c r="CD568" s="238"/>
      <c r="CE568" s="238"/>
      <c r="CF568" s="238"/>
      <c r="CG568" s="238"/>
      <c r="CH568" s="239"/>
      <c r="CI568" s="237">
        <f>COUNTIFS('Form Details'!$D:$D,"&lt;"&amp;'Adv. Filter'!$A$15,'Form Details'!$N:$N,"Srinivas",'Form Details'!$J:$J,$C568,'Form Details'!$W:$W,"Adv/Paid/Reject")</f>
        <v>0</v>
      </c>
      <c r="CJ568" s="238"/>
      <c r="CK568" s="238"/>
      <c r="CL568" s="238"/>
      <c r="CM568" s="238"/>
      <c r="CN568" s="238"/>
      <c r="CO568" s="239"/>
      <c r="CP568" s="237">
        <f>COUNTIFS('Form Details'!$D:$D,"&lt;"&amp;'Adv. Filter'!$A$15,'Form Details'!$N:$N,"Srinivas",'Form Details'!$J:$J,$C568,'Form Details'!$W:$W,"Reject")</f>
        <v>0</v>
      </c>
      <c r="CQ568" s="238"/>
      <c r="CR568" s="238"/>
      <c r="CS568" s="238"/>
      <c r="CT568" s="238"/>
      <c r="CU568" s="238"/>
      <c r="CV568" s="239"/>
      <c r="CW568" s="237">
        <f>COUNTIFS('Form Details'!$D:$D,"&lt;"&amp;'Adv. Filter'!$A$15,'Form Details'!$N:$N,"Srinivas",'Form Details'!$J:$J,$C568,'Form Details'!$W:$W,"Adv/Paid/Pending")</f>
        <v>0</v>
      </c>
      <c r="CX568" s="238"/>
      <c r="CY568" s="238"/>
      <c r="CZ568" s="238"/>
      <c r="DA568" s="238"/>
      <c r="DB568" s="238"/>
      <c r="DC568" s="239"/>
      <c r="DD568" s="237">
        <f>COUNTIFS('Form Details'!$D:$D,"&lt;"&amp;'Adv. Filter'!$A$15,'Form Details'!$N:$N,"Srinivas",'Form Details'!$J:$J,$C568,'Form Details'!$W:$W,"Pending")</f>
        <v>0</v>
      </c>
      <c r="DE568" s="238"/>
      <c r="DF568" s="238"/>
      <c r="DG568" s="238"/>
      <c r="DH568" s="238"/>
      <c r="DI568" s="238"/>
      <c r="DJ568" s="239"/>
      <c r="DK568" s="237">
        <f>COUNTIFS('Form Details'!$D:$D,"&lt;"&amp;'Adv. Filter'!$A$15,'Form Details'!$N:$N,"Srinivas",'Form Details'!$J:$J,$C568,'Form Details'!$W:$W,"Adv/Paid/NoStatus")</f>
        <v>0</v>
      </c>
      <c r="DL568" s="238"/>
      <c r="DM568" s="238"/>
      <c r="DN568" s="238"/>
      <c r="DO568" s="238"/>
      <c r="DP568" s="238"/>
      <c r="DQ568" s="239"/>
      <c r="DR568" s="237">
        <f>COUNTIFS('Form Details'!$D:$D,"&lt;"&amp;'Adv. Filter'!$A$15,'Form Details'!$N:$N,"Srinivas",'Form Details'!$J:$J,$C568,'Form Details'!$W:$W,"No Status")</f>
        <v>0</v>
      </c>
      <c r="DS568" s="238"/>
      <c r="DT568" s="238"/>
      <c r="DU568" s="238"/>
      <c r="DV568" s="238"/>
      <c r="DW568" s="238"/>
      <c r="DX568" s="239"/>
      <c r="DY568" s="237">
        <f>SUM(COUNTIFS('Form Details'!$D:$D,"&lt;"&amp;'Adv. Filter'!$A$15,'Form Details'!$N:$N,"Srinivas",'Form Details'!$J:$J,$C568,'Form Details'!$W:$W,{"Wrong Entry ","Double Entry"}))</f>
        <v>0</v>
      </c>
      <c r="DZ568" s="238"/>
      <c r="EA568" s="238"/>
      <c r="EB568" s="238"/>
      <c r="EC568" s="238"/>
      <c r="ED568" s="238"/>
      <c r="EE568" s="239"/>
    </row>
    <row r="569" spans="3:135" hidden="1">
      <c r="C569" s="248" t="s">
        <v>121</v>
      </c>
      <c r="D569" s="249"/>
      <c r="E569" s="249"/>
      <c r="F569" s="249"/>
      <c r="G569" s="249"/>
      <c r="H569" s="249"/>
      <c r="I569" s="249"/>
      <c r="J569" s="249"/>
      <c r="K569" s="249"/>
      <c r="L569" s="249"/>
      <c r="M569" s="249"/>
      <c r="N569" s="249"/>
      <c r="O569" s="237">
        <f>COUNTIFS('Form Details'!$D:$D,"&lt;"&amp;'Adv. Filter'!$A$15,'Form Details'!$N:$N,"Srinivas",'Form Details'!$J:$J,$C569)</f>
        <v>0</v>
      </c>
      <c r="P569" s="238"/>
      <c r="Q569" s="238"/>
      <c r="R569" s="238"/>
      <c r="S569" s="238"/>
      <c r="T569" s="238"/>
      <c r="U569" s="239"/>
      <c r="V569" s="100"/>
      <c r="W569" s="237">
        <f>COUNTIFS('Form Details'!$D:$D,"&lt;"&amp;'Adv. Filter'!$A$15,'Form Details'!$N:$N,"Srinivas",'Form Details'!$J:$J,$C569,'Form Details'!$AA:$AA,"Yes")</f>
        <v>0</v>
      </c>
      <c r="X569" s="238"/>
      <c r="Y569" s="238"/>
      <c r="Z569" s="238"/>
      <c r="AA569" s="238"/>
      <c r="AB569" s="238"/>
      <c r="AC569" s="239"/>
      <c r="AD569" s="237">
        <f>COUNTIFS('Form Details'!$D:$D,"&lt;"&amp;'Adv. Filter'!$A$15,'Form Details'!$N:$N,"Srinivas",'Form Details'!$J:$J,$C569,'Form Details'!$W:$W,"Paid",'Form Details'!$S:$S,'Adv. Filter'!$A$14,'Form Details'!$S:$S,'Adv. Filter'!$B$14)</f>
        <v>0</v>
      </c>
      <c r="AE569" s="238"/>
      <c r="AF569" s="238"/>
      <c r="AG569" s="238"/>
      <c r="AH569" s="238"/>
      <c r="AI569" s="238"/>
      <c r="AJ569" s="239"/>
      <c r="AK569" s="237">
        <f>COUNTIFS('Form Details'!$D:$D,"&lt;"&amp;'Adv. Filter'!$A$15,'Form Details'!$N:$N,"Srinivas",'Form Details'!$J:$J,$C569,'Form Details'!$W:$W,"Due")</f>
        <v>0</v>
      </c>
      <c r="AL569" s="238"/>
      <c r="AM569" s="238"/>
      <c r="AN569" s="238"/>
      <c r="AO569" s="238"/>
      <c r="AP569" s="238"/>
      <c r="AQ569" s="239"/>
      <c r="AR569" s="237">
        <f>COUNTIFS('Form Details'!$D:$D,"&lt;"&amp;'Adv. Filter'!$A$15,'Form Details'!$N:$N,"Srinivas",'Form Details'!$J:$J,$C569,'Form Details'!$W:$W,"No Fee")</f>
        <v>0</v>
      </c>
      <c r="AS569" s="238"/>
      <c r="AT569" s="238"/>
      <c r="AU569" s="238"/>
      <c r="AV569" s="238"/>
      <c r="AW569" s="238"/>
      <c r="AX569" s="239"/>
      <c r="AY569" s="237">
        <f>COUNTIFS('Form Details'!$D:$D,"&lt;"&amp;'Adv. Filter'!$A$15,'Form Details'!$N:$N,"Srinivas",'Form Details'!$J:$J,$C569,'Form Details'!$W:$W,"Paid/Reject")</f>
        <v>0</v>
      </c>
      <c r="AZ569" s="238"/>
      <c r="BA569" s="238"/>
      <c r="BB569" s="238"/>
      <c r="BC569" s="238"/>
      <c r="BD569" s="238"/>
      <c r="BE569" s="239"/>
      <c r="BF569" s="237">
        <f>COUNTIFS('Form Details'!$D:$D,"&lt;"&amp;'Adv. Filter'!$A$15,'Form Details'!$N:$N,"Srinivas",'Form Details'!$J:$J,$C569,'Form Details'!$W:$W,"Staff")</f>
        <v>0</v>
      </c>
      <c r="BG569" s="238"/>
      <c r="BH569" s="238"/>
      <c r="BI569" s="238"/>
      <c r="BJ569" s="238"/>
      <c r="BK569" s="238"/>
      <c r="BL569" s="239"/>
      <c r="BM569" s="237">
        <f>COUNTIFS('Form Details'!$D:$D,"&lt;"&amp;'Adv. Filter'!$A$15,'Form Details'!$N:$N,"Srinivas",'Form Details'!$J:$J,$C569,'Form Details'!$W:$W,"File In Office")</f>
        <v>0</v>
      </c>
      <c r="BN569" s="238"/>
      <c r="BO569" s="238"/>
      <c r="BP569" s="238"/>
      <c r="BQ569" s="238"/>
      <c r="BR569" s="238"/>
      <c r="BS569" s="239"/>
      <c r="BT569" s="100"/>
      <c r="BU569" s="237">
        <f>COUNTIFS('Form Details'!$D:$D,"&lt;"&amp;'Adv. Filter'!$A$15,'Form Details'!$N:$N,"Srinivas",'Form Details'!$J:$J,$C569,'Form Details'!$AA:$AA,"No")</f>
        <v>0</v>
      </c>
      <c r="BV569" s="238"/>
      <c r="BW569" s="238"/>
      <c r="BX569" s="238"/>
      <c r="BY569" s="238"/>
      <c r="BZ569" s="238"/>
      <c r="CA569" s="239"/>
      <c r="CB569" s="237">
        <f>COUNTIFS('Form Details'!$D:$D,"&lt;"&amp;'Adv. Filter'!$A$15,'Form Details'!$N:$N,"Srinivas",'Form Details'!$J:$J,$C569,'Form Details'!$W:$W,"Adv/Paid")</f>
        <v>0</v>
      </c>
      <c r="CC569" s="238"/>
      <c r="CD569" s="238"/>
      <c r="CE569" s="238"/>
      <c r="CF569" s="238"/>
      <c r="CG569" s="238"/>
      <c r="CH569" s="239"/>
      <c r="CI569" s="237">
        <f>COUNTIFS('Form Details'!$D:$D,"&lt;"&amp;'Adv. Filter'!$A$15,'Form Details'!$N:$N,"Srinivas",'Form Details'!$J:$J,$C569,'Form Details'!$W:$W,"Adv/Paid/Reject")</f>
        <v>0</v>
      </c>
      <c r="CJ569" s="238"/>
      <c r="CK569" s="238"/>
      <c r="CL569" s="238"/>
      <c r="CM569" s="238"/>
      <c r="CN569" s="238"/>
      <c r="CO569" s="239"/>
      <c r="CP569" s="237">
        <f>COUNTIFS('Form Details'!$D:$D,"&lt;"&amp;'Adv. Filter'!$A$15,'Form Details'!$N:$N,"Srinivas",'Form Details'!$J:$J,$C569,'Form Details'!$W:$W,"Reject")</f>
        <v>0</v>
      </c>
      <c r="CQ569" s="238"/>
      <c r="CR569" s="238"/>
      <c r="CS569" s="238"/>
      <c r="CT569" s="238"/>
      <c r="CU569" s="238"/>
      <c r="CV569" s="239"/>
      <c r="CW569" s="237">
        <f>COUNTIFS('Form Details'!$D:$D,"&lt;"&amp;'Adv. Filter'!$A$15,'Form Details'!$N:$N,"Srinivas",'Form Details'!$J:$J,$C569,'Form Details'!$W:$W,"Adv/Paid/Pending")</f>
        <v>0</v>
      </c>
      <c r="CX569" s="238"/>
      <c r="CY569" s="238"/>
      <c r="CZ569" s="238"/>
      <c r="DA569" s="238"/>
      <c r="DB569" s="238"/>
      <c r="DC569" s="239"/>
      <c r="DD569" s="237">
        <f>COUNTIFS('Form Details'!$D:$D,"&lt;"&amp;'Adv. Filter'!$A$15,'Form Details'!$N:$N,"Srinivas",'Form Details'!$J:$J,$C569,'Form Details'!$W:$W,"Pending")</f>
        <v>0</v>
      </c>
      <c r="DE569" s="238"/>
      <c r="DF569" s="238"/>
      <c r="DG569" s="238"/>
      <c r="DH569" s="238"/>
      <c r="DI569" s="238"/>
      <c r="DJ569" s="239"/>
      <c r="DK569" s="237">
        <f>COUNTIFS('Form Details'!$D:$D,"&lt;"&amp;'Adv. Filter'!$A$15,'Form Details'!$N:$N,"Srinivas",'Form Details'!$J:$J,$C569,'Form Details'!$W:$W,"Adv/Paid/NoStatus")</f>
        <v>0</v>
      </c>
      <c r="DL569" s="238"/>
      <c r="DM569" s="238"/>
      <c r="DN569" s="238"/>
      <c r="DO569" s="238"/>
      <c r="DP569" s="238"/>
      <c r="DQ569" s="239"/>
      <c r="DR569" s="237">
        <f>COUNTIFS('Form Details'!$D:$D,"&lt;"&amp;'Adv. Filter'!$A$15,'Form Details'!$N:$N,"Srinivas",'Form Details'!$J:$J,$C569,'Form Details'!$W:$W,"No Status")</f>
        <v>0</v>
      </c>
      <c r="DS569" s="238"/>
      <c r="DT569" s="238"/>
      <c r="DU569" s="238"/>
      <c r="DV569" s="238"/>
      <c r="DW569" s="238"/>
      <c r="DX569" s="239"/>
      <c r="DY569" s="237">
        <f>SUM(COUNTIFS('Form Details'!$D:$D,"&lt;"&amp;'Adv. Filter'!$A$15,'Form Details'!$N:$N,"Srinivas",'Form Details'!$J:$J,$C569,'Form Details'!$W:$W,{"Wrong Entry ","Double Entry"}))</f>
        <v>0</v>
      </c>
      <c r="DZ569" s="238"/>
      <c r="EA569" s="238"/>
      <c r="EB569" s="238"/>
      <c r="EC569" s="238"/>
      <c r="ED569" s="238"/>
      <c r="EE569" s="239"/>
    </row>
    <row r="570" spans="3:135" hidden="1">
      <c r="C570" s="248" t="s">
        <v>111</v>
      </c>
      <c r="D570" s="249"/>
      <c r="E570" s="249"/>
      <c r="F570" s="249"/>
      <c r="G570" s="249"/>
      <c r="H570" s="249"/>
      <c r="I570" s="249"/>
      <c r="J570" s="249"/>
      <c r="K570" s="249"/>
      <c r="L570" s="249"/>
      <c r="M570" s="249"/>
      <c r="N570" s="249"/>
      <c r="O570" s="237">
        <f>COUNTIFS('Form Details'!$D:$D,"&lt;"&amp;'Adv. Filter'!$A$15,'Form Details'!$N:$N,"Srinivas",'Form Details'!$J:$J,$C570)</f>
        <v>0</v>
      </c>
      <c r="P570" s="238"/>
      <c r="Q570" s="238"/>
      <c r="R570" s="238"/>
      <c r="S570" s="238"/>
      <c r="T570" s="238"/>
      <c r="U570" s="239"/>
      <c r="V570" s="100"/>
      <c r="W570" s="237">
        <f>COUNTIFS('Form Details'!$D:$D,"&lt;"&amp;'Adv. Filter'!$A$15,'Form Details'!$N:$N,"Srinivas",'Form Details'!$J:$J,$C570,'Form Details'!$AA:$AA,"Yes")</f>
        <v>0</v>
      </c>
      <c r="X570" s="238"/>
      <c r="Y570" s="238"/>
      <c r="Z570" s="238"/>
      <c r="AA570" s="238"/>
      <c r="AB570" s="238"/>
      <c r="AC570" s="239"/>
      <c r="AD570" s="237">
        <f>COUNTIFS('Form Details'!$D:$D,"&lt;"&amp;'Adv. Filter'!$A$15,'Form Details'!$N:$N,"Srinivas",'Form Details'!$J:$J,$C570,'Form Details'!$W:$W,"Paid",'Form Details'!$S:$S,'Adv. Filter'!$A$14,'Form Details'!$S:$S,'Adv. Filter'!$B$14)</f>
        <v>0</v>
      </c>
      <c r="AE570" s="238"/>
      <c r="AF570" s="238"/>
      <c r="AG570" s="238"/>
      <c r="AH570" s="238"/>
      <c r="AI570" s="238"/>
      <c r="AJ570" s="239"/>
      <c r="AK570" s="237">
        <f>COUNTIFS('Form Details'!$D:$D,"&lt;"&amp;'Adv. Filter'!$A$15,'Form Details'!$N:$N,"Srinivas",'Form Details'!$J:$J,$C570,'Form Details'!$W:$W,"Due")</f>
        <v>0</v>
      </c>
      <c r="AL570" s="238"/>
      <c r="AM570" s="238"/>
      <c r="AN570" s="238"/>
      <c r="AO570" s="238"/>
      <c r="AP570" s="238"/>
      <c r="AQ570" s="239"/>
      <c r="AR570" s="237">
        <f>COUNTIFS('Form Details'!$D:$D,"&lt;"&amp;'Adv. Filter'!$A$15,'Form Details'!$N:$N,"Srinivas",'Form Details'!$J:$J,$C570,'Form Details'!$W:$W,"No Fee")</f>
        <v>0</v>
      </c>
      <c r="AS570" s="238"/>
      <c r="AT570" s="238"/>
      <c r="AU570" s="238"/>
      <c r="AV570" s="238"/>
      <c r="AW570" s="238"/>
      <c r="AX570" s="239"/>
      <c r="AY570" s="237">
        <f>COUNTIFS('Form Details'!$D:$D,"&lt;"&amp;'Adv. Filter'!$A$15,'Form Details'!$N:$N,"Srinivas",'Form Details'!$J:$J,$C570,'Form Details'!$W:$W,"Paid/Reject")</f>
        <v>0</v>
      </c>
      <c r="AZ570" s="238"/>
      <c r="BA570" s="238"/>
      <c r="BB570" s="238"/>
      <c r="BC570" s="238"/>
      <c r="BD570" s="238"/>
      <c r="BE570" s="239"/>
      <c r="BF570" s="237">
        <f>COUNTIFS('Form Details'!$D:$D,"&lt;"&amp;'Adv. Filter'!$A$15,'Form Details'!$N:$N,"Srinivas",'Form Details'!$J:$J,$C570,'Form Details'!$W:$W,"Staff")</f>
        <v>0</v>
      </c>
      <c r="BG570" s="238"/>
      <c r="BH570" s="238"/>
      <c r="BI570" s="238"/>
      <c r="BJ570" s="238"/>
      <c r="BK570" s="238"/>
      <c r="BL570" s="239"/>
      <c r="BM570" s="237">
        <f>COUNTIFS('Form Details'!$D:$D,"&lt;"&amp;'Adv. Filter'!$A$15,'Form Details'!$N:$N,"Srinivas",'Form Details'!$J:$J,$C570,'Form Details'!$W:$W,"File In Office")</f>
        <v>0</v>
      </c>
      <c r="BN570" s="238"/>
      <c r="BO570" s="238"/>
      <c r="BP570" s="238"/>
      <c r="BQ570" s="238"/>
      <c r="BR570" s="238"/>
      <c r="BS570" s="239"/>
      <c r="BT570" s="100"/>
      <c r="BU570" s="237">
        <f>COUNTIFS('Form Details'!$D:$D,"&lt;"&amp;'Adv. Filter'!$A$15,'Form Details'!$N:$N,"Srinivas",'Form Details'!$J:$J,$C570,'Form Details'!$AA:$AA,"No")</f>
        <v>0</v>
      </c>
      <c r="BV570" s="238"/>
      <c r="BW570" s="238"/>
      <c r="BX570" s="238"/>
      <c r="BY570" s="238"/>
      <c r="BZ570" s="238"/>
      <c r="CA570" s="239"/>
      <c r="CB570" s="237">
        <f>COUNTIFS('Form Details'!$D:$D,"&lt;"&amp;'Adv. Filter'!$A$15,'Form Details'!$N:$N,"Srinivas",'Form Details'!$J:$J,$C570,'Form Details'!$W:$W,"Adv/Paid")</f>
        <v>0</v>
      </c>
      <c r="CC570" s="238"/>
      <c r="CD570" s="238"/>
      <c r="CE570" s="238"/>
      <c r="CF570" s="238"/>
      <c r="CG570" s="238"/>
      <c r="CH570" s="239"/>
      <c r="CI570" s="237">
        <f>COUNTIFS('Form Details'!$D:$D,"&lt;"&amp;'Adv. Filter'!$A$15,'Form Details'!$N:$N,"Srinivas",'Form Details'!$J:$J,$C570,'Form Details'!$W:$W,"Adv/Paid/Reject")</f>
        <v>0</v>
      </c>
      <c r="CJ570" s="238"/>
      <c r="CK570" s="238"/>
      <c r="CL570" s="238"/>
      <c r="CM570" s="238"/>
      <c r="CN570" s="238"/>
      <c r="CO570" s="239"/>
      <c r="CP570" s="237">
        <f>COUNTIFS('Form Details'!$D:$D,"&lt;"&amp;'Adv. Filter'!$A$15,'Form Details'!$N:$N,"Srinivas",'Form Details'!$J:$J,$C570,'Form Details'!$W:$W,"Reject")</f>
        <v>0</v>
      </c>
      <c r="CQ570" s="238"/>
      <c r="CR570" s="238"/>
      <c r="CS570" s="238"/>
      <c r="CT570" s="238"/>
      <c r="CU570" s="238"/>
      <c r="CV570" s="239"/>
      <c r="CW570" s="237">
        <f>COUNTIFS('Form Details'!$D:$D,"&lt;"&amp;'Adv. Filter'!$A$15,'Form Details'!$N:$N,"Srinivas",'Form Details'!$J:$J,$C570,'Form Details'!$W:$W,"Adv/Paid/Pending")</f>
        <v>0</v>
      </c>
      <c r="CX570" s="238"/>
      <c r="CY570" s="238"/>
      <c r="CZ570" s="238"/>
      <c r="DA570" s="238"/>
      <c r="DB570" s="238"/>
      <c r="DC570" s="239"/>
      <c r="DD570" s="237">
        <f>COUNTIFS('Form Details'!$D:$D,"&lt;"&amp;'Adv. Filter'!$A$15,'Form Details'!$N:$N,"Srinivas",'Form Details'!$J:$J,$C570,'Form Details'!$W:$W,"Pending")</f>
        <v>0</v>
      </c>
      <c r="DE570" s="238"/>
      <c r="DF570" s="238"/>
      <c r="DG570" s="238"/>
      <c r="DH570" s="238"/>
      <c r="DI570" s="238"/>
      <c r="DJ570" s="239"/>
      <c r="DK570" s="237">
        <f>COUNTIFS('Form Details'!$D:$D,"&lt;"&amp;'Adv. Filter'!$A$15,'Form Details'!$N:$N,"Srinivas",'Form Details'!$J:$J,$C570,'Form Details'!$W:$W,"Adv/Paid/NoStatus")</f>
        <v>0</v>
      </c>
      <c r="DL570" s="238"/>
      <c r="DM570" s="238"/>
      <c r="DN570" s="238"/>
      <c r="DO570" s="238"/>
      <c r="DP570" s="238"/>
      <c r="DQ570" s="239"/>
      <c r="DR570" s="237">
        <f>COUNTIFS('Form Details'!$D:$D,"&lt;"&amp;'Adv. Filter'!$A$15,'Form Details'!$N:$N,"Srinivas",'Form Details'!$J:$J,$C570,'Form Details'!$W:$W,"No Status")</f>
        <v>0</v>
      </c>
      <c r="DS570" s="238"/>
      <c r="DT570" s="238"/>
      <c r="DU570" s="238"/>
      <c r="DV570" s="238"/>
      <c r="DW570" s="238"/>
      <c r="DX570" s="239"/>
      <c r="DY570" s="237">
        <f>SUM(COUNTIFS('Form Details'!$D:$D,"&lt;"&amp;'Adv. Filter'!$A$15,'Form Details'!$N:$N,"Srinivas",'Form Details'!$J:$J,$C570,'Form Details'!$W:$W,{"Wrong Entry ","Double Entry"}))</f>
        <v>0</v>
      </c>
      <c r="DZ570" s="238"/>
      <c r="EA570" s="238"/>
      <c r="EB570" s="238"/>
      <c r="EC570" s="238"/>
      <c r="ED570" s="238"/>
      <c r="EE570" s="239"/>
    </row>
    <row r="571" spans="3:135" hidden="1">
      <c r="C571" s="248" t="s">
        <v>116</v>
      </c>
      <c r="D571" s="249"/>
      <c r="E571" s="249"/>
      <c r="F571" s="249"/>
      <c r="G571" s="249"/>
      <c r="H571" s="249"/>
      <c r="I571" s="249"/>
      <c r="J571" s="249"/>
      <c r="K571" s="249"/>
      <c r="L571" s="249"/>
      <c r="M571" s="249"/>
      <c r="N571" s="249"/>
      <c r="O571" s="237">
        <f>COUNTIFS('Form Details'!$D:$D,"&lt;"&amp;'Adv. Filter'!$A$15,'Form Details'!$N:$N,"Srinivas",'Form Details'!$J:$J,$C571)</f>
        <v>0</v>
      </c>
      <c r="P571" s="238"/>
      <c r="Q571" s="238"/>
      <c r="R571" s="238"/>
      <c r="S571" s="238"/>
      <c r="T571" s="238"/>
      <c r="U571" s="239"/>
      <c r="V571" s="100"/>
      <c r="W571" s="237">
        <f>COUNTIFS('Form Details'!$D:$D,"&lt;"&amp;'Adv. Filter'!$A$15,'Form Details'!$N:$N,"Srinivas",'Form Details'!$J:$J,$C571,'Form Details'!$AA:$AA,"Yes")</f>
        <v>0</v>
      </c>
      <c r="X571" s="238"/>
      <c r="Y571" s="238"/>
      <c r="Z571" s="238"/>
      <c r="AA571" s="238"/>
      <c r="AB571" s="238"/>
      <c r="AC571" s="239"/>
      <c r="AD571" s="237">
        <f>COUNTIFS('Form Details'!$D:$D,"&lt;"&amp;'Adv. Filter'!$A$15,'Form Details'!$N:$N,"Srinivas",'Form Details'!$J:$J,$C571,'Form Details'!$W:$W,"Paid",'Form Details'!$S:$S,'Adv. Filter'!$A$14,'Form Details'!$S:$S,'Adv. Filter'!$B$14)</f>
        <v>0</v>
      </c>
      <c r="AE571" s="238"/>
      <c r="AF571" s="238"/>
      <c r="AG571" s="238"/>
      <c r="AH571" s="238"/>
      <c r="AI571" s="238"/>
      <c r="AJ571" s="239"/>
      <c r="AK571" s="237">
        <f>COUNTIFS('Form Details'!$D:$D,"&lt;"&amp;'Adv. Filter'!$A$15,'Form Details'!$N:$N,"Srinivas",'Form Details'!$J:$J,$C571,'Form Details'!$W:$W,"Due")</f>
        <v>0</v>
      </c>
      <c r="AL571" s="238"/>
      <c r="AM571" s="238"/>
      <c r="AN571" s="238"/>
      <c r="AO571" s="238"/>
      <c r="AP571" s="238"/>
      <c r="AQ571" s="239"/>
      <c r="AR571" s="237">
        <f>COUNTIFS('Form Details'!$D:$D,"&lt;"&amp;'Adv. Filter'!$A$15,'Form Details'!$N:$N,"Srinivas",'Form Details'!$J:$J,$C571,'Form Details'!$W:$W,"No Fee")</f>
        <v>0</v>
      </c>
      <c r="AS571" s="238"/>
      <c r="AT571" s="238"/>
      <c r="AU571" s="238"/>
      <c r="AV571" s="238"/>
      <c r="AW571" s="238"/>
      <c r="AX571" s="239"/>
      <c r="AY571" s="237">
        <f>COUNTIFS('Form Details'!$D:$D,"&lt;"&amp;'Adv. Filter'!$A$15,'Form Details'!$N:$N,"Srinivas",'Form Details'!$J:$J,$C571,'Form Details'!$W:$W,"Paid/Reject")</f>
        <v>0</v>
      </c>
      <c r="AZ571" s="238"/>
      <c r="BA571" s="238"/>
      <c r="BB571" s="238"/>
      <c r="BC571" s="238"/>
      <c r="BD571" s="238"/>
      <c r="BE571" s="239"/>
      <c r="BF571" s="237">
        <f>COUNTIFS('Form Details'!$D:$D,"&lt;"&amp;'Adv. Filter'!$A$15,'Form Details'!$N:$N,"Srinivas",'Form Details'!$J:$J,$C571,'Form Details'!$W:$W,"Staff")</f>
        <v>0</v>
      </c>
      <c r="BG571" s="238"/>
      <c r="BH571" s="238"/>
      <c r="BI571" s="238"/>
      <c r="BJ571" s="238"/>
      <c r="BK571" s="238"/>
      <c r="BL571" s="239"/>
      <c r="BM571" s="237">
        <f>COUNTIFS('Form Details'!$D:$D,"&lt;"&amp;'Adv. Filter'!$A$15,'Form Details'!$N:$N,"Srinivas",'Form Details'!$J:$J,$C571,'Form Details'!$W:$W,"File In Office")</f>
        <v>0</v>
      </c>
      <c r="BN571" s="238"/>
      <c r="BO571" s="238"/>
      <c r="BP571" s="238"/>
      <c r="BQ571" s="238"/>
      <c r="BR571" s="238"/>
      <c r="BS571" s="239"/>
      <c r="BT571" s="100"/>
      <c r="BU571" s="237">
        <f>COUNTIFS('Form Details'!$D:$D,"&lt;"&amp;'Adv. Filter'!$A$15,'Form Details'!$N:$N,"Srinivas",'Form Details'!$J:$J,$C571,'Form Details'!$AA:$AA,"No")</f>
        <v>0</v>
      </c>
      <c r="BV571" s="238"/>
      <c r="BW571" s="238"/>
      <c r="BX571" s="238"/>
      <c r="BY571" s="238"/>
      <c r="BZ571" s="238"/>
      <c r="CA571" s="239"/>
      <c r="CB571" s="237">
        <f>COUNTIFS('Form Details'!$D:$D,"&lt;"&amp;'Adv. Filter'!$A$15,'Form Details'!$N:$N,"Srinivas",'Form Details'!$J:$J,$C571,'Form Details'!$W:$W,"Adv/Paid")</f>
        <v>0</v>
      </c>
      <c r="CC571" s="238"/>
      <c r="CD571" s="238"/>
      <c r="CE571" s="238"/>
      <c r="CF571" s="238"/>
      <c r="CG571" s="238"/>
      <c r="CH571" s="239"/>
      <c r="CI571" s="237">
        <f>COUNTIFS('Form Details'!$D:$D,"&lt;"&amp;'Adv. Filter'!$A$15,'Form Details'!$N:$N,"Srinivas",'Form Details'!$J:$J,$C571,'Form Details'!$W:$W,"Adv/Paid/Reject")</f>
        <v>0</v>
      </c>
      <c r="CJ571" s="238"/>
      <c r="CK571" s="238"/>
      <c r="CL571" s="238"/>
      <c r="CM571" s="238"/>
      <c r="CN571" s="238"/>
      <c r="CO571" s="239"/>
      <c r="CP571" s="237">
        <f>COUNTIFS('Form Details'!$D:$D,"&lt;"&amp;'Adv. Filter'!$A$15,'Form Details'!$N:$N,"Srinivas",'Form Details'!$J:$J,$C571,'Form Details'!$W:$W,"Reject")</f>
        <v>0</v>
      </c>
      <c r="CQ571" s="238"/>
      <c r="CR571" s="238"/>
      <c r="CS571" s="238"/>
      <c r="CT571" s="238"/>
      <c r="CU571" s="238"/>
      <c r="CV571" s="239"/>
      <c r="CW571" s="237">
        <f>COUNTIFS('Form Details'!$D:$D,"&lt;"&amp;'Adv. Filter'!$A$15,'Form Details'!$N:$N,"Srinivas",'Form Details'!$J:$J,$C571,'Form Details'!$W:$W,"Adv/Paid/Pending")</f>
        <v>0</v>
      </c>
      <c r="CX571" s="238"/>
      <c r="CY571" s="238"/>
      <c r="CZ571" s="238"/>
      <c r="DA571" s="238"/>
      <c r="DB571" s="238"/>
      <c r="DC571" s="239"/>
      <c r="DD571" s="237">
        <f>COUNTIFS('Form Details'!$D:$D,"&lt;"&amp;'Adv. Filter'!$A$15,'Form Details'!$N:$N,"Srinivas",'Form Details'!$J:$J,$C571,'Form Details'!$W:$W,"Pending")</f>
        <v>0</v>
      </c>
      <c r="DE571" s="238"/>
      <c r="DF571" s="238"/>
      <c r="DG571" s="238"/>
      <c r="DH571" s="238"/>
      <c r="DI571" s="238"/>
      <c r="DJ571" s="239"/>
      <c r="DK571" s="237">
        <f>COUNTIFS('Form Details'!$D:$D,"&lt;"&amp;'Adv. Filter'!$A$15,'Form Details'!$N:$N,"Srinivas",'Form Details'!$J:$J,$C571,'Form Details'!$W:$W,"Adv/Paid/NoStatus")</f>
        <v>0</v>
      </c>
      <c r="DL571" s="238"/>
      <c r="DM571" s="238"/>
      <c r="DN571" s="238"/>
      <c r="DO571" s="238"/>
      <c r="DP571" s="238"/>
      <c r="DQ571" s="239"/>
      <c r="DR571" s="237">
        <f>COUNTIFS('Form Details'!$D:$D,"&lt;"&amp;'Adv. Filter'!$A$15,'Form Details'!$N:$N,"Srinivas",'Form Details'!$J:$J,$C571,'Form Details'!$W:$W,"No Status")</f>
        <v>0</v>
      </c>
      <c r="DS571" s="238"/>
      <c r="DT571" s="238"/>
      <c r="DU571" s="238"/>
      <c r="DV571" s="238"/>
      <c r="DW571" s="238"/>
      <c r="DX571" s="239"/>
      <c r="DY571" s="237">
        <f>SUM(COUNTIFS('Form Details'!$D:$D,"&lt;"&amp;'Adv. Filter'!$A$15,'Form Details'!$N:$N,"Srinivas",'Form Details'!$J:$J,$C571,'Form Details'!$W:$W,{"Wrong Entry ","Double Entry"}))</f>
        <v>0</v>
      </c>
      <c r="DZ571" s="238"/>
      <c r="EA571" s="238"/>
      <c r="EB571" s="238"/>
      <c r="EC571" s="238"/>
      <c r="ED571" s="238"/>
      <c r="EE571" s="239"/>
    </row>
    <row r="572" spans="3:135" hidden="1">
      <c r="C572" s="248" t="s">
        <v>119</v>
      </c>
      <c r="D572" s="249"/>
      <c r="E572" s="249"/>
      <c r="F572" s="249"/>
      <c r="G572" s="249"/>
      <c r="H572" s="249"/>
      <c r="I572" s="249"/>
      <c r="J572" s="249"/>
      <c r="K572" s="249"/>
      <c r="L572" s="249"/>
      <c r="M572" s="249"/>
      <c r="N572" s="249"/>
      <c r="O572" s="237">
        <f>COUNTIFS('Form Details'!$D:$D,"&lt;"&amp;'Adv. Filter'!$A$15,'Form Details'!$N:$N,"Srinivas",'Form Details'!$J:$J,$C572)</f>
        <v>0</v>
      </c>
      <c r="P572" s="238"/>
      <c r="Q572" s="238"/>
      <c r="R572" s="238"/>
      <c r="S572" s="238"/>
      <c r="T572" s="238"/>
      <c r="U572" s="239"/>
      <c r="V572" s="100"/>
      <c r="W572" s="237">
        <f>COUNTIFS('Form Details'!$D:$D,"&lt;"&amp;'Adv. Filter'!$A$15,'Form Details'!$N:$N,"Srinivas",'Form Details'!$J:$J,$C572,'Form Details'!$AA:$AA,"Yes")</f>
        <v>0</v>
      </c>
      <c r="X572" s="238"/>
      <c r="Y572" s="238"/>
      <c r="Z572" s="238"/>
      <c r="AA572" s="238"/>
      <c r="AB572" s="238"/>
      <c r="AC572" s="239"/>
      <c r="AD572" s="237">
        <f>COUNTIFS('Form Details'!$D:$D,"&lt;"&amp;'Adv. Filter'!$A$15,'Form Details'!$N:$N,"Srinivas",'Form Details'!$J:$J,$C572,'Form Details'!$W:$W,"Paid",'Form Details'!$S:$S,'Adv. Filter'!$A$14,'Form Details'!$S:$S,'Adv. Filter'!$B$14)</f>
        <v>0</v>
      </c>
      <c r="AE572" s="238"/>
      <c r="AF572" s="238"/>
      <c r="AG572" s="238"/>
      <c r="AH572" s="238"/>
      <c r="AI572" s="238"/>
      <c r="AJ572" s="239"/>
      <c r="AK572" s="237">
        <f>COUNTIFS('Form Details'!$D:$D,"&lt;"&amp;'Adv. Filter'!$A$15,'Form Details'!$N:$N,"Srinivas",'Form Details'!$J:$J,$C572,'Form Details'!$W:$W,"Due")</f>
        <v>0</v>
      </c>
      <c r="AL572" s="238"/>
      <c r="AM572" s="238"/>
      <c r="AN572" s="238"/>
      <c r="AO572" s="238"/>
      <c r="AP572" s="238"/>
      <c r="AQ572" s="239"/>
      <c r="AR572" s="237">
        <f>COUNTIFS('Form Details'!$D:$D,"&lt;"&amp;'Adv. Filter'!$A$15,'Form Details'!$N:$N,"Srinivas",'Form Details'!$J:$J,$C572,'Form Details'!$W:$W,"No Fee")</f>
        <v>0</v>
      </c>
      <c r="AS572" s="238"/>
      <c r="AT572" s="238"/>
      <c r="AU572" s="238"/>
      <c r="AV572" s="238"/>
      <c r="AW572" s="238"/>
      <c r="AX572" s="239"/>
      <c r="AY572" s="237">
        <f>COUNTIFS('Form Details'!$D:$D,"&lt;"&amp;'Adv. Filter'!$A$15,'Form Details'!$N:$N,"Srinivas",'Form Details'!$J:$J,$C572,'Form Details'!$W:$W,"Paid/Reject")</f>
        <v>0</v>
      </c>
      <c r="AZ572" s="238"/>
      <c r="BA572" s="238"/>
      <c r="BB572" s="238"/>
      <c r="BC572" s="238"/>
      <c r="BD572" s="238"/>
      <c r="BE572" s="239"/>
      <c r="BF572" s="237">
        <f>COUNTIFS('Form Details'!$D:$D,"&lt;"&amp;'Adv. Filter'!$A$15,'Form Details'!$N:$N,"Srinivas",'Form Details'!$J:$J,$C572,'Form Details'!$W:$W,"Staff")</f>
        <v>0</v>
      </c>
      <c r="BG572" s="238"/>
      <c r="BH572" s="238"/>
      <c r="BI572" s="238"/>
      <c r="BJ572" s="238"/>
      <c r="BK572" s="238"/>
      <c r="BL572" s="239"/>
      <c r="BM572" s="237">
        <f>COUNTIFS('Form Details'!$D:$D,"&lt;"&amp;'Adv. Filter'!$A$15,'Form Details'!$N:$N,"Srinivas",'Form Details'!$J:$J,$C572,'Form Details'!$W:$W,"File In Office")</f>
        <v>0</v>
      </c>
      <c r="BN572" s="238"/>
      <c r="BO572" s="238"/>
      <c r="BP572" s="238"/>
      <c r="BQ572" s="238"/>
      <c r="BR572" s="238"/>
      <c r="BS572" s="239"/>
      <c r="BT572" s="100"/>
      <c r="BU572" s="237">
        <f>COUNTIFS('Form Details'!$D:$D,"&lt;"&amp;'Adv. Filter'!$A$15,'Form Details'!$N:$N,"Srinivas",'Form Details'!$J:$J,$C572,'Form Details'!$AA:$AA,"No")</f>
        <v>0</v>
      </c>
      <c r="BV572" s="238"/>
      <c r="BW572" s="238"/>
      <c r="BX572" s="238"/>
      <c r="BY572" s="238"/>
      <c r="BZ572" s="238"/>
      <c r="CA572" s="239"/>
      <c r="CB572" s="237">
        <f>COUNTIFS('Form Details'!$D:$D,"&lt;"&amp;'Adv. Filter'!$A$15,'Form Details'!$N:$N,"Srinivas",'Form Details'!$J:$J,$C572,'Form Details'!$W:$W,"Adv/Paid")</f>
        <v>0</v>
      </c>
      <c r="CC572" s="238"/>
      <c r="CD572" s="238"/>
      <c r="CE572" s="238"/>
      <c r="CF572" s="238"/>
      <c r="CG572" s="238"/>
      <c r="CH572" s="239"/>
      <c r="CI572" s="237">
        <f>COUNTIFS('Form Details'!$D:$D,"&lt;"&amp;'Adv. Filter'!$A$15,'Form Details'!$N:$N,"Srinivas",'Form Details'!$J:$J,$C572,'Form Details'!$W:$W,"Adv/Paid/Reject")</f>
        <v>0</v>
      </c>
      <c r="CJ572" s="238"/>
      <c r="CK572" s="238"/>
      <c r="CL572" s="238"/>
      <c r="CM572" s="238"/>
      <c r="CN572" s="238"/>
      <c r="CO572" s="239"/>
      <c r="CP572" s="237">
        <f>COUNTIFS('Form Details'!$D:$D,"&lt;"&amp;'Adv. Filter'!$A$15,'Form Details'!$N:$N,"Srinivas",'Form Details'!$J:$J,$C572,'Form Details'!$W:$W,"Reject")</f>
        <v>0</v>
      </c>
      <c r="CQ572" s="238"/>
      <c r="CR572" s="238"/>
      <c r="CS572" s="238"/>
      <c r="CT572" s="238"/>
      <c r="CU572" s="238"/>
      <c r="CV572" s="239"/>
      <c r="CW572" s="237">
        <f>COUNTIFS('Form Details'!$D:$D,"&lt;"&amp;'Adv. Filter'!$A$15,'Form Details'!$N:$N,"Srinivas",'Form Details'!$J:$J,$C572,'Form Details'!$W:$W,"Adv/Paid/Pending")</f>
        <v>0</v>
      </c>
      <c r="CX572" s="238"/>
      <c r="CY572" s="238"/>
      <c r="CZ572" s="238"/>
      <c r="DA572" s="238"/>
      <c r="DB572" s="238"/>
      <c r="DC572" s="239"/>
      <c r="DD572" s="237">
        <f>COUNTIFS('Form Details'!$D:$D,"&lt;"&amp;'Adv. Filter'!$A$15,'Form Details'!$N:$N,"Srinivas",'Form Details'!$J:$J,$C572,'Form Details'!$W:$W,"Pending")</f>
        <v>0</v>
      </c>
      <c r="DE572" s="238"/>
      <c r="DF572" s="238"/>
      <c r="DG572" s="238"/>
      <c r="DH572" s="238"/>
      <c r="DI572" s="238"/>
      <c r="DJ572" s="239"/>
      <c r="DK572" s="237">
        <f>COUNTIFS('Form Details'!$D:$D,"&lt;"&amp;'Adv. Filter'!$A$15,'Form Details'!$N:$N,"Srinivas",'Form Details'!$J:$J,$C572,'Form Details'!$W:$W,"Adv/Paid/NoStatus")</f>
        <v>0</v>
      </c>
      <c r="DL572" s="238"/>
      <c r="DM572" s="238"/>
      <c r="DN572" s="238"/>
      <c r="DO572" s="238"/>
      <c r="DP572" s="238"/>
      <c r="DQ572" s="239"/>
      <c r="DR572" s="237">
        <f>COUNTIFS('Form Details'!$D:$D,"&lt;"&amp;'Adv. Filter'!$A$15,'Form Details'!$N:$N,"Srinivas",'Form Details'!$J:$J,$C572,'Form Details'!$W:$W,"No Status")</f>
        <v>0</v>
      </c>
      <c r="DS572" s="238"/>
      <c r="DT572" s="238"/>
      <c r="DU572" s="238"/>
      <c r="DV572" s="238"/>
      <c r="DW572" s="238"/>
      <c r="DX572" s="239"/>
      <c r="DY572" s="237">
        <f>SUM(COUNTIFS('Form Details'!$D:$D,"&lt;"&amp;'Adv. Filter'!$A$15,'Form Details'!$N:$N,"Srinivas",'Form Details'!$J:$J,$C572,'Form Details'!$W:$W,{"Wrong Entry ","Double Entry"}))</f>
        <v>0</v>
      </c>
      <c r="DZ572" s="238"/>
      <c r="EA572" s="238"/>
      <c r="EB572" s="238"/>
      <c r="EC572" s="238"/>
      <c r="ED572" s="238"/>
      <c r="EE572" s="239"/>
    </row>
    <row r="573" spans="3:135" hidden="1">
      <c r="C573" s="248" t="s">
        <v>92</v>
      </c>
      <c r="D573" s="249"/>
      <c r="E573" s="249"/>
      <c r="F573" s="249"/>
      <c r="G573" s="249"/>
      <c r="H573" s="249"/>
      <c r="I573" s="249"/>
      <c r="J573" s="249"/>
      <c r="K573" s="249"/>
      <c r="L573" s="249"/>
      <c r="M573" s="249"/>
      <c r="N573" s="249"/>
      <c r="O573" s="237">
        <f>COUNTIFS('Form Details'!$D:$D,"&lt;"&amp;'Adv. Filter'!$A$15,'Form Details'!$N:$N,"Srinivas",'Form Details'!$J:$J,$C573)</f>
        <v>0</v>
      </c>
      <c r="P573" s="238"/>
      <c r="Q573" s="238"/>
      <c r="R573" s="238"/>
      <c r="S573" s="238"/>
      <c r="T573" s="238"/>
      <c r="U573" s="239"/>
      <c r="V573" s="100"/>
      <c r="W573" s="237">
        <f>COUNTIFS('Form Details'!$D:$D,"&lt;"&amp;'Adv. Filter'!$A$15,'Form Details'!$N:$N,"Srinivas",'Form Details'!$J:$J,$C573,'Form Details'!$AA:$AA,"Yes")</f>
        <v>0</v>
      </c>
      <c r="X573" s="238"/>
      <c r="Y573" s="238"/>
      <c r="Z573" s="238"/>
      <c r="AA573" s="238"/>
      <c r="AB573" s="238"/>
      <c r="AC573" s="239"/>
      <c r="AD573" s="237">
        <f>COUNTIFS('Form Details'!$D:$D,"&lt;"&amp;'Adv. Filter'!$A$15,'Form Details'!$N:$N,"Srinivas",'Form Details'!$J:$J,$C573,'Form Details'!$W:$W,"Paid",'Form Details'!$S:$S,'Adv. Filter'!$A$14,'Form Details'!$S:$S,'Adv. Filter'!$B$14)</f>
        <v>0</v>
      </c>
      <c r="AE573" s="238"/>
      <c r="AF573" s="238"/>
      <c r="AG573" s="238"/>
      <c r="AH573" s="238"/>
      <c r="AI573" s="238"/>
      <c r="AJ573" s="239"/>
      <c r="AK573" s="237">
        <f>COUNTIFS('Form Details'!$D:$D,"&lt;"&amp;'Adv. Filter'!$A$15,'Form Details'!$N:$N,"Srinivas",'Form Details'!$J:$J,$C573,'Form Details'!$W:$W,"Due")</f>
        <v>0</v>
      </c>
      <c r="AL573" s="238"/>
      <c r="AM573" s="238"/>
      <c r="AN573" s="238"/>
      <c r="AO573" s="238"/>
      <c r="AP573" s="238"/>
      <c r="AQ573" s="239"/>
      <c r="AR573" s="237">
        <f>COUNTIFS('Form Details'!$D:$D,"&lt;"&amp;'Adv. Filter'!$A$15,'Form Details'!$N:$N,"Srinivas",'Form Details'!$J:$J,$C573,'Form Details'!$W:$W,"No Fee")</f>
        <v>0</v>
      </c>
      <c r="AS573" s="238"/>
      <c r="AT573" s="238"/>
      <c r="AU573" s="238"/>
      <c r="AV573" s="238"/>
      <c r="AW573" s="238"/>
      <c r="AX573" s="239"/>
      <c r="AY573" s="237">
        <f>COUNTIFS('Form Details'!$D:$D,"&lt;"&amp;'Adv. Filter'!$A$15,'Form Details'!$N:$N,"Srinivas",'Form Details'!$J:$J,$C573,'Form Details'!$W:$W,"Paid/Reject")</f>
        <v>0</v>
      </c>
      <c r="AZ573" s="238"/>
      <c r="BA573" s="238"/>
      <c r="BB573" s="238"/>
      <c r="BC573" s="238"/>
      <c r="BD573" s="238"/>
      <c r="BE573" s="239"/>
      <c r="BF573" s="237">
        <f>COUNTIFS('Form Details'!$D:$D,"&lt;"&amp;'Adv. Filter'!$A$15,'Form Details'!$N:$N,"Srinivas",'Form Details'!$J:$J,$C573,'Form Details'!$W:$W,"Staff")</f>
        <v>0</v>
      </c>
      <c r="BG573" s="238"/>
      <c r="BH573" s="238"/>
      <c r="BI573" s="238"/>
      <c r="BJ573" s="238"/>
      <c r="BK573" s="238"/>
      <c r="BL573" s="239"/>
      <c r="BM573" s="237">
        <f>COUNTIFS('Form Details'!$D:$D,"&lt;"&amp;'Adv. Filter'!$A$15,'Form Details'!$N:$N,"Srinivas",'Form Details'!$J:$J,$C573,'Form Details'!$W:$W,"File In Office")</f>
        <v>0</v>
      </c>
      <c r="BN573" s="238"/>
      <c r="BO573" s="238"/>
      <c r="BP573" s="238"/>
      <c r="BQ573" s="238"/>
      <c r="BR573" s="238"/>
      <c r="BS573" s="239"/>
      <c r="BT573" s="100"/>
      <c r="BU573" s="237">
        <f>COUNTIFS('Form Details'!$D:$D,"&lt;"&amp;'Adv. Filter'!$A$15,'Form Details'!$N:$N,"Srinivas",'Form Details'!$J:$J,$C573,'Form Details'!$AA:$AA,"No")</f>
        <v>0</v>
      </c>
      <c r="BV573" s="238"/>
      <c r="BW573" s="238"/>
      <c r="BX573" s="238"/>
      <c r="BY573" s="238"/>
      <c r="BZ573" s="238"/>
      <c r="CA573" s="239"/>
      <c r="CB573" s="237">
        <f>COUNTIFS('Form Details'!$D:$D,"&lt;"&amp;'Adv. Filter'!$A$15,'Form Details'!$N:$N,"Srinivas",'Form Details'!$J:$J,$C573,'Form Details'!$W:$W,"Adv/Paid")</f>
        <v>0</v>
      </c>
      <c r="CC573" s="238"/>
      <c r="CD573" s="238"/>
      <c r="CE573" s="238"/>
      <c r="CF573" s="238"/>
      <c r="CG573" s="238"/>
      <c r="CH573" s="239"/>
      <c r="CI573" s="237">
        <f>COUNTIFS('Form Details'!$D:$D,"&lt;"&amp;'Adv. Filter'!$A$15,'Form Details'!$N:$N,"Srinivas",'Form Details'!$J:$J,$C573,'Form Details'!$W:$W,"Adv/Paid/Reject")</f>
        <v>0</v>
      </c>
      <c r="CJ573" s="238"/>
      <c r="CK573" s="238"/>
      <c r="CL573" s="238"/>
      <c r="CM573" s="238"/>
      <c r="CN573" s="238"/>
      <c r="CO573" s="239"/>
      <c r="CP573" s="237">
        <f>COUNTIFS('Form Details'!$D:$D,"&lt;"&amp;'Adv. Filter'!$A$15,'Form Details'!$N:$N,"Srinivas",'Form Details'!$J:$J,$C573,'Form Details'!$W:$W,"Reject")</f>
        <v>0</v>
      </c>
      <c r="CQ573" s="238"/>
      <c r="CR573" s="238"/>
      <c r="CS573" s="238"/>
      <c r="CT573" s="238"/>
      <c r="CU573" s="238"/>
      <c r="CV573" s="239"/>
      <c r="CW573" s="237">
        <f>COUNTIFS('Form Details'!$D:$D,"&lt;"&amp;'Adv. Filter'!$A$15,'Form Details'!$N:$N,"Srinivas",'Form Details'!$J:$J,$C573,'Form Details'!$W:$W,"Adv/Paid/Pending")</f>
        <v>0</v>
      </c>
      <c r="CX573" s="238"/>
      <c r="CY573" s="238"/>
      <c r="CZ573" s="238"/>
      <c r="DA573" s="238"/>
      <c r="DB573" s="238"/>
      <c r="DC573" s="239"/>
      <c r="DD573" s="237">
        <f>COUNTIFS('Form Details'!$D:$D,"&lt;"&amp;'Adv. Filter'!$A$15,'Form Details'!$N:$N,"Srinivas",'Form Details'!$J:$J,$C573,'Form Details'!$W:$W,"Pending")</f>
        <v>0</v>
      </c>
      <c r="DE573" s="238"/>
      <c r="DF573" s="238"/>
      <c r="DG573" s="238"/>
      <c r="DH573" s="238"/>
      <c r="DI573" s="238"/>
      <c r="DJ573" s="239"/>
      <c r="DK573" s="237">
        <f>COUNTIFS('Form Details'!$D:$D,"&lt;"&amp;'Adv. Filter'!$A$15,'Form Details'!$N:$N,"Srinivas",'Form Details'!$J:$J,$C573,'Form Details'!$W:$W,"Adv/Paid/NoStatus")</f>
        <v>0</v>
      </c>
      <c r="DL573" s="238"/>
      <c r="DM573" s="238"/>
      <c r="DN573" s="238"/>
      <c r="DO573" s="238"/>
      <c r="DP573" s="238"/>
      <c r="DQ573" s="239"/>
      <c r="DR573" s="237">
        <f>COUNTIFS('Form Details'!$D:$D,"&lt;"&amp;'Adv. Filter'!$A$15,'Form Details'!$N:$N,"Srinivas",'Form Details'!$J:$J,$C573,'Form Details'!$W:$W,"No Status")</f>
        <v>0</v>
      </c>
      <c r="DS573" s="238"/>
      <c r="DT573" s="238"/>
      <c r="DU573" s="238"/>
      <c r="DV573" s="238"/>
      <c r="DW573" s="238"/>
      <c r="DX573" s="239"/>
      <c r="DY573" s="237">
        <f>SUM(COUNTIFS('Form Details'!$D:$D,"&lt;"&amp;'Adv. Filter'!$A$15,'Form Details'!$N:$N,"Srinivas",'Form Details'!$J:$J,$C573,'Form Details'!$W:$W,{"Wrong Entry ","Double Entry"}))</f>
        <v>0</v>
      </c>
      <c r="DZ573" s="238"/>
      <c r="EA573" s="238"/>
      <c r="EB573" s="238"/>
      <c r="EC573" s="238"/>
      <c r="ED573" s="238"/>
      <c r="EE573" s="239"/>
    </row>
    <row r="574" spans="3:135" hidden="1">
      <c r="C574" s="248" t="s">
        <v>97</v>
      </c>
      <c r="D574" s="249"/>
      <c r="E574" s="249"/>
      <c r="F574" s="249"/>
      <c r="G574" s="249"/>
      <c r="H574" s="249"/>
      <c r="I574" s="249"/>
      <c r="J574" s="249"/>
      <c r="K574" s="249"/>
      <c r="L574" s="249"/>
      <c r="M574" s="249"/>
      <c r="N574" s="249"/>
      <c r="O574" s="237">
        <f>COUNTIFS('Form Details'!$D:$D,"&lt;"&amp;'Adv. Filter'!$A$15,'Form Details'!$N:$N,"Srinivas",'Form Details'!$J:$J,$C574)</f>
        <v>0</v>
      </c>
      <c r="P574" s="238"/>
      <c r="Q574" s="238"/>
      <c r="R574" s="238"/>
      <c r="S574" s="238"/>
      <c r="T574" s="238"/>
      <c r="U574" s="239"/>
      <c r="V574" s="100"/>
      <c r="W574" s="237">
        <f>COUNTIFS('Form Details'!$D:$D,"&lt;"&amp;'Adv. Filter'!$A$15,'Form Details'!$N:$N,"Srinivas",'Form Details'!$J:$J,$C574,'Form Details'!$AA:$AA,"Yes")</f>
        <v>0</v>
      </c>
      <c r="X574" s="238"/>
      <c r="Y574" s="238"/>
      <c r="Z574" s="238"/>
      <c r="AA574" s="238"/>
      <c r="AB574" s="238"/>
      <c r="AC574" s="239"/>
      <c r="AD574" s="237">
        <f>COUNTIFS('Form Details'!$D:$D,"&lt;"&amp;'Adv. Filter'!$A$15,'Form Details'!$N:$N,"Srinivas",'Form Details'!$J:$J,$C574,'Form Details'!$W:$W,"Paid",'Form Details'!$S:$S,'Adv. Filter'!$A$14,'Form Details'!$S:$S,'Adv. Filter'!$B$14)</f>
        <v>0</v>
      </c>
      <c r="AE574" s="238"/>
      <c r="AF574" s="238"/>
      <c r="AG574" s="238"/>
      <c r="AH574" s="238"/>
      <c r="AI574" s="238"/>
      <c r="AJ574" s="239"/>
      <c r="AK574" s="237">
        <f>COUNTIFS('Form Details'!$D:$D,"&lt;"&amp;'Adv. Filter'!$A$15,'Form Details'!$N:$N,"Srinivas",'Form Details'!$J:$J,$C574,'Form Details'!$W:$W,"Due")</f>
        <v>0</v>
      </c>
      <c r="AL574" s="238"/>
      <c r="AM574" s="238"/>
      <c r="AN574" s="238"/>
      <c r="AO574" s="238"/>
      <c r="AP574" s="238"/>
      <c r="AQ574" s="239"/>
      <c r="AR574" s="237">
        <f>COUNTIFS('Form Details'!$D:$D,"&lt;"&amp;'Adv. Filter'!$A$15,'Form Details'!$N:$N,"Srinivas",'Form Details'!$J:$J,$C574,'Form Details'!$W:$W,"No Fee")</f>
        <v>0</v>
      </c>
      <c r="AS574" s="238"/>
      <c r="AT574" s="238"/>
      <c r="AU574" s="238"/>
      <c r="AV574" s="238"/>
      <c r="AW574" s="238"/>
      <c r="AX574" s="239"/>
      <c r="AY574" s="237">
        <f>COUNTIFS('Form Details'!$D:$D,"&lt;"&amp;'Adv. Filter'!$A$15,'Form Details'!$N:$N,"Srinivas",'Form Details'!$J:$J,$C574,'Form Details'!$W:$W,"Paid/Reject")</f>
        <v>0</v>
      </c>
      <c r="AZ574" s="238"/>
      <c r="BA574" s="238"/>
      <c r="BB574" s="238"/>
      <c r="BC574" s="238"/>
      <c r="BD574" s="238"/>
      <c r="BE574" s="239"/>
      <c r="BF574" s="237">
        <f>COUNTIFS('Form Details'!$D:$D,"&lt;"&amp;'Adv. Filter'!$A$15,'Form Details'!$N:$N,"Srinivas",'Form Details'!$J:$J,$C574,'Form Details'!$W:$W,"Staff")</f>
        <v>0</v>
      </c>
      <c r="BG574" s="238"/>
      <c r="BH574" s="238"/>
      <c r="BI574" s="238"/>
      <c r="BJ574" s="238"/>
      <c r="BK574" s="238"/>
      <c r="BL574" s="239"/>
      <c r="BM574" s="237">
        <f>COUNTIFS('Form Details'!$D:$D,"&lt;"&amp;'Adv. Filter'!$A$15,'Form Details'!$N:$N,"Srinivas",'Form Details'!$J:$J,$C574,'Form Details'!$W:$W,"File In Office")</f>
        <v>0</v>
      </c>
      <c r="BN574" s="238"/>
      <c r="BO574" s="238"/>
      <c r="BP574" s="238"/>
      <c r="BQ574" s="238"/>
      <c r="BR574" s="238"/>
      <c r="BS574" s="239"/>
      <c r="BT574" s="100"/>
      <c r="BU574" s="237">
        <f>COUNTIFS('Form Details'!$D:$D,"&lt;"&amp;'Adv. Filter'!$A$15,'Form Details'!$N:$N,"Srinivas",'Form Details'!$J:$J,$C574,'Form Details'!$AA:$AA,"No")</f>
        <v>0</v>
      </c>
      <c r="BV574" s="238"/>
      <c r="BW574" s="238"/>
      <c r="BX574" s="238"/>
      <c r="BY574" s="238"/>
      <c r="BZ574" s="238"/>
      <c r="CA574" s="239"/>
      <c r="CB574" s="237">
        <f>COUNTIFS('Form Details'!$D:$D,"&lt;"&amp;'Adv. Filter'!$A$15,'Form Details'!$N:$N,"Srinivas",'Form Details'!$J:$J,$C574,'Form Details'!$W:$W,"Adv/Paid")</f>
        <v>0</v>
      </c>
      <c r="CC574" s="238"/>
      <c r="CD574" s="238"/>
      <c r="CE574" s="238"/>
      <c r="CF574" s="238"/>
      <c r="CG574" s="238"/>
      <c r="CH574" s="239"/>
      <c r="CI574" s="237">
        <f>COUNTIFS('Form Details'!$D:$D,"&lt;"&amp;'Adv. Filter'!$A$15,'Form Details'!$N:$N,"Srinivas",'Form Details'!$J:$J,$C574,'Form Details'!$W:$W,"Adv/Paid/Reject")</f>
        <v>0</v>
      </c>
      <c r="CJ574" s="238"/>
      <c r="CK574" s="238"/>
      <c r="CL574" s="238"/>
      <c r="CM574" s="238"/>
      <c r="CN574" s="238"/>
      <c r="CO574" s="239"/>
      <c r="CP574" s="237">
        <f>COUNTIFS('Form Details'!$D:$D,"&lt;"&amp;'Adv. Filter'!$A$15,'Form Details'!$N:$N,"Srinivas",'Form Details'!$J:$J,$C574,'Form Details'!$W:$W,"Reject")</f>
        <v>0</v>
      </c>
      <c r="CQ574" s="238"/>
      <c r="CR574" s="238"/>
      <c r="CS574" s="238"/>
      <c r="CT574" s="238"/>
      <c r="CU574" s="238"/>
      <c r="CV574" s="239"/>
      <c r="CW574" s="237">
        <f>COUNTIFS('Form Details'!$D:$D,"&lt;"&amp;'Adv. Filter'!$A$15,'Form Details'!$N:$N,"Srinivas",'Form Details'!$J:$J,$C574,'Form Details'!$W:$W,"Adv/Paid/Pending")</f>
        <v>0</v>
      </c>
      <c r="CX574" s="238"/>
      <c r="CY574" s="238"/>
      <c r="CZ574" s="238"/>
      <c r="DA574" s="238"/>
      <c r="DB574" s="238"/>
      <c r="DC574" s="239"/>
      <c r="DD574" s="237">
        <f>COUNTIFS('Form Details'!$D:$D,"&lt;"&amp;'Adv. Filter'!$A$15,'Form Details'!$N:$N,"Srinivas",'Form Details'!$J:$J,$C574,'Form Details'!$W:$W,"Pending")</f>
        <v>0</v>
      </c>
      <c r="DE574" s="238"/>
      <c r="DF574" s="238"/>
      <c r="DG574" s="238"/>
      <c r="DH574" s="238"/>
      <c r="DI574" s="238"/>
      <c r="DJ574" s="239"/>
      <c r="DK574" s="237">
        <f>COUNTIFS('Form Details'!$D:$D,"&lt;"&amp;'Adv. Filter'!$A$15,'Form Details'!$N:$N,"Srinivas",'Form Details'!$J:$J,$C574,'Form Details'!$W:$W,"Adv/Paid/NoStatus")</f>
        <v>0</v>
      </c>
      <c r="DL574" s="238"/>
      <c r="DM574" s="238"/>
      <c r="DN574" s="238"/>
      <c r="DO574" s="238"/>
      <c r="DP574" s="238"/>
      <c r="DQ574" s="239"/>
      <c r="DR574" s="237">
        <f>COUNTIFS('Form Details'!$D:$D,"&lt;"&amp;'Adv. Filter'!$A$15,'Form Details'!$N:$N,"Srinivas",'Form Details'!$J:$J,$C574,'Form Details'!$W:$W,"No Status")</f>
        <v>0</v>
      </c>
      <c r="DS574" s="238"/>
      <c r="DT574" s="238"/>
      <c r="DU574" s="238"/>
      <c r="DV574" s="238"/>
      <c r="DW574" s="238"/>
      <c r="DX574" s="239"/>
      <c r="DY574" s="237">
        <f>SUM(COUNTIFS('Form Details'!$D:$D,"&lt;"&amp;'Adv. Filter'!$A$15,'Form Details'!$N:$N,"Srinivas",'Form Details'!$J:$J,$C574,'Form Details'!$W:$W,{"Wrong Entry ","Double Entry"}))</f>
        <v>0</v>
      </c>
      <c r="DZ574" s="238"/>
      <c r="EA574" s="238"/>
      <c r="EB574" s="238"/>
      <c r="EC574" s="238"/>
      <c r="ED574" s="238"/>
      <c r="EE574" s="239"/>
    </row>
    <row r="575" spans="3:135" hidden="1">
      <c r="C575" s="248" t="s">
        <v>102</v>
      </c>
      <c r="D575" s="249"/>
      <c r="E575" s="249"/>
      <c r="F575" s="249"/>
      <c r="G575" s="249"/>
      <c r="H575" s="249"/>
      <c r="I575" s="249"/>
      <c r="J575" s="249"/>
      <c r="K575" s="249"/>
      <c r="L575" s="249"/>
      <c r="M575" s="249"/>
      <c r="N575" s="249"/>
      <c r="O575" s="237">
        <f>COUNTIFS('Form Details'!$D:$D,"&lt;"&amp;'Adv. Filter'!$A$15,'Form Details'!$N:$N,"Srinivas",'Form Details'!$J:$J,$C575)</f>
        <v>0</v>
      </c>
      <c r="P575" s="238"/>
      <c r="Q575" s="238"/>
      <c r="R575" s="238"/>
      <c r="S575" s="238"/>
      <c r="T575" s="238"/>
      <c r="U575" s="239"/>
      <c r="V575" s="100"/>
      <c r="W575" s="237">
        <f>COUNTIFS('Form Details'!$D:$D,"&lt;"&amp;'Adv. Filter'!$A$15,'Form Details'!$N:$N,"Srinivas",'Form Details'!$J:$J,$C575,'Form Details'!$AA:$AA,"Yes")</f>
        <v>0</v>
      </c>
      <c r="X575" s="238"/>
      <c r="Y575" s="238"/>
      <c r="Z575" s="238"/>
      <c r="AA575" s="238"/>
      <c r="AB575" s="238"/>
      <c r="AC575" s="239"/>
      <c r="AD575" s="237">
        <f>COUNTIFS('Form Details'!$D:$D,"&lt;"&amp;'Adv. Filter'!$A$15,'Form Details'!$N:$N,"Srinivas",'Form Details'!$J:$J,$C575,'Form Details'!$W:$W,"Paid",'Form Details'!$S:$S,'Adv. Filter'!$A$14,'Form Details'!$S:$S,'Adv. Filter'!$B$14)</f>
        <v>0</v>
      </c>
      <c r="AE575" s="238"/>
      <c r="AF575" s="238"/>
      <c r="AG575" s="238"/>
      <c r="AH575" s="238"/>
      <c r="AI575" s="238"/>
      <c r="AJ575" s="239"/>
      <c r="AK575" s="237">
        <f>COUNTIFS('Form Details'!$D:$D,"&lt;"&amp;'Adv. Filter'!$A$15,'Form Details'!$N:$N,"Srinivas",'Form Details'!$J:$J,$C575,'Form Details'!$W:$W,"Due")</f>
        <v>0</v>
      </c>
      <c r="AL575" s="238"/>
      <c r="AM575" s="238"/>
      <c r="AN575" s="238"/>
      <c r="AO575" s="238"/>
      <c r="AP575" s="238"/>
      <c r="AQ575" s="239"/>
      <c r="AR575" s="237">
        <f>COUNTIFS('Form Details'!$D:$D,"&lt;"&amp;'Adv. Filter'!$A$15,'Form Details'!$N:$N,"Srinivas",'Form Details'!$J:$J,$C575,'Form Details'!$W:$W,"No Fee")</f>
        <v>0</v>
      </c>
      <c r="AS575" s="238"/>
      <c r="AT575" s="238"/>
      <c r="AU575" s="238"/>
      <c r="AV575" s="238"/>
      <c r="AW575" s="238"/>
      <c r="AX575" s="239"/>
      <c r="AY575" s="237">
        <f>COUNTIFS('Form Details'!$D:$D,"&lt;"&amp;'Adv. Filter'!$A$15,'Form Details'!$N:$N,"Srinivas",'Form Details'!$J:$J,$C575,'Form Details'!$W:$W,"Paid/Reject")</f>
        <v>0</v>
      </c>
      <c r="AZ575" s="238"/>
      <c r="BA575" s="238"/>
      <c r="BB575" s="238"/>
      <c r="BC575" s="238"/>
      <c r="BD575" s="238"/>
      <c r="BE575" s="239"/>
      <c r="BF575" s="237">
        <f>COUNTIFS('Form Details'!$D:$D,"&lt;"&amp;'Adv. Filter'!$A$15,'Form Details'!$N:$N,"Srinivas",'Form Details'!$J:$J,$C575,'Form Details'!$W:$W,"Staff")</f>
        <v>0</v>
      </c>
      <c r="BG575" s="238"/>
      <c r="BH575" s="238"/>
      <c r="BI575" s="238"/>
      <c r="BJ575" s="238"/>
      <c r="BK575" s="238"/>
      <c r="BL575" s="239"/>
      <c r="BM575" s="237">
        <f>COUNTIFS('Form Details'!$D:$D,"&lt;"&amp;'Adv. Filter'!$A$15,'Form Details'!$N:$N,"Srinivas",'Form Details'!$J:$J,$C575,'Form Details'!$W:$W,"File In Office")</f>
        <v>0</v>
      </c>
      <c r="BN575" s="238"/>
      <c r="BO575" s="238"/>
      <c r="BP575" s="238"/>
      <c r="BQ575" s="238"/>
      <c r="BR575" s="238"/>
      <c r="BS575" s="239"/>
      <c r="BT575" s="100"/>
      <c r="BU575" s="237">
        <f>COUNTIFS('Form Details'!$D:$D,"&lt;"&amp;'Adv. Filter'!$A$15,'Form Details'!$N:$N,"Srinivas",'Form Details'!$J:$J,$C575,'Form Details'!$AA:$AA,"No")</f>
        <v>0</v>
      </c>
      <c r="BV575" s="238"/>
      <c r="BW575" s="238"/>
      <c r="BX575" s="238"/>
      <c r="BY575" s="238"/>
      <c r="BZ575" s="238"/>
      <c r="CA575" s="239"/>
      <c r="CB575" s="237">
        <f>COUNTIFS('Form Details'!$D:$D,"&lt;"&amp;'Adv. Filter'!$A$15,'Form Details'!$N:$N,"Srinivas",'Form Details'!$J:$J,$C575,'Form Details'!$W:$W,"Adv/Paid")</f>
        <v>0</v>
      </c>
      <c r="CC575" s="238"/>
      <c r="CD575" s="238"/>
      <c r="CE575" s="238"/>
      <c r="CF575" s="238"/>
      <c r="CG575" s="238"/>
      <c r="CH575" s="239"/>
      <c r="CI575" s="237">
        <f>COUNTIFS('Form Details'!$D:$D,"&lt;"&amp;'Adv. Filter'!$A$15,'Form Details'!$N:$N,"Srinivas",'Form Details'!$J:$J,$C575,'Form Details'!$W:$W,"Adv/Paid/Reject")</f>
        <v>0</v>
      </c>
      <c r="CJ575" s="238"/>
      <c r="CK575" s="238"/>
      <c r="CL575" s="238"/>
      <c r="CM575" s="238"/>
      <c r="CN575" s="238"/>
      <c r="CO575" s="239"/>
      <c r="CP575" s="237">
        <f>COUNTIFS('Form Details'!$D:$D,"&lt;"&amp;'Adv. Filter'!$A$15,'Form Details'!$N:$N,"Srinivas",'Form Details'!$J:$J,$C575,'Form Details'!$W:$W,"Reject")</f>
        <v>0</v>
      </c>
      <c r="CQ575" s="238"/>
      <c r="CR575" s="238"/>
      <c r="CS575" s="238"/>
      <c r="CT575" s="238"/>
      <c r="CU575" s="238"/>
      <c r="CV575" s="239"/>
      <c r="CW575" s="237">
        <f>COUNTIFS('Form Details'!$D:$D,"&lt;"&amp;'Adv. Filter'!$A$15,'Form Details'!$N:$N,"Srinivas",'Form Details'!$J:$J,$C575,'Form Details'!$W:$W,"Adv/Paid/Pending")</f>
        <v>0</v>
      </c>
      <c r="CX575" s="238"/>
      <c r="CY575" s="238"/>
      <c r="CZ575" s="238"/>
      <c r="DA575" s="238"/>
      <c r="DB575" s="238"/>
      <c r="DC575" s="239"/>
      <c r="DD575" s="237">
        <f>COUNTIFS('Form Details'!$D:$D,"&lt;"&amp;'Adv. Filter'!$A$15,'Form Details'!$N:$N,"Srinivas",'Form Details'!$J:$J,$C575,'Form Details'!$W:$W,"Pending")</f>
        <v>0</v>
      </c>
      <c r="DE575" s="238"/>
      <c r="DF575" s="238"/>
      <c r="DG575" s="238"/>
      <c r="DH575" s="238"/>
      <c r="DI575" s="238"/>
      <c r="DJ575" s="239"/>
      <c r="DK575" s="237">
        <f>COUNTIFS('Form Details'!$D:$D,"&lt;"&amp;'Adv. Filter'!$A$15,'Form Details'!$N:$N,"Srinivas",'Form Details'!$J:$J,$C575,'Form Details'!$W:$W,"Adv/Paid/NoStatus")</f>
        <v>0</v>
      </c>
      <c r="DL575" s="238"/>
      <c r="DM575" s="238"/>
      <c r="DN575" s="238"/>
      <c r="DO575" s="238"/>
      <c r="DP575" s="238"/>
      <c r="DQ575" s="239"/>
      <c r="DR575" s="237">
        <f>COUNTIFS('Form Details'!$D:$D,"&lt;"&amp;'Adv. Filter'!$A$15,'Form Details'!$N:$N,"Srinivas",'Form Details'!$J:$J,$C575,'Form Details'!$W:$W,"No Status")</f>
        <v>0</v>
      </c>
      <c r="DS575" s="238"/>
      <c r="DT575" s="238"/>
      <c r="DU575" s="238"/>
      <c r="DV575" s="238"/>
      <c r="DW575" s="238"/>
      <c r="DX575" s="239"/>
      <c r="DY575" s="237">
        <f>SUM(COUNTIFS('Form Details'!$D:$D,"&lt;"&amp;'Adv. Filter'!$A$15,'Form Details'!$N:$N,"Srinivas",'Form Details'!$J:$J,$C575,'Form Details'!$W:$W,{"Wrong Entry ","Double Entry"}))</f>
        <v>0</v>
      </c>
      <c r="DZ575" s="238"/>
      <c r="EA575" s="238"/>
      <c r="EB575" s="238"/>
      <c r="EC575" s="238"/>
      <c r="ED575" s="238"/>
      <c r="EE575" s="239"/>
    </row>
    <row r="576" spans="3:135" ht="15.75" hidden="1" thickBot="1">
      <c r="C576" s="248" t="s">
        <v>108</v>
      </c>
      <c r="D576" s="249"/>
      <c r="E576" s="249"/>
      <c r="F576" s="249"/>
      <c r="G576" s="249"/>
      <c r="H576" s="249"/>
      <c r="I576" s="249"/>
      <c r="J576" s="249"/>
      <c r="K576" s="249"/>
      <c r="L576" s="249"/>
      <c r="M576" s="249"/>
      <c r="N576" s="249"/>
      <c r="O576" s="237">
        <f>COUNTIFS('Form Details'!$D:$D,"&lt;"&amp;'Adv. Filter'!$A$15,'Form Details'!$N:$N,"Srinivas",'Form Details'!$J:$J,$C576)</f>
        <v>0</v>
      </c>
      <c r="P576" s="238"/>
      <c r="Q576" s="238"/>
      <c r="R576" s="238"/>
      <c r="S576" s="238"/>
      <c r="T576" s="238"/>
      <c r="U576" s="239"/>
      <c r="V576" s="100"/>
      <c r="W576" s="237">
        <f>COUNTIFS('Form Details'!$D:$D,"&lt;"&amp;'Adv. Filter'!$A$15,'Form Details'!$N:$N,"Srinivas",'Form Details'!$J:$J,$C576,'Form Details'!$AA:$AA,"Yes")</f>
        <v>0</v>
      </c>
      <c r="X576" s="238"/>
      <c r="Y576" s="238"/>
      <c r="Z576" s="238"/>
      <c r="AA576" s="238"/>
      <c r="AB576" s="238"/>
      <c r="AC576" s="239"/>
      <c r="AD576" s="237">
        <f>COUNTIFS('Form Details'!$D:$D,"&lt;"&amp;'Adv. Filter'!$A$15,'Form Details'!$N:$N,"Srinivas",'Form Details'!$J:$J,$C576,'Form Details'!$W:$W,"Paid",'Form Details'!$S:$S,'Adv. Filter'!$A$14,'Form Details'!$S:$S,'Adv. Filter'!$B$14)</f>
        <v>0</v>
      </c>
      <c r="AE576" s="238"/>
      <c r="AF576" s="238"/>
      <c r="AG576" s="238"/>
      <c r="AH576" s="238"/>
      <c r="AI576" s="238"/>
      <c r="AJ576" s="239"/>
      <c r="AK576" s="237">
        <f>COUNTIFS('Form Details'!$D:$D,"&lt;"&amp;'Adv. Filter'!$A$15,'Form Details'!$N:$N,"Srinivas",'Form Details'!$J:$J,$C576,'Form Details'!$W:$W,"Due")</f>
        <v>0</v>
      </c>
      <c r="AL576" s="238"/>
      <c r="AM576" s="238"/>
      <c r="AN576" s="238"/>
      <c r="AO576" s="238"/>
      <c r="AP576" s="238"/>
      <c r="AQ576" s="239"/>
      <c r="AR576" s="240">
        <f>COUNTIFS('Form Details'!$D:$D,"&lt;"&amp;'Adv. Filter'!$A$15,'Form Details'!$N:$N,"Srinivas",'Form Details'!$J:$J,$C576,'Form Details'!$W:$W,"No Fee")</f>
        <v>0</v>
      </c>
      <c r="AS576" s="241"/>
      <c r="AT576" s="241"/>
      <c r="AU576" s="241"/>
      <c r="AV576" s="241"/>
      <c r="AW576" s="241"/>
      <c r="AX576" s="242"/>
      <c r="AY576" s="240">
        <f>COUNTIFS('Form Details'!$D:$D,"&lt;"&amp;'Adv. Filter'!$A$15,'Form Details'!$N:$N,"Srinivas",'Form Details'!$J:$J,$C576,'Form Details'!$W:$W,"Paid/Reject")</f>
        <v>0</v>
      </c>
      <c r="AZ576" s="241"/>
      <c r="BA576" s="241"/>
      <c r="BB576" s="241"/>
      <c r="BC576" s="241"/>
      <c r="BD576" s="241"/>
      <c r="BE576" s="242"/>
      <c r="BF576" s="240">
        <f>COUNTIFS('Form Details'!$D:$D,"&lt;"&amp;'Adv. Filter'!$A$15,'Form Details'!$N:$N,"Srinivas",'Form Details'!$J:$J,$C576,'Form Details'!$W:$W,"Staff")</f>
        <v>0</v>
      </c>
      <c r="BG576" s="241"/>
      <c r="BH576" s="241"/>
      <c r="BI576" s="241"/>
      <c r="BJ576" s="241"/>
      <c r="BK576" s="241"/>
      <c r="BL576" s="242"/>
      <c r="BM576" s="240">
        <f>COUNTIFS('Form Details'!$D:$D,"&lt;"&amp;'Adv. Filter'!$A$15,'Form Details'!$N:$N,"Srinivas",'Form Details'!$J:$J,$C576,'Form Details'!$W:$W,"File In Office")</f>
        <v>0</v>
      </c>
      <c r="BN576" s="241"/>
      <c r="BO576" s="241"/>
      <c r="BP576" s="241"/>
      <c r="BQ576" s="241"/>
      <c r="BR576" s="241"/>
      <c r="BS576" s="242"/>
      <c r="BT576" s="100"/>
      <c r="BU576" s="240">
        <f>COUNTIFS('Form Details'!$D:$D,"&lt;"&amp;'Adv. Filter'!$A$15,'Form Details'!$N:$N,"Srinivas",'Form Details'!$J:$J,$C576,'Form Details'!$AA:$AA,"No")</f>
        <v>0</v>
      </c>
      <c r="BV576" s="241"/>
      <c r="BW576" s="241"/>
      <c r="BX576" s="241"/>
      <c r="BY576" s="241"/>
      <c r="BZ576" s="241"/>
      <c r="CA576" s="242"/>
      <c r="CB576" s="240">
        <f>COUNTIFS('Form Details'!$D:$D,"&lt;"&amp;'Adv. Filter'!$A$15,'Form Details'!$N:$N,"Srinivas",'Form Details'!$J:$J,$C576,'Form Details'!$W:$W,"Adv/Paid")</f>
        <v>0</v>
      </c>
      <c r="CC576" s="241"/>
      <c r="CD576" s="241"/>
      <c r="CE576" s="241"/>
      <c r="CF576" s="241"/>
      <c r="CG576" s="241"/>
      <c r="CH576" s="242"/>
      <c r="CI576" s="240">
        <f>COUNTIFS('Form Details'!$D:$D,"&lt;"&amp;'Adv. Filter'!$A$15,'Form Details'!$N:$N,"Srinivas",'Form Details'!$J:$J,$C576,'Form Details'!$W:$W,"Adv/Paid/Reject")</f>
        <v>0</v>
      </c>
      <c r="CJ576" s="241"/>
      <c r="CK576" s="241"/>
      <c r="CL576" s="241"/>
      <c r="CM576" s="241"/>
      <c r="CN576" s="241"/>
      <c r="CO576" s="242"/>
      <c r="CP576" s="240">
        <f>COUNTIFS('Form Details'!$D:$D,"&lt;"&amp;'Adv. Filter'!$A$15,'Form Details'!$N:$N,"Srinivas",'Form Details'!$J:$J,$C576,'Form Details'!$W:$W,"Reject")</f>
        <v>0</v>
      </c>
      <c r="CQ576" s="241"/>
      <c r="CR576" s="241"/>
      <c r="CS576" s="241"/>
      <c r="CT576" s="241"/>
      <c r="CU576" s="241"/>
      <c r="CV576" s="242"/>
      <c r="CW576" s="240">
        <f>COUNTIFS('Form Details'!$D:$D,"&lt;"&amp;'Adv. Filter'!$A$15,'Form Details'!$N:$N,"Srinivas",'Form Details'!$J:$J,$C576,'Form Details'!$W:$W,"Adv/Paid/Pending")</f>
        <v>0</v>
      </c>
      <c r="CX576" s="241"/>
      <c r="CY576" s="241"/>
      <c r="CZ576" s="241"/>
      <c r="DA576" s="241"/>
      <c r="DB576" s="241"/>
      <c r="DC576" s="242"/>
      <c r="DD576" s="240">
        <f>COUNTIFS('Form Details'!$D:$D,"&lt;"&amp;'Adv. Filter'!$A$15,'Form Details'!$N:$N,"Srinivas",'Form Details'!$J:$J,$C576,'Form Details'!$W:$W,"Pending")</f>
        <v>0</v>
      </c>
      <c r="DE576" s="241"/>
      <c r="DF576" s="241"/>
      <c r="DG576" s="241"/>
      <c r="DH576" s="241"/>
      <c r="DI576" s="241"/>
      <c r="DJ576" s="242"/>
      <c r="DK576" s="240">
        <f>COUNTIFS('Form Details'!$D:$D,"&lt;"&amp;'Adv. Filter'!$A$15,'Form Details'!$N:$N,"Srinivas",'Form Details'!$J:$J,$C576,'Form Details'!$W:$W,"Adv/Paid/NoStatus")</f>
        <v>0</v>
      </c>
      <c r="DL576" s="241"/>
      <c r="DM576" s="241"/>
      <c r="DN576" s="241"/>
      <c r="DO576" s="241"/>
      <c r="DP576" s="241"/>
      <c r="DQ576" s="242"/>
      <c r="DR576" s="240">
        <f>COUNTIFS('Form Details'!$D:$D,"&lt;"&amp;'Adv. Filter'!$A$15,'Form Details'!$N:$N,"Srinivas",'Form Details'!$J:$J,$C576,'Form Details'!$W:$W,"No Status")</f>
        <v>0</v>
      </c>
      <c r="DS576" s="241"/>
      <c r="DT576" s="241"/>
      <c r="DU576" s="241"/>
      <c r="DV576" s="241"/>
      <c r="DW576" s="241"/>
      <c r="DX576" s="242"/>
      <c r="DY576" s="240">
        <f>SUM(COUNTIFS('Form Details'!$D:$D,"&lt;"&amp;'Adv. Filter'!$A$15,'Form Details'!$N:$N,"Srinivas",'Form Details'!$J:$J,$C576,'Form Details'!$W:$W,{"Wrong Entry ","Double Entry"}))</f>
        <v>0</v>
      </c>
      <c r="DZ576" s="241"/>
      <c r="EA576" s="241"/>
      <c r="EB576" s="241"/>
      <c r="EC576" s="241"/>
      <c r="ED576" s="241"/>
      <c r="EE576" s="242"/>
    </row>
    <row r="577" spans="3:135" ht="15.75" hidden="1" thickTop="1">
      <c r="C577" s="246" t="s">
        <v>503</v>
      </c>
      <c r="D577" s="247"/>
      <c r="E577" s="247"/>
      <c r="F577" s="247"/>
      <c r="G577" s="247"/>
      <c r="H577" s="247"/>
      <c r="I577" s="247"/>
      <c r="J577" s="247"/>
      <c r="K577" s="247"/>
      <c r="L577" s="247"/>
      <c r="M577" s="247"/>
      <c r="N577" s="247"/>
      <c r="O577" s="243">
        <f>SUM(O560:U576)</f>
        <v>74</v>
      </c>
      <c r="P577" s="244"/>
      <c r="Q577" s="244"/>
      <c r="R577" s="244"/>
      <c r="S577" s="244"/>
      <c r="T577" s="244"/>
      <c r="U577" s="244"/>
      <c r="V577" s="106"/>
      <c r="W577" s="243">
        <f>SUM(W560:AC576)</f>
        <v>73</v>
      </c>
      <c r="X577" s="244"/>
      <c r="Y577" s="244"/>
      <c r="Z577" s="244"/>
      <c r="AA577" s="244"/>
      <c r="AB577" s="244"/>
      <c r="AC577" s="244"/>
      <c r="AD577" s="243">
        <f>SUM(AD560:AJ576)</f>
        <v>9</v>
      </c>
      <c r="AE577" s="244"/>
      <c r="AF577" s="244"/>
      <c r="AG577" s="244"/>
      <c r="AH577" s="244"/>
      <c r="AI577" s="244"/>
      <c r="AJ577" s="244"/>
      <c r="AK577" s="243">
        <f>SUM(AK560:AQ576)</f>
        <v>64</v>
      </c>
      <c r="AL577" s="244"/>
      <c r="AM577" s="244"/>
      <c r="AN577" s="244"/>
      <c r="AO577" s="244"/>
      <c r="AP577" s="244"/>
      <c r="AQ577" s="244"/>
      <c r="AR577" s="243">
        <f>SUM(AR560:AX576)</f>
        <v>0</v>
      </c>
      <c r="AS577" s="244"/>
      <c r="AT577" s="244"/>
      <c r="AU577" s="244"/>
      <c r="AV577" s="244"/>
      <c r="AW577" s="244"/>
      <c r="AX577" s="244"/>
      <c r="AY577" s="243">
        <f>SUM(AY560:BE576)</f>
        <v>0</v>
      </c>
      <c r="AZ577" s="244"/>
      <c r="BA577" s="244"/>
      <c r="BB577" s="244"/>
      <c r="BC577" s="244"/>
      <c r="BD577" s="244"/>
      <c r="BE577" s="244"/>
      <c r="BF577" s="243">
        <f>SUM(BF560:BL576)</f>
        <v>0</v>
      </c>
      <c r="BG577" s="244"/>
      <c r="BH577" s="244"/>
      <c r="BI577" s="244"/>
      <c r="BJ577" s="244"/>
      <c r="BK577" s="244"/>
      <c r="BL577" s="244"/>
      <c r="BM577" s="243">
        <f>SUM(BM560:BS576)</f>
        <v>0</v>
      </c>
      <c r="BN577" s="244"/>
      <c r="BO577" s="244"/>
      <c r="BP577" s="244"/>
      <c r="BQ577" s="244"/>
      <c r="BR577" s="244"/>
      <c r="BS577" s="244"/>
      <c r="BT577" s="106"/>
      <c r="BU577" s="243">
        <f>SUM(BU560:CA576)</f>
        <v>1</v>
      </c>
      <c r="BV577" s="244"/>
      <c r="BW577" s="244"/>
      <c r="BX577" s="244"/>
      <c r="BY577" s="244"/>
      <c r="BZ577" s="244"/>
      <c r="CA577" s="244"/>
      <c r="CB577" s="243">
        <f>SUM(CB560:CH576)</f>
        <v>1</v>
      </c>
      <c r="CC577" s="244"/>
      <c r="CD577" s="244"/>
      <c r="CE577" s="244"/>
      <c r="CF577" s="244"/>
      <c r="CG577" s="244"/>
      <c r="CH577" s="244"/>
      <c r="CI577" s="243">
        <f>SUM(CI560:CO576)</f>
        <v>0</v>
      </c>
      <c r="CJ577" s="244"/>
      <c r="CK577" s="244"/>
      <c r="CL577" s="244"/>
      <c r="CM577" s="244"/>
      <c r="CN577" s="244"/>
      <c r="CO577" s="244"/>
      <c r="CP577" s="243">
        <f>SUM(CP560:CV576)</f>
        <v>0</v>
      </c>
      <c r="CQ577" s="244"/>
      <c r="CR577" s="244"/>
      <c r="CS577" s="244"/>
      <c r="CT577" s="244"/>
      <c r="CU577" s="244"/>
      <c r="CV577" s="244"/>
      <c r="CW577" s="243">
        <f>SUM(CW560:DC576)</f>
        <v>0</v>
      </c>
      <c r="CX577" s="244"/>
      <c r="CY577" s="244"/>
      <c r="CZ577" s="244"/>
      <c r="DA577" s="244"/>
      <c r="DB577" s="244"/>
      <c r="DC577" s="244"/>
      <c r="DD577" s="243">
        <f>SUM(DD560:DJ576)</f>
        <v>0</v>
      </c>
      <c r="DE577" s="244"/>
      <c r="DF577" s="244"/>
      <c r="DG577" s="244"/>
      <c r="DH577" s="244"/>
      <c r="DI577" s="244"/>
      <c r="DJ577" s="244"/>
      <c r="DK577" s="243">
        <f>SUM(DK560:DQ576)</f>
        <v>0</v>
      </c>
      <c r="DL577" s="244"/>
      <c r="DM577" s="244"/>
      <c r="DN577" s="244"/>
      <c r="DO577" s="244"/>
      <c r="DP577" s="244"/>
      <c r="DQ577" s="244"/>
      <c r="DR577" s="243">
        <f>SUM(DR560:DX576)</f>
        <v>0</v>
      </c>
      <c r="DS577" s="244"/>
      <c r="DT577" s="244"/>
      <c r="DU577" s="244"/>
      <c r="DV577" s="244"/>
      <c r="DW577" s="244"/>
      <c r="DX577" s="244"/>
      <c r="DY577" s="243">
        <f>SUM(DY560:EE576)</f>
        <v>0</v>
      </c>
      <c r="DZ577" s="244"/>
      <c r="EA577" s="244"/>
      <c r="EB577" s="244"/>
      <c r="EC577" s="244"/>
      <c r="ED577" s="244"/>
      <c r="EE577" s="244"/>
    </row>
    <row r="578" spans="3:135" hidden="1"/>
    <row r="579" spans="3:135" hidden="1"/>
    <row r="580" spans="3:135" hidden="1"/>
    <row r="581" spans="3:135" hidden="1"/>
    <row r="582" spans="3:135" hidden="1"/>
    <row r="583" spans="3:135" hidden="1"/>
    <row r="584" spans="3:135" hidden="1"/>
    <row r="585" spans="3:135" hidden="1"/>
    <row r="586" spans="3:135" hidden="1"/>
    <row r="587" spans="3:135" hidden="1"/>
    <row r="588" spans="3:135" hidden="1"/>
    <row r="589" spans="3:135" hidden="1"/>
    <row r="590" spans="3:135" hidden="1"/>
    <row r="591" spans="3:135" hidden="1"/>
    <row r="592" spans="3:135" hidden="1"/>
    <row r="593" spans="1:112" hidden="1"/>
    <row r="594" spans="1:112" hidden="1"/>
    <row r="595" spans="1:112" hidden="1"/>
    <row r="596" spans="1:112" hidden="1"/>
    <row r="597" spans="1:112" hidden="1"/>
    <row r="598" spans="1:112" hidden="1"/>
    <row r="599" spans="1:112" hidden="1"/>
    <row r="600" spans="1:112" hidden="1">
      <c r="A600" s="303"/>
      <c r="B600" s="303"/>
      <c r="C600" s="303"/>
      <c r="D600" s="303"/>
      <c r="E600" s="303"/>
      <c r="F600" s="303"/>
      <c r="G600" s="303"/>
      <c r="H600" s="303"/>
      <c r="I600" s="303"/>
      <c r="J600" s="303"/>
      <c r="K600" s="303"/>
      <c r="L600" s="303"/>
      <c r="M600" s="303"/>
      <c r="N600" s="303"/>
      <c r="O600" s="303"/>
      <c r="P600" s="303"/>
      <c r="Q600" s="303"/>
      <c r="R600" s="303"/>
      <c r="S600" s="303"/>
      <c r="T600" s="303"/>
      <c r="U600" s="303"/>
      <c r="V600" s="303"/>
      <c r="W600" s="303"/>
      <c r="X600" s="303"/>
      <c r="Y600" s="303"/>
      <c r="Z600" s="303"/>
      <c r="AA600" s="303"/>
      <c r="AB600" s="303"/>
      <c r="AC600" s="303"/>
      <c r="AD600" s="303"/>
      <c r="AE600" s="303"/>
      <c r="AF600" s="303"/>
      <c r="AG600" s="303"/>
      <c r="AH600" s="303"/>
      <c r="AI600" s="303"/>
      <c r="AJ600" s="303"/>
      <c r="AK600" s="303"/>
      <c r="AL600" s="303"/>
      <c r="AM600" s="303"/>
      <c r="AN600" s="303"/>
      <c r="AO600" s="303"/>
      <c r="AP600" s="303"/>
      <c r="AQ600" s="303"/>
      <c r="AR600" s="303"/>
      <c r="AS600" s="303"/>
      <c r="AT600" s="303"/>
      <c r="AU600" s="303"/>
      <c r="AV600" s="303"/>
      <c r="AW600" s="303"/>
      <c r="AX600" s="303"/>
      <c r="AY600" s="303"/>
      <c r="AZ600" s="303"/>
      <c r="BA600" s="303"/>
      <c r="BB600" s="303"/>
      <c r="BC600" s="303"/>
      <c r="BD600" s="303"/>
      <c r="BE600" s="303"/>
      <c r="BF600" s="303"/>
      <c r="BG600" s="303"/>
      <c r="BH600" s="303"/>
      <c r="BI600" s="303"/>
      <c r="BJ600" s="303"/>
      <c r="BK600" s="303"/>
      <c r="BL600" s="303"/>
      <c r="BM600" s="303"/>
      <c r="BN600" s="303"/>
      <c r="BO600" s="303"/>
      <c r="BP600" s="303"/>
      <c r="BQ600" s="303"/>
      <c r="BR600" s="303"/>
      <c r="BS600" s="303"/>
      <c r="BT600" s="303"/>
      <c r="BU600" s="303"/>
      <c r="BV600" s="303"/>
      <c r="BW600" s="303"/>
      <c r="BX600" s="303"/>
      <c r="BY600" s="303"/>
      <c r="BZ600" s="303"/>
      <c r="CA600" s="303"/>
      <c r="CB600" s="303"/>
      <c r="CC600" s="303"/>
      <c r="CD600" s="303"/>
      <c r="CE600" s="303"/>
      <c r="CF600" s="303"/>
      <c r="CG600" s="303"/>
      <c r="CH600" s="303"/>
      <c r="CI600" s="303"/>
      <c r="CJ600" s="303"/>
      <c r="CK600" s="303"/>
      <c r="CL600" s="303"/>
      <c r="CM600" s="303"/>
      <c r="CN600" s="303"/>
      <c r="CO600" s="303"/>
      <c r="CP600" s="303"/>
      <c r="CQ600" s="303"/>
      <c r="CR600" s="303"/>
      <c r="CS600" s="303"/>
      <c r="CT600" s="303"/>
      <c r="CU600" s="303"/>
      <c r="CV600" s="303"/>
      <c r="CW600" s="303"/>
      <c r="CX600" s="303"/>
      <c r="CY600" s="303"/>
      <c r="CZ600" s="303"/>
    </row>
    <row r="601" spans="1:112" hidden="1"/>
    <row r="602" spans="1:112" hidden="1"/>
    <row r="603" spans="1:112" ht="15" hidden="1" customHeight="1">
      <c r="AR603" s="441" t="s">
        <v>516</v>
      </c>
      <c r="AS603" s="441"/>
      <c r="AT603" s="441"/>
      <c r="AU603" s="441"/>
      <c r="AV603" s="441"/>
      <c r="AW603" s="441"/>
      <c r="AX603" s="441"/>
      <c r="AY603" s="441"/>
      <c r="AZ603" s="441"/>
      <c r="BA603" s="441"/>
      <c r="BB603" s="441"/>
      <c r="BC603" s="441"/>
      <c r="BD603" s="441"/>
      <c r="BE603" s="441"/>
      <c r="BF603" s="441"/>
      <c r="BG603" s="441"/>
      <c r="BH603" s="441"/>
      <c r="BI603" s="441"/>
      <c r="BJ603" s="441"/>
      <c r="BK603" s="441"/>
      <c r="BL603" s="441"/>
      <c r="BM603" s="441"/>
      <c r="BN603" s="441"/>
      <c r="BO603" s="441"/>
      <c r="BP603" s="441"/>
      <c r="BQ603" s="441"/>
      <c r="BR603" s="441"/>
      <c r="BS603" s="441"/>
      <c r="BT603" s="441"/>
      <c r="BU603" s="441"/>
      <c r="BV603" s="441"/>
      <c r="BW603" s="441"/>
      <c r="BX603" s="441"/>
      <c r="BY603" s="441"/>
      <c r="BZ603" s="441"/>
      <c r="CA603" s="441"/>
      <c r="CB603" s="441"/>
      <c r="CC603" s="441"/>
      <c r="CD603" s="441"/>
      <c r="CE603" s="441"/>
      <c r="CF603" s="441"/>
      <c r="CG603" s="441"/>
      <c r="CH603" s="441"/>
      <c r="CI603" s="441"/>
      <c r="CJ603" s="441"/>
      <c r="CK603" s="441"/>
      <c r="CL603" s="441"/>
      <c r="CM603" s="50"/>
      <c r="CN603" s="50"/>
      <c r="CO603" s="50"/>
      <c r="CP603" s="50"/>
      <c r="CQ603" s="50"/>
      <c r="CR603" s="50"/>
      <c r="CS603" s="50"/>
      <c r="CT603" s="50"/>
      <c r="CU603" s="50"/>
      <c r="CV603" s="50"/>
      <c r="CW603" s="50"/>
    </row>
    <row r="604" spans="1:112" ht="15" hidden="1" customHeight="1">
      <c r="AR604" s="451" t="str">
        <f>CONCATENATE("Statement As of  ",TEXT('Adv. Filter'!$A$15,"DD-MMM-YYYY"), " TO ",TEXT('Adv. Filter'!$B$15,"DD-MMM-YYYY"))</f>
        <v>Statement As of  01-Jan-2017 TO 13-Oct-2017</v>
      </c>
      <c r="AS604" s="451"/>
      <c r="AT604" s="451"/>
      <c r="AU604" s="451"/>
      <c r="AV604" s="451"/>
      <c r="AW604" s="451"/>
      <c r="AX604" s="451"/>
      <c r="AY604" s="451"/>
      <c r="AZ604" s="451"/>
      <c r="BA604" s="451"/>
      <c r="BB604" s="451"/>
      <c r="BC604" s="451"/>
      <c r="BD604" s="451"/>
      <c r="BE604" s="451"/>
      <c r="BF604" s="451"/>
      <c r="BG604" s="451"/>
      <c r="BH604" s="451"/>
      <c r="BI604" s="451"/>
      <c r="BJ604" s="451"/>
      <c r="BK604" s="451"/>
      <c r="BL604" s="451"/>
      <c r="BM604" s="451"/>
      <c r="BN604" s="451"/>
      <c r="BO604" s="451"/>
      <c r="BP604" s="451"/>
      <c r="BQ604" s="451"/>
      <c r="BR604" s="451"/>
      <c r="BS604" s="451"/>
      <c r="BT604" s="451"/>
      <c r="BU604" s="451"/>
      <c r="BV604" s="451"/>
      <c r="BW604" s="451"/>
      <c r="BX604" s="451"/>
      <c r="BY604" s="451"/>
      <c r="BZ604" s="451"/>
      <c r="CA604" s="451"/>
      <c r="CB604" s="451"/>
      <c r="CC604" s="451"/>
      <c r="CD604" s="451"/>
      <c r="CE604" s="451"/>
      <c r="CF604" s="451"/>
      <c r="CG604" s="451"/>
      <c r="CH604" s="451"/>
      <c r="CI604" s="451"/>
      <c r="CJ604" s="451"/>
      <c r="CK604" s="451"/>
      <c r="CL604" s="451"/>
      <c r="CM604" s="50"/>
      <c r="CN604" s="50"/>
      <c r="CO604" s="50"/>
      <c r="CP604" s="50"/>
      <c r="CQ604" s="50"/>
      <c r="CR604" s="50"/>
    </row>
    <row r="605" spans="1:112" hidden="1"/>
    <row r="606" spans="1:112" ht="15.75" hidden="1">
      <c r="C606" s="452" t="s">
        <v>513</v>
      </c>
      <c r="D606" s="452"/>
      <c r="E606" s="452"/>
      <c r="F606" s="452"/>
      <c r="G606" s="452"/>
      <c r="H606" s="452"/>
      <c r="I606" s="452"/>
      <c r="J606" s="452"/>
      <c r="K606" s="452"/>
      <c r="L606" s="452"/>
      <c r="M606" s="452"/>
      <c r="N606" s="452"/>
      <c r="O606" s="452"/>
      <c r="P606" s="452"/>
      <c r="Q606" s="452"/>
      <c r="R606" s="452"/>
      <c r="S606" s="452"/>
      <c r="T606" s="453" t="str">
        <f>CONCATENATE("PRESENT   ",TEXT('Adv. Filter'!$A$15,"( DD-MMM-YY"), " TO ",TEXT('Adv. Filter'!$B$15,"DD-MMM-YY )"))</f>
        <v>PRESENT   ( 01-Jan-17 TO 13-Oct-17 )</v>
      </c>
      <c r="U606" s="454"/>
      <c r="V606" s="454"/>
      <c r="W606" s="454"/>
      <c r="X606" s="454"/>
      <c r="Y606" s="454"/>
      <c r="Z606" s="454"/>
      <c r="AA606" s="454"/>
      <c r="AB606" s="454"/>
      <c r="AC606" s="454"/>
      <c r="AD606" s="454"/>
      <c r="AE606" s="454"/>
      <c r="AF606" s="454"/>
      <c r="AG606" s="454"/>
      <c r="AH606" s="454"/>
      <c r="AI606" s="454"/>
      <c r="AJ606" s="454"/>
      <c r="AK606" s="454"/>
      <c r="AL606" s="454"/>
      <c r="AM606" s="454"/>
      <c r="AN606" s="454"/>
      <c r="AO606" s="454"/>
      <c r="AP606" s="454"/>
      <c r="AQ606" s="454"/>
      <c r="AR606" s="454"/>
      <c r="AS606" s="454"/>
      <c r="AT606" s="454"/>
      <c r="AU606" s="454"/>
      <c r="AV606" s="454"/>
      <c r="AW606" s="455"/>
      <c r="AX606" s="49"/>
      <c r="AY606" s="452" t="s">
        <v>513</v>
      </c>
      <c r="AZ606" s="452"/>
      <c r="BA606" s="452"/>
      <c r="BB606" s="452"/>
      <c r="BC606" s="452"/>
      <c r="BD606" s="452"/>
      <c r="BE606" s="452"/>
      <c r="BF606" s="452"/>
      <c r="BG606" s="452"/>
      <c r="BH606" s="452"/>
      <c r="BI606" s="452"/>
      <c r="BJ606" s="452"/>
      <c r="BK606" s="452"/>
      <c r="BL606" s="452"/>
      <c r="BM606" s="452"/>
      <c r="BN606" s="452"/>
      <c r="BO606" s="452"/>
      <c r="BP606" s="453" t="str">
        <f>CONCATENATE("PREVIOUS   ",TEXT('Adv. Filter'!$A$15,"( up to  DD-MMM-YY )"))</f>
        <v>PREVIOUS   ( up to  01-Jan-17 )</v>
      </c>
      <c r="BQ606" s="454"/>
      <c r="BR606" s="454"/>
      <c r="BS606" s="454"/>
      <c r="BT606" s="454"/>
      <c r="BU606" s="454"/>
      <c r="BV606" s="454"/>
      <c r="BW606" s="454"/>
      <c r="BX606" s="454"/>
      <c r="BY606" s="454"/>
      <c r="BZ606" s="454"/>
      <c r="CA606" s="454"/>
      <c r="CB606" s="454"/>
      <c r="CC606" s="454"/>
      <c r="CD606" s="454"/>
      <c r="CE606" s="454"/>
      <c r="CF606" s="454"/>
      <c r="CG606" s="454"/>
      <c r="CH606" s="454"/>
      <c r="CI606" s="454"/>
      <c r="CJ606" s="454"/>
      <c r="CK606" s="454"/>
      <c r="CL606" s="454"/>
      <c r="CM606" s="454"/>
      <c r="CN606" s="454"/>
      <c r="CO606" s="454"/>
      <c r="CP606" s="454"/>
      <c r="CQ606" s="454"/>
      <c r="CR606" s="454"/>
      <c r="CS606" s="455"/>
      <c r="CT606" s="288"/>
      <c r="CU606" s="229"/>
      <c r="CV606" s="229"/>
      <c r="CW606" s="229"/>
      <c r="CX606" s="229"/>
      <c r="CY606" s="229"/>
      <c r="CZ606" s="229"/>
      <c r="DA606" s="289"/>
      <c r="DH606" s="121" t="s">
        <v>79</v>
      </c>
    </row>
    <row r="607" spans="1:112" ht="15" hidden="1" customHeight="1">
      <c r="C607" s="452"/>
      <c r="D607" s="452"/>
      <c r="E607" s="452"/>
      <c r="F607" s="452"/>
      <c r="G607" s="452"/>
      <c r="H607" s="452"/>
      <c r="I607" s="452"/>
      <c r="J607" s="452"/>
      <c r="K607" s="452"/>
      <c r="L607" s="452"/>
      <c r="M607" s="452"/>
      <c r="N607" s="452"/>
      <c r="O607" s="452"/>
      <c r="P607" s="452"/>
      <c r="Q607" s="452"/>
      <c r="R607" s="452"/>
      <c r="S607" s="452"/>
      <c r="T607" s="442" t="s">
        <v>34</v>
      </c>
      <c r="U607" s="443"/>
      <c r="V607" s="443"/>
      <c r="W607" s="443"/>
      <c r="X607" s="443"/>
      <c r="Y607" s="443"/>
      <c r="Z607" s="443"/>
      <c r="AA607" s="443"/>
      <c r="AB607" s="443"/>
      <c r="AC607" s="444"/>
      <c r="AD607" s="442" t="s">
        <v>10</v>
      </c>
      <c r="AE607" s="443"/>
      <c r="AF607" s="443"/>
      <c r="AG607" s="443"/>
      <c r="AH607" s="443"/>
      <c r="AI607" s="443"/>
      <c r="AJ607" s="443"/>
      <c r="AK607" s="443"/>
      <c r="AL607" s="443"/>
      <c r="AM607" s="444"/>
      <c r="AN607" s="445" t="s">
        <v>503</v>
      </c>
      <c r="AO607" s="446"/>
      <c r="AP607" s="446"/>
      <c r="AQ607" s="446"/>
      <c r="AR607" s="446"/>
      <c r="AS607" s="446"/>
      <c r="AT607" s="446"/>
      <c r="AU607" s="446"/>
      <c r="AV607" s="446"/>
      <c r="AW607" s="447"/>
      <c r="AY607" s="452"/>
      <c r="AZ607" s="452"/>
      <c r="BA607" s="452"/>
      <c r="BB607" s="452"/>
      <c r="BC607" s="452"/>
      <c r="BD607" s="452"/>
      <c r="BE607" s="452"/>
      <c r="BF607" s="452"/>
      <c r="BG607" s="452"/>
      <c r="BH607" s="452"/>
      <c r="BI607" s="452"/>
      <c r="BJ607" s="452"/>
      <c r="BK607" s="452"/>
      <c r="BL607" s="452"/>
      <c r="BM607" s="452"/>
      <c r="BN607" s="452"/>
      <c r="BO607" s="452"/>
      <c r="BP607" s="442" t="s">
        <v>34</v>
      </c>
      <c r="BQ607" s="443"/>
      <c r="BR607" s="443"/>
      <c r="BS607" s="443"/>
      <c r="BT607" s="443"/>
      <c r="BU607" s="443"/>
      <c r="BV607" s="443"/>
      <c r="BW607" s="443"/>
      <c r="BX607" s="443"/>
      <c r="BY607" s="444"/>
      <c r="BZ607" s="442" t="s">
        <v>10</v>
      </c>
      <c r="CA607" s="443"/>
      <c r="CB607" s="443"/>
      <c r="CC607" s="443"/>
      <c r="CD607" s="443"/>
      <c r="CE607" s="443"/>
      <c r="CF607" s="443"/>
      <c r="CG607" s="443"/>
      <c r="CH607" s="443"/>
      <c r="CI607" s="444"/>
      <c r="CJ607" s="445" t="s">
        <v>503</v>
      </c>
      <c r="CK607" s="446"/>
      <c r="CL607" s="446"/>
      <c r="CM607" s="446"/>
      <c r="CN607" s="446"/>
      <c r="CO607" s="446"/>
      <c r="CP607" s="446"/>
      <c r="CQ607" s="446"/>
      <c r="CR607" s="446"/>
      <c r="CS607" s="447"/>
      <c r="DG607" s="131" t="s">
        <v>583</v>
      </c>
      <c r="DH607" s="123">
        <f>COUNTIFS('Form Details'!$W:$W,"Due",'Form Details'!$AB:$AB,"R",'Form Details'!$N:$N,DH606)</f>
        <v>116</v>
      </c>
    </row>
    <row r="608" spans="1:112" hidden="1">
      <c r="A608" s="44"/>
      <c r="B608" s="44"/>
      <c r="C608" s="299" t="s">
        <v>26</v>
      </c>
      <c r="D608" s="300"/>
      <c r="E608" s="300"/>
      <c r="F608" s="300"/>
      <c r="G608" s="300"/>
      <c r="H608" s="300"/>
      <c r="I608" s="300"/>
      <c r="J608" s="300"/>
      <c r="K608" s="300"/>
      <c r="L608" s="300"/>
      <c r="M608" s="300"/>
      <c r="N608" s="300"/>
      <c r="O608" s="300"/>
      <c r="P608" s="300"/>
      <c r="Q608" s="300"/>
      <c r="R608" s="300"/>
      <c r="S608" s="301"/>
      <c r="T608" s="276">
        <f>SUMIFS('Adv. Filter'!$BJ$1:$BJ$50000,'Adv. Filter'!$BT$1:$BT$50000,"Pradeep",'Adv. Filter'!$BQ$1:$BQ$50000,$C608,'Adv. Filter'!$BH$1:$BH$50000,"Cash",'Adv. Filter'!$BO$1:$BO$50000,'Adv. Filter'!$A$14,'Adv. Filter'!$BO$1:$BO$50000,'Adv. Filter'!$B$14)</f>
        <v>0</v>
      </c>
      <c r="U608" s="277"/>
      <c r="V608" s="277"/>
      <c r="W608" s="277"/>
      <c r="X608" s="277"/>
      <c r="Y608" s="277"/>
      <c r="Z608" s="277"/>
      <c r="AA608" s="277"/>
      <c r="AB608" s="277"/>
      <c r="AC608" s="278"/>
      <c r="AD608" s="276">
        <f>SUMIFS('Adv. Filter'!$BJ$1:$BJ$50000,'Adv. Filter'!$BT$1:$BT$50000,"Pradeep",'Adv. Filter'!$BQ$1:$BQ$50000,$C608,'Adv. Filter'!$BH$1:$BH$50000,"Bank",'Adv. Filter'!$BO$1:$BO$50000,'Adv. Filter'!$A$14,'Adv. Filter'!$BO$1:$BO$50000,'Adv. Filter'!$B$14)</f>
        <v>0</v>
      </c>
      <c r="AE608" s="277"/>
      <c r="AF608" s="277"/>
      <c r="AG608" s="277"/>
      <c r="AH608" s="277"/>
      <c r="AI608" s="277"/>
      <c r="AJ608" s="277"/>
      <c r="AK608" s="277"/>
      <c r="AL608" s="277"/>
      <c r="AM608" s="278"/>
      <c r="AN608" s="448">
        <f t="shared" ref="AN608:AN639" si="22">T608+AD608</f>
        <v>0</v>
      </c>
      <c r="AO608" s="449"/>
      <c r="AP608" s="449"/>
      <c r="AQ608" s="449"/>
      <c r="AR608" s="449"/>
      <c r="AS608" s="449"/>
      <c r="AT608" s="449"/>
      <c r="AU608" s="449"/>
      <c r="AV608" s="449"/>
      <c r="AW608" s="450"/>
      <c r="AX608" s="45"/>
      <c r="AY608" s="299" t="s">
        <v>26</v>
      </c>
      <c r="AZ608" s="300"/>
      <c r="BA608" s="300"/>
      <c r="BB608" s="300"/>
      <c r="BC608" s="300"/>
      <c r="BD608" s="300"/>
      <c r="BE608" s="300"/>
      <c r="BF608" s="300"/>
      <c r="BG608" s="300"/>
      <c r="BH608" s="300"/>
      <c r="BI608" s="300"/>
      <c r="BJ608" s="300"/>
      <c r="BK608" s="300"/>
      <c r="BL608" s="300"/>
      <c r="BM608" s="300"/>
      <c r="BN608" s="300"/>
      <c r="BO608" s="301"/>
      <c r="BP608" s="276">
        <f>SUMIFS('Adv. Filter'!$BJ$1:$BJ$50000,'Adv. Filter'!$BT$1:$BT$50000,"Pradeep",'Adv. Filter'!$BQ$1:$BQ$50000,$AY608,'Adv. Filter'!$BH$1:$BH$50000,"Cash",'Adv. Filter'!$BO$1:$BO$50000,"&lt;"&amp;'Adv. Filter'!$A$15)</f>
        <v>0</v>
      </c>
      <c r="BQ608" s="277"/>
      <c r="BR608" s="277"/>
      <c r="BS608" s="277"/>
      <c r="BT608" s="277"/>
      <c r="BU608" s="277"/>
      <c r="BV608" s="277"/>
      <c r="BW608" s="277"/>
      <c r="BX608" s="277"/>
      <c r="BY608" s="278"/>
      <c r="BZ608" s="276">
        <f>SUMIFS('Adv. Filter'!$BJ$1:$BJ$50000,'Adv. Filter'!$BT$1:$BT$50000,"Pradeep",'Adv. Filter'!$BQ$1:$BQ$50000,$AY608,'Adv. Filter'!$BH$1:$BH$50000,"Bank",'Adv. Filter'!$BO$1:$BO$50000,"&lt;"&amp;'Adv. Filter'!$A$15)</f>
        <v>0</v>
      </c>
      <c r="CA608" s="277"/>
      <c r="CB608" s="277"/>
      <c r="CC608" s="277"/>
      <c r="CD608" s="277"/>
      <c r="CE608" s="277"/>
      <c r="CF608" s="277"/>
      <c r="CG608" s="277"/>
      <c r="CH608" s="277"/>
      <c r="CI608" s="278"/>
      <c r="CJ608" s="448">
        <f t="shared" ref="CJ608:CJ639" si="23">BP608+BZ608</f>
        <v>0</v>
      </c>
      <c r="CK608" s="449"/>
      <c r="CL608" s="449"/>
      <c r="CM608" s="449"/>
      <c r="CN608" s="449"/>
      <c r="CO608" s="449"/>
      <c r="CP608" s="449"/>
      <c r="CQ608" s="449"/>
      <c r="CR608" s="449"/>
      <c r="CS608" s="450"/>
      <c r="CT608" s="44"/>
      <c r="CU608" s="44"/>
      <c r="CV608" s="44"/>
      <c r="CW608" s="44"/>
      <c r="CX608" s="44"/>
      <c r="CY608" s="44"/>
      <c r="CZ608" s="44"/>
      <c r="DG608" s="131" t="s">
        <v>584</v>
      </c>
      <c r="DH608" s="123">
        <f>COUNTIFS('Form Details'!$W:$W,"Due",'Form Details'!$AB:$AB,"Y",'Form Details'!$N:$N,DH606)</f>
        <v>0</v>
      </c>
    </row>
    <row r="609" spans="1:112" hidden="1">
      <c r="C609" s="308" t="s">
        <v>115</v>
      </c>
      <c r="D609" s="309"/>
      <c r="E609" s="309"/>
      <c r="F609" s="309"/>
      <c r="G609" s="309"/>
      <c r="H609" s="309"/>
      <c r="I609" s="309"/>
      <c r="J609" s="309"/>
      <c r="K609" s="309"/>
      <c r="L609" s="309"/>
      <c r="M609" s="309"/>
      <c r="N609" s="309"/>
      <c r="O609" s="309"/>
      <c r="P609" s="309"/>
      <c r="Q609" s="309"/>
      <c r="R609" s="309"/>
      <c r="S609" s="310"/>
      <c r="T609" s="267">
        <f>SUMIFS('Adv. Filter'!$BJ$1:$BJ$50000,'Adv. Filter'!$BT$1:$BT$50000,"Pradeep",'Adv. Filter'!$BQ$1:$BQ$50000,$C608,'Adv. Filter'!$BH$1:$BH$50000,"Cash",'Adv. Filter'!$BO$1:$BO$50000,'Adv. Filter'!$A$14,'Adv. Filter'!$BO$1:$BO$50000,'Adv. Filter'!$B$14,'Adv. Filter'!$BP$1:$BP$50000,"Project")</f>
        <v>0</v>
      </c>
      <c r="U609" s="268"/>
      <c r="V609" s="268"/>
      <c r="W609" s="268"/>
      <c r="X609" s="268"/>
      <c r="Y609" s="268"/>
      <c r="Z609" s="268"/>
      <c r="AA609" s="268"/>
      <c r="AB609" s="268"/>
      <c r="AC609" s="269"/>
      <c r="AD609" s="267">
        <f>SUMIFS('Adv. Filter'!$BJ$1:$BJ$50000,'Adv. Filter'!$BT$1:$BT$50000,"Pradeep",'Adv. Filter'!$BQ$1:$BQ$50000,$C608,'Adv. Filter'!$BH$1:$BH$50000,"Bank",'Adv. Filter'!$BO$1:$BO$50000,'Adv. Filter'!$A$14,'Adv. Filter'!$BO$1:$BO$50000,'Adv. Filter'!$B$14,'Adv. Filter'!$BP$1:$BP$50000,"Project")</f>
        <v>0</v>
      </c>
      <c r="AE609" s="268"/>
      <c r="AF609" s="268"/>
      <c r="AG609" s="268"/>
      <c r="AH609" s="268"/>
      <c r="AI609" s="268"/>
      <c r="AJ609" s="268"/>
      <c r="AK609" s="268"/>
      <c r="AL609" s="268"/>
      <c r="AM609" s="269"/>
      <c r="AN609" s="267">
        <f t="shared" si="22"/>
        <v>0</v>
      </c>
      <c r="AO609" s="268"/>
      <c r="AP609" s="268"/>
      <c r="AQ609" s="268"/>
      <c r="AR609" s="268"/>
      <c r="AS609" s="268"/>
      <c r="AT609" s="268"/>
      <c r="AU609" s="268"/>
      <c r="AV609" s="268"/>
      <c r="AW609" s="269"/>
      <c r="AX609" s="22"/>
      <c r="AY609" s="308" t="s">
        <v>115</v>
      </c>
      <c r="AZ609" s="309"/>
      <c r="BA609" s="309"/>
      <c r="BB609" s="309"/>
      <c r="BC609" s="309"/>
      <c r="BD609" s="309"/>
      <c r="BE609" s="309"/>
      <c r="BF609" s="309"/>
      <c r="BG609" s="309"/>
      <c r="BH609" s="309"/>
      <c r="BI609" s="309"/>
      <c r="BJ609" s="309"/>
      <c r="BK609" s="309"/>
      <c r="BL609" s="309"/>
      <c r="BM609" s="309"/>
      <c r="BN609" s="309"/>
      <c r="BO609" s="310"/>
      <c r="BP609" s="267">
        <f>SUMIFS('Adv. Filter'!$BJ$1:$BJ$50000,'Adv. Filter'!$BT$1:$BT$50000,"Pradeep",'Adv. Filter'!$BQ$1:$BQ$50000,$AY608,'Adv. Filter'!$BH$1:$BH$50000,"Cash",'Adv. Filter'!$BO$1:$BO$50000,"&lt;"&amp;'Adv. Filter'!$A$15,'Adv. Filter'!$BP$1:$BP$50000,"Project")</f>
        <v>0</v>
      </c>
      <c r="BQ609" s="268"/>
      <c r="BR609" s="268"/>
      <c r="BS609" s="268"/>
      <c r="BT609" s="268"/>
      <c r="BU609" s="268"/>
      <c r="BV609" s="268"/>
      <c r="BW609" s="268"/>
      <c r="BX609" s="268"/>
      <c r="BY609" s="269"/>
      <c r="BZ609" s="267">
        <f>SUMIFS('Adv. Filter'!$BJ$1:$BJ$50000,'Adv. Filter'!$BT$1:$BT$50000,"Pradeep",'Adv. Filter'!$BQ$1:$BQ$50000,$AY608,'Adv. Filter'!$BH$1:$BH$50000,"Bank",'Adv. Filter'!$BO$1:$BO$50000,"&lt;"&amp;'Adv. Filter'!$A$15,'Adv. Filter'!$BP$1:$BP$50000,"Project")</f>
        <v>0</v>
      </c>
      <c r="CA609" s="268"/>
      <c r="CB609" s="268"/>
      <c r="CC609" s="268"/>
      <c r="CD609" s="268"/>
      <c r="CE609" s="268"/>
      <c r="CF609" s="268"/>
      <c r="CG609" s="268"/>
      <c r="CH609" s="268"/>
      <c r="CI609" s="269"/>
      <c r="CJ609" s="267">
        <f t="shared" si="23"/>
        <v>0</v>
      </c>
      <c r="CK609" s="268"/>
      <c r="CL609" s="268"/>
      <c r="CM609" s="268"/>
      <c r="CN609" s="268"/>
      <c r="CO609" s="268"/>
      <c r="CP609" s="268"/>
      <c r="CQ609" s="268"/>
      <c r="CR609" s="268"/>
      <c r="CS609" s="269"/>
      <c r="DG609" s="131" t="s">
        <v>585</v>
      </c>
      <c r="DH609" s="123">
        <f>COUNTIFS('Form Details'!$W:$W,"Due",'Form Details'!$AB:$AB,"G",'Form Details'!$N:$N,DH606)</f>
        <v>0</v>
      </c>
    </row>
    <row r="610" spans="1:112" hidden="1">
      <c r="C610" s="308" t="s">
        <v>510</v>
      </c>
      <c r="D610" s="309"/>
      <c r="E610" s="309"/>
      <c r="F610" s="309"/>
      <c r="G610" s="309"/>
      <c r="H610" s="309"/>
      <c r="I610" s="309"/>
      <c r="J610" s="309"/>
      <c r="K610" s="309"/>
      <c r="L610" s="309"/>
      <c r="M610" s="309"/>
      <c r="N610" s="309"/>
      <c r="O610" s="309"/>
      <c r="P610" s="309"/>
      <c r="Q610" s="309"/>
      <c r="R610" s="309"/>
      <c r="S610" s="310"/>
      <c r="T610" s="267">
        <v>0</v>
      </c>
      <c r="U610" s="268"/>
      <c r="V610" s="268"/>
      <c r="W610" s="268"/>
      <c r="X610" s="268"/>
      <c r="Y610" s="268"/>
      <c r="Z610" s="268"/>
      <c r="AA610" s="268"/>
      <c r="AB610" s="268"/>
      <c r="AC610" s="269"/>
      <c r="AD610" s="267">
        <v>0</v>
      </c>
      <c r="AE610" s="268"/>
      <c r="AF610" s="268"/>
      <c r="AG610" s="268"/>
      <c r="AH610" s="268"/>
      <c r="AI610" s="268"/>
      <c r="AJ610" s="268"/>
      <c r="AK610" s="268"/>
      <c r="AL610" s="268"/>
      <c r="AM610" s="269"/>
      <c r="AN610" s="267">
        <f t="shared" si="22"/>
        <v>0</v>
      </c>
      <c r="AO610" s="268"/>
      <c r="AP610" s="268"/>
      <c r="AQ610" s="268"/>
      <c r="AR610" s="268"/>
      <c r="AS610" s="268"/>
      <c r="AT610" s="268"/>
      <c r="AU610" s="268"/>
      <c r="AV610" s="268"/>
      <c r="AW610" s="269"/>
      <c r="AX610" s="22"/>
      <c r="AY610" s="308" t="s">
        <v>510</v>
      </c>
      <c r="AZ610" s="309"/>
      <c r="BA610" s="309"/>
      <c r="BB610" s="309"/>
      <c r="BC610" s="309"/>
      <c r="BD610" s="309"/>
      <c r="BE610" s="309"/>
      <c r="BF610" s="309"/>
      <c r="BG610" s="309"/>
      <c r="BH610" s="309"/>
      <c r="BI610" s="309"/>
      <c r="BJ610" s="309"/>
      <c r="BK610" s="309"/>
      <c r="BL610" s="309"/>
      <c r="BM610" s="309"/>
      <c r="BN610" s="309"/>
      <c r="BO610" s="310"/>
      <c r="BP610" s="267"/>
      <c r="BQ610" s="268"/>
      <c r="BR610" s="268"/>
      <c r="BS610" s="268"/>
      <c r="BT610" s="268"/>
      <c r="BU610" s="268"/>
      <c r="BV610" s="268"/>
      <c r="BW610" s="268"/>
      <c r="BX610" s="268"/>
      <c r="BY610" s="269"/>
      <c r="BZ610" s="267"/>
      <c r="CA610" s="268"/>
      <c r="CB610" s="268"/>
      <c r="CC610" s="268"/>
      <c r="CD610" s="268"/>
      <c r="CE610" s="268"/>
      <c r="CF610" s="268"/>
      <c r="CG610" s="268"/>
      <c r="CH610" s="268"/>
      <c r="CI610" s="269"/>
      <c r="CJ610" s="267">
        <f t="shared" si="23"/>
        <v>0</v>
      </c>
      <c r="CK610" s="268"/>
      <c r="CL610" s="268"/>
      <c r="CM610" s="268"/>
      <c r="CN610" s="268"/>
      <c r="CO610" s="268"/>
      <c r="CP610" s="268"/>
      <c r="CQ610" s="268"/>
      <c r="CR610" s="268"/>
      <c r="CS610" s="269"/>
      <c r="DG610" s="131"/>
    </row>
    <row r="611" spans="1:112" hidden="1">
      <c r="C611" s="43"/>
      <c r="D611" s="36" t="str">
        <f>IF(AN608=0,C608&amp;" -","")</f>
        <v>Avanse -</v>
      </c>
      <c r="E611" s="42"/>
      <c r="F611" s="42"/>
      <c r="G611" s="42"/>
      <c r="H611" s="42"/>
      <c r="I611" s="42"/>
      <c r="J611" s="42"/>
      <c r="K611" s="42"/>
      <c r="L611" s="42"/>
      <c r="M611" s="42"/>
      <c r="N611" s="42"/>
      <c r="O611" s="42"/>
      <c r="P611" s="1"/>
      <c r="Q611" s="42"/>
      <c r="R611" s="41" t="s">
        <v>275</v>
      </c>
      <c r="S611" s="40"/>
      <c r="T611" s="267">
        <f>SUMIFS('Adv. Filter'!$CH$1:$CH$50000,'Adv. Filter'!$CD$1:$CD$50000,"Pradeep",'Adv. Filter'!$CE$1:$CE$50000,$C608,'Adv. Filter'!$CC$1:$CC$50000,"Suspense",'Adv. Filter'!$CF$1:$CF$50000,"Cash")</f>
        <v>0</v>
      </c>
      <c r="U611" s="268"/>
      <c r="V611" s="268"/>
      <c r="W611" s="268"/>
      <c r="X611" s="268"/>
      <c r="Y611" s="268"/>
      <c r="Z611" s="268"/>
      <c r="AA611" s="268"/>
      <c r="AB611" s="268"/>
      <c r="AC611" s="269"/>
      <c r="AD611" s="267">
        <f>SUMIFS('Adv. Filter'!$CH$1:$CH$50000,'Adv. Filter'!$CD$1:$CD$50000,"Pradeep",'Adv. Filter'!$CE$1:$CE$50000,$C608,'Adv. Filter'!$CC$1:$CC$50000,"Suspense",'Adv. Filter'!$CF$1:$CF$50000,"Bank")</f>
        <v>0</v>
      </c>
      <c r="AE611" s="268"/>
      <c r="AF611" s="268"/>
      <c r="AG611" s="268"/>
      <c r="AH611" s="268"/>
      <c r="AI611" s="268"/>
      <c r="AJ611" s="268"/>
      <c r="AK611" s="268"/>
      <c r="AL611" s="268"/>
      <c r="AM611" s="269"/>
      <c r="AN611" s="267">
        <f t="shared" si="22"/>
        <v>0</v>
      </c>
      <c r="AO611" s="268"/>
      <c r="AP611" s="268"/>
      <c r="AQ611" s="268"/>
      <c r="AR611" s="268"/>
      <c r="AS611" s="268"/>
      <c r="AT611" s="268"/>
      <c r="AU611" s="268"/>
      <c r="AV611" s="268"/>
      <c r="AW611" s="269"/>
      <c r="AX611" s="22"/>
      <c r="AY611" s="43"/>
      <c r="AZ611" s="36" t="str">
        <f>IF(CJ608=0,AY608&amp;" -","")</f>
        <v>Avanse -</v>
      </c>
      <c r="BA611" s="42"/>
      <c r="BB611" s="42"/>
      <c r="BC611" s="42"/>
      <c r="BD611" s="42"/>
      <c r="BE611" s="42"/>
      <c r="BF611" s="42"/>
      <c r="BG611" s="42"/>
      <c r="BH611" s="42"/>
      <c r="BI611" s="42"/>
      <c r="BJ611" s="42"/>
      <c r="BK611" s="42"/>
      <c r="BL611" s="1"/>
      <c r="BM611" s="42"/>
      <c r="BN611" s="41" t="s">
        <v>275</v>
      </c>
      <c r="BO611" s="40"/>
      <c r="BP611" s="267"/>
      <c r="BQ611" s="268"/>
      <c r="BR611" s="268"/>
      <c r="BS611" s="268"/>
      <c r="BT611" s="268"/>
      <c r="BU611" s="268"/>
      <c r="BV611" s="268"/>
      <c r="BW611" s="268"/>
      <c r="BX611" s="268"/>
      <c r="BY611" s="269"/>
      <c r="BZ611" s="267"/>
      <c r="CA611" s="268"/>
      <c r="CB611" s="268"/>
      <c r="CC611" s="268"/>
      <c r="CD611" s="268"/>
      <c r="CE611" s="268"/>
      <c r="CF611" s="268"/>
      <c r="CG611" s="268"/>
      <c r="CH611" s="268"/>
      <c r="CI611" s="269"/>
      <c r="CJ611" s="267">
        <f t="shared" si="23"/>
        <v>0</v>
      </c>
      <c r="CK611" s="268"/>
      <c r="CL611" s="268"/>
      <c r="CM611" s="268"/>
      <c r="CN611" s="268"/>
      <c r="CO611" s="268"/>
      <c r="CP611" s="268"/>
      <c r="CQ611" s="268"/>
      <c r="CR611" s="268"/>
      <c r="CS611" s="269"/>
      <c r="DG611" s="131"/>
    </row>
    <row r="612" spans="1:112" hidden="1">
      <c r="A612" s="44"/>
      <c r="B612" s="44"/>
      <c r="C612" s="293" t="s">
        <v>38</v>
      </c>
      <c r="D612" s="294"/>
      <c r="E612" s="294"/>
      <c r="F612" s="294"/>
      <c r="G612" s="294"/>
      <c r="H612" s="294"/>
      <c r="I612" s="294"/>
      <c r="J612" s="294"/>
      <c r="K612" s="294"/>
      <c r="L612" s="294"/>
      <c r="M612" s="294"/>
      <c r="N612" s="294"/>
      <c r="O612" s="294"/>
      <c r="P612" s="294"/>
      <c r="Q612" s="294"/>
      <c r="R612" s="294"/>
      <c r="S612" s="295"/>
      <c r="T612" s="276">
        <f>SUMIFS('Adv. Filter'!$BJ$1:$BJ$50000,'Adv. Filter'!$BT$1:$BT$50000,"Pradeep",'Adv. Filter'!$BQ$1:$BQ$50000,$C612,'Adv. Filter'!$BH$1:$BH$50000,"Cash",'Adv. Filter'!$BO$1:$BO$50000,'Adv. Filter'!$A$14,'Adv. Filter'!$BO$1:$BO$50000,'Adv. Filter'!$B$14)</f>
        <v>0</v>
      </c>
      <c r="U612" s="277"/>
      <c r="V612" s="277"/>
      <c r="W612" s="277"/>
      <c r="X612" s="277"/>
      <c r="Y612" s="277"/>
      <c r="Z612" s="277"/>
      <c r="AA612" s="277"/>
      <c r="AB612" s="277"/>
      <c r="AC612" s="278"/>
      <c r="AD612" s="276">
        <f>SUMIFS('Adv. Filter'!$BJ$1:$BJ$50000,'Adv. Filter'!$BT$1:$BT$50000,"Pradeep",'Adv. Filter'!$BQ$1:$BQ$50000,$C612,'Adv. Filter'!$BH$1:$BH$50000,"Bank",'Adv. Filter'!$BO$1:$BO$50000,'Adv. Filter'!$A$14,'Adv. Filter'!$BO$1:$BO$50000,'Adv. Filter'!$B$14)</f>
        <v>0</v>
      </c>
      <c r="AE612" s="277"/>
      <c r="AF612" s="277"/>
      <c r="AG612" s="277"/>
      <c r="AH612" s="277"/>
      <c r="AI612" s="277"/>
      <c r="AJ612" s="277"/>
      <c r="AK612" s="277"/>
      <c r="AL612" s="277"/>
      <c r="AM612" s="278"/>
      <c r="AN612" s="276">
        <f t="shared" si="22"/>
        <v>0</v>
      </c>
      <c r="AO612" s="277"/>
      <c r="AP612" s="277"/>
      <c r="AQ612" s="277"/>
      <c r="AR612" s="277"/>
      <c r="AS612" s="277"/>
      <c r="AT612" s="277"/>
      <c r="AU612" s="277"/>
      <c r="AV612" s="277"/>
      <c r="AW612" s="278"/>
      <c r="AX612" s="45"/>
      <c r="AY612" s="293" t="s">
        <v>38</v>
      </c>
      <c r="AZ612" s="294"/>
      <c r="BA612" s="294"/>
      <c r="BB612" s="294"/>
      <c r="BC612" s="294"/>
      <c r="BD612" s="294"/>
      <c r="BE612" s="294"/>
      <c r="BF612" s="294"/>
      <c r="BG612" s="294"/>
      <c r="BH612" s="294"/>
      <c r="BI612" s="294"/>
      <c r="BJ612" s="294"/>
      <c r="BK612" s="294"/>
      <c r="BL612" s="294"/>
      <c r="BM612" s="294"/>
      <c r="BN612" s="294"/>
      <c r="BO612" s="295"/>
      <c r="BP612" s="276">
        <f>SUMIFS('Adv. Filter'!$BJ$1:$BJ$50000,'Adv. Filter'!$BT$1:$BT$50000,"Pradeep",'Adv. Filter'!$BQ$1:$BQ$50000,$AY612,'Adv. Filter'!$BH$1:$BH$50000,"Cash",'Adv. Filter'!$BO$1:$BO$50000,"&lt;"&amp;'Adv. Filter'!$A$15)</f>
        <v>0</v>
      </c>
      <c r="BQ612" s="277"/>
      <c r="BR612" s="277"/>
      <c r="BS612" s="277"/>
      <c r="BT612" s="277"/>
      <c r="BU612" s="277"/>
      <c r="BV612" s="277"/>
      <c r="BW612" s="277"/>
      <c r="BX612" s="277"/>
      <c r="BY612" s="278"/>
      <c r="BZ612" s="276">
        <f>SUMIFS('Adv. Filter'!$BJ$1:$BJ$50000,'Adv. Filter'!$BT$1:$BT$50000,"Pradeep",'Adv. Filter'!$BQ$1:$BQ$50000,$AY612,'Adv. Filter'!$BH$1:$BH$50000,"Bank",'Adv. Filter'!$BO$1:$BO$50000,"&lt;"&amp;'Adv. Filter'!$A$15)</f>
        <v>0</v>
      </c>
      <c r="CA612" s="277"/>
      <c r="CB612" s="277"/>
      <c r="CC612" s="277"/>
      <c r="CD612" s="277"/>
      <c r="CE612" s="277"/>
      <c r="CF612" s="277"/>
      <c r="CG612" s="277"/>
      <c r="CH612" s="277"/>
      <c r="CI612" s="278"/>
      <c r="CJ612" s="276">
        <f t="shared" si="23"/>
        <v>0</v>
      </c>
      <c r="CK612" s="277"/>
      <c r="CL612" s="277"/>
      <c r="CM612" s="277"/>
      <c r="CN612" s="277"/>
      <c r="CO612" s="277"/>
      <c r="CP612" s="277"/>
      <c r="CQ612" s="277"/>
      <c r="CR612" s="277"/>
      <c r="CS612" s="278"/>
      <c r="CT612" s="44"/>
      <c r="CU612" s="44"/>
      <c r="CV612" s="44"/>
      <c r="CW612" s="44"/>
      <c r="CX612" s="44"/>
      <c r="CY612" s="44"/>
      <c r="CZ612" s="44"/>
      <c r="DG612" s="131"/>
    </row>
    <row r="613" spans="1:112" hidden="1">
      <c r="C613" s="308" t="s">
        <v>115</v>
      </c>
      <c r="D613" s="309"/>
      <c r="E613" s="309"/>
      <c r="F613" s="309"/>
      <c r="G613" s="309"/>
      <c r="H613" s="309"/>
      <c r="I613" s="309"/>
      <c r="J613" s="309"/>
      <c r="K613" s="309"/>
      <c r="L613" s="309"/>
      <c r="M613" s="309"/>
      <c r="N613" s="309"/>
      <c r="O613" s="309"/>
      <c r="P613" s="309"/>
      <c r="Q613" s="309"/>
      <c r="R613" s="309"/>
      <c r="S613" s="310"/>
      <c r="T613" s="267">
        <f>SUMIFS('Adv. Filter'!$BJ$1:$BJ$50000,'Adv. Filter'!$BT$1:$BT$50000,"Pradeep",'Adv. Filter'!$BQ$1:$BQ$50000,$C612,'Adv. Filter'!$BH$1:$BH$50000,"Cash",'Adv. Filter'!$BO$1:$BO$50000,'Adv. Filter'!$A$14,'Adv. Filter'!$BO$1:$BO$50000,'Adv. Filter'!$B$14,'Adv. Filter'!$BP$1:$BP$50000,"Project")</f>
        <v>0</v>
      </c>
      <c r="U613" s="268"/>
      <c r="V613" s="268"/>
      <c r="W613" s="268"/>
      <c r="X613" s="268"/>
      <c r="Y613" s="268"/>
      <c r="Z613" s="268"/>
      <c r="AA613" s="268"/>
      <c r="AB613" s="268"/>
      <c r="AC613" s="269"/>
      <c r="AD613" s="267">
        <f>SUMIFS('Adv. Filter'!$BJ$1:$BJ$50000,'Adv. Filter'!$BT$1:$BT$50000,"Pradeep",'Adv. Filter'!$BQ$1:$BQ$50000,$C612,'Adv. Filter'!$BH$1:$BH$50000,"Bank",'Adv. Filter'!$BO$1:$BO$50000,'Adv. Filter'!$A$14,'Adv. Filter'!$BO$1:$BO$50000,'Adv. Filter'!$B$14,'Adv. Filter'!$BP$1:$BP$50000,"Project")</f>
        <v>0</v>
      </c>
      <c r="AE613" s="268"/>
      <c r="AF613" s="268"/>
      <c r="AG613" s="268"/>
      <c r="AH613" s="268"/>
      <c r="AI613" s="268"/>
      <c r="AJ613" s="268"/>
      <c r="AK613" s="268"/>
      <c r="AL613" s="268"/>
      <c r="AM613" s="269"/>
      <c r="AN613" s="267">
        <f t="shared" si="22"/>
        <v>0</v>
      </c>
      <c r="AO613" s="268"/>
      <c r="AP613" s="268"/>
      <c r="AQ613" s="268"/>
      <c r="AR613" s="268"/>
      <c r="AS613" s="268"/>
      <c r="AT613" s="268"/>
      <c r="AU613" s="268"/>
      <c r="AV613" s="268"/>
      <c r="AW613" s="269"/>
      <c r="AX613" s="22"/>
      <c r="AY613" s="308" t="s">
        <v>115</v>
      </c>
      <c r="AZ613" s="309"/>
      <c r="BA613" s="309"/>
      <c r="BB613" s="309"/>
      <c r="BC613" s="309"/>
      <c r="BD613" s="309"/>
      <c r="BE613" s="309"/>
      <c r="BF613" s="309"/>
      <c r="BG613" s="309"/>
      <c r="BH613" s="309"/>
      <c r="BI613" s="309"/>
      <c r="BJ613" s="309"/>
      <c r="BK613" s="309"/>
      <c r="BL613" s="309"/>
      <c r="BM613" s="309"/>
      <c r="BN613" s="309"/>
      <c r="BO613" s="310"/>
      <c r="BP613" s="267">
        <f>SUMIFS('Adv. Filter'!$BJ$1:$BJ$50000,'Adv. Filter'!$BT$1:$BT$50000,"Pradeep",'Adv. Filter'!$BQ$1:$BQ$50000,$AY612,'Adv. Filter'!$BH$1:$BH$50000,"Cash",'Adv. Filter'!$BO$1:$BO$50000,"&lt;"&amp;'Adv. Filter'!$A$15,'Adv. Filter'!$BP$1:$BP$50000,"Project")</f>
        <v>0</v>
      </c>
      <c r="BQ613" s="268"/>
      <c r="BR613" s="268"/>
      <c r="BS613" s="268"/>
      <c r="BT613" s="268"/>
      <c r="BU613" s="268"/>
      <c r="BV613" s="268"/>
      <c r="BW613" s="268"/>
      <c r="BX613" s="268"/>
      <c r="BY613" s="269"/>
      <c r="BZ613" s="267">
        <f>SUMIFS('Adv. Filter'!$BJ$1:$BJ$50000,'Adv. Filter'!$BT$1:$BT$50000,"Pradeep",'Adv. Filter'!$BQ$1:$BQ$50000,$AY612,'Adv. Filter'!$BH$1:$BH$50000,"Bank",'Adv. Filter'!$BO$1:$BO$50000,"&lt;"&amp;'Adv. Filter'!$A$15,'Adv. Filter'!$BP$1:$BP$50000,"Project")</f>
        <v>0</v>
      </c>
      <c r="CA613" s="268"/>
      <c r="CB613" s="268"/>
      <c r="CC613" s="268"/>
      <c r="CD613" s="268"/>
      <c r="CE613" s="268"/>
      <c r="CF613" s="268"/>
      <c r="CG613" s="268"/>
      <c r="CH613" s="268"/>
      <c r="CI613" s="269"/>
      <c r="CJ613" s="267">
        <f t="shared" si="23"/>
        <v>0</v>
      </c>
      <c r="CK613" s="268"/>
      <c r="CL613" s="268"/>
      <c r="CM613" s="268"/>
      <c r="CN613" s="268"/>
      <c r="CO613" s="268"/>
      <c r="CP613" s="268"/>
      <c r="CQ613" s="268"/>
      <c r="CR613" s="268"/>
      <c r="CS613" s="269"/>
      <c r="DG613" s="131"/>
    </row>
    <row r="614" spans="1:112" hidden="1">
      <c r="C614" s="308" t="s">
        <v>510</v>
      </c>
      <c r="D614" s="309"/>
      <c r="E614" s="309"/>
      <c r="F614" s="309"/>
      <c r="G614" s="309"/>
      <c r="H614" s="309"/>
      <c r="I614" s="309"/>
      <c r="J614" s="309"/>
      <c r="K614" s="309"/>
      <c r="L614" s="309"/>
      <c r="M614" s="309"/>
      <c r="N614" s="309"/>
      <c r="O614" s="309"/>
      <c r="P614" s="309"/>
      <c r="Q614" s="309"/>
      <c r="R614" s="309"/>
      <c r="S614" s="310"/>
      <c r="T614" s="267">
        <v>0</v>
      </c>
      <c r="U614" s="268"/>
      <c r="V614" s="268"/>
      <c r="W614" s="268"/>
      <c r="X614" s="268"/>
      <c r="Y614" s="268"/>
      <c r="Z614" s="268"/>
      <c r="AA614" s="268"/>
      <c r="AB614" s="268"/>
      <c r="AC614" s="269"/>
      <c r="AD614" s="267">
        <v>0</v>
      </c>
      <c r="AE614" s="268"/>
      <c r="AF614" s="268"/>
      <c r="AG614" s="268"/>
      <c r="AH614" s="268"/>
      <c r="AI614" s="268"/>
      <c r="AJ614" s="268"/>
      <c r="AK614" s="268"/>
      <c r="AL614" s="268"/>
      <c r="AM614" s="269"/>
      <c r="AN614" s="267">
        <f t="shared" si="22"/>
        <v>0</v>
      </c>
      <c r="AO614" s="268"/>
      <c r="AP614" s="268"/>
      <c r="AQ614" s="268"/>
      <c r="AR614" s="268"/>
      <c r="AS614" s="268"/>
      <c r="AT614" s="268"/>
      <c r="AU614" s="268"/>
      <c r="AV614" s="268"/>
      <c r="AW614" s="269"/>
      <c r="AX614" s="22"/>
      <c r="AY614" s="308" t="s">
        <v>510</v>
      </c>
      <c r="AZ614" s="309"/>
      <c r="BA614" s="309"/>
      <c r="BB614" s="309"/>
      <c r="BC614" s="309"/>
      <c r="BD614" s="309"/>
      <c r="BE614" s="309"/>
      <c r="BF614" s="309"/>
      <c r="BG614" s="309"/>
      <c r="BH614" s="309"/>
      <c r="BI614" s="309"/>
      <c r="BJ614" s="309"/>
      <c r="BK614" s="309"/>
      <c r="BL614" s="309"/>
      <c r="BM614" s="309"/>
      <c r="BN614" s="309"/>
      <c r="BO614" s="310"/>
      <c r="BP614" s="267"/>
      <c r="BQ614" s="268"/>
      <c r="BR614" s="268"/>
      <c r="BS614" s="268"/>
      <c r="BT614" s="268"/>
      <c r="BU614" s="268"/>
      <c r="BV614" s="268"/>
      <c r="BW614" s="268"/>
      <c r="BX614" s="268"/>
      <c r="BY614" s="269"/>
      <c r="BZ614" s="267"/>
      <c r="CA614" s="268"/>
      <c r="CB614" s="268"/>
      <c r="CC614" s="268"/>
      <c r="CD614" s="268"/>
      <c r="CE614" s="268"/>
      <c r="CF614" s="268"/>
      <c r="CG614" s="268"/>
      <c r="CH614" s="268"/>
      <c r="CI614" s="269"/>
      <c r="CJ614" s="267">
        <f t="shared" si="23"/>
        <v>0</v>
      </c>
      <c r="CK614" s="268"/>
      <c r="CL614" s="268"/>
      <c r="CM614" s="268"/>
      <c r="CN614" s="268"/>
      <c r="CO614" s="268"/>
      <c r="CP614" s="268"/>
      <c r="CQ614" s="268"/>
      <c r="CR614" s="268"/>
      <c r="CS614" s="269"/>
      <c r="DG614" s="131"/>
    </row>
    <row r="615" spans="1:112" hidden="1">
      <c r="A615" s="44"/>
      <c r="B615" s="44"/>
      <c r="C615" s="48"/>
      <c r="D615" s="36" t="str">
        <f>IF(AN612=0,C612&amp;" -","")</f>
        <v>Axis -</v>
      </c>
      <c r="E615" s="42"/>
      <c r="F615" s="42"/>
      <c r="G615" s="42"/>
      <c r="H615" s="42"/>
      <c r="I615" s="42"/>
      <c r="J615" s="42"/>
      <c r="K615" s="42"/>
      <c r="L615" s="42"/>
      <c r="M615" s="42"/>
      <c r="N615" s="42"/>
      <c r="O615" s="42"/>
      <c r="P615" s="47"/>
      <c r="Q615" s="42"/>
      <c r="R615" s="41" t="s">
        <v>275</v>
      </c>
      <c r="S615" s="46"/>
      <c r="T615" s="267">
        <f>SUMIFS('Adv. Filter'!$CH$1:$CH$50000,'Adv. Filter'!$CD$1:$CD$50000,"Pradeep",'Adv. Filter'!$CE$1:$CE$50000,$C612,'Adv. Filter'!$CC$1:$CC$50000,"Suspense",'Adv. Filter'!$CF$1:$CF$50000,"Cash")</f>
        <v>0</v>
      </c>
      <c r="U615" s="268"/>
      <c r="V615" s="268"/>
      <c r="W615" s="268"/>
      <c r="X615" s="268"/>
      <c r="Y615" s="268"/>
      <c r="Z615" s="268"/>
      <c r="AA615" s="268"/>
      <c r="AB615" s="268"/>
      <c r="AC615" s="269"/>
      <c r="AD615" s="267">
        <f>SUMIFS('Adv. Filter'!$CH$1:$CH$50000,'Adv. Filter'!$CD$1:$CD$50000,"Pradeep",'Adv. Filter'!$CE$1:$CE$50000,$C612,'Adv. Filter'!$CC$1:$CC$50000,"Suspense",'Adv. Filter'!$CF$1:$CF$50000,"Bank")</f>
        <v>0</v>
      </c>
      <c r="AE615" s="268"/>
      <c r="AF615" s="268"/>
      <c r="AG615" s="268"/>
      <c r="AH615" s="268"/>
      <c r="AI615" s="268"/>
      <c r="AJ615" s="268"/>
      <c r="AK615" s="268"/>
      <c r="AL615" s="268"/>
      <c r="AM615" s="269"/>
      <c r="AN615" s="276">
        <f t="shared" si="22"/>
        <v>0</v>
      </c>
      <c r="AO615" s="277"/>
      <c r="AP615" s="277"/>
      <c r="AQ615" s="277"/>
      <c r="AR615" s="277"/>
      <c r="AS615" s="277"/>
      <c r="AT615" s="277"/>
      <c r="AU615" s="277"/>
      <c r="AV615" s="277"/>
      <c r="AW615" s="278"/>
      <c r="AX615" s="45"/>
      <c r="AY615" s="48"/>
      <c r="AZ615" s="36" t="str">
        <f>IF(CJ612=0,AY612&amp;" -","")</f>
        <v>Axis -</v>
      </c>
      <c r="BA615" s="42"/>
      <c r="BB615" s="42"/>
      <c r="BC615" s="42"/>
      <c r="BD615" s="42"/>
      <c r="BE615" s="42"/>
      <c r="BF615" s="42"/>
      <c r="BG615" s="42"/>
      <c r="BH615" s="42"/>
      <c r="BI615" s="42"/>
      <c r="BJ615" s="42"/>
      <c r="BK615" s="42"/>
      <c r="BL615" s="47"/>
      <c r="BM615" s="42"/>
      <c r="BN615" s="41" t="s">
        <v>275</v>
      </c>
      <c r="BO615" s="46"/>
      <c r="BP615" s="276"/>
      <c r="BQ615" s="277"/>
      <c r="BR615" s="277"/>
      <c r="BS615" s="277"/>
      <c r="BT615" s="277"/>
      <c r="BU615" s="277"/>
      <c r="BV615" s="277"/>
      <c r="BW615" s="277"/>
      <c r="BX615" s="277"/>
      <c r="BY615" s="278"/>
      <c r="BZ615" s="276"/>
      <c r="CA615" s="277"/>
      <c r="CB615" s="277"/>
      <c r="CC615" s="277"/>
      <c r="CD615" s="277"/>
      <c r="CE615" s="277"/>
      <c r="CF615" s="277"/>
      <c r="CG615" s="277"/>
      <c r="CH615" s="277"/>
      <c r="CI615" s="278"/>
      <c r="CJ615" s="276">
        <f t="shared" si="23"/>
        <v>0</v>
      </c>
      <c r="CK615" s="277"/>
      <c r="CL615" s="277"/>
      <c r="CM615" s="277"/>
      <c r="CN615" s="277"/>
      <c r="CO615" s="277"/>
      <c r="CP615" s="277"/>
      <c r="CQ615" s="277"/>
      <c r="CR615" s="277"/>
      <c r="CS615" s="278"/>
      <c r="CT615" s="44"/>
      <c r="CU615" s="44"/>
      <c r="CV615" s="44"/>
      <c r="CW615" s="44"/>
      <c r="CX615" s="44"/>
      <c r="CY615" s="44"/>
      <c r="CZ615" s="44"/>
      <c r="DG615" s="131"/>
    </row>
    <row r="616" spans="1:112" hidden="1">
      <c r="A616" s="44"/>
      <c r="B616" s="44"/>
      <c r="C616" s="293" t="s">
        <v>49</v>
      </c>
      <c r="D616" s="294"/>
      <c r="E616" s="294"/>
      <c r="F616" s="294"/>
      <c r="G616" s="294"/>
      <c r="H616" s="294"/>
      <c r="I616" s="294"/>
      <c r="J616" s="294"/>
      <c r="K616" s="294"/>
      <c r="L616" s="294"/>
      <c r="M616" s="294"/>
      <c r="N616" s="294"/>
      <c r="O616" s="294"/>
      <c r="P616" s="294"/>
      <c r="Q616" s="294"/>
      <c r="R616" s="294"/>
      <c r="S616" s="295"/>
      <c r="T616" s="276">
        <f>SUMIFS('Adv. Filter'!$BJ$1:$BJ$50000,'Adv. Filter'!$BT$1:$BT$50000,"Pradeep",'Adv. Filter'!$BQ$1:$BQ$50000,$C616,'Adv. Filter'!$BH$1:$BH$50000,"Cash",'Adv. Filter'!$BO$1:$BO$50000,'Adv. Filter'!$A$14,'Adv. Filter'!$BO$1:$BO$50000,'Adv. Filter'!$B$14)</f>
        <v>29500</v>
      </c>
      <c r="U616" s="277"/>
      <c r="V616" s="277"/>
      <c r="W616" s="277"/>
      <c r="X616" s="277"/>
      <c r="Y616" s="277"/>
      <c r="Z616" s="277"/>
      <c r="AA616" s="277"/>
      <c r="AB616" s="277"/>
      <c r="AC616" s="278"/>
      <c r="AD616" s="276">
        <f>SUMIFS('Adv. Filter'!$BJ$1:$BJ$50000,'Adv. Filter'!$BT$1:$BT$50000,"Pradeep",'Adv. Filter'!$BQ$1:$BQ$50000,$C616,'Adv. Filter'!$BH$1:$BH$50000,"Bank",'Adv. Filter'!$BO$1:$BO$50000,'Adv. Filter'!$A$14,'Adv. Filter'!$BO$1:$BO$50000,'Adv. Filter'!$B$14)</f>
        <v>74000</v>
      </c>
      <c r="AE616" s="277"/>
      <c r="AF616" s="277"/>
      <c r="AG616" s="277"/>
      <c r="AH616" s="277"/>
      <c r="AI616" s="277"/>
      <c r="AJ616" s="277"/>
      <c r="AK616" s="277"/>
      <c r="AL616" s="277"/>
      <c r="AM616" s="278"/>
      <c r="AN616" s="276">
        <f t="shared" si="22"/>
        <v>103500</v>
      </c>
      <c r="AO616" s="277"/>
      <c r="AP616" s="277"/>
      <c r="AQ616" s="277"/>
      <c r="AR616" s="277"/>
      <c r="AS616" s="277"/>
      <c r="AT616" s="277"/>
      <c r="AU616" s="277"/>
      <c r="AV616" s="277"/>
      <c r="AW616" s="278"/>
      <c r="AX616" s="45"/>
      <c r="AY616" s="293" t="s">
        <v>49</v>
      </c>
      <c r="AZ616" s="294"/>
      <c r="BA616" s="294"/>
      <c r="BB616" s="294"/>
      <c r="BC616" s="294"/>
      <c r="BD616" s="294"/>
      <c r="BE616" s="294"/>
      <c r="BF616" s="294"/>
      <c r="BG616" s="294"/>
      <c r="BH616" s="294"/>
      <c r="BI616" s="294"/>
      <c r="BJ616" s="294"/>
      <c r="BK616" s="294"/>
      <c r="BL616" s="294"/>
      <c r="BM616" s="294"/>
      <c r="BN616" s="294"/>
      <c r="BO616" s="295"/>
      <c r="BP616" s="276">
        <f>SUMIFS('Adv. Filter'!$BJ$1:$BJ$50000,'Adv. Filter'!$BT$1:$BT$50000,"Pradeep",'Adv. Filter'!$BQ$1:$BQ$50000,$AY616,'Adv. Filter'!$BH$1:$BH$50000,"Cash",'Adv. Filter'!$BO$1:$BO$50000,"&lt;"&amp;'Adv. Filter'!$A$15)</f>
        <v>0</v>
      </c>
      <c r="BQ616" s="277"/>
      <c r="BR616" s="277"/>
      <c r="BS616" s="277"/>
      <c r="BT616" s="277"/>
      <c r="BU616" s="277"/>
      <c r="BV616" s="277"/>
      <c r="BW616" s="277"/>
      <c r="BX616" s="277"/>
      <c r="BY616" s="278"/>
      <c r="BZ616" s="276">
        <f>SUMIFS('Adv. Filter'!$BJ$1:$BJ$50000,'Adv. Filter'!$BT$1:$BT$50000,"Pradeep",'Adv. Filter'!$BQ$1:$BQ$50000,$AY616,'Adv. Filter'!$BH$1:$BH$50000,"Bank",'Adv. Filter'!$BO$1:$BO$50000,"&lt;"&amp;'Adv. Filter'!$A$15)</f>
        <v>18000</v>
      </c>
      <c r="CA616" s="277"/>
      <c r="CB616" s="277"/>
      <c r="CC616" s="277"/>
      <c r="CD616" s="277"/>
      <c r="CE616" s="277"/>
      <c r="CF616" s="277"/>
      <c r="CG616" s="277"/>
      <c r="CH616" s="277"/>
      <c r="CI616" s="278"/>
      <c r="CJ616" s="276">
        <f t="shared" si="23"/>
        <v>18000</v>
      </c>
      <c r="CK616" s="277"/>
      <c r="CL616" s="277"/>
      <c r="CM616" s="277"/>
      <c r="CN616" s="277"/>
      <c r="CO616" s="277"/>
      <c r="CP616" s="277"/>
      <c r="CQ616" s="277"/>
      <c r="CR616" s="277"/>
      <c r="CS616" s="278"/>
      <c r="CT616" s="44"/>
      <c r="CU616" s="44"/>
      <c r="CV616" s="44"/>
      <c r="CW616" s="44"/>
      <c r="CX616" s="44"/>
      <c r="CY616" s="44"/>
      <c r="CZ616" s="44"/>
    </row>
    <row r="617" spans="1:112" hidden="1">
      <c r="C617" s="308" t="s">
        <v>115</v>
      </c>
      <c r="D617" s="309"/>
      <c r="E617" s="309"/>
      <c r="F617" s="309"/>
      <c r="G617" s="309"/>
      <c r="H617" s="309"/>
      <c r="I617" s="309"/>
      <c r="J617" s="309"/>
      <c r="K617" s="309"/>
      <c r="L617" s="309"/>
      <c r="M617" s="309"/>
      <c r="N617" s="309"/>
      <c r="O617" s="309"/>
      <c r="P617" s="309"/>
      <c r="Q617" s="309"/>
      <c r="R617" s="309"/>
      <c r="S617" s="310"/>
      <c r="T617" s="267">
        <f>SUMIFS('Adv. Filter'!$BJ$1:$BJ$50000,'Adv. Filter'!$BT$1:$BT$50000,"Pradeep",'Adv. Filter'!$BQ$1:$BQ$50000,$C616,'Adv. Filter'!$BH$1:$BH$50000,"Cash",'Adv. Filter'!$BO$1:$BO$50000,'Adv. Filter'!$A$14,'Adv. Filter'!$BO$1:$BO$50000,'Adv. Filter'!$B$14,'Adv. Filter'!$BP$1:$BP$50000,"Project")</f>
        <v>0</v>
      </c>
      <c r="U617" s="268"/>
      <c r="V617" s="268"/>
      <c r="W617" s="268"/>
      <c r="X617" s="268"/>
      <c r="Y617" s="268"/>
      <c r="Z617" s="268"/>
      <c r="AA617" s="268"/>
      <c r="AB617" s="268"/>
      <c r="AC617" s="269"/>
      <c r="AD617" s="267">
        <f>SUMIFS('Adv. Filter'!$BJ$1:$BJ$50000,'Adv. Filter'!$BT$1:$BT$50000,"Pradeep",'Adv. Filter'!$BQ$1:$BQ$50000,$C616,'Adv. Filter'!$BH$1:$BH$50000,"Bank",'Adv. Filter'!$BO$1:$BO$50000,'Adv. Filter'!$A$14,'Adv. Filter'!$BO$1:$BO$50000,'Adv. Filter'!$B$14,'Adv. Filter'!$BP$1:$BP$50000,"Project")</f>
        <v>8000</v>
      </c>
      <c r="AE617" s="268"/>
      <c r="AF617" s="268"/>
      <c r="AG617" s="268"/>
      <c r="AH617" s="268"/>
      <c r="AI617" s="268"/>
      <c r="AJ617" s="268"/>
      <c r="AK617" s="268"/>
      <c r="AL617" s="268"/>
      <c r="AM617" s="269"/>
      <c r="AN617" s="267">
        <f t="shared" si="22"/>
        <v>8000</v>
      </c>
      <c r="AO617" s="268"/>
      <c r="AP617" s="268"/>
      <c r="AQ617" s="268"/>
      <c r="AR617" s="268"/>
      <c r="AS617" s="268"/>
      <c r="AT617" s="268"/>
      <c r="AU617" s="268"/>
      <c r="AV617" s="268"/>
      <c r="AW617" s="269"/>
      <c r="AX617" s="22"/>
      <c r="AY617" s="308" t="s">
        <v>115</v>
      </c>
      <c r="AZ617" s="309"/>
      <c r="BA617" s="309"/>
      <c r="BB617" s="309"/>
      <c r="BC617" s="309"/>
      <c r="BD617" s="309"/>
      <c r="BE617" s="309"/>
      <c r="BF617" s="309"/>
      <c r="BG617" s="309"/>
      <c r="BH617" s="309"/>
      <c r="BI617" s="309"/>
      <c r="BJ617" s="309"/>
      <c r="BK617" s="309"/>
      <c r="BL617" s="309"/>
      <c r="BM617" s="309"/>
      <c r="BN617" s="309"/>
      <c r="BO617" s="310"/>
      <c r="BP617" s="267">
        <f>SUMIFS('Adv. Filter'!$BJ$1:$BJ$50000,'Adv. Filter'!$BT$1:$BT$50000,"Pradeep",'Adv. Filter'!$BQ$1:$BQ$50000,$AY616,'Adv. Filter'!$BH$1:$BH$50000,"Cash",'Adv. Filter'!$BO$1:$BO$50000,"&lt;"&amp;'Adv. Filter'!$A$15,'Adv. Filter'!$BP$1:$BP$50000,"Project")</f>
        <v>0</v>
      </c>
      <c r="BQ617" s="268"/>
      <c r="BR617" s="268"/>
      <c r="BS617" s="268"/>
      <c r="BT617" s="268"/>
      <c r="BU617" s="268"/>
      <c r="BV617" s="268"/>
      <c r="BW617" s="268"/>
      <c r="BX617" s="268"/>
      <c r="BY617" s="269"/>
      <c r="BZ617" s="267">
        <f>SUMIFS('Adv. Filter'!$BJ$1:$BJ$50000,'Adv. Filter'!$BT$1:$BT$50000,"Pradeep",'Adv. Filter'!$BQ$1:$BQ$50000,$AY616,'Adv. Filter'!$BH$1:$BH$50000,"Bank",'Adv. Filter'!$BO$1:$BO$50000,"&lt;"&amp;'Adv. Filter'!$A$15,'Adv. Filter'!$BP$1:$BP$50000,"Project")</f>
        <v>8000</v>
      </c>
      <c r="CA617" s="268"/>
      <c r="CB617" s="268"/>
      <c r="CC617" s="268"/>
      <c r="CD617" s="268"/>
      <c r="CE617" s="268"/>
      <c r="CF617" s="268"/>
      <c r="CG617" s="268"/>
      <c r="CH617" s="268"/>
      <c r="CI617" s="269"/>
      <c r="CJ617" s="267">
        <f t="shared" si="23"/>
        <v>8000</v>
      </c>
      <c r="CK617" s="268"/>
      <c r="CL617" s="268"/>
      <c r="CM617" s="268"/>
      <c r="CN617" s="268"/>
      <c r="CO617" s="268"/>
      <c r="CP617" s="268"/>
      <c r="CQ617" s="268"/>
      <c r="CR617" s="268"/>
      <c r="CS617" s="269"/>
    </row>
    <row r="618" spans="1:112" hidden="1">
      <c r="C618" s="308" t="s">
        <v>510</v>
      </c>
      <c r="D618" s="309"/>
      <c r="E618" s="309"/>
      <c r="F618" s="309"/>
      <c r="G618" s="309"/>
      <c r="H618" s="309"/>
      <c r="I618" s="309"/>
      <c r="J618" s="309"/>
      <c r="K618" s="309"/>
      <c r="L618" s="309"/>
      <c r="M618" s="309"/>
      <c r="N618" s="309"/>
      <c r="O618" s="309"/>
      <c r="P618" s="309"/>
      <c r="Q618" s="309"/>
      <c r="R618" s="309"/>
      <c r="S618" s="310"/>
      <c r="T618" s="267">
        <v>0</v>
      </c>
      <c r="U618" s="268"/>
      <c r="V618" s="268"/>
      <c r="W618" s="268"/>
      <c r="X618" s="268"/>
      <c r="Y618" s="268"/>
      <c r="Z618" s="268"/>
      <c r="AA618" s="268"/>
      <c r="AB618" s="268"/>
      <c r="AC618" s="269"/>
      <c r="AD618" s="267">
        <v>0</v>
      </c>
      <c r="AE618" s="268"/>
      <c r="AF618" s="268"/>
      <c r="AG618" s="268"/>
      <c r="AH618" s="268"/>
      <c r="AI618" s="268"/>
      <c r="AJ618" s="268"/>
      <c r="AK618" s="268"/>
      <c r="AL618" s="268"/>
      <c r="AM618" s="269"/>
      <c r="AN618" s="267">
        <f t="shared" si="22"/>
        <v>0</v>
      </c>
      <c r="AO618" s="268"/>
      <c r="AP618" s="268"/>
      <c r="AQ618" s="268"/>
      <c r="AR618" s="268"/>
      <c r="AS618" s="268"/>
      <c r="AT618" s="268"/>
      <c r="AU618" s="268"/>
      <c r="AV618" s="268"/>
      <c r="AW618" s="269"/>
      <c r="AX618" s="22"/>
      <c r="AY618" s="308" t="s">
        <v>510</v>
      </c>
      <c r="AZ618" s="309"/>
      <c r="BA618" s="309"/>
      <c r="BB618" s="309"/>
      <c r="BC618" s="309"/>
      <c r="BD618" s="309"/>
      <c r="BE618" s="309"/>
      <c r="BF618" s="309"/>
      <c r="BG618" s="309"/>
      <c r="BH618" s="309"/>
      <c r="BI618" s="309"/>
      <c r="BJ618" s="309"/>
      <c r="BK618" s="309"/>
      <c r="BL618" s="309"/>
      <c r="BM618" s="309"/>
      <c r="BN618" s="309"/>
      <c r="BO618" s="310"/>
      <c r="BP618" s="267"/>
      <c r="BQ618" s="268"/>
      <c r="BR618" s="268"/>
      <c r="BS618" s="268"/>
      <c r="BT618" s="268"/>
      <c r="BU618" s="268"/>
      <c r="BV618" s="268"/>
      <c r="BW618" s="268"/>
      <c r="BX618" s="268"/>
      <c r="BY618" s="269"/>
      <c r="BZ618" s="267"/>
      <c r="CA618" s="268"/>
      <c r="CB618" s="268"/>
      <c r="CC618" s="268"/>
      <c r="CD618" s="268"/>
      <c r="CE618" s="268"/>
      <c r="CF618" s="268"/>
      <c r="CG618" s="268"/>
      <c r="CH618" s="268"/>
      <c r="CI618" s="269"/>
      <c r="CJ618" s="267">
        <f t="shared" si="23"/>
        <v>0</v>
      </c>
      <c r="CK618" s="268"/>
      <c r="CL618" s="268"/>
      <c r="CM618" s="268"/>
      <c r="CN618" s="268"/>
      <c r="CO618" s="268"/>
      <c r="CP618" s="268"/>
      <c r="CQ618" s="268"/>
      <c r="CR618" s="268"/>
      <c r="CS618" s="269"/>
    </row>
    <row r="619" spans="1:112" hidden="1">
      <c r="C619" s="43"/>
      <c r="D619" s="36" t="str">
        <f>IF(AN616=0,C616&amp;" -","")</f>
        <v/>
      </c>
      <c r="E619" s="42"/>
      <c r="F619" s="42"/>
      <c r="G619" s="42"/>
      <c r="H619" s="42"/>
      <c r="I619" s="42"/>
      <c r="J619" s="42"/>
      <c r="K619" s="42"/>
      <c r="L619" s="42"/>
      <c r="M619" s="42"/>
      <c r="N619" s="42"/>
      <c r="O619" s="42"/>
      <c r="P619" s="1"/>
      <c r="Q619" s="42"/>
      <c r="R619" s="41" t="s">
        <v>275</v>
      </c>
      <c r="S619" s="40"/>
      <c r="T619" s="267">
        <f>SUMIFS('Adv. Filter'!$CH$1:$CH$50000,'Adv. Filter'!$CD$1:$CD$50000,"Pradeep",'Adv. Filter'!$CE$1:$CE$50000,$C616,'Adv. Filter'!$CC$1:$CC$50000,"Suspense",'Adv. Filter'!$CF$1:$CF$50000,"Cash")</f>
        <v>0</v>
      </c>
      <c r="U619" s="268"/>
      <c r="V619" s="268"/>
      <c r="W619" s="268"/>
      <c r="X619" s="268"/>
      <c r="Y619" s="268"/>
      <c r="Z619" s="268"/>
      <c r="AA619" s="268"/>
      <c r="AB619" s="268"/>
      <c r="AC619" s="269"/>
      <c r="AD619" s="267">
        <f>SUMIFS('Adv. Filter'!$CH$1:$CH$50000,'Adv. Filter'!$CD$1:$CD$50000,"Pradeep",'Adv. Filter'!$CE$1:$CE$50000,$C616,'Adv. Filter'!$CC$1:$CC$50000,"Suspense",'Adv. Filter'!$CF$1:$CF$50000,"Bank")</f>
        <v>0</v>
      </c>
      <c r="AE619" s="268"/>
      <c r="AF619" s="268"/>
      <c r="AG619" s="268"/>
      <c r="AH619" s="268"/>
      <c r="AI619" s="268"/>
      <c r="AJ619" s="268"/>
      <c r="AK619" s="268"/>
      <c r="AL619" s="268"/>
      <c r="AM619" s="269"/>
      <c r="AN619" s="267">
        <f t="shared" si="22"/>
        <v>0</v>
      </c>
      <c r="AO619" s="268"/>
      <c r="AP619" s="268"/>
      <c r="AQ619" s="268"/>
      <c r="AR619" s="268"/>
      <c r="AS619" s="268"/>
      <c r="AT619" s="268"/>
      <c r="AU619" s="268"/>
      <c r="AV619" s="268"/>
      <c r="AW619" s="269"/>
      <c r="AX619" s="22"/>
      <c r="AY619" s="43"/>
      <c r="AZ619" s="36" t="str">
        <f>IF(CJ616=0,AY616&amp;" -","")</f>
        <v/>
      </c>
      <c r="BA619" s="42"/>
      <c r="BB619" s="42"/>
      <c r="BC619" s="42"/>
      <c r="BD619" s="42"/>
      <c r="BE619" s="42"/>
      <c r="BF619" s="42"/>
      <c r="BG619" s="42"/>
      <c r="BH619" s="42"/>
      <c r="BI619" s="42"/>
      <c r="BJ619" s="42"/>
      <c r="BK619" s="42"/>
      <c r="BL619" s="1"/>
      <c r="BM619" s="42"/>
      <c r="BN619" s="41" t="s">
        <v>275</v>
      </c>
      <c r="BO619" s="40"/>
      <c r="BP619" s="267"/>
      <c r="BQ619" s="268"/>
      <c r="BR619" s="268"/>
      <c r="BS619" s="268"/>
      <c r="BT619" s="268"/>
      <c r="BU619" s="268"/>
      <c r="BV619" s="268"/>
      <c r="BW619" s="268"/>
      <c r="BX619" s="268"/>
      <c r="BY619" s="269"/>
      <c r="BZ619" s="267"/>
      <c r="CA619" s="268"/>
      <c r="CB619" s="268"/>
      <c r="CC619" s="268"/>
      <c r="CD619" s="268"/>
      <c r="CE619" s="268"/>
      <c r="CF619" s="268"/>
      <c r="CG619" s="268"/>
      <c r="CH619" s="268"/>
      <c r="CI619" s="269"/>
      <c r="CJ619" s="267">
        <f t="shared" si="23"/>
        <v>0</v>
      </c>
      <c r="CK619" s="268"/>
      <c r="CL619" s="268"/>
      <c r="CM619" s="268"/>
      <c r="CN619" s="268"/>
      <c r="CO619" s="268"/>
      <c r="CP619" s="268"/>
      <c r="CQ619" s="268"/>
      <c r="CR619" s="268"/>
      <c r="CS619" s="269"/>
    </row>
    <row r="620" spans="1:112" hidden="1">
      <c r="A620" s="44"/>
      <c r="B620" s="44"/>
      <c r="C620" s="293" t="s">
        <v>59</v>
      </c>
      <c r="D620" s="294"/>
      <c r="E620" s="294"/>
      <c r="F620" s="294"/>
      <c r="G620" s="294"/>
      <c r="H620" s="294"/>
      <c r="I620" s="294"/>
      <c r="J620" s="294"/>
      <c r="K620" s="294"/>
      <c r="L620" s="294"/>
      <c r="M620" s="294"/>
      <c r="N620" s="294"/>
      <c r="O620" s="294"/>
      <c r="P620" s="294"/>
      <c r="Q620" s="294"/>
      <c r="R620" s="294"/>
      <c r="S620" s="295"/>
      <c r="T620" s="276">
        <f>SUMIFS('Adv. Filter'!$BJ$1:$BJ$50000,'Adv. Filter'!$BT$1:$BT$50000,"Pradeep",'Adv. Filter'!$BQ$1:$BQ$50000,$C620,'Adv. Filter'!$BH$1:$BH$50000,"Cash",'Adv. Filter'!$BO$1:$BO$50000,'Adv. Filter'!$A$14,'Adv. Filter'!$BO$1:$BO$50000,'Adv. Filter'!$B$14)</f>
        <v>0</v>
      </c>
      <c r="U620" s="277"/>
      <c r="V620" s="277"/>
      <c r="W620" s="277"/>
      <c r="X620" s="277"/>
      <c r="Y620" s="277"/>
      <c r="Z620" s="277"/>
      <c r="AA620" s="277"/>
      <c r="AB620" s="277"/>
      <c r="AC620" s="278"/>
      <c r="AD620" s="276">
        <f>SUMIFS('Adv. Filter'!$BJ$1:$BJ$50000,'Adv. Filter'!$BT$1:$BT$50000,"Pradeep",'Adv. Filter'!$BQ$1:$BQ$50000,$C620,'Adv. Filter'!$BH$1:$BH$50000,"Bank",'Adv. Filter'!$BO$1:$BO$50000,'Adv. Filter'!$A$14,'Adv. Filter'!$BO$1:$BO$50000,'Adv. Filter'!$B$14)</f>
        <v>0</v>
      </c>
      <c r="AE620" s="277"/>
      <c r="AF620" s="277"/>
      <c r="AG620" s="277"/>
      <c r="AH620" s="277"/>
      <c r="AI620" s="277"/>
      <c r="AJ620" s="277"/>
      <c r="AK620" s="277"/>
      <c r="AL620" s="277"/>
      <c r="AM620" s="278"/>
      <c r="AN620" s="276">
        <f t="shared" si="22"/>
        <v>0</v>
      </c>
      <c r="AO620" s="277"/>
      <c r="AP620" s="277"/>
      <c r="AQ620" s="277"/>
      <c r="AR620" s="277"/>
      <c r="AS620" s="277"/>
      <c r="AT620" s="277"/>
      <c r="AU620" s="277"/>
      <c r="AV620" s="277"/>
      <c r="AW620" s="278"/>
      <c r="AX620" s="45"/>
      <c r="AY620" s="293" t="s">
        <v>59</v>
      </c>
      <c r="AZ620" s="294"/>
      <c r="BA620" s="294"/>
      <c r="BB620" s="294"/>
      <c r="BC620" s="294"/>
      <c r="BD620" s="294"/>
      <c r="BE620" s="294"/>
      <c r="BF620" s="294"/>
      <c r="BG620" s="294"/>
      <c r="BH620" s="294"/>
      <c r="BI620" s="294"/>
      <c r="BJ620" s="294"/>
      <c r="BK620" s="294"/>
      <c r="BL620" s="294"/>
      <c r="BM620" s="294"/>
      <c r="BN620" s="294"/>
      <c r="BO620" s="295"/>
      <c r="BP620" s="276">
        <f>SUMIFS('Adv. Filter'!$BJ$1:$BJ$50000,'Adv. Filter'!$BT$1:$BT$50000,"Pradeep",'Adv. Filter'!$BQ$1:$BQ$50000,$AY620,'Adv. Filter'!$BH$1:$BH$50000,"Cash",'Adv. Filter'!$BO$1:$BO$50000,"&lt;"&amp;'Adv. Filter'!$A$15)</f>
        <v>0</v>
      </c>
      <c r="BQ620" s="277"/>
      <c r="BR620" s="277"/>
      <c r="BS620" s="277"/>
      <c r="BT620" s="277"/>
      <c r="BU620" s="277"/>
      <c r="BV620" s="277"/>
      <c r="BW620" s="277"/>
      <c r="BX620" s="277"/>
      <c r="BY620" s="278"/>
      <c r="BZ620" s="276">
        <f>SUMIFS('Adv. Filter'!$BJ$1:$BJ$50000,'Adv. Filter'!$BT$1:$BT$50000,"Pradeep",'Adv. Filter'!$BQ$1:$BQ$50000,$AY620,'Adv. Filter'!$BH$1:$BH$50000,"Bank",'Adv. Filter'!$BO$1:$BO$50000,"&lt;"&amp;'Adv. Filter'!$A$15)</f>
        <v>0</v>
      </c>
      <c r="CA620" s="277"/>
      <c r="CB620" s="277"/>
      <c r="CC620" s="277"/>
      <c r="CD620" s="277"/>
      <c r="CE620" s="277"/>
      <c r="CF620" s="277"/>
      <c r="CG620" s="277"/>
      <c r="CH620" s="277"/>
      <c r="CI620" s="278"/>
      <c r="CJ620" s="276">
        <f t="shared" si="23"/>
        <v>0</v>
      </c>
      <c r="CK620" s="277"/>
      <c r="CL620" s="277"/>
      <c r="CM620" s="277"/>
      <c r="CN620" s="277"/>
      <c r="CO620" s="277"/>
      <c r="CP620" s="277"/>
      <c r="CQ620" s="277"/>
      <c r="CR620" s="277"/>
      <c r="CS620" s="278"/>
      <c r="CT620" s="44"/>
      <c r="CU620" s="44"/>
      <c r="CV620" s="44"/>
      <c r="CW620" s="44"/>
      <c r="CX620" s="44"/>
      <c r="CY620" s="44"/>
      <c r="CZ620" s="44"/>
    </row>
    <row r="621" spans="1:112" hidden="1">
      <c r="C621" s="308" t="s">
        <v>115</v>
      </c>
      <c r="D621" s="309"/>
      <c r="E621" s="309"/>
      <c r="F621" s="309"/>
      <c r="G621" s="309"/>
      <c r="H621" s="309"/>
      <c r="I621" s="309"/>
      <c r="J621" s="309"/>
      <c r="K621" s="309"/>
      <c r="L621" s="309"/>
      <c r="M621" s="309"/>
      <c r="N621" s="309"/>
      <c r="O621" s="309"/>
      <c r="P621" s="309"/>
      <c r="Q621" s="309"/>
      <c r="R621" s="309"/>
      <c r="S621" s="310"/>
      <c r="T621" s="267">
        <f>SUMIFS('Adv. Filter'!$BJ$1:$BJ$50000,'Adv. Filter'!$BT$1:$BT$50000,"Pradeep",'Adv. Filter'!$BQ$1:$BQ$50000,$C620,'Adv. Filter'!$BH$1:$BH$50000,"Cash",'Adv. Filter'!$BO$1:$BO$50000,'Adv. Filter'!$A$14,'Adv. Filter'!$BO$1:$BO$50000,'Adv. Filter'!$B$14,'Adv. Filter'!$BP$1:$BP$50000,"Project")</f>
        <v>0</v>
      </c>
      <c r="U621" s="268"/>
      <c r="V621" s="268"/>
      <c r="W621" s="268"/>
      <c r="X621" s="268"/>
      <c r="Y621" s="268"/>
      <c r="Z621" s="268"/>
      <c r="AA621" s="268"/>
      <c r="AB621" s="268"/>
      <c r="AC621" s="269"/>
      <c r="AD621" s="267">
        <f>SUMIFS('Adv. Filter'!$BJ$1:$BJ$50000,'Adv. Filter'!$BT$1:$BT$50000,"Pradeep",'Adv. Filter'!$BQ$1:$BQ$50000,$C620,'Adv. Filter'!$BH$1:$BH$50000,"Bank",'Adv. Filter'!$BO$1:$BO$50000,'Adv. Filter'!$A$14,'Adv. Filter'!$BO$1:$BO$50000,'Adv. Filter'!$B$14,'Adv. Filter'!$BP$1:$BP$50000,"Project")</f>
        <v>0</v>
      </c>
      <c r="AE621" s="268"/>
      <c r="AF621" s="268"/>
      <c r="AG621" s="268"/>
      <c r="AH621" s="268"/>
      <c r="AI621" s="268"/>
      <c r="AJ621" s="268"/>
      <c r="AK621" s="268"/>
      <c r="AL621" s="268"/>
      <c r="AM621" s="269"/>
      <c r="AN621" s="267">
        <f t="shared" si="22"/>
        <v>0</v>
      </c>
      <c r="AO621" s="268"/>
      <c r="AP621" s="268"/>
      <c r="AQ621" s="268"/>
      <c r="AR621" s="268"/>
      <c r="AS621" s="268"/>
      <c r="AT621" s="268"/>
      <c r="AU621" s="268"/>
      <c r="AV621" s="268"/>
      <c r="AW621" s="269"/>
      <c r="AX621" s="22"/>
      <c r="AY621" s="308" t="s">
        <v>115</v>
      </c>
      <c r="AZ621" s="309"/>
      <c r="BA621" s="309"/>
      <c r="BB621" s="309"/>
      <c r="BC621" s="309"/>
      <c r="BD621" s="309"/>
      <c r="BE621" s="309"/>
      <c r="BF621" s="309"/>
      <c r="BG621" s="309"/>
      <c r="BH621" s="309"/>
      <c r="BI621" s="309"/>
      <c r="BJ621" s="309"/>
      <c r="BK621" s="309"/>
      <c r="BL621" s="309"/>
      <c r="BM621" s="309"/>
      <c r="BN621" s="309"/>
      <c r="BO621" s="310"/>
      <c r="BP621" s="267">
        <f>SUMIFS('Adv. Filter'!$BJ$1:$BJ$50000,'Adv. Filter'!$BT$1:$BT$50000,"Pradeep",'Adv. Filter'!$BQ$1:$BQ$50000,$AY620,'Adv. Filter'!$BH$1:$BH$50000,"Cash",'Adv. Filter'!$BO$1:$BO$50000,"&lt;"&amp;'Adv. Filter'!$A$15,'Adv. Filter'!$BP$1:$BP$50000,"Project")</f>
        <v>0</v>
      </c>
      <c r="BQ621" s="268"/>
      <c r="BR621" s="268"/>
      <c r="BS621" s="268"/>
      <c r="BT621" s="268"/>
      <c r="BU621" s="268"/>
      <c r="BV621" s="268"/>
      <c r="BW621" s="268"/>
      <c r="BX621" s="268"/>
      <c r="BY621" s="269"/>
      <c r="BZ621" s="267">
        <f>SUMIFS('Adv. Filter'!$BJ$1:$BJ$50000,'Adv. Filter'!$BT$1:$BT$50000,"Pradeep",'Adv. Filter'!$BQ$1:$BQ$50000,$AY620,'Adv. Filter'!$BH$1:$BH$50000,"Bank",'Adv. Filter'!$BO$1:$BO$50000,"&lt;"&amp;'Adv. Filter'!$A$15,'Adv. Filter'!$BP$1:$BP$50000,"Project")</f>
        <v>0</v>
      </c>
      <c r="CA621" s="268"/>
      <c r="CB621" s="268"/>
      <c r="CC621" s="268"/>
      <c r="CD621" s="268"/>
      <c r="CE621" s="268"/>
      <c r="CF621" s="268"/>
      <c r="CG621" s="268"/>
      <c r="CH621" s="268"/>
      <c r="CI621" s="269"/>
      <c r="CJ621" s="267">
        <f t="shared" si="23"/>
        <v>0</v>
      </c>
      <c r="CK621" s="268"/>
      <c r="CL621" s="268"/>
      <c r="CM621" s="268"/>
      <c r="CN621" s="268"/>
      <c r="CO621" s="268"/>
      <c r="CP621" s="268"/>
      <c r="CQ621" s="268"/>
      <c r="CR621" s="268"/>
      <c r="CS621" s="269"/>
    </row>
    <row r="622" spans="1:112" hidden="1">
      <c r="C622" s="308" t="s">
        <v>510</v>
      </c>
      <c r="D622" s="309"/>
      <c r="E622" s="309"/>
      <c r="F622" s="309"/>
      <c r="G622" s="309"/>
      <c r="H622" s="309"/>
      <c r="I622" s="309"/>
      <c r="J622" s="309"/>
      <c r="K622" s="309"/>
      <c r="L622" s="309"/>
      <c r="M622" s="309"/>
      <c r="N622" s="309"/>
      <c r="O622" s="309"/>
      <c r="P622" s="309"/>
      <c r="Q622" s="309"/>
      <c r="R622" s="309"/>
      <c r="S622" s="310"/>
      <c r="T622" s="267">
        <v>0</v>
      </c>
      <c r="U622" s="268"/>
      <c r="V622" s="268"/>
      <c r="W622" s="268"/>
      <c r="X622" s="268"/>
      <c r="Y622" s="268"/>
      <c r="Z622" s="268"/>
      <c r="AA622" s="268"/>
      <c r="AB622" s="268"/>
      <c r="AC622" s="269"/>
      <c r="AD622" s="267">
        <v>0</v>
      </c>
      <c r="AE622" s="268"/>
      <c r="AF622" s="268"/>
      <c r="AG622" s="268"/>
      <c r="AH622" s="268"/>
      <c r="AI622" s="268"/>
      <c r="AJ622" s="268"/>
      <c r="AK622" s="268"/>
      <c r="AL622" s="268"/>
      <c r="AM622" s="269"/>
      <c r="AN622" s="267">
        <f t="shared" si="22"/>
        <v>0</v>
      </c>
      <c r="AO622" s="268"/>
      <c r="AP622" s="268"/>
      <c r="AQ622" s="268"/>
      <c r="AR622" s="268"/>
      <c r="AS622" s="268"/>
      <c r="AT622" s="268"/>
      <c r="AU622" s="268"/>
      <c r="AV622" s="268"/>
      <c r="AW622" s="269"/>
      <c r="AX622" s="22"/>
      <c r="AY622" s="308" t="s">
        <v>510</v>
      </c>
      <c r="AZ622" s="309"/>
      <c r="BA622" s="309"/>
      <c r="BB622" s="309"/>
      <c r="BC622" s="309"/>
      <c r="BD622" s="309"/>
      <c r="BE622" s="309"/>
      <c r="BF622" s="309"/>
      <c r="BG622" s="309"/>
      <c r="BH622" s="309"/>
      <c r="BI622" s="309"/>
      <c r="BJ622" s="309"/>
      <c r="BK622" s="309"/>
      <c r="BL622" s="309"/>
      <c r="BM622" s="309"/>
      <c r="BN622" s="309"/>
      <c r="BO622" s="310"/>
      <c r="BP622" s="267"/>
      <c r="BQ622" s="268"/>
      <c r="BR622" s="268"/>
      <c r="BS622" s="268"/>
      <c r="BT622" s="268"/>
      <c r="BU622" s="268"/>
      <c r="BV622" s="268"/>
      <c r="BW622" s="268"/>
      <c r="BX622" s="268"/>
      <c r="BY622" s="269"/>
      <c r="BZ622" s="267"/>
      <c r="CA622" s="268"/>
      <c r="CB622" s="268"/>
      <c r="CC622" s="268"/>
      <c r="CD622" s="268"/>
      <c r="CE622" s="268"/>
      <c r="CF622" s="268"/>
      <c r="CG622" s="268"/>
      <c r="CH622" s="268"/>
      <c r="CI622" s="269"/>
      <c r="CJ622" s="267">
        <f t="shared" si="23"/>
        <v>0</v>
      </c>
      <c r="CK622" s="268"/>
      <c r="CL622" s="268"/>
      <c r="CM622" s="268"/>
      <c r="CN622" s="268"/>
      <c r="CO622" s="268"/>
      <c r="CP622" s="268"/>
      <c r="CQ622" s="268"/>
      <c r="CR622" s="268"/>
      <c r="CS622" s="269"/>
    </row>
    <row r="623" spans="1:112" hidden="1">
      <c r="C623" s="43"/>
      <c r="D623" s="36" t="str">
        <f>IF(AN620=0,C620&amp;" -","")</f>
        <v>Canara -</v>
      </c>
      <c r="E623" s="42"/>
      <c r="F623" s="42"/>
      <c r="G623" s="42"/>
      <c r="H623" s="42"/>
      <c r="I623" s="42"/>
      <c r="J623" s="42"/>
      <c r="K623" s="42"/>
      <c r="L623" s="42"/>
      <c r="M623" s="42"/>
      <c r="N623" s="42"/>
      <c r="O623" s="42"/>
      <c r="P623" s="1"/>
      <c r="Q623" s="42"/>
      <c r="R623" s="41" t="s">
        <v>275</v>
      </c>
      <c r="S623" s="40"/>
      <c r="T623" s="267">
        <f>SUMIFS('Adv. Filter'!$CH$1:$CH$50000,'Adv. Filter'!$CD$1:$CD$50000,"Pradeep",'Adv. Filter'!$CE$1:$CE$50000,$C620,'Adv. Filter'!$CC$1:$CC$50000,"Suspense",'Adv. Filter'!$CF$1:$CF$50000,"Cash")</f>
        <v>0</v>
      </c>
      <c r="U623" s="268"/>
      <c r="V623" s="268"/>
      <c r="W623" s="268"/>
      <c r="X623" s="268"/>
      <c r="Y623" s="268"/>
      <c r="Z623" s="268"/>
      <c r="AA623" s="268"/>
      <c r="AB623" s="268"/>
      <c r="AC623" s="269"/>
      <c r="AD623" s="267">
        <f>SUMIFS('Adv. Filter'!$CH$1:$CH$50000,'Adv. Filter'!$CD$1:$CD$50000,"Pradeep",'Adv. Filter'!$CE$1:$CE$50000,$C620,'Adv. Filter'!$CC$1:$CC$50000,"Suspense",'Adv. Filter'!$CF$1:$CF$50000,"Bank")</f>
        <v>0</v>
      </c>
      <c r="AE623" s="268"/>
      <c r="AF623" s="268"/>
      <c r="AG623" s="268"/>
      <c r="AH623" s="268"/>
      <c r="AI623" s="268"/>
      <c r="AJ623" s="268"/>
      <c r="AK623" s="268"/>
      <c r="AL623" s="268"/>
      <c r="AM623" s="269"/>
      <c r="AN623" s="267">
        <f t="shared" si="22"/>
        <v>0</v>
      </c>
      <c r="AO623" s="268"/>
      <c r="AP623" s="268"/>
      <c r="AQ623" s="268"/>
      <c r="AR623" s="268"/>
      <c r="AS623" s="268"/>
      <c r="AT623" s="268"/>
      <c r="AU623" s="268"/>
      <c r="AV623" s="268"/>
      <c r="AW623" s="269"/>
      <c r="AX623" s="22"/>
      <c r="AY623" s="43"/>
      <c r="AZ623" s="36" t="str">
        <f>IF(CJ620=0,AY620&amp;" -","")</f>
        <v>Canara -</v>
      </c>
      <c r="BA623" s="42"/>
      <c r="BB623" s="42"/>
      <c r="BC623" s="42"/>
      <c r="BD623" s="42"/>
      <c r="BE623" s="42"/>
      <c r="BF623" s="42"/>
      <c r="BG623" s="42"/>
      <c r="BH623" s="42"/>
      <c r="BI623" s="42"/>
      <c r="BJ623" s="42"/>
      <c r="BK623" s="42"/>
      <c r="BL623" s="1"/>
      <c r="BM623" s="42"/>
      <c r="BN623" s="41" t="s">
        <v>275</v>
      </c>
      <c r="BO623" s="40"/>
      <c r="BP623" s="267"/>
      <c r="BQ623" s="268"/>
      <c r="BR623" s="268"/>
      <c r="BS623" s="268"/>
      <c r="BT623" s="268"/>
      <c r="BU623" s="268"/>
      <c r="BV623" s="268"/>
      <c r="BW623" s="268"/>
      <c r="BX623" s="268"/>
      <c r="BY623" s="269"/>
      <c r="BZ623" s="267"/>
      <c r="CA623" s="268"/>
      <c r="CB623" s="268"/>
      <c r="CC623" s="268"/>
      <c r="CD623" s="268"/>
      <c r="CE623" s="268"/>
      <c r="CF623" s="268"/>
      <c r="CG623" s="268"/>
      <c r="CH623" s="268"/>
      <c r="CI623" s="269"/>
      <c r="CJ623" s="267">
        <f t="shared" si="23"/>
        <v>0</v>
      </c>
      <c r="CK623" s="268"/>
      <c r="CL623" s="268"/>
      <c r="CM623" s="268"/>
      <c r="CN623" s="268"/>
      <c r="CO623" s="268"/>
      <c r="CP623" s="268"/>
      <c r="CQ623" s="268"/>
      <c r="CR623" s="268"/>
      <c r="CS623" s="269"/>
    </row>
    <row r="624" spans="1:112" hidden="1">
      <c r="A624" s="44"/>
      <c r="B624" s="44"/>
      <c r="C624" s="293" t="s">
        <v>70</v>
      </c>
      <c r="D624" s="294"/>
      <c r="E624" s="294"/>
      <c r="F624" s="294"/>
      <c r="G624" s="294"/>
      <c r="H624" s="294"/>
      <c r="I624" s="294"/>
      <c r="J624" s="294"/>
      <c r="K624" s="294"/>
      <c r="L624" s="294"/>
      <c r="M624" s="294"/>
      <c r="N624" s="294"/>
      <c r="O624" s="294"/>
      <c r="P624" s="294"/>
      <c r="Q624" s="294"/>
      <c r="R624" s="294"/>
      <c r="S624" s="295"/>
      <c r="T624" s="276">
        <f>SUMIFS('Adv. Filter'!$BJ$1:$BJ$50000,'Adv. Filter'!$BT$1:$BT$50000,"Pradeep",'Adv. Filter'!$BQ$1:$BQ$50000,$C624,'Adv. Filter'!$BH$1:$BH$50000,"Cash",'Adv. Filter'!$BO$1:$BO$50000,'Adv. Filter'!$A$14,'Adv. Filter'!$BO$1:$BO$50000,'Adv. Filter'!$B$14)</f>
        <v>0</v>
      </c>
      <c r="U624" s="277"/>
      <c r="V624" s="277"/>
      <c r="W624" s="277"/>
      <c r="X624" s="277"/>
      <c r="Y624" s="277"/>
      <c r="Z624" s="277"/>
      <c r="AA624" s="277"/>
      <c r="AB624" s="277"/>
      <c r="AC624" s="278"/>
      <c r="AD624" s="276">
        <f>SUMIFS('Adv. Filter'!$BJ$1:$BJ$50000,'Adv. Filter'!$BT$1:$BT$50000,"Pradeep",'Adv. Filter'!$BQ$1:$BQ$50000,$C624,'Adv. Filter'!$BH$1:$BH$50000,"Bank",'Adv. Filter'!$BO$1:$BO$50000,'Adv. Filter'!$A$14,'Adv. Filter'!$BO$1:$BO$50000,'Adv. Filter'!$B$14)</f>
        <v>0</v>
      </c>
      <c r="AE624" s="277"/>
      <c r="AF624" s="277"/>
      <c r="AG624" s="277"/>
      <c r="AH624" s="277"/>
      <c r="AI624" s="277"/>
      <c r="AJ624" s="277"/>
      <c r="AK624" s="277"/>
      <c r="AL624" s="277"/>
      <c r="AM624" s="278"/>
      <c r="AN624" s="276">
        <f t="shared" si="22"/>
        <v>0</v>
      </c>
      <c r="AO624" s="277"/>
      <c r="AP624" s="277"/>
      <c r="AQ624" s="277"/>
      <c r="AR624" s="277"/>
      <c r="AS624" s="277"/>
      <c r="AT624" s="277"/>
      <c r="AU624" s="277"/>
      <c r="AV624" s="277"/>
      <c r="AW624" s="278"/>
      <c r="AX624" s="45"/>
      <c r="AY624" s="293" t="s">
        <v>70</v>
      </c>
      <c r="AZ624" s="294"/>
      <c r="BA624" s="294"/>
      <c r="BB624" s="294"/>
      <c r="BC624" s="294"/>
      <c r="BD624" s="294"/>
      <c r="BE624" s="294"/>
      <c r="BF624" s="294"/>
      <c r="BG624" s="294"/>
      <c r="BH624" s="294"/>
      <c r="BI624" s="294"/>
      <c r="BJ624" s="294"/>
      <c r="BK624" s="294"/>
      <c r="BL624" s="294"/>
      <c r="BM624" s="294"/>
      <c r="BN624" s="294"/>
      <c r="BO624" s="295"/>
      <c r="BP624" s="276">
        <f>SUMIFS('Adv. Filter'!$BJ$1:$BJ$50000,'Adv. Filter'!$BT$1:$BT$50000,"Pradeep",'Adv. Filter'!$BQ$1:$BQ$50000,$AY624,'Adv. Filter'!$BH$1:$BH$50000,"Cash",'Adv. Filter'!$BO$1:$BO$50000,"&lt;"&amp;'Adv. Filter'!$A$15)</f>
        <v>0</v>
      </c>
      <c r="BQ624" s="277"/>
      <c r="BR624" s="277"/>
      <c r="BS624" s="277"/>
      <c r="BT624" s="277"/>
      <c r="BU624" s="277"/>
      <c r="BV624" s="277"/>
      <c r="BW624" s="277"/>
      <c r="BX624" s="277"/>
      <c r="BY624" s="278"/>
      <c r="BZ624" s="276">
        <f>SUMIFS('Adv. Filter'!$BJ$1:$BJ$50000,'Adv. Filter'!$BT$1:$BT$50000,"Pradeep",'Adv. Filter'!$BQ$1:$BQ$50000,$AY624,'Adv. Filter'!$BH$1:$BH$50000,"Bank",'Adv. Filter'!$BO$1:$BO$50000,"&lt;"&amp;'Adv. Filter'!$A$15)</f>
        <v>0</v>
      </c>
      <c r="CA624" s="277"/>
      <c r="CB624" s="277"/>
      <c r="CC624" s="277"/>
      <c r="CD624" s="277"/>
      <c r="CE624" s="277"/>
      <c r="CF624" s="277"/>
      <c r="CG624" s="277"/>
      <c r="CH624" s="277"/>
      <c r="CI624" s="278"/>
      <c r="CJ624" s="276">
        <f t="shared" si="23"/>
        <v>0</v>
      </c>
      <c r="CK624" s="277"/>
      <c r="CL624" s="277"/>
      <c r="CM624" s="277"/>
      <c r="CN624" s="277"/>
      <c r="CO624" s="277"/>
      <c r="CP624" s="277"/>
      <c r="CQ624" s="277"/>
      <c r="CR624" s="277"/>
      <c r="CS624" s="278"/>
      <c r="CT624" s="44"/>
      <c r="CU624" s="44"/>
      <c r="CV624" s="44"/>
      <c r="CW624" s="44"/>
      <c r="CX624" s="44"/>
      <c r="CY624" s="44"/>
      <c r="CZ624" s="44"/>
    </row>
    <row r="625" spans="1:104" hidden="1">
      <c r="C625" s="308" t="s">
        <v>115</v>
      </c>
      <c r="D625" s="309"/>
      <c r="E625" s="309"/>
      <c r="F625" s="309"/>
      <c r="G625" s="309"/>
      <c r="H625" s="309"/>
      <c r="I625" s="309"/>
      <c r="J625" s="309"/>
      <c r="K625" s="309"/>
      <c r="L625" s="309"/>
      <c r="M625" s="309"/>
      <c r="N625" s="309"/>
      <c r="O625" s="309"/>
      <c r="P625" s="309"/>
      <c r="Q625" s="309"/>
      <c r="R625" s="309"/>
      <c r="S625" s="310"/>
      <c r="T625" s="267">
        <f>SUMIFS('Adv. Filter'!$BJ$1:$BJ$50000,'Adv. Filter'!$BT$1:$BT$50000,"Pradeep",'Adv. Filter'!$BQ$1:$BQ$50000,$C624,'Adv. Filter'!$BH$1:$BH$50000,"Cash",'Adv. Filter'!$BO$1:$BO$50000,'Adv. Filter'!$A$14,'Adv. Filter'!$BO$1:$BO$50000,'Adv. Filter'!$B$14,'Adv. Filter'!$BP$1:$BP$50000,"Project")</f>
        <v>0</v>
      </c>
      <c r="U625" s="268"/>
      <c r="V625" s="268"/>
      <c r="W625" s="268"/>
      <c r="X625" s="268"/>
      <c r="Y625" s="268"/>
      <c r="Z625" s="268"/>
      <c r="AA625" s="268"/>
      <c r="AB625" s="268"/>
      <c r="AC625" s="269"/>
      <c r="AD625" s="267">
        <f>SUMIFS('Adv. Filter'!$BJ$1:$BJ$50000,'Adv. Filter'!$BT$1:$BT$50000,"Pradeep",'Adv. Filter'!$BQ$1:$BQ$50000,$C624,'Adv. Filter'!$BH$1:$BH$50000,"Bank",'Adv. Filter'!$BO$1:$BO$50000,'Adv. Filter'!$A$14,'Adv. Filter'!$BO$1:$BO$50000,'Adv. Filter'!$B$14,'Adv. Filter'!$BP$1:$BP$50000,"Project")</f>
        <v>0</v>
      </c>
      <c r="AE625" s="268"/>
      <c r="AF625" s="268"/>
      <c r="AG625" s="268"/>
      <c r="AH625" s="268"/>
      <c r="AI625" s="268"/>
      <c r="AJ625" s="268"/>
      <c r="AK625" s="268"/>
      <c r="AL625" s="268"/>
      <c r="AM625" s="269"/>
      <c r="AN625" s="267">
        <f t="shared" si="22"/>
        <v>0</v>
      </c>
      <c r="AO625" s="268"/>
      <c r="AP625" s="268"/>
      <c r="AQ625" s="268"/>
      <c r="AR625" s="268"/>
      <c r="AS625" s="268"/>
      <c r="AT625" s="268"/>
      <c r="AU625" s="268"/>
      <c r="AV625" s="268"/>
      <c r="AW625" s="269"/>
      <c r="AX625" s="22"/>
      <c r="AY625" s="308" t="s">
        <v>115</v>
      </c>
      <c r="AZ625" s="309"/>
      <c r="BA625" s="309"/>
      <c r="BB625" s="309"/>
      <c r="BC625" s="309"/>
      <c r="BD625" s="309"/>
      <c r="BE625" s="309"/>
      <c r="BF625" s="309"/>
      <c r="BG625" s="309"/>
      <c r="BH625" s="309"/>
      <c r="BI625" s="309"/>
      <c r="BJ625" s="309"/>
      <c r="BK625" s="309"/>
      <c r="BL625" s="309"/>
      <c r="BM625" s="309"/>
      <c r="BN625" s="309"/>
      <c r="BO625" s="310"/>
      <c r="BP625" s="267">
        <f>SUMIFS('Adv. Filter'!$BJ$1:$BJ$50000,'Adv. Filter'!$BT$1:$BT$50000,"Pradeep",'Adv. Filter'!$BQ$1:$BQ$50000,$AY624,'Adv. Filter'!$BH$1:$BH$50000,"Cash",'Adv. Filter'!$BO$1:$BO$50000,"&lt;"&amp;'Adv. Filter'!$A$15,'Adv. Filter'!$BP$1:$BP$50000,"Project")</f>
        <v>0</v>
      </c>
      <c r="BQ625" s="268"/>
      <c r="BR625" s="268"/>
      <c r="BS625" s="268"/>
      <c r="BT625" s="268"/>
      <c r="BU625" s="268"/>
      <c r="BV625" s="268"/>
      <c r="BW625" s="268"/>
      <c r="BX625" s="268"/>
      <c r="BY625" s="269"/>
      <c r="BZ625" s="267">
        <f>SUMIFS('Adv. Filter'!$BJ$1:$BJ$50000,'Adv. Filter'!$BT$1:$BT$50000,"Pradeep",'Adv. Filter'!$BQ$1:$BQ$50000,$AY624,'Adv. Filter'!$BH$1:$BH$50000,"Bank",'Adv. Filter'!$BO$1:$BO$50000,"&lt;"&amp;'Adv. Filter'!$A$15,'Adv. Filter'!$BP$1:$BP$50000,"Project")</f>
        <v>0</v>
      </c>
      <c r="CA625" s="268"/>
      <c r="CB625" s="268"/>
      <c r="CC625" s="268"/>
      <c r="CD625" s="268"/>
      <c r="CE625" s="268"/>
      <c r="CF625" s="268"/>
      <c r="CG625" s="268"/>
      <c r="CH625" s="268"/>
      <c r="CI625" s="269"/>
      <c r="CJ625" s="267">
        <f t="shared" si="23"/>
        <v>0</v>
      </c>
      <c r="CK625" s="268"/>
      <c r="CL625" s="268"/>
      <c r="CM625" s="268"/>
      <c r="CN625" s="268"/>
      <c r="CO625" s="268"/>
      <c r="CP625" s="268"/>
      <c r="CQ625" s="268"/>
      <c r="CR625" s="268"/>
      <c r="CS625" s="269"/>
    </row>
    <row r="626" spans="1:104" hidden="1">
      <c r="C626" s="308" t="s">
        <v>510</v>
      </c>
      <c r="D626" s="309"/>
      <c r="E626" s="309"/>
      <c r="F626" s="309"/>
      <c r="G626" s="309"/>
      <c r="H626" s="309"/>
      <c r="I626" s="309"/>
      <c r="J626" s="309"/>
      <c r="K626" s="309"/>
      <c r="L626" s="309"/>
      <c r="M626" s="309"/>
      <c r="N626" s="309"/>
      <c r="O626" s="309"/>
      <c r="P626" s="309"/>
      <c r="Q626" s="309"/>
      <c r="R626" s="309"/>
      <c r="S626" s="310"/>
      <c r="T626" s="267">
        <v>0</v>
      </c>
      <c r="U626" s="268"/>
      <c r="V626" s="268"/>
      <c r="W626" s="268"/>
      <c r="X626" s="268"/>
      <c r="Y626" s="268"/>
      <c r="Z626" s="268"/>
      <c r="AA626" s="268"/>
      <c r="AB626" s="268"/>
      <c r="AC626" s="269"/>
      <c r="AD626" s="267">
        <v>0</v>
      </c>
      <c r="AE626" s="268"/>
      <c r="AF626" s="268"/>
      <c r="AG626" s="268"/>
      <c r="AH626" s="268"/>
      <c r="AI626" s="268"/>
      <c r="AJ626" s="268"/>
      <c r="AK626" s="268"/>
      <c r="AL626" s="268"/>
      <c r="AM626" s="269"/>
      <c r="AN626" s="267">
        <f t="shared" si="22"/>
        <v>0</v>
      </c>
      <c r="AO626" s="268"/>
      <c r="AP626" s="268"/>
      <c r="AQ626" s="268"/>
      <c r="AR626" s="268"/>
      <c r="AS626" s="268"/>
      <c r="AT626" s="268"/>
      <c r="AU626" s="268"/>
      <c r="AV626" s="268"/>
      <c r="AW626" s="269"/>
      <c r="AX626" s="22"/>
      <c r="AY626" s="308" t="s">
        <v>510</v>
      </c>
      <c r="AZ626" s="309"/>
      <c r="BA626" s="309"/>
      <c r="BB626" s="309"/>
      <c r="BC626" s="309"/>
      <c r="BD626" s="309"/>
      <c r="BE626" s="309"/>
      <c r="BF626" s="309"/>
      <c r="BG626" s="309"/>
      <c r="BH626" s="309"/>
      <c r="BI626" s="309"/>
      <c r="BJ626" s="309"/>
      <c r="BK626" s="309"/>
      <c r="BL626" s="309"/>
      <c r="BM626" s="309"/>
      <c r="BN626" s="309"/>
      <c r="BO626" s="310"/>
      <c r="BP626" s="267"/>
      <c r="BQ626" s="268"/>
      <c r="BR626" s="268"/>
      <c r="BS626" s="268"/>
      <c r="BT626" s="268"/>
      <c r="BU626" s="268"/>
      <c r="BV626" s="268"/>
      <c r="BW626" s="268"/>
      <c r="BX626" s="268"/>
      <c r="BY626" s="269"/>
      <c r="BZ626" s="267"/>
      <c r="CA626" s="268"/>
      <c r="CB626" s="268"/>
      <c r="CC626" s="268"/>
      <c r="CD626" s="268"/>
      <c r="CE626" s="268"/>
      <c r="CF626" s="268"/>
      <c r="CG626" s="268"/>
      <c r="CH626" s="268"/>
      <c r="CI626" s="269"/>
      <c r="CJ626" s="267">
        <f t="shared" si="23"/>
        <v>0</v>
      </c>
      <c r="CK626" s="268"/>
      <c r="CL626" s="268"/>
      <c r="CM626" s="268"/>
      <c r="CN626" s="268"/>
      <c r="CO626" s="268"/>
      <c r="CP626" s="268"/>
      <c r="CQ626" s="268"/>
      <c r="CR626" s="268"/>
      <c r="CS626" s="269"/>
    </row>
    <row r="627" spans="1:104" hidden="1">
      <c r="C627" s="43"/>
      <c r="D627" s="36" t="str">
        <f>IF(AN624=0,C624&amp;" -","")</f>
        <v>Cosmos -</v>
      </c>
      <c r="E627" s="42"/>
      <c r="F627" s="42"/>
      <c r="G627" s="42"/>
      <c r="H627" s="42"/>
      <c r="I627" s="42"/>
      <c r="J627" s="42"/>
      <c r="K627" s="42"/>
      <c r="L627" s="42"/>
      <c r="M627" s="42"/>
      <c r="N627" s="42"/>
      <c r="O627" s="42"/>
      <c r="P627" s="1"/>
      <c r="Q627" s="42"/>
      <c r="R627" s="41" t="s">
        <v>275</v>
      </c>
      <c r="S627" s="40"/>
      <c r="T627" s="267">
        <f>SUMIFS('Adv. Filter'!$CH$1:$CH$50000,'Adv. Filter'!$CD$1:$CD$50000,"Pradeep",'Adv. Filter'!$CE$1:$CE$50000,$C624,'Adv. Filter'!$CC$1:$CC$50000,"Suspense",'Adv. Filter'!$CF$1:$CF$50000,"Cash")</f>
        <v>0</v>
      </c>
      <c r="U627" s="268"/>
      <c r="V627" s="268"/>
      <c r="W627" s="268"/>
      <c r="X627" s="268"/>
      <c r="Y627" s="268"/>
      <c r="Z627" s="268"/>
      <c r="AA627" s="268"/>
      <c r="AB627" s="268"/>
      <c r="AC627" s="269"/>
      <c r="AD627" s="267">
        <f>SUMIFS('Adv. Filter'!$CH$1:$CH$50000,'Adv. Filter'!$CD$1:$CD$50000,"Pradeep",'Adv. Filter'!$CE$1:$CE$50000,$C624,'Adv. Filter'!$CC$1:$CC$50000,"Suspense",'Adv. Filter'!$CF$1:$CF$50000,"Bank")</f>
        <v>0</v>
      </c>
      <c r="AE627" s="268"/>
      <c r="AF627" s="268"/>
      <c r="AG627" s="268"/>
      <c r="AH627" s="268"/>
      <c r="AI627" s="268"/>
      <c r="AJ627" s="268"/>
      <c r="AK627" s="268"/>
      <c r="AL627" s="268"/>
      <c r="AM627" s="269"/>
      <c r="AN627" s="267">
        <f t="shared" si="22"/>
        <v>0</v>
      </c>
      <c r="AO627" s="268"/>
      <c r="AP627" s="268"/>
      <c r="AQ627" s="268"/>
      <c r="AR627" s="268"/>
      <c r="AS627" s="268"/>
      <c r="AT627" s="268"/>
      <c r="AU627" s="268"/>
      <c r="AV627" s="268"/>
      <c r="AW627" s="269"/>
      <c r="AX627" s="22"/>
      <c r="AY627" s="43"/>
      <c r="AZ627" s="36" t="str">
        <f>IF(CJ624=0,AY624&amp;" -","")</f>
        <v>Cosmos -</v>
      </c>
      <c r="BA627" s="42"/>
      <c r="BB627" s="42"/>
      <c r="BC627" s="42"/>
      <c r="BD627" s="42"/>
      <c r="BE627" s="42"/>
      <c r="BF627" s="42"/>
      <c r="BG627" s="42"/>
      <c r="BH627" s="42"/>
      <c r="BI627" s="42"/>
      <c r="BJ627" s="42"/>
      <c r="BK627" s="42"/>
      <c r="BL627" s="1"/>
      <c r="BM627" s="42"/>
      <c r="BN627" s="41" t="s">
        <v>275</v>
      </c>
      <c r="BO627" s="40"/>
      <c r="BP627" s="267"/>
      <c r="BQ627" s="268"/>
      <c r="BR627" s="268"/>
      <c r="BS627" s="268"/>
      <c r="BT627" s="268"/>
      <c r="BU627" s="268"/>
      <c r="BV627" s="268"/>
      <c r="BW627" s="268"/>
      <c r="BX627" s="268"/>
      <c r="BY627" s="269"/>
      <c r="BZ627" s="267"/>
      <c r="CA627" s="268"/>
      <c r="CB627" s="268"/>
      <c r="CC627" s="268"/>
      <c r="CD627" s="268"/>
      <c r="CE627" s="268"/>
      <c r="CF627" s="268"/>
      <c r="CG627" s="268"/>
      <c r="CH627" s="268"/>
      <c r="CI627" s="269"/>
      <c r="CJ627" s="267">
        <f t="shared" si="23"/>
        <v>0</v>
      </c>
      <c r="CK627" s="268"/>
      <c r="CL627" s="268"/>
      <c r="CM627" s="268"/>
      <c r="CN627" s="268"/>
      <c r="CO627" s="268"/>
      <c r="CP627" s="268"/>
      <c r="CQ627" s="268"/>
      <c r="CR627" s="268"/>
      <c r="CS627" s="269"/>
    </row>
    <row r="628" spans="1:104" hidden="1">
      <c r="A628" s="44"/>
      <c r="B628" s="44"/>
      <c r="C628" s="293" t="s">
        <v>77</v>
      </c>
      <c r="D628" s="294"/>
      <c r="E628" s="294"/>
      <c r="F628" s="294"/>
      <c r="G628" s="294"/>
      <c r="H628" s="294"/>
      <c r="I628" s="294"/>
      <c r="J628" s="294"/>
      <c r="K628" s="294"/>
      <c r="L628" s="294"/>
      <c r="M628" s="294"/>
      <c r="N628" s="294"/>
      <c r="O628" s="294"/>
      <c r="P628" s="294"/>
      <c r="Q628" s="294"/>
      <c r="R628" s="294"/>
      <c r="S628" s="295"/>
      <c r="T628" s="276">
        <f>SUMIFS('Adv. Filter'!$BJ$1:$BJ$50000,'Adv. Filter'!$BT$1:$BT$50000,"Pradeep",'Adv. Filter'!$BQ$1:$BQ$50000,$C628,'Adv. Filter'!$BH$1:$BH$50000,"Cash",'Adv. Filter'!$BO$1:$BO$50000,'Adv. Filter'!$A$14,'Adv. Filter'!$BO$1:$BO$50000,'Adv. Filter'!$B$14)</f>
        <v>0</v>
      </c>
      <c r="U628" s="277"/>
      <c r="V628" s="277"/>
      <c r="W628" s="277"/>
      <c r="X628" s="277"/>
      <c r="Y628" s="277"/>
      <c r="Z628" s="277"/>
      <c r="AA628" s="277"/>
      <c r="AB628" s="277"/>
      <c r="AC628" s="278"/>
      <c r="AD628" s="276">
        <f>SUMIFS('Adv. Filter'!$BJ$1:$BJ$50000,'Adv. Filter'!$BT$1:$BT$50000,"Pradeep",'Adv. Filter'!$BQ$1:$BQ$50000,$C628,'Adv. Filter'!$BH$1:$BH$50000,"Bank",'Adv. Filter'!$BO$1:$BO$50000,'Adv. Filter'!$A$14,'Adv. Filter'!$BO$1:$BO$50000,'Adv. Filter'!$B$14)</f>
        <v>0</v>
      </c>
      <c r="AE628" s="277"/>
      <c r="AF628" s="277"/>
      <c r="AG628" s="277"/>
      <c r="AH628" s="277"/>
      <c r="AI628" s="277"/>
      <c r="AJ628" s="277"/>
      <c r="AK628" s="277"/>
      <c r="AL628" s="277"/>
      <c r="AM628" s="278"/>
      <c r="AN628" s="276">
        <f t="shared" si="22"/>
        <v>0</v>
      </c>
      <c r="AO628" s="277"/>
      <c r="AP628" s="277"/>
      <c r="AQ628" s="277"/>
      <c r="AR628" s="277"/>
      <c r="AS628" s="277"/>
      <c r="AT628" s="277"/>
      <c r="AU628" s="277"/>
      <c r="AV628" s="277"/>
      <c r="AW628" s="278"/>
      <c r="AX628" s="45"/>
      <c r="AY628" s="293" t="s">
        <v>77</v>
      </c>
      <c r="AZ628" s="294"/>
      <c r="BA628" s="294"/>
      <c r="BB628" s="294"/>
      <c r="BC628" s="294"/>
      <c r="BD628" s="294"/>
      <c r="BE628" s="294"/>
      <c r="BF628" s="294"/>
      <c r="BG628" s="294"/>
      <c r="BH628" s="294"/>
      <c r="BI628" s="294"/>
      <c r="BJ628" s="294"/>
      <c r="BK628" s="294"/>
      <c r="BL628" s="294"/>
      <c r="BM628" s="294"/>
      <c r="BN628" s="294"/>
      <c r="BO628" s="295"/>
      <c r="BP628" s="276">
        <f>SUMIFS('Adv. Filter'!$BJ$1:$BJ$50000,'Adv. Filter'!$BT$1:$BT$50000,"Pradeep",'Adv. Filter'!$BQ$1:$BQ$50000,$AY628,'Adv. Filter'!$BH$1:$BH$50000,"Cash",'Adv. Filter'!$BO$1:$BO$50000,"&lt;"&amp;'Adv. Filter'!$A$15)</f>
        <v>0</v>
      </c>
      <c r="BQ628" s="277"/>
      <c r="BR628" s="277"/>
      <c r="BS628" s="277"/>
      <c r="BT628" s="277"/>
      <c r="BU628" s="277"/>
      <c r="BV628" s="277"/>
      <c r="BW628" s="277"/>
      <c r="BX628" s="277"/>
      <c r="BY628" s="278"/>
      <c r="BZ628" s="276">
        <f>SUMIFS('Adv. Filter'!$BJ$1:$BJ$50000,'Adv. Filter'!$BT$1:$BT$50000,"Pradeep",'Adv. Filter'!$BQ$1:$BQ$50000,$AY628,'Adv. Filter'!$BH$1:$BH$50000,"Bank",'Adv. Filter'!$BO$1:$BO$50000,"&lt;"&amp;'Adv. Filter'!$A$15)</f>
        <v>0</v>
      </c>
      <c r="CA628" s="277"/>
      <c r="CB628" s="277"/>
      <c r="CC628" s="277"/>
      <c r="CD628" s="277"/>
      <c r="CE628" s="277"/>
      <c r="CF628" s="277"/>
      <c r="CG628" s="277"/>
      <c r="CH628" s="277"/>
      <c r="CI628" s="278"/>
      <c r="CJ628" s="276">
        <f t="shared" si="23"/>
        <v>0</v>
      </c>
      <c r="CK628" s="277"/>
      <c r="CL628" s="277"/>
      <c r="CM628" s="277"/>
      <c r="CN628" s="277"/>
      <c r="CO628" s="277"/>
      <c r="CP628" s="277"/>
      <c r="CQ628" s="277"/>
      <c r="CR628" s="277"/>
      <c r="CS628" s="278"/>
      <c r="CT628" s="44"/>
      <c r="CU628" s="44"/>
      <c r="CV628" s="44"/>
      <c r="CW628" s="44"/>
      <c r="CX628" s="44"/>
      <c r="CY628" s="44"/>
      <c r="CZ628" s="44"/>
    </row>
    <row r="629" spans="1:104" hidden="1">
      <c r="C629" s="308" t="s">
        <v>115</v>
      </c>
      <c r="D629" s="309"/>
      <c r="E629" s="309"/>
      <c r="F629" s="309"/>
      <c r="G629" s="309"/>
      <c r="H629" s="309"/>
      <c r="I629" s="309"/>
      <c r="J629" s="309"/>
      <c r="K629" s="309"/>
      <c r="L629" s="309"/>
      <c r="M629" s="309"/>
      <c r="N629" s="309"/>
      <c r="O629" s="309"/>
      <c r="P629" s="309"/>
      <c r="Q629" s="309"/>
      <c r="R629" s="309"/>
      <c r="S629" s="310"/>
      <c r="T629" s="267">
        <f>SUMIFS('Adv. Filter'!$BJ$1:$BJ$50000,'Adv. Filter'!$BT$1:$BT$50000,"Pradeep",'Adv. Filter'!$BQ$1:$BQ$50000,$C628,'Adv. Filter'!$BH$1:$BH$50000,"Cash",'Adv. Filter'!$BO$1:$BO$50000,'Adv. Filter'!$A$14,'Adv. Filter'!$BO$1:$BO$50000,'Adv. Filter'!$B$14,'Adv. Filter'!$BP$1:$BP$50000,"Project")</f>
        <v>0</v>
      </c>
      <c r="U629" s="268"/>
      <c r="V629" s="268"/>
      <c r="W629" s="268"/>
      <c r="X629" s="268"/>
      <c r="Y629" s="268"/>
      <c r="Z629" s="268"/>
      <c r="AA629" s="268"/>
      <c r="AB629" s="268"/>
      <c r="AC629" s="269"/>
      <c r="AD629" s="267">
        <f>SUMIFS('Adv. Filter'!$BJ$1:$BJ$50000,'Adv. Filter'!$BT$1:$BT$50000,"Pradeep",'Adv. Filter'!$BQ$1:$BQ$50000,$C628,'Adv. Filter'!$BH$1:$BH$50000,"Bank",'Adv. Filter'!$BO$1:$BO$50000,'Adv. Filter'!$A$14,'Adv. Filter'!$BO$1:$BO$50000,'Adv. Filter'!$B$14,'Adv. Filter'!$BP$1:$BP$50000,"Project")</f>
        <v>0</v>
      </c>
      <c r="AE629" s="268"/>
      <c r="AF629" s="268"/>
      <c r="AG629" s="268"/>
      <c r="AH629" s="268"/>
      <c r="AI629" s="268"/>
      <c r="AJ629" s="268"/>
      <c r="AK629" s="268"/>
      <c r="AL629" s="268"/>
      <c r="AM629" s="269"/>
      <c r="AN629" s="267">
        <f t="shared" si="22"/>
        <v>0</v>
      </c>
      <c r="AO629" s="268"/>
      <c r="AP629" s="268"/>
      <c r="AQ629" s="268"/>
      <c r="AR629" s="268"/>
      <c r="AS629" s="268"/>
      <c r="AT629" s="268"/>
      <c r="AU629" s="268"/>
      <c r="AV629" s="268"/>
      <c r="AW629" s="269"/>
      <c r="AX629" s="22"/>
      <c r="AY629" s="308" t="s">
        <v>115</v>
      </c>
      <c r="AZ629" s="309"/>
      <c r="BA629" s="309"/>
      <c r="BB629" s="309"/>
      <c r="BC629" s="309"/>
      <c r="BD629" s="309"/>
      <c r="BE629" s="309"/>
      <c r="BF629" s="309"/>
      <c r="BG629" s="309"/>
      <c r="BH629" s="309"/>
      <c r="BI629" s="309"/>
      <c r="BJ629" s="309"/>
      <c r="BK629" s="309"/>
      <c r="BL629" s="309"/>
      <c r="BM629" s="309"/>
      <c r="BN629" s="309"/>
      <c r="BO629" s="310"/>
      <c r="BP629" s="267">
        <f>SUMIFS('Adv. Filter'!$BJ$1:$BJ$50000,'Adv. Filter'!$BT$1:$BT$50000,"Pradeep",'Adv. Filter'!$BQ$1:$BQ$50000,$AY628,'Adv. Filter'!$BH$1:$BH$50000,"Cash",'Adv. Filter'!$BO$1:$BO$50000,"&lt;"&amp;'Adv. Filter'!$A$15,'Adv. Filter'!$BP$1:$BP$50000,"Project")</f>
        <v>0</v>
      </c>
      <c r="BQ629" s="268"/>
      <c r="BR629" s="268"/>
      <c r="BS629" s="268"/>
      <c r="BT629" s="268"/>
      <c r="BU629" s="268"/>
      <c r="BV629" s="268"/>
      <c r="BW629" s="268"/>
      <c r="BX629" s="268"/>
      <c r="BY629" s="269"/>
      <c r="BZ629" s="267">
        <f>SUMIFS('Adv. Filter'!$BJ$1:$BJ$50000,'Adv. Filter'!$BT$1:$BT$50000,"Pradeep",'Adv. Filter'!$BQ$1:$BQ$50000,$AY628,'Adv. Filter'!$BH$1:$BH$50000,"Bank",'Adv. Filter'!$BO$1:$BO$50000,"&lt;"&amp;'Adv. Filter'!$A$15,'Adv. Filter'!$BP$1:$BP$50000,"Project")</f>
        <v>0</v>
      </c>
      <c r="CA629" s="268"/>
      <c r="CB629" s="268"/>
      <c r="CC629" s="268"/>
      <c r="CD629" s="268"/>
      <c r="CE629" s="268"/>
      <c r="CF629" s="268"/>
      <c r="CG629" s="268"/>
      <c r="CH629" s="268"/>
      <c r="CI629" s="269"/>
      <c r="CJ629" s="267">
        <f t="shared" si="23"/>
        <v>0</v>
      </c>
      <c r="CK629" s="268"/>
      <c r="CL629" s="268"/>
      <c r="CM629" s="268"/>
      <c r="CN629" s="268"/>
      <c r="CO629" s="268"/>
      <c r="CP629" s="268"/>
      <c r="CQ629" s="268"/>
      <c r="CR629" s="268"/>
      <c r="CS629" s="269"/>
    </row>
    <row r="630" spans="1:104" hidden="1">
      <c r="C630" s="308" t="s">
        <v>510</v>
      </c>
      <c r="D630" s="309"/>
      <c r="E630" s="309"/>
      <c r="F630" s="309"/>
      <c r="G630" s="309"/>
      <c r="H630" s="309"/>
      <c r="I630" s="309"/>
      <c r="J630" s="309"/>
      <c r="K630" s="309"/>
      <c r="L630" s="309"/>
      <c r="M630" s="309"/>
      <c r="N630" s="309"/>
      <c r="O630" s="309"/>
      <c r="P630" s="309"/>
      <c r="Q630" s="309"/>
      <c r="R630" s="309"/>
      <c r="S630" s="310"/>
      <c r="T630" s="267">
        <v>0</v>
      </c>
      <c r="U630" s="268"/>
      <c r="V630" s="268"/>
      <c r="W630" s="268"/>
      <c r="X630" s="268"/>
      <c r="Y630" s="268"/>
      <c r="Z630" s="268"/>
      <c r="AA630" s="268"/>
      <c r="AB630" s="268"/>
      <c r="AC630" s="269"/>
      <c r="AD630" s="267">
        <v>0</v>
      </c>
      <c r="AE630" s="268"/>
      <c r="AF630" s="268"/>
      <c r="AG630" s="268"/>
      <c r="AH630" s="268"/>
      <c r="AI630" s="268"/>
      <c r="AJ630" s="268"/>
      <c r="AK630" s="268"/>
      <c r="AL630" s="268"/>
      <c r="AM630" s="269"/>
      <c r="AN630" s="267">
        <f t="shared" si="22"/>
        <v>0</v>
      </c>
      <c r="AO630" s="268"/>
      <c r="AP630" s="268"/>
      <c r="AQ630" s="268"/>
      <c r="AR630" s="268"/>
      <c r="AS630" s="268"/>
      <c r="AT630" s="268"/>
      <c r="AU630" s="268"/>
      <c r="AV630" s="268"/>
      <c r="AW630" s="269"/>
      <c r="AX630" s="22"/>
      <c r="AY630" s="308" t="s">
        <v>510</v>
      </c>
      <c r="AZ630" s="309"/>
      <c r="BA630" s="309"/>
      <c r="BB630" s="309"/>
      <c r="BC630" s="309"/>
      <c r="BD630" s="309"/>
      <c r="BE630" s="309"/>
      <c r="BF630" s="309"/>
      <c r="BG630" s="309"/>
      <c r="BH630" s="309"/>
      <c r="BI630" s="309"/>
      <c r="BJ630" s="309"/>
      <c r="BK630" s="309"/>
      <c r="BL630" s="309"/>
      <c r="BM630" s="309"/>
      <c r="BN630" s="309"/>
      <c r="BO630" s="310"/>
      <c r="BP630" s="267"/>
      <c r="BQ630" s="268"/>
      <c r="BR630" s="268"/>
      <c r="BS630" s="268"/>
      <c r="BT630" s="268"/>
      <c r="BU630" s="268"/>
      <c r="BV630" s="268"/>
      <c r="BW630" s="268"/>
      <c r="BX630" s="268"/>
      <c r="BY630" s="269"/>
      <c r="BZ630" s="267"/>
      <c r="CA630" s="268"/>
      <c r="CB630" s="268"/>
      <c r="CC630" s="268"/>
      <c r="CD630" s="268"/>
      <c r="CE630" s="268"/>
      <c r="CF630" s="268"/>
      <c r="CG630" s="268"/>
      <c r="CH630" s="268"/>
      <c r="CI630" s="269"/>
      <c r="CJ630" s="267">
        <f t="shared" si="23"/>
        <v>0</v>
      </c>
      <c r="CK630" s="268"/>
      <c r="CL630" s="268"/>
      <c r="CM630" s="268"/>
      <c r="CN630" s="268"/>
      <c r="CO630" s="268"/>
      <c r="CP630" s="268"/>
      <c r="CQ630" s="268"/>
      <c r="CR630" s="268"/>
      <c r="CS630" s="269"/>
    </row>
    <row r="631" spans="1:104" hidden="1">
      <c r="C631" s="43"/>
      <c r="D631" s="36" t="str">
        <f>IF(AN628=0,C628&amp;" -","")</f>
        <v>Indian -</v>
      </c>
      <c r="E631" s="42"/>
      <c r="F631" s="42"/>
      <c r="G631" s="42"/>
      <c r="H631" s="42"/>
      <c r="I631" s="42"/>
      <c r="J631" s="42"/>
      <c r="K631" s="42"/>
      <c r="L631" s="42"/>
      <c r="M631" s="42"/>
      <c r="N631" s="42"/>
      <c r="O631" s="42"/>
      <c r="P631" s="1"/>
      <c r="Q631" s="42"/>
      <c r="R631" s="41" t="s">
        <v>275</v>
      </c>
      <c r="S631" s="40"/>
      <c r="T631" s="267">
        <f>SUMIFS('Adv. Filter'!$CH$1:$CH$50000,'Adv. Filter'!$CD$1:$CD$50000,"Pradeep",'Adv. Filter'!$CE$1:$CE$50000,$C628,'Adv. Filter'!$CC$1:$CC$50000,"Suspense",'Adv. Filter'!$CF$1:$CF$50000,"Cash")</f>
        <v>0</v>
      </c>
      <c r="U631" s="268"/>
      <c r="V631" s="268"/>
      <c r="W631" s="268"/>
      <c r="X631" s="268"/>
      <c r="Y631" s="268"/>
      <c r="Z631" s="268"/>
      <c r="AA631" s="268"/>
      <c r="AB631" s="268"/>
      <c r="AC631" s="269"/>
      <c r="AD631" s="267">
        <f>SUMIFS('Adv. Filter'!$CH$1:$CH$50000,'Adv. Filter'!$CD$1:$CD$50000,"Pradeep",'Adv. Filter'!$CE$1:$CE$50000,$C628,'Adv. Filter'!$CC$1:$CC$50000,"Suspense",'Adv. Filter'!$CF$1:$CF$50000,"Bank")</f>
        <v>0</v>
      </c>
      <c r="AE631" s="268"/>
      <c r="AF631" s="268"/>
      <c r="AG631" s="268"/>
      <c r="AH631" s="268"/>
      <c r="AI631" s="268"/>
      <c r="AJ631" s="268"/>
      <c r="AK631" s="268"/>
      <c r="AL631" s="268"/>
      <c r="AM631" s="269"/>
      <c r="AN631" s="267">
        <f t="shared" si="22"/>
        <v>0</v>
      </c>
      <c r="AO631" s="268"/>
      <c r="AP631" s="268"/>
      <c r="AQ631" s="268"/>
      <c r="AR631" s="268"/>
      <c r="AS631" s="268"/>
      <c r="AT631" s="268"/>
      <c r="AU631" s="268"/>
      <c r="AV631" s="268"/>
      <c r="AW631" s="269"/>
      <c r="AX631" s="22"/>
      <c r="AY631" s="43"/>
      <c r="AZ631" s="36" t="str">
        <f>IF(CJ628=0,AY628&amp;" -","")</f>
        <v>Indian -</v>
      </c>
      <c r="BA631" s="42"/>
      <c r="BB631" s="42"/>
      <c r="BC631" s="42"/>
      <c r="BD631" s="42"/>
      <c r="BE631" s="42"/>
      <c r="BF631" s="42"/>
      <c r="BG631" s="42"/>
      <c r="BH631" s="42"/>
      <c r="BI631" s="42"/>
      <c r="BJ631" s="42"/>
      <c r="BK631" s="42"/>
      <c r="BL631" s="1"/>
      <c r="BM631" s="42"/>
      <c r="BN631" s="41" t="s">
        <v>275</v>
      </c>
      <c r="BO631" s="40"/>
      <c r="BP631" s="267"/>
      <c r="BQ631" s="268"/>
      <c r="BR631" s="268"/>
      <c r="BS631" s="268"/>
      <c r="BT631" s="268"/>
      <c r="BU631" s="268"/>
      <c r="BV631" s="268"/>
      <c r="BW631" s="268"/>
      <c r="BX631" s="268"/>
      <c r="BY631" s="269"/>
      <c r="BZ631" s="267"/>
      <c r="CA631" s="268"/>
      <c r="CB631" s="268"/>
      <c r="CC631" s="268"/>
      <c r="CD631" s="268"/>
      <c r="CE631" s="268"/>
      <c r="CF631" s="268"/>
      <c r="CG631" s="268"/>
      <c r="CH631" s="268"/>
      <c r="CI631" s="269"/>
      <c r="CJ631" s="267">
        <f t="shared" si="23"/>
        <v>0</v>
      </c>
      <c r="CK631" s="268"/>
      <c r="CL631" s="268"/>
      <c r="CM631" s="268"/>
      <c r="CN631" s="268"/>
      <c r="CO631" s="268"/>
      <c r="CP631" s="268"/>
      <c r="CQ631" s="268"/>
      <c r="CR631" s="268"/>
      <c r="CS631" s="269"/>
    </row>
    <row r="632" spans="1:104" hidden="1">
      <c r="A632" s="44"/>
      <c r="B632" s="44"/>
      <c r="C632" s="293" t="s">
        <v>138</v>
      </c>
      <c r="D632" s="294"/>
      <c r="E632" s="294"/>
      <c r="F632" s="294"/>
      <c r="G632" s="294"/>
      <c r="H632" s="294"/>
      <c r="I632" s="294"/>
      <c r="J632" s="294"/>
      <c r="K632" s="294"/>
      <c r="L632" s="294"/>
      <c r="M632" s="294"/>
      <c r="N632" s="294"/>
      <c r="O632" s="294"/>
      <c r="P632" s="294"/>
      <c r="Q632" s="294"/>
      <c r="R632" s="294"/>
      <c r="S632" s="295"/>
      <c r="T632" s="276">
        <f>SUMIFS('Adv. Filter'!$BJ$1:$BJ$50000,'Adv. Filter'!$BT$1:$BT$50000,"Pradeep",'Adv. Filter'!$BQ$1:$BQ$50000,$C632,'Adv. Filter'!$BH$1:$BH$50000,"Cash",'Adv. Filter'!$BO$1:$BO$50000,'Adv. Filter'!$A$14,'Adv. Filter'!$BO$1:$BO$50000,'Adv. Filter'!$B$14)</f>
        <v>0</v>
      </c>
      <c r="U632" s="277"/>
      <c r="V632" s="277"/>
      <c r="W632" s="277"/>
      <c r="X632" s="277"/>
      <c r="Y632" s="277"/>
      <c r="Z632" s="277"/>
      <c r="AA632" s="277"/>
      <c r="AB632" s="277"/>
      <c r="AC632" s="278"/>
      <c r="AD632" s="276">
        <f>SUMIFS('Adv. Filter'!$BJ$1:$BJ$50000,'Adv. Filter'!$BT$1:$BT$50000,"Pradeep",'Adv. Filter'!$BQ$1:$BQ$50000,$C632,'Adv. Filter'!$BH$1:$BH$50000,"Bank",'Adv. Filter'!$BO$1:$BO$50000,'Adv. Filter'!$A$14,'Adv. Filter'!$BO$1:$BO$50000,'Adv. Filter'!$B$14)</f>
        <v>0</v>
      </c>
      <c r="AE632" s="277"/>
      <c r="AF632" s="277"/>
      <c r="AG632" s="277"/>
      <c r="AH632" s="277"/>
      <c r="AI632" s="277"/>
      <c r="AJ632" s="277"/>
      <c r="AK632" s="277"/>
      <c r="AL632" s="277"/>
      <c r="AM632" s="278"/>
      <c r="AN632" s="276">
        <f t="shared" si="22"/>
        <v>0</v>
      </c>
      <c r="AO632" s="277"/>
      <c r="AP632" s="277"/>
      <c r="AQ632" s="277"/>
      <c r="AR632" s="277"/>
      <c r="AS632" s="277"/>
      <c r="AT632" s="277"/>
      <c r="AU632" s="277"/>
      <c r="AV632" s="277"/>
      <c r="AW632" s="278"/>
      <c r="AX632" s="45"/>
      <c r="AY632" s="293" t="s">
        <v>138</v>
      </c>
      <c r="AZ632" s="294"/>
      <c r="BA632" s="294"/>
      <c r="BB632" s="294"/>
      <c r="BC632" s="294"/>
      <c r="BD632" s="294"/>
      <c r="BE632" s="294"/>
      <c r="BF632" s="294"/>
      <c r="BG632" s="294"/>
      <c r="BH632" s="294"/>
      <c r="BI632" s="294"/>
      <c r="BJ632" s="294"/>
      <c r="BK632" s="294"/>
      <c r="BL632" s="294"/>
      <c r="BM632" s="294"/>
      <c r="BN632" s="294"/>
      <c r="BO632" s="295"/>
      <c r="BP632" s="276">
        <f>SUMIFS('Adv. Filter'!$BJ$1:$BJ$50000,'Adv. Filter'!$BT$1:$BT$50000,"Pradeep",'Adv. Filter'!$BQ$1:$BQ$50000,$AY632,'Adv. Filter'!$BH$1:$BH$50000,"Cash",'Adv. Filter'!$BO$1:$BO$50000,"&lt;"&amp;'Adv. Filter'!$A$15)</f>
        <v>0</v>
      </c>
      <c r="BQ632" s="277"/>
      <c r="BR632" s="277"/>
      <c r="BS632" s="277"/>
      <c r="BT632" s="277"/>
      <c r="BU632" s="277"/>
      <c r="BV632" s="277"/>
      <c r="BW632" s="277"/>
      <c r="BX632" s="277"/>
      <c r="BY632" s="278"/>
      <c r="BZ632" s="276">
        <f>SUMIFS('Adv. Filter'!$BJ$1:$BJ$50000,'Adv. Filter'!$BT$1:$BT$50000,"Pradeep",'Adv. Filter'!$BQ$1:$BQ$50000,$AY632,'Adv. Filter'!$BH$1:$BH$50000,"Bank",'Adv. Filter'!$BO$1:$BO$50000,"&lt;"&amp;'Adv. Filter'!$A$15)</f>
        <v>0</v>
      </c>
      <c r="CA632" s="277"/>
      <c r="CB632" s="277"/>
      <c r="CC632" s="277"/>
      <c r="CD632" s="277"/>
      <c r="CE632" s="277"/>
      <c r="CF632" s="277"/>
      <c r="CG632" s="277"/>
      <c r="CH632" s="277"/>
      <c r="CI632" s="278"/>
      <c r="CJ632" s="276">
        <f t="shared" si="23"/>
        <v>0</v>
      </c>
      <c r="CK632" s="277"/>
      <c r="CL632" s="277"/>
      <c r="CM632" s="277"/>
      <c r="CN632" s="277"/>
      <c r="CO632" s="277"/>
      <c r="CP632" s="277"/>
      <c r="CQ632" s="277"/>
      <c r="CR632" s="277"/>
      <c r="CS632" s="278"/>
      <c r="CT632" s="44"/>
      <c r="CU632" s="44"/>
      <c r="CV632" s="44"/>
      <c r="CW632" s="44"/>
      <c r="CX632" s="44"/>
      <c r="CY632" s="44"/>
      <c r="CZ632" s="44"/>
    </row>
    <row r="633" spans="1:104" hidden="1">
      <c r="C633" s="308" t="s">
        <v>115</v>
      </c>
      <c r="D633" s="309"/>
      <c r="E633" s="309"/>
      <c r="F633" s="309"/>
      <c r="G633" s="309"/>
      <c r="H633" s="309"/>
      <c r="I633" s="309"/>
      <c r="J633" s="309"/>
      <c r="K633" s="309"/>
      <c r="L633" s="309"/>
      <c r="M633" s="309"/>
      <c r="N633" s="309"/>
      <c r="O633" s="309"/>
      <c r="P633" s="309"/>
      <c r="Q633" s="309"/>
      <c r="R633" s="309"/>
      <c r="S633" s="310"/>
      <c r="T633" s="267">
        <f>SUMIFS('Adv. Filter'!$BJ$1:$BJ$50000,'Adv. Filter'!$BT$1:$BT$50000,"Pradeep",'Adv. Filter'!$BQ$1:$BQ$50000,$C632,'Adv. Filter'!$BH$1:$BH$50000,"Cash",'Adv. Filter'!$BO$1:$BO$50000,'Adv. Filter'!$A$14,'Adv. Filter'!$BO$1:$BO$50000,'Adv. Filter'!$B$14,'Adv. Filter'!$BP$1:$BP$50000,"Project")</f>
        <v>0</v>
      </c>
      <c r="U633" s="268"/>
      <c r="V633" s="268"/>
      <c r="W633" s="268"/>
      <c r="X633" s="268"/>
      <c r="Y633" s="268"/>
      <c r="Z633" s="268"/>
      <c r="AA633" s="268"/>
      <c r="AB633" s="268"/>
      <c r="AC633" s="269"/>
      <c r="AD633" s="267">
        <f>SUMIFS('Adv. Filter'!$BJ$1:$BJ$50000,'Adv. Filter'!$BT$1:$BT$50000,"Pradeep",'Adv. Filter'!$BQ$1:$BQ$50000,$C632,'Adv. Filter'!$BH$1:$BH$50000,"Bank",'Adv. Filter'!$BO$1:$BO$50000,'Adv. Filter'!$A$14,'Adv. Filter'!$BO$1:$BO$50000,'Adv. Filter'!$B$14,'Adv. Filter'!$BP$1:$BP$50000,"Project")</f>
        <v>0</v>
      </c>
      <c r="AE633" s="268"/>
      <c r="AF633" s="268"/>
      <c r="AG633" s="268"/>
      <c r="AH633" s="268"/>
      <c r="AI633" s="268"/>
      <c r="AJ633" s="268"/>
      <c r="AK633" s="268"/>
      <c r="AL633" s="268"/>
      <c r="AM633" s="269"/>
      <c r="AN633" s="267">
        <f t="shared" si="22"/>
        <v>0</v>
      </c>
      <c r="AO633" s="268"/>
      <c r="AP633" s="268"/>
      <c r="AQ633" s="268"/>
      <c r="AR633" s="268"/>
      <c r="AS633" s="268"/>
      <c r="AT633" s="268"/>
      <c r="AU633" s="268"/>
      <c r="AV633" s="268"/>
      <c r="AW633" s="269"/>
      <c r="AX633" s="22"/>
      <c r="AY633" s="308" t="s">
        <v>115</v>
      </c>
      <c r="AZ633" s="309"/>
      <c r="BA633" s="309"/>
      <c r="BB633" s="309"/>
      <c r="BC633" s="309"/>
      <c r="BD633" s="309"/>
      <c r="BE633" s="309"/>
      <c r="BF633" s="309"/>
      <c r="BG633" s="309"/>
      <c r="BH633" s="309"/>
      <c r="BI633" s="309"/>
      <c r="BJ633" s="309"/>
      <c r="BK633" s="309"/>
      <c r="BL633" s="309"/>
      <c r="BM633" s="309"/>
      <c r="BN633" s="309"/>
      <c r="BO633" s="310"/>
      <c r="BP633" s="267">
        <f>SUMIFS('Adv. Filter'!$BJ$1:$BJ$50000,'Adv. Filter'!$BT$1:$BT$50000,"Pradeep",'Adv. Filter'!$BQ$1:$BQ$50000,$AY632,'Adv. Filter'!$BH$1:$BH$50000,"Cash",'Adv. Filter'!$BO$1:$BO$50000,"&lt;"&amp;'Adv. Filter'!$A$15,'Adv. Filter'!$BP$1:$BP$50000,"Project")</f>
        <v>0</v>
      </c>
      <c r="BQ633" s="268"/>
      <c r="BR633" s="268"/>
      <c r="BS633" s="268"/>
      <c r="BT633" s="268"/>
      <c r="BU633" s="268"/>
      <c r="BV633" s="268"/>
      <c r="BW633" s="268"/>
      <c r="BX633" s="268"/>
      <c r="BY633" s="269"/>
      <c r="BZ633" s="267">
        <f>SUMIFS('Adv. Filter'!$BJ$1:$BJ$50000,'Adv. Filter'!$BT$1:$BT$50000,"Pradeep",'Adv. Filter'!$BQ$1:$BQ$50000,$AY632,'Adv. Filter'!$BH$1:$BH$50000,"Bank",'Adv. Filter'!$BO$1:$BO$50000,"&lt;"&amp;'Adv. Filter'!$A$15,'Adv. Filter'!$BP$1:$BP$50000,"Project")</f>
        <v>0</v>
      </c>
      <c r="CA633" s="268"/>
      <c r="CB633" s="268"/>
      <c r="CC633" s="268"/>
      <c r="CD633" s="268"/>
      <c r="CE633" s="268"/>
      <c r="CF633" s="268"/>
      <c r="CG633" s="268"/>
      <c r="CH633" s="268"/>
      <c r="CI633" s="269"/>
      <c r="CJ633" s="267">
        <f t="shared" si="23"/>
        <v>0</v>
      </c>
      <c r="CK633" s="268"/>
      <c r="CL633" s="268"/>
      <c r="CM633" s="268"/>
      <c r="CN633" s="268"/>
      <c r="CO633" s="268"/>
      <c r="CP633" s="268"/>
      <c r="CQ633" s="268"/>
      <c r="CR633" s="268"/>
      <c r="CS633" s="269"/>
    </row>
    <row r="634" spans="1:104" hidden="1">
      <c r="C634" s="308" t="s">
        <v>510</v>
      </c>
      <c r="D634" s="309"/>
      <c r="E634" s="309"/>
      <c r="F634" s="309"/>
      <c r="G634" s="309"/>
      <c r="H634" s="309"/>
      <c r="I634" s="309"/>
      <c r="J634" s="309"/>
      <c r="K634" s="309"/>
      <c r="L634" s="309"/>
      <c r="M634" s="309"/>
      <c r="N634" s="309"/>
      <c r="O634" s="309"/>
      <c r="P634" s="309"/>
      <c r="Q634" s="309"/>
      <c r="R634" s="309"/>
      <c r="S634" s="310"/>
      <c r="T634" s="267">
        <v>0</v>
      </c>
      <c r="U634" s="268"/>
      <c r="V634" s="268"/>
      <c r="W634" s="268"/>
      <c r="X634" s="268"/>
      <c r="Y634" s="268"/>
      <c r="Z634" s="268"/>
      <c r="AA634" s="268"/>
      <c r="AB634" s="268"/>
      <c r="AC634" s="269"/>
      <c r="AD634" s="267">
        <v>0</v>
      </c>
      <c r="AE634" s="268"/>
      <c r="AF634" s="268"/>
      <c r="AG634" s="268"/>
      <c r="AH634" s="268"/>
      <c r="AI634" s="268"/>
      <c r="AJ634" s="268"/>
      <c r="AK634" s="268"/>
      <c r="AL634" s="268"/>
      <c r="AM634" s="269"/>
      <c r="AN634" s="267">
        <f t="shared" si="22"/>
        <v>0</v>
      </c>
      <c r="AO634" s="268"/>
      <c r="AP634" s="268"/>
      <c r="AQ634" s="268"/>
      <c r="AR634" s="268"/>
      <c r="AS634" s="268"/>
      <c r="AT634" s="268"/>
      <c r="AU634" s="268"/>
      <c r="AV634" s="268"/>
      <c r="AW634" s="269"/>
      <c r="AX634" s="22"/>
      <c r="AY634" s="308" t="s">
        <v>510</v>
      </c>
      <c r="AZ634" s="309"/>
      <c r="BA634" s="309"/>
      <c r="BB634" s="309"/>
      <c r="BC634" s="309"/>
      <c r="BD634" s="309"/>
      <c r="BE634" s="309"/>
      <c r="BF634" s="309"/>
      <c r="BG634" s="309"/>
      <c r="BH634" s="309"/>
      <c r="BI634" s="309"/>
      <c r="BJ634" s="309"/>
      <c r="BK634" s="309"/>
      <c r="BL634" s="309"/>
      <c r="BM634" s="309"/>
      <c r="BN634" s="309"/>
      <c r="BO634" s="310"/>
      <c r="BP634" s="267"/>
      <c r="BQ634" s="268"/>
      <c r="BR634" s="268"/>
      <c r="BS634" s="268"/>
      <c r="BT634" s="268"/>
      <c r="BU634" s="268"/>
      <c r="BV634" s="268"/>
      <c r="BW634" s="268"/>
      <c r="BX634" s="268"/>
      <c r="BY634" s="269"/>
      <c r="BZ634" s="267"/>
      <c r="CA634" s="268"/>
      <c r="CB634" s="268"/>
      <c r="CC634" s="268"/>
      <c r="CD634" s="268"/>
      <c r="CE634" s="268"/>
      <c r="CF634" s="268"/>
      <c r="CG634" s="268"/>
      <c r="CH634" s="268"/>
      <c r="CI634" s="269"/>
      <c r="CJ634" s="267">
        <f t="shared" si="23"/>
        <v>0</v>
      </c>
      <c r="CK634" s="268"/>
      <c r="CL634" s="268"/>
      <c r="CM634" s="268"/>
      <c r="CN634" s="268"/>
      <c r="CO634" s="268"/>
      <c r="CP634" s="268"/>
      <c r="CQ634" s="268"/>
      <c r="CR634" s="268"/>
      <c r="CS634" s="269"/>
    </row>
    <row r="635" spans="1:104" hidden="1">
      <c r="C635" s="43"/>
      <c r="D635" s="36" t="str">
        <f>IF(AN632=0,C632&amp;" -","")</f>
        <v>Indus Ind -</v>
      </c>
      <c r="E635" s="42"/>
      <c r="F635" s="42"/>
      <c r="G635" s="42"/>
      <c r="H635" s="42"/>
      <c r="I635" s="42"/>
      <c r="J635" s="42"/>
      <c r="K635" s="42"/>
      <c r="L635" s="42"/>
      <c r="M635" s="42"/>
      <c r="N635" s="42"/>
      <c r="O635" s="42"/>
      <c r="P635" s="1"/>
      <c r="Q635" s="42"/>
      <c r="R635" s="41" t="s">
        <v>275</v>
      </c>
      <c r="S635" s="40"/>
      <c r="T635" s="267">
        <f>SUMIFS('Adv. Filter'!$CH$1:$CH$50000,'Adv. Filter'!$CD$1:$CD$50000,"Pradeep",'Adv. Filter'!$CE$1:$CE$50000,$C632,'Adv. Filter'!$CC$1:$CC$50000,"Suspense",'Adv. Filter'!$CF$1:$CF$50000,"Cash")</f>
        <v>0</v>
      </c>
      <c r="U635" s="268"/>
      <c r="V635" s="268"/>
      <c r="W635" s="268"/>
      <c r="X635" s="268"/>
      <c r="Y635" s="268"/>
      <c r="Z635" s="268"/>
      <c r="AA635" s="268"/>
      <c r="AB635" s="268"/>
      <c r="AC635" s="269"/>
      <c r="AD635" s="267">
        <f>SUMIFS('Adv. Filter'!$CH$1:$CH$50000,'Adv. Filter'!$CD$1:$CD$50000,"Pradeep",'Adv. Filter'!$CE$1:$CE$50000,$C632,'Adv. Filter'!$CC$1:$CC$50000,"Suspense",'Adv. Filter'!$CF$1:$CF$50000,"Bank")</f>
        <v>0</v>
      </c>
      <c r="AE635" s="268"/>
      <c r="AF635" s="268"/>
      <c r="AG635" s="268"/>
      <c r="AH635" s="268"/>
      <c r="AI635" s="268"/>
      <c r="AJ635" s="268"/>
      <c r="AK635" s="268"/>
      <c r="AL635" s="268"/>
      <c r="AM635" s="269"/>
      <c r="AN635" s="267">
        <f t="shared" si="22"/>
        <v>0</v>
      </c>
      <c r="AO635" s="268"/>
      <c r="AP635" s="268"/>
      <c r="AQ635" s="268"/>
      <c r="AR635" s="268"/>
      <c r="AS635" s="268"/>
      <c r="AT635" s="268"/>
      <c r="AU635" s="268"/>
      <c r="AV635" s="268"/>
      <c r="AW635" s="269"/>
      <c r="AX635" s="22"/>
      <c r="AY635" s="43"/>
      <c r="AZ635" s="36" t="str">
        <f>IF(CJ632=0,AY632&amp;" -","")</f>
        <v>Indus Ind -</v>
      </c>
      <c r="BA635" s="42"/>
      <c r="BB635" s="42"/>
      <c r="BC635" s="42"/>
      <c r="BD635" s="42"/>
      <c r="BE635" s="42"/>
      <c r="BF635" s="42"/>
      <c r="BG635" s="42"/>
      <c r="BH635" s="42"/>
      <c r="BI635" s="42"/>
      <c r="BJ635" s="42"/>
      <c r="BK635" s="42"/>
      <c r="BL635" s="1"/>
      <c r="BM635" s="42"/>
      <c r="BN635" s="41" t="s">
        <v>275</v>
      </c>
      <c r="BO635" s="40"/>
      <c r="BP635" s="267"/>
      <c r="BQ635" s="268"/>
      <c r="BR635" s="268"/>
      <c r="BS635" s="268"/>
      <c r="BT635" s="268"/>
      <c r="BU635" s="268"/>
      <c r="BV635" s="268"/>
      <c r="BW635" s="268"/>
      <c r="BX635" s="268"/>
      <c r="BY635" s="269"/>
      <c r="BZ635" s="267"/>
      <c r="CA635" s="268"/>
      <c r="CB635" s="268"/>
      <c r="CC635" s="268"/>
      <c r="CD635" s="268"/>
      <c r="CE635" s="268"/>
      <c r="CF635" s="268"/>
      <c r="CG635" s="268"/>
      <c r="CH635" s="268"/>
      <c r="CI635" s="269"/>
      <c r="CJ635" s="267">
        <f t="shared" si="23"/>
        <v>0</v>
      </c>
      <c r="CK635" s="268"/>
      <c r="CL635" s="268"/>
      <c r="CM635" s="268"/>
      <c r="CN635" s="268"/>
      <c r="CO635" s="268"/>
      <c r="CP635" s="268"/>
      <c r="CQ635" s="268"/>
      <c r="CR635" s="268"/>
      <c r="CS635" s="269"/>
    </row>
    <row r="636" spans="1:104" hidden="1">
      <c r="A636" s="44"/>
      <c r="B636" s="44"/>
      <c r="C636" s="293" t="s">
        <v>84</v>
      </c>
      <c r="D636" s="294"/>
      <c r="E636" s="294"/>
      <c r="F636" s="294"/>
      <c r="G636" s="294"/>
      <c r="H636" s="294"/>
      <c r="I636" s="294"/>
      <c r="J636" s="294"/>
      <c r="K636" s="294"/>
      <c r="L636" s="294"/>
      <c r="M636" s="294"/>
      <c r="N636" s="294"/>
      <c r="O636" s="294"/>
      <c r="P636" s="294"/>
      <c r="Q636" s="294"/>
      <c r="R636" s="294"/>
      <c r="S636" s="295"/>
      <c r="T636" s="276">
        <f>SUMIFS('Adv. Filter'!$BJ$1:$BJ$50000,'Adv. Filter'!$BT$1:$BT$50000,"Pradeep",'Adv. Filter'!$BQ$1:$BQ$50000,$C636,'Adv. Filter'!$BH$1:$BH$50000,"Cash",'Adv. Filter'!$BO$1:$BO$50000,'Adv. Filter'!$A$14,'Adv. Filter'!$BO$1:$BO$50000,'Adv. Filter'!$B$14)</f>
        <v>344000</v>
      </c>
      <c r="U636" s="277"/>
      <c r="V636" s="277"/>
      <c r="W636" s="277"/>
      <c r="X636" s="277"/>
      <c r="Y636" s="277"/>
      <c r="Z636" s="277"/>
      <c r="AA636" s="277"/>
      <c r="AB636" s="277"/>
      <c r="AC636" s="278"/>
      <c r="AD636" s="276">
        <f>SUMIFS('Adv. Filter'!$BJ$1:$BJ$50000,'Adv. Filter'!$BT$1:$BT$50000,"Pradeep",'Adv. Filter'!$BQ$1:$BQ$50000,$C636,'Adv. Filter'!$BH$1:$BH$50000,"Bank",'Adv. Filter'!$BO$1:$BO$50000,'Adv. Filter'!$A$14,'Adv. Filter'!$BO$1:$BO$50000,'Adv. Filter'!$B$14)</f>
        <v>174000</v>
      </c>
      <c r="AE636" s="277"/>
      <c r="AF636" s="277"/>
      <c r="AG636" s="277"/>
      <c r="AH636" s="277"/>
      <c r="AI636" s="277"/>
      <c r="AJ636" s="277"/>
      <c r="AK636" s="277"/>
      <c r="AL636" s="277"/>
      <c r="AM636" s="278"/>
      <c r="AN636" s="276">
        <f t="shared" si="22"/>
        <v>518000</v>
      </c>
      <c r="AO636" s="277"/>
      <c r="AP636" s="277"/>
      <c r="AQ636" s="277"/>
      <c r="AR636" s="277"/>
      <c r="AS636" s="277"/>
      <c r="AT636" s="277"/>
      <c r="AU636" s="277"/>
      <c r="AV636" s="277"/>
      <c r="AW636" s="278"/>
      <c r="AX636" s="45"/>
      <c r="AY636" s="293" t="s">
        <v>84</v>
      </c>
      <c r="AZ636" s="294"/>
      <c r="BA636" s="294"/>
      <c r="BB636" s="294"/>
      <c r="BC636" s="294"/>
      <c r="BD636" s="294"/>
      <c r="BE636" s="294"/>
      <c r="BF636" s="294"/>
      <c r="BG636" s="294"/>
      <c r="BH636" s="294"/>
      <c r="BI636" s="294"/>
      <c r="BJ636" s="294"/>
      <c r="BK636" s="294"/>
      <c r="BL636" s="294"/>
      <c r="BM636" s="294"/>
      <c r="BN636" s="294"/>
      <c r="BO636" s="295"/>
      <c r="BP636" s="276">
        <f>SUMIFS('Adv. Filter'!$BJ$1:$BJ$50000,'Adv. Filter'!$BT$1:$BT$50000,"Pradeep",'Adv. Filter'!$BQ$1:$BQ$50000,$AY636,'Adv. Filter'!$BH$1:$BH$50000,"Cash",'Adv. Filter'!$BO$1:$BO$50000,"&lt;"&amp;'Adv. Filter'!$A$15)</f>
        <v>38000</v>
      </c>
      <c r="BQ636" s="277"/>
      <c r="BR636" s="277"/>
      <c r="BS636" s="277"/>
      <c r="BT636" s="277"/>
      <c r="BU636" s="277"/>
      <c r="BV636" s="277"/>
      <c r="BW636" s="277"/>
      <c r="BX636" s="277"/>
      <c r="BY636" s="278"/>
      <c r="BZ636" s="276">
        <f>SUMIFS('Adv. Filter'!$BJ$1:$BJ$50000,'Adv. Filter'!$BT$1:$BT$50000,"Pradeep",'Adv. Filter'!$BQ$1:$BQ$50000,$AY636,'Adv. Filter'!$BH$1:$BH$50000,"Bank",'Adv. Filter'!$BO$1:$BO$50000,"&lt;"&amp;'Adv. Filter'!$A$15)</f>
        <v>0</v>
      </c>
      <c r="CA636" s="277"/>
      <c r="CB636" s="277"/>
      <c r="CC636" s="277"/>
      <c r="CD636" s="277"/>
      <c r="CE636" s="277"/>
      <c r="CF636" s="277"/>
      <c r="CG636" s="277"/>
      <c r="CH636" s="277"/>
      <c r="CI636" s="278"/>
      <c r="CJ636" s="276">
        <f t="shared" si="23"/>
        <v>38000</v>
      </c>
      <c r="CK636" s="277"/>
      <c r="CL636" s="277"/>
      <c r="CM636" s="277"/>
      <c r="CN636" s="277"/>
      <c r="CO636" s="277"/>
      <c r="CP636" s="277"/>
      <c r="CQ636" s="277"/>
      <c r="CR636" s="277"/>
      <c r="CS636" s="278"/>
      <c r="CT636" s="44"/>
      <c r="CU636" s="44"/>
      <c r="CV636" s="44"/>
      <c r="CW636" s="44"/>
      <c r="CX636" s="44"/>
      <c r="CY636" s="44"/>
      <c r="CZ636" s="44"/>
    </row>
    <row r="637" spans="1:104" hidden="1">
      <c r="C637" s="308" t="s">
        <v>115</v>
      </c>
      <c r="D637" s="309"/>
      <c r="E637" s="309"/>
      <c r="F637" s="309"/>
      <c r="G637" s="309"/>
      <c r="H637" s="309"/>
      <c r="I637" s="309"/>
      <c r="J637" s="309"/>
      <c r="K637" s="309"/>
      <c r="L637" s="309"/>
      <c r="M637" s="309"/>
      <c r="N637" s="309"/>
      <c r="O637" s="309"/>
      <c r="P637" s="309"/>
      <c r="Q637" s="309"/>
      <c r="R637" s="309"/>
      <c r="S637" s="310"/>
      <c r="T637" s="267">
        <f>SUMIFS('Adv. Filter'!$BJ$1:$BJ$50000,'Adv. Filter'!$BT$1:$BT$50000,"Pradeep",'Adv. Filter'!$BQ$1:$BQ$50000,$C636,'Adv. Filter'!$BH$1:$BH$50000,"Cash",'Adv. Filter'!$BO$1:$BO$50000,'Adv. Filter'!$A$14,'Adv. Filter'!$BO$1:$BO$50000,'Adv. Filter'!$B$14,'Adv. Filter'!$BP$1:$BP$50000,"Project")</f>
        <v>0</v>
      </c>
      <c r="U637" s="268"/>
      <c r="V637" s="268"/>
      <c r="W637" s="268"/>
      <c r="X637" s="268"/>
      <c r="Y637" s="268"/>
      <c r="Z637" s="268"/>
      <c r="AA637" s="268"/>
      <c r="AB637" s="268"/>
      <c r="AC637" s="269"/>
      <c r="AD637" s="267">
        <f>SUMIFS('Adv. Filter'!$BJ$1:$BJ$50000,'Adv. Filter'!$BT$1:$BT$50000,"Pradeep",'Adv. Filter'!$BQ$1:$BQ$50000,$C636,'Adv. Filter'!$BH$1:$BH$50000,"Bank",'Adv. Filter'!$BO$1:$BO$50000,'Adv. Filter'!$A$14,'Adv. Filter'!$BO$1:$BO$50000,'Adv. Filter'!$B$14,'Adv. Filter'!$BP$1:$BP$50000,"Project")</f>
        <v>0</v>
      </c>
      <c r="AE637" s="268"/>
      <c r="AF637" s="268"/>
      <c r="AG637" s="268"/>
      <c r="AH637" s="268"/>
      <c r="AI637" s="268"/>
      <c r="AJ637" s="268"/>
      <c r="AK637" s="268"/>
      <c r="AL637" s="268"/>
      <c r="AM637" s="269"/>
      <c r="AN637" s="267">
        <f t="shared" si="22"/>
        <v>0</v>
      </c>
      <c r="AO637" s="268"/>
      <c r="AP637" s="268"/>
      <c r="AQ637" s="268"/>
      <c r="AR637" s="268"/>
      <c r="AS637" s="268"/>
      <c r="AT637" s="268"/>
      <c r="AU637" s="268"/>
      <c r="AV637" s="268"/>
      <c r="AW637" s="269"/>
      <c r="AX637" s="22"/>
      <c r="AY637" s="308" t="s">
        <v>115</v>
      </c>
      <c r="AZ637" s="309"/>
      <c r="BA637" s="309"/>
      <c r="BB637" s="309"/>
      <c r="BC637" s="309"/>
      <c r="BD637" s="309"/>
      <c r="BE637" s="309"/>
      <c r="BF637" s="309"/>
      <c r="BG637" s="309"/>
      <c r="BH637" s="309"/>
      <c r="BI637" s="309"/>
      <c r="BJ637" s="309"/>
      <c r="BK637" s="309"/>
      <c r="BL637" s="309"/>
      <c r="BM637" s="309"/>
      <c r="BN637" s="309"/>
      <c r="BO637" s="310"/>
      <c r="BP637" s="267">
        <f>SUMIFS('Adv. Filter'!$BJ$1:$BJ$50000,'Adv. Filter'!$BT$1:$BT$50000,"Pradeep",'Adv. Filter'!$BQ$1:$BQ$50000,$AY636,'Adv. Filter'!$BH$1:$BH$50000,"Cash",'Adv. Filter'!$BO$1:$BO$50000,"&lt;"&amp;'Adv. Filter'!$A$15,'Adv. Filter'!$BP$1:$BP$50000,"Project")</f>
        <v>0</v>
      </c>
      <c r="BQ637" s="268"/>
      <c r="BR637" s="268"/>
      <c r="BS637" s="268"/>
      <c r="BT637" s="268"/>
      <c r="BU637" s="268"/>
      <c r="BV637" s="268"/>
      <c r="BW637" s="268"/>
      <c r="BX637" s="268"/>
      <c r="BY637" s="269"/>
      <c r="BZ637" s="267">
        <f>SUMIFS('Adv. Filter'!$BJ$1:$BJ$50000,'Adv. Filter'!$BT$1:$BT$50000,"Pradeep",'Adv. Filter'!$BQ$1:$BQ$50000,$AY636,'Adv. Filter'!$BH$1:$BH$50000,"Bank",'Adv. Filter'!$BO$1:$BO$50000,"&lt;"&amp;'Adv. Filter'!$A$15,'Adv. Filter'!$BP$1:$BP$50000,"Project")</f>
        <v>0</v>
      </c>
      <c r="CA637" s="268"/>
      <c r="CB637" s="268"/>
      <c r="CC637" s="268"/>
      <c r="CD637" s="268"/>
      <c r="CE637" s="268"/>
      <c r="CF637" s="268"/>
      <c r="CG637" s="268"/>
      <c r="CH637" s="268"/>
      <c r="CI637" s="269"/>
      <c r="CJ637" s="267">
        <f t="shared" si="23"/>
        <v>0</v>
      </c>
      <c r="CK637" s="268"/>
      <c r="CL637" s="268"/>
      <c r="CM637" s="268"/>
      <c r="CN637" s="268"/>
      <c r="CO637" s="268"/>
      <c r="CP637" s="268"/>
      <c r="CQ637" s="268"/>
      <c r="CR637" s="268"/>
      <c r="CS637" s="269"/>
    </row>
    <row r="638" spans="1:104" hidden="1">
      <c r="C638" s="308" t="s">
        <v>510</v>
      </c>
      <c r="D638" s="309"/>
      <c r="E638" s="309"/>
      <c r="F638" s="309"/>
      <c r="G638" s="309"/>
      <c r="H638" s="309"/>
      <c r="I638" s="309"/>
      <c r="J638" s="309"/>
      <c r="K638" s="309"/>
      <c r="L638" s="309"/>
      <c r="M638" s="309"/>
      <c r="N638" s="309"/>
      <c r="O638" s="309"/>
      <c r="P638" s="309"/>
      <c r="Q638" s="309"/>
      <c r="R638" s="309"/>
      <c r="S638" s="310"/>
      <c r="T638" s="267">
        <v>0</v>
      </c>
      <c r="U638" s="268"/>
      <c r="V638" s="268"/>
      <c r="W638" s="268"/>
      <c r="X638" s="268"/>
      <c r="Y638" s="268"/>
      <c r="Z638" s="268"/>
      <c r="AA638" s="268"/>
      <c r="AB638" s="268"/>
      <c r="AC638" s="269"/>
      <c r="AD638" s="267">
        <v>0</v>
      </c>
      <c r="AE638" s="268"/>
      <c r="AF638" s="268"/>
      <c r="AG638" s="268"/>
      <c r="AH638" s="268"/>
      <c r="AI638" s="268"/>
      <c r="AJ638" s="268"/>
      <c r="AK638" s="268"/>
      <c r="AL638" s="268"/>
      <c r="AM638" s="269"/>
      <c r="AN638" s="267">
        <f t="shared" si="22"/>
        <v>0</v>
      </c>
      <c r="AO638" s="268"/>
      <c r="AP638" s="268"/>
      <c r="AQ638" s="268"/>
      <c r="AR638" s="268"/>
      <c r="AS638" s="268"/>
      <c r="AT638" s="268"/>
      <c r="AU638" s="268"/>
      <c r="AV638" s="268"/>
      <c r="AW638" s="269"/>
      <c r="AX638" s="22"/>
      <c r="AY638" s="308" t="s">
        <v>510</v>
      </c>
      <c r="AZ638" s="309"/>
      <c r="BA638" s="309"/>
      <c r="BB638" s="309"/>
      <c r="BC638" s="309"/>
      <c r="BD638" s="309"/>
      <c r="BE638" s="309"/>
      <c r="BF638" s="309"/>
      <c r="BG638" s="309"/>
      <c r="BH638" s="309"/>
      <c r="BI638" s="309"/>
      <c r="BJ638" s="309"/>
      <c r="BK638" s="309"/>
      <c r="BL638" s="309"/>
      <c r="BM638" s="309"/>
      <c r="BN638" s="309"/>
      <c r="BO638" s="310"/>
      <c r="BP638" s="267"/>
      <c r="BQ638" s="268"/>
      <c r="BR638" s="268"/>
      <c r="BS638" s="268"/>
      <c r="BT638" s="268"/>
      <c r="BU638" s="268"/>
      <c r="BV638" s="268"/>
      <c r="BW638" s="268"/>
      <c r="BX638" s="268"/>
      <c r="BY638" s="269"/>
      <c r="BZ638" s="267"/>
      <c r="CA638" s="268"/>
      <c r="CB638" s="268"/>
      <c r="CC638" s="268"/>
      <c r="CD638" s="268"/>
      <c r="CE638" s="268"/>
      <c r="CF638" s="268"/>
      <c r="CG638" s="268"/>
      <c r="CH638" s="268"/>
      <c r="CI638" s="269"/>
      <c r="CJ638" s="267">
        <f t="shared" si="23"/>
        <v>0</v>
      </c>
      <c r="CK638" s="268"/>
      <c r="CL638" s="268"/>
      <c r="CM638" s="268"/>
      <c r="CN638" s="268"/>
      <c r="CO638" s="268"/>
      <c r="CP638" s="268"/>
      <c r="CQ638" s="268"/>
      <c r="CR638" s="268"/>
      <c r="CS638" s="269"/>
    </row>
    <row r="639" spans="1:104" hidden="1">
      <c r="C639" s="43"/>
      <c r="D639" s="36" t="str">
        <f>IF(AN636=0,C636&amp;" -","")</f>
        <v/>
      </c>
      <c r="E639" s="42"/>
      <c r="F639" s="42"/>
      <c r="G639" s="42"/>
      <c r="H639" s="42"/>
      <c r="I639" s="42"/>
      <c r="J639" s="42"/>
      <c r="K639" s="42"/>
      <c r="L639" s="42"/>
      <c r="M639" s="42"/>
      <c r="N639" s="42"/>
      <c r="O639" s="42"/>
      <c r="P639" s="1"/>
      <c r="Q639" s="42"/>
      <c r="R639" s="41" t="s">
        <v>275</v>
      </c>
      <c r="S639" s="40"/>
      <c r="T639" s="267">
        <f>SUMIFS('Adv. Filter'!$CH$1:$CH$50000,'Adv. Filter'!$CD$1:$CD$50000,"Pradeep",'Adv. Filter'!$CE$1:$CE$50000,$C636,'Adv. Filter'!$CC$1:$CC$50000,"Suspense",'Adv. Filter'!$CF$1:$CF$50000,"Cash")</f>
        <v>0</v>
      </c>
      <c r="U639" s="268"/>
      <c r="V639" s="268"/>
      <c r="W639" s="268"/>
      <c r="X639" s="268"/>
      <c r="Y639" s="268"/>
      <c r="Z639" s="268"/>
      <c r="AA639" s="268"/>
      <c r="AB639" s="268"/>
      <c r="AC639" s="269"/>
      <c r="AD639" s="267">
        <f>SUMIFS('Adv. Filter'!$CH$1:$CH$50000,'Adv. Filter'!$CD$1:$CD$50000,"Pradeep",'Adv. Filter'!$CE$1:$CE$50000,$C636,'Adv. Filter'!$CC$1:$CC$50000,"Suspense",'Adv. Filter'!$CF$1:$CF$50000,"Bank")</f>
        <v>1500</v>
      </c>
      <c r="AE639" s="268"/>
      <c r="AF639" s="268"/>
      <c r="AG639" s="268"/>
      <c r="AH639" s="268"/>
      <c r="AI639" s="268"/>
      <c r="AJ639" s="268"/>
      <c r="AK639" s="268"/>
      <c r="AL639" s="268"/>
      <c r="AM639" s="269"/>
      <c r="AN639" s="267">
        <f t="shared" si="22"/>
        <v>1500</v>
      </c>
      <c r="AO639" s="268"/>
      <c r="AP639" s="268"/>
      <c r="AQ639" s="268"/>
      <c r="AR639" s="268"/>
      <c r="AS639" s="268"/>
      <c r="AT639" s="268"/>
      <c r="AU639" s="268"/>
      <c r="AV639" s="268"/>
      <c r="AW639" s="269"/>
      <c r="AX639" s="22"/>
      <c r="AY639" s="43"/>
      <c r="AZ639" s="36" t="str">
        <f>IF(CJ636=0,AY636&amp;" -","")</f>
        <v/>
      </c>
      <c r="BA639" s="42"/>
      <c r="BB639" s="42"/>
      <c r="BC639" s="42"/>
      <c r="BD639" s="42"/>
      <c r="BE639" s="42"/>
      <c r="BF639" s="42"/>
      <c r="BG639" s="42"/>
      <c r="BH639" s="42"/>
      <c r="BI639" s="42"/>
      <c r="BJ639" s="42"/>
      <c r="BK639" s="42"/>
      <c r="BL639" s="1"/>
      <c r="BM639" s="42"/>
      <c r="BN639" s="41" t="s">
        <v>275</v>
      </c>
      <c r="BO639" s="40"/>
      <c r="BP639" s="267"/>
      <c r="BQ639" s="268"/>
      <c r="BR639" s="268"/>
      <c r="BS639" s="268"/>
      <c r="BT639" s="268"/>
      <c r="BU639" s="268"/>
      <c r="BV639" s="268"/>
      <c r="BW639" s="268"/>
      <c r="BX639" s="268"/>
      <c r="BY639" s="269"/>
      <c r="BZ639" s="267"/>
      <c r="CA639" s="268"/>
      <c r="CB639" s="268"/>
      <c r="CC639" s="268"/>
      <c r="CD639" s="268"/>
      <c r="CE639" s="268"/>
      <c r="CF639" s="268"/>
      <c r="CG639" s="268"/>
      <c r="CH639" s="268"/>
      <c r="CI639" s="269"/>
      <c r="CJ639" s="267">
        <f t="shared" si="23"/>
        <v>0</v>
      </c>
      <c r="CK639" s="268"/>
      <c r="CL639" s="268"/>
      <c r="CM639" s="268"/>
      <c r="CN639" s="268"/>
      <c r="CO639" s="268"/>
      <c r="CP639" s="268"/>
      <c r="CQ639" s="268"/>
      <c r="CR639" s="268"/>
      <c r="CS639" s="269"/>
    </row>
    <row r="640" spans="1:104" hidden="1">
      <c r="A640" s="44"/>
      <c r="B640" s="44"/>
      <c r="C640" s="293" t="s">
        <v>551</v>
      </c>
      <c r="D640" s="294"/>
      <c r="E640" s="294"/>
      <c r="F640" s="294"/>
      <c r="G640" s="294"/>
      <c r="H640" s="294"/>
      <c r="I640" s="294"/>
      <c r="J640" s="294"/>
      <c r="K640" s="294"/>
      <c r="L640" s="294"/>
      <c r="M640" s="294"/>
      <c r="N640" s="294"/>
      <c r="O640" s="294"/>
      <c r="P640" s="294"/>
      <c r="Q640" s="294"/>
      <c r="R640" s="294"/>
      <c r="S640" s="295"/>
      <c r="T640" s="276">
        <f>SUMIFS('Adv. Filter'!$BJ$1:$BJ$50000,'Adv. Filter'!$BT$1:$BT$50000,"Pradeep",'Adv. Filter'!$BQ$1:$BQ$50000,$C640,'Adv. Filter'!$BH$1:$BH$50000,"Cash",'Adv. Filter'!$BO$1:$BO$50000,'Adv. Filter'!$A$14,'Adv. Filter'!$BO$1:$BO$50000,'Adv. Filter'!$B$14)</f>
        <v>0</v>
      </c>
      <c r="U640" s="277"/>
      <c r="V640" s="277"/>
      <c r="W640" s="277"/>
      <c r="X640" s="277"/>
      <c r="Y640" s="277"/>
      <c r="Z640" s="277"/>
      <c r="AA640" s="277"/>
      <c r="AB640" s="277"/>
      <c r="AC640" s="278"/>
      <c r="AD640" s="276">
        <f>SUMIFS('Adv. Filter'!$BJ$1:$BJ$50000,'Adv. Filter'!$BT$1:$BT$50000,"Pradeep",'Adv. Filter'!$BQ$1:$BQ$50000,$C640,'Adv. Filter'!$BH$1:$BH$50000,"Bank",'Adv. Filter'!$BO$1:$BO$50000,'Adv. Filter'!$A$14,'Adv. Filter'!$BO$1:$BO$50000,'Adv. Filter'!$B$14)</f>
        <v>0</v>
      </c>
      <c r="AE640" s="277"/>
      <c r="AF640" s="277"/>
      <c r="AG640" s="277"/>
      <c r="AH640" s="277"/>
      <c r="AI640" s="277"/>
      <c r="AJ640" s="277"/>
      <c r="AK640" s="277"/>
      <c r="AL640" s="277"/>
      <c r="AM640" s="278"/>
      <c r="AN640" s="276">
        <f t="shared" ref="AN640:AN675" si="24">T640+AD640</f>
        <v>0</v>
      </c>
      <c r="AO640" s="277"/>
      <c r="AP640" s="277"/>
      <c r="AQ640" s="277"/>
      <c r="AR640" s="277"/>
      <c r="AS640" s="277"/>
      <c r="AT640" s="277"/>
      <c r="AU640" s="277"/>
      <c r="AV640" s="277"/>
      <c r="AW640" s="278"/>
      <c r="AX640" s="45"/>
      <c r="AY640" s="293" t="s">
        <v>551</v>
      </c>
      <c r="AZ640" s="294"/>
      <c r="BA640" s="294"/>
      <c r="BB640" s="294"/>
      <c r="BC640" s="294"/>
      <c r="BD640" s="294"/>
      <c r="BE640" s="294"/>
      <c r="BF640" s="294"/>
      <c r="BG640" s="294"/>
      <c r="BH640" s="294"/>
      <c r="BI640" s="294"/>
      <c r="BJ640" s="294"/>
      <c r="BK640" s="294"/>
      <c r="BL640" s="294"/>
      <c r="BM640" s="294"/>
      <c r="BN640" s="294"/>
      <c r="BO640" s="295"/>
      <c r="BP640" s="276">
        <f>SUMIFS('Adv. Filter'!$BJ$1:$BJ$50000,'Adv. Filter'!$BT$1:$BT$50000,"Pradeep",'Adv. Filter'!$BQ$1:$BQ$50000,$AY640,'Adv. Filter'!$BH$1:$BH$50000,"Cash",'Adv. Filter'!$BO$1:$BO$50000,"&lt;"&amp;'Adv. Filter'!$A$15)</f>
        <v>0</v>
      </c>
      <c r="BQ640" s="277"/>
      <c r="BR640" s="277"/>
      <c r="BS640" s="277"/>
      <c r="BT640" s="277"/>
      <c r="BU640" s="277"/>
      <c r="BV640" s="277"/>
      <c r="BW640" s="277"/>
      <c r="BX640" s="277"/>
      <c r="BY640" s="278"/>
      <c r="BZ640" s="276">
        <f>SUMIFS('Adv. Filter'!$BJ$1:$BJ$50000,'Adv. Filter'!$BT$1:$BT$50000,"Pradeep",'Adv. Filter'!$BQ$1:$BQ$50000,$AY640,'Adv. Filter'!$BH$1:$BH$50000,"Bank",'Adv. Filter'!$BO$1:$BO$50000,"&lt;"&amp;'Adv. Filter'!$A$15)</f>
        <v>0</v>
      </c>
      <c r="CA640" s="277"/>
      <c r="CB640" s="277"/>
      <c r="CC640" s="277"/>
      <c r="CD640" s="277"/>
      <c r="CE640" s="277"/>
      <c r="CF640" s="277"/>
      <c r="CG640" s="277"/>
      <c r="CH640" s="277"/>
      <c r="CI640" s="278"/>
      <c r="CJ640" s="276">
        <f t="shared" ref="CJ640:CJ675" si="25">BP640+BZ640</f>
        <v>0</v>
      </c>
      <c r="CK640" s="277"/>
      <c r="CL640" s="277"/>
      <c r="CM640" s="277"/>
      <c r="CN640" s="277"/>
      <c r="CO640" s="277"/>
      <c r="CP640" s="277"/>
      <c r="CQ640" s="277"/>
      <c r="CR640" s="277"/>
      <c r="CS640" s="278"/>
      <c r="CT640" s="44"/>
      <c r="CU640" s="44"/>
      <c r="CV640" s="44"/>
      <c r="CW640" s="44"/>
      <c r="CX640" s="44"/>
      <c r="CY640" s="44"/>
      <c r="CZ640" s="44"/>
    </row>
    <row r="641" spans="1:104" hidden="1">
      <c r="C641" s="308" t="s">
        <v>115</v>
      </c>
      <c r="D641" s="309"/>
      <c r="E641" s="309"/>
      <c r="F641" s="309"/>
      <c r="G641" s="309"/>
      <c r="H641" s="309"/>
      <c r="I641" s="309"/>
      <c r="J641" s="309"/>
      <c r="K641" s="309"/>
      <c r="L641" s="309"/>
      <c r="M641" s="309"/>
      <c r="N641" s="309"/>
      <c r="O641" s="309"/>
      <c r="P641" s="309"/>
      <c r="Q641" s="309"/>
      <c r="R641" s="309"/>
      <c r="S641" s="310"/>
      <c r="T641" s="267">
        <f>SUMIFS('Adv. Filter'!$BJ$1:$BJ$50000,'Adv. Filter'!$BT$1:$BT$50000,"Pradeep",'Adv. Filter'!$BQ$1:$BQ$50000,$C640,'Adv. Filter'!$BH$1:$BH$50000,"Cash",'Adv. Filter'!$BO$1:$BO$50000,'Adv. Filter'!$A$14,'Adv. Filter'!$BO$1:$BO$50000,'Adv. Filter'!$B$14,'Adv. Filter'!$BP$1:$BP$50000,"Project")</f>
        <v>0</v>
      </c>
      <c r="U641" s="268"/>
      <c r="V641" s="268"/>
      <c r="W641" s="268"/>
      <c r="X641" s="268"/>
      <c r="Y641" s="268"/>
      <c r="Z641" s="268"/>
      <c r="AA641" s="268"/>
      <c r="AB641" s="268"/>
      <c r="AC641" s="269"/>
      <c r="AD641" s="267">
        <f>SUMIFS('Adv. Filter'!$BJ$1:$BJ$50000,'Adv. Filter'!$BT$1:$BT$50000,"Pradeep",'Adv. Filter'!$BQ$1:$BQ$50000,$C640,'Adv. Filter'!$BH$1:$BH$50000,"Bank",'Adv. Filter'!$BO$1:$BO$50000,'Adv. Filter'!$A$14,'Adv. Filter'!$BO$1:$BO$50000,'Adv. Filter'!$B$14,'Adv. Filter'!$BP$1:$BP$50000,"Project")</f>
        <v>0</v>
      </c>
      <c r="AE641" s="268"/>
      <c r="AF641" s="268"/>
      <c r="AG641" s="268"/>
      <c r="AH641" s="268"/>
      <c r="AI641" s="268"/>
      <c r="AJ641" s="268"/>
      <c r="AK641" s="268"/>
      <c r="AL641" s="268"/>
      <c r="AM641" s="269"/>
      <c r="AN641" s="267">
        <f t="shared" si="24"/>
        <v>0</v>
      </c>
      <c r="AO641" s="268"/>
      <c r="AP641" s="268"/>
      <c r="AQ641" s="268"/>
      <c r="AR641" s="268"/>
      <c r="AS641" s="268"/>
      <c r="AT641" s="268"/>
      <c r="AU641" s="268"/>
      <c r="AV641" s="268"/>
      <c r="AW641" s="269"/>
      <c r="AX641" s="22"/>
      <c r="AY641" s="308" t="s">
        <v>115</v>
      </c>
      <c r="AZ641" s="309"/>
      <c r="BA641" s="309"/>
      <c r="BB641" s="309"/>
      <c r="BC641" s="309"/>
      <c r="BD641" s="309"/>
      <c r="BE641" s="309"/>
      <c r="BF641" s="309"/>
      <c r="BG641" s="309"/>
      <c r="BH641" s="309"/>
      <c r="BI641" s="309"/>
      <c r="BJ641" s="309"/>
      <c r="BK641" s="309"/>
      <c r="BL641" s="309"/>
      <c r="BM641" s="309"/>
      <c r="BN641" s="309"/>
      <c r="BO641" s="310"/>
      <c r="BP641" s="267">
        <f>SUMIFS('Adv. Filter'!$BJ$1:$BJ$50000,'Adv. Filter'!$BT$1:$BT$50000,"Pradeep",'Adv. Filter'!$BQ$1:$BQ$50000,$AY640,'Adv. Filter'!$BH$1:$BH$50000,"Cash",'Adv. Filter'!$BO$1:$BO$50000,"&lt;"&amp;'Adv. Filter'!$A$15,'Adv. Filter'!$BP$1:$BP$50000,"Project")</f>
        <v>0</v>
      </c>
      <c r="BQ641" s="268"/>
      <c r="BR641" s="268"/>
      <c r="BS641" s="268"/>
      <c r="BT641" s="268"/>
      <c r="BU641" s="268"/>
      <c r="BV641" s="268"/>
      <c r="BW641" s="268"/>
      <c r="BX641" s="268"/>
      <c r="BY641" s="269"/>
      <c r="BZ641" s="267">
        <f>SUMIFS('Adv. Filter'!$BJ$1:$BJ$50000,'Adv. Filter'!$BT$1:$BT$50000,"Pradeep",'Adv. Filter'!$BQ$1:$BQ$50000,$AY640,'Adv. Filter'!$BH$1:$BH$50000,"Bank",'Adv. Filter'!$BO$1:$BO$50000,"&lt;"&amp;'Adv. Filter'!$A$15,'Adv. Filter'!$BP$1:$BP$50000,"Project")</f>
        <v>0</v>
      </c>
      <c r="CA641" s="268"/>
      <c r="CB641" s="268"/>
      <c r="CC641" s="268"/>
      <c r="CD641" s="268"/>
      <c r="CE641" s="268"/>
      <c r="CF641" s="268"/>
      <c r="CG641" s="268"/>
      <c r="CH641" s="268"/>
      <c r="CI641" s="269"/>
      <c r="CJ641" s="267">
        <f t="shared" si="25"/>
        <v>0</v>
      </c>
      <c r="CK641" s="268"/>
      <c r="CL641" s="268"/>
      <c r="CM641" s="268"/>
      <c r="CN641" s="268"/>
      <c r="CO641" s="268"/>
      <c r="CP641" s="268"/>
      <c r="CQ641" s="268"/>
      <c r="CR641" s="268"/>
      <c r="CS641" s="269"/>
    </row>
    <row r="642" spans="1:104" hidden="1">
      <c r="C642" s="308" t="s">
        <v>510</v>
      </c>
      <c r="D642" s="309"/>
      <c r="E642" s="309"/>
      <c r="F642" s="309"/>
      <c r="G642" s="309"/>
      <c r="H642" s="309"/>
      <c r="I642" s="309"/>
      <c r="J642" s="309"/>
      <c r="K642" s="309"/>
      <c r="L642" s="309"/>
      <c r="M642" s="309"/>
      <c r="N642" s="309"/>
      <c r="O642" s="309"/>
      <c r="P642" s="309"/>
      <c r="Q642" s="309"/>
      <c r="R642" s="309"/>
      <c r="S642" s="310"/>
      <c r="T642" s="267">
        <v>0</v>
      </c>
      <c r="U642" s="268"/>
      <c r="V642" s="268"/>
      <c r="W642" s="268"/>
      <c r="X642" s="268"/>
      <c r="Y642" s="268"/>
      <c r="Z642" s="268"/>
      <c r="AA642" s="268"/>
      <c r="AB642" s="268"/>
      <c r="AC642" s="269"/>
      <c r="AD642" s="267">
        <v>0</v>
      </c>
      <c r="AE642" s="268"/>
      <c r="AF642" s="268"/>
      <c r="AG642" s="268"/>
      <c r="AH642" s="268"/>
      <c r="AI642" s="268"/>
      <c r="AJ642" s="268"/>
      <c r="AK642" s="268"/>
      <c r="AL642" s="268"/>
      <c r="AM642" s="269"/>
      <c r="AN642" s="267">
        <f t="shared" si="24"/>
        <v>0</v>
      </c>
      <c r="AO642" s="268"/>
      <c r="AP642" s="268"/>
      <c r="AQ642" s="268"/>
      <c r="AR642" s="268"/>
      <c r="AS642" s="268"/>
      <c r="AT642" s="268"/>
      <c r="AU642" s="268"/>
      <c r="AV642" s="268"/>
      <c r="AW642" s="269"/>
      <c r="AX642" s="22"/>
      <c r="AY642" s="308" t="s">
        <v>510</v>
      </c>
      <c r="AZ642" s="309"/>
      <c r="BA642" s="309"/>
      <c r="BB642" s="309"/>
      <c r="BC642" s="309"/>
      <c r="BD642" s="309"/>
      <c r="BE642" s="309"/>
      <c r="BF642" s="309"/>
      <c r="BG642" s="309"/>
      <c r="BH642" s="309"/>
      <c r="BI642" s="309"/>
      <c r="BJ642" s="309"/>
      <c r="BK642" s="309"/>
      <c r="BL642" s="309"/>
      <c r="BM642" s="309"/>
      <c r="BN642" s="309"/>
      <c r="BO642" s="310"/>
      <c r="BP642" s="267"/>
      <c r="BQ642" s="268"/>
      <c r="BR642" s="268"/>
      <c r="BS642" s="268"/>
      <c r="BT642" s="268"/>
      <c r="BU642" s="268"/>
      <c r="BV642" s="268"/>
      <c r="BW642" s="268"/>
      <c r="BX642" s="268"/>
      <c r="BY642" s="269"/>
      <c r="BZ642" s="267"/>
      <c r="CA642" s="268"/>
      <c r="CB642" s="268"/>
      <c r="CC642" s="268"/>
      <c r="CD642" s="268"/>
      <c r="CE642" s="268"/>
      <c r="CF642" s="268"/>
      <c r="CG642" s="268"/>
      <c r="CH642" s="268"/>
      <c r="CI642" s="269"/>
      <c r="CJ642" s="267">
        <f t="shared" si="25"/>
        <v>0</v>
      </c>
      <c r="CK642" s="268"/>
      <c r="CL642" s="268"/>
      <c r="CM642" s="268"/>
      <c r="CN642" s="268"/>
      <c r="CO642" s="268"/>
      <c r="CP642" s="268"/>
      <c r="CQ642" s="268"/>
      <c r="CR642" s="268"/>
      <c r="CS642" s="269"/>
    </row>
    <row r="643" spans="1:104" hidden="1">
      <c r="A643" s="44"/>
      <c r="B643" s="44"/>
      <c r="C643" s="293" t="s">
        <v>121</v>
      </c>
      <c r="D643" s="294"/>
      <c r="E643" s="294"/>
      <c r="F643" s="294"/>
      <c r="G643" s="294"/>
      <c r="H643" s="294"/>
      <c r="I643" s="294"/>
      <c r="J643" s="294"/>
      <c r="K643" s="294"/>
      <c r="L643" s="294"/>
      <c r="M643" s="294"/>
      <c r="N643" s="294"/>
      <c r="O643" s="294"/>
      <c r="P643" s="294"/>
      <c r="Q643" s="294"/>
      <c r="R643" s="294"/>
      <c r="S643" s="295"/>
      <c r="T643" s="276">
        <f>SUMIFS('Adv. Filter'!$BJ$1:$BJ$50000,'Adv. Filter'!$BT$1:$BT$50000,"Pradeep",'Adv. Filter'!$BQ$1:$BQ$50000,$C643,'Adv. Filter'!$BH$1:$BH$50000,"Cash",'Adv. Filter'!$BO$1:$BO$50000,'Adv. Filter'!$A$14,'Adv. Filter'!$BO$1:$BO$50000,'Adv. Filter'!$B$14)</f>
        <v>0</v>
      </c>
      <c r="U643" s="277"/>
      <c r="V643" s="277"/>
      <c r="W643" s="277"/>
      <c r="X643" s="277"/>
      <c r="Y643" s="277"/>
      <c r="Z643" s="277"/>
      <c r="AA643" s="277"/>
      <c r="AB643" s="277"/>
      <c r="AC643" s="278"/>
      <c r="AD643" s="276">
        <f>SUMIFS('Adv. Filter'!$BJ$1:$BJ$50000,'Adv. Filter'!$BT$1:$BT$50000,"Pradeep",'Adv. Filter'!$BQ$1:$BQ$50000,$C643,'Adv. Filter'!$BH$1:$BH$50000,"Bank",'Adv. Filter'!$BO$1:$BO$50000,'Adv. Filter'!$A$14,'Adv. Filter'!$BO$1:$BO$50000,'Adv. Filter'!$B$14)</f>
        <v>0</v>
      </c>
      <c r="AE643" s="277"/>
      <c r="AF643" s="277"/>
      <c r="AG643" s="277"/>
      <c r="AH643" s="277"/>
      <c r="AI643" s="277"/>
      <c r="AJ643" s="277"/>
      <c r="AK643" s="277"/>
      <c r="AL643" s="277"/>
      <c r="AM643" s="278"/>
      <c r="AN643" s="276">
        <f t="shared" si="24"/>
        <v>0</v>
      </c>
      <c r="AO643" s="277"/>
      <c r="AP643" s="277"/>
      <c r="AQ643" s="277"/>
      <c r="AR643" s="277"/>
      <c r="AS643" s="277"/>
      <c r="AT643" s="277"/>
      <c r="AU643" s="277"/>
      <c r="AV643" s="277"/>
      <c r="AW643" s="278"/>
      <c r="AX643" s="45"/>
      <c r="AY643" s="293" t="s">
        <v>121</v>
      </c>
      <c r="AZ643" s="294"/>
      <c r="BA643" s="294"/>
      <c r="BB643" s="294"/>
      <c r="BC643" s="294"/>
      <c r="BD643" s="294"/>
      <c r="BE643" s="294"/>
      <c r="BF643" s="294"/>
      <c r="BG643" s="294"/>
      <c r="BH643" s="294"/>
      <c r="BI643" s="294"/>
      <c r="BJ643" s="294"/>
      <c r="BK643" s="294"/>
      <c r="BL643" s="294"/>
      <c r="BM643" s="294"/>
      <c r="BN643" s="294"/>
      <c r="BO643" s="295"/>
      <c r="BP643" s="276">
        <f>SUMIFS('Adv. Filter'!$BJ$1:$BJ$50000,'Adv. Filter'!$BT$1:$BT$50000,"Pradeep",'Adv. Filter'!$BQ$1:$BQ$50000,$AY643,'Adv. Filter'!$BH$1:$BH$50000,"Cash",'Adv. Filter'!$BO$1:$BO$50000,"&lt;"&amp;'Adv. Filter'!$A$15)</f>
        <v>0</v>
      </c>
      <c r="BQ643" s="277"/>
      <c r="BR643" s="277"/>
      <c r="BS643" s="277"/>
      <c r="BT643" s="277"/>
      <c r="BU643" s="277"/>
      <c r="BV643" s="277"/>
      <c r="BW643" s="277"/>
      <c r="BX643" s="277"/>
      <c r="BY643" s="278"/>
      <c r="BZ643" s="276">
        <f>SUMIFS('Adv. Filter'!$BJ$1:$BJ$50000,'Adv. Filter'!$BT$1:$BT$50000,"Pradeep",'Adv. Filter'!$BQ$1:$BQ$50000,$AY643,'Adv. Filter'!$BH$1:$BH$50000,"Bank",'Adv. Filter'!$BO$1:$BO$50000,"&lt;"&amp;'Adv. Filter'!$A$15)</f>
        <v>0</v>
      </c>
      <c r="CA643" s="277"/>
      <c r="CB643" s="277"/>
      <c r="CC643" s="277"/>
      <c r="CD643" s="277"/>
      <c r="CE643" s="277"/>
      <c r="CF643" s="277"/>
      <c r="CG643" s="277"/>
      <c r="CH643" s="277"/>
      <c r="CI643" s="278"/>
      <c r="CJ643" s="276">
        <f t="shared" si="25"/>
        <v>0</v>
      </c>
      <c r="CK643" s="277"/>
      <c r="CL643" s="277"/>
      <c r="CM643" s="277"/>
      <c r="CN643" s="277"/>
      <c r="CO643" s="277"/>
      <c r="CP643" s="277"/>
      <c r="CQ643" s="277"/>
      <c r="CR643" s="277"/>
      <c r="CS643" s="278"/>
      <c r="CT643" s="44"/>
      <c r="CU643" s="44"/>
      <c r="CV643" s="44"/>
      <c r="CW643" s="44"/>
      <c r="CX643" s="44"/>
      <c r="CY643" s="44"/>
      <c r="CZ643" s="44"/>
    </row>
    <row r="644" spans="1:104" hidden="1">
      <c r="C644" s="308" t="s">
        <v>115</v>
      </c>
      <c r="D644" s="309"/>
      <c r="E644" s="309"/>
      <c r="F644" s="309"/>
      <c r="G644" s="309"/>
      <c r="H644" s="309"/>
      <c r="I644" s="309"/>
      <c r="J644" s="309"/>
      <c r="K644" s="309"/>
      <c r="L644" s="309"/>
      <c r="M644" s="309"/>
      <c r="N644" s="309"/>
      <c r="O644" s="309"/>
      <c r="P644" s="309"/>
      <c r="Q644" s="309"/>
      <c r="R644" s="309"/>
      <c r="S644" s="310"/>
      <c r="T644" s="267">
        <f>SUMIFS('Adv. Filter'!$BJ$1:$BJ$50000,'Adv. Filter'!$BT$1:$BT$50000,"Pradeep",'Adv. Filter'!$BQ$1:$BQ$50000,$C643,'Adv. Filter'!$BH$1:$BH$50000,"Cash",'Adv. Filter'!$BO$1:$BO$50000,'Adv. Filter'!$A$14,'Adv. Filter'!$BO$1:$BO$50000,'Adv. Filter'!$B$14,'Adv. Filter'!$BP$1:$BP$50000,"Project")</f>
        <v>0</v>
      </c>
      <c r="U644" s="268"/>
      <c r="V644" s="268"/>
      <c r="W644" s="268"/>
      <c r="X644" s="268"/>
      <c r="Y644" s="268"/>
      <c r="Z644" s="268"/>
      <c r="AA644" s="268"/>
      <c r="AB644" s="268"/>
      <c r="AC644" s="269"/>
      <c r="AD644" s="267">
        <f>SUMIFS('Adv. Filter'!$BJ$1:$BJ$50000,'Adv. Filter'!$BT$1:$BT$50000,"Pradeep",'Adv. Filter'!$BQ$1:$BQ$50000,$C643,'Adv. Filter'!$BH$1:$BH$50000,"Bank",'Adv. Filter'!$BO$1:$BO$50000,'Adv. Filter'!$A$14,'Adv. Filter'!$BO$1:$BO$50000,'Adv. Filter'!$B$14,'Adv. Filter'!$BP$1:$BP$50000,"Project")</f>
        <v>0</v>
      </c>
      <c r="AE644" s="268"/>
      <c r="AF644" s="268"/>
      <c r="AG644" s="268"/>
      <c r="AH644" s="268"/>
      <c r="AI644" s="268"/>
      <c r="AJ644" s="268"/>
      <c r="AK644" s="268"/>
      <c r="AL644" s="268"/>
      <c r="AM644" s="269"/>
      <c r="AN644" s="267">
        <f t="shared" si="24"/>
        <v>0</v>
      </c>
      <c r="AO644" s="268"/>
      <c r="AP644" s="268"/>
      <c r="AQ644" s="268"/>
      <c r="AR644" s="268"/>
      <c r="AS644" s="268"/>
      <c r="AT644" s="268"/>
      <c r="AU644" s="268"/>
      <c r="AV644" s="268"/>
      <c r="AW644" s="269"/>
      <c r="AX644" s="22"/>
      <c r="AY644" s="308" t="s">
        <v>115</v>
      </c>
      <c r="AZ644" s="309"/>
      <c r="BA644" s="309"/>
      <c r="BB644" s="309"/>
      <c r="BC644" s="309"/>
      <c r="BD644" s="309"/>
      <c r="BE644" s="309"/>
      <c r="BF644" s="309"/>
      <c r="BG644" s="309"/>
      <c r="BH644" s="309"/>
      <c r="BI644" s="309"/>
      <c r="BJ644" s="309"/>
      <c r="BK644" s="309"/>
      <c r="BL644" s="309"/>
      <c r="BM644" s="309"/>
      <c r="BN644" s="309"/>
      <c r="BO644" s="310"/>
      <c r="BP644" s="267">
        <f>SUMIFS('Adv. Filter'!$BJ$1:$BJ$50000,'Adv. Filter'!$BT$1:$BT$50000,"Pradeep",'Adv. Filter'!$BQ$1:$BQ$50000,$AY643,'Adv. Filter'!$BH$1:$BH$50000,"Cash",'Adv. Filter'!$BO$1:$BO$50000,"&lt;"&amp;'Adv. Filter'!$A$15,'Adv. Filter'!$BP$1:$BP$50000,"Project")</f>
        <v>0</v>
      </c>
      <c r="BQ644" s="268"/>
      <c r="BR644" s="268"/>
      <c r="BS644" s="268"/>
      <c r="BT644" s="268"/>
      <c r="BU644" s="268"/>
      <c r="BV644" s="268"/>
      <c r="BW644" s="268"/>
      <c r="BX644" s="268"/>
      <c r="BY644" s="269"/>
      <c r="BZ644" s="267">
        <f>SUMIFS('Adv. Filter'!$BJ$1:$BJ$50000,'Adv. Filter'!$BT$1:$BT$50000,"Pradeep",'Adv. Filter'!$BQ$1:$BQ$50000,$AY643,'Adv. Filter'!$BH$1:$BH$50000,"Bank",'Adv. Filter'!$BO$1:$BO$50000,"&lt;"&amp;'Adv. Filter'!$A$15,'Adv. Filter'!$BP$1:$BP$50000,"Project")</f>
        <v>0</v>
      </c>
      <c r="CA644" s="268"/>
      <c r="CB644" s="268"/>
      <c r="CC644" s="268"/>
      <c r="CD644" s="268"/>
      <c r="CE644" s="268"/>
      <c r="CF644" s="268"/>
      <c r="CG644" s="268"/>
      <c r="CH644" s="268"/>
      <c r="CI644" s="269"/>
      <c r="CJ644" s="267">
        <f t="shared" si="25"/>
        <v>0</v>
      </c>
      <c r="CK644" s="268"/>
      <c r="CL644" s="268"/>
      <c r="CM644" s="268"/>
      <c r="CN644" s="268"/>
      <c r="CO644" s="268"/>
      <c r="CP644" s="268"/>
      <c r="CQ644" s="268"/>
      <c r="CR644" s="268"/>
      <c r="CS644" s="269"/>
    </row>
    <row r="645" spans="1:104" hidden="1">
      <c r="C645" s="308" t="s">
        <v>510</v>
      </c>
      <c r="D645" s="309"/>
      <c r="E645" s="309"/>
      <c r="F645" s="309"/>
      <c r="G645" s="309"/>
      <c r="H645" s="309"/>
      <c r="I645" s="309"/>
      <c r="J645" s="309"/>
      <c r="K645" s="309"/>
      <c r="L645" s="309"/>
      <c r="M645" s="309"/>
      <c r="N645" s="309"/>
      <c r="O645" s="309"/>
      <c r="P645" s="309"/>
      <c r="Q645" s="309"/>
      <c r="R645" s="309"/>
      <c r="S645" s="310"/>
      <c r="T645" s="267">
        <v>0</v>
      </c>
      <c r="U645" s="268"/>
      <c r="V645" s="268"/>
      <c r="W645" s="268"/>
      <c r="X645" s="268"/>
      <c r="Y645" s="268"/>
      <c r="Z645" s="268"/>
      <c r="AA645" s="268"/>
      <c r="AB645" s="268"/>
      <c r="AC645" s="269"/>
      <c r="AD645" s="267">
        <v>0</v>
      </c>
      <c r="AE645" s="268"/>
      <c r="AF645" s="268"/>
      <c r="AG645" s="268"/>
      <c r="AH645" s="268"/>
      <c r="AI645" s="268"/>
      <c r="AJ645" s="268"/>
      <c r="AK645" s="268"/>
      <c r="AL645" s="268"/>
      <c r="AM645" s="269"/>
      <c r="AN645" s="267">
        <f t="shared" si="24"/>
        <v>0</v>
      </c>
      <c r="AO645" s="268"/>
      <c r="AP645" s="268"/>
      <c r="AQ645" s="268"/>
      <c r="AR645" s="268"/>
      <c r="AS645" s="268"/>
      <c r="AT645" s="268"/>
      <c r="AU645" s="268"/>
      <c r="AV645" s="268"/>
      <c r="AW645" s="269"/>
      <c r="AX645" s="22"/>
      <c r="AY645" s="308" t="s">
        <v>510</v>
      </c>
      <c r="AZ645" s="309"/>
      <c r="BA645" s="309"/>
      <c r="BB645" s="309"/>
      <c r="BC645" s="309"/>
      <c r="BD645" s="309"/>
      <c r="BE645" s="309"/>
      <c r="BF645" s="309"/>
      <c r="BG645" s="309"/>
      <c r="BH645" s="309"/>
      <c r="BI645" s="309"/>
      <c r="BJ645" s="309"/>
      <c r="BK645" s="309"/>
      <c r="BL645" s="309"/>
      <c r="BM645" s="309"/>
      <c r="BN645" s="309"/>
      <c r="BO645" s="310"/>
      <c r="BP645" s="267"/>
      <c r="BQ645" s="268"/>
      <c r="BR645" s="268"/>
      <c r="BS645" s="268"/>
      <c r="BT645" s="268"/>
      <c r="BU645" s="268"/>
      <c r="BV645" s="268"/>
      <c r="BW645" s="268"/>
      <c r="BX645" s="268"/>
      <c r="BY645" s="269"/>
      <c r="BZ645" s="267"/>
      <c r="CA645" s="268"/>
      <c r="CB645" s="268"/>
      <c r="CC645" s="268"/>
      <c r="CD645" s="268"/>
      <c r="CE645" s="268"/>
      <c r="CF645" s="268"/>
      <c r="CG645" s="268"/>
      <c r="CH645" s="268"/>
      <c r="CI645" s="269"/>
      <c r="CJ645" s="267">
        <f t="shared" si="25"/>
        <v>0</v>
      </c>
      <c r="CK645" s="268"/>
      <c r="CL645" s="268"/>
      <c r="CM645" s="268"/>
      <c r="CN645" s="268"/>
      <c r="CO645" s="268"/>
      <c r="CP645" s="268"/>
      <c r="CQ645" s="268"/>
      <c r="CR645" s="268"/>
      <c r="CS645" s="269"/>
    </row>
    <row r="646" spans="1:104" hidden="1">
      <c r="C646" s="43"/>
      <c r="D646" s="36" t="str">
        <f>IF(AN643=0,C643&amp;" -","")</f>
        <v>SBH -</v>
      </c>
      <c r="E646" s="42"/>
      <c r="F646" s="42"/>
      <c r="G646" s="42"/>
      <c r="H646" s="42"/>
      <c r="I646" s="42"/>
      <c r="J646" s="42"/>
      <c r="K646" s="42"/>
      <c r="L646" s="42"/>
      <c r="M646" s="42"/>
      <c r="N646" s="42"/>
      <c r="O646" s="42"/>
      <c r="P646" s="1"/>
      <c r="Q646" s="42"/>
      <c r="R646" s="41" t="s">
        <v>275</v>
      </c>
      <c r="S646" s="40"/>
      <c r="T646" s="267">
        <f>SUMIFS('Adv. Filter'!$CH$1:$CH$50000,'Adv. Filter'!$CD$1:$CD$50000,"Pradeep",'Adv. Filter'!$CE$1:$CE$50000,$C643,'Adv. Filter'!$CC$1:$CC$50000,"Suspense",'Adv. Filter'!$CF$1:$CF$50000,"Cash")</f>
        <v>0</v>
      </c>
      <c r="U646" s="268"/>
      <c r="V646" s="268"/>
      <c r="W646" s="268"/>
      <c r="X646" s="268"/>
      <c r="Y646" s="268"/>
      <c r="Z646" s="268"/>
      <c r="AA646" s="268"/>
      <c r="AB646" s="268"/>
      <c r="AC646" s="269"/>
      <c r="AD646" s="267">
        <f>SUMIFS('Adv. Filter'!$CH$1:$CH$50000,'Adv. Filter'!$CD$1:$CD$50000,"Pradeep",'Adv. Filter'!$CE$1:$CE$50000,$C643,'Adv. Filter'!$CC$1:$CC$50000,"Suspense",'Adv. Filter'!$CF$1:$CF$50000,"Bank")</f>
        <v>0</v>
      </c>
      <c r="AE646" s="268"/>
      <c r="AF646" s="268"/>
      <c r="AG646" s="268"/>
      <c r="AH646" s="268"/>
      <c r="AI646" s="268"/>
      <c r="AJ646" s="268"/>
      <c r="AK646" s="268"/>
      <c r="AL646" s="268"/>
      <c r="AM646" s="269"/>
      <c r="AN646" s="267">
        <f t="shared" si="24"/>
        <v>0</v>
      </c>
      <c r="AO646" s="268"/>
      <c r="AP646" s="268"/>
      <c r="AQ646" s="268"/>
      <c r="AR646" s="268"/>
      <c r="AS646" s="268"/>
      <c r="AT646" s="268"/>
      <c r="AU646" s="268"/>
      <c r="AV646" s="268"/>
      <c r="AW646" s="269"/>
      <c r="AX646" s="22"/>
      <c r="AY646" s="43"/>
      <c r="AZ646" s="36" t="str">
        <f>IF(CJ643=0,AY643&amp;" -","")</f>
        <v>SBH -</v>
      </c>
      <c r="BA646" s="42"/>
      <c r="BB646" s="42"/>
      <c r="BC646" s="42"/>
      <c r="BD646" s="42"/>
      <c r="BE646" s="42"/>
      <c r="BF646" s="42"/>
      <c r="BG646" s="42"/>
      <c r="BH646" s="42"/>
      <c r="BI646" s="42"/>
      <c r="BJ646" s="42"/>
      <c r="BK646" s="42"/>
      <c r="BL646" s="1"/>
      <c r="BM646" s="42"/>
      <c r="BN646" s="41" t="s">
        <v>275</v>
      </c>
      <c r="BO646" s="40"/>
      <c r="BP646" s="267"/>
      <c r="BQ646" s="268"/>
      <c r="BR646" s="268"/>
      <c r="BS646" s="268"/>
      <c r="BT646" s="268"/>
      <c r="BU646" s="268"/>
      <c r="BV646" s="268"/>
      <c r="BW646" s="268"/>
      <c r="BX646" s="268"/>
      <c r="BY646" s="269"/>
      <c r="BZ646" s="267"/>
      <c r="CA646" s="268"/>
      <c r="CB646" s="268"/>
      <c r="CC646" s="268"/>
      <c r="CD646" s="268"/>
      <c r="CE646" s="268"/>
      <c r="CF646" s="268"/>
      <c r="CG646" s="268"/>
      <c r="CH646" s="268"/>
      <c r="CI646" s="269"/>
      <c r="CJ646" s="267">
        <f t="shared" si="25"/>
        <v>0</v>
      </c>
      <c r="CK646" s="268"/>
      <c r="CL646" s="268"/>
      <c r="CM646" s="268"/>
      <c r="CN646" s="268"/>
      <c r="CO646" s="268"/>
      <c r="CP646" s="268"/>
      <c r="CQ646" s="268"/>
      <c r="CR646" s="268"/>
      <c r="CS646" s="269"/>
    </row>
    <row r="647" spans="1:104" hidden="1">
      <c r="A647" s="44"/>
      <c r="B647" s="44"/>
      <c r="C647" s="293" t="s">
        <v>111</v>
      </c>
      <c r="D647" s="294"/>
      <c r="E647" s="294"/>
      <c r="F647" s="294"/>
      <c r="G647" s="294"/>
      <c r="H647" s="294"/>
      <c r="I647" s="294"/>
      <c r="J647" s="294"/>
      <c r="K647" s="294"/>
      <c r="L647" s="294"/>
      <c r="M647" s="294"/>
      <c r="N647" s="294"/>
      <c r="O647" s="294"/>
      <c r="P647" s="294"/>
      <c r="Q647" s="294"/>
      <c r="R647" s="294"/>
      <c r="S647" s="295"/>
      <c r="T647" s="276">
        <f>SUMIFS('Adv. Filter'!$BJ$1:$BJ$50000,'Adv. Filter'!$BT$1:$BT$50000,"Pradeep",'Adv. Filter'!$BQ$1:$BQ$50000,$C647,'Adv. Filter'!$BH$1:$BH$50000,"Cash",'Adv. Filter'!$BO$1:$BO$50000,'Adv. Filter'!$A$14,'Adv. Filter'!$BO$1:$BO$50000,'Adv. Filter'!$B$14)</f>
        <v>0</v>
      </c>
      <c r="U647" s="277"/>
      <c r="V647" s="277"/>
      <c r="W647" s="277"/>
      <c r="X647" s="277"/>
      <c r="Y647" s="277"/>
      <c r="Z647" s="277"/>
      <c r="AA647" s="277"/>
      <c r="AB647" s="277"/>
      <c r="AC647" s="278"/>
      <c r="AD647" s="276">
        <f>SUMIFS('Adv. Filter'!$BJ$1:$BJ$50000,'Adv. Filter'!$BT$1:$BT$50000,"Pradeep",'Adv. Filter'!$BQ$1:$BQ$50000,$C647,'Adv. Filter'!$BH$1:$BH$50000,"Bank",'Adv. Filter'!$BO$1:$BO$50000,'Adv. Filter'!$A$14,'Adv. Filter'!$BO$1:$BO$50000,'Adv. Filter'!$B$14)</f>
        <v>0</v>
      </c>
      <c r="AE647" s="277"/>
      <c r="AF647" s="277"/>
      <c r="AG647" s="277"/>
      <c r="AH647" s="277"/>
      <c r="AI647" s="277"/>
      <c r="AJ647" s="277"/>
      <c r="AK647" s="277"/>
      <c r="AL647" s="277"/>
      <c r="AM647" s="278"/>
      <c r="AN647" s="276">
        <f t="shared" si="24"/>
        <v>0</v>
      </c>
      <c r="AO647" s="277"/>
      <c r="AP647" s="277"/>
      <c r="AQ647" s="277"/>
      <c r="AR647" s="277"/>
      <c r="AS647" s="277"/>
      <c r="AT647" s="277"/>
      <c r="AU647" s="277"/>
      <c r="AV647" s="277"/>
      <c r="AW647" s="278"/>
      <c r="AX647" s="45"/>
      <c r="AY647" s="293" t="s">
        <v>111</v>
      </c>
      <c r="AZ647" s="294"/>
      <c r="BA647" s="294"/>
      <c r="BB647" s="294"/>
      <c r="BC647" s="294"/>
      <c r="BD647" s="294"/>
      <c r="BE647" s="294"/>
      <c r="BF647" s="294"/>
      <c r="BG647" s="294"/>
      <c r="BH647" s="294"/>
      <c r="BI647" s="294"/>
      <c r="BJ647" s="294"/>
      <c r="BK647" s="294"/>
      <c r="BL647" s="294"/>
      <c r="BM647" s="294"/>
      <c r="BN647" s="294"/>
      <c r="BO647" s="295"/>
      <c r="BP647" s="276">
        <f>SUMIFS('Adv. Filter'!$BJ$1:$BJ$50000,'Adv. Filter'!$BT$1:$BT$50000,"Pradeep",'Adv. Filter'!$BQ$1:$BQ$50000,$AY647,'Adv. Filter'!$BH$1:$BH$50000,"Cash",'Adv. Filter'!$BO$1:$BO$50000,"&lt;"&amp;'Adv. Filter'!$A$15)</f>
        <v>0</v>
      </c>
      <c r="BQ647" s="277"/>
      <c r="BR647" s="277"/>
      <c r="BS647" s="277"/>
      <c r="BT647" s="277"/>
      <c r="BU647" s="277"/>
      <c r="BV647" s="277"/>
      <c r="BW647" s="277"/>
      <c r="BX647" s="277"/>
      <c r="BY647" s="278"/>
      <c r="BZ647" s="276">
        <f>SUMIFS('Adv. Filter'!$BJ$1:$BJ$50000,'Adv. Filter'!$BT$1:$BT$50000,"Pradeep",'Adv. Filter'!$BQ$1:$BQ$50000,$AY647,'Adv. Filter'!$BH$1:$BH$50000,"Bank",'Adv. Filter'!$BO$1:$BO$50000,"&lt;"&amp;'Adv. Filter'!$A$15)</f>
        <v>0</v>
      </c>
      <c r="CA647" s="277"/>
      <c r="CB647" s="277"/>
      <c r="CC647" s="277"/>
      <c r="CD647" s="277"/>
      <c r="CE647" s="277"/>
      <c r="CF647" s="277"/>
      <c r="CG647" s="277"/>
      <c r="CH647" s="277"/>
      <c r="CI647" s="278"/>
      <c r="CJ647" s="276">
        <f t="shared" si="25"/>
        <v>0</v>
      </c>
      <c r="CK647" s="277"/>
      <c r="CL647" s="277"/>
      <c r="CM647" s="277"/>
      <c r="CN647" s="277"/>
      <c r="CO647" s="277"/>
      <c r="CP647" s="277"/>
      <c r="CQ647" s="277"/>
      <c r="CR647" s="277"/>
      <c r="CS647" s="278"/>
      <c r="CT647" s="44"/>
      <c r="CU647" s="44"/>
      <c r="CV647" s="44"/>
      <c r="CW647" s="44"/>
      <c r="CX647" s="44"/>
      <c r="CY647" s="44"/>
      <c r="CZ647" s="44"/>
    </row>
    <row r="648" spans="1:104" hidden="1">
      <c r="C648" s="308" t="s">
        <v>115</v>
      </c>
      <c r="D648" s="309"/>
      <c r="E648" s="309"/>
      <c r="F648" s="309"/>
      <c r="G648" s="309"/>
      <c r="H648" s="309"/>
      <c r="I648" s="309"/>
      <c r="J648" s="309"/>
      <c r="K648" s="309"/>
      <c r="L648" s="309"/>
      <c r="M648" s="309"/>
      <c r="N648" s="309"/>
      <c r="O648" s="309"/>
      <c r="P648" s="309"/>
      <c r="Q648" s="309"/>
      <c r="R648" s="309"/>
      <c r="S648" s="310"/>
      <c r="T648" s="267">
        <f>SUMIFS('Adv. Filter'!$BJ$1:$BJ$50000,'Adv. Filter'!$BT$1:$BT$50000,"Pradeep",'Adv. Filter'!$BQ$1:$BQ$50000,$C647,'Adv. Filter'!$BH$1:$BH$50000,"Cash",'Adv. Filter'!$BO$1:$BO$50000,'Adv. Filter'!$A$14,'Adv. Filter'!$BO$1:$BO$50000,'Adv. Filter'!$B$14,'Adv. Filter'!$BP$1:$BP$50000,"Project")</f>
        <v>0</v>
      </c>
      <c r="U648" s="268"/>
      <c r="V648" s="268"/>
      <c r="W648" s="268"/>
      <c r="X648" s="268"/>
      <c r="Y648" s="268"/>
      <c r="Z648" s="268"/>
      <c r="AA648" s="268"/>
      <c r="AB648" s="268"/>
      <c r="AC648" s="269"/>
      <c r="AD648" s="267">
        <f>SUMIFS('Adv. Filter'!$BJ$1:$BJ$50000,'Adv. Filter'!$BT$1:$BT$50000,"Pradeep",'Adv. Filter'!$BQ$1:$BQ$50000,$C647,'Adv. Filter'!$BH$1:$BH$50000,"Bank",'Adv. Filter'!$BO$1:$BO$50000,'Adv. Filter'!$A$14,'Adv. Filter'!$BO$1:$BO$50000,'Adv. Filter'!$B$14,'Adv. Filter'!$BP$1:$BP$50000,"Project")</f>
        <v>0</v>
      </c>
      <c r="AE648" s="268"/>
      <c r="AF648" s="268"/>
      <c r="AG648" s="268"/>
      <c r="AH648" s="268"/>
      <c r="AI648" s="268"/>
      <c r="AJ648" s="268"/>
      <c r="AK648" s="268"/>
      <c r="AL648" s="268"/>
      <c r="AM648" s="269"/>
      <c r="AN648" s="267">
        <f t="shared" si="24"/>
        <v>0</v>
      </c>
      <c r="AO648" s="268"/>
      <c r="AP648" s="268"/>
      <c r="AQ648" s="268"/>
      <c r="AR648" s="268"/>
      <c r="AS648" s="268"/>
      <c r="AT648" s="268"/>
      <c r="AU648" s="268"/>
      <c r="AV648" s="268"/>
      <c r="AW648" s="269"/>
      <c r="AX648" s="22"/>
      <c r="AY648" s="308" t="s">
        <v>115</v>
      </c>
      <c r="AZ648" s="309"/>
      <c r="BA648" s="309"/>
      <c r="BB648" s="309"/>
      <c r="BC648" s="309"/>
      <c r="BD648" s="309"/>
      <c r="BE648" s="309"/>
      <c r="BF648" s="309"/>
      <c r="BG648" s="309"/>
      <c r="BH648" s="309"/>
      <c r="BI648" s="309"/>
      <c r="BJ648" s="309"/>
      <c r="BK648" s="309"/>
      <c r="BL648" s="309"/>
      <c r="BM648" s="309"/>
      <c r="BN648" s="309"/>
      <c r="BO648" s="310"/>
      <c r="BP648" s="267">
        <f>SUMIFS('Adv. Filter'!$BJ$1:$BJ$50000,'Adv. Filter'!$BT$1:$BT$50000,"Pradeep",'Adv. Filter'!$BQ$1:$BQ$50000,$AY647,'Adv. Filter'!$BH$1:$BH$50000,"Cash",'Adv. Filter'!$BO$1:$BO$50000,"&lt;"&amp;'Adv. Filter'!$A$15,'Adv. Filter'!$BP$1:$BP$50000,"Project")</f>
        <v>0</v>
      </c>
      <c r="BQ648" s="268"/>
      <c r="BR648" s="268"/>
      <c r="BS648" s="268"/>
      <c r="BT648" s="268"/>
      <c r="BU648" s="268"/>
      <c r="BV648" s="268"/>
      <c r="BW648" s="268"/>
      <c r="BX648" s="268"/>
      <c r="BY648" s="269"/>
      <c r="BZ648" s="267">
        <f>SUMIFS('Adv. Filter'!$BJ$1:$BJ$50000,'Adv. Filter'!$BT$1:$BT$50000,"Pradeep",'Adv. Filter'!$BQ$1:$BQ$50000,$AY647,'Adv. Filter'!$BH$1:$BH$50000,"Bank",'Adv. Filter'!$BO$1:$BO$50000,"&lt;"&amp;'Adv. Filter'!$A$15,'Adv. Filter'!$BP$1:$BP$50000,"Project")</f>
        <v>0</v>
      </c>
      <c r="CA648" s="268"/>
      <c r="CB648" s="268"/>
      <c r="CC648" s="268"/>
      <c r="CD648" s="268"/>
      <c r="CE648" s="268"/>
      <c r="CF648" s="268"/>
      <c r="CG648" s="268"/>
      <c r="CH648" s="268"/>
      <c r="CI648" s="269"/>
      <c r="CJ648" s="267">
        <f t="shared" si="25"/>
        <v>0</v>
      </c>
      <c r="CK648" s="268"/>
      <c r="CL648" s="268"/>
      <c r="CM648" s="268"/>
      <c r="CN648" s="268"/>
      <c r="CO648" s="268"/>
      <c r="CP648" s="268"/>
      <c r="CQ648" s="268"/>
      <c r="CR648" s="268"/>
      <c r="CS648" s="269"/>
    </row>
    <row r="649" spans="1:104" hidden="1">
      <c r="C649" s="308" t="s">
        <v>510</v>
      </c>
      <c r="D649" s="309"/>
      <c r="E649" s="309"/>
      <c r="F649" s="309"/>
      <c r="G649" s="309"/>
      <c r="H649" s="309"/>
      <c r="I649" s="309"/>
      <c r="J649" s="309"/>
      <c r="K649" s="309"/>
      <c r="L649" s="309"/>
      <c r="M649" s="309"/>
      <c r="N649" s="309"/>
      <c r="O649" s="309"/>
      <c r="P649" s="309"/>
      <c r="Q649" s="309"/>
      <c r="R649" s="309"/>
      <c r="S649" s="310"/>
      <c r="T649" s="267">
        <v>0</v>
      </c>
      <c r="U649" s="268"/>
      <c r="V649" s="268"/>
      <c r="W649" s="268"/>
      <c r="X649" s="268"/>
      <c r="Y649" s="268"/>
      <c r="Z649" s="268"/>
      <c r="AA649" s="268"/>
      <c r="AB649" s="268"/>
      <c r="AC649" s="269"/>
      <c r="AD649" s="267">
        <v>0</v>
      </c>
      <c r="AE649" s="268"/>
      <c r="AF649" s="268"/>
      <c r="AG649" s="268"/>
      <c r="AH649" s="268"/>
      <c r="AI649" s="268"/>
      <c r="AJ649" s="268"/>
      <c r="AK649" s="268"/>
      <c r="AL649" s="268"/>
      <c r="AM649" s="269"/>
      <c r="AN649" s="267">
        <f t="shared" si="24"/>
        <v>0</v>
      </c>
      <c r="AO649" s="268"/>
      <c r="AP649" s="268"/>
      <c r="AQ649" s="268"/>
      <c r="AR649" s="268"/>
      <c r="AS649" s="268"/>
      <c r="AT649" s="268"/>
      <c r="AU649" s="268"/>
      <c r="AV649" s="268"/>
      <c r="AW649" s="269"/>
      <c r="AX649" s="22"/>
      <c r="AY649" s="308" t="s">
        <v>510</v>
      </c>
      <c r="AZ649" s="309"/>
      <c r="BA649" s="309"/>
      <c r="BB649" s="309"/>
      <c r="BC649" s="309"/>
      <c r="BD649" s="309"/>
      <c r="BE649" s="309"/>
      <c r="BF649" s="309"/>
      <c r="BG649" s="309"/>
      <c r="BH649" s="309"/>
      <c r="BI649" s="309"/>
      <c r="BJ649" s="309"/>
      <c r="BK649" s="309"/>
      <c r="BL649" s="309"/>
      <c r="BM649" s="309"/>
      <c r="BN649" s="309"/>
      <c r="BO649" s="310"/>
      <c r="BP649" s="267"/>
      <c r="BQ649" s="268"/>
      <c r="BR649" s="268"/>
      <c r="BS649" s="268"/>
      <c r="BT649" s="268"/>
      <c r="BU649" s="268"/>
      <c r="BV649" s="268"/>
      <c r="BW649" s="268"/>
      <c r="BX649" s="268"/>
      <c r="BY649" s="269"/>
      <c r="BZ649" s="267"/>
      <c r="CA649" s="268"/>
      <c r="CB649" s="268"/>
      <c r="CC649" s="268"/>
      <c r="CD649" s="268"/>
      <c r="CE649" s="268"/>
      <c r="CF649" s="268"/>
      <c r="CG649" s="268"/>
      <c r="CH649" s="268"/>
      <c r="CI649" s="269"/>
      <c r="CJ649" s="267">
        <f t="shared" si="25"/>
        <v>0</v>
      </c>
      <c r="CK649" s="268"/>
      <c r="CL649" s="268"/>
      <c r="CM649" s="268"/>
      <c r="CN649" s="268"/>
      <c r="CO649" s="268"/>
      <c r="CP649" s="268"/>
      <c r="CQ649" s="268"/>
      <c r="CR649" s="268"/>
      <c r="CS649" s="269"/>
    </row>
    <row r="650" spans="1:104" hidden="1">
      <c r="C650" s="43"/>
      <c r="D650" s="36" t="str">
        <f>IF(AN647=0,C647&amp;" -","")</f>
        <v>SBM -</v>
      </c>
      <c r="E650" s="42"/>
      <c r="F650" s="42"/>
      <c r="G650" s="42"/>
      <c r="H650" s="42"/>
      <c r="I650" s="42"/>
      <c r="J650" s="42"/>
      <c r="K650" s="42"/>
      <c r="L650" s="42"/>
      <c r="M650" s="42"/>
      <c r="N650" s="42"/>
      <c r="O650" s="42"/>
      <c r="P650" s="1"/>
      <c r="Q650" s="42"/>
      <c r="R650" s="41" t="s">
        <v>275</v>
      </c>
      <c r="S650" s="40"/>
      <c r="T650" s="267">
        <f>SUMIFS('Adv. Filter'!$CH$1:$CH$50000,'Adv. Filter'!$CD$1:$CD$50000,"Pradeep",'Adv. Filter'!$CE$1:$CE$50000,$C647,'Adv. Filter'!$CC$1:$CC$50000,"Suspense",'Adv. Filter'!$CF$1:$CF$50000,"Cash")</f>
        <v>0</v>
      </c>
      <c r="U650" s="268"/>
      <c r="V650" s="268"/>
      <c r="W650" s="268"/>
      <c r="X650" s="268"/>
      <c r="Y650" s="268"/>
      <c r="Z650" s="268"/>
      <c r="AA650" s="268"/>
      <c r="AB650" s="268"/>
      <c r="AC650" s="269"/>
      <c r="AD650" s="267">
        <f>SUMIFS('Adv. Filter'!$CH$1:$CH$50000,'Adv. Filter'!$CD$1:$CD$50000,"Pradeep",'Adv. Filter'!$CE$1:$CE$50000,$C647,'Adv. Filter'!$CC$1:$CC$50000,"Suspense",'Adv. Filter'!$CF$1:$CF$50000,"Bank")</f>
        <v>0</v>
      </c>
      <c r="AE650" s="268"/>
      <c r="AF650" s="268"/>
      <c r="AG650" s="268"/>
      <c r="AH650" s="268"/>
      <c r="AI650" s="268"/>
      <c r="AJ650" s="268"/>
      <c r="AK650" s="268"/>
      <c r="AL650" s="268"/>
      <c r="AM650" s="269"/>
      <c r="AN650" s="267">
        <f t="shared" si="24"/>
        <v>0</v>
      </c>
      <c r="AO650" s="268"/>
      <c r="AP650" s="268"/>
      <c r="AQ650" s="268"/>
      <c r="AR650" s="268"/>
      <c r="AS650" s="268"/>
      <c r="AT650" s="268"/>
      <c r="AU650" s="268"/>
      <c r="AV650" s="268"/>
      <c r="AW650" s="269"/>
      <c r="AX650" s="22"/>
      <c r="AY650" s="43"/>
      <c r="AZ650" s="36" t="str">
        <f>IF(CJ647=0,AY647&amp;" -","")</f>
        <v>SBM -</v>
      </c>
      <c r="BA650" s="42"/>
      <c r="BB650" s="42"/>
      <c r="BC650" s="42"/>
      <c r="BD650" s="42"/>
      <c r="BE650" s="42"/>
      <c r="BF650" s="42"/>
      <c r="BG650" s="42"/>
      <c r="BH650" s="42"/>
      <c r="BI650" s="42"/>
      <c r="BJ650" s="42"/>
      <c r="BK650" s="42"/>
      <c r="BL650" s="1"/>
      <c r="BM650" s="42"/>
      <c r="BN650" s="41" t="s">
        <v>275</v>
      </c>
      <c r="BO650" s="40"/>
      <c r="BP650" s="267"/>
      <c r="BQ650" s="268"/>
      <c r="BR650" s="268"/>
      <c r="BS650" s="268"/>
      <c r="BT650" s="268"/>
      <c r="BU650" s="268"/>
      <c r="BV650" s="268"/>
      <c r="BW650" s="268"/>
      <c r="BX650" s="268"/>
      <c r="BY650" s="269"/>
      <c r="BZ650" s="267"/>
      <c r="CA650" s="268"/>
      <c r="CB650" s="268"/>
      <c r="CC650" s="268"/>
      <c r="CD650" s="268"/>
      <c r="CE650" s="268"/>
      <c r="CF650" s="268"/>
      <c r="CG650" s="268"/>
      <c r="CH650" s="268"/>
      <c r="CI650" s="269"/>
      <c r="CJ650" s="267">
        <f t="shared" si="25"/>
        <v>0</v>
      </c>
      <c r="CK650" s="268"/>
      <c r="CL650" s="268"/>
      <c r="CM650" s="268"/>
      <c r="CN650" s="268"/>
      <c r="CO650" s="268"/>
      <c r="CP650" s="268"/>
      <c r="CQ650" s="268"/>
      <c r="CR650" s="268"/>
      <c r="CS650" s="269"/>
    </row>
    <row r="651" spans="1:104" hidden="1">
      <c r="A651" s="44"/>
      <c r="B651" s="44"/>
      <c r="C651" s="293" t="s">
        <v>116</v>
      </c>
      <c r="D651" s="294"/>
      <c r="E651" s="294"/>
      <c r="F651" s="294"/>
      <c r="G651" s="294"/>
      <c r="H651" s="294"/>
      <c r="I651" s="294"/>
      <c r="J651" s="294"/>
      <c r="K651" s="294"/>
      <c r="L651" s="294"/>
      <c r="M651" s="294"/>
      <c r="N651" s="294"/>
      <c r="O651" s="294"/>
      <c r="P651" s="294"/>
      <c r="Q651" s="294"/>
      <c r="R651" s="294"/>
      <c r="S651" s="295"/>
      <c r="T651" s="276">
        <f>SUMIFS('Adv. Filter'!$BJ$1:$BJ$50000,'Adv. Filter'!$BT$1:$BT$50000,"Pradeep",'Adv. Filter'!$BQ$1:$BQ$50000,$C651,'Adv. Filter'!$BH$1:$BH$50000,"Cash",'Adv. Filter'!$BO$1:$BO$50000,'Adv. Filter'!$A$14,'Adv. Filter'!$BO$1:$BO$50000,'Adv. Filter'!$B$14)</f>
        <v>0</v>
      </c>
      <c r="U651" s="277"/>
      <c r="V651" s="277"/>
      <c r="W651" s="277"/>
      <c r="X651" s="277"/>
      <c r="Y651" s="277"/>
      <c r="Z651" s="277"/>
      <c r="AA651" s="277"/>
      <c r="AB651" s="277"/>
      <c r="AC651" s="278"/>
      <c r="AD651" s="276">
        <f>SUMIFS('Adv. Filter'!$BJ$1:$BJ$50000,'Adv. Filter'!$BT$1:$BT$50000,"Pradeep",'Adv. Filter'!$BQ$1:$BQ$50000,$C651,'Adv. Filter'!$BH$1:$BH$50000,"Bank",'Adv. Filter'!$BO$1:$BO$50000,'Adv. Filter'!$A$14,'Adv. Filter'!$BO$1:$BO$50000,'Adv. Filter'!$B$14)</f>
        <v>0</v>
      </c>
      <c r="AE651" s="277"/>
      <c r="AF651" s="277"/>
      <c r="AG651" s="277"/>
      <c r="AH651" s="277"/>
      <c r="AI651" s="277"/>
      <c r="AJ651" s="277"/>
      <c r="AK651" s="277"/>
      <c r="AL651" s="277"/>
      <c r="AM651" s="278"/>
      <c r="AN651" s="276">
        <f t="shared" si="24"/>
        <v>0</v>
      </c>
      <c r="AO651" s="277"/>
      <c r="AP651" s="277"/>
      <c r="AQ651" s="277"/>
      <c r="AR651" s="277"/>
      <c r="AS651" s="277"/>
      <c r="AT651" s="277"/>
      <c r="AU651" s="277"/>
      <c r="AV651" s="277"/>
      <c r="AW651" s="278"/>
      <c r="AX651" s="45"/>
      <c r="AY651" s="293" t="s">
        <v>116</v>
      </c>
      <c r="AZ651" s="294"/>
      <c r="BA651" s="294"/>
      <c r="BB651" s="294"/>
      <c r="BC651" s="294"/>
      <c r="BD651" s="294"/>
      <c r="BE651" s="294"/>
      <c r="BF651" s="294"/>
      <c r="BG651" s="294"/>
      <c r="BH651" s="294"/>
      <c r="BI651" s="294"/>
      <c r="BJ651" s="294"/>
      <c r="BK651" s="294"/>
      <c r="BL651" s="294"/>
      <c r="BM651" s="294"/>
      <c r="BN651" s="294"/>
      <c r="BO651" s="295"/>
      <c r="BP651" s="276">
        <f>SUMIFS('Adv. Filter'!$BJ$1:$BJ$50000,'Adv. Filter'!$BT$1:$BT$50000,"Pradeep",'Adv. Filter'!$BQ$1:$BQ$50000,$AY651,'Adv. Filter'!$BH$1:$BH$50000,"Cash",'Adv. Filter'!$BO$1:$BO$50000,"&lt;"&amp;'Adv. Filter'!$A$15)</f>
        <v>0</v>
      </c>
      <c r="BQ651" s="277"/>
      <c r="BR651" s="277"/>
      <c r="BS651" s="277"/>
      <c r="BT651" s="277"/>
      <c r="BU651" s="277"/>
      <c r="BV651" s="277"/>
      <c r="BW651" s="277"/>
      <c r="BX651" s="277"/>
      <c r="BY651" s="278"/>
      <c r="BZ651" s="276">
        <f>SUMIFS('Adv. Filter'!$BJ$1:$BJ$50000,'Adv. Filter'!$BT$1:$BT$50000,"Pradeep",'Adv. Filter'!$BQ$1:$BQ$50000,$AY651,'Adv. Filter'!$BH$1:$BH$50000,"Bank",'Adv. Filter'!$BO$1:$BO$50000,"&lt;"&amp;'Adv. Filter'!$A$15)</f>
        <v>0</v>
      </c>
      <c r="CA651" s="277"/>
      <c r="CB651" s="277"/>
      <c r="CC651" s="277"/>
      <c r="CD651" s="277"/>
      <c r="CE651" s="277"/>
      <c r="CF651" s="277"/>
      <c r="CG651" s="277"/>
      <c r="CH651" s="277"/>
      <c r="CI651" s="278"/>
      <c r="CJ651" s="276">
        <f t="shared" si="25"/>
        <v>0</v>
      </c>
      <c r="CK651" s="277"/>
      <c r="CL651" s="277"/>
      <c r="CM651" s="277"/>
      <c r="CN651" s="277"/>
      <c r="CO651" s="277"/>
      <c r="CP651" s="277"/>
      <c r="CQ651" s="277"/>
      <c r="CR651" s="277"/>
      <c r="CS651" s="278"/>
      <c r="CT651" s="44"/>
      <c r="CU651" s="44"/>
      <c r="CV651" s="44"/>
      <c r="CW651" s="44"/>
      <c r="CX651" s="44"/>
      <c r="CY651" s="44"/>
      <c r="CZ651" s="44"/>
    </row>
    <row r="652" spans="1:104" hidden="1">
      <c r="C652" s="308" t="s">
        <v>115</v>
      </c>
      <c r="D652" s="309"/>
      <c r="E652" s="309"/>
      <c r="F652" s="309"/>
      <c r="G652" s="309"/>
      <c r="H652" s="309"/>
      <c r="I652" s="309"/>
      <c r="J652" s="309"/>
      <c r="K652" s="309"/>
      <c r="L652" s="309"/>
      <c r="M652" s="309"/>
      <c r="N652" s="309"/>
      <c r="O652" s="309"/>
      <c r="P652" s="309"/>
      <c r="Q652" s="309"/>
      <c r="R652" s="309"/>
      <c r="S652" s="310"/>
      <c r="T652" s="267">
        <f>SUMIFS('Adv. Filter'!$BJ$1:$BJ$50000,'Adv. Filter'!$BT$1:$BT$50000,"Pradeep",'Adv. Filter'!$BQ$1:$BQ$50000,$C651,'Adv. Filter'!$BH$1:$BH$50000,"Cash",'Adv. Filter'!$BO$1:$BO$50000,'Adv. Filter'!$A$14,'Adv. Filter'!$BO$1:$BO$50000,'Adv. Filter'!$B$14,'Adv. Filter'!$BP$1:$BP$50000,"Project")</f>
        <v>0</v>
      </c>
      <c r="U652" s="268"/>
      <c r="V652" s="268"/>
      <c r="W652" s="268"/>
      <c r="X652" s="268"/>
      <c r="Y652" s="268"/>
      <c r="Z652" s="268"/>
      <c r="AA652" s="268"/>
      <c r="AB652" s="268"/>
      <c r="AC652" s="269"/>
      <c r="AD652" s="267">
        <f>SUMIFS('Adv. Filter'!$BJ$1:$BJ$50000,'Adv. Filter'!$BT$1:$BT$50000,"Pradeep",'Adv. Filter'!$BQ$1:$BQ$50000,$C651,'Adv. Filter'!$BH$1:$BH$50000,"Bank",'Adv. Filter'!$BO$1:$BO$50000,'Adv. Filter'!$A$14,'Adv. Filter'!$BO$1:$BO$50000,'Adv. Filter'!$B$14,'Adv. Filter'!$BP$1:$BP$50000,"Project")</f>
        <v>0</v>
      </c>
      <c r="AE652" s="268"/>
      <c r="AF652" s="268"/>
      <c r="AG652" s="268"/>
      <c r="AH652" s="268"/>
      <c r="AI652" s="268"/>
      <c r="AJ652" s="268"/>
      <c r="AK652" s="268"/>
      <c r="AL652" s="268"/>
      <c r="AM652" s="269"/>
      <c r="AN652" s="267">
        <f t="shared" si="24"/>
        <v>0</v>
      </c>
      <c r="AO652" s="268"/>
      <c r="AP652" s="268"/>
      <c r="AQ652" s="268"/>
      <c r="AR652" s="268"/>
      <c r="AS652" s="268"/>
      <c r="AT652" s="268"/>
      <c r="AU652" s="268"/>
      <c r="AV652" s="268"/>
      <c r="AW652" s="269"/>
      <c r="AX652" s="22"/>
      <c r="AY652" s="308" t="s">
        <v>115</v>
      </c>
      <c r="AZ652" s="309"/>
      <c r="BA652" s="309"/>
      <c r="BB652" s="309"/>
      <c r="BC652" s="309"/>
      <c r="BD652" s="309"/>
      <c r="BE652" s="309"/>
      <c r="BF652" s="309"/>
      <c r="BG652" s="309"/>
      <c r="BH652" s="309"/>
      <c r="BI652" s="309"/>
      <c r="BJ652" s="309"/>
      <c r="BK652" s="309"/>
      <c r="BL652" s="309"/>
      <c r="BM652" s="309"/>
      <c r="BN652" s="309"/>
      <c r="BO652" s="310"/>
      <c r="BP652" s="267">
        <f>SUMIFS('Adv. Filter'!$BJ$1:$BJ$50000,'Adv. Filter'!$BT$1:$BT$50000,"Pradeep",'Adv. Filter'!$BQ$1:$BQ$50000,$AY651,'Adv. Filter'!$BH$1:$BH$50000,"Cash",'Adv. Filter'!$BO$1:$BO$50000,"&lt;"&amp;'Adv. Filter'!$A$15,'Adv. Filter'!$BP$1:$BP$50000,"Project")</f>
        <v>0</v>
      </c>
      <c r="BQ652" s="268"/>
      <c r="BR652" s="268"/>
      <c r="BS652" s="268"/>
      <c r="BT652" s="268"/>
      <c r="BU652" s="268"/>
      <c r="BV652" s="268"/>
      <c r="BW652" s="268"/>
      <c r="BX652" s="268"/>
      <c r="BY652" s="269"/>
      <c r="BZ652" s="267">
        <f>SUMIFS('Adv. Filter'!$BJ$1:$BJ$50000,'Adv. Filter'!$BT$1:$BT$50000,"Pradeep",'Adv. Filter'!$BQ$1:$BQ$50000,$AY651,'Adv. Filter'!$BH$1:$BH$50000,"Bank",'Adv. Filter'!$BO$1:$BO$50000,"&lt;"&amp;'Adv. Filter'!$A$15,'Adv. Filter'!$BP$1:$BP$50000,"Project")</f>
        <v>0</v>
      </c>
      <c r="CA652" s="268"/>
      <c r="CB652" s="268"/>
      <c r="CC652" s="268"/>
      <c r="CD652" s="268"/>
      <c r="CE652" s="268"/>
      <c r="CF652" s="268"/>
      <c r="CG652" s="268"/>
      <c r="CH652" s="268"/>
      <c r="CI652" s="269"/>
      <c r="CJ652" s="267">
        <f t="shared" si="25"/>
        <v>0</v>
      </c>
      <c r="CK652" s="268"/>
      <c r="CL652" s="268"/>
      <c r="CM652" s="268"/>
      <c r="CN652" s="268"/>
      <c r="CO652" s="268"/>
      <c r="CP652" s="268"/>
      <c r="CQ652" s="268"/>
      <c r="CR652" s="268"/>
      <c r="CS652" s="269"/>
    </row>
    <row r="653" spans="1:104" hidden="1">
      <c r="C653" s="308" t="s">
        <v>510</v>
      </c>
      <c r="D653" s="309"/>
      <c r="E653" s="309"/>
      <c r="F653" s="309"/>
      <c r="G653" s="309"/>
      <c r="H653" s="309"/>
      <c r="I653" s="309"/>
      <c r="J653" s="309"/>
      <c r="K653" s="309"/>
      <c r="L653" s="309"/>
      <c r="M653" s="309"/>
      <c r="N653" s="309"/>
      <c r="O653" s="309"/>
      <c r="P653" s="309"/>
      <c r="Q653" s="309"/>
      <c r="R653" s="309"/>
      <c r="S653" s="310"/>
      <c r="T653" s="267">
        <v>0</v>
      </c>
      <c r="U653" s="268"/>
      <c r="V653" s="268"/>
      <c r="W653" s="268"/>
      <c r="X653" s="268"/>
      <c r="Y653" s="268"/>
      <c r="Z653" s="268"/>
      <c r="AA653" s="268"/>
      <c r="AB653" s="268"/>
      <c r="AC653" s="269"/>
      <c r="AD653" s="267">
        <v>0</v>
      </c>
      <c r="AE653" s="268"/>
      <c r="AF653" s="268"/>
      <c r="AG653" s="268"/>
      <c r="AH653" s="268"/>
      <c r="AI653" s="268"/>
      <c r="AJ653" s="268"/>
      <c r="AK653" s="268"/>
      <c r="AL653" s="268"/>
      <c r="AM653" s="269"/>
      <c r="AN653" s="267">
        <f t="shared" si="24"/>
        <v>0</v>
      </c>
      <c r="AO653" s="268"/>
      <c r="AP653" s="268"/>
      <c r="AQ653" s="268"/>
      <c r="AR653" s="268"/>
      <c r="AS653" s="268"/>
      <c r="AT653" s="268"/>
      <c r="AU653" s="268"/>
      <c r="AV653" s="268"/>
      <c r="AW653" s="269"/>
      <c r="AX653" s="22"/>
      <c r="AY653" s="308" t="s">
        <v>510</v>
      </c>
      <c r="AZ653" s="309"/>
      <c r="BA653" s="309"/>
      <c r="BB653" s="309"/>
      <c r="BC653" s="309"/>
      <c r="BD653" s="309"/>
      <c r="BE653" s="309"/>
      <c r="BF653" s="309"/>
      <c r="BG653" s="309"/>
      <c r="BH653" s="309"/>
      <c r="BI653" s="309"/>
      <c r="BJ653" s="309"/>
      <c r="BK653" s="309"/>
      <c r="BL653" s="309"/>
      <c r="BM653" s="309"/>
      <c r="BN653" s="309"/>
      <c r="BO653" s="310"/>
      <c r="BP653" s="267"/>
      <c r="BQ653" s="268"/>
      <c r="BR653" s="268"/>
      <c r="BS653" s="268"/>
      <c r="BT653" s="268"/>
      <c r="BU653" s="268"/>
      <c r="BV653" s="268"/>
      <c r="BW653" s="268"/>
      <c r="BX653" s="268"/>
      <c r="BY653" s="269"/>
      <c r="BZ653" s="267"/>
      <c r="CA653" s="268"/>
      <c r="CB653" s="268"/>
      <c r="CC653" s="268"/>
      <c r="CD653" s="268"/>
      <c r="CE653" s="268"/>
      <c r="CF653" s="268"/>
      <c r="CG653" s="268"/>
      <c r="CH653" s="268"/>
      <c r="CI653" s="269"/>
      <c r="CJ653" s="267">
        <f t="shared" si="25"/>
        <v>0</v>
      </c>
      <c r="CK653" s="268"/>
      <c r="CL653" s="268"/>
      <c r="CM653" s="268"/>
      <c r="CN653" s="268"/>
      <c r="CO653" s="268"/>
      <c r="CP653" s="268"/>
      <c r="CQ653" s="268"/>
      <c r="CR653" s="268"/>
      <c r="CS653" s="269"/>
    </row>
    <row r="654" spans="1:104" hidden="1">
      <c r="C654" s="43"/>
      <c r="D654" s="36" t="str">
        <f>IF(AN651=0,C651&amp;" -","")</f>
        <v>SBP -</v>
      </c>
      <c r="E654" s="42"/>
      <c r="F654" s="42"/>
      <c r="G654" s="42"/>
      <c r="H654" s="42"/>
      <c r="I654" s="42"/>
      <c r="J654" s="42"/>
      <c r="K654" s="42"/>
      <c r="L654" s="42"/>
      <c r="M654" s="42"/>
      <c r="N654" s="42"/>
      <c r="O654" s="42"/>
      <c r="P654" s="1"/>
      <c r="Q654" s="42"/>
      <c r="R654" s="41" t="s">
        <v>275</v>
      </c>
      <c r="S654" s="40"/>
      <c r="T654" s="267">
        <f>SUMIFS('Adv. Filter'!$CH$1:$CH$50000,'Adv. Filter'!$CD$1:$CD$50000,"Pradeep",'Adv. Filter'!$CE$1:$CE$50000,$C651,'Adv. Filter'!$CC$1:$CC$50000,"Suspense",'Adv. Filter'!$CF$1:$CF$50000,"Cash")</f>
        <v>0</v>
      </c>
      <c r="U654" s="268"/>
      <c r="V654" s="268"/>
      <c r="W654" s="268"/>
      <c r="X654" s="268"/>
      <c r="Y654" s="268"/>
      <c r="Z654" s="268"/>
      <c r="AA654" s="268"/>
      <c r="AB654" s="268"/>
      <c r="AC654" s="269"/>
      <c r="AD654" s="267">
        <f>SUMIFS('Adv. Filter'!$CH$1:$CH$50000,'Adv. Filter'!$CD$1:$CD$50000,"Pradeep",'Adv. Filter'!$CE$1:$CE$50000,$C651,'Adv. Filter'!$CC$1:$CC$50000,"Suspense",'Adv. Filter'!$CF$1:$CF$50000,"Bank")</f>
        <v>0</v>
      </c>
      <c r="AE654" s="268"/>
      <c r="AF654" s="268"/>
      <c r="AG654" s="268"/>
      <c r="AH654" s="268"/>
      <c r="AI654" s="268"/>
      <c r="AJ654" s="268"/>
      <c r="AK654" s="268"/>
      <c r="AL654" s="268"/>
      <c r="AM654" s="269"/>
      <c r="AN654" s="267">
        <f t="shared" si="24"/>
        <v>0</v>
      </c>
      <c r="AO654" s="268"/>
      <c r="AP654" s="268"/>
      <c r="AQ654" s="268"/>
      <c r="AR654" s="268"/>
      <c r="AS654" s="268"/>
      <c r="AT654" s="268"/>
      <c r="AU654" s="268"/>
      <c r="AV654" s="268"/>
      <c r="AW654" s="269"/>
      <c r="AX654" s="22"/>
      <c r="AY654" s="43"/>
      <c r="AZ654" s="36" t="str">
        <f>IF(CJ651=0,AY651&amp;" -","")</f>
        <v>SBP -</v>
      </c>
      <c r="BA654" s="42"/>
      <c r="BB654" s="42"/>
      <c r="BC654" s="42"/>
      <c r="BD654" s="42"/>
      <c r="BE654" s="42"/>
      <c r="BF654" s="42"/>
      <c r="BG654" s="42"/>
      <c r="BH654" s="42"/>
      <c r="BI654" s="42"/>
      <c r="BJ654" s="42"/>
      <c r="BK654" s="42"/>
      <c r="BL654" s="1"/>
      <c r="BM654" s="42"/>
      <c r="BN654" s="41" t="s">
        <v>275</v>
      </c>
      <c r="BO654" s="40"/>
      <c r="BP654" s="267"/>
      <c r="BQ654" s="268"/>
      <c r="BR654" s="268"/>
      <c r="BS654" s="268"/>
      <c r="BT654" s="268"/>
      <c r="BU654" s="268"/>
      <c r="BV654" s="268"/>
      <c r="BW654" s="268"/>
      <c r="BX654" s="268"/>
      <c r="BY654" s="269"/>
      <c r="BZ654" s="267"/>
      <c r="CA654" s="268"/>
      <c r="CB654" s="268"/>
      <c r="CC654" s="268"/>
      <c r="CD654" s="268"/>
      <c r="CE654" s="268"/>
      <c r="CF654" s="268"/>
      <c r="CG654" s="268"/>
      <c r="CH654" s="268"/>
      <c r="CI654" s="269"/>
      <c r="CJ654" s="267">
        <f t="shared" si="25"/>
        <v>0</v>
      </c>
      <c r="CK654" s="268"/>
      <c r="CL654" s="268"/>
      <c r="CM654" s="268"/>
      <c r="CN654" s="268"/>
      <c r="CO654" s="268"/>
      <c r="CP654" s="268"/>
      <c r="CQ654" s="268"/>
      <c r="CR654" s="268"/>
      <c r="CS654" s="269"/>
    </row>
    <row r="655" spans="1:104" hidden="1">
      <c r="A655" s="44"/>
      <c r="B655" s="44"/>
      <c r="C655" s="293" t="s">
        <v>119</v>
      </c>
      <c r="D655" s="294"/>
      <c r="E655" s="294"/>
      <c r="F655" s="294"/>
      <c r="G655" s="294"/>
      <c r="H655" s="294"/>
      <c r="I655" s="294"/>
      <c r="J655" s="294"/>
      <c r="K655" s="294"/>
      <c r="L655" s="294"/>
      <c r="M655" s="294"/>
      <c r="N655" s="294"/>
      <c r="O655" s="294"/>
      <c r="P655" s="294"/>
      <c r="Q655" s="294"/>
      <c r="R655" s="294"/>
      <c r="S655" s="295"/>
      <c r="T655" s="276">
        <f>SUMIFS('Adv. Filter'!$BJ$1:$BJ$50000,'Adv. Filter'!$BT$1:$BT$50000,"Pradeep",'Adv. Filter'!$BQ$1:$BQ$50000,$C655,'Adv. Filter'!$BH$1:$BH$50000,"Cash",'Adv. Filter'!$BO$1:$BO$50000,'Adv. Filter'!$A$14,'Adv. Filter'!$BO$1:$BO$50000,'Adv. Filter'!$B$14)</f>
        <v>0</v>
      </c>
      <c r="U655" s="277"/>
      <c r="V655" s="277"/>
      <c r="W655" s="277"/>
      <c r="X655" s="277"/>
      <c r="Y655" s="277"/>
      <c r="Z655" s="277"/>
      <c r="AA655" s="277"/>
      <c r="AB655" s="277"/>
      <c r="AC655" s="278"/>
      <c r="AD655" s="276">
        <f>SUMIFS('Adv. Filter'!$BJ$1:$BJ$50000,'Adv. Filter'!$BT$1:$BT$50000,"Pradeep",'Adv. Filter'!$BQ$1:$BQ$50000,$C655,'Adv. Filter'!$BH$1:$BH$50000,"Bank",'Adv. Filter'!$BO$1:$BO$50000,'Adv. Filter'!$A$14,'Adv. Filter'!$BO$1:$BO$50000,'Adv. Filter'!$B$14)</f>
        <v>0</v>
      </c>
      <c r="AE655" s="277"/>
      <c r="AF655" s="277"/>
      <c r="AG655" s="277"/>
      <c r="AH655" s="277"/>
      <c r="AI655" s="277"/>
      <c r="AJ655" s="277"/>
      <c r="AK655" s="277"/>
      <c r="AL655" s="277"/>
      <c r="AM655" s="278"/>
      <c r="AN655" s="276">
        <f t="shared" si="24"/>
        <v>0</v>
      </c>
      <c r="AO655" s="277"/>
      <c r="AP655" s="277"/>
      <c r="AQ655" s="277"/>
      <c r="AR655" s="277"/>
      <c r="AS655" s="277"/>
      <c r="AT655" s="277"/>
      <c r="AU655" s="277"/>
      <c r="AV655" s="277"/>
      <c r="AW655" s="278"/>
      <c r="AX655" s="45"/>
      <c r="AY655" s="293" t="s">
        <v>119</v>
      </c>
      <c r="AZ655" s="294"/>
      <c r="BA655" s="294"/>
      <c r="BB655" s="294"/>
      <c r="BC655" s="294"/>
      <c r="BD655" s="294"/>
      <c r="BE655" s="294"/>
      <c r="BF655" s="294"/>
      <c r="BG655" s="294"/>
      <c r="BH655" s="294"/>
      <c r="BI655" s="294"/>
      <c r="BJ655" s="294"/>
      <c r="BK655" s="294"/>
      <c r="BL655" s="294"/>
      <c r="BM655" s="294"/>
      <c r="BN655" s="294"/>
      <c r="BO655" s="295"/>
      <c r="BP655" s="276">
        <f>SUMIFS('Adv. Filter'!$BJ$1:$BJ$50000,'Adv. Filter'!$BT$1:$BT$50000,"Pradeep",'Adv. Filter'!$BQ$1:$BQ$50000,$AY655,'Adv. Filter'!$BH$1:$BH$50000,"Cash",'Adv. Filter'!$BO$1:$BO$50000,"&lt;"&amp;'Adv. Filter'!$A$15)</f>
        <v>0</v>
      </c>
      <c r="BQ655" s="277"/>
      <c r="BR655" s="277"/>
      <c r="BS655" s="277"/>
      <c r="BT655" s="277"/>
      <c r="BU655" s="277"/>
      <c r="BV655" s="277"/>
      <c r="BW655" s="277"/>
      <c r="BX655" s="277"/>
      <c r="BY655" s="278"/>
      <c r="BZ655" s="276">
        <f>SUMIFS('Adv. Filter'!$BJ$1:$BJ$50000,'Adv. Filter'!$BT$1:$BT$50000,"Pradeep",'Adv. Filter'!$BQ$1:$BQ$50000,$AY655,'Adv. Filter'!$BH$1:$BH$50000,"Bank",'Adv. Filter'!$BO$1:$BO$50000,"&lt;"&amp;'Adv. Filter'!$A$15)</f>
        <v>0</v>
      </c>
      <c r="CA655" s="277"/>
      <c r="CB655" s="277"/>
      <c r="CC655" s="277"/>
      <c r="CD655" s="277"/>
      <c r="CE655" s="277"/>
      <c r="CF655" s="277"/>
      <c r="CG655" s="277"/>
      <c r="CH655" s="277"/>
      <c r="CI655" s="278"/>
      <c r="CJ655" s="276">
        <f t="shared" si="25"/>
        <v>0</v>
      </c>
      <c r="CK655" s="277"/>
      <c r="CL655" s="277"/>
      <c r="CM655" s="277"/>
      <c r="CN655" s="277"/>
      <c r="CO655" s="277"/>
      <c r="CP655" s="277"/>
      <c r="CQ655" s="277"/>
      <c r="CR655" s="277"/>
      <c r="CS655" s="278"/>
      <c r="CT655" s="44"/>
      <c r="CU655" s="44"/>
      <c r="CV655" s="44"/>
      <c r="CW655" s="44"/>
      <c r="CX655" s="44"/>
      <c r="CY655" s="44"/>
      <c r="CZ655" s="44"/>
    </row>
    <row r="656" spans="1:104" hidden="1">
      <c r="C656" s="308" t="s">
        <v>115</v>
      </c>
      <c r="D656" s="309"/>
      <c r="E656" s="309"/>
      <c r="F656" s="309"/>
      <c r="G656" s="309"/>
      <c r="H656" s="309"/>
      <c r="I656" s="309"/>
      <c r="J656" s="309"/>
      <c r="K656" s="309"/>
      <c r="L656" s="309"/>
      <c r="M656" s="309"/>
      <c r="N656" s="309"/>
      <c r="O656" s="309"/>
      <c r="P656" s="309"/>
      <c r="Q656" s="309"/>
      <c r="R656" s="309"/>
      <c r="S656" s="310"/>
      <c r="T656" s="267">
        <f>SUMIFS('Adv. Filter'!$BJ$1:$BJ$50000,'Adv. Filter'!$BT$1:$BT$50000,"Pradeep",'Adv. Filter'!$BQ$1:$BQ$50000,$C655,'Adv. Filter'!$BH$1:$BH$50000,"Cash",'Adv. Filter'!$BO$1:$BO$50000,'Adv. Filter'!$A$14,'Adv. Filter'!$BO$1:$BO$50000,'Adv. Filter'!$B$14,'Adv. Filter'!$BP$1:$BP$50000,"Project")</f>
        <v>0</v>
      </c>
      <c r="U656" s="268"/>
      <c r="V656" s="268"/>
      <c r="W656" s="268"/>
      <c r="X656" s="268"/>
      <c r="Y656" s="268"/>
      <c r="Z656" s="268"/>
      <c r="AA656" s="268"/>
      <c r="AB656" s="268"/>
      <c r="AC656" s="269"/>
      <c r="AD656" s="267">
        <f>SUMIFS('Adv. Filter'!$BJ$1:$BJ$50000,'Adv. Filter'!$BT$1:$BT$50000,"Pradeep",'Adv. Filter'!$BQ$1:$BQ$50000,$C655,'Adv. Filter'!$BH$1:$BH$50000,"Bank",'Adv. Filter'!$BO$1:$BO$50000,'Adv. Filter'!$A$14,'Adv. Filter'!$BO$1:$BO$50000,'Adv. Filter'!$B$14,'Adv. Filter'!$BP$1:$BP$50000,"Project")</f>
        <v>0</v>
      </c>
      <c r="AE656" s="268"/>
      <c r="AF656" s="268"/>
      <c r="AG656" s="268"/>
      <c r="AH656" s="268"/>
      <c r="AI656" s="268"/>
      <c r="AJ656" s="268"/>
      <c r="AK656" s="268"/>
      <c r="AL656" s="268"/>
      <c r="AM656" s="269"/>
      <c r="AN656" s="267">
        <f t="shared" si="24"/>
        <v>0</v>
      </c>
      <c r="AO656" s="268"/>
      <c r="AP656" s="268"/>
      <c r="AQ656" s="268"/>
      <c r="AR656" s="268"/>
      <c r="AS656" s="268"/>
      <c r="AT656" s="268"/>
      <c r="AU656" s="268"/>
      <c r="AV656" s="268"/>
      <c r="AW656" s="269"/>
      <c r="AX656" s="22"/>
      <c r="AY656" s="308" t="s">
        <v>115</v>
      </c>
      <c r="AZ656" s="309"/>
      <c r="BA656" s="309"/>
      <c r="BB656" s="309"/>
      <c r="BC656" s="309"/>
      <c r="BD656" s="309"/>
      <c r="BE656" s="309"/>
      <c r="BF656" s="309"/>
      <c r="BG656" s="309"/>
      <c r="BH656" s="309"/>
      <c r="BI656" s="309"/>
      <c r="BJ656" s="309"/>
      <c r="BK656" s="309"/>
      <c r="BL656" s="309"/>
      <c r="BM656" s="309"/>
      <c r="BN656" s="309"/>
      <c r="BO656" s="310"/>
      <c r="BP656" s="267">
        <f>SUMIFS('Adv. Filter'!$BJ$1:$BJ$50000,'Adv. Filter'!$BT$1:$BT$50000,"Pradeep",'Adv. Filter'!$BQ$1:$BQ$50000,$AY655,'Adv. Filter'!$BH$1:$BH$50000,"Cash",'Adv. Filter'!$BO$1:$BO$50000,"&lt;"&amp;'Adv. Filter'!$A$15,'Adv. Filter'!$BP$1:$BP$50000,"Project")</f>
        <v>0</v>
      </c>
      <c r="BQ656" s="268"/>
      <c r="BR656" s="268"/>
      <c r="BS656" s="268"/>
      <c r="BT656" s="268"/>
      <c r="BU656" s="268"/>
      <c r="BV656" s="268"/>
      <c r="BW656" s="268"/>
      <c r="BX656" s="268"/>
      <c r="BY656" s="269"/>
      <c r="BZ656" s="267">
        <f>SUMIFS('Adv. Filter'!$BJ$1:$BJ$50000,'Adv. Filter'!$BT$1:$BT$50000,"Pradeep",'Adv. Filter'!$BQ$1:$BQ$50000,$AY655,'Adv. Filter'!$BH$1:$BH$50000,"Bank",'Adv. Filter'!$BO$1:$BO$50000,"&lt;"&amp;'Adv. Filter'!$A$15,'Adv. Filter'!$BP$1:$BP$50000,"Project")</f>
        <v>0</v>
      </c>
      <c r="CA656" s="268"/>
      <c r="CB656" s="268"/>
      <c r="CC656" s="268"/>
      <c r="CD656" s="268"/>
      <c r="CE656" s="268"/>
      <c r="CF656" s="268"/>
      <c r="CG656" s="268"/>
      <c r="CH656" s="268"/>
      <c r="CI656" s="269"/>
      <c r="CJ656" s="267">
        <f t="shared" si="25"/>
        <v>0</v>
      </c>
      <c r="CK656" s="268"/>
      <c r="CL656" s="268"/>
      <c r="CM656" s="268"/>
      <c r="CN656" s="268"/>
      <c r="CO656" s="268"/>
      <c r="CP656" s="268"/>
      <c r="CQ656" s="268"/>
      <c r="CR656" s="268"/>
      <c r="CS656" s="269"/>
    </row>
    <row r="657" spans="1:104" hidden="1">
      <c r="C657" s="308" t="s">
        <v>510</v>
      </c>
      <c r="D657" s="309"/>
      <c r="E657" s="309"/>
      <c r="F657" s="309"/>
      <c r="G657" s="309"/>
      <c r="H657" s="309"/>
      <c r="I657" s="309"/>
      <c r="J657" s="309"/>
      <c r="K657" s="309"/>
      <c r="L657" s="309"/>
      <c r="M657" s="309"/>
      <c r="N657" s="309"/>
      <c r="O657" s="309"/>
      <c r="P657" s="309"/>
      <c r="Q657" s="309"/>
      <c r="R657" s="309"/>
      <c r="S657" s="310"/>
      <c r="T657" s="267">
        <v>0</v>
      </c>
      <c r="U657" s="268"/>
      <c r="V657" s="268"/>
      <c r="W657" s="268"/>
      <c r="X657" s="268"/>
      <c r="Y657" s="268"/>
      <c r="Z657" s="268"/>
      <c r="AA657" s="268"/>
      <c r="AB657" s="268"/>
      <c r="AC657" s="269"/>
      <c r="AD657" s="267">
        <v>0</v>
      </c>
      <c r="AE657" s="268"/>
      <c r="AF657" s="268"/>
      <c r="AG657" s="268"/>
      <c r="AH657" s="268"/>
      <c r="AI657" s="268"/>
      <c r="AJ657" s="268"/>
      <c r="AK657" s="268"/>
      <c r="AL657" s="268"/>
      <c r="AM657" s="269"/>
      <c r="AN657" s="267">
        <f t="shared" si="24"/>
        <v>0</v>
      </c>
      <c r="AO657" s="268"/>
      <c r="AP657" s="268"/>
      <c r="AQ657" s="268"/>
      <c r="AR657" s="268"/>
      <c r="AS657" s="268"/>
      <c r="AT657" s="268"/>
      <c r="AU657" s="268"/>
      <c r="AV657" s="268"/>
      <c r="AW657" s="269"/>
      <c r="AX657" s="22"/>
      <c r="AY657" s="308" t="s">
        <v>510</v>
      </c>
      <c r="AZ657" s="309"/>
      <c r="BA657" s="309"/>
      <c r="BB657" s="309"/>
      <c r="BC657" s="309"/>
      <c r="BD657" s="309"/>
      <c r="BE657" s="309"/>
      <c r="BF657" s="309"/>
      <c r="BG657" s="309"/>
      <c r="BH657" s="309"/>
      <c r="BI657" s="309"/>
      <c r="BJ657" s="309"/>
      <c r="BK657" s="309"/>
      <c r="BL657" s="309"/>
      <c r="BM657" s="309"/>
      <c r="BN657" s="309"/>
      <c r="BO657" s="310"/>
      <c r="BP657" s="267"/>
      <c r="BQ657" s="268"/>
      <c r="BR657" s="268"/>
      <c r="BS657" s="268"/>
      <c r="BT657" s="268"/>
      <c r="BU657" s="268"/>
      <c r="BV657" s="268"/>
      <c r="BW657" s="268"/>
      <c r="BX657" s="268"/>
      <c r="BY657" s="269"/>
      <c r="BZ657" s="267"/>
      <c r="CA657" s="268"/>
      <c r="CB657" s="268"/>
      <c r="CC657" s="268"/>
      <c r="CD657" s="268"/>
      <c r="CE657" s="268"/>
      <c r="CF657" s="268"/>
      <c r="CG657" s="268"/>
      <c r="CH657" s="268"/>
      <c r="CI657" s="269"/>
      <c r="CJ657" s="267">
        <f t="shared" si="25"/>
        <v>0</v>
      </c>
      <c r="CK657" s="268"/>
      <c r="CL657" s="268"/>
      <c r="CM657" s="268"/>
      <c r="CN657" s="268"/>
      <c r="CO657" s="268"/>
      <c r="CP657" s="268"/>
      <c r="CQ657" s="268"/>
      <c r="CR657" s="268"/>
      <c r="CS657" s="269"/>
    </row>
    <row r="658" spans="1:104" hidden="1">
      <c r="C658" s="43"/>
      <c r="D658" s="36" t="str">
        <f>IF(AN655=0,C655&amp;" -","")</f>
        <v>SBT -</v>
      </c>
      <c r="E658" s="42"/>
      <c r="F658" s="42"/>
      <c r="G658" s="42"/>
      <c r="H658" s="42"/>
      <c r="I658" s="42"/>
      <c r="J658" s="42"/>
      <c r="K658" s="42"/>
      <c r="L658" s="42"/>
      <c r="M658" s="42"/>
      <c r="N658" s="42"/>
      <c r="O658" s="42"/>
      <c r="P658" s="1"/>
      <c r="Q658" s="42"/>
      <c r="R658" s="41" t="s">
        <v>275</v>
      </c>
      <c r="S658" s="40"/>
      <c r="T658" s="267">
        <f>SUMIFS('Adv. Filter'!$CH$1:$CH$50000,'Adv. Filter'!$CD$1:$CD$50000,"Pradeep",'Adv. Filter'!$CE$1:$CE$50000,$C655,'Adv. Filter'!$CC$1:$CC$50000,"Suspense",'Adv. Filter'!$CF$1:$CF$50000,"Cash")</f>
        <v>0</v>
      </c>
      <c r="U658" s="268"/>
      <c r="V658" s="268"/>
      <c r="W658" s="268"/>
      <c r="X658" s="268"/>
      <c r="Y658" s="268"/>
      <c r="Z658" s="268"/>
      <c r="AA658" s="268"/>
      <c r="AB658" s="268"/>
      <c r="AC658" s="269"/>
      <c r="AD658" s="267">
        <f>SUMIFS('Adv. Filter'!$CH$1:$CH$50000,'Adv. Filter'!$CD$1:$CD$50000,"Pradeep",'Adv. Filter'!$CE$1:$CE$50000,$C655,'Adv. Filter'!$CC$1:$CC$50000,"Suspense",'Adv. Filter'!$CF$1:$CF$50000,"Bank")</f>
        <v>0</v>
      </c>
      <c r="AE658" s="268"/>
      <c r="AF658" s="268"/>
      <c r="AG658" s="268"/>
      <c r="AH658" s="268"/>
      <c r="AI658" s="268"/>
      <c r="AJ658" s="268"/>
      <c r="AK658" s="268"/>
      <c r="AL658" s="268"/>
      <c r="AM658" s="269"/>
      <c r="AN658" s="267">
        <f t="shared" si="24"/>
        <v>0</v>
      </c>
      <c r="AO658" s="268"/>
      <c r="AP658" s="268"/>
      <c r="AQ658" s="268"/>
      <c r="AR658" s="268"/>
      <c r="AS658" s="268"/>
      <c r="AT658" s="268"/>
      <c r="AU658" s="268"/>
      <c r="AV658" s="268"/>
      <c r="AW658" s="269"/>
      <c r="AX658" s="22"/>
      <c r="AY658" s="43"/>
      <c r="AZ658" s="36" t="str">
        <f>IF(CJ655=0,AY655&amp;" -","")</f>
        <v>SBT -</v>
      </c>
      <c r="BA658" s="42"/>
      <c r="BB658" s="42"/>
      <c r="BC658" s="42"/>
      <c r="BD658" s="42"/>
      <c r="BE658" s="42"/>
      <c r="BF658" s="42"/>
      <c r="BG658" s="42"/>
      <c r="BH658" s="42"/>
      <c r="BI658" s="42"/>
      <c r="BJ658" s="42"/>
      <c r="BK658" s="42"/>
      <c r="BL658" s="1"/>
      <c r="BM658" s="42"/>
      <c r="BN658" s="41" t="s">
        <v>275</v>
      </c>
      <c r="BO658" s="40"/>
      <c r="BP658" s="267"/>
      <c r="BQ658" s="268"/>
      <c r="BR658" s="268"/>
      <c r="BS658" s="268"/>
      <c r="BT658" s="268"/>
      <c r="BU658" s="268"/>
      <c r="BV658" s="268"/>
      <c r="BW658" s="268"/>
      <c r="BX658" s="268"/>
      <c r="BY658" s="269"/>
      <c r="BZ658" s="267"/>
      <c r="CA658" s="268"/>
      <c r="CB658" s="268"/>
      <c r="CC658" s="268"/>
      <c r="CD658" s="268"/>
      <c r="CE658" s="268"/>
      <c r="CF658" s="268"/>
      <c r="CG658" s="268"/>
      <c r="CH658" s="268"/>
      <c r="CI658" s="269"/>
      <c r="CJ658" s="267">
        <f t="shared" si="25"/>
        <v>0</v>
      </c>
      <c r="CK658" s="268"/>
      <c r="CL658" s="268"/>
      <c r="CM658" s="268"/>
      <c r="CN658" s="268"/>
      <c r="CO658" s="268"/>
      <c r="CP658" s="268"/>
      <c r="CQ658" s="268"/>
      <c r="CR658" s="268"/>
      <c r="CS658" s="269"/>
    </row>
    <row r="659" spans="1:104" hidden="1">
      <c r="A659" s="44"/>
      <c r="B659" s="44"/>
      <c r="C659" s="293" t="s">
        <v>92</v>
      </c>
      <c r="D659" s="294"/>
      <c r="E659" s="294"/>
      <c r="F659" s="294"/>
      <c r="G659" s="294"/>
      <c r="H659" s="294"/>
      <c r="I659" s="294"/>
      <c r="J659" s="294"/>
      <c r="K659" s="294"/>
      <c r="L659" s="294"/>
      <c r="M659" s="294"/>
      <c r="N659" s="294"/>
      <c r="O659" s="294"/>
      <c r="P659" s="294"/>
      <c r="Q659" s="294"/>
      <c r="R659" s="294"/>
      <c r="S659" s="295"/>
      <c r="T659" s="276">
        <f>SUMIFS('Adv. Filter'!$BJ$1:$BJ$50000,'Adv. Filter'!$BT$1:$BT$50000,"Pradeep",'Adv. Filter'!$BQ$1:$BQ$50000,$C659,'Adv. Filter'!$BH$1:$BH$50000,"Cash",'Adv. Filter'!$BO$1:$BO$50000,'Adv. Filter'!$A$14,'Adv. Filter'!$BO$1:$BO$50000,'Adv. Filter'!$B$14)</f>
        <v>137300</v>
      </c>
      <c r="U659" s="277"/>
      <c r="V659" s="277"/>
      <c r="W659" s="277"/>
      <c r="X659" s="277"/>
      <c r="Y659" s="277"/>
      <c r="Z659" s="277"/>
      <c r="AA659" s="277"/>
      <c r="AB659" s="277"/>
      <c r="AC659" s="278"/>
      <c r="AD659" s="276">
        <f>SUMIFS('Adv. Filter'!$BJ$1:$BJ$50000,'Adv. Filter'!$BT$1:$BT$50000,"Pradeep",'Adv. Filter'!$BQ$1:$BQ$50000,$C659,'Adv. Filter'!$BH$1:$BH$50000,"Bank",'Adv. Filter'!$BO$1:$BO$50000,'Adv. Filter'!$A$14,'Adv. Filter'!$BO$1:$BO$50000,'Adv. Filter'!$B$14)</f>
        <v>101500</v>
      </c>
      <c r="AE659" s="277"/>
      <c r="AF659" s="277"/>
      <c r="AG659" s="277"/>
      <c r="AH659" s="277"/>
      <c r="AI659" s="277"/>
      <c r="AJ659" s="277"/>
      <c r="AK659" s="277"/>
      <c r="AL659" s="277"/>
      <c r="AM659" s="278"/>
      <c r="AN659" s="276">
        <f t="shared" si="24"/>
        <v>238800</v>
      </c>
      <c r="AO659" s="277"/>
      <c r="AP659" s="277"/>
      <c r="AQ659" s="277"/>
      <c r="AR659" s="277"/>
      <c r="AS659" s="277"/>
      <c r="AT659" s="277"/>
      <c r="AU659" s="277"/>
      <c r="AV659" s="277"/>
      <c r="AW659" s="278"/>
      <c r="AX659" s="45"/>
      <c r="AY659" s="293" t="s">
        <v>92</v>
      </c>
      <c r="AZ659" s="294"/>
      <c r="BA659" s="294"/>
      <c r="BB659" s="294"/>
      <c r="BC659" s="294"/>
      <c r="BD659" s="294"/>
      <c r="BE659" s="294"/>
      <c r="BF659" s="294"/>
      <c r="BG659" s="294"/>
      <c r="BH659" s="294"/>
      <c r="BI659" s="294"/>
      <c r="BJ659" s="294"/>
      <c r="BK659" s="294"/>
      <c r="BL659" s="294"/>
      <c r="BM659" s="294"/>
      <c r="BN659" s="294"/>
      <c r="BO659" s="295"/>
      <c r="BP659" s="276">
        <f>SUMIFS('Adv. Filter'!$BJ$1:$BJ$50000,'Adv. Filter'!$BT$1:$BT$50000,"Pradeep",'Adv. Filter'!$BQ$1:$BQ$50000,$AY659,'Adv. Filter'!$BH$1:$BH$50000,"Cash",'Adv. Filter'!$BO$1:$BO$50000,"&lt;"&amp;'Adv. Filter'!$A$15)</f>
        <v>0</v>
      </c>
      <c r="BQ659" s="277"/>
      <c r="BR659" s="277"/>
      <c r="BS659" s="277"/>
      <c r="BT659" s="277"/>
      <c r="BU659" s="277"/>
      <c r="BV659" s="277"/>
      <c r="BW659" s="277"/>
      <c r="BX659" s="277"/>
      <c r="BY659" s="278"/>
      <c r="BZ659" s="276">
        <f>SUMIFS('Adv. Filter'!$BJ$1:$BJ$50000,'Adv. Filter'!$BT$1:$BT$50000,"Pradeep",'Adv. Filter'!$BQ$1:$BQ$50000,$AY659,'Adv. Filter'!$BH$1:$BH$50000,"Bank",'Adv. Filter'!$BO$1:$BO$50000,"&lt;"&amp;'Adv. Filter'!$A$15)</f>
        <v>12000</v>
      </c>
      <c r="CA659" s="277"/>
      <c r="CB659" s="277"/>
      <c r="CC659" s="277"/>
      <c r="CD659" s="277"/>
      <c r="CE659" s="277"/>
      <c r="CF659" s="277"/>
      <c r="CG659" s="277"/>
      <c r="CH659" s="277"/>
      <c r="CI659" s="278"/>
      <c r="CJ659" s="276">
        <f t="shared" si="25"/>
        <v>12000</v>
      </c>
      <c r="CK659" s="277"/>
      <c r="CL659" s="277"/>
      <c r="CM659" s="277"/>
      <c r="CN659" s="277"/>
      <c r="CO659" s="277"/>
      <c r="CP659" s="277"/>
      <c r="CQ659" s="277"/>
      <c r="CR659" s="277"/>
      <c r="CS659" s="278"/>
      <c r="CT659" s="44"/>
      <c r="CU659" s="44"/>
      <c r="CV659" s="44"/>
      <c r="CW659" s="44"/>
      <c r="CX659" s="44"/>
      <c r="CY659" s="44"/>
      <c r="CZ659" s="44"/>
    </row>
    <row r="660" spans="1:104" hidden="1">
      <c r="C660" s="308" t="s">
        <v>115</v>
      </c>
      <c r="D660" s="309"/>
      <c r="E660" s="309"/>
      <c r="F660" s="309"/>
      <c r="G660" s="309"/>
      <c r="H660" s="309"/>
      <c r="I660" s="309"/>
      <c r="J660" s="309"/>
      <c r="K660" s="309"/>
      <c r="L660" s="309"/>
      <c r="M660" s="309"/>
      <c r="N660" s="309"/>
      <c r="O660" s="309"/>
      <c r="P660" s="309"/>
      <c r="Q660" s="309"/>
      <c r="R660" s="309"/>
      <c r="S660" s="310"/>
      <c r="T660" s="267">
        <f>SUMIFS('Adv. Filter'!$BJ$1:$BJ$50000,'Adv. Filter'!$BT$1:$BT$50000,"Pradeep",'Adv. Filter'!$BQ$1:$BQ$50000,$C659,'Adv. Filter'!$BH$1:$BH$50000,"Cash",'Adv. Filter'!$BO$1:$BO$50000,'Adv. Filter'!$A$14,'Adv. Filter'!$BO$1:$BO$50000,'Adv. Filter'!$B$14,'Adv. Filter'!$BP$1:$BP$50000,"Project")</f>
        <v>0</v>
      </c>
      <c r="U660" s="268"/>
      <c r="V660" s="268"/>
      <c r="W660" s="268"/>
      <c r="X660" s="268"/>
      <c r="Y660" s="268"/>
      <c r="Z660" s="268"/>
      <c r="AA660" s="268"/>
      <c r="AB660" s="268"/>
      <c r="AC660" s="269"/>
      <c r="AD660" s="267">
        <f>SUMIFS('Adv. Filter'!$BJ$1:$BJ$50000,'Adv. Filter'!$BT$1:$BT$50000,"Pradeep",'Adv. Filter'!$BQ$1:$BQ$50000,$C659,'Adv. Filter'!$BH$1:$BH$50000,"Bank",'Adv. Filter'!$BO$1:$BO$50000,'Adv. Filter'!$A$14,'Adv. Filter'!$BO$1:$BO$50000,'Adv. Filter'!$B$14,'Adv. Filter'!$BP$1:$BP$50000,"Project")</f>
        <v>18000</v>
      </c>
      <c r="AE660" s="268"/>
      <c r="AF660" s="268"/>
      <c r="AG660" s="268"/>
      <c r="AH660" s="268"/>
      <c r="AI660" s="268"/>
      <c r="AJ660" s="268"/>
      <c r="AK660" s="268"/>
      <c r="AL660" s="268"/>
      <c r="AM660" s="269"/>
      <c r="AN660" s="267">
        <f t="shared" si="24"/>
        <v>18000</v>
      </c>
      <c r="AO660" s="268"/>
      <c r="AP660" s="268"/>
      <c r="AQ660" s="268"/>
      <c r="AR660" s="268"/>
      <c r="AS660" s="268"/>
      <c r="AT660" s="268"/>
      <c r="AU660" s="268"/>
      <c r="AV660" s="268"/>
      <c r="AW660" s="269"/>
      <c r="AX660" s="22"/>
      <c r="AY660" s="308" t="s">
        <v>115</v>
      </c>
      <c r="AZ660" s="309"/>
      <c r="BA660" s="309"/>
      <c r="BB660" s="309"/>
      <c r="BC660" s="309"/>
      <c r="BD660" s="309"/>
      <c r="BE660" s="309"/>
      <c r="BF660" s="309"/>
      <c r="BG660" s="309"/>
      <c r="BH660" s="309"/>
      <c r="BI660" s="309"/>
      <c r="BJ660" s="309"/>
      <c r="BK660" s="309"/>
      <c r="BL660" s="309"/>
      <c r="BM660" s="309"/>
      <c r="BN660" s="309"/>
      <c r="BO660" s="310"/>
      <c r="BP660" s="267">
        <f>SUMIFS('Adv. Filter'!$BJ$1:$BJ$50000,'Adv. Filter'!$BT$1:$BT$50000,"Pradeep",'Adv. Filter'!$BQ$1:$BQ$50000,$AY659,'Adv. Filter'!$BH$1:$BH$50000,"Cash",'Adv. Filter'!$BO$1:$BO$50000,"&lt;"&amp;'Adv. Filter'!$A$15,'Adv. Filter'!$BP$1:$BP$50000,"Project")</f>
        <v>0</v>
      </c>
      <c r="BQ660" s="268"/>
      <c r="BR660" s="268"/>
      <c r="BS660" s="268"/>
      <c r="BT660" s="268"/>
      <c r="BU660" s="268"/>
      <c r="BV660" s="268"/>
      <c r="BW660" s="268"/>
      <c r="BX660" s="268"/>
      <c r="BY660" s="269"/>
      <c r="BZ660" s="267">
        <f>SUMIFS('Adv. Filter'!$BJ$1:$BJ$50000,'Adv. Filter'!$BT$1:$BT$50000,"Pradeep",'Adv. Filter'!$BQ$1:$BQ$50000,$AY659,'Adv. Filter'!$BH$1:$BH$50000,"Bank",'Adv. Filter'!$BO$1:$BO$50000,"&lt;"&amp;'Adv. Filter'!$A$15,'Adv. Filter'!$BP$1:$BP$50000,"Project")</f>
        <v>12000</v>
      </c>
      <c r="CA660" s="268"/>
      <c r="CB660" s="268"/>
      <c r="CC660" s="268"/>
      <c r="CD660" s="268"/>
      <c r="CE660" s="268"/>
      <c r="CF660" s="268"/>
      <c r="CG660" s="268"/>
      <c r="CH660" s="268"/>
      <c r="CI660" s="269"/>
      <c r="CJ660" s="267">
        <f t="shared" si="25"/>
        <v>12000</v>
      </c>
      <c r="CK660" s="268"/>
      <c r="CL660" s="268"/>
      <c r="CM660" s="268"/>
      <c r="CN660" s="268"/>
      <c r="CO660" s="268"/>
      <c r="CP660" s="268"/>
      <c r="CQ660" s="268"/>
      <c r="CR660" s="268"/>
      <c r="CS660" s="269"/>
    </row>
    <row r="661" spans="1:104" hidden="1">
      <c r="C661" s="308" t="s">
        <v>510</v>
      </c>
      <c r="D661" s="309"/>
      <c r="E661" s="309"/>
      <c r="F661" s="309"/>
      <c r="G661" s="309"/>
      <c r="H661" s="309"/>
      <c r="I661" s="309"/>
      <c r="J661" s="309"/>
      <c r="K661" s="309"/>
      <c r="L661" s="309"/>
      <c r="M661" s="309"/>
      <c r="N661" s="309"/>
      <c r="O661" s="309"/>
      <c r="P661" s="309"/>
      <c r="Q661" s="309"/>
      <c r="R661" s="309"/>
      <c r="S661" s="310"/>
      <c r="T661" s="267">
        <v>0</v>
      </c>
      <c r="U661" s="268"/>
      <c r="V661" s="268"/>
      <c r="W661" s="268"/>
      <c r="X661" s="268"/>
      <c r="Y661" s="268"/>
      <c r="Z661" s="268"/>
      <c r="AA661" s="268"/>
      <c r="AB661" s="268"/>
      <c r="AC661" s="269"/>
      <c r="AD661" s="267">
        <v>0</v>
      </c>
      <c r="AE661" s="268"/>
      <c r="AF661" s="268"/>
      <c r="AG661" s="268"/>
      <c r="AH661" s="268"/>
      <c r="AI661" s="268"/>
      <c r="AJ661" s="268"/>
      <c r="AK661" s="268"/>
      <c r="AL661" s="268"/>
      <c r="AM661" s="269"/>
      <c r="AN661" s="267">
        <f t="shared" si="24"/>
        <v>0</v>
      </c>
      <c r="AO661" s="268"/>
      <c r="AP661" s="268"/>
      <c r="AQ661" s="268"/>
      <c r="AR661" s="268"/>
      <c r="AS661" s="268"/>
      <c r="AT661" s="268"/>
      <c r="AU661" s="268"/>
      <c r="AV661" s="268"/>
      <c r="AW661" s="269"/>
      <c r="AX661" s="22"/>
      <c r="AY661" s="308" t="s">
        <v>510</v>
      </c>
      <c r="AZ661" s="309"/>
      <c r="BA661" s="309"/>
      <c r="BB661" s="309"/>
      <c r="BC661" s="309"/>
      <c r="BD661" s="309"/>
      <c r="BE661" s="309"/>
      <c r="BF661" s="309"/>
      <c r="BG661" s="309"/>
      <c r="BH661" s="309"/>
      <c r="BI661" s="309"/>
      <c r="BJ661" s="309"/>
      <c r="BK661" s="309"/>
      <c r="BL661" s="309"/>
      <c r="BM661" s="309"/>
      <c r="BN661" s="309"/>
      <c r="BO661" s="310"/>
      <c r="BP661" s="267"/>
      <c r="BQ661" s="268"/>
      <c r="BR661" s="268"/>
      <c r="BS661" s="268"/>
      <c r="BT661" s="268"/>
      <c r="BU661" s="268"/>
      <c r="BV661" s="268"/>
      <c r="BW661" s="268"/>
      <c r="BX661" s="268"/>
      <c r="BY661" s="269"/>
      <c r="BZ661" s="267"/>
      <c r="CA661" s="268"/>
      <c r="CB661" s="268"/>
      <c r="CC661" s="268"/>
      <c r="CD661" s="268"/>
      <c r="CE661" s="268"/>
      <c r="CF661" s="268"/>
      <c r="CG661" s="268"/>
      <c r="CH661" s="268"/>
      <c r="CI661" s="269"/>
      <c r="CJ661" s="267">
        <f t="shared" si="25"/>
        <v>0</v>
      </c>
      <c r="CK661" s="268"/>
      <c r="CL661" s="268"/>
      <c r="CM661" s="268"/>
      <c r="CN661" s="268"/>
      <c r="CO661" s="268"/>
      <c r="CP661" s="268"/>
      <c r="CQ661" s="268"/>
      <c r="CR661" s="268"/>
      <c r="CS661" s="269"/>
    </row>
    <row r="662" spans="1:104" ht="15.75" hidden="1" thickBot="1">
      <c r="C662" s="43"/>
      <c r="D662" s="36" t="str">
        <f>IF(AN659=0,C659&amp;" -","")</f>
        <v/>
      </c>
      <c r="E662" s="42"/>
      <c r="F662" s="42"/>
      <c r="G662" s="42"/>
      <c r="H662" s="42"/>
      <c r="I662" s="42"/>
      <c r="J662" s="42"/>
      <c r="K662" s="42"/>
      <c r="L662" s="42"/>
      <c r="M662" s="42"/>
      <c r="N662" s="42"/>
      <c r="O662" s="42"/>
      <c r="P662" s="1"/>
      <c r="Q662" s="42"/>
      <c r="R662" s="41" t="s">
        <v>275</v>
      </c>
      <c r="S662" s="40"/>
      <c r="T662" s="267">
        <f>SUMIFS('Adv. Filter'!$CH$1:$CH$50000,'Adv. Filter'!$CD$1:$CD$50000,"Pradeep",'Adv. Filter'!$CE$1:$CE$50000,$C659,'Adv. Filter'!$CC$1:$CC$50000,"Suspense",'Adv. Filter'!$CF$1:$CF$50000,"Cash")</f>
        <v>0</v>
      </c>
      <c r="U662" s="268"/>
      <c r="V662" s="268"/>
      <c r="W662" s="268"/>
      <c r="X662" s="268"/>
      <c r="Y662" s="268"/>
      <c r="Z662" s="268"/>
      <c r="AA662" s="268"/>
      <c r="AB662" s="268"/>
      <c r="AC662" s="269"/>
      <c r="AD662" s="267">
        <f>SUMIFS('Adv. Filter'!$CH$1:$CH$50000,'Adv. Filter'!$CD$1:$CD$50000,"Pradeep",'Adv. Filter'!$CE$1:$CE$50000,$C659,'Adv. Filter'!$CC$1:$CC$50000,"Suspense",'Adv. Filter'!$CF$1:$CF$50000,"Bank")</f>
        <v>7850</v>
      </c>
      <c r="AE662" s="268"/>
      <c r="AF662" s="268"/>
      <c r="AG662" s="268"/>
      <c r="AH662" s="268"/>
      <c r="AI662" s="268"/>
      <c r="AJ662" s="268"/>
      <c r="AK662" s="268"/>
      <c r="AL662" s="268"/>
      <c r="AM662" s="269"/>
      <c r="AN662" s="267">
        <f t="shared" si="24"/>
        <v>7850</v>
      </c>
      <c r="AO662" s="268"/>
      <c r="AP662" s="268"/>
      <c r="AQ662" s="268"/>
      <c r="AR662" s="268"/>
      <c r="AS662" s="268"/>
      <c r="AT662" s="268"/>
      <c r="AU662" s="268"/>
      <c r="AV662" s="268"/>
      <c r="AW662" s="269"/>
      <c r="AX662" s="22"/>
      <c r="AY662" s="43"/>
      <c r="AZ662" s="36" t="str">
        <f>IF(CJ659=0,AY659&amp;" -","")</f>
        <v/>
      </c>
      <c r="BA662" s="42"/>
      <c r="BB662" s="42"/>
      <c r="BC662" s="42"/>
      <c r="BD662" s="42"/>
      <c r="BE662" s="42"/>
      <c r="BF662" s="42"/>
      <c r="BG662" s="42"/>
      <c r="BH662" s="42"/>
      <c r="BI662" s="42"/>
      <c r="BJ662" s="42"/>
      <c r="BK662" s="42"/>
      <c r="BL662" s="1"/>
      <c r="BM662" s="42"/>
      <c r="BN662" s="41" t="s">
        <v>275</v>
      </c>
      <c r="BO662" s="40"/>
      <c r="BP662" s="267"/>
      <c r="BQ662" s="268"/>
      <c r="BR662" s="268"/>
      <c r="BS662" s="268"/>
      <c r="BT662" s="268"/>
      <c r="BU662" s="268"/>
      <c r="BV662" s="268"/>
      <c r="BW662" s="268"/>
      <c r="BX662" s="268"/>
      <c r="BY662" s="269"/>
      <c r="BZ662" s="267"/>
      <c r="CA662" s="268"/>
      <c r="CB662" s="268"/>
      <c r="CC662" s="268"/>
      <c r="CD662" s="268"/>
      <c r="CE662" s="268"/>
      <c r="CF662" s="268"/>
      <c r="CG662" s="268"/>
      <c r="CH662" s="268"/>
      <c r="CI662" s="269"/>
      <c r="CJ662" s="267">
        <f t="shared" si="25"/>
        <v>0</v>
      </c>
      <c r="CK662" s="268"/>
      <c r="CL662" s="268"/>
      <c r="CM662" s="268"/>
      <c r="CN662" s="268"/>
      <c r="CO662" s="268"/>
      <c r="CP662" s="268"/>
      <c r="CQ662" s="268"/>
      <c r="CR662" s="268"/>
      <c r="CS662" s="269"/>
    </row>
    <row r="663" spans="1:104" hidden="1">
      <c r="A663" s="44"/>
      <c r="B663" s="44"/>
      <c r="C663" s="293" t="s">
        <v>97</v>
      </c>
      <c r="D663" s="294"/>
      <c r="E663" s="294"/>
      <c r="F663" s="294"/>
      <c r="G663" s="294"/>
      <c r="H663" s="294"/>
      <c r="I663" s="294"/>
      <c r="J663" s="294"/>
      <c r="K663" s="294"/>
      <c r="L663" s="294"/>
      <c r="M663" s="294"/>
      <c r="N663" s="294"/>
      <c r="O663" s="294"/>
      <c r="P663" s="294"/>
      <c r="Q663" s="294"/>
      <c r="R663" s="294"/>
      <c r="S663" s="295"/>
      <c r="T663" s="276">
        <f>SUMIFS('Adv. Filter'!$BJ$1:$BJ$50000,'Adv. Filter'!$BT$1:$BT$50000,"Pradeep",'Adv. Filter'!$BQ$1:$BQ$50000,$C663,'Adv. Filter'!$BH$1:$BH$50000,"Cash",'Adv. Filter'!$BO$1:$BO$50000,'Adv. Filter'!$A$14,'Adv. Filter'!$BO$1:$BO$50000,'Adv. Filter'!$B$14)</f>
        <v>0</v>
      </c>
      <c r="U663" s="277"/>
      <c r="V663" s="277"/>
      <c r="W663" s="277"/>
      <c r="X663" s="277"/>
      <c r="Y663" s="277"/>
      <c r="Z663" s="277"/>
      <c r="AA663" s="277"/>
      <c r="AB663" s="277"/>
      <c r="AC663" s="278"/>
      <c r="AD663" s="276">
        <f>SUMIFS('Adv. Filter'!$BJ$1:$BJ$50000,'Adv. Filter'!$BT$1:$BT$50000,"Pradeep",'Adv. Filter'!$BQ$1:$BQ$50000,$C663,'Adv. Filter'!$BH$1:$BH$50000,"Bank",'Adv. Filter'!$BO$1:$BO$50000,'Adv. Filter'!$A$14,'Adv. Filter'!$BO$1:$BO$50000,'Adv. Filter'!$B$14)</f>
        <v>0</v>
      </c>
      <c r="AE663" s="277"/>
      <c r="AF663" s="277"/>
      <c r="AG663" s="277"/>
      <c r="AH663" s="277"/>
      <c r="AI663" s="277"/>
      <c r="AJ663" s="277"/>
      <c r="AK663" s="277"/>
      <c r="AL663" s="277"/>
      <c r="AM663" s="278"/>
      <c r="AN663" s="276">
        <f t="shared" si="24"/>
        <v>0</v>
      </c>
      <c r="AO663" s="277"/>
      <c r="AP663" s="277"/>
      <c r="AQ663" s="277"/>
      <c r="AR663" s="277"/>
      <c r="AS663" s="277"/>
      <c r="AT663" s="277"/>
      <c r="AU663" s="277"/>
      <c r="AV663" s="277"/>
      <c r="AW663" s="278"/>
      <c r="AX663" s="45"/>
      <c r="AY663" s="293" t="s">
        <v>97</v>
      </c>
      <c r="AZ663" s="294"/>
      <c r="BA663" s="294"/>
      <c r="BB663" s="294"/>
      <c r="BC663" s="294"/>
      <c r="BD663" s="294"/>
      <c r="BE663" s="294"/>
      <c r="BF663" s="294"/>
      <c r="BG663" s="294"/>
      <c r="BH663" s="294"/>
      <c r="BI663" s="294"/>
      <c r="BJ663" s="294"/>
      <c r="BK663" s="294"/>
      <c r="BL663" s="294"/>
      <c r="BM663" s="294"/>
      <c r="BN663" s="294"/>
      <c r="BO663" s="295"/>
      <c r="BP663" s="276">
        <f>SUMIFS('Adv. Filter'!$BJ$1:$BJ$50000,'Adv. Filter'!$BT$1:$BT$50000,"Pradeep",'Adv. Filter'!$BQ$1:$BQ$50000,$AY663,'Adv. Filter'!$BH$1:$BH$50000,"Cash",'Adv. Filter'!$BO$1:$BO$50000,"&lt;"&amp;'Adv. Filter'!$A$15)</f>
        <v>0</v>
      </c>
      <c r="BQ663" s="277"/>
      <c r="BR663" s="277"/>
      <c r="BS663" s="277"/>
      <c r="BT663" s="277"/>
      <c r="BU663" s="277"/>
      <c r="BV663" s="277"/>
      <c r="BW663" s="277"/>
      <c r="BX663" s="277"/>
      <c r="BY663" s="278"/>
      <c r="BZ663" s="276">
        <f>SUMIFS('Adv. Filter'!$BJ$1:$BJ$50000,'Adv. Filter'!$BT$1:$BT$50000,"Pradeep",'Adv. Filter'!$BQ$1:$BQ$50000,$AY663,'Adv. Filter'!$BH$1:$BH$50000,"Bank",'Adv. Filter'!$BO$1:$BO$50000,"&lt;"&amp;'Adv. Filter'!$A$15)</f>
        <v>0</v>
      </c>
      <c r="CA663" s="277"/>
      <c r="CB663" s="277"/>
      <c r="CC663" s="277"/>
      <c r="CD663" s="277"/>
      <c r="CE663" s="277"/>
      <c r="CF663" s="277"/>
      <c r="CG663" s="277"/>
      <c r="CH663" s="277"/>
      <c r="CI663" s="278"/>
      <c r="CJ663" s="276">
        <f t="shared" si="25"/>
        <v>0</v>
      </c>
      <c r="CK663" s="277"/>
      <c r="CL663" s="277"/>
      <c r="CM663" s="277"/>
      <c r="CN663" s="277"/>
      <c r="CO663" s="277"/>
      <c r="CP663" s="277"/>
      <c r="CQ663" s="277"/>
      <c r="CR663" s="277"/>
      <c r="CS663" s="278"/>
      <c r="CT663" s="44"/>
      <c r="CU663" s="44"/>
      <c r="CV663" s="44"/>
      <c r="CW663" s="44"/>
      <c r="CX663" s="44"/>
      <c r="CY663" s="44"/>
      <c r="CZ663" s="44"/>
    </row>
    <row r="664" spans="1:104" hidden="1">
      <c r="C664" s="308" t="s">
        <v>115</v>
      </c>
      <c r="D664" s="309"/>
      <c r="E664" s="309"/>
      <c r="F664" s="309"/>
      <c r="G664" s="309"/>
      <c r="H664" s="309"/>
      <c r="I664" s="309"/>
      <c r="J664" s="309"/>
      <c r="K664" s="309"/>
      <c r="L664" s="309"/>
      <c r="M664" s="309"/>
      <c r="N664" s="309"/>
      <c r="O664" s="309"/>
      <c r="P664" s="309"/>
      <c r="Q664" s="309"/>
      <c r="R664" s="309"/>
      <c r="S664" s="310"/>
      <c r="T664" s="267">
        <f>SUMIFS('Adv. Filter'!$BJ$1:$BJ$50000,'Adv. Filter'!$BT$1:$BT$50000,"Pradeep",'Adv. Filter'!$BQ$1:$BQ$50000,$C663,'Adv. Filter'!$BH$1:$BH$50000,"Cash",'Adv. Filter'!$BO$1:$BO$50000,'Adv. Filter'!$A$14,'Adv. Filter'!$BO$1:$BO$50000,'Adv. Filter'!$B$14,'Adv. Filter'!$BP$1:$BP$50000,"Project")</f>
        <v>0</v>
      </c>
      <c r="U664" s="268"/>
      <c r="V664" s="268"/>
      <c r="W664" s="268"/>
      <c r="X664" s="268"/>
      <c r="Y664" s="268"/>
      <c r="Z664" s="268"/>
      <c r="AA664" s="268"/>
      <c r="AB664" s="268"/>
      <c r="AC664" s="269"/>
      <c r="AD664" s="267">
        <f>SUMIFS('Adv. Filter'!$BJ$1:$BJ$50000,'Adv. Filter'!$BT$1:$BT$50000,"Pradeep",'Adv. Filter'!$BQ$1:$BQ$50000,$C663,'Adv. Filter'!$BH$1:$BH$50000,"Bank",'Adv. Filter'!$BO$1:$BO$50000,'Adv. Filter'!$A$14,'Adv. Filter'!$BO$1:$BO$50000,'Adv. Filter'!$B$14,'Adv. Filter'!$BP$1:$BP$50000,"Project")</f>
        <v>0</v>
      </c>
      <c r="AE664" s="268"/>
      <c r="AF664" s="268"/>
      <c r="AG664" s="268"/>
      <c r="AH664" s="268"/>
      <c r="AI664" s="268"/>
      <c r="AJ664" s="268"/>
      <c r="AK664" s="268"/>
      <c r="AL664" s="268"/>
      <c r="AM664" s="269"/>
      <c r="AN664" s="267">
        <f t="shared" si="24"/>
        <v>0</v>
      </c>
      <c r="AO664" s="268"/>
      <c r="AP664" s="268"/>
      <c r="AQ664" s="268"/>
      <c r="AR664" s="268"/>
      <c r="AS664" s="268"/>
      <c r="AT664" s="268"/>
      <c r="AU664" s="268"/>
      <c r="AV664" s="268"/>
      <c r="AW664" s="269"/>
      <c r="AX664" s="22"/>
      <c r="AY664" s="308" t="s">
        <v>115</v>
      </c>
      <c r="AZ664" s="309"/>
      <c r="BA664" s="309"/>
      <c r="BB664" s="309"/>
      <c r="BC664" s="309"/>
      <c r="BD664" s="309"/>
      <c r="BE664" s="309"/>
      <c r="BF664" s="309"/>
      <c r="BG664" s="309"/>
      <c r="BH664" s="309"/>
      <c r="BI664" s="309"/>
      <c r="BJ664" s="309"/>
      <c r="BK664" s="309"/>
      <c r="BL664" s="309"/>
      <c r="BM664" s="309"/>
      <c r="BN664" s="309"/>
      <c r="BO664" s="310"/>
      <c r="BP664" s="267">
        <f>SUMIFS('Adv. Filter'!$BJ$1:$BJ$50000,'Adv. Filter'!$BT$1:$BT$50000,"Pradeep",'Adv. Filter'!$BQ$1:$BQ$50000,$AY663,'Adv. Filter'!$BH$1:$BH$50000,"Cash",'Adv. Filter'!$BO$1:$BO$50000,"&lt;"&amp;'Adv. Filter'!$A$15,'Adv. Filter'!$BP$1:$BP$50000,"Project")</f>
        <v>0</v>
      </c>
      <c r="BQ664" s="268"/>
      <c r="BR664" s="268"/>
      <c r="BS664" s="268"/>
      <c r="BT664" s="268"/>
      <c r="BU664" s="268"/>
      <c r="BV664" s="268"/>
      <c r="BW664" s="268"/>
      <c r="BX664" s="268"/>
      <c r="BY664" s="269"/>
      <c r="BZ664" s="267">
        <f>SUMIFS('Adv. Filter'!$BJ$1:$BJ$50000,'Adv. Filter'!$BT$1:$BT$50000,"Pradeep",'Adv. Filter'!$BQ$1:$BQ$50000,$AY663,'Adv. Filter'!$BH$1:$BH$50000,"Bank",'Adv. Filter'!$BO$1:$BO$50000,"&lt;"&amp;'Adv. Filter'!$A$15,'Adv. Filter'!$BP$1:$BP$50000,"Project")</f>
        <v>0</v>
      </c>
      <c r="CA664" s="268"/>
      <c r="CB664" s="268"/>
      <c r="CC664" s="268"/>
      <c r="CD664" s="268"/>
      <c r="CE664" s="268"/>
      <c r="CF664" s="268"/>
      <c r="CG664" s="268"/>
      <c r="CH664" s="268"/>
      <c r="CI664" s="269"/>
      <c r="CJ664" s="267">
        <f t="shared" si="25"/>
        <v>0</v>
      </c>
      <c r="CK664" s="268"/>
      <c r="CL664" s="268"/>
      <c r="CM664" s="268"/>
      <c r="CN664" s="268"/>
      <c r="CO664" s="268"/>
      <c r="CP664" s="268"/>
      <c r="CQ664" s="268"/>
      <c r="CR664" s="268"/>
      <c r="CS664" s="269"/>
    </row>
    <row r="665" spans="1:104" hidden="1">
      <c r="C665" s="308" t="s">
        <v>510</v>
      </c>
      <c r="D665" s="309"/>
      <c r="E665" s="309"/>
      <c r="F665" s="309"/>
      <c r="G665" s="309"/>
      <c r="H665" s="309"/>
      <c r="I665" s="309"/>
      <c r="J665" s="309"/>
      <c r="K665" s="309"/>
      <c r="L665" s="309"/>
      <c r="M665" s="309"/>
      <c r="N665" s="309"/>
      <c r="O665" s="309"/>
      <c r="P665" s="309"/>
      <c r="Q665" s="309"/>
      <c r="R665" s="309"/>
      <c r="S665" s="310"/>
      <c r="T665" s="267">
        <v>0</v>
      </c>
      <c r="U665" s="268"/>
      <c r="V665" s="268"/>
      <c r="W665" s="268"/>
      <c r="X665" s="268"/>
      <c r="Y665" s="268"/>
      <c r="Z665" s="268"/>
      <c r="AA665" s="268"/>
      <c r="AB665" s="268"/>
      <c r="AC665" s="269"/>
      <c r="AD665" s="267">
        <v>0</v>
      </c>
      <c r="AE665" s="268"/>
      <c r="AF665" s="268"/>
      <c r="AG665" s="268"/>
      <c r="AH665" s="268"/>
      <c r="AI665" s="268"/>
      <c r="AJ665" s="268"/>
      <c r="AK665" s="268"/>
      <c r="AL665" s="268"/>
      <c r="AM665" s="269"/>
      <c r="AN665" s="267">
        <f t="shared" si="24"/>
        <v>0</v>
      </c>
      <c r="AO665" s="268"/>
      <c r="AP665" s="268"/>
      <c r="AQ665" s="268"/>
      <c r="AR665" s="268"/>
      <c r="AS665" s="268"/>
      <c r="AT665" s="268"/>
      <c r="AU665" s="268"/>
      <c r="AV665" s="268"/>
      <c r="AW665" s="269"/>
      <c r="AX665" s="22"/>
      <c r="AY665" s="308" t="s">
        <v>510</v>
      </c>
      <c r="AZ665" s="309"/>
      <c r="BA665" s="309"/>
      <c r="BB665" s="309"/>
      <c r="BC665" s="309"/>
      <c r="BD665" s="309"/>
      <c r="BE665" s="309"/>
      <c r="BF665" s="309"/>
      <c r="BG665" s="309"/>
      <c r="BH665" s="309"/>
      <c r="BI665" s="309"/>
      <c r="BJ665" s="309"/>
      <c r="BK665" s="309"/>
      <c r="BL665" s="309"/>
      <c r="BM665" s="309"/>
      <c r="BN665" s="309"/>
      <c r="BO665" s="310"/>
      <c r="BP665" s="267"/>
      <c r="BQ665" s="268"/>
      <c r="BR665" s="268"/>
      <c r="BS665" s="268"/>
      <c r="BT665" s="268"/>
      <c r="BU665" s="268"/>
      <c r="BV665" s="268"/>
      <c r="BW665" s="268"/>
      <c r="BX665" s="268"/>
      <c r="BY665" s="269"/>
      <c r="BZ665" s="267"/>
      <c r="CA665" s="268"/>
      <c r="CB665" s="268"/>
      <c r="CC665" s="268"/>
      <c r="CD665" s="268"/>
      <c r="CE665" s="268"/>
      <c r="CF665" s="268"/>
      <c r="CG665" s="268"/>
      <c r="CH665" s="268"/>
      <c r="CI665" s="269"/>
      <c r="CJ665" s="267">
        <f t="shared" si="25"/>
        <v>0</v>
      </c>
      <c r="CK665" s="268"/>
      <c r="CL665" s="268"/>
      <c r="CM665" s="268"/>
      <c r="CN665" s="268"/>
      <c r="CO665" s="268"/>
      <c r="CP665" s="268"/>
      <c r="CQ665" s="268"/>
      <c r="CR665" s="268"/>
      <c r="CS665" s="269"/>
    </row>
    <row r="666" spans="1:104" hidden="1">
      <c r="C666" s="43"/>
      <c r="D666" s="36" t="str">
        <f>IF(AN663=0,C663&amp;" -","")</f>
        <v>TGB -</v>
      </c>
      <c r="E666" s="42"/>
      <c r="F666" s="42"/>
      <c r="G666" s="42"/>
      <c r="H666" s="42"/>
      <c r="I666" s="42"/>
      <c r="J666" s="42"/>
      <c r="K666" s="42"/>
      <c r="L666" s="42"/>
      <c r="M666" s="42"/>
      <c r="N666" s="42"/>
      <c r="O666" s="42"/>
      <c r="P666" s="1"/>
      <c r="Q666" s="42"/>
      <c r="R666" s="41" t="s">
        <v>275</v>
      </c>
      <c r="S666" s="40"/>
      <c r="T666" s="267">
        <f>SUMIFS('Adv. Filter'!$CH$1:$CH$50000,'Adv. Filter'!$CD$1:$CD$50000,"Pradeep",'Adv. Filter'!$CE$1:$CE$50000,$C663,'Adv. Filter'!$CC$1:$CC$50000,"Suspense",'Adv. Filter'!$CF$1:$CF$50000,"Cash")</f>
        <v>0</v>
      </c>
      <c r="U666" s="268"/>
      <c r="V666" s="268"/>
      <c r="W666" s="268"/>
      <c r="X666" s="268"/>
      <c r="Y666" s="268"/>
      <c r="Z666" s="268"/>
      <c r="AA666" s="268"/>
      <c r="AB666" s="268"/>
      <c r="AC666" s="269"/>
      <c r="AD666" s="267">
        <f>SUMIFS('Adv. Filter'!$CH$1:$CH$50000,'Adv. Filter'!$CD$1:$CD$50000,"Pradeep",'Adv. Filter'!$CE$1:$CE$50000,$C663,'Adv. Filter'!$CC$1:$CC$50000,"Suspense",'Adv. Filter'!$CF$1:$CF$50000,"Bank")</f>
        <v>0</v>
      </c>
      <c r="AE666" s="268"/>
      <c r="AF666" s="268"/>
      <c r="AG666" s="268"/>
      <c r="AH666" s="268"/>
      <c r="AI666" s="268"/>
      <c r="AJ666" s="268"/>
      <c r="AK666" s="268"/>
      <c r="AL666" s="268"/>
      <c r="AM666" s="269"/>
      <c r="AN666" s="267">
        <f t="shared" si="24"/>
        <v>0</v>
      </c>
      <c r="AO666" s="268"/>
      <c r="AP666" s="268"/>
      <c r="AQ666" s="268"/>
      <c r="AR666" s="268"/>
      <c r="AS666" s="268"/>
      <c r="AT666" s="268"/>
      <c r="AU666" s="268"/>
      <c r="AV666" s="268"/>
      <c r="AW666" s="269"/>
      <c r="AX666" s="22"/>
      <c r="AY666" s="43"/>
      <c r="AZ666" s="36" t="str">
        <f>IF(CJ663=0,AY663&amp;" -","")</f>
        <v>TGB -</v>
      </c>
      <c r="BA666" s="42"/>
      <c r="BB666" s="42"/>
      <c r="BC666" s="42"/>
      <c r="BD666" s="42"/>
      <c r="BE666" s="42"/>
      <c r="BF666" s="42"/>
      <c r="BG666" s="42"/>
      <c r="BH666" s="42"/>
      <c r="BI666" s="42"/>
      <c r="BJ666" s="42"/>
      <c r="BK666" s="42"/>
      <c r="BL666" s="1"/>
      <c r="BM666" s="42"/>
      <c r="BN666" s="41" t="s">
        <v>275</v>
      </c>
      <c r="BO666" s="40"/>
      <c r="BP666" s="267"/>
      <c r="BQ666" s="268"/>
      <c r="BR666" s="268"/>
      <c r="BS666" s="268"/>
      <c r="BT666" s="268"/>
      <c r="BU666" s="268"/>
      <c r="BV666" s="268"/>
      <c r="BW666" s="268"/>
      <c r="BX666" s="268"/>
      <c r="BY666" s="269"/>
      <c r="BZ666" s="267"/>
      <c r="CA666" s="268"/>
      <c r="CB666" s="268"/>
      <c r="CC666" s="268"/>
      <c r="CD666" s="268"/>
      <c r="CE666" s="268"/>
      <c r="CF666" s="268"/>
      <c r="CG666" s="268"/>
      <c r="CH666" s="268"/>
      <c r="CI666" s="269"/>
      <c r="CJ666" s="267">
        <f t="shared" si="25"/>
        <v>0</v>
      </c>
      <c r="CK666" s="268"/>
      <c r="CL666" s="268"/>
      <c r="CM666" s="268"/>
      <c r="CN666" s="268"/>
      <c r="CO666" s="268"/>
      <c r="CP666" s="268"/>
      <c r="CQ666" s="268"/>
      <c r="CR666" s="268"/>
      <c r="CS666" s="269"/>
    </row>
    <row r="667" spans="1:104" hidden="1">
      <c r="A667" s="44"/>
      <c r="B667" s="44"/>
      <c r="C667" s="293" t="s">
        <v>102</v>
      </c>
      <c r="D667" s="294"/>
      <c r="E667" s="294"/>
      <c r="F667" s="294"/>
      <c r="G667" s="294"/>
      <c r="H667" s="294"/>
      <c r="I667" s="294"/>
      <c r="J667" s="294"/>
      <c r="K667" s="294"/>
      <c r="L667" s="294"/>
      <c r="M667" s="294"/>
      <c r="N667" s="294"/>
      <c r="O667" s="294"/>
      <c r="P667" s="294"/>
      <c r="Q667" s="294"/>
      <c r="R667" s="294"/>
      <c r="S667" s="295"/>
      <c r="T667" s="276">
        <f>SUMIFS('Adv. Filter'!$BJ$1:$BJ$50000,'Adv. Filter'!$BT$1:$BT$50000,"Pradeep",'Adv. Filter'!$BQ$1:$BQ$50000,$C667,'Adv. Filter'!$BH$1:$BH$50000,"Cash",'Adv. Filter'!$BO$1:$BO$50000,'Adv. Filter'!$A$14,'Adv. Filter'!$BO$1:$BO$50000,'Adv. Filter'!$B$14)</f>
        <v>0</v>
      </c>
      <c r="U667" s="277"/>
      <c r="V667" s="277"/>
      <c r="W667" s="277"/>
      <c r="X667" s="277"/>
      <c r="Y667" s="277"/>
      <c r="Z667" s="277"/>
      <c r="AA667" s="277"/>
      <c r="AB667" s="277"/>
      <c r="AC667" s="278"/>
      <c r="AD667" s="276">
        <f>SUMIFS('Adv. Filter'!$BJ$1:$BJ$50000,'Adv. Filter'!$BT$1:$BT$50000,"Pradeep",'Adv. Filter'!$BQ$1:$BQ$50000,$C667,'Adv. Filter'!$BH$1:$BH$50000,"Bank",'Adv. Filter'!$BO$1:$BO$50000,'Adv. Filter'!$A$14,'Adv. Filter'!$BO$1:$BO$50000,'Adv. Filter'!$B$14)</f>
        <v>0</v>
      </c>
      <c r="AE667" s="277"/>
      <c r="AF667" s="277"/>
      <c r="AG667" s="277"/>
      <c r="AH667" s="277"/>
      <c r="AI667" s="277"/>
      <c r="AJ667" s="277"/>
      <c r="AK667" s="277"/>
      <c r="AL667" s="277"/>
      <c r="AM667" s="278"/>
      <c r="AN667" s="276">
        <f t="shared" si="24"/>
        <v>0</v>
      </c>
      <c r="AO667" s="277"/>
      <c r="AP667" s="277"/>
      <c r="AQ667" s="277"/>
      <c r="AR667" s="277"/>
      <c r="AS667" s="277"/>
      <c r="AT667" s="277"/>
      <c r="AU667" s="277"/>
      <c r="AV667" s="277"/>
      <c r="AW667" s="278"/>
      <c r="AX667" s="45"/>
      <c r="AY667" s="293" t="s">
        <v>102</v>
      </c>
      <c r="AZ667" s="294"/>
      <c r="BA667" s="294"/>
      <c r="BB667" s="294"/>
      <c r="BC667" s="294"/>
      <c r="BD667" s="294"/>
      <c r="BE667" s="294"/>
      <c r="BF667" s="294"/>
      <c r="BG667" s="294"/>
      <c r="BH667" s="294"/>
      <c r="BI667" s="294"/>
      <c r="BJ667" s="294"/>
      <c r="BK667" s="294"/>
      <c r="BL667" s="294"/>
      <c r="BM667" s="294"/>
      <c r="BN667" s="294"/>
      <c r="BO667" s="295"/>
      <c r="BP667" s="276">
        <f>SUMIFS('Adv. Filter'!$BJ$1:$BJ$50000,'Adv. Filter'!$BT$1:$BT$50000,"Pradeep",'Adv. Filter'!$BQ$1:$BQ$50000,$AY667,'Adv. Filter'!$BH$1:$BH$50000,"Cash",'Adv. Filter'!$BO$1:$BO$50000,"&lt;"&amp;'Adv. Filter'!$A$15)</f>
        <v>0</v>
      </c>
      <c r="BQ667" s="277"/>
      <c r="BR667" s="277"/>
      <c r="BS667" s="277"/>
      <c r="BT667" s="277"/>
      <c r="BU667" s="277"/>
      <c r="BV667" s="277"/>
      <c r="BW667" s="277"/>
      <c r="BX667" s="277"/>
      <c r="BY667" s="278"/>
      <c r="BZ667" s="276">
        <f>SUMIFS('Adv. Filter'!$BJ$1:$BJ$50000,'Adv. Filter'!$BT$1:$BT$50000,"Pradeep",'Adv. Filter'!$BQ$1:$BQ$50000,$AY667,'Adv. Filter'!$BH$1:$BH$50000,"Bank",'Adv. Filter'!$BO$1:$BO$50000,"&lt;"&amp;'Adv. Filter'!$A$15)</f>
        <v>0</v>
      </c>
      <c r="CA667" s="277"/>
      <c r="CB667" s="277"/>
      <c r="CC667" s="277"/>
      <c r="CD667" s="277"/>
      <c r="CE667" s="277"/>
      <c r="CF667" s="277"/>
      <c r="CG667" s="277"/>
      <c r="CH667" s="277"/>
      <c r="CI667" s="278"/>
      <c r="CJ667" s="276">
        <f t="shared" si="25"/>
        <v>0</v>
      </c>
      <c r="CK667" s="277"/>
      <c r="CL667" s="277"/>
      <c r="CM667" s="277"/>
      <c r="CN667" s="277"/>
      <c r="CO667" s="277"/>
      <c r="CP667" s="277"/>
      <c r="CQ667" s="277"/>
      <c r="CR667" s="277"/>
      <c r="CS667" s="278"/>
      <c r="CT667" s="44"/>
      <c r="CU667" s="44"/>
      <c r="CV667" s="44"/>
      <c r="CW667" s="44"/>
      <c r="CX667" s="44"/>
      <c r="CY667" s="44"/>
      <c r="CZ667" s="44"/>
    </row>
    <row r="668" spans="1:104" hidden="1">
      <c r="C668" s="308" t="s">
        <v>115</v>
      </c>
      <c r="D668" s="309"/>
      <c r="E668" s="309"/>
      <c r="F668" s="309"/>
      <c r="G668" s="309"/>
      <c r="H668" s="309"/>
      <c r="I668" s="309"/>
      <c r="J668" s="309"/>
      <c r="K668" s="309"/>
      <c r="L668" s="309"/>
      <c r="M668" s="309"/>
      <c r="N668" s="309"/>
      <c r="O668" s="309"/>
      <c r="P668" s="309"/>
      <c r="Q668" s="309"/>
      <c r="R668" s="309"/>
      <c r="S668" s="310"/>
      <c r="T668" s="267">
        <f>SUMIFS('Adv. Filter'!$BJ$1:$BJ$50000,'Adv. Filter'!$BT$1:$BT$50000,"Pradeep",'Adv. Filter'!$BQ$1:$BQ$50000,$C667,'Adv. Filter'!$BH$1:$BH$50000,"Cash",'Adv. Filter'!$BO$1:$BO$50000,'Adv. Filter'!$A$14,'Adv. Filter'!$BO$1:$BO$50000,'Adv. Filter'!$B$14,'Adv. Filter'!$BP$1:$BP$50000,"Project")</f>
        <v>0</v>
      </c>
      <c r="U668" s="268"/>
      <c r="V668" s="268"/>
      <c r="W668" s="268"/>
      <c r="X668" s="268"/>
      <c r="Y668" s="268"/>
      <c r="Z668" s="268"/>
      <c r="AA668" s="268"/>
      <c r="AB668" s="268"/>
      <c r="AC668" s="269"/>
      <c r="AD668" s="267">
        <f>SUMIFS('Adv. Filter'!$BJ$1:$BJ$50000,'Adv. Filter'!$BT$1:$BT$50000,"Pradeep",'Adv. Filter'!$BQ$1:$BQ$50000,$C667,'Adv. Filter'!$BH$1:$BH$50000,"Bank",'Adv. Filter'!$BO$1:$BO$50000,'Adv. Filter'!$A$14,'Adv. Filter'!$BO$1:$BO$50000,'Adv. Filter'!$B$14,'Adv. Filter'!$BP$1:$BP$50000,"Project")</f>
        <v>0</v>
      </c>
      <c r="AE668" s="268"/>
      <c r="AF668" s="268"/>
      <c r="AG668" s="268"/>
      <c r="AH668" s="268"/>
      <c r="AI668" s="268"/>
      <c r="AJ668" s="268"/>
      <c r="AK668" s="268"/>
      <c r="AL668" s="268"/>
      <c r="AM668" s="269"/>
      <c r="AN668" s="267">
        <f t="shared" si="24"/>
        <v>0</v>
      </c>
      <c r="AO668" s="268"/>
      <c r="AP668" s="268"/>
      <c r="AQ668" s="268"/>
      <c r="AR668" s="268"/>
      <c r="AS668" s="268"/>
      <c r="AT668" s="268"/>
      <c r="AU668" s="268"/>
      <c r="AV668" s="268"/>
      <c r="AW668" s="269"/>
      <c r="AX668" s="22"/>
      <c r="AY668" s="308" t="s">
        <v>115</v>
      </c>
      <c r="AZ668" s="309"/>
      <c r="BA668" s="309"/>
      <c r="BB668" s="309"/>
      <c r="BC668" s="309"/>
      <c r="BD668" s="309"/>
      <c r="BE668" s="309"/>
      <c r="BF668" s="309"/>
      <c r="BG668" s="309"/>
      <c r="BH668" s="309"/>
      <c r="BI668" s="309"/>
      <c r="BJ668" s="309"/>
      <c r="BK668" s="309"/>
      <c r="BL668" s="309"/>
      <c r="BM668" s="309"/>
      <c r="BN668" s="309"/>
      <c r="BO668" s="310"/>
      <c r="BP668" s="267">
        <f>SUMIFS('Adv. Filter'!$BJ$1:$BJ$50000,'Adv. Filter'!$BT$1:$BT$50000,"Pradeep",'Adv. Filter'!$BQ$1:$BQ$50000,$AY667,'Adv. Filter'!$BH$1:$BH$50000,"Cash",'Adv. Filter'!$BO$1:$BO$50000,"&lt;"&amp;'Adv. Filter'!$A$15,'Adv. Filter'!$BP$1:$BP$50000,"Project")</f>
        <v>0</v>
      </c>
      <c r="BQ668" s="268"/>
      <c r="BR668" s="268"/>
      <c r="BS668" s="268"/>
      <c r="BT668" s="268"/>
      <c r="BU668" s="268"/>
      <c r="BV668" s="268"/>
      <c r="BW668" s="268"/>
      <c r="BX668" s="268"/>
      <c r="BY668" s="269"/>
      <c r="BZ668" s="267">
        <f>SUMIFS('Adv. Filter'!$BJ$1:$BJ$50000,'Adv. Filter'!$BT$1:$BT$50000,"Pradeep",'Adv. Filter'!$BQ$1:$BQ$50000,$AY667,'Adv. Filter'!$BH$1:$BH$50000,"Bank",'Adv. Filter'!$BO$1:$BO$50000,"&lt;"&amp;'Adv. Filter'!$A$15,'Adv. Filter'!$BP$1:$BP$50000,"Project")</f>
        <v>0</v>
      </c>
      <c r="CA668" s="268"/>
      <c r="CB668" s="268"/>
      <c r="CC668" s="268"/>
      <c r="CD668" s="268"/>
      <c r="CE668" s="268"/>
      <c r="CF668" s="268"/>
      <c r="CG668" s="268"/>
      <c r="CH668" s="268"/>
      <c r="CI668" s="269"/>
      <c r="CJ668" s="267">
        <f t="shared" si="25"/>
        <v>0</v>
      </c>
      <c r="CK668" s="268"/>
      <c r="CL668" s="268"/>
      <c r="CM668" s="268"/>
      <c r="CN668" s="268"/>
      <c r="CO668" s="268"/>
      <c r="CP668" s="268"/>
      <c r="CQ668" s="268"/>
      <c r="CR668" s="268"/>
      <c r="CS668" s="269"/>
    </row>
    <row r="669" spans="1:104" hidden="1">
      <c r="C669" s="308" t="s">
        <v>510</v>
      </c>
      <c r="D669" s="309"/>
      <c r="E669" s="309"/>
      <c r="F669" s="309"/>
      <c r="G669" s="309"/>
      <c r="H669" s="309"/>
      <c r="I669" s="309"/>
      <c r="J669" s="309"/>
      <c r="K669" s="309"/>
      <c r="L669" s="309"/>
      <c r="M669" s="309"/>
      <c r="N669" s="309"/>
      <c r="O669" s="309"/>
      <c r="P669" s="309"/>
      <c r="Q669" s="309"/>
      <c r="R669" s="309"/>
      <c r="S669" s="310"/>
      <c r="T669" s="267">
        <v>0</v>
      </c>
      <c r="U669" s="268"/>
      <c r="V669" s="268"/>
      <c r="W669" s="268"/>
      <c r="X669" s="268"/>
      <c r="Y669" s="268"/>
      <c r="Z669" s="268"/>
      <c r="AA669" s="268"/>
      <c r="AB669" s="268"/>
      <c r="AC669" s="269"/>
      <c r="AD669" s="267">
        <v>0</v>
      </c>
      <c r="AE669" s="268"/>
      <c r="AF669" s="268"/>
      <c r="AG669" s="268"/>
      <c r="AH669" s="268"/>
      <c r="AI669" s="268"/>
      <c r="AJ669" s="268"/>
      <c r="AK669" s="268"/>
      <c r="AL669" s="268"/>
      <c r="AM669" s="269"/>
      <c r="AN669" s="267">
        <f t="shared" si="24"/>
        <v>0</v>
      </c>
      <c r="AO669" s="268"/>
      <c r="AP669" s="268"/>
      <c r="AQ669" s="268"/>
      <c r="AR669" s="268"/>
      <c r="AS669" s="268"/>
      <c r="AT669" s="268"/>
      <c r="AU669" s="268"/>
      <c r="AV669" s="268"/>
      <c r="AW669" s="269"/>
      <c r="AX669" s="22"/>
      <c r="AY669" s="308" t="s">
        <v>510</v>
      </c>
      <c r="AZ669" s="309"/>
      <c r="BA669" s="309"/>
      <c r="BB669" s="309"/>
      <c r="BC669" s="309"/>
      <c r="BD669" s="309"/>
      <c r="BE669" s="309"/>
      <c r="BF669" s="309"/>
      <c r="BG669" s="309"/>
      <c r="BH669" s="309"/>
      <c r="BI669" s="309"/>
      <c r="BJ669" s="309"/>
      <c r="BK669" s="309"/>
      <c r="BL669" s="309"/>
      <c r="BM669" s="309"/>
      <c r="BN669" s="309"/>
      <c r="BO669" s="310"/>
      <c r="BP669" s="267"/>
      <c r="BQ669" s="268"/>
      <c r="BR669" s="268"/>
      <c r="BS669" s="268"/>
      <c r="BT669" s="268"/>
      <c r="BU669" s="268"/>
      <c r="BV669" s="268"/>
      <c r="BW669" s="268"/>
      <c r="BX669" s="268"/>
      <c r="BY669" s="269"/>
      <c r="BZ669" s="267"/>
      <c r="CA669" s="268"/>
      <c r="CB669" s="268"/>
      <c r="CC669" s="268"/>
      <c r="CD669" s="268"/>
      <c r="CE669" s="268"/>
      <c r="CF669" s="268"/>
      <c r="CG669" s="268"/>
      <c r="CH669" s="268"/>
      <c r="CI669" s="269"/>
      <c r="CJ669" s="267">
        <f t="shared" si="25"/>
        <v>0</v>
      </c>
      <c r="CK669" s="268"/>
      <c r="CL669" s="268"/>
      <c r="CM669" s="268"/>
      <c r="CN669" s="268"/>
      <c r="CO669" s="268"/>
      <c r="CP669" s="268"/>
      <c r="CQ669" s="268"/>
      <c r="CR669" s="268"/>
      <c r="CS669" s="269"/>
    </row>
    <row r="670" spans="1:104" hidden="1">
      <c r="C670" s="43"/>
      <c r="D670" s="36" t="str">
        <f>IF(AN667=0,C667&amp;" -","")</f>
        <v>UBI -</v>
      </c>
      <c r="E670" s="42"/>
      <c r="F670" s="42"/>
      <c r="G670" s="42"/>
      <c r="H670" s="42"/>
      <c r="I670" s="42"/>
      <c r="J670" s="42"/>
      <c r="K670" s="42"/>
      <c r="L670" s="42"/>
      <c r="M670" s="42"/>
      <c r="N670" s="42"/>
      <c r="O670" s="42"/>
      <c r="P670" s="1"/>
      <c r="Q670" s="42"/>
      <c r="R670" s="41" t="s">
        <v>275</v>
      </c>
      <c r="S670" s="40"/>
      <c r="T670" s="267">
        <f>SUMIFS('Adv. Filter'!$CH$1:$CH$50000,'Adv. Filter'!$CD$1:$CD$50000,"Pradeep",'Adv. Filter'!$CE$1:$CE$50000,$C667,'Adv. Filter'!$CC$1:$CC$50000,"Suspense",'Adv. Filter'!$CF$1:$CF$50000,"Cash")</f>
        <v>0</v>
      </c>
      <c r="U670" s="268"/>
      <c r="V670" s="268"/>
      <c r="W670" s="268"/>
      <c r="X670" s="268"/>
      <c r="Y670" s="268"/>
      <c r="Z670" s="268"/>
      <c r="AA670" s="268"/>
      <c r="AB670" s="268"/>
      <c r="AC670" s="269"/>
      <c r="AD670" s="267">
        <f>SUMIFS('Adv. Filter'!$CH$1:$CH$50000,'Adv. Filter'!$CD$1:$CD$50000,"Pradeep",'Adv. Filter'!$CE$1:$CE$50000,$C667,'Adv. Filter'!$CC$1:$CC$50000,"Suspense",'Adv. Filter'!$CF$1:$CF$50000,"Bank")</f>
        <v>0</v>
      </c>
      <c r="AE670" s="268"/>
      <c r="AF670" s="268"/>
      <c r="AG670" s="268"/>
      <c r="AH670" s="268"/>
      <c r="AI670" s="268"/>
      <c r="AJ670" s="268"/>
      <c r="AK670" s="268"/>
      <c r="AL670" s="268"/>
      <c r="AM670" s="269"/>
      <c r="AN670" s="267">
        <f t="shared" si="24"/>
        <v>0</v>
      </c>
      <c r="AO670" s="268"/>
      <c r="AP670" s="268"/>
      <c r="AQ670" s="268"/>
      <c r="AR670" s="268"/>
      <c r="AS670" s="268"/>
      <c r="AT670" s="268"/>
      <c r="AU670" s="268"/>
      <c r="AV670" s="268"/>
      <c r="AW670" s="269"/>
      <c r="AX670" s="22"/>
      <c r="AY670" s="43"/>
      <c r="AZ670" s="36" t="str">
        <f>IF(CJ667=0,AY667&amp;" -","")</f>
        <v>UBI -</v>
      </c>
      <c r="BA670" s="42"/>
      <c r="BB670" s="42"/>
      <c r="BC670" s="42"/>
      <c r="BD670" s="42"/>
      <c r="BE670" s="42"/>
      <c r="BF670" s="42"/>
      <c r="BG670" s="42"/>
      <c r="BH670" s="42"/>
      <c r="BI670" s="42"/>
      <c r="BJ670" s="42"/>
      <c r="BK670" s="42"/>
      <c r="BL670" s="1"/>
      <c r="BM670" s="42"/>
      <c r="BN670" s="41" t="s">
        <v>275</v>
      </c>
      <c r="BO670" s="40"/>
      <c r="BP670" s="267"/>
      <c r="BQ670" s="268"/>
      <c r="BR670" s="268"/>
      <c r="BS670" s="268"/>
      <c r="BT670" s="268"/>
      <c r="BU670" s="268"/>
      <c r="BV670" s="268"/>
      <c r="BW670" s="268"/>
      <c r="BX670" s="268"/>
      <c r="BY670" s="269"/>
      <c r="BZ670" s="267"/>
      <c r="CA670" s="268"/>
      <c r="CB670" s="268"/>
      <c r="CC670" s="268"/>
      <c r="CD670" s="268"/>
      <c r="CE670" s="268"/>
      <c r="CF670" s="268"/>
      <c r="CG670" s="268"/>
      <c r="CH670" s="268"/>
      <c r="CI670" s="269"/>
      <c r="CJ670" s="267">
        <f t="shared" si="25"/>
        <v>0</v>
      </c>
      <c r="CK670" s="268"/>
      <c r="CL670" s="268"/>
      <c r="CM670" s="268"/>
      <c r="CN670" s="268"/>
      <c r="CO670" s="268"/>
      <c r="CP670" s="268"/>
      <c r="CQ670" s="268"/>
      <c r="CR670" s="268"/>
      <c r="CS670" s="269"/>
    </row>
    <row r="671" spans="1:104" hidden="1">
      <c r="A671" s="44"/>
      <c r="B671" s="44"/>
      <c r="C671" s="293" t="s">
        <v>108</v>
      </c>
      <c r="D671" s="294"/>
      <c r="E671" s="294"/>
      <c r="F671" s="294"/>
      <c r="G671" s="294"/>
      <c r="H671" s="294"/>
      <c r="I671" s="294"/>
      <c r="J671" s="294"/>
      <c r="K671" s="294"/>
      <c r="L671" s="294"/>
      <c r="M671" s="294"/>
      <c r="N671" s="294"/>
      <c r="O671" s="294"/>
      <c r="P671" s="294"/>
      <c r="Q671" s="294"/>
      <c r="R671" s="294"/>
      <c r="S671" s="295"/>
      <c r="T671" s="276">
        <f>SUMIFS('Adv. Filter'!$BJ$1:$BJ$50000,'Adv. Filter'!$BT$1:$BT$50000,"Pradeep",'Adv. Filter'!$BQ$1:$BQ$50000,$C671,'Adv. Filter'!$BH$1:$BH$50000,"Cash",'Adv. Filter'!$BO$1:$BO$50000,'Adv. Filter'!$A$14,'Adv. Filter'!$BO$1:$BO$50000,'Adv. Filter'!$B$14)</f>
        <v>0</v>
      </c>
      <c r="U671" s="277"/>
      <c r="V671" s="277"/>
      <c r="W671" s="277"/>
      <c r="X671" s="277"/>
      <c r="Y671" s="277"/>
      <c r="Z671" s="277"/>
      <c r="AA671" s="277"/>
      <c r="AB671" s="277"/>
      <c r="AC671" s="278"/>
      <c r="AD671" s="276">
        <f>SUMIFS('Adv. Filter'!$BJ$1:$BJ$50000,'Adv. Filter'!$BT$1:$BT$50000,"Pradeep",'Adv. Filter'!$BQ$1:$BQ$50000,$C671,'Adv. Filter'!$BH$1:$BH$50000,"Bank",'Adv. Filter'!$BO$1:$BO$50000,'Adv. Filter'!$A$14,'Adv. Filter'!$BO$1:$BO$50000,'Adv. Filter'!$B$14)</f>
        <v>0</v>
      </c>
      <c r="AE671" s="277"/>
      <c r="AF671" s="277"/>
      <c r="AG671" s="277"/>
      <c r="AH671" s="277"/>
      <c r="AI671" s="277"/>
      <c r="AJ671" s="277"/>
      <c r="AK671" s="277"/>
      <c r="AL671" s="277"/>
      <c r="AM671" s="278"/>
      <c r="AN671" s="276">
        <f t="shared" si="24"/>
        <v>0</v>
      </c>
      <c r="AO671" s="277"/>
      <c r="AP671" s="277"/>
      <c r="AQ671" s="277"/>
      <c r="AR671" s="277"/>
      <c r="AS671" s="277"/>
      <c r="AT671" s="277"/>
      <c r="AU671" s="277"/>
      <c r="AV671" s="277"/>
      <c r="AW671" s="278"/>
      <c r="AX671" s="45"/>
      <c r="AY671" s="293" t="s">
        <v>108</v>
      </c>
      <c r="AZ671" s="294"/>
      <c r="BA671" s="294"/>
      <c r="BB671" s="294"/>
      <c r="BC671" s="294"/>
      <c r="BD671" s="294"/>
      <c r="BE671" s="294"/>
      <c r="BF671" s="294"/>
      <c r="BG671" s="294"/>
      <c r="BH671" s="294"/>
      <c r="BI671" s="294"/>
      <c r="BJ671" s="294"/>
      <c r="BK671" s="294"/>
      <c r="BL671" s="294"/>
      <c r="BM671" s="294"/>
      <c r="BN671" s="294"/>
      <c r="BO671" s="295"/>
      <c r="BP671" s="276">
        <f>SUMIFS('Adv. Filter'!$BJ$1:$BJ$50000,'Adv. Filter'!$BT$1:$BT$50000,"Pradeep",'Adv. Filter'!$BQ$1:$BQ$50000,$AY671,'Adv. Filter'!$BH$1:$BH$50000,"Cash",'Adv. Filter'!$BO$1:$BO$50000,"&lt;"&amp;'Adv. Filter'!$A$15)</f>
        <v>0</v>
      </c>
      <c r="BQ671" s="277"/>
      <c r="BR671" s="277"/>
      <c r="BS671" s="277"/>
      <c r="BT671" s="277"/>
      <c r="BU671" s="277"/>
      <c r="BV671" s="277"/>
      <c r="BW671" s="277"/>
      <c r="BX671" s="277"/>
      <c r="BY671" s="278"/>
      <c r="BZ671" s="276">
        <f>SUMIFS('Adv. Filter'!$BJ$1:$BJ$50000,'Adv. Filter'!$BT$1:$BT$50000,"Pradeep",'Adv. Filter'!$BQ$1:$BQ$50000,$AY671,'Adv. Filter'!$BH$1:$BH$50000,"Bank",'Adv. Filter'!$BO$1:$BO$50000,"&lt;"&amp;'Adv. Filter'!$A$15)</f>
        <v>0</v>
      </c>
      <c r="CA671" s="277"/>
      <c r="CB671" s="277"/>
      <c r="CC671" s="277"/>
      <c r="CD671" s="277"/>
      <c r="CE671" s="277"/>
      <c r="CF671" s="277"/>
      <c r="CG671" s="277"/>
      <c r="CH671" s="277"/>
      <c r="CI671" s="278"/>
      <c r="CJ671" s="276">
        <f t="shared" si="25"/>
        <v>0</v>
      </c>
      <c r="CK671" s="277"/>
      <c r="CL671" s="277"/>
      <c r="CM671" s="277"/>
      <c r="CN671" s="277"/>
      <c r="CO671" s="277"/>
      <c r="CP671" s="277"/>
      <c r="CQ671" s="277"/>
      <c r="CR671" s="277"/>
      <c r="CS671" s="278"/>
      <c r="CT671" s="44"/>
      <c r="CU671" s="44"/>
      <c r="CV671" s="44"/>
      <c r="CW671" s="44"/>
      <c r="CX671" s="44"/>
      <c r="CY671" s="44"/>
      <c r="CZ671" s="44"/>
    </row>
    <row r="672" spans="1:104" hidden="1">
      <c r="C672" s="308" t="s">
        <v>115</v>
      </c>
      <c r="D672" s="309"/>
      <c r="E672" s="309"/>
      <c r="F672" s="309"/>
      <c r="G672" s="309"/>
      <c r="H672" s="309"/>
      <c r="I672" s="309"/>
      <c r="J672" s="309"/>
      <c r="K672" s="309"/>
      <c r="L672" s="309"/>
      <c r="M672" s="309"/>
      <c r="N672" s="309"/>
      <c r="O672" s="309"/>
      <c r="P672" s="309"/>
      <c r="Q672" s="309"/>
      <c r="R672" s="309"/>
      <c r="S672" s="310"/>
      <c r="T672" s="267">
        <f>SUMIFS('Adv. Filter'!$BJ$1:$BJ$50000,'Adv. Filter'!$BT$1:$BT$50000,"Pradeep",'Adv. Filter'!$BQ$1:$BQ$50000,$C671,'Adv. Filter'!$BH$1:$BH$50000,"Cash",'Adv. Filter'!$BO$1:$BO$50000,'Adv. Filter'!$A$14,'Adv. Filter'!$BO$1:$BO$50000,'Adv. Filter'!$B$14,'Adv. Filter'!$BP$1:$BP$50000,"Project")</f>
        <v>0</v>
      </c>
      <c r="U672" s="268"/>
      <c r="V672" s="268"/>
      <c r="W672" s="268"/>
      <c r="X672" s="268"/>
      <c r="Y672" s="268"/>
      <c r="Z672" s="268"/>
      <c r="AA672" s="268"/>
      <c r="AB672" s="268"/>
      <c r="AC672" s="269"/>
      <c r="AD672" s="267">
        <f>SUMIFS('Adv. Filter'!$BJ$1:$BJ$50000,'Adv. Filter'!$BT$1:$BT$50000,"Pradeep",'Adv. Filter'!$BQ$1:$BQ$50000,$C671,'Adv. Filter'!$BH$1:$BH$50000,"Bank",'Adv. Filter'!$BO$1:$BO$50000,'Adv. Filter'!$A$14,'Adv. Filter'!$BO$1:$BO$50000,'Adv. Filter'!$B$14,'Adv. Filter'!$BP$1:$BP$50000,"Project")</f>
        <v>0</v>
      </c>
      <c r="AE672" s="268"/>
      <c r="AF672" s="268"/>
      <c r="AG672" s="268"/>
      <c r="AH672" s="268"/>
      <c r="AI672" s="268"/>
      <c r="AJ672" s="268"/>
      <c r="AK672" s="268"/>
      <c r="AL672" s="268"/>
      <c r="AM672" s="269"/>
      <c r="AN672" s="267">
        <f t="shared" si="24"/>
        <v>0</v>
      </c>
      <c r="AO672" s="268"/>
      <c r="AP672" s="268"/>
      <c r="AQ672" s="268"/>
      <c r="AR672" s="268"/>
      <c r="AS672" s="268"/>
      <c r="AT672" s="268"/>
      <c r="AU672" s="268"/>
      <c r="AV672" s="268"/>
      <c r="AW672" s="269"/>
      <c r="AX672" s="22"/>
      <c r="AY672" s="308" t="s">
        <v>115</v>
      </c>
      <c r="AZ672" s="309"/>
      <c r="BA672" s="309"/>
      <c r="BB672" s="309"/>
      <c r="BC672" s="309"/>
      <c r="BD672" s="309"/>
      <c r="BE672" s="309"/>
      <c r="BF672" s="309"/>
      <c r="BG672" s="309"/>
      <c r="BH672" s="309"/>
      <c r="BI672" s="309"/>
      <c r="BJ672" s="309"/>
      <c r="BK672" s="309"/>
      <c r="BL672" s="309"/>
      <c r="BM672" s="309"/>
      <c r="BN672" s="309"/>
      <c r="BO672" s="310"/>
      <c r="BP672" s="267">
        <f>SUMIFS('Adv. Filter'!$BJ$1:$BJ$50000,'Adv. Filter'!$BT$1:$BT$50000,"Pradeep",'Adv. Filter'!$BQ$1:$BQ$50000,$AY671,'Adv. Filter'!$BH$1:$BH$50000,"Cash",'Adv. Filter'!$BO$1:$BO$50000,"&lt;"&amp;'Adv. Filter'!$A$15,'Adv. Filter'!$BP$1:$BP$50000,"Project")</f>
        <v>0</v>
      </c>
      <c r="BQ672" s="268"/>
      <c r="BR672" s="268"/>
      <c r="BS672" s="268"/>
      <c r="BT672" s="268"/>
      <c r="BU672" s="268"/>
      <c r="BV672" s="268"/>
      <c r="BW672" s="268"/>
      <c r="BX672" s="268"/>
      <c r="BY672" s="269"/>
      <c r="BZ672" s="267">
        <f>SUMIFS('Adv. Filter'!$BJ$1:$BJ$50000,'Adv. Filter'!$BT$1:$BT$50000,"Pradeep",'Adv. Filter'!$BQ$1:$BQ$50000,$AY671,'Adv. Filter'!$BH$1:$BH$50000,"Bank",'Adv. Filter'!$BO$1:$BO$50000,"&lt;"&amp;'Adv. Filter'!$A$15,'Adv. Filter'!$BP$1:$BP$50000,"Project")</f>
        <v>0</v>
      </c>
      <c r="CA672" s="268"/>
      <c r="CB672" s="268"/>
      <c r="CC672" s="268"/>
      <c r="CD672" s="268"/>
      <c r="CE672" s="268"/>
      <c r="CF672" s="268"/>
      <c r="CG672" s="268"/>
      <c r="CH672" s="268"/>
      <c r="CI672" s="269"/>
      <c r="CJ672" s="267">
        <f t="shared" si="25"/>
        <v>0</v>
      </c>
      <c r="CK672" s="268"/>
      <c r="CL672" s="268"/>
      <c r="CM672" s="268"/>
      <c r="CN672" s="268"/>
      <c r="CO672" s="268"/>
      <c r="CP672" s="268"/>
      <c r="CQ672" s="268"/>
      <c r="CR672" s="268"/>
      <c r="CS672" s="269"/>
    </row>
    <row r="673" spans="3:135" hidden="1">
      <c r="C673" s="308" t="s">
        <v>510</v>
      </c>
      <c r="D673" s="309"/>
      <c r="E673" s="309"/>
      <c r="F673" s="309"/>
      <c r="G673" s="309"/>
      <c r="H673" s="309"/>
      <c r="I673" s="309"/>
      <c r="J673" s="309"/>
      <c r="K673" s="309"/>
      <c r="L673" s="309"/>
      <c r="M673" s="309"/>
      <c r="N673" s="309"/>
      <c r="O673" s="309"/>
      <c r="P673" s="309"/>
      <c r="Q673" s="309"/>
      <c r="R673" s="309"/>
      <c r="S673" s="310"/>
      <c r="T673" s="267">
        <v>0</v>
      </c>
      <c r="U673" s="268"/>
      <c r="V673" s="268"/>
      <c r="W673" s="268"/>
      <c r="X673" s="268"/>
      <c r="Y673" s="268"/>
      <c r="Z673" s="268"/>
      <c r="AA673" s="268"/>
      <c r="AB673" s="268"/>
      <c r="AC673" s="269"/>
      <c r="AD673" s="267">
        <v>0</v>
      </c>
      <c r="AE673" s="268"/>
      <c r="AF673" s="268"/>
      <c r="AG673" s="268"/>
      <c r="AH673" s="268"/>
      <c r="AI673" s="268"/>
      <c r="AJ673" s="268"/>
      <c r="AK673" s="268"/>
      <c r="AL673" s="268"/>
      <c r="AM673" s="269"/>
      <c r="AN673" s="267">
        <f t="shared" si="24"/>
        <v>0</v>
      </c>
      <c r="AO673" s="268"/>
      <c r="AP673" s="268"/>
      <c r="AQ673" s="268"/>
      <c r="AR673" s="268"/>
      <c r="AS673" s="268"/>
      <c r="AT673" s="268"/>
      <c r="AU673" s="268"/>
      <c r="AV673" s="268"/>
      <c r="AW673" s="269"/>
      <c r="AX673" s="22"/>
      <c r="AY673" s="308" t="s">
        <v>510</v>
      </c>
      <c r="AZ673" s="309"/>
      <c r="BA673" s="309"/>
      <c r="BB673" s="309"/>
      <c r="BC673" s="309"/>
      <c r="BD673" s="309"/>
      <c r="BE673" s="309"/>
      <c r="BF673" s="309"/>
      <c r="BG673" s="309"/>
      <c r="BH673" s="309"/>
      <c r="BI673" s="309"/>
      <c r="BJ673" s="309"/>
      <c r="BK673" s="309"/>
      <c r="BL673" s="309"/>
      <c r="BM673" s="309"/>
      <c r="BN673" s="309"/>
      <c r="BO673" s="310"/>
      <c r="BP673" s="267"/>
      <c r="BQ673" s="268"/>
      <c r="BR673" s="268"/>
      <c r="BS673" s="268"/>
      <c r="BT673" s="268"/>
      <c r="BU673" s="268"/>
      <c r="BV673" s="268"/>
      <c r="BW673" s="268"/>
      <c r="BX673" s="268"/>
      <c r="BY673" s="269"/>
      <c r="BZ673" s="267"/>
      <c r="CA673" s="268"/>
      <c r="CB673" s="268"/>
      <c r="CC673" s="268"/>
      <c r="CD673" s="268"/>
      <c r="CE673" s="268"/>
      <c r="CF673" s="268"/>
      <c r="CG673" s="268"/>
      <c r="CH673" s="268"/>
      <c r="CI673" s="269"/>
      <c r="CJ673" s="267">
        <f t="shared" si="25"/>
        <v>0</v>
      </c>
      <c r="CK673" s="268"/>
      <c r="CL673" s="268"/>
      <c r="CM673" s="268"/>
      <c r="CN673" s="268"/>
      <c r="CO673" s="268"/>
      <c r="CP673" s="268"/>
      <c r="CQ673" s="268"/>
      <c r="CR673" s="268"/>
      <c r="CS673" s="269"/>
    </row>
    <row r="674" spans="3:135" ht="15.75" hidden="1" thickBot="1">
      <c r="C674" s="102"/>
      <c r="D674" s="36" t="str">
        <f>IF(AN671=0,C671&amp;" -","")</f>
        <v>Vijaya -</v>
      </c>
      <c r="E674" s="42"/>
      <c r="F674" s="42"/>
      <c r="G674" s="42"/>
      <c r="H674" s="42"/>
      <c r="I674" s="42"/>
      <c r="J674" s="42"/>
      <c r="K674" s="42"/>
      <c r="L674" s="42"/>
      <c r="M674" s="42"/>
      <c r="N674" s="42"/>
      <c r="O674" s="42"/>
      <c r="P674" s="103"/>
      <c r="Q674" s="42"/>
      <c r="R674" s="41" t="s">
        <v>275</v>
      </c>
      <c r="S674" s="104"/>
      <c r="T674" s="267">
        <f>SUMIFS('Adv. Filter'!$CH$1:$CH$50000,'Adv. Filter'!$CD$1:$CD$50000,"Pradeep",'Adv. Filter'!$CE$1:$CE$50000,$C671,'Adv. Filter'!$CC$1:$CC$50000,"Suspense",'Adv. Filter'!$CF$1:$CF$50000,"Cash")</f>
        <v>0</v>
      </c>
      <c r="U674" s="268"/>
      <c r="V674" s="268"/>
      <c r="W674" s="268"/>
      <c r="X674" s="268"/>
      <c r="Y674" s="268"/>
      <c r="Z674" s="268"/>
      <c r="AA674" s="268"/>
      <c r="AB674" s="268"/>
      <c r="AC674" s="269"/>
      <c r="AD674" s="267">
        <f>SUMIFS('Adv. Filter'!$CH$1:$CH$50000,'Adv. Filter'!$CD$1:$CD$50000,"Pradeep",'Adv. Filter'!$CE$1:$CE$50000,$C671,'Adv. Filter'!$CC$1:$CC$50000,"Suspense",'Adv. Filter'!$CF$1:$CF$50000,"Bank")</f>
        <v>0</v>
      </c>
      <c r="AE674" s="268"/>
      <c r="AF674" s="268"/>
      <c r="AG674" s="268"/>
      <c r="AH674" s="268"/>
      <c r="AI674" s="268"/>
      <c r="AJ674" s="268"/>
      <c r="AK674" s="268"/>
      <c r="AL674" s="268"/>
      <c r="AM674" s="269"/>
      <c r="AN674" s="267">
        <f t="shared" si="24"/>
        <v>0</v>
      </c>
      <c r="AO674" s="268"/>
      <c r="AP674" s="268"/>
      <c r="AQ674" s="268"/>
      <c r="AR674" s="268"/>
      <c r="AS674" s="268"/>
      <c r="AT674" s="268"/>
      <c r="AU674" s="268"/>
      <c r="AV674" s="268"/>
      <c r="AW674" s="269"/>
      <c r="AX674" s="22"/>
      <c r="AY674" s="102"/>
      <c r="AZ674" s="36" t="str">
        <f>IF(CJ671=0,AY671&amp;" -","")</f>
        <v>Vijaya -</v>
      </c>
      <c r="BA674" s="42"/>
      <c r="BB674" s="42"/>
      <c r="BC674" s="42"/>
      <c r="BD674" s="42"/>
      <c r="BE674" s="42"/>
      <c r="BF674" s="42"/>
      <c r="BG674" s="42"/>
      <c r="BH674" s="42"/>
      <c r="BI674" s="42"/>
      <c r="BJ674" s="42"/>
      <c r="BK674" s="42"/>
      <c r="BL674" s="103"/>
      <c r="BM674" s="42"/>
      <c r="BN674" s="41" t="s">
        <v>275</v>
      </c>
      <c r="BO674" s="104"/>
      <c r="BP674" s="267"/>
      <c r="BQ674" s="268"/>
      <c r="BR674" s="268"/>
      <c r="BS674" s="268"/>
      <c r="BT674" s="268"/>
      <c r="BU674" s="268"/>
      <c r="BV674" s="268"/>
      <c r="BW674" s="268"/>
      <c r="BX674" s="268"/>
      <c r="BY674" s="269"/>
      <c r="BZ674" s="267"/>
      <c r="CA674" s="268"/>
      <c r="CB674" s="268"/>
      <c r="CC674" s="268"/>
      <c r="CD674" s="268"/>
      <c r="CE674" s="268"/>
      <c r="CF674" s="268"/>
      <c r="CG674" s="268"/>
      <c r="CH674" s="268"/>
      <c r="CI674" s="269"/>
      <c r="CJ674" s="267">
        <f t="shared" si="25"/>
        <v>0</v>
      </c>
      <c r="CK674" s="268"/>
      <c r="CL674" s="268"/>
      <c r="CM674" s="268"/>
      <c r="CN674" s="268"/>
      <c r="CO674" s="268"/>
      <c r="CP674" s="268"/>
      <c r="CQ674" s="268"/>
      <c r="CR674" s="268"/>
      <c r="CS674" s="269"/>
    </row>
    <row r="675" spans="3:135" ht="16.5" hidden="1" thickTop="1">
      <c r="C675" s="459" t="s">
        <v>503</v>
      </c>
      <c r="D675" s="459"/>
      <c r="E675" s="459"/>
      <c r="F675" s="459"/>
      <c r="G675" s="459"/>
      <c r="H675" s="459"/>
      <c r="I675" s="459"/>
      <c r="J675" s="459"/>
      <c r="K675" s="459"/>
      <c r="L675" s="459"/>
      <c r="M675" s="459"/>
      <c r="N675" s="459"/>
      <c r="O675" s="459"/>
      <c r="P675" s="459"/>
      <c r="Q675" s="459"/>
      <c r="R675" s="459"/>
      <c r="S675" s="459"/>
      <c r="T675" s="273">
        <f>T608+T612+T616+T620+T624+T628+T632+T636+T640+T643+T647+T651+T655+T659+T663+T667+T671+T611+T615+T619+T623+T627+T631+T635+T639+T646+T650+T654+T658+T662+T666+T670+T674</f>
        <v>510800</v>
      </c>
      <c r="U675" s="274"/>
      <c r="V675" s="274"/>
      <c r="W675" s="274"/>
      <c r="X675" s="274"/>
      <c r="Y675" s="274"/>
      <c r="Z675" s="274"/>
      <c r="AA675" s="274"/>
      <c r="AB675" s="274"/>
      <c r="AC675" s="275"/>
      <c r="AD675" s="273">
        <f>AD608+AD612+AD616+AD620+AD624+AD628+AD632+AD636+AD640+AD643+AD647+AD651+AD655+AD659+AD663+AD667+AD671+AD611+AD615+AD619+AD623+AD627+AD631+AD635+AD639+AD646+AD650+AD654+AD658+AD662+AD666+AD670+AD674</f>
        <v>358850</v>
      </c>
      <c r="AE675" s="274"/>
      <c r="AF675" s="274"/>
      <c r="AG675" s="274"/>
      <c r="AH675" s="274"/>
      <c r="AI675" s="274"/>
      <c r="AJ675" s="274"/>
      <c r="AK675" s="274"/>
      <c r="AL675" s="274"/>
      <c r="AM675" s="275"/>
      <c r="AN675" s="273">
        <f t="shared" si="24"/>
        <v>869650</v>
      </c>
      <c r="AO675" s="274"/>
      <c r="AP675" s="274"/>
      <c r="AQ675" s="274"/>
      <c r="AR675" s="274"/>
      <c r="AS675" s="274"/>
      <c r="AT675" s="274"/>
      <c r="AU675" s="274"/>
      <c r="AV675" s="274"/>
      <c r="AW675" s="275"/>
      <c r="AX675" s="39"/>
      <c r="AY675" s="459" t="s">
        <v>503</v>
      </c>
      <c r="AZ675" s="459"/>
      <c r="BA675" s="459"/>
      <c r="BB675" s="459"/>
      <c r="BC675" s="459"/>
      <c r="BD675" s="459"/>
      <c r="BE675" s="459"/>
      <c r="BF675" s="459"/>
      <c r="BG675" s="459"/>
      <c r="BH675" s="459"/>
      <c r="BI675" s="459"/>
      <c r="BJ675" s="459"/>
      <c r="BK675" s="459"/>
      <c r="BL675" s="459"/>
      <c r="BM675" s="459"/>
      <c r="BN675" s="459"/>
      <c r="BO675" s="459"/>
      <c r="BP675" s="273">
        <f>BP608+BP612+BP616+BP620+BP624+BP628+BP632+BP636+BP640+BP643+BP647+BP651+BP655+BP659+BP663+BP667+BP671</f>
        <v>38000</v>
      </c>
      <c r="BQ675" s="274"/>
      <c r="BR675" s="274"/>
      <c r="BS675" s="274"/>
      <c r="BT675" s="274"/>
      <c r="BU675" s="274"/>
      <c r="BV675" s="274"/>
      <c r="BW675" s="274"/>
      <c r="BX675" s="274"/>
      <c r="BY675" s="275"/>
      <c r="BZ675" s="273">
        <f>BZ608+BZ612+BZ616+BZ620+BZ624+BZ628+BZ632+BZ636+BZ640+BZ643+BZ647+BZ651+BZ655+BZ659+BZ663+BZ667+BZ671</f>
        <v>30000</v>
      </c>
      <c r="CA675" s="274"/>
      <c r="CB675" s="274"/>
      <c r="CC675" s="274"/>
      <c r="CD675" s="274"/>
      <c r="CE675" s="274"/>
      <c r="CF675" s="274"/>
      <c r="CG675" s="274"/>
      <c r="CH675" s="274"/>
      <c r="CI675" s="275"/>
      <c r="CJ675" s="273">
        <f t="shared" si="25"/>
        <v>68000</v>
      </c>
      <c r="CK675" s="274"/>
      <c r="CL675" s="274"/>
      <c r="CM675" s="274"/>
      <c r="CN675" s="274"/>
      <c r="CO675" s="274"/>
      <c r="CP675" s="274"/>
      <c r="CQ675" s="274"/>
      <c r="CR675" s="274"/>
      <c r="CS675" s="275"/>
    </row>
    <row r="676" spans="3:135" hidden="1"/>
    <row r="677" spans="3:135" hidden="1">
      <c r="D677"/>
      <c r="E677" s="261" t="s">
        <v>509</v>
      </c>
      <c r="F677" s="262"/>
      <c r="G677" s="262"/>
      <c r="H677" s="262"/>
      <c r="I677" s="262"/>
      <c r="J677" s="262"/>
      <c r="K677" s="262"/>
      <c r="L677" s="262"/>
      <c r="M677" s="262"/>
      <c r="N677" s="262"/>
      <c r="O677" s="262"/>
      <c r="P677" s="262"/>
      <c r="Q677" s="262"/>
      <c r="R677" s="262"/>
      <c r="S677" s="262"/>
      <c r="T677" s="262"/>
      <c r="U677" s="262"/>
      <c r="V677" s="262"/>
      <c r="W677" s="262"/>
      <c r="X677" s="262"/>
      <c r="Y677" s="262"/>
      <c r="Z677" s="262"/>
      <c r="AA677" s="262"/>
      <c r="AB677" s="262"/>
      <c r="AC677" s="262"/>
      <c r="AD677" s="262"/>
      <c r="AE677" s="262"/>
      <c r="AF677" s="262"/>
      <c r="AG677" s="262"/>
      <c r="AH677" s="262"/>
      <c r="AI677" s="262"/>
      <c r="AJ677" s="262"/>
      <c r="AK677" s="262"/>
      <c r="AL677" s="262"/>
      <c r="AM677" s="262"/>
      <c r="AN677" s="262"/>
      <c r="AO677" s="262"/>
      <c r="AP677" s="262"/>
      <c r="AQ677" s="262"/>
      <c r="AR677" s="262"/>
      <c r="AS677" s="262"/>
      <c r="AT677" s="262"/>
      <c r="AU677" s="262"/>
      <c r="AV677" s="262"/>
      <c r="AW677" s="263"/>
      <c r="AY677" s="261" t="s">
        <v>508</v>
      </c>
      <c r="AZ677" s="262"/>
      <c r="BA677" s="262"/>
      <c r="BB677" s="262"/>
      <c r="BC677" s="262"/>
      <c r="BD677" s="262"/>
      <c r="BE677" s="262"/>
      <c r="BF677" s="262"/>
      <c r="BG677" s="262"/>
      <c r="BH677" s="262"/>
      <c r="BI677" s="262"/>
      <c r="BJ677" s="262"/>
      <c r="BK677" s="262"/>
      <c r="BL677" s="262"/>
      <c r="BM677" s="262"/>
      <c r="BN677" s="262"/>
      <c r="BO677" s="262"/>
      <c r="BP677" s="262"/>
      <c r="BQ677" s="262"/>
      <c r="BR677" s="262"/>
      <c r="BS677" s="262"/>
      <c r="BT677" s="262"/>
      <c r="BU677" s="262"/>
      <c r="BV677" s="262"/>
      <c r="BW677" s="262"/>
      <c r="BX677" s="262"/>
      <c r="BY677" s="262"/>
      <c r="BZ677" s="262"/>
      <c r="CA677" s="262"/>
      <c r="CB677" s="262"/>
      <c r="CC677" s="262"/>
      <c r="CD677" s="262"/>
      <c r="CE677" s="262"/>
      <c r="CF677" s="262"/>
      <c r="CG677" s="262"/>
      <c r="CH677" s="262"/>
      <c r="CI677" s="262"/>
      <c r="CJ677" s="262"/>
      <c r="CK677" s="262"/>
      <c r="CL677" s="262"/>
      <c r="CM677" s="262"/>
      <c r="CN677" s="262"/>
      <c r="CO677" s="262"/>
      <c r="CP677" s="262"/>
      <c r="CQ677" s="263"/>
    </row>
    <row r="678" spans="3:135" ht="15" hidden="1" customHeight="1">
      <c r="D678"/>
      <c r="E678" s="231" t="s">
        <v>317</v>
      </c>
      <c r="F678" s="232"/>
      <c r="G678" s="232"/>
      <c r="H678" s="232"/>
      <c r="I678" s="232"/>
      <c r="J678" s="232"/>
      <c r="K678" s="232"/>
      <c r="L678" s="232"/>
      <c r="M678" s="232"/>
      <c r="N678" s="232"/>
      <c r="O678" s="232"/>
      <c r="P678" s="232"/>
      <c r="Q678" s="232"/>
      <c r="R678" s="232"/>
      <c r="S678" s="233"/>
      <c r="T678" s="445" t="s">
        <v>34</v>
      </c>
      <c r="U678" s="446"/>
      <c r="V678" s="446"/>
      <c r="W678" s="446"/>
      <c r="X678" s="446"/>
      <c r="Y678" s="446"/>
      <c r="Z678" s="446"/>
      <c r="AA678" s="446"/>
      <c r="AB678" s="446"/>
      <c r="AC678" s="447"/>
      <c r="AD678" s="445" t="s">
        <v>10</v>
      </c>
      <c r="AE678" s="446"/>
      <c r="AF678" s="446"/>
      <c r="AG678" s="446"/>
      <c r="AH678" s="446"/>
      <c r="AI678" s="446"/>
      <c r="AJ678" s="446"/>
      <c r="AK678" s="446"/>
      <c r="AL678" s="446"/>
      <c r="AM678" s="447"/>
      <c r="AN678" s="445" t="s">
        <v>503</v>
      </c>
      <c r="AO678" s="446"/>
      <c r="AP678" s="446"/>
      <c r="AQ678" s="446"/>
      <c r="AR678" s="446"/>
      <c r="AS678" s="446"/>
      <c r="AT678" s="446"/>
      <c r="AU678" s="446"/>
      <c r="AV678" s="446"/>
      <c r="AW678" s="447"/>
      <c r="AY678" s="231" t="s">
        <v>317</v>
      </c>
      <c r="AZ678" s="232"/>
      <c r="BA678" s="232"/>
      <c r="BB678" s="232"/>
      <c r="BC678" s="232"/>
      <c r="BD678" s="232"/>
      <c r="BE678" s="232"/>
      <c r="BF678" s="232"/>
      <c r="BG678" s="232"/>
      <c r="BH678" s="232"/>
      <c r="BI678" s="232"/>
      <c r="BJ678" s="232"/>
      <c r="BK678" s="232"/>
      <c r="BL678" s="232"/>
      <c r="BM678" s="233"/>
      <c r="BN678" s="445" t="s">
        <v>34</v>
      </c>
      <c r="BO678" s="446"/>
      <c r="BP678" s="446"/>
      <c r="BQ678" s="446"/>
      <c r="BR678" s="446"/>
      <c r="BS678" s="446"/>
      <c r="BT678" s="446"/>
      <c r="BU678" s="446"/>
      <c r="BV678" s="446"/>
      <c r="BW678" s="447"/>
      <c r="BX678" s="445" t="s">
        <v>10</v>
      </c>
      <c r="BY678" s="446"/>
      <c r="BZ678" s="446"/>
      <c r="CA678" s="446"/>
      <c r="CB678" s="446"/>
      <c r="CC678" s="446"/>
      <c r="CD678" s="446"/>
      <c r="CE678" s="446"/>
      <c r="CF678" s="446"/>
      <c r="CG678" s="447"/>
      <c r="CH678" s="445" t="s">
        <v>503</v>
      </c>
      <c r="CI678" s="446"/>
      <c r="CJ678" s="446"/>
      <c r="CK678" s="446"/>
      <c r="CL678" s="446"/>
      <c r="CM678" s="446"/>
      <c r="CN678" s="446"/>
      <c r="CO678" s="446"/>
      <c r="CP678" s="446"/>
      <c r="CQ678" s="447"/>
    </row>
    <row r="679" spans="3:135" hidden="1">
      <c r="D679"/>
      <c r="E679" s="460" t="s">
        <v>495</v>
      </c>
      <c r="F679" s="461"/>
      <c r="G679" s="461"/>
      <c r="H679" s="461"/>
      <c r="I679" s="461"/>
      <c r="J679" s="461"/>
      <c r="K679" s="461"/>
      <c r="L679" s="461"/>
      <c r="M679" s="461"/>
      <c r="N679" s="461"/>
      <c r="O679" s="461"/>
      <c r="P679" s="461"/>
      <c r="Q679" s="461"/>
      <c r="R679" s="461"/>
      <c r="S679" s="462"/>
      <c r="T679" s="304">
        <f>SUMIFS('Adv. Filter'!$CH$1:$CH$50000,'Adv. Filter'!$CD$1:$CD$50000,"Pradeep",'Adv. Filter'!$CB$1:$CB$50000,E679,'Adv. Filter'!$CF$1:$CF$50000,"Cash")</f>
        <v>4300</v>
      </c>
      <c r="U679" s="463"/>
      <c r="V679" s="463"/>
      <c r="W679" s="463"/>
      <c r="X679" s="463"/>
      <c r="Y679" s="463"/>
      <c r="Z679" s="463"/>
      <c r="AA679" s="463"/>
      <c r="AB679" s="463"/>
      <c r="AC679" s="464"/>
      <c r="AD679" s="304">
        <f>SUMIFS('Adv. Filter'!$CH$1:$CH$50000,'Adv. Filter'!$CD$1:$CD$50000,"Pradeep",'Adv. Filter'!$CB$1:$CB$50000,E679,'Adv. Filter'!$CF$1:$CF$50000,"Bank")</f>
        <v>0</v>
      </c>
      <c r="AE679" s="463"/>
      <c r="AF679" s="463"/>
      <c r="AG679" s="463"/>
      <c r="AH679" s="463"/>
      <c r="AI679" s="463"/>
      <c r="AJ679" s="463"/>
      <c r="AK679" s="463"/>
      <c r="AL679" s="463"/>
      <c r="AM679" s="464"/>
      <c r="AN679" s="304">
        <f>T679+AD679</f>
        <v>4300</v>
      </c>
      <c r="AO679" s="463"/>
      <c r="AP679" s="463"/>
      <c r="AQ679" s="463"/>
      <c r="AR679" s="463"/>
      <c r="AS679" s="463"/>
      <c r="AT679" s="463"/>
      <c r="AU679" s="463"/>
      <c r="AV679" s="463"/>
      <c r="AW679" s="464"/>
      <c r="AY679" s="465" t="s">
        <v>507</v>
      </c>
      <c r="AZ679" s="466"/>
      <c r="BA679" s="466"/>
      <c r="BB679" s="466"/>
      <c r="BC679" s="466"/>
      <c r="BD679" s="466"/>
      <c r="BE679" s="466"/>
      <c r="BF679" s="466"/>
      <c r="BG679" s="466"/>
      <c r="BH679" s="466"/>
      <c r="BI679" s="466"/>
      <c r="BJ679" s="466"/>
      <c r="BK679" s="466"/>
      <c r="BL679" s="466"/>
      <c r="BM679" s="467"/>
      <c r="BN679" s="304">
        <f>T675</f>
        <v>510800</v>
      </c>
      <c r="BO679" s="463"/>
      <c r="BP679" s="463"/>
      <c r="BQ679" s="463"/>
      <c r="BR679" s="463"/>
      <c r="BS679" s="463"/>
      <c r="BT679" s="463"/>
      <c r="BU679" s="463"/>
      <c r="BV679" s="463"/>
      <c r="BW679" s="464"/>
      <c r="BX679" s="304">
        <f>AD675</f>
        <v>358850</v>
      </c>
      <c r="BY679" s="463"/>
      <c r="BZ679" s="463"/>
      <c r="CA679" s="463"/>
      <c r="CB679" s="463"/>
      <c r="CC679" s="463"/>
      <c r="CD679" s="463"/>
      <c r="CE679" s="463"/>
      <c r="CF679" s="463"/>
      <c r="CG679" s="464"/>
      <c r="CH679" s="304">
        <f>BN679+BX679</f>
        <v>869650</v>
      </c>
      <c r="CI679" s="463"/>
      <c r="CJ679" s="463"/>
      <c r="CK679" s="463"/>
      <c r="CL679" s="463"/>
      <c r="CM679" s="463"/>
      <c r="CN679" s="463"/>
      <c r="CO679" s="463"/>
      <c r="CP679" s="463"/>
      <c r="CQ679" s="464"/>
    </row>
    <row r="680" spans="3:135" hidden="1">
      <c r="D680"/>
      <c r="E680" s="264" t="s">
        <v>496</v>
      </c>
      <c r="F680" s="265"/>
      <c r="G680" s="265"/>
      <c r="H680" s="265"/>
      <c r="I680" s="265"/>
      <c r="J680" s="265"/>
      <c r="K680" s="265"/>
      <c r="L680" s="265"/>
      <c r="M680" s="265"/>
      <c r="N680" s="265"/>
      <c r="O680" s="265"/>
      <c r="P680" s="265"/>
      <c r="Q680" s="265"/>
      <c r="R680" s="265"/>
      <c r="S680" s="266"/>
      <c r="T680" s="267">
        <f>SUMIFS('Adv. Filter'!$CH$1:$CH$50000,'Adv. Filter'!$CD$1:$CD$50000,"Pradeep",'Adv. Filter'!$CB$1:$CB$50000,E680,'Adv. Filter'!$CF$1:$CF$50000,"Cash")</f>
        <v>0</v>
      </c>
      <c r="U680" s="268"/>
      <c r="V680" s="268"/>
      <c r="W680" s="268"/>
      <c r="X680" s="268"/>
      <c r="Y680" s="268"/>
      <c r="Z680" s="268"/>
      <c r="AA680" s="268"/>
      <c r="AB680" s="268"/>
      <c r="AC680" s="269"/>
      <c r="AD680" s="267">
        <f>SUMIFS('Adv. Filter'!$CH$1:$CH$50000,'Adv. Filter'!$CD$1:$CD$50000,"Pradeep",'Adv. Filter'!$CB$1:$CB$50000,E680,'Adv. Filter'!$CF$1:$CF$50000,"Bank")</f>
        <v>0</v>
      </c>
      <c r="AE680" s="268"/>
      <c r="AF680" s="268"/>
      <c r="AG680" s="268"/>
      <c r="AH680" s="268"/>
      <c r="AI680" s="268"/>
      <c r="AJ680" s="268"/>
      <c r="AK680" s="268"/>
      <c r="AL680" s="268"/>
      <c r="AM680" s="269"/>
      <c r="AN680" s="267">
        <f>T680+AD680</f>
        <v>0</v>
      </c>
      <c r="AO680" s="268"/>
      <c r="AP680" s="268"/>
      <c r="AQ680" s="268"/>
      <c r="AR680" s="268"/>
      <c r="AS680" s="268"/>
      <c r="AT680" s="268"/>
      <c r="AU680" s="268"/>
      <c r="AV680" s="268"/>
      <c r="AW680" s="269"/>
      <c r="AY680" s="468" t="s">
        <v>506</v>
      </c>
      <c r="AZ680" s="469"/>
      <c r="BA680" s="469"/>
      <c r="BB680" s="469"/>
      <c r="BC680" s="469"/>
      <c r="BD680" s="469"/>
      <c r="BE680" s="469"/>
      <c r="BF680" s="469"/>
      <c r="BG680" s="469"/>
      <c r="BH680" s="469"/>
      <c r="BI680" s="469"/>
      <c r="BJ680" s="469"/>
      <c r="BK680" s="469"/>
      <c r="BL680" s="469"/>
      <c r="BM680" s="470"/>
      <c r="BN680" s="267">
        <f>BP675</f>
        <v>38000</v>
      </c>
      <c r="BO680" s="268"/>
      <c r="BP680" s="268"/>
      <c r="BQ680" s="268"/>
      <c r="BR680" s="268"/>
      <c r="BS680" s="268"/>
      <c r="BT680" s="268"/>
      <c r="BU680" s="268"/>
      <c r="BV680" s="268"/>
      <c r="BW680" s="269"/>
      <c r="BX680" s="267">
        <f>BZ675</f>
        <v>30000</v>
      </c>
      <c r="BY680" s="268"/>
      <c r="BZ680" s="268"/>
      <c r="CA680" s="268"/>
      <c r="CB680" s="268"/>
      <c r="CC680" s="268"/>
      <c r="CD680" s="268"/>
      <c r="CE680" s="268"/>
      <c r="CF680" s="268"/>
      <c r="CG680" s="269"/>
      <c r="CH680" s="267">
        <f>BN680+BX680</f>
        <v>68000</v>
      </c>
      <c r="CI680" s="268"/>
      <c r="CJ680" s="268"/>
      <c r="CK680" s="268"/>
      <c r="CL680" s="268"/>
      <c r="CM680" s="268"/>
      <c r="CN680" s="268"/>
      <c r="CO680" s="268"/>
      <c r="CP680" s="268"/>
      <c r="CQ680" s="269"/>
    </row>
    <row r="681" spans="3:135" hidden="1">
      <c r="D681"/>
      <c r="E681" s="264" t="s">
        <v>505</v>
      </c>
      <c r="F681" s="265"/>
      <c r="G681" s="265"/>
      <c r="H681" s="265"/>
      <c r="I681" s="265"/>
      <c r="J681" s="265"/>
      <c r="K681" s="265"/>
      <c r="L681" s="265"/>
      <c r="M681" s="265"/>
      <c r="N681" s="265"/>
      <c r="O681" s="265"/>
      <c r="P681" s="265"/>
      <c r="Q681" s="265"/>
      <c r="R681" s="265"/>
      <c r="S681" s="266"/>
      <c r="T681" s="267">
        <f>SUMIFS('Adv. Filter'!$CH$1:$CH$50000,'Adv. Filter'!$CD$1:$CD$50000,"Pradeep",'Adv. Filter'!$CB$1:$CB$50000,E681,'Adv. Filter'!$CF$1:$CF$50000,"Cash")</f>
        <v>0</v>
      </c>
      <c r="U681" s="268"/>
      <c r="V681" s="268"/>
      <c r="W681" s="268"/>
      <c r="X681" s="268"/>
      <c r="Y681" s="268"/>
      <c r="Z681" s="268"/>
      <c r="AA681" s="268"/>
      <c r="AB681" s="268"/>
      <c r="AC681" s="269"/>
      <c r="AD681" s="267">
        <f>SUMIFS('Adv. Filter'!$CH$1:$CH$50000,'Adv. Filter'!$CD$1:$CD$50000,"Pradeep",'Adv. Filter'!$CB$1:$CB$50000,E681,'Adv. Filter'!$CF$1:$CF$50000,"Bank")</f>
        <v>0</v>
      </c>
      <c r="AE681" s="268"/>
      <c r="AF681" s="268"/>
      <c r="AG681" s="268"/>
      <c r="AH681" s="268"/>
      <c r="AI681" s="268"/>
      <c r="AJ681" s="268"/>
      <c r="AK681" s="268"/>
      <c r="AL681" s="268"/>
      <c r="AM681" s="269"/>
      <c r="AN681" s="267">
        <f>T681+AD681</f>
        <v>0</v>
      </c>
      <c r="AO681" s="268"/>
      <c r="AP681" s="268"/>
      <c r="AQ681" s="268"/>
      <c r="AR681" s="268"/>
      <c r="AS681" s="268"/>
      <c r="AT681" s="268"/>
      <c r="AU681" s="268"/>
      <c r="AV681" s="268"/>
      <c r="AW681" s="269"/>
      <c r="AY681" s="270"/>
      <c r="AZ681" s="271"/>
      <c r="BA681" s="271"/>
      <c r="BB681" s="271"/>
      <c r="BC681" s="271"/>
      <c r="BD681" s="271"/>
      <c r="BE681" s="271"/>
      <c r="BF681" s="271"/>
      <c r="BG681" s="271"/>
      <c r="BH681" s="271"/>
      <c r="BI681" s="271"/>
      <c r="BJ681" s="271"/>
      <c r="BK681" s="271"/>
      <c r="BL681" s="271"/>
      <c r="BM681" s="272"/>
      <c r="BN681" s="267"/>
      <c r="BO681" s="268"/>
      <c r="BP681" s="268"/>
      <c r="BQ681" s="268"/>
      <c r="BR681" s="268"/>
      <c r="BS681" s="268"/>
      <c r="BT681" s="268"/>
      <c r="BU681" s="268"/>
      <c r="BV681" s="268"/>
      <c r="BW681" s="269"/>
      <c r="BX681" s="267"/>
      <c r="BY681" s="268"/>
      <c r="BZ681" s="268"/>
      <c r="CA681" s="268"/>
      <c r="CB681" s="268"/>
      <c r="CC681" s="268"/>
      <c r="CD681" s="268"/>
      <c r="CE681" s="268"/>
      <c r="CF681" s="268"/>
      <c r="CG681" s="269"/>
      <c r="CH681" s="267"/>
      <c r="CI681" s="268"/>
      <c r="CJ681" s="268"/>
      <c r="CK681" s="268"/>
      <c r="CL681" s="268"/>
      <c r="CM681" s="268"/>
      <c r="CN681" s="268"/>
      <c r="CO681" s="268"/>
      <c r="CP681" s="268"/>
      <c r="CQ681" s="269"/>
    </row>
    <row r="682" spans="3:135" ht="15.75" hidden="1" thickBot="1">
      <c r="D682"/>
      <c r="E682" s="285" t="s">
        <v>504</v>
      </c>
      <c r="F682" s="286"/>
      <c r="G682" s="286"/>
      <c r="H682" s="286"/>
      <c r="I682" s="286"/>
      <c r="J682" s="286"/>
      <c r="K682" s="286"/>
      <c r="L682" s="286"/>
      <c r="M682" s="286"/>
      <c r="N682" s="286"/>
      <c r="O682" s="286"/>
      <c r="P682" s="286"/>
      <c r="Q682" s="286"/>
      <c r="R682" s="286"/>
      <c r="S682" s="287"/>
      <c r="T682" s="252">
        <f>SUMIFS('Adv. Filter'!$CH$1:$CH$50000,'Adv. Filter'!$CD$1:$CD$50000,"Pradeep",'Adv. Filter'!$CB$1:$CB$50000,E682,'Adv. Filter'!$CF$1:$CF$50000,"Cash")</f>
        <v>800</v>
      </c>
      <c r="U682" s="253"/>
      <c r="V682" s="253"/>
      <c r="W682" s="253"/>
      <c r="X682" s="253"/>
      <c r="Y682" s="253"/>
      <c r="Z682" s="253"/>
      <c r="AA682" s="253"/>
      <c r="AB682" s="253"/>
      <c r="AC682" s="254"/>
      <c r="AD682" s="252">
        <f>SUMIFS('Adv. Filter'!$CH$1:$CH$50000,'Adv. Filter'!$CD$1:$CD$50000,"Pradeep",'Adv. Filter'!$CB$1:$CB$50000,E682,'Adv. Filter'!$CF$1:$CF$50000,"Bank")</f>
        <v>0</v>
      </c>
      <c r="AE682" s="253"/>
      <c r="AF682" s="253"/>
      <c r="AG682" s="253"/>
      <c r="AH682" s="253"/>
      <c r="AI682" s="253"/>
      <c r="AJ682" s="253"/>
      <c r="AK682" s="253"/>
      <c r="AL682" s="253"/>
      <c r="AM682" s="254"/>
      <c r="AN682" s="252">
        <f>T682+AD682</f>
        <v>800</v>
      </c>
      <c r="AO682" s="253"/>
      <c r="AP682" s="253"/>
      <c r="AQ682" s="253"/>
      <c r="AR682" s="253"/>
      <c r="AS682" s="253"/>
      <c r="AT682" s="253"/>
      <c r="AU682" s="253"/>
      <c r="AV682" s="253"/>
      <c r="AW682" s="254"/>
      <c r="AY682" s="255" t="s">
        <v>329</v>
      </c>
      <c r="AZ682" s="256"/>
      <c r="BA682" s="256"/>
      <c r="BB682" s="256"/>
      <c r="BC682" s="256"/>
      <c r="BD682" s="256"/>
      <c r="BE682" s="256"/>
      <c r="BF682" s="256"/>
      <c r="BG682" s="256"/>
      <c r="BH682" s="256"/>
      <c r="BI682" s="256"/>
      <c r="BJ682" s="256"/>
      <c r="BK682" s="256"/>
      <c r="BL682" s="256"/>
      <c r="BM682" s="257"/>
      <c r="BN682" s="252">
        <f>SUMIFS('Adv. Filter'!$CH$1:$CH$50000,'Adv. Filter'!$CD$1:$CD$50000,"Pradeep",'Adv. Filter'!$CC$1:$CC$50000,"TDS",'Adv. Filter'!$CF$1:$CF$50000,"Cash")</f>
        <v>0</v>
      </c>
      <c r="BO682" s="253"/>
      <c r="BP682" s="253"/>
      <c r="BQ682" s="253"/>
      <c r="BR682" s="253"/>
      <c r="BS682" s="253"/>
      <c r="BT682" s="253"/>
      <c r="BU682" s="253"/>
      <c r="BV682" s="253"/>
      <c r="BW682" s="254"/>
      <c r="BX682" s="252">
        <f>SUMIFS('Adv. Filter'!$CH$1:$CH$50000,'Adv. Filter'!$CD$1:$CD$50000,"Pradeep",'Adv. Filter'!$CC$1:$CC$50000,"TDS",'Adv. Filter'!$CF$1:$CF$50000,"Bank")</f>
        <v>0</v>
      </c>
      <c r="BY682" s="253"/>
      <c r="BZ682" s="253"/>
      <c r="CA682" s="253"/>
      <c r="CB682" s="253"/>
      <c r="CC682" s="253"/>
      <c r="CD682" s="253"/>
      <c r="CE682" s="253"/>
      <c r="CF682" s="253"/>
      <c r="CG682" s="254"/>
      <c r="CH682" s="252">
        <f>BN682+BX682</f>
        <v>0</v>
      </c>
      <c r="CI682" s="253"/>
      <c r="CJ682" s="253"/>
      <c r="CK682" s="253"/>
      <c r="CL682" s="253"/>
      <c r="CM682" s="253"/>
      <c r="CN682" s="253"/>
      <c r="CO682" s="253"/>
      <c r="CP682" s="253"/>
      <c r="CQ682" s="254"/>
    </row>
    <row r="683" spans="3:135" ht="16.5" hidden="1" thickTop="1">
      <c r="D683"/>
      <c r="E683" s="279" t="s">
        <v>503</v>
      </c>
      <c r="F683" s="280"/>
      <c r="G683" s="280"/>
      <c r="H683" s="280"/>
      <c r="I683" s="280"/>
      <c r="J683" s="280"/>
      <c r="K683" s="280"/>
      <c r="L683" s="280"/>
      <c r="M683" s="280"/>
      <c r="N683" s="280"/>
      <c r="O683" s="280"/>
      <c r="P683" s="280"/>
      <c r="Q683" s="280"/>
      <c r="R683" s="280"/>
      <c r="S683" s="281"/>
      <c r="T683" s="258">
        <f>SUM(T679:AC682)</f>
        <v>5100</v>
      </c>
      <c r="U683" s="259"/>
      <c r="V683" s="259"/>
      <c r="W683" s="259"/>
      <c r="X683" s="259"/>
      <c r="Y683" s="259"/>
      <c r="Z683" s="259"/>
      <c r="AA683" s="259"/>
      <c r="AB683" s="259"/>
      <c r="AC683" s="260"/>
      <c r="AD683" s="258">
        <f>SUM(AD679:AM682)</f>
        <v>0</v>
      </c>
      <c r="AE683" s="259"/>
      <c r="AF683" s="259"/>
      <c r="AG683" s="259"/>
      <c r="AH683" s="259"/>
      <c r="AI683" s="259"/>
      <c r="AJ683" s="259"/>
      <c r="AK683" s="259"/>
      <c r="AL683" s="259"/>
      <c r="AM683" s="260"/>
      <c r="AN683" s="258">
        <f>T683+AD683</f>
        <v>5100</v>
      </c>
      <c r="AO683" s="259"/>
      <c r="AP683" s="259"/>
      <c r="AQ683" s="259"/>
      <c r="AR683" s="259"/>
      <c r="AS683" s="259"/>
      <c r="AT683" s="259"/>
      <c r="AU683" s="259"/>
      <c r="AV683" s="259"/>
      <c r="AW683" s="260"/>
      <c r="AX683" s="37"/>
      <c r="AY683" s="279" t="s">
        <v>503</v>
      </c>
      <c r="AZ683" s="280"/>
      <c r="BA683" s="280"/>
      <c r="BB683" s="280"/>
      <c r="BC683" s="280"/>
      <c r="BD683" s="280"/>
      <c r="BE683" s="280"/>
      <c r="BF683" s="280"/>
      <c r="BG683" s="280"/>
      <c r="BH683" s="280"/>
      <c r="BI683" s="280"/>
      <c r="BJ683" s="280"/>
      <c r="BK683" s="280"/>
      <c r="BL683" s="280"/>
      <c r="BM683" s="281"/>
      <c r="BN683" s="258">
        <f>SUM(BN679:BW682)</f>
        <v>548800</v>
      </c>
      <c r="BO683" s="259"/>
      <c r="BP683" s="259"/>
      <c r="BQ683" s="259"/>
      <c r="BR683" s="259"/>
      <c r="BS683" s="259"/>
      <c r="BT683" s="259"/>
      <c r="BU683" s="259"/>
      <c r="BV683" s="259"/>
      <c r="BW683" s="260"/>
      <c r="BX683" s="258">
        <f>SUM(BX679:CG682)</f>
        <v>388850</v>
      </c>
      <c r="BY683" s="259"/>
      <c r="BZ683" s="259"/>
      <c r="CA683" s="259"/>
      <c r="CB683" s="259"/>
      <c r="CC683" s="259"/>
      <c r="CD683" s="259"/>
      <c r="CE683" s="259"/>
      <c r="CF683" s="259"/>
      <c r="CG683" s="260"/>
      <c r="CH683" s="258">
        <f>BN683+BX683</f>
        <v>937650</v>
      </c>
      <c r="CI683" s="259"/>
      <c r="CJ683" s="259"/>
      <c r="CK683" s="259"/>
      <c r="CL683" s="259"/>
      <c r="CM683" s="259"/>
      <c r="CN683" s="259"/>
      <c r="CO683" s="259"/>
      <c r="CP683" s="259"/>
      <c r="CQ683" s="260"/>
    </row>
    <row r="684" spans="3:135" hidden="1">
      <c r="D684"/>
    </row>
    <row r="685" spans="3:135" ht="15.75" hidden="1">
      <c r="C685" s="453" t="str">
        <f>CONCATENATE("PRESENT FORMS    ",TEXT('Adv. Filter'!$A$15,"( DD-MMM-YY"), " TO ",TEXT('Adv. Filter'!$B$15,"DD-MMM-YY )"))</f>
        <v>PRESENT FORMS    ( 01-Jan-17 TO 13-Oct-17 )</v>
      </c>
      <c r="D685" s="454"/>
      <c r="E685" s="454"/>
      <c r="F685" s="454"/>
      <c r="G685" s="454"/>
      <c r="H685" s="454"/>
      <c r="I685" s="454"/>
      <c r="J685" s="454"/>
      <c r="K685" s="454"/>
      <c r="L685" s="454"/>
      <c r="M685" s="454"/>
      <c r="N685" s="454"/>
      <c r="O685" s="454"/>
      <c r="P685" s="454"/>
      <c r="Q685" s="454"/>
      <c r="R685" s="454"/>
      <c r="S685" s="454"/>
      <c r="T685" s="454"/>
      <c r="U685" s="454"/>
      <c r="V685" s="454"/>
      <c r="W685" s="454"/>
      <c r="X685" s="454"/>
      <c r="Y685" s="454"/>
      <c r="Z685" s="454"/>
      <c r="AA685" s="454"/>
      <c r="AB685" s="454"/>
      <c r="AC685" s="454"/>
      <c r="AD685" s="454"/>
      <c r="AE685" s="454"/>
      <c r="AF685" s="454"/>
      <c r="AG685" s="454"/>
      <c r="AH685" s="454"/>
      <c r="AI685" s="454"/>
      <c r="AJ685" s="454"/>
      <c r="AK685" s="454"/>
      <c r="AL685" s="454"/>
      <c r="AM685" s="454"/>
      <c r="AN685" s="454"/>
      <c r="AO685" s="454"/>
      <c r="AP685" s="454"/>
      <c r="AQ685" s="454"/>
      <c r="AR685" s="454"/>
      <c r="AS685" s="454"/>
      <c r="AT685" s="454"/>
      <c r="AU685" s="454"/>
      <c r="AV685" s="454"/>
      <c r="AW685" s="454"/>
      <c r="AX685" s="454"/>
      <c r="AY685" s="454"/>
      <c r="AZ685" s="454"/>
      <c r="BA685" s="454"/>
      <c r="BB685" s="454"/>
      <c r="BC685" s="454"/>
      <c r="BD685" s="454"/>
      <c r="BE685" s="454"/>
      <c r="BF685" s="454"/>
      <c r="BG685" s="454"/>
      <c r="BH685" s="454"/>
      <c r="BI685" s="454"/>
      <c r="BJ685" s="454"/>
      <c r="BK685" s="454"/>
      <c r="BL685" s="454"/>
      <c r="BM685" s="454"/>
      <c r="BN685" s="454"/>
      <c r="BO685" s="454"/>
      <c r="BP685" s="454"/>
      <c r="BQ685" s="454"/>
      <c r="BR685" s="454"/>
      <c r="BS685" s="454"/>
      <c r="BT685" s="454"/>
      <c r="BU685" s="454"/>
      <c r="BV685" s="454"/>
      <c r="BW685" s="454"/>
      <c r="BX685" s="454"/>
      <c r="BY685" s="454"/>
      <c r="BZ685" s="454"/>
      <c r="CA685" s="454"/>
      <c r="CB685" s="454"/>
      <c r="CC685" s="454"/>
      <c r="CD685" s="454"/>
      <c r="CE685" s="454"/>
      <c r="CF685" s="454"/>
      <c r="CG685" s="454"/>
      <c r="CH685" s="454"/>
      <c r="CI685" s="454"/>
      <c r="CJ685" s="454"/>
      <c r="CK685" s="454"/>
      <c r="CL685" s="454"/>
      <c r="CM685" s="454"/>
      <c r="CN685" s="454"/>
      <c r="CO685" s="454"/>
      <c r="CP685" s="454"/>
      <c r="CQ685" s="454"/>
      <c r="CR685" s="454"/>
      <c r="CS685" s="454"/>
      <c r="CT685" s="454"/>
      <c r="CU685" s="454"/>
      <c r="CV685" s="454"/>
      <c r="CW685" s="454"/>
      <c r="CX685" s="454"/>
      <c r="CY685" s="454"/>
      <c r="CZ685" s="454"/>
      <c r="DA685" s="454"/>
      <c r="DB685" s="454"/>
      <c r="DC685" s="454"/>
      <c r="DD685" s="454"/>
      <c r="DE685" s="454"/>
      <c r="DF685" s="454"/>
      <c r="DG685" s="454"/>
      <c r="DH685" s="454"/>
      <c r="DI685" s="454"/>
      <c r="DJ685" s="454"/>
      <c r="DK685" s="454"/>
      <c r="DL685" s="454"/>
      <c r="DM685" s="454"/>
      <c r="DN685" s="454"/>
      <c r="DO685" s="454"/>
      <c r="DP685" s="454"/>
      <c r="DQ685" s="454"/>
      <c r="DR685" s="454"/>
      <c r="DS685" s="454"/>
      <c r="DT685" s="454"/>
      <c r="DU685" s="454"/>
      <c r="DV685" s="454"/>
      <c r="DW685" s="454"/>
      <c r="DX685" s="454"/>
      <c r="DY685" s="454"/>
      <c r="DZ685" s="454"/>
      <c r="EA685" s="454"/>
      <c r="EB685" s="454"/>
      <c r="EC685" s="454"/>
      <c r="ED685" s="454"/>
      <c r="EE685" s="455"/>
    </row>
    <row r="686" spans="3:135" hidden="1">
      <c r="C686" s="478" t="s">
        <v>513</v>
      </c>
      <c r="D686" s="478"/>
      <c r="E686" s="478"/>
      <c r="F686" s="478"/>
      <c r="G686" s="478"/>
      <c r="H686" s="478"/>
      <c r="I686" s="478"/>
      <c r="J686" s="478"/>
      <c r="K686" s="478"/>
      <c r="L686" s="478"/>
      <c r="M686" s="478"/>
      <c r="N686" s="478"/>
      <c r="O686" s="209" t="s">
        <v>117</v>
      </c>
      <c r="P686" s="209"/>
      <c r="Q686" s="209"/>
      <c r="R686" s="209"/>
      <c r="S686" s="209"/>
      <c r="T686" s="209"/>
      <c r="U686" s="209"/>
      <c r="V686" s="100"/>
      <c r="W686" s="231" t="s">
        <v>511</v>
      </c>
      <c r="X686" s="232"/>
      <c r="Y686" s="232"/>
      <c r="Z686" s="232"/>
      <c r="AA686" s="232"/>
      <c r="AB686" s="232"/>
      <c r="AC686" s="232"/>
      <c r="AD686" s="232"/>
      <c r="AE686" s="232"/>
      <c r="AF686" s="232"/>
      <c r="AG686" s="232"/>
      <c r="AH686" s="232"/>
      <c r="AI686" s="232"/>
      <c r="AJ686" s="232"/>
      <c r="AK686" s="232"/>
      <c r="AL686" s="232"/>
      <c r="AM686" s="232"/>
      <c r="AN686" s="232"/>
      <c r="AO686" s="232"/>
      <c r="AP686" s="232"/>
      <c r="AQ686" s="232"/>
      <c r="AR686" s="232"/>
      <c r="AS686" s="232"/>
      <c r="AT686" s="232"/>
      <c r="AU686" s="232"/>
      <c r="AV686" s="232"/>
      <c r="AW686" s="232"/>
      <c r="AX686" s="232"/>
      <c r="AY686" s="232"/>
      <c r="AZ686" s="232"/>
      <c r="BA686" s="232"/>
      <c r="BB686" s="232"/>
      <c r="BC686" s="232"/>
      <c r="BD686" s="232"/>
      <c r="BE686" s="232"/>
      <c r="BF686" s="232"/>
      <c r="BG686" s="232"/>
      <c r="BH686" s="232"/>
      <c r="BI686" s="232"/>
      <c r="BJ686" s="232"/>
      <c r="BK686" s="232"/>
      <c r="BL686" s="232"/>
      <c r="BM686" s="232"/>
      <c r="BN686" s="232"/>
      <c r="BO686" s="232"/>
      <c r="BP686" s="232"/>
      <c r="BQ686" s="232"/>
      <c r="BR686" s="232"/>
      <c r="BS686" s="233"/>
      <c r="BT686" s="100"/>
      <c r="BU686" s="231" t="s">
        <v>571</v>
      </c>
      <c r="BV686" s="232"/>
      <c r="BW686" s="232"/>
      <c r="BX686" s="232"/>
      <c r="BY686" s="232"/>
      <c r="BZ686" s="232"/>
      <c r="CA686" s="232"/>
      <c r="CB686" s="232"/>
      <c r="CC686" s="232"/>
      <c r="CD686" s="232"/>
      <c r="CE686" s="232"/>
      <c r="CF686" s="232"/>
      <c r="CG686" s="232"/>
      <c r="CH686" s="232"/>
      <c r="CI686" s="232"/>
      <c r="CJ686" s="232"/>
      <c r="CK686" s="232"/>
      <c r="CL686" s="232"/>
      <c r="CM686" s="232"/>
      <c r="CN686" s="232"/>
      <c r="CO686" s="232"/>
      <c r="CP686" s="232"/>
      <c r="CQ686" s="232"/>
      <c r="CR686" s="232"/>
      <c r="CS686" s="232"/>
      <c r="CT686" s="232"/>
      <c r="CU686" s="232"/>
      <c r="CV686" s="232"/>
      <c r="CW686" s="232"/>
      <c r="CX686" s="232"/>
      <c r="CY686" s="232"/>
      <c r="CZ686" s="232"/>
      <c r="DA686" s="232"/>
      <c r="DB686" s="232"/>
      <c r="DC686" s="232"/>
      <c r="DD686" s="232"/>
      <c r="DE686" s="232"/>
      <c r="DF686" s="232"/>
      <c r="DG686" s="232"/>
      <c r="DH686" s="232"/>
      <c r="DI686" s="232"/>
      <c r="DJ686" s="232"/>
      <c r="DK686" s="232"/>
      <c r="DL686" s="232"/>
      <c r="DM686" s="232"/>
      <c r="DN686" s="232"/>
      <c r="DO686" s="232"/>
      <c r="DP686" s="232"/>
      <c r="DQ686" s="232"/>
      <c r="DR686" s="232"/>
      <c r="DS686" s="232"/>
      <c r="DT686" s="232"/>
      <c r="DU686" s="232"/>
      <c r="DV686" s="232"/>
      <c r="DW686" s="232"/>
      <c r="DX686" s="232"/>
      <c r="DY686" s="232"/>
      <c r="DZ686" s="232"/>
      <c r="EA686" s="232"/>
      <c r="EB686" s="232"/>
      <c r="EC686" s="232"/>
      <c r="ED686" s="232"/>
      <c r="EE686" s="233"/>
    </row>
    <row r="687" spans="3:135" hidden="1">
      <c r="C687" s="478"/>
      <c r="D687" s="478"/>
      <c r="E687" s="478"/>
      <c r="F687" s="478"/>
      <c r="G687" s="478"/>
      <c r="H687" s="478"/>
      <c r="I687" s="478"/>
      <c r="J687" s="478"/>
      <c r="K687" s="478"/>
      <c r="L687" s="478"/>
      <c r="M687" s="478"/>
      <c r="N687" s="478"/>
      <c r="O687" s="208" t="s">
        <v>569</v>
      </c>
      <c r="P687" s="208"/>
      <c r="Q687" s="208"/>
      <c r="R687" s="208"/>
      <c r="S687" s="208"/>
      <c r="T687" s="208"/>
      <c r="U687" s="208"/>
      <c r="V687" s="100"/>
      <c r="W687" s="250" t="s">
        <v>511</v>
      </c>
      <c r="X687" s="251"/>
      <c r="Y687" s="251"/>
      <c r="Z687" s="251"/>
      <c r="AA687" s="251"/>
      <c r="AB687" s="251"/>
      <c r="AC687" s="245"/>
      <c r="AD687" s="250" t="s">
        <v>493</v>
      </c>
      <c r="AE687" s="251"/>
      <c r="AF687" s="251"/>
      <c r="AG687" s="251"/>
      <c r="AH687" s="251"/>
      <c r="AI687" s="251"/>
      <c r="AJ687" s="245"/>
      <c r="AK687" s="250" t="s">
        <v>485</v>
      </c>
      <c r="AL687" s="251"/>
      <c r="AM687" s="251"/>
      <c r="AN687" s="251"/>
      <c r="AO687" s="251"/>
      <c r="AP687" s="251"/>
      <c r="AQ687" s="245"/>
      <c r="AR687" s="250" t="s">
        <v>575</v>
      </c>
      <c r="AS687" s="251"/>
      <c r="AT687" s="251"/>
      <c r="AU687" s="251"/>
      <c r="AV687" s="251"/>
      <c r="AW687" s="251"/>
      <c r="AX687" s="245"/>
      <c r="AY687" s="250" t="s">
        <v>568</v>
      </c>
      <c r="AZ687" s="251"/>
      <c r="BA687" s="251"/>
      <c r="BB687" s="251"/>
      <c r="BC687" s="251"/>
      <c r="BD687" s="251"/>
      <c r="BE687" s="245"/>
      <c r="BF687" s="250" t="s">
        <v>492</v>
      </c>
      <c r="BG687" s="251"/>
      <c r="BH687" s="251"/>
      <c r="BI687" s="251"/>
      <c r="BJ687" s="251"/>
      <c r="BK687" s="251"/>
      <c r="BL687" s="245"/>
      <c r="BM687" s="250" t="s">
        <v>567</v>
      </c>
      <c r="BN687" s="251"/>
      <c r="BO687" s="251"/>
      <c r="BP687" s="251"/>
      <c r="BQ687" s="251"/>
      <c r="BR687" s="251"/>
      <c r="BS687" s="245"/>
      <c r="BT687" s="100"/>
      <c r="BU687" s="208" t="s">
        <v>570</v>
      </c>
      <c r="BV687" s="208"/>
      <c r="BW687" s="208"/>
      <c r="BX687" s="208"/>
      <c r="BY687" s="208"/>
      <c r="BZ687" s="208"/>
      <c r="CA687" s="208"/>
      <c r="CB687" s="208" t="s">
        <v>559</v>
      </c>
      <c r="CC687" s="208"/>
      <c r="CD687" s="208"/>
      <c r="CE687" s="208"/>
      <c r="CF687" s="208"/>
      <c r="CG687" s="208"/>
      <c r="CH687" s="208"/>
      <c r="CI687" s="208" t="s">
        <v>560</v>
      </c>
      <c r="CJ687" s="208"/>
      <c r="CK687" s="208"/>
      <c r="CL687" s="208"/>
      <c r="CM687" s="208"/>
      <c r="CN687" s="208"/>
      <c r="CO687" s="208"/>
      <c r="CP687" s="208" t="s">
        <v>561</v>
      </c>
      <c r="CQ687" s="208"/>
      <c r="CR687" s="208"/>
      <c r="CS687" s="208"/>
      <c r="CT687" s="208"/>
      <c r="CU687" s="208"/>
      <c r="CV687" s="208"/>
      <c r="CW687" s="208" t="s">
        <v>562</v>
      </c>
      <c r="CX687" s="208"/>
      <c r="CY687" s="208"/>
      <c r="CZ687" s="208"/>
      <c r="DA687" s="208"/>
      <c r="DB687" s="208"/>
      <c r="DC687" s="208"/>
      <c r="DD687" s="208" t="s">
        <v>563</v>
      </c>
      <c r="DE687" s="208"/>
      <c r="DF687" s="208"/>
      <c r="DG687" s="208"/>
      <c r="DH687" s="208"/>
      <c r="DI687" s="208"/>
      <c r="DJ687" s="208"/>
      <c r="DK687" s="208" t="s">
        <v>564</v>
      </c>
      <c r="DL687" s="208"/>
      <c r="DM687" s="208"/>
      <c r="DN687" s="208"/>
      <c r="DO687" s="208"/>
      <c r="DP687" s="208"/>
      <c r="DQ687" s="208"/>
      <c r="DR687" s="208" t="s">
        <v>565</v>
      </c>
      <c r="DS687" s="208"/>
      <c r="DT687" s="208"/>
      <c r="DU687" s="208"/>
      <c r="DV687" s="208"/>
      <c r="DW687" s="208"/>
      <c r="DX687" s="208"/>
      <c r="DY687" s="208" t="s">
        <v>566</v>
      </c>
      <c r="DZ687" s="208"/>
      <c r="EA687" s="208"/>
      <c r="EB687" s="208"/>
      <c r="EC687" s="208"/>
      <c r="ED687" s="208"/>
      <c r="EE687" s="208"/>
    </row>
    <row r="688" spans="3:135" hidden="1">
      <c r="C688" s="248" t="s">
        <v>26</v>
      </c>
      <c r="D688" s="249"/>
      <c r="E688" s="249"/>
      <c r="F688" s="249"/>
      <c r="G688" s="249"/>
      <c r="H688" s="249"/>
      <c r="I688" s="249"/>
      <c r="J688" s="249"/>
      <c r="K688" s="249"/>
      <c r="L688" s="249"/>
      <c r="M688" s="249"/>
      <c r="N688" s="249"/>
      <c r="O688" s="234">
        <f>SUM(COUNTIFS('Form Details'!$AA:$AA,{"Yes","No","-"},'Form Details'!$N:$N,"Pradeep",'Form Details'!$J:$J,$C688,'Form Details'!$D:$D,'Adv. Filter'!$A$14,'Form Details'!$D:$D,'Adv. Filter'!$B$14))</f>
        <v>0</v>
      </c>
      <c r="P688" s="235"/>
      <c r="Q688" s="235"/>
      <c r="R688" s="235"/>
      <c r="S688" s="235"/>
      <c r="T688" s="235"/>
      <c r="U688" s="236"/>
      <c r="V688" s="100"/>
      <c r="W688" s="234">
        <f>COUNTIFS('Form Details'!$AA:$AA,"Yes",'Form Details'!$N:$N,"Pradeep",'Form Details'!$J:$J,$C688,'Form Details'!$D:$D,'Adv. Filter'!$A$14,'Form Details'!$D:$D,'Adv. Filter'!$B$14)</f>
        <v>0</v>
      </c>
      <c r="X688" s="235"/>
      <c r="Y688" s="235"/>
      <c r="Z688" s="235"/>
      <c r="AA688" s="235"/>
      <c r="AB688" s="235"/>
      <c r="AC688" s="236"/>
      <c r="AD688" s="234">
        <f>COUNTIFS('Form Details'!$W:$W,"Paid",'Form Details'!$N:$N,"Pradeep",'Form Details'!$J:$J,$C688,'Form Details'!$D:$D,'Adv. Filter'!$A$14,'Form Details'!$D:$D,'Adv. Filter'!$B$14)</f>
        <v>0</v>
      </c>
      <c r="AE688" s="235"/>
      <c r="AF688" s="235"/>
      <c r="AG688" s="235"/>
      <c r="AH688" s="235"/>
      <c r="AI688" s="235"/>
      <c r="AJ688" s="236"/>
      <c r="AK688" s="234">
        <f>COUNTIFS('Form Details'!$W:$W,"Due",'Form Details'!$N:$N,"Pradeep",'Form Details'!$J:$J,$C688,'Form Details'!$D:$D,'Adv. Filter'!$A$14,'Form Details'!$D:$D,'Adv. Filter'!$B$14)</f>
        <v>0</v>
      </c>
      <c r="AL688" s="235"/>
      <c r="AM688" s="235"/>
      <c r="AN688" s="235"/>
      <c r="AO688" s="235"/>
      <c r="AP688" s="235"/>
      <c r="AQ688" s="236"/>
      <c r="AR688" s="234">
        <f>COUNTIFS('Form Details'!$W:$W,"No Fee",'Form Details'!$N:$N,"Pradeep",'Form Details'!$J:$J,$C688,'Form Details'!$D:$D,'Adv. Filter'!$A$14,'Form Details'!$D:$D,'Adv. Filter'!$B$14)</f>
        <v>0</v>
      </c>
      <c r="AS688" s="235"/>
      <c r="AT688" s="235"/>
      <c r="AU688" s="235"/>
      <c r="AV688" s="235"/>
      <c r="AW688" s="235"/>
      <c r="AX688" s="236"/>
      <c r="AY688" s="234">
        <f>COUNTIFS('Form Details'!$W:$W,"Paid/Reject",'Form Details'!$N:$N,"Pradeep",'Form Details'!$J:$J,$C688,'Form Details'!$D:$D,'Adv. Filter'!$A$14,'Form Details'!$D:$D,'Adv. Filter'!$B$14)</f>
        <v>0</v>
      </c>
      <c r="AZ688" s="235"/>
      <c r="BA688" s="235"/>
      <c r="BB688" s="235"/>
      <c r="BC688" s="235"/>
      <c r="BD688" s="235"/>
      <c r="BE688" s="236"/>
      <c r="BF688" s="234">
        <f>COUNTIFS('Form Details'!$W:$W,"Staff",'Form Details'!$N:$N,"Pradeep",'Form Details'!$J:$J,$C688,'Form Details'!$D:$D,'Adv. Filter'!$A$14,'Form Details'!$D:$D,'Adv. Filter'!$B$14)</f>
        <v>0</v>
      </c>
      <c r="BG688" s="235"/>
      <c r="BH688" s="235"/>
      <c r="BI688" s="235"/>
      <c r="BJ688" s="235"/>
      <c r="BK688" s="235"/>
      <c r="BL688" s="236"/>
      <c r="BM688" s="234">
        <f>COUNTIFS('Form Details'!$W:$W,"File in Office",'Form Details'!$N:$N,"Pradeep",'Form Details'!$J:$J,$C688,'Form Details'!$D:$D,'Adv. Filter'!$A$14,'Form Details'!$D:$D,'Adv. Filter'!$B$14)</f>
        <v>0</v>
      </c>
      <c r="BN688" s="235"/>
      <c r="BO688" s="235"/>
      <c r="BP688" s="235"/>
      <c r="BQ688" s="235"/>
      <c r="BR688" s="235"/>
      <c r="BS688" s="236"/>
      <c r="BT688" s="100"/>
      <c r="BU688" s="234">
        <f>COUNTIFS('Form Details'!$AA:$AA,"No",'Form Details'!$N:$N,"Pradeep",'Form Details'!$J:$J,$C688,'Form Details'!$D:$D,'Adv. Filter'!$A$14,'Form Details'!$D:$D,'Adv. Filter'!$B$14)</f>
        <v>0</v>
      </c>
      <c r="BV688" s="235"/>
      <c r="BW688" s="235"/>
      <c r="BX688" s="235"/>
      <c r="BY688" s="235"/>
      <c r="BZ688" s="235"/>
      <c r="CA688" s="236"/>
      <c r="CB688" s="234">
        <f>COUNTIFS('Form Details'!$W:$W,"Adv/Paid",'Form Details'!$N:$N,"Pradeep",'Form Details'!$J:$J,$C688,'Form Details'!$D:$D,'Adv. Filter'!$A$14,'Form Details'!$D:$D,'Adv. Filter'!$B$14)</f>
        <v>0</v>
      </c>
      <c r="CC688" s="235"/>
      <c r="CD688" s="235"/>
      <c r="CE688" s="235"/>
      <c r="CF688" s="235"/>
      <c r="CG688" s="235"/>
      <c r="CH688" s="236"/>
      <c r="CI688" s="234">
        <f>COUNTIFS('Form Details'!$W:$W,"Adv/Paid/Reject",'Form Details'!$N:$N,"Pradeep",'Form Details'!$J:$J,$C688,'Form Details'!$D:$D,'Adv. Filter'!$A$14,'Form Details'!$D:$D,'Adv. Filter'!$B$14)</f>
        <v>0</v>
      </c>
      <c r="CJ688" s="235"/>
      <c r="CK688" s="235"/>
      <c r="CL688" s="235"/>
      <c r="CM688" s="235"/>
      <c r="CN688" s="235"/>
      <c r="CO688" s="236"/>
      <c r="CP688" s="234">
        <f>COUNTIFS('Form Details'!$W:$W,"Reject",'Form Details'!$N:$N,"Pradeep",'Form Details'!$J:$J,$C688,'Form Details'!$D:$D,'Adv. Filter'!$A$14,'Form Details'!$D:$D,'Adv. Filter'!$B$14)</f>
        <v>0</v>
      </c>
      <c r="CQ688" s="235"/>
      <c r="CR688" s="235"/>
      <c r="CS688" s="235"/>
      <c r="CT688" s="235"/>
      <c r="CU688" s="235"/>
      <c r="CV688" s="236"/>
      <c r="CW688" s="234">
        <f>COUNTIFS('Form Details'!$W:$W,"Adv/Paid/Pending",'Form Details'!$N:$N,"Pradeep",'Form Details'!$J:$J,$C688,'Form Details'!$D:$D,'Adv. Filter'!$A$14,'Form Details'!$D:$D,'Adv. Filter'!$B$14)</f>
        <v>0</v>
      </c>
      <c r="CX688" s="235"/>
      <c r="CY688" s="235"/>
      <c r="CZ688" s="235"/>
      <c r="DA688" s="235"/>
      <c r="DB688" s="235"/>
      <c r="DC688" s="236"/>
      <c r="DD688" s="234">
        <f>COUNTIFS('Form Details'!$W:$W,"Pending",'Form Details'!$N:$N,"Pradeep",'Form Details'!$J:$J,$C688,'Form Details'!$D:$D,'Adv. Filter'!$A$14,'Form Details'!$D:$D,'Adv. Filter'!$B$14)</f>
        <v>0</v>
      </c>
      <c r="DE688" s="235"/>
      <c r="DF688" s="235"/>
      <c r="DG688" s="235"/>
      <c r="DH688" s="235"/>
      <c r="DI688" s="235"/>
      <c r="DJ688" s="236"/>
      <c r="DK688" s="234">
        <f>COUNTIFS('Form Details'!$W:$W,"Adv/Paid/NoStatus",'Form Details'!$N:$N,"Pradeep",'Form Details'!$J:$J,$C688,'Form Details'!$D:$D,'Adv. Filter'!$A$14,'Form Details'!$D:$D,'Adv. Filter'!$B$14)</f>
        <v>0</v>
      </c>
      <c r="DL688" s="235"/>
      <c r="DM688" s="235"/>
      <c r="DN688" s="235"/>
      <c r="DO688" s="235"/>
      <c r="DP688" s="235"/>
      <c r="DQ688" s="236"/>
      <c r="DR688" s="234">
        <f>COUNTIFS('Form Details'!$W:$W,"No Status",'Form Details'!$N:$N,"Pradeep",'Form Details'!$J:$J,$C688,'Form Details'!$D:$D,'Adv. Filter'!$A$14,'Form Details'!$D:$D,'Adv. Filter'!$B$14)</f>
        <v>0</v>
      </c>
      <c r="DS688" s="235"/>
      <c r="DT688" s="235"/>
      <c r="DU688" s="235"/>
      <c r="DV688" s="235"/>
      <c r="DW688" s="235"/>
      <c r="DX688" s="236"/>
      <c r="DY688" s="234">
        <f>SUM(COUNTIFS('Form Details'!$W:$W,{"Wrong Entry ","Double Entry"},'Form Details'!$N:$N,"Pradeep",'Form Details'!$J:$J,$C688,'Form Details'!$D:$D,'Adv. Filter'!$A$14,'Form Details'!$D:$D,'Adv. Filter'!$B$14))</f>
        <v>0</v>
      </c>
      <c r="DZ688" s="235"/>
      <c r="EA688" s="235"/>
      <c r="EB688" s="235"/>
      <c r="EC688" s="235"/>
      <c r="ED688" s="235"/>
      <c r="EE688" s="236"/>
    </row>
    <row r="689" spans="3:135" hidden="1">
      <c r="C689" s="248" t="s">
        <v>38</v>
      </c>
      <c r="D689" s="249"/>
      <c r="E689" s="249"/>
      <c r="F689" s="249"/>
      <c r="G689" s="249"/>
      <c r="H689" s="249"/>
      <c r="I689" s="249"/>
      <c r="J689" s="249"/>
      <c r="K689" s="249"/>
      <c r="L689" s="249"/>
      <c r="M689" s="249"/>
      <c r="N689" s="249"/>
      <c r="O689" s="237">
        <f>SUM(COUNTIFS('Form Details'!$AA:$AA,{"Yes","No","-"},'Form Details'!$N:$N,"Pradeep",'Form Details'!$J:$J,$C689,'Form Details'!$D:$D,'Adv. Filter'!$A$14,'Form Details'!$D:$D,'Adv. Filter'!$B$14))</f>
        <v>0</v>
      </c>
      <c r="P689" s="238"/>
      <c r="Q689" s="238"/>
      <c r="R689" s="238"/>
      <c r="S689" s="238"/>
      <c r="T689" s="238"/>
      <c r="U689" s="239"/>
      <c r="V689" s="100"/>
      <c r="W689" s="237">
        <f>COUNTIFS('Form Details'!$AA:$AA,"Yes",'Form Details'!$N:$N,"Pradeep",'Form Details'!$J:$J,$C689,'Form Details'!$D:$D,'Adv. Filter'!$A$14,'Form Details'!$D:$D,'Adv. Filter'!$B$14)</f>
        <v>0</v>
      </c>
      <c r="X689" s="238"/>
      <c r="Y689" s="238"/>
      <c r="Z689" s="238"/>
      <c r="AA689" s="238"/>
      <c r="AB689" s="238"/>
      <c r="AC689" s="239"/>
      <c r="AD689" s="237">
        <f>COUNTIFS('Form Details'!$W:$W,"Paid",'Form Details'!$N:$N,"Pradeep",'Form Details'!$J:$J,$C689,'Form Details'!$D:$D,'Adv. Filter'!$A$14,'Form Details'!$D:$D,'Adv. Filter'!$B$14)</f>
        <v>0</v>
      </c>
      <c r="AE689" s="238"/>
      <c r="AF689" s="238"/>
      <c r="AG689" s="238"/>
      <c r="AH689" s="238"/>
      <c r="AI689" s="238"/>
      <c r="AJ689" s="239"/>
      <c r="AK689" s="237">
        <f>COUNTIFS('Form Details'!$W:$W,"Due",'Form Details'!$N:$N,"Pradeep",'Form Details'!$J:$J,$C689,'Form Details'!$D:$D,'Adv. Filter'!$A$14,'Form Details'!$D:$D,'Adv. Filter'!$B$14)</f>
        <v>0</v>
      </c>
      <c r="AL689" s="238"/>
      <c r="AM689" s="238"/>
      <c r="AN689" s="238"/>
      <c r="AO689" s="238"/>
      <c r="AP689" s="238"/>
      <c r="AQ689" s="239"/>
      <c r="AR689" s="237">
        <f>COUNTIFS('Form Details'!$W:$W,"No Fee",'Form Details'!$N:$N,"Pradeep",'Form Details'!$J:$J,$C689,'Form Details'!$D:$D,'Adv. Filter'!$A$14,'Form Details'!$D:$D,'Adv. Filter'!$B$14)</f>
        <v>0</v>
      </c>
      <c r="AS689" s="238"/>
      <c r="AT689" s="238"/>
      <c r="AU689" s="238"/>
      <c r="AV689" s="238"/>
      <c r="AW689" s="238"/>
      <c r="AX689" s="239"/>
      <c r="AY689" s="237">
        <f>COUNTIFS('Form Details'!$W:$W,"Paid/Reject",'Form Details'!$N:$N,"Pradeep",'Form Details'!$J:$J,$C689,'Form Details'!$D:$D,'Adv. Filter'!$A$14,'Form Details'!$D:$D,'Adv. Filter'!$B$14)</f>
        <v>0</v>
      </c>
      <c r="AZ689" s="238"/>
      <c r="BA689" s="238"/>
      <c r="BB689" s="238"/>
      <c r="BC689" s="238"/>
      <c r="BD689" s="238"/>
      <c r="BE689" s="239"/>
      <c r="BF689" s="237">
        <f>COUNTIFS('Form Details'!$W:$W,"Staff",'Form Details'!$N:$N,"Pradeep",'Form Details'!$J:$J,$C689,'Form Details'!$D:$D,'Adv. Filter'!$A$14,'Form Details'!$D:$D,'Adv. Filter'!$B$14)</f>
        <v>0</v>
      </c>
      <c r="BG689" s="238"/>
      <c r="BH689" s="238"/>
      <c r="BI689" s="238"/>
      <c r="BJ689" s="238"/>
      <c r="BK689" s="238"/>
      <c r="BL689" s="239"/>
      <c r="BM689" s="237">
        <f>COUNTIFS('Form Details'!$W:$W,"File in Office",'Form Details'!$N:$N,"Pradeep",'Form Details'!$J:$J,$C689,'Form Details'!$D:$D,'Adv. Filter'!$A$14,'Form Details'!$D:$D,'Adv. Filter'!$B$14)</f>
        <v>0</v>
      </c>
      <c r="BN689" s="238"/>
      <c r="BO689" s="238"/>
      <c r="BP689" s="238"/>
      <c r="BQ689" s="238"/>
      <c r="BR689" s="238"/>
      <c r="BS689" s="239"/>
      <c r="BT689" s="100"/>
      <c r="BU689" s="237">
        <f>COUNTIFS('Form Details'!$AA:$AA,"No",'Form Details'!$N:$N,"Pradeep",'Form Details'!$J:$J,$C689,'Form Details'!$D:$D,'Adv. Filter'!$A$14,'Form Details'!$D:$D,'Adv. Filter'!$B$14)</f>
        <v>0</v>
      </c>
      <c r="BV689" s="238"/>
      <c r="BW689" s="238"/>
      <c r="BX689" s="238"/>
      <c r="BY689" s="238"/>
      <c r="BZ689" s="238"/>
      <c r="CA689" s="239"/>
      <c r="CB689" s="237">
        <f>COUNTIFS('Form Details'!$W:$W,"Adv/Paid",'Form Details'!$N:$N,"Pradeep",'Form Details'!$J:$J,$C689,'Form Details'!$D:$D,'Adv. Filter'!$A$14,'Form Details'!$D:$D,'Adv. Filter'!$B$14)</f>
        <v>0</v>
      </c>
      <c r="CC689" s="238"/>
      <c r="CD689" s="238"/>
      <c r="CE689" s="238"/>
      <c r="CF689" s="238"/>
      <c r="CG689" s="238"/>
      <c r="CH689" s="239"/>
      <c r="CI689" s="237">
        <f>COUNTIFS('Form Details'!$W:$W,"Adv/Paid/Reject",'Form Details'!$N:$N,"Pradeep",'Form Details'!$J:$J,$C689,'Form Details'!$D:$D,'Adv. Filter'!$A$14,'Form Details'!$D:$D,'Adv. Filter'!$B$14)</f>
        <v>0</v>
      </c>
      <c r="CJ689" s="238"/>
      <c r="CK689" s="238"/>
      <c r="CL689" s="238"/>
      <c r="CM689" s="238"/>
      <c r="CN689" s="238"/>
      <c r="CO689" s="239"/>
      <c r="CP689" s="237">
        <f>COUNTIFS('Form Details'!$W:$W,"Reject",'Form Details'!$N:$N,"Pradeep",'Form Details'!$J:$J,$C689,'Form Details'!$D:$D,'Adv. Filter'!$A$14,'Form Details'!$D:$D,'Adv. Filter'!$B$14)</f>
        <v>0</v>
      </c>
      <c r="CQ689" s="238"/>
      <c r="CR689" s="238"/>
      <c r="CS689" s="238"/>
      <c r="CT689" s="238"/>
      <c r="CU689" s="238"/>
      <c r="CV689" s="239"/>
      <c r="CW689" s="237">
        <f>COUNTIFS('Form Details'!$W:$W,"Adv/Paid/Pending",'Form Details'!$N:$N,"Pradeep",'Form Details'!$J:$J,$C689,'Form Details'!$D:$D,'Adv. Filter'!$A$14,'Form Details'!$D:$D,'Adv. Filter'!$B$14)</f>
        <v>0</v>
      </c>
      <c r="CX689" s="238"/>
      <c r="CY689" s="238"/>
      <c r="CZ689" s="238"/>
      <c r="DA689" s="238"/>
      <c r="DB689" s="238"/>
      <c r="DC689" s="239"/>
      <c r="DD689" s="237">
        <f>COUNTIFS('Form Details'!$W:$W,"Pending",'Form Details'!$N:$N,"Pradeep",'Form Details'!$J:$J,$C689,'Form Details'!$D:$D,'Adv. Filter'!$A$14,'Form Details'!$D:$D,'Adv. Filter'!$B$14)</f>
        <v>0</v>
      </c>
      <c r="DE689" s="238"/>
      <c r="DF689" s="238"/>
      <c r="DG689" s="238"/>
      <c r="DH689" s="238"/>
      <c r="DI689" s="238"/>
      <c r="DJ689" s="239"/>
      <c r="DK689" s="237">
        <f>COUNTIFS('Form Details'!$W:$W,"Adv/Paid/NoStatus",'Form Details'!$N:$N,"Pradeep",'Form Details'!$J:$J,$C689,'Form Details'!$D:$D,'Adv. Filter'!$A$14,'Form Details'!$D:$D,'Adv. Filter'!$B$14)</f>
        <v>0</v>
      </c>
      <c r="DL689" s="238"/>
      <c r="DM689" s="238"/>
      <c r="DN689" s="238"/>
      <c r="DO689" s="238"/>
      <c r="DP689" s="238"/>
      <c r="DQ689" s="239"/>
      <c r="DR689" s="237">
        <f>COUNTIFS('Form Details'!$W:$W,"No Status",'Form Details'!$N:$N,"Pradeep",'Form Details'!$J:$J,$C689,'Form Details'!$D:$D,'Adv. Filter'!$A$14,'Form Details'!$D:$D,'Adv. Filter'!$B$14)</f>
        <v>0</v>
      </c>
      <c r="DS689" s="238"/>
      <c r="DT689" s="238"/>
      <c r="DU689" s="238"/>
      <c r="DV689" s="238"/>
      <c r="DW689" s="238"/>
      <c r="DX689" s="239"/>
      <c r="DY689" s="237">
        <f>SUM(COUNTIFS('Form Details'!$W:$W,{"Wrong Entry ","Double Entry"},'Form Details'!$N:$N,"Pradeep",'Form Details'!$J:$J,$C689,'Form Details'!$D:$D,'Adv. Filter'!$A$14,'Form Details'!$D:$D,'Adv. Filter'!$B$14))</f>
        <v>0</v>
      </c>
      <c r="DZ689" s="238"/>
      <c r="EA689" s="238"/>
      <c r="EB689" s="238"/>
      <c r="EC689" s="238"/>
      <c r="ED689" s="238"/>
      <c r="EE689" s="239"/>
    </row>
    <row r="690" spans="3:135" hidden="1">
      <c r="C690" s="248" t="s">
        <v>49</v>
      </c>
      <c r="D690" s="249"/>
      <c r="E690" s="249"/>
      <c r="F690" s="249"/>
      <c r="G690" s="249"/>
      <c r="H690" s="249"/>
      <c r="I690" s="249"/>
      <c r="J690" s="249"/>
      <c r="K690" s="249"/>
      <c r="L690" s="249"/>
      <c r="M690" s="249"/>
      <c r="N690" s="249"/>
      <c r="O690" s="237">
        <f>SUM(COUNTIFS('Form Details'!$AA:$AA,{"Yes","No","-"},'Form Details'!$N:$N,"Pradeep",'Form Details'!$J:$J,$C690,'Form Details'!$D:$D,'Adv. Filter'!$A$14,'Form Details'!$D:$D,'Adv. Filter'!$B$14))</f>
        <v>25</v>
      </c>
      <c r="P690" s="238"/>
      <c r="Q690" s="238"/>
      <c r="R690" s="238"/>
      <c r="S690" s="238"/>
      <c r="T690" s="238"/>
      <c r="U690" s="239"/>
      <c r="V690" s="100"/>
      <c r="W690" s="237">
        <f>COUNTIFS('Form Details'!$AA:$AA,"Yes",'Form Details'!$N:$N,"Pradeep",'Form Details'!$J:$J,$C690,'Form Details'!$D:$D,'Adv. Filter'!$A$14,'Form Details'!$D:$D,'Adv. Filter'!$B$14)</f>
        <v>23</v>
      </c>
      <c r="X690" s="238"/>
      <c r="Y690" s="238"/>
      <c r="Z690" s="238"/>
      <c r="AA690" s="238"/>
      <c r="AB690" s="238"/>
      <c r="AC690" s="239"/>
      <c r="AD690" s="237">
        <f>COUNTIFS('Form Details'!$W:$W,"Paid",'Form Details'!$N:$N,"Pradeep",'Form Details'!$J:$J,$C690,'Form Details'!$D:$D,'Adv. Filter'!$A$14,'Form Details'!$D:$D,'Adv. Filter'!$B$14)</f>
        <v>20</v>
      </c>
      <c r="AE690" s="238"/>
      <c r="AF690" s="238"/>
      <c r="AG690" s="238"/>
      <c r="AH690" s="238"/>
      <c r="AI690" s="238"/>
      <c r="AJ690" s="239"/>
      <c r="AK690" s="237">
        <f>COUNTIFS('Form Details'!$W:$W,"Due",'Form Details'!$N:$N,"Pradeep",'Form Details'!$J:$J,$C690,'Form Details'!$D:$D,'Adv. Filter'!$A$14,'Form Details'!$D:$D,'Adv. Filter'!$B$14)</f>
        <v>3</v>
      </c>
      <c r="AL690" s="238"/>
      <c r="AM690" s="238"/>
      <c r="AN690" s="238"/>
      <c r="AO690" s="238"/>
      <c r="AP690" s="238"/>
      <c r="AQ690" s="239"/>
      <c r="AR690" s="237">
        <f>COUNTIFS('Form Details'!$W:$W,"No Fee",'Form Details'!$N:$N,"Pradeep",'Form Details'!$J:$J,$C690,'Form Details'!$D:$D,'Adv. Filter'!$A$14,'Form Details'!$D:$D,'Adv. Filter'!$B$14)</f>
        <v>0</v>
      </c>
      <c r="AS690" s="238"/>
      <c r="AT690" s="238"/>
      <c r="AU690" s="238"/>
      <c r="AV690" s="238"/>
      <c r="AW690" s="238"/>
      <c r="AX690" s="239"/>
      <c r="AY690" s="237">
        <f>COUNTIFS('Form Details'!$W:$W,"Paid/Reject",'Form Details'!$N:$N,"Pradeep",'Form Details'!$J:$J,$C690,'Form Details'!$D:$D,'Adv. Filter'!$A$14,'Form Details'!$D:$D,'Adv. Filter'!$B$14)</f>
        <v>0</v>
      </c>
      <c r="AZ690" s="238"/>
      <c r="BA690" s="238"/>
      <c r="BB690" s="238"/>
      <c r="BC690" s="238"/>
      <c r="BD690" s="238"/>
      <c r="BE690" s="239"/>
      <c r="BF690" s="237">
        <f>COUNTIFS('Form Details'!$W:$W,"Staff",'Form Details'!$N:$N,"Pradeep",'Form Details'!$J:$J,$C690,'Form Details'!$D:$D,'Adv. Filter'!$A$14,'Form Details'!$D:$D,'Adv. Filter'!$B$14)</f>
        <v>0</v>
      </c>
      <c r="BG690" s="238"/>
      <c r="BH690" s="238"/>
      <c r="BI690" s="238"/>
      <c r="BJ690" s="238"/>
      <c r="BK690" s="238"/>
      <c r="BL690" s="239"/>
      <c r="BM690" s="237">
        <f>COUNTIFS('Form Details'!$W:$W,"File in Office",'Form Details'!$N:$N,"Pradeep",'Form Details'!$J:$J,$C690,'Form Details'!$D:$D,'Adv. Filter'!$A$14,'Form Details'!$D:$D,'Adv. Filter'!$B$14)</f>
        <v>0</v>
      </c>
      <c r="BN690" s="238"/>
      <c r="BO690" s="238"/>
      <c r="BP690" s="238"/>
      <c r="BQ690" s="238"/>
      <c r="BR690" s="238"/>
      <c r="BS690" s="239"/>
      <c r="BT690" s="100"/>
      <c r="BU690" s="237">
        <f>COUNTIFS('Form Details'!$AA:$AA,"No",'Form Details'!$N:$N,"Pradeep",'Form Details'!$J:$J,$C690,'Form Details'!$D:$D,'Adv. Filter'!$A$14,'Form Details'!$D:$D,'Adv. Filter'!$B$14)</f>
        <v>2</v>
      </c>
      <c r="BV690" s="238"/>
      <c r="BW690" s="238"/>
      <c r="BX690" s="238"/>
      <c r="BY690" s="238"/>
      <c r="BZ690" s="238"/>
      <c r="CA690" s="239"/>
      <c r="CB690" s="237">
        <f>COUNTIFS('Form Details'!$W:$W,"Adv/Paid",'Form Details'!$N:$N,"Pradeep",'Form Details'!$J:$J,$C690,'Form Details'!$D:$D,'Adv. Filter'!$A$14,'Form Details'!$D:$D,'Adv. Filter'!$B$14)</f>
        <v>0</v>
      </c>
      <c r="CC690" s="238"/>
      <c r="CD690" s="238"/>
      <c r="CE690" s="238"/>
      <c r="CF690" s="238"/>
      <c r="CG690" s="238"/>
      <c r="CH690" s="239"/>
      <c r="CI690" s="237">
        <f>COUNTIFS('Form Details'!$W:$W,"Adv/Paid/Reject",'Form Details'!$N:$N,"Pradeep",'Form Details'!$J:$J,$C690,'Form Details'!$D:$D,'Adv. Filter'!$A$14,'Form Details'!$D:$D,'Adv. Filter'!$B$14)</f>
        <v>0</v>
      </c>
      <c r="CJ690" s="238"/>
      <c r="CK690" s="238"/>
      <c r="CL690" s="238"/>
      <c r="CM690" s="238"/>
      <c r="CN690" s="238"/>
      <c r="CO690" s="239"/>
      <c r="CP690" s="237">
        <f>COUNTIFS('Form Details'!$W:$W,"Reject",'Form Details'!$N:$N,"Pradeep",'Form Details'!$J:$J,$C690,'Form Details'!$D:$D,'Adv. Filter'!$A$14,'Form Details'!$D:$D,'Adv. Filter'!$B$14)</f>
        <v>0</v>
      </c>
      <c r="CQ690" s="238"/>
      <c r="CR690" s="238"/>
      <c r="CS690" s="238"/>
      <c r="CT690" s="238"/>
      <c r="CU690" s="238"/>
      <c r="CV690" s="239"/>
      <c r="CW690" s="237">
        <f>COUNTIFS('Form Details'!$W:$W,"Adv/Paid/Pending",'Form Details'!$N:$N,"Pradeep",'Form Details'!$J:$J,$C690,'Form Details'!$D:$D,'Adv. Filter'!$A$14,'Form Details'!$D:$D,'Adv. Filter'!$B$14)</f>
        <v>0</v>
      </c>
      <c r="CX690" s="238"/>
      <c r="CY690" s="238"/>
      <c r="CZ690" s="238"/>
      <c r="DA690" s="238"/>
      <c r="DB690" s="238"/>
      <c r="DC690" s="239"/>
      <c r="DD690" s="237">
        <f>COUNTIFS('Form Details'!$W:$W,"Pending",'Form Details'!$N:$N,"Pradeep",'Form Details'!$J:$J,$C690,'Form Details'!$D:$D,'Adv. Filter'!$A$14,'Form Details'!$D:$D,'Adv. Filter'!$B$14)</f>
        <v>0</v>
      </c>
      <c r="DE690" s="238"/>
      <c r="DF690" s="238"/>
      <c r="DG690" s="238"/>
      <c r="DH690" s="238"/>
      <c r="DI690" s="238"/>
      <c r="DJ690" s="239"/>
      <c r="DK690" s="237">
        <f>COUNTIFS('Form Details'!$W:$W,"Adv/Paid/NoStatus",'Form Details'!$N:$N,"Pradeep",'Form Details'!$J:$J,$C690,'Form Details'!$D:$D,'Adv. Filter'!$A$14,'Form Details'!$D:$D,'Adv. Filter'!$B$14)</f>
        <v>0</v>
      </c>
      <c r="DL690" s="238"/>
      <c r="DM690" s="238"/>
      <c r="DN690" s="238"/>
      <c r="DO690" s="238"/>
      <c r="DP690" s="238"/>
      <c r="DQ690" s="239"/>
      <c r="DR690" s="237">
        <f>COUNTIFS('Form Details'!$W:$W,"No Status",'Form Details'!$N:$N,"Pradeep",'Form Details'!$J:$J,$C690,'Form Details'!$D:$D,'Adv. Filter'!$A$14,'Form Details'!$D:$D,'Adv. Filter'!$B$14)</f>
        <v>2</v>
      </c>
      <c r="DS690" s="238"/>
      <c r="DT690" s="238"/>
      <c r="DU690" s="238"/>
      <c r="DV690" s="238"/>
      <c r="DW690" s="238"/>
      <c r="DX690" s="239"/>
      <c r="DY690" s="237">
        <f>SUM(COUNTIFS('Form Details'!$W:$W,{"Wrong Entry ","Double Entry"},'Form Details'!$N:$N,"Pradeep",'Form Details'!$J:$J,$C690,'Form Details'!$D:$D,'Adv. Filter'!$A$14,'Form Details'!$D:$D,'Adv. Filter'!$B$14))</f>
        <v>0</v>
      </c>
      <c r="DZ690" s="238"/>
      <c r="EA690" s="238"/>
      <c r="EB690" s="238"/>
      <c r="EC690" s="238"/>
      <c r="ED690" s="238"/>
      <c r="EE690" s="239"/>
    </row>
    <row r="691" spans="3:135" hidden="1">
      <c r="C691" s="248" t="s">
        <v>59</v>
      </c>
      <c r="D691" s="249"/>
      <c r="E691" s="249"/>
      <c r="F691" s="249"/>
      <c r="G691" s="249"/>
      <c r="H691" s="249"/>
      <c r="I691" s="249"/>
      <c r="J691" s="249"/>
      <c r="K691" s="249"/>
      <c r="L691" s="249"/>
      <c r="M691" s="249"/>
      <c r="N691" s="249"/>
      <c r="O691" s="237">
        <f>SUM(COUNTIFS('Form Details'!$AA:$AA,{"Yes","No","-"},'Form Details'!$N:$N,"Pradeep",'Form Details'!$J:$J,$C691,'Form Details'!$D:$D,'Adv. Filter'!$A$14,'Form Details'!$D:$D,'Adv. Filter'!$B$14))</f>
        <v>0</v>
      </c>
      <c r="P691" s="238"/>
      <c r="Q691" s="238"/>
      <c r="R691" s="238"/>
      <c r="S691" s="238"/>
      <c r="T691" s="238"/>
      <c r="U691" s="239"/>
      <c r="V691" s="100"/>
      <c r="W691" s="237">
        <f>COUNTIFS('Form Details'!$AA:$AA,"Yes",'Form Details'!$N:$N,"Pradeep",'Form Details'!$J:$J,$C691,'Form Details'!$D:$D,'Adv. Filter'!$A$14,'Form Details'!$D:$D,'Adv. Filter'!$B$14)</f>
        <v>0</v>
      </c>
      <c r="X691" s="238"/>
      <c r="Y691" s="238"/>
      <c r="Z691" s="238"/>
      <c r="AA691" s="238"/>
      <c r="AB691" s="238"/>
      <c r="AC691" s="239"/>
      <c r="AD691" s="237">
        <f>COUNTIFS('Form Details'!$W:$W,"Paid",'Form Details'!$N:$N,"Pradeep",'Form Details'!$J:$J,$C691,'Form Details'!$D:$D,'Adv. Filter'!$A$14,'Form Details'!$D:$D,'Adv. Filter'!$B$14)</f>
        <v>0</v>
      </c>
      <c r="AE691" s="238"/>
      <c r="AF691" s="238"/>
      <c r="AG691" s="238"/>
      <c r="AH691" s="238"/>
      <c r="AI691" s="238"/>
      <c r="AJ691" s="239"/>
      <c r="AK691" s="237">
        <f>COUNTIFS('Form Details'!$W:$W,"Due",'Form Details'!$N:$N,"Pradeep",'Form Details'!$J:$J,$C691,'Form Details'!$D:$D,'Adv. Filter'!$A$14,'Form Details'!$D:$D,'Adv. Filter'!$B$14)</f>
        <v>0</v>
      </c>
      <c r="AL691" s="238"/>
      <c r="AM691" s="238"/>
      <c r="AN691" s="238"/>
      <c r="AO691" s="238"/>
      <c r="AP691" s="238"/>
      <c r="AQ691" s="239"/>
      <c r="AR691" s="237">
        <f>COUNTIFS('Form Details'!$W:$W,"No Fee",'Form Details'!$N:$N,"Pradeep",'Form Details'!$J:$J,$C691,'Form Details'!$D:$D,'Adv. Filter'!$A$14,'Form Details'!$D:$D,'Adv. Filter'!$B$14)</f>
        <v>0</v>
      </c>
      <c r="AS691" s="238"/>
      <c r="AT691" s="238"/>
      <c r="AU691" s="238"/>
      <c r="AV691" s="238"/>
      <c r="AW691" s="238"/>
      <c r="AX691" s="239"/>
      <c r="AY691" s="237">
        <f>COUNTIFS('Form Details'!$W:$W,"Paid/Reject",'Form Details'!$N:$N,"Pradeep",'Form Details'!$J:$J,$C691,'Form Details'!$D:$D,'Adv. Filter'!$A$14,'Form Details'!$D:$D,'Adv. Filter'!$B$14)</f>
        <v>0</v>
      </c>
      <c r="AZ691" s="238"/>
      <c r="BA691" s="238"/>
      <c r="BB691" s="238"/>
      <c r="BC691" s="238"/>
      <c r="BD691" s="238"/>
      <c r="BE691" s="239"/>
      <c r="BF691" s="237">
        <f>COUNTIFS('Form Details'!$W:$W,"Staff",'Form Details'!$N:$N,"Pradeep",'Form Details'!$J:$J,$C691,'Form Details'!$D:$D,'Adv. Filter'!$A$14,'Form Details'!$D:$D,'Adv. Filter'!$B$14)</f>
        <v>0</v>
      </c>
      <c r="BG691" s="238"/>
      <c r="BH691" s="238"/>
      <c r="BI691" s="238"/>
      <c r="BJ691" s="238"/>
      <c r="BK691" s="238"/>
      <c r="BL691" s="239"/>
      <c r="BM691" s="237">
        <f>COUNTIFS('Form Details'!$W:$W,"File in Office",'Form Details'!$N:$N,"Pradeep",'Form Details'!$J:$J,$C691,'Form Details'!$D:$D,'Adv. Filter'!$A$14,'Form Details'!$D:$D,'Adv. Filter'!$B$14)</f>
        <v>0</v>
      </c>
      <c r="BN691" s="238"/>
      <c r="BO691" s="238"/>
      <c r="BP691" s="238"/>
      <c r="BQ691" s="238"/>
      <c r="BR691" s="238"/>
      <c r="BS691" s="239"/>
      <c r="BT691" s="100"/>
      <c r="BU691" s="237">
        <f>COUNTIFS('Form Details'!$AA:$AA,"No",'Form Details'!$N:$N,"Pradeep",'Form Details'!$J:$J,$C691,'Form Details'!$D:$D,'Adv. Filter'!$A$14,'Form Details'!$D:$D,'Adv. Filter'!$B$14)</f>
        <v>0</v>
      </c>
      <c r="BV691" s="238"/>
      <c r="BW691" s="238"/>
      <c r="BX691" s="238"/>
      <c r="BY691" s="238"/>
      <c r="BZ691" s="238"/>
      <c r="CA691" s="239"/>
      <c r="CB691" s="237">
        <f>COUNTIFS('Form Details'!$W:$W,"Adv/Paid",'Form Details'!$N:$N,"Pradeep",'Form Details'!$J:$J,$C691,'Form Details'!$D:$D,'Adv. Filter'!$A$14,'Form Details'!$D:$D,'Adv. Filter'!$B$14)</f>
        <v>0</v>
      </c>
      <c r="CC691" s="238"/>
      <c r="CD691" s="238"/>
      <c r="CE691" s="238"/>
      <c r="CF691" s="238"/>
      <c r="CG691" s="238"/>
      <c r="CH691" s="239"/>
      <c r="CI691" s="237">
        <f>COUNTIFS('Form Details'!$W:$W,"Adv/Paid/Reject",'Form Details'!$N:$N,"Pradeep",'Form Details'!$J:$J,$C691,'Form Details'!$D:$D,'Adv. Filter'!$A$14,'Form Details'!$D:$D,'Adv. Filter'!$B$14)</f>
        <v>0</v>
      </c>
      <c r="CJ691" s="238"/>
      <c r="CK691" s="238"/>
      <c r="CL691" s="238"/>
      <c r="CM691" s="238"/>
      <c r="CN691" s="238"/>
      <c r="CO691" s="239"/>
      <c r="CP691" s="237">
        <f>COUNTIFS('Form Details'!$W:$W,"Reject",'Form Details'!$N:$N,"Pradeep",'Form Details'!$J:$J,$C691,'Form Details'!$D:$D,'Adv. Filter'!$A$14,'Form Details'!$D:$D,'Adv. Filter'!$B$14)</f>
        <v>0</v>
      </c>
      <c r="CQ691" s="238"/>
      <c r="CR691" s="238"/>
      <c r="CS691" s="238"/>
      <c r="CT691" s="238"/>
      <c r="CU691" s="238"/>
      <c r="CV691" s="239"/>
      <c r="CW691" s="237">
        <f>COUNTIFS('Form Details'!$W:$W,"Adv/Paid/Pending",'Form Details'!$N:$N,"Pradeep",'Form Details'!$J:$J,$C691,'Form Details'!$D:$D,'Adv. Filter'!$A$14,'Form Details'!$D:$D,'Adv. Filter'!$B$14)</f>
        <v>0</v>
      </c>
      <c r="CX691" s="238"/>
      <c r="CY691" s="238"/>
      <c r="CZ691" s="238"/>
      <c r="DA691" s="238"/>
      <c r="DB691" s="238"/>
      <c r="DC691" s="239"/>
      <c r="DD691" s="237">
        <f>COUNTIFS('Form Details'!$W:$W,"Pending",'Form Details'!$N:$N,"Pradeep",'Form Details'!$J:$J,$C691,'Form Details'!$D:$D,'Adv. Filter'!$A$14,'Form Details'!$D:$D,'Adv. Filter'!$B$14)</f>
        <v>0</v>
      </c>
      <c r="DE691" s="238"/>
      <c r="DF691" s="238"/>
      <c r="DG691" s="238"/>
      <c r="DH691" s="238"/>
      <c r="DI691" s="238"/>
      <c r="DJ691" s="239"/>
      <c r="DK691" s="237">
        <f>COUNTIFS('Form Details'!$W:$W,"Adv/Paid/NoStatus",'Form Details'!$N:$N,"Pradeep",'Form Details'!$J:$J,$C691,'Form Details'!$D:$D,'Adv. Filter'!$A$14,'Form Details'!$D:$D,'Adv. Filter'!$B$14)</f>
        <v>0</v>
      </c>
      <c r="DL691" s="238"/>
      <c r="DM691" s="238"/>
      <c r="DN691" s="238"/>
      <c r="DO691" s="238"/>
      <c r="DP691" s="238"/>
      <c r="DQ691" s="239"/>
      <c r="DR691" s="237">
        <f>COUNTIFS('Form Details'!$W:$W,"No Status",'Form Details'!$N:$N,"Pradeep",'Form Details'!$J:$J,$C691,'Form Details'!$D:$D,'Adv. Filter'!$A$14,'Form Details'!$D:$D,'Adv. Filter'!$B$14)</f>
        <v>0</v>
      </c>
      <c r="DS691" s="238"/>
      <c r="DT691" s="238"/>
      <c r="DU691" s="238"/>
      <c r="DV691" s="238"/>
      <c r="DW691" s="238"/>
      <c r="DX691" s="239"/>
      <c r="DY691" s="237">
        <f>SUM(COUNTIFS('Form Details'!$W:$W,{"Wrong Entry ","Double Entry"},'Form Details'!$N:$N,"Pradeep",'Form Details'!$J:$J,$C691,'Form Details'!$D:$D,'Adv. Filter'!$A$14,'Form Details'!$D:$D,'Adv. Filter'!$B$14))</f>
        <v>0</v>
      </c>
      <c r="DZ691" s="238"/>
      <c r="EA691" s="238"/>
      <c r="EB691" s="238"/>
      <c r="EC691" s="238"/>
      <c r="ED691" s="238"/>
      <c r="EE691" s="239"/>
    </row>
    <row r="692" spans="3:135" hidden="1">
      <c r="C692" s="248" t="s">
        <v>70</v>
      </c>
      <c r="D692" s="249"/>
      <c r="E692" s="249"/>
      <c r="F692" s="249"/>
      <c r="G692" s="249"/>
      <c r="H692" s="249"/>
      <c r="I692" s="249"/>
      <c r="J692" s="249"/>
      <c r="K692" s="249"/>
      <c r="L692" s="249"/>
      <c r="M692" s="249"/>
      <c r="N692" s="249"/>
      <c r="O692" s="237">
        <f>SUM(COUNTIFS('Form Details'!$AA:$AA,{"Yes","No","-"},'Form Details'!$N:$N,"Pradeep",'Form Details'!$J:$J,$C692,'Form Details'!$D:$D,'Adv. Filter'!$A$14,'Form Details'!$D:$D,'Adv. Filter'!$B$14))</f>
        <v>0</v>
      </c>
      <c r="P692" s="238"/>
      <c r="Q692" s="238"/>
      <c r="R692" s="238"/>
      <c r="S692" s="238"/>
      <c r="T692" s="238"/>
      <c r="U692" s="239"/>
      <c r="V692" s="100"/>
      <c r="W692" s="237">
        <f>COUNTIFS('Form Details'!$AA:$AA,"Yes",'Form Details'!$N:$N,"Pradeep",'Form Details'!$J:$J,$C692,'Form Details'!$D:$D,'Adv. Filter'!$A$14,'Form Details'!$D:$D,'Adv. Filter'!$B$14)</f>
        <v>0</v>
      </c>
      <c r="X692" s="238"/>
      <c r="Y692" s="238"/>
      <c r="Z692" s="238"/>
      <c r="AA692" s="238"/>
      <c r="AB692" s="238"/>
      <c r="AC692" s="239"/>
      <c r="AD692" s="237">
        <f>COUNTIFS('Form Details'!$W:$W,"Paid",'Form Details'!$N:$N,"Pradeep",'Form Details'!$J:$J,$C692,'Form Details'!$D:$D,'Adv. Filter'!$A$14,'Form Details'!$D:$D,'Adv. Filter'!$B$14)</f>
        <v>0</v>
      </c>
      <c r="AE692" s="238"/>
      <c r="AF692" s="238"/>
      <c r="AG692" s="238"/>
      <c r="AH692" s="238"/>
      <c r="AI692" s="238"/>
      <c r="AJ692" s="239"/>
      <c r="AK692" s="237">
        <f>COUNTIFS('Form Details'!$W:$W,"Due",'Form Details'!$N:$N,"Pradeep",'Form Details'!$J:$J,$C692,'Form Details'!$D:$D,'Adv. Filter'!$A$14,'Form Details'!$D:$D,'Adv. Filter'!$B$14)</f>
        <v>0</v>
      </c>
      <c r="AL692" s="238"/>
      <c r="AM692" s="238"/>
      <c r="AN692" s="238"/>
      <c r="AO692" s="238"/>
      <c r="AP692" s="238"/>
      <c r="AQ692" s="239"/>
      <c r="AR692" s="237">
        <f>COUNTIFS('Form Details'!$W:$W,"No Fee",'Form Details'!$N:$N,"Pradeep",'Form Details'!$J:$J,$C692,'Form Details'!$D:$D,'Adv. Filter'!$A$14,'Form Details'!$D:$D,'Adv. Filter'!$B$14)</f>
        <v>0</v>
      </c>
      <c r="AS692" s="238"/>
      <c r="AT692" s="238"/>
      <c r="AU692" s="238"/>
      <c r="AV692" s="238"/>
      <c r="AW692" s="238"/>
      <c r="AX692" s="239"/>
      <c r="AY692" s="237">
        <f>COUNTIFS('Form Details'!$W:$W,"Paid/Reject",'Form Details'!$N:$N,"Pradeep",'Form Details'!$J:$J,$C692,'Form Details'!$D:$D,'Adv. Filter'!$A$14,'Form Details'!$D:$D,'Adv. Filter'!$B$14)</f>
        <v>0</v>
      </c>
      <c r="AZ692" s="238"/>
      <c r="BA692" s="238"/>
      <c r="BB692" s="238"/>
      <c r="BC692" s="238"/>
      <c r="BD692" s="238"/>
      <c r="BE692" s="239"/>
      <c r="BF692" s="237">
        <f>COUNTIFS('Form Details'!$W:$W,"Staff",'Form Details'!$N:$N,"Pradeep",'Form Details'!$J:$J,$C692,'Form Details'!$D:$D,'Adv. Filter'!$A$14,'Form Details'!$D:$D,'Adv. Filter'!$B$14)</f>
        <v>0</v>
      </c>
      <c r="BG692" s="238"/>
      <c r="BH692" s="238"/>
      <c r="BI692" s="238"/>
      <c r="BJ692" s="238"/>
      <c r="BK692" s="238"/>
      <c r="BL692" s="239"/>
      <c r="BM692" s="237">
        <f>COUNTIFS('Form Details'!$W:$W,"File in Office",'Form Details'!$N:$N,"Pradeep",'Form Details'!$J:$J,$C692,'Form Details'!$D:$D,'Adv. Filter'!$A$14,'Form Details'!$D:$D,'Adv. Filter'!$B$14)</f>
        <v>0</v>
      </c>
      <c r="BN692" s="238"/>
      <c r="BO692" s="238"/>
      <c r="BP692" s="238"/>
      <c r="BQ692" s="238"/>
      <c r="BR692" s="238"/>
      <c r="BS692" s="239"/>
      <c r="BT692" s="100"/>
      <c r="BU692" s="237">
        <f>COUNTIFS('Form Details'!$AA:$AA,"No",'Form Details'!$N:$N,"Pradeep",'Form Details'!$J:$J,$C692,'Form Details'!$D:$D,'Adv. Filter'!$A$14,'Form Details'!$D:$D,'Adv. Filter'!$B$14)</f>
        <v>0</v>
      </c>
      <c r="BV692" s="238"/>
      <c r="BW692" s="238"/>
      <c r="BX692" s="238"/>
      <c r="BY692" s="238"/>
      <c r="BZ692" s="238"/>
      <c r="CA692" s="239"/>
      <c r="CB692" s="237">
        <f>COUNTIFS('Form Details'!$W:$W,"Adv/Paid",'Form Details'!$N:$N,"Pradeep",'Form Details'!$J:$J,$C692,'Form Details'!$D:$D,'Adv. Filter'!$A$14,'Form Details'!$D:$D,'Adv. Filter'!$B$14)</f>
        <v>0</v>
      </c>
      <c r="CC692" s="238"/>
      <c r="CD692" s="238"/>
      <c r="CE692" s="238"/>
      <c r="CF692" s="238"/>
      <c r="CG692" s="238"/>
      <c r="CH692" s="239"/>
      <c r="CI692" s="237">
        <f>COUNTIFS('Form Details'!$W:$W,"Adv/Paid/Reject",'Form Details'!$N:$N,"Pradeep",'Form Details'!$J:$J,$C692,'Form Details'!$D:$D,'Adv. Filter'!$A$14,'Form Details'!$D:$D,'Adv. Filter'!$B$14)</f>
        <v>0</v>
      </c>
      <c r="CJ692" s="238"/>
      <c r="CK692" s="238"/>
      <c r="CL692" s="238"/>
      <c r="CM692" s="238"/>
      <c r="CN692" s="238"/>
      <c r="CO692" s="239"/>
      <c r="CP692" s="237">
        <f>COUNTIFS('Form Details'!$W:$W,"Reject",'Form Details'!$N:$N,"Pradeep",'Form Details'!$J:$J,$C692,'Form Details'!$D:$D,'Adv. Filter'!$A$14,'Form Details'!$D:$D,'Adv. Filter'!$B$14)</f>
        <v>0</v>
      </c>
      <c r="CQ692" s="238"/>
      <c r="CR692" s="238"/>
      <c r="CS692" s="238"/>
      <c r="CT692" s="238"/>
      <c r="CU692" s="238"/>
      <c r="CV692" s="239"/>
      <c r="CW692" s="237">
        <f>COUNTIFS('Form Details'!$W:$W,"Adv/Paid/Pending",'Form Details'!$N:$N,"Pradeep",'Form Details'!$J:$J,$C692,'Form Details'!$D:$D,'Adv. Filter'!$A$14,'Form Details'!$D:$D,'Adv. Filter'!$B$14)</f>
        <v>0</v>
      </c>
      <c r="CX692" s="238"/>
      <c r="CY692" s="238"/>
      <c r="CZ692" s="238"/>
      <c r="DA692" s="238"/>
      <c r="DB692" s="238"/>
      <c r="DC692" s="239"/>
      <c r="DD692" s="237">
        <f>COUNTIFS('Form Details'!$W:$W,"Pending",'Form Details'!$N:$N,"Pradeep",'Form Details'!$J:$J,$C692,'Form Details'!$D:$D,'Adv. Filter'!$A$14,'Form Details'!$D:$D,'Adv. Filter'!$B$14)</f>
        <v>0</v>
      </c>
      <c r="DE692" s="238"/>
      <c r="DF692" s="238"/>
      <c r="DG692" s="238"/>
      <c r="DH692" s="238"/>
      <c r="DI692" s="238"/>
      <c r="DJ692" s="239"/>
      <c r="DK692" s="237">
        <f>COUNTIFS('Form Details'!$W:$W,"Adv/Paid/NoStatus",'Form Details'!$N:$N,"Pradeep",'Form Details'!$J:$J,$C692,'Form Details'!$D:$D,'Adv. Filter'!$A$14,'Form Details'!$D:$D,'Adv. Filter'!$B$14)</f>
        <v>0</v>
      </c>
      <c r="DL692" s="238"/>
      <c r="DM692" s="238"/>
      <c r="DN692" s="238"/>
      <c r="DO692" s="238"/>
      <c r="DP692" s="238"/>
      <c r="DQ692" s="239"/>
      <c r="DR692" s="237">
        <f>COUNTIFS('Form Details'!$W:$W,"No Status",'Form Details'!$N:$N,"Pradeep",'Form Details'!$J:$J,$C692,'Form Details'!$D:$D,'Adv. Filter'!$A$14,'Form Details'!$D:$D,'Adv. Filter'!$B$14)</f>
        <v>0</v>
      </c>
      <c r="DS692" s="238"/>
      <c r="DT692" s="238"/>
      <c r="DU692" s="238"/>
      <c r="DV692" s="238"/>
      <c r="DW692" s="238"/>
      <c r="DX692" s="239"/>
      <c r="DY692" s="237">
        <f>SUM(COUNTIFS('Form Details'!$W:$W,{"Wrong Entry ","Double Entry"},'Form Details'!$N:$N,"Pradeep",'Form Details'!$J:$J,$C692,'Form Details'!$D:$D,'Adv. Filter'!$A$14,'Form Details'!$D:$D,'Adv. Filter'!$B$14))</f>
        <v>0</v>
      </c>
      <c r="DZ692" s="238"/>
      <c r="EA692" s="238"/>
      <c r="EB692" s="238"/>
      <c r="EC692" s="238"/>
      <c r="ED692" s="238"/>
      <c r="EE692" s="239"/>
    </row>
    <row r="693" spans="3:135" hidden="1">
      <c r="C693" s="248" t="s">
        <v>77</v>
      </c>
      <c r="D693" s="249"/>
      <c r="E693" s="249"/>
      <c r="F693" s="249"/>
      <c r="G693" s="249"/>
      <c r="H693" s="249"/>
      <c r="I693" s="249"/>
      <c r="J693" s="249"/>
      <c r="K693" s="249"/>
      <c r="L693" s="249"/>
      <c r="M693" s="249"/>
      <c r="N693" s="249"/>
      <c r="O693" s="237">
        <f>SUM(COUNTIFS('Form Details'!$AA:$AA,{"Yes","No","-"},'Form Details'!$N:$N,"Pradeep",'Form Details'!$J:$J,$C693,'Form Details'!$D:$D,'Adv. Filter'!$A$14,'Form Details'!$D:$D,'Adv. Filter'!$B$14))</f>
        <v>0</v>
      </c>
      <c r="P693" s="238"/>
      <c r="Q693" s="238"/>
      <c r="R693" s="238"/>
      <c r="S693" s="238"/>
      <c r="T693" s="238"/>
      <c r="U693" s="239"/>
      <c r="V693" s="100"/>
      <c r="W693" s="237">
        <f>COUNTIFS('Form Details'!$AA:$AA,"Yes",'Form Details'!$N:$N,"Pradeep",'Form Details'!$J:$J,$C693,'Form Details'!$D:$D,'Adv. Filter'!$A$14,'Form Details'!$D:$D,'Adv. Filter'!$B$14)</f>
        <v>0</v>
      </c>
      <c r="X693" s="238"/>
      <c r="Y693" s="238"/>
      <c r="Z693" s="238"/>
      <c r="AA693" s="238"/>
      <c r="AB693" s="238"/>
      <c r="AC693" s="239"/>
      <c r="AD693" s="237">
        <f>COUNTIFS('Form Details'!$W:$W,"Paid",'Form Details'!$N:$N,"Pradeep",'Form Details'!$J:$J,$C693,'Form Details'!$D:$D,'Adv. Filter'!$A$14,'Form Details'!$D:$D,'Adv. Filter'!$B$14)</f>
        <v>0</v>
      </c>
      <c r="AE693" s="238"/>
      <c r="AF693" s="238"/>
      <c r="AG693" s="238"/>
      <c r="AH693" s="238"/>
      <c r="AI693" s="238"/>
      <c r="AJ693" s="239"/>
      <c r="AK693" s="237">
        <f>COUNTIFS('Form Details'!$W:$W,"Due",'Form Details'!$N:$N,"Pradeep",'Form Details'!$J:$J,$C693,'Form Details'!$D:$D,'Adv. Filter'!$A$14,'Form Details'!$D:$D,'Adv. Filter'!$B$14)</f>
        <v>0</v>
      </c>
      <c r="AL693" s="238"/>
      <c r="AM693" s="238"/>
      <c r="AN693" s="238"/>
      <c r="AO693" s="238"/>
      <c r="AP693" s="238"/>
      <c r="AQ693" s="239"/>
      <c r="AR693" s="237">
        <f>COUNTIFS('Form Details'!$W:$W,"No Fee",'Form Details'!$N:$N,"Pradeep",'Form Details'!$J:$J,$C693,'Form Details'!$D:$D,'Adv. Filter'!$A$14,'Form Details'!$D:$D,'Adv. Filter'!$B$14)</f>
        <v>0</v>
      </c>
      <c r="AS693" s="238"/>
      <c r="AT693" s="238"/>
      <c r="AU693" s="238"/>
      <c r="AV693" s="238"/>
      <c r="AW693" s="238"/>
      <c r="AX693" s="239"/>
      <c r="AY693" s="237">
        <f>COUNTIFS('Form Details'!$W:$W,"Paid/Reject",'Form Details'!$N:$N,"Pradeep",'Form Details'!$J:$J,$C693,'Form Details'!$D:$D,'Adv. Filter'!$A$14,'Form Details'!$D:$D,'Adv. Filter'!$B$14)</f>
        <v>0</v>
      </c>
      <c r="AZ693" s="238"/>
      <c r="BA693" s="238"/>
      <c r="BB693" s="238"/>
      <c r="BC693" s="238"/>
      <c r="BD693" s="238"/>
      <c r="BE693" s="239"/>
      <c r="BF693" s="237">
        <f>COUNTIFS('Form Details'!$W:$W,"Staff",'Form Details'!$N:$N,"Pradeep",'Form Details'!$J:$J,$C693,'Form Details'!$D:$D,'Adv. Filter'!$A$14,'Form Details'!$D:$D,'Adv. Filter'!$B$14)</f>
        <v>0</v>
      </c>
      <c r="BG693" s="238"/>
      <c r="BH693" s="238"/>
      <c r="BI693" s="238"/>
      <c r="BJ693" s="238"/>
      <c r="BK693" s="238"/>
      <c r="BL693" s="239"/>
      <c r="BM693" s="237">
        <f>COUNTIFS('Form Details'!$W:$W,"File in Office",'Form Details'!$N:$N,"Pradeep",'Form Details'!$J:$J,$C693,'Form Details'!$D:$D,'Adv. Filter'!$A$14,'Form Details'!$D:$D,'Adv. Filter'!$B$14)</f>
        <v>0</v>
      </c>
      <c r="BN693" s="238"/>
      <c r="BO693" s="238"/>
      <c r="BP693" s="238"/>
      <c r="BQ693" s="238"/>
      <c r="BR693" s="238"/>
      <c r="BS693" s="239"/>
      <c r="BT693" s="100"/>
      <c r="BU693" s="237">
        <f>COUNTIFS('Form Details'!$AA:$AA,"No",'Form Details'!$N:$N,"Pradeep",'Form Details'!$J:$J,$C693,'Form Details'!$D:$D,'Adv. Filter'!$A$14,'Form Details'!$D:$D,'Adv. Filter'!$B$14)</f>
        <v>0</v>
      </c>
      <c r="BV693" s="238"/>
      <c r="BW693" s="238"/>
      <c r="BX693" s="238"/>
      <c r="BY693" s="238"/>
      <c r="BZ693" s="238"/>
      <c r="CA693" s="239"/>
      <c r="CB693" s="237">
        <f>COUNTIFS('Form Details'!$W:$W,"Adv/Paid",'Form Details'!$N:$N,"Pradeep",'Form Details'!$J:$J,$C693,'Form Details'!$D:$D,'Adv. Filter'!$A$14,'Form Details'!$D:$D,'Adv. Filter'!$B$14)</f>
        <v>0</v>
      </c>
      <c r="CC693" s="238"/>
      <c r="CD693" s="238"/>
      <c r="CE693" s="238"/>
      <c r="CF693" s="238"/>
      <c r="CG693" s="238"/>
      <c r="CH693" s="239"/>
      <c r="CI693" s="237">
        <f>COUNTIFS('Form Details'!$W:$W,"Adv/Paid/Reject",'Form Details'!$N:$N,"Pradeep",'Form Details'!$J:$J,$C693,'Form Details'!$D:$D,'Adv. Filter'!$A$14,'Form Details'!$D:$D,'Adv. Filter'!$B$14)</f>
        <v>0</v>
      </c>
      <c r="CJ693" s="238"/>
      <c r="CK693" s="238"/>
      <c r="CL693" s="238"/>
      <c r="CM693" s="238"/>
      <c r="CN693" s="238"/>
      <c r="CO693" s="239"/>
      <c r="CP693" s="237">
        <f>COUNTIFS('Form Details'!$W:$W,"Reject",'Form Details'!$N:$N,"Pradeep",'Form Details'!$J:$J,$C693,'Form Details'!$D:$D,'Adv. Filter'!$A$14,'Form Details'!$D:$D,'Adv. Filter'!$B$14)</f>
        <v>0</v>
      </c>
      <c r="CQ693" s="238"/>
      <c r="CR693" s="238"/>
      <c r="CS693" s="238"/>
      <c r="CT693" s="238"/>
      <c r="CU693" s="238"/>
      <c r="CV693" s="239"/>
      <c r="CW693" s="237">
        <f>COUNTIFS('Form Details'!$W:$W,"Adv/Paid/Pending",'Form Details'!$N:$N,"Pradeep",'Form Details'!$J:$J,$C693,'Form Details'!$D:$D,'Adv. Filter'!$A$14,'Form Details'!$D:$D,'Adv. Filter'!$B$14)</f>
        <v>0</v>
      </c>
      <c r="CX693" s="238"/>
      <c r="CY693" s="238"/>
      <c r="CZ693" s="238"/>
      <c r="DA693" s="238"/>
      <c r="DB693" s="238"/>
      <c r="DC693" s="239"/>
      <c r="DD693" s="237">
        <f>COUNTIFS('Form Details'!$W:$W,"Pending",'Form Details'!$N:$N,"Pradeep",'Form Details'!$J:$J,$C693,'Form Details'!$D:$D,'Adv. Filter'!$A$14,'Form Details'!$D:$D,'Adv. Filter'!$B$14)</f>
        <v>0</v>
      </c>
      <c r="DE693" s="238"/>
      <c r="DF693" s="238"/>
      <c r="DG693" s="238"/>
      <c r="DH693" s="238"/>
      <c r="DI693" s="238"/>
      <c r="DJ693" s="239"/>
      <c r="DK693" s="237">
        <f>COUNTIFS('Form Details'!$W:$W,"Adv/Paid/NoStatus",'Form Details'!$N:$N,"Pradeep",'Form Details'!$J:$J,$C693,'Form Details'!$D:$D,'Adv. Filter'!$A$14,'Form Details'!$D:$D,'Adv. Filter'!$B$14)</f>
        <v>0</v>
      </c>
      <c r="DL693" s="238"/>
      <c r="DM693" s="238"/>
      <c r="DN693" s="238"/>
      <c r="DO693" s="238"/>
      <c r="DP693" s="238"/>
      <c r="DQ693" s="239"/>
      <c r="DR693" s="237">
        <f>COUNTIFS('Form Details'!$W:$W,"No Status",'Form Details'!$N:$N,"Pradeep",'Form Details'!$J:$J,$C693,'Form Details'!$D:$D,'Adv. Filter'!$A$14,'Form Details'!$D:$D,'Adv. Filter'!$B$14)</f>
        <v>0</v>
      </c>
      <c r="DS693" s="238"/>
      <c r="DT693" s="238"/>
      <c r="DU693" s="238"/>
      <c r="DV693" s="238"/>
      <c r="DW693" s="238"/>
      <c r="DX693" s="239"/>
      <c r="DY693" s="237">
        <f>SUM(COUNTIFS('Form Details'!$W:$W,{"Wrong Entry ","Double Entry"},'Form Details'!$N:$N,"Pradeep",'Form Details'!$J:$J,$C693,'Form Details'!$D:$D,'Adv. Filter'!$A$14,'Form Details'!$D:$D,'Adv. Filter'!$B$14))</f>
        <v>0</v>
      </c>
      <c r="DZ693" s="238"/>
      <c r="EA693" s="238"/>
      <c r="EB693" s="238"/>
      <c r="EC693" s="238"/>
      <c r="ED693" s="238"/>
      <c r="EE693" s="239"/>
    </row>
    <row r="694" spans="3:135" hidden="1">
      <c r="C694" s="248" t="s">
        <v>138</v>
      </c>
      <c r="D694" s="249"/>
      <c r="E694" s="249"/>
      <c r="F694" s="249"/>
      <c r="G694" s="249"/>
      <c r="H694" s="249"/>
      <c r="I694" s="249"/>
      <c r="J694" s="249"/>
      <c r="K694" s="249"/>
      <c r="L694" s="249"/>
      <c r="M694" s="249"/>
      <c r="N694" s="249"/>
      <c r="O694" s="237">
        <f>SUM(COUNTIFS('Form Details'!$AA:$AA,{"Yes","No","-"},'Form Details'!$N:$N,"Pradeep",'Form Details'!$J:$J,$C694,'Form Details'!$D:$D,'Adv. Filter'!$A$14,'Form Details'!$D:$D,'Adv. Filter'!$B$14))</f>
        <v>0</v>
      </c>
      <c r="P694" s="238"/>
      <c r="Q694" s="238"/>
      <c r="R694" s="238"/>
      <c r="S694" s="238"/>
      <c r="T694" s="238"/>
      <c r="U694" s="239"/>
      <c r="V694" s="100"/>
      <c r="W694" s="237">
        <f>COUNTIFS('Form Details'!$AA:$AA,"Yes",'Form Details'!$N:$N,"Pradeep",'Form Details'!$J:$J,$C694,'Form Details'!$D:$D,'Adv. Filter'!$A$14,'Form Details'!$D:$D,'Adv. Filter'!$B$14)</f>
        <v>0</v>
      </c>
      <c r="X694" s="238"/>
      <c r="Y694" s="238"/>
      <c r="Z694" s="238"/>
      <c r="AA694" s="238"/>
      <c r="AB694" s="238"/>
      <c r="AC694" s="239"/>
      <c r="AD694" s="237">
        <f>COUNTIFS('Form Details'!$W:$W,"Paid",'Form Details'!$N:$N,"Pradeep",'Form Details'!$J:$J,$C694,'Form Details'!$D:$D,'Adv. Filter'!$A$14,'Form Details'!$D:$D,'Adv. Filter'!$B$14)</f>
        <v>0</v>
      </c>
      <c r="AE694" s="238"/>
      <c r="AF694" s="238"/>
      <c r="AG694" s="238"/>
      <c r="AH694" s="238"/>
      <c r="AI694" s="238"/>
      <c r="AJ694" s="239"/>
      <c r="AK694" s="237">
        <f>COUNTIFS('Form Details'!$W:$W,"Due",'Form Details'!$N:$N,"Pradeep",'Form Details'!$J:$J,$C694,'Form Details'!$D:$D,'Adv. Filter'!$A$14,'Form Details'!$D:$D,'Adv. Filter'!$B$14)</f>
        <v>0</v>
      </c>
      <c r="AL694" s="238"/>
      <c r="AM694" s="238"/>
      <c r="AN694" s="238"/>
      <c r="AO694" s="238"/>
      <c r="AP694" s="238"/>
      <c r="AQ694" s="239"/>
      <c r="AR694" s="237">
        <f>COUNTIFS('Form Details'!$W:$W,"No Fee",'Form Details'!$N:$N,"Pradeep",'Form Details'!$J:$J,$C694,'Form Details'!$D:$D,'Adv. Filter'!$A$14,'Form Details'!$D:$D,'Adv. Filter'!$B$14)</f>
        <v>0</v>
      </c>
      <c r="AS694" s="238"/>
      <c r="AT694" s="238"/>
      <c r="AU694" s="238"/>
      <c r="AV694" s="238"/>
      <c r="AW694" s="238"/>
      <c r="AX694" s="239"/>
      <c r="AY694" s="237">
        <f>COUNTIFS('Form Details'!$W:$W,"Paid/Reject",'Form Details'!$N:$N,"Pradeep",'Form Details'!$J:$J,$C694,'Form Details'!$D:$D,'Adv. Filter'!$A$14,'Form Details'!$D:$D,'Adv. Filter'!$B$14)</f>
        <v>0</v>
      </c>
      <c r="AZ694" s="238"/>
      <c r="BA694" s="238"/>
      <c r="BB694" s="238"/>
      <c r="BC694" s="238"/>
      <c r="BD694" s="238"/>
      <c r="BE694" s="239"/>
      <c r="BF694" s="237">
        <f>COUNTIFS('Form Details'!$W:$W,"Staff",'Form Details'!$N:$N,"Pradeep",'Form Details'!$J:$J,$C694,'Form Details'!$D:$D,'Adv. Filter'!$A$14,'Form Details'!$D:$D,'Adv. Filter'!$B$14)</f>
        <v>0</v>
      </c>
      <c r="BG694" s="238"/>
      <c r="BH694" s="238"/>
      <c r="BI694" s="238"/>
      <c r="BJ694" s="238"/>
      <c r="BK694" s="238"/>
      <c r="BL694" s="239"/>
      <c r="BM694" s="237">
        <f>COUNTIFS('Form Details'!$W:$W,"File in Office",'Form Details'!$N:$N,"Pradeep",'Form Details'!$J:$J,$C694,'Form Details'!$D:$D,'Adv. Filter'!$A$14,'Form Details'!$D:$D,'Adv. Filter'!$B$14)</f>
        <v>0</v>
      </c>
      <c r="BN694" s="238"/>
      <c r="BO694" s="238"/>
      <c r="BP694" s="238"/>
      <c r="BQ694" s="238"/>
      <c r="BR694" s="238"/>
      <c r="BS694" s="239"/>
      <c r="BT694" s="100"/>
      <c r="BU694" s="237">
        <f>COUNTIFS('Form Details'!$AA:$AA,"No",'Form Details'!$N:$N,"Pradeep",'Form Details'!$J:$J,$C694,'Form Details'!$D:$D,'Adv. Filter'!$A$14,'Form Details'!$D:$D,'Adv. Filter'!$B$14)</f>
        <v>0</v>
      </c>
      <c r="BV694" s="238"/>
      <c r="BW694" s="238"/>
      <c r="BX694" s="238"/>
      <c r="BY694" s="238"/>
      <c r="BZ694" s="238"/>
      <c r="CA694" s="239"/>
      <c r="CB694" s="237">
        <f>COUNTIFS('Form Details'!$W:$W,"Adv/Paid",'Form Details'!$N:$N,"Pradeep",'Form Details'!$J:$J,$C694,'Form Details'!$D:$D,'Adv. Filter'!$A$14,'Form Details'!$D:$D,'Adv. Filter'!$B$14)</f>
        <v>0</v>
      </c>
      <c r="CC694" s="238"/>
      <c r="CD694" s="238"/>
      <c r="CE694" s="238"/>
      <c r="CF694" s="238"/>
      <c r="CG694" s="238"/>
      <c r="CH694" s="239"/>
      <c r="CI694" s="237">
        <f>COUNTIFS('Form Details'!$W:$W,"Adv/Paid/Reject",'Form Details'!$N:$N,"Pradeep",'Form Details'!$J:$J,$C694,'Form Details'!$D:$D,'Adv. Filter'!$A$14,'Form Details'!$D:$D,'Adv. Filter'!$B$14)</f>
        <v>0</v>
      </c>
      <c r="CJ694" s="238"/>
      <c r="CK694" s="238"/>
      <c r="CL694" s="238"/>
      <c r="CM694" s="238"/>
      <c r="CN694" s="238"/>
      <c r="CO694" s="239"/>
      <c r="CP694" s="237">
        <f>COUNTIFS('Form Details'!$W:$W,"Reject",'Form Details'!$N:$N,"Pradeep",'Form Details'!$J:$J,$C694,'Form Details'!$D:$D,'Adv. Filter'!$A$14,'Form Details'!$D:$D,'Adv. Filter'!$B$14)</f>
        <v>0</v>
      </c>
      <c r="CQ694" s="238"/>
      <c r="CR694" s="238"/>
      <c r="CS694" s="238"/>
      <c r="CT694" s="238"/>
      <c r="CU694" s="238"/>
      <c r="CV694" s="239"/>
      <c r="CW694" s="237">
        <f>COUNTIFS('Form Details'!$W:$W,"Adv/Paid/Pending",'Form Details'!$N:$N,"Pradeep",'Form Details'!$J:$J,$C694,'Form Details'!$D:$D,'Adv. Filter'!$A$14,'Form Details'!$D:$D,'Adv. Filter'!$B$14)</f>
        <v>0</v>
      </c>
      <c r="CX694" s="238"/>
      <c r="CY694" s="238"/>
      <c r="CZ694" s="238"/>
      <c r="DA694" s="238"/>
      <c r="DB694" s="238"/>
      <c r="DC694" s="239"/>
      <c r="DD694" s="237">
        <f>COUNTIFS('Form Details'!$W:$W,"Pending",'Form Details'!$N:$N,"Pradeep",'Form Details'!$J:$J,$C694,'Form Details'!$D:$D,'Adv. Filter'!$A$14,'Form Details'!$D:$D,'Adv. Filter'!$B$14)</f>
        <v>0</v>
      </c>
      <c r="DE694" s="238"/>
      <c r="DF694" s="238"/>
      <c r="DG694" s="238"/>
      <c r="DH694" s="238"/>
      <c r="DI694" s="238"/>
      <c r="DJ694" s="239"/>
      <c r="DK694" s="237">
        <f>COUNTIFS('Form Details'!$W:$W,"Adv/Paid/NoStatus",'Form Details'!$N:$N,"Pradeep",'Form Details'!$J:$J,$C694,'Form Details'!$D:$D,'Adv. Filter'!$A$14,'Form Details'!$D:$D,'Adv. Filter'!$B$14)</f>
        <v>0</v>
      </c>
      <c r="DL694" s="238"/>
      <c r="DM694" s="238"/>
      <c r="DN694" s="238"/>
      <c r="DO694" s="238"/>
      <c r="DP694" s="238"/>
      <c r="DQ694" s="239"/>
      <c r="DR694" s="237">
        <f>COUNTIFS('Form Details'!$W:$W,"No Status",'Form Details'!$N:$N,"Pradeep",'Form Details'!$J:$J,$C694,'Form Details'!$D:$D,'Adv. Filter'!$A$14,'Form Details'!$D:$D,'Adv. Filter'!$B$14)</f>
        <v>0</v>
      </c>
      <c r="DS694" s="238"/>
      <c r="DT694" s="238"/>
      <c r="DU694" s="238"/>
      <c r="DV694" s="238"/>
      <c r="DW694" s="238"/>
      <c r="DX694" s="239"/>
      <c r="DY694" s="237">
        <f>SUM(COUNTIFS('Form Details'!$W:$W,{"Wrong Entry ","Double Entry"},'Form Details'!$N:$N,"Pradeep",'Form Details'!$J:$J,$C694,'Form Details'!$D:$D,'Adv. Filter'!$A$14,'Form Details'!$D:$D,'Adv. Filter'!$B$14))</f>
        <v>0</v>
      </c>
      <c r="DZ694" s="238"/>
      <c r="EA694" s="238"/>
      <c r="EB694" s="238"/>
      <c r="EC694" s="238"/>
      <c r="ED694" s="238"/>
      <c r="EE694" s="239"/>
    </row>
    <row r="695" spans="3:135" hidden="1">
      <c r="C695" s="248" t="s">
        <v>84</v>
      </c>
      <c r="D695" s="249"/>
      <c r="E695" s="249"/>
      <c r="F695" s="249"/>
      <c r="G695" s="249"/>
      <c r="H695" s="249"/>
      <c r="I695" s="249"/>
      <c r="J695" s="249"/>
      <c r="K695" s="249"/>
      <c r="L695" s="249"/>
      <c r="M695" s="249"/>
      <c r="N695" s="249"/>
      <c r="O695" s="237">
        <f>SUM(COUNTIFS('Form Details'!$AA:$AA,{"Yes","No","-"},'Form Details'!$N:$N,"Pradeep",'Form Details'!$J:$J,$C695,'Form Details'!$D:$D,'Adv. Filter'!$A$14,'Form Details'!$D:$D,'Adv. Filter'!$B$14))</f>
        <v>267</v>
      </c>
      <c r="P695" s="238"/>
      <c r="Q695" s="238"/>
      <c r="R695" s="238"/>
      <c r="S695" s="238"/>
      <c r="T695" s="238"/>
      <c r="U695" s="239"/>
      <c r="V695" s="100"/>
      <c r="W695" s="237">
        <f>COUNTIFS('Form Details'!$AA:$AA,"Yes",'Form Details'!$N:$N,"Pradeep",'Form Details'!$J:$J,$C695,'Form Details'!$D:$D,'Adv. Filter'!$A$14,'Form Details'!$D:$D,'Adv. Filter'!$B$14)</f>
        <v>234</v>
      </c>
      <c r="X695" s="238"/>
      <c r="Y695" s="238"/>
      <c r="Z695" s="238"/>
      <c r="AA695" s="238"/>
      <c r="AB695" s="238"/>
      <c r="AC695" s="239"/>
      <c r="AD695" s="237">
        <f>COUNTIFS('Form Details'!$W:$W,"Paid",'Form Details'!$N:$N,"Pradeep",'Form Details'!$J:$J,$C695,'Form Details'!$D:$D,'Adv. Filter'!$A$14,'Form Details'!$D:$D,'Adv. Filter'!$B$14)</f>
        <v>140</v>
      </c>
      <c r="AE695" s="238"/>
      <c r="AF695" s="238"/>
      <c r="AG695" s="238"/>
      <c r="AH695" s="238"/>
      <c r="AI695" s="238"/>
      <c r="AJ695" s="239"/>
      <c r="AK695" s="237">
        <f>COUNTIFS('Form Details'!$W:$W,"Due",'Form Details'!$N:$N,"Pradeep",'Form Details'!$J:$J,$C695,'Form Details'!$D:$D,'Adv. Filter'!$A$14,'Form Details'!$D:$D,'Adv. Filter'!$B$14)</f>
        <v>93</v>
      </c>
      <c r="AL695" s="238"/>
      <c r="AM695" s="238"/>
      <c r="AN695" s="238"/>
      <c r="AO695" s="238"/>
      <c r="AP695" s="238"/>
      <c r="AQ695" s="239"/>
      <c r="AR695" s="237">
        <f>COUNTIFS('Form Details'!$W:$W,"No Fee",'Form Details'!$N:$N,"Pradeep",'Form Details'!$J:$J,$C695,'Form Details'!$D:$D,'Adv. Filter'!$A$14,'Form Details'!$D:$D,'Adv. Filter'!$B$14)</f>
        <v>0</v>
      </c>
      <c r="AS695" s="238"/>
      <c r="AT695" s="238"/>
      <c r="AU695" s="238"/>
      <c r="AV695" s="238"/>
      <c r="AW695" s="238"/>
      <c r="AX695" s="239"/>
      <c r="AY695" s="237">
        <f>COUNTIFS('Form Details'!$W:$W,"Paid/Reject",'Form Details'!$N:$N,"Pradeep",'Form Details'!$J:$J,$C695,'Form Details'!$D:$D,'Adv. Filter'!$A$14,'Form Details'!$D:$D,'Adv. Filter'!$B$14)</f>
        <v>1</v>
      </c>
      <c r="AZ695" s="238"/>
      <c r="BA695" s="238"/>
      <c r="BB695" s="238"/>
      <c r="BC695" s="238"/>
      <c r="BD695" s="238"/>
      <c r="BE695" s="239"/>
      <c r="BF695" s="237">
        <f>COUNTIFS('Form Details'!$W:$W,"Staff",'Form Details'!$N:$N,"Pradeep",'Form Details'!$J:$J,$C695,'Form Details'!$D:$D,'Adv. Filter'!$A$14,'Form Details'!$D:$D,'Adv. Filter'!$B$14)</f>
        <v>0</v>
      </c>
      <c r="BG695" s="238"/>
      <c r="BH695" s="238"/>
      <c r="BI695" s="238"/>
      <c r="BJ695" s="238"/>
      <c r="BK695" s="238"/>
      <c r="BL695" s="239"/>
      <c r="BM695" s="237">
        <f>COUNTIFS('Form Details'!$W:$W,"File in Office",'Form Details'!$N:$N,"Pradeep",'Form Details'!$J:$J,$C695,'Form Details'!$D:$D,'Adv. Filter'!$A$14,'Form Details'!$D:$D,'Adv. Filter'!$B$14)</f>
        <v>1</v>
      </c>
      <c r="BN695" s="238"/>
      <c r="BO695" s="238"/>
      <c r="BP695" s="238"/>
      <c r="BQ695" s="238"/>
      <c r="BR695" s="238"/>
      <c r="BS695" s="239"/>
      <c r="BT695" s="100"/>
      <c r="BU695" s="237">
        <f>COUNTIFS('Form Details'!$AA:$AA,"No",'Form Details'!$N:$N,"Pradeep",'Form Details'!$J:$J,$C695,'Form Details'!$D:$D,'Adv. Filter'!$A$14,'Form Details'!$D:$D,'Adv. Filter'!$B$14)</f>
        <v>33</v>
      </c>
      <c r="BV695" s="238"/>
      <c r="BW695" s="238"/>
      <c r="BX695" s="238"/>
      <c r="BY695" s="238"/>
      <c r="BZ695" s="238"/>
      <c r="CA695" s="239"/>
      <c r="CB695" s="237">
        <f>COUNTIFS('Form Details'!$W:$W,"Adv/Paid",'Form Details'!$N:$N,"Pradeep",'Form Details'!$J:$J,$C695,'Form Details'!$D:$D,'Adv. Filter'!$A$14,'Form Details'!$D:$D,'Adv. Filter'!$B$14)</f>
        <v>6</v>
      </c>
      <c r="CC695" s="238"/>
      <c r="CD695" s="238"/>
      <c r="CE695" s="238"/>
      <c r="CF695" s="238"/>
      <c r="CG695" s="238"/>
      <c r="CH695" s="239"/>
      <c r="CI695" s="237">
        <f>COUNTIFS('Form Details'!$W:$W,"Adv/Paid/Reject",'Form Details'!$N:$N,"Pradeep",'Form Details'!$J:$J,$C695,'Form Details'!$D:$D,'Adv. Filter'!$A$14,'Form Details'!$D:$D,'Adv. Filter'!$B$14)</f>
        <v>0</v>
      </c>
      <c r="CJ695" s="238"/>
      <c r="CK695" s="238"/>
      <c r="CL695" s="238"/>
      <c r="CM695" s="238"/>
      <c r="CN695" s="238"/>
      <c r="CO695" s="239"/>
      <c r="CP695" s="237">
        <f>COUNTIFS('Form Details'!$W:$W,"Reject",'Form Details'!$N:$N,"Pradeep",'Form Details'!$J:$J,$C695,'Form Details'!$D:$D,'Adv. Filter'!$A$14,'Form Details'!$D:$D,'Adv. Filter'!$B$14)</f>
        <v>3</v>
      </c>
      <c r="CQ695" s="238"/>
      <c r="CR695" s="238"/>
      <c r="CS695" s="238"/>
      <c r="CT695" s="238"/>
      <c r="CU695" s="238"/>
      <c r="CV695" s="239"/>
      <c r="CW695" s="237">
        <f>COUNTIFS('Form Details'!$W:$W,"Adv/Paid/Pending",'Form Details'!$N:$N,"Pradeep",'Form Details'!$J:$J,$C695,'Form Details'!$D:$D,'Adv. Filter'!$A$14,'Form Details'!$D:$D,'Adv. Filter'!$B$14)</f>
        <v>0</v>
      </c>
      <c r="CX695" s="238"/>
      <c r="CY695" s="238"/>
      <c r="CZ695" s="238"/>
      <c r="DA695" s="238"/>
      <c r="DB695" s="238"/>
      <c r="DC695" s="239"/>
      <c r="DD695" s="237">
        <f>COUNTIFS('Form Details'!$W:$W,"Pending",'Form Details'!$N:$N,"Pradeep",'Form Details'!$J:$J,$C695,'Form Details'!$D:$D,'Adv. Filter'!$A$14,'Form Details'!$D:$D,'Adv. Filter'!$B$14)</f>
        <v>0</v>
      </c>
      <c r="DE695" s="238"/>
      <c r="DF695" s="238"/>
      <c r="DG695" s="238"/>
      <c r="DH695" s="238"/>
      <c r="DI695" s="238"/>
      <c r="DJ695" s="239"/>
      <c r="DK695" s="237">
        <f>COUNTIFS('Form Details'!$W:$W,"Adv/Paid/NoStatus",'Form Details'!$N:$N,"Pradeep",'Form Details'!$J:$J,$C695,'Form Details'!$D:$D,'Adv. Filter'!$A$14,'Form Details'!$D:$D,'Adv. Filter'!$B$14)</f>
        <v>0</v>
      </c>
      <c r="DL695" s="238"/>
      <c r="DM695" s="238"/>
      <c r="DN695" s="238"/>
      <c r="DO695" s="238"/>
      <c r="DP695" s="238"/>
      <c r="DQ695" s="239"/>
      <c r="DR695" s="237">
        <f>COUNTIFS('Form Details'!$W:$W,"No Status",'Form Details'!$N:$N,"Pradeep",'Form Details'!$J:$J,$C695,'Form Details'!$D:$D,'Adv. Filter'!$A$14,'Form Details'!$D:$D,'Adv. Filter'!$B$14)</f>
        <v>19</v>
      </c>
      <c r="DS695" s="238"/>
      <c r="DT695" s="238"/>
      <c r="DU695" s="238"/>
      <c r="DV695" s="238"/>
      <c r="DW695" s="238"/>
      <c r="DX695" s="239"/>
      <c r="DY695" s="237">
        <f>SUM(COUNTIFS('Form Details'!$W:$W,{"Wrong Entry ","Double Entry"},'Form Details'!$N:$N,"Pradeep",'Form Details'!$J:$J,$C695,'Form Details'!$D:$D,'Adv. Filter'!$A$14,'Form Details'!$D:$D,'Adv. Filter'!$B$14))</f>
        <v>4</v>
      </c>
      <c r="DZ695" s="238"/>
      <c r="EA695" s="238"/>
      <c r="EB695" s="238"/>
      <c r="EC695" s="238"/>
      <c r="ED695" s="238"/>
      <c r="EE695" s="239"/>
    </row>
    <row r="696" spans="3:135" hidden="1">
      <c r="C696" s="248" t="s">
        <v>551</v>
      </c>
      <c r="D696" s="249"/>
      <c r="E696" s="249"/>
      <c r="F696" s="249"/>
      <c r="G696" s="249"/>
      <c r="H696" s="249"/>
      <c r="I696" s="249"/>
      <c r="J696" s="249"/>
      <c r="K696" s="249"/>
      <c r="L696" s="249"/>
      <c r="M696" s="249"/>
      <c r="N696" s="249"/>
      <c r="O696" s="237">
        <f>SUM(COUNTIFS('Form Details'!$AA:$AA,{"Yes","No","-"},'Form Details'!$N:$N,"Pradeep",'Form Details'!$J:$J,$C696,'Form Details'!$D:$D,'Adv. Filter'!$A$14,'Form Details'!$D:$D,'Adv. Filter'!$B$14))</f>
        <v>0</v>
      </c>
      <c r="P696" s="238"/>
      <c r="Q696" s="238"/>
      <c r="R696" s="238"/>
      <c r="S696" s="238"/>
      <c r="T696" s="238"/>
      <c r="U696" s="239"/>
      <c r="V696" s="100"/>
      <c r="W696" s="237">
        <f>COUNTIFS('Form Details'!$AA:$AA,"Yes",'Form Details'!$N:$N,"Pradeep",'Form Details'!$J:$J,$C696,'Form Details'!$D:$D,'Adv. Filter'!$A$14,'Form Details'!$D:$D,'Adv. Filter'!$B$14)</f>
        <v>0</v>
      </c>
      <c r="X696" s="238"/>
      <c r="Y696" s="238"/>
      <c r="Z696" s="238"/>
      <c r="AA696" s="238"/>
      <c r="AB696" s="238"/>
      <c r="AC696" s="239"/>
      <c r="AD696" s="237">
        <f>COUNTIFS('Form Details'!$W:$W,"Paid",'Form Details'!$N:$N,"Pradeep",'Form Details'!$J:$J,$C696,'Form Details'!$D:$D,'Adv. Filter'!$A$14,'Form Details'!$D:$D,'Adv. Filter'!$B$14)</f>
        <v>0</v>
      </c>
      <c r="AE696" s="238"/>
      <c r="AF696" s="238"/>
      <c r="AG696" s="238"/>
      <c r="AH696" s="238"/>
      <c r="AI696" s="238"/>
      <c r="AJ696" s="239"/>
      <c r="AK696" s="237">
        <f>COUNTIFS('Form Details'!$W:$W,"Due",'Form Details'!$N:$N,"Pradeep",'Form Details'!$J:$J,$C696,'Form Details'!$D:$D,'Adv. Filter'!$A$14,'Form Details'!$D:$D,'Adv. Filter'!$B$14)</f>
        <v>0</v>
      </c>
      <c r="AL696" s="238"/>
      <c r="AM696" s="238"/>
      <c r="AN696" s="238"/>
      <c r="AO696" s="238"/>
      <c r="AP696" s="238"/>
      <c r="AQ696" s="239"/>
      <c r="AR696" s="237">
        <f>COUNTIFS('Form Details'!$W:$W,"No Fee",'Form Details'!$N:$N,"Pradeep",'Form Details'!$J:$J,$C696,'Form Details'!$D:$D,'Adv. Filter'!$A$14,'Form Details'!$D:$D,'Adv. Filter'!$B$14)</f>
        <v>0</v>
      </c>
      <c r="AS696" s="238"/>
      <c r="AT696" s="238"/>
      <c r="AU696" s="238"/>
      <c r="AV696" s="238"/>
      <c r="AW696" s="238"/>
      <c r="AX696" s="239"/>
      <c r="AY696" s="237">
        <f>COUNTIFS('Form Details'!$W:$W,"Paid/Reject",'Form Details'!$N:$N,"Pradeep",'Form Details'!$J:$J,$C696,'Form Details'!$D:$D,'Adv. Filter'!$A$14,'Form Details'!$D:$D,'Adv. Filter'!$B$14)</f>
        <v>0</v>
      </c>
      <c r="AZ696" s="238"/>
      <c r="BA696" s="238"/>
      <c r="BB696" s="238"/>
      <c r="BC696" s="238"/>
      <c r="BD696" s="238"/>
      <c r="BE696" s="239"/>
      <c r="BF696" s="237">
        <f>COUNTIFS('Form Details'!$W:$W,"Staff",'Form Details'!$N:$N,"Pradeep",'Form Details'!$J:$J,$C696,'Form Details'!$D:$D,'Adv. Filter'!$A$14,'Form Details'!$D:$D,'Adv. Filter'!$B$14)</f>
        <v>0</v>
      </c>
      <c r="BG696" s="238"/>
      <c r="BH696" s="238"/>
      <c r="BI696" s="238"/>
      <c r="BJ696" s="238"/>
      <c r="BK696" s="238"/>
      <c r="BL696" s="239"/>
      <c r="BM696" s="237">
        <f>COUNTIFS('Form Details'!$W:$W,"File in Office",'Form Details'!$N:$N,"Pradeep",'Form Details'!$J:$J,$C696,'Form Details'!$D:$D,'Adv. Filter'!$A$14,'Form Details'!$D:$D,'Adv. Filter'!$B$14)</f>
        <v>0</v>
      </c>
      <c r="BN696" s="238"/>
      <c r="BO696" s="238"/>
      <c r="BP696" s="238"/>
      <c r="BQ696" s="238"/>
      <c r="BR696" s="238"/>
      <c r="BS696" s="239"/>
      <c r="BT696" s="100"/>
      <c r="BU696" s="237">
        <f>COUNTIFS('Form Details'!$AA:$AA,"No",'Form Details'!$N:$N,"Pradeep",'Form Details'!$J:$J,$C696,'Form Details'!$D:$D,'Adv. Filter'!$A$14,'Form Details'!$D:$D,'Adv. Filter'!$B$14)</f>
        <v>0</v>
      </c>
      <c r="BV696" s="238"/>
      <c r="BW696" s="238"/>
      <c r="BX696" s="238"/>
      <c r="BY696" s="238"/>
      <c r="BZ696" s="238"/>
      <c r="CA696" s="239"/>
      <c r="CB696" s="237">
        <f>COUNTIFS('Form Details'!$W:$W,"Adv/Paid",'Form Details'!$N:$N,"Pradeep",'Form Details'!$J:$J,$C696,'Form Details'!$D:$D,'Adv. Filter'!$A$14,'Form Details'!$D:$D,'Adv. Filter'!$B$14)</f>
        <v>0</v>
      </c>
      <c r="CC696" s="238"/>
      <c r="CD696" s="238"/>
      <c r="CE696" s="238"/>
      <c r="CF696" s="238"/>
      <c r="CG696" s="238"/>
      <c r="CH696" s="239"/>
      <c r="CI696" s="237">
        <f>COUNTIFS('Form Details'!$W:$W,"Adv/Paid/Reject",'Form Details'!$N:$N,"Pradeep",'Form Details'!$J:$J,$C696,'Form Details'!$D:$D,'Adv. Filter'!$A$14,'Form Details'!$D:$D,'Adv. Filter'!$B$14)</f>
        <v>0</v>
      </c>
      <c r="CJ696" s="238"/>
      <c r="CK696" s="238"/>
      <c r="CL696" s="238"/>
      <c r="CM696" s="238"/>
      <c r="CN696" s="238"/>
      <c r="CO696" s="239"/>
      <c r="CP696" s="237">
        <f>COUNTIFS('Form Details'!$W:$W,"Reject",'Form Details'!$N:$N,"Pradeep",'Form Details'!$J:$J,$C696,'Form Details'!$D:$D,'Adv. Filter'!$A$14,'Form Details'!$D:$D,'Adv. Filter'!$B$14)</f>
        <v>0</v>
      </c>
      <c r="CQ696" s="238"/>
      <c r="CR696" s="238"/>
      <c r="CS696" s="238"/>
      <c r="CT696" s="238"/>
      <c r="CU696" s="238"/>
      <c r="CV696" s="239"/>
      <c r="CW696" s="237">
        <f>COUNTIFS('Form Details'!$W:$W,"Adv/Paid/Pending",'Form Details'!$N:$N,"Pradeep",'Form Details'!$J:$J,$C696,'Form Details'!$D:$D,'Adv. Filter'!$A$14,'Form Details'!$D:$D,'Adv. Filter'!$B$14)</f>
        <v>0</v>
      </c>
      <c r="CX696" s="238"/>
      <c r="CY696" s="238"/>
      <c r="CZ696" s="238"/>
      <c r="DA696" s="238"/>
      <c r="DB696" s="238"/>
      <c r="DC696" s="239"/>
      <c r="DD696" s="237">
        <f>COUNTIFS('Form Details'!$W:$W,"Pending",'Form Details'!$N:$N,"Pradeep",'Form Details'!$J:$J,$C696,'Form Details'!$D:$D,'Adv. Filter'!$A$14,'Form Details'!$D:$D,'Adv. Filter'!$B$14)</f>
        <v>0</v>
      </c>
      <c r="DE696" s="238"/>
      <c r="DF696" s="238"/>
      <c r="DG696" s="238"/>
      <c r="DH696" s="238"/>
      <c r="DI696" s="238"/>
      <c r="DJ696" s="239"/>
      <c r="DK696" s="237">
        <f>COUNTIFS('Form Details'!$W:$W,"Adv/Paid/NoStatus",'Form Details'!$N:$N,"Pradeep",'Form Details'!$J:$J,$C696,'Form Details'!$D:$D,'Adv. Filter'!$A$14,'Form Details'!$D:$D,'Adv. Filter'!$B$14)</f>
        <v>0</v>
      </c>
      <c r="DL696" s="238"/>
      <c r="DM696" s="238"/>
      <c r="DN696" s="238"/>
      <c r="DO696" s="238"/>
      <c r="DP696" s="238"/>
      <c r="DQ696" s="239"/>
      <c r="DR696" s="237">
        <f>COUNTIFS('Form Details'!$W:$W,"No Status",'Form Details'!$N:$N,"Pradeep",'Form Details'!$J:$J,$C696,'Form Details'!$D:$D,'Adv. Filter'!$A$14,'Form Details'!$D:$D,'Adv. Filter'!$B$14)</f>
        <v>0</v>
      </c>
      <c r="DS696" s="238"/>
      <c r="DT696" s="238"/>
      <c r="DU696" s="238"/>
      <c r="DV696" s="238"/>
      <c r="DW696" s="238"/>
      <c r="DX696" s="239"/>
      <c r="DY696" s="237">
        <f>SUM(COUNTIFS('Form Details'!$W:$W,{"Wrong Entry ","Double Entry"},'Form Details'!$N:$N,"Pradeep",'Form Details'!$J:$J,$C696,'Form Details'!$D:$D,'Adv. Filter'!$A$14,'Form Details'!$D:$D,'Adv. Filter'!$B$14))</f>
        <v>0</v>
      </c>
      <c r="DZ696" s="238"/>
      <c r="EA696" s="238"/>
      <c r="EB696" s="238"/>
      <c r="EC696" s="238"/>
      <c r="ED696" s="238"/>
      <c r="EE696" s="239"/>
    </row>
    <row r="697" spans="3:135" hidden="1">
      <c r="C697" s="248" t="s">
        <v>121</v>
      </c>
      <c r="D697" s="249"/>
      <c r="E697" s="249"/>
      <c r="F697" s="249"/>
      <c r="G697" s="249"/>
      <c r="H697" s="249"/>
      <c r="I697" s="249"/>
      <c r="J697" s="249"/>
      <c r="K697" s="249"/>
      <c r="L697" s="249"/>
      <c r="M697" s="249"/>
      <c r="N697" s="249"/>
      <c r="O697" s="237">
        <f>SUM(COUNTIFS('Form Details'!$AA:$AA,{"Yes","No","-"},'Form Details'!$N:$N,"Pradeep",'Form Details'!$J:$J,$C697,'Form Details'!$D:$D,'Adv. Filter'!$A$14,'Form Details'!$D:$D,'Adv. Filter'!$B$14))</f>
        <v>0</v>
      </c>
      <c r="P697" s="238"/>
      <c r="Q697" s="238"/>
      <c r="R697" s="238"/>
      <c r="S697" s="238"/>
      <c r="T697" s="238"/>
      <c r="U697" s="239"/>
      <c r="V697" s="100"/>
      <c r="W697" s="237">
        <f>COUNTIFS('Form Details'!$AA:$AA,"Yes",'Form Details'!$N:$N,"Pradeep",'Form Details'!$J:$J,$C697,'Form Details'!$D:$D,'Adv. Filter'!$A$14,'Form Details'!$D:$D,'Adv. Filter'!$B$14)</f>
        <v>0</v>
      </c>
      <c r="X697" s="238"/>
      <c r="Y697" s="238"/>
      <c r="Z697" s="238"/>
      <c r="AA697" s="238"/>
      <c r="AB697" s="238"/>
      <c r="AC697" s="239"/>
      <c r="AD697" s="237">
        <f>COUNTIFS('Form Details'!$W:$W,"Paid",'Form Details'!$N:$N,"Pradeep",'Form Details'!$J:$J,$C697,'Form Details'!$D:$D,'Adv. Filter'!$A$14,'Form Details'!$D:$D,'Adv. Filter'!$B$14)</f>
        <v>0</v>
      </c>
      <c r="AE697" s="238"/>
      <c r="AF697" s="238"/>
      <c r="AG697" s="238"/>
      <c r="AH697" s="238"/>
      <c r="AI697" s="238"/>
      <c r="AJ697" s="239"/>
      <c r="AK697" s="237">
        <f>COUNTIFS('Form Details'!$W:$W,"Due",'Form Details'!$N:$N,"Pradeep",'Form Details'!$J:$J,$C697,'Form Details'!$D:$D,'Adv. Filter'!$A$14,'Form Details'!$D:$D,'Adv. Filter'!$B$14)</f>
        <v>0</v>
      </c>
      <c r="AL697" s="238"/>
      <c r="AM697" s="238"/>
      <c r="AN697" s="238"/>
      <c r="AO697" s="238"/>
      <c r="AP697" s="238"/>
      <c r="AQ697" s="239"/>
      <c r="AR697" s="237">
        <f>COUNTIFS('Form Details'!$W:$W,"No Fee",'Form Details'!$N:$N,"Pradeep",'Form Details'!$J:$J,$C697,'Form Details'!$D:$D,'Adv. Filter'!$A$14,'Form Details'!$D:$D,'Adv. Filter'!$B$14)</f>
        <v>0</v>
      </c>
      <c r="AS697" s="238"/>
      <c r="AT697" s="238"/>
      <c r="AU697" s="238"/>
      <c r="AV697" s="238"/>
      <c r="AW697" s="238"/>
      <c r="AX697" s="239"/>
      <c r="AY697" s="237">
        <f>COUNTIFS('Form Details'!$W:$W,"Paid/Reject",'Form Details'!$N:$N,"Pradeep",'Form Details'!$J:$J,$C697,'Form Details'!$D:$D,'Adv. Filter'!$A$14,'Form Details'!$D:$D,'Adv. Filter'!$B$14)</f>
        <v>0</v>
      </c>
      <c r="AZ697" s="238"/>
      <c r="BA697" s="238"/>
      <c r="BB697" s="238"/>
      <c r="BC697" s="238"/>
      <c r="BD697" s="238"/>
      <c r="BE697" s="239"/>
      <c r="BF697" s="237">
        <f>COUNTIFS('Form Details'!$W:$W,"Staff",'Form Details'!$N:$N,"Pradeep",'Form Details'!$J:$J,$C697,'Form Details'!$D:$D,'Adv. Filter'!$A$14,'Form Details'!$D:$D,'Adv. Filter'!$B$14)</f>
        <v>0</v>
      </c>
      <c r="BG697" s="238"/>
      <c r="BH697" s="238"/>
      <c r="BI697" s="238"/>
      <c r="BJ697" s="238"/>
      <c r="BK697" s="238"/>
      <c r="BL697" s="239"/>
      <c r="BM697" s="237">
        <f>COUNTIFS('Form Details'!$W:$W,"File in Office",'Form Details'!$N:$N,"Pradeep",'Form Details'!$J:$J,$C697,'Form Details'!$D:$D,'Adv. Filter'!$A$14,'Form Details'!$D:$D,'Adv. Filter'!$B$14)</f>
        <v>0</v>
      </c>
      <c r="BN697" s="238"/>
      <c r="BO697" s="238"/>
      <c r="BP697" s="238"/>
      <c r="BQ697" s="238"/>
      <c r="BR697" s="238"/>
      <c r="BS697" s="239"/>
      <c r="BT697" s="100"/>
      <c r="BU697" s="237">
        <f>COUNTIFS('Form Details'!$AA:$AA,"No",'Form Details'!$N:$N,"Pradeep",'Form Details'!$J:$J,$C697,'Form Details'!$D:$D,'Adv. Filter'!$A$14,'Form Details'!$D:$D,'Adv. Filter'!$B$14)</f>
        <v>0</v>
      </c>
      <c r="BV697" s="238"/>
      <c r="BW697" s="238"/>
      <c r="BX697" s="238"/>
      <c r="BY697" s="238"/>
      <c r="BZ697" s="238"/>
      <c r="CA697" s="239"/>
      <c r="CB697" s="237">
        <f>COUNTIFS('Form Details'!$W:$W,"Adv/Paid",'Form Details'!$N:$N,"Pradeep",'Form Details'!$J:$J,$C697,'Form Details'!$D:$D,'Adv. Filter'!$A$14,'Form Details'!$D:$D,'Adv. Filter'!$B$14)</f>
        <v>0</v>
      </c>
      <c r="CC697" s="238"/>
      <c r="CD697" s="238"/>
      <c r="CE697" s="238"/>
      <c r="CF697" s="238"/>
      <c r="CG697" s="238"/>
      <c r="CH697" s="239"/>
      <c r="CI697" s="237">
        <f>COUNTIFS('Form Details'!$W:$W,"Adv/Paid/Reject",'Form Details'!$N:$N,"Pradeep",'Form Details'!$J:$J,$C697,'Form Details'!$D:$D,'Adv. Filter'!$A$14,'Form Details'!$D:$D,'Adv. Filter'!$B$14)</f>
        <v>0</v>
      </c>
      <c r="CJ697" s="238"/>
      <c r="CK697" s="238"/>
      <c r="CL697" s="238"/>
      <c r="CM697" s="238"/>
      <c r="CN697" s="238"/>
      <c r="CO697" s="239"/>
      <c r="CP697" s="237">
        <f>COUNTIFS('Form Details'!$W:$W,"Reject",'Form Details'!$N:$N,"Pradeep",'Form Details'!$J:$J,$C697,'Form Details'!$D:$D,'Adv. Filter'!$A$14,'Form Details'!$D:$D,'Adv. Filter'!$B$14)</f>
        <v>0</v>
      </c>
      <c r="CQ697" s="238"/>
      <c r="CR697" s="238"/>
      <c r="CS697" s="238"/>
      <c r="CT697" s="238"/>
      <c r="CU697" s="238"/>
      <c r="CV697" s="239"/>
      <c r="CW697" s="237">
        <f>COUNTIFS('Form Details'!$W:$W,"Adv/Paid/Pending",'Form Details'!$N:$N,"Pradeep",'Form Details'!$J:$J,$C697,'Form Details'!$D:$D,'Adv. Filter'!$A$14,'Form Details'!$D:$D,'Adv. Filter'!$B$14)</f>
        <v>0</v>
      </c>
      <c r="CX697" s="238"/>
      <c r="CY697" s="238"/>
      <c r="CZ697" s="238"/>
      <c r="DA697" s="238"/>
      <c r="DB697" s="238"/>
      <c r="DC697" s="239"/>
      <c r="DD697" s="237">
        <f>COUNTIFS('Form Details'!$W:$W,"Pending",'Form Details'!$N:$N,"Pradeep",'Form Details'!$J:$J,$C697,'Form Details'!$D:$D,'Adv. Filter'!$A$14,'Form Details'!$D:$D,'Adv. Filter'!$B$14)</f>
        <v>0</v>
      </c>
      <c r="DE697" s="238"/>
      <c r="DF697" s="238"/>
      <c r="DG697" s="238"/>
      <c r="DH697" s="238"/>
      <c r="DI697" s="238"/>
      <c r="DJ697" s="239"/>
      <c r="DK697" s="237">
        <f>COUNTIFS('Form Details'!$W:$W,"Adv/Paid/NoStatus",'Form Details'!$N:$N,"Pradeep",'Form Details'!$J:$J,$C697,'Form Details'!$D:$D,'Adv. Filter'!$A$14,'Form Details'!$D:$D,'Adv. Filter'!$B$14)</f>
        <v>0</v>
      </c>
      <c r="DL697" s="238"/>
      <c r="DM697" s="238"/>
      <c r="DN697" s="238"/>
      <c r="DO697" s="238"/>
      <c r="DP697" s="238"/>
      <c r="DQ697" s="239"/>
      <c r="DR697" s="237">
        <f>COUNTIFS('Form Details'!$W:$W,"No Status",'Form Details'!$N:$N,"Pradeep",'Form Details'!$J:$J,$C697,'Form Details'!$D:$D,'Adv. Filter'!$A$14,'Form Details'!$D:$D,'Adv. Filter'!$B$14)</f>
        <v>0</v>
      </c>
      <c r="DS697" s="238"/>
      <c r="DT697" s="238"/>
      <c r="DU697" s="238"/>
      <c r="DV697" s="238"/>
      <c r="DW697" s="238"/>
      <c r="DX697" s="239"/>
      <c r="DY697" s="237">
        <f>SUM(COUNTIFS('Form Details'!$W:$W,{"Wrong Entry ","Double Entry"},'Form Details'!$N:$N,"Pradeep",'Form Details'!$J:$J,$C697,'Form Details'!$D:$D,'Adv. Filter'!$A$14,'Form Details'!$D:$D,'Adv. Filter'!$B$14))</f>
        <v>0</v>
      </c>
      <c r="DZ697" s="238"/>
      <c r="EA697" s="238"/>
      <c r="EB697" s="238"/>
      <c r="EC697" s="238"/>
      <c r="ED697" s="238"/>
      <c r="EE697" s="239"/>
    </row>
    <row r="698" spans="3:135" hidden="1">
      <c r="C698" s="248" t="s">
        <v>111</v>
      </c>
      <c r="D698" s="249"/>
      <c r="E698" s="249"/>
      <c r="F698" s="249"/>
      <c r="G698" s="249"/>
      <c r="H698" s="249"/>
      <c r="I698" s="249"/>
      <c r="J698" s="249"/>
      <c r="K698" s="249"/>
      <c r="L698" s="249"/>
      <c r="M698" s="249"/>
      <c r="N698" s="249"/>
      <c r="O698" s="237">
        <f>SUM(COUNTIFS('Form Details'!$AA:$AA,{"Yes","No","-"},'Form Details'!$N:$N,"Pradeep",'Form Details'!$J:$J,$C698,'Form Details'!$D:$D,'Adv. Filter'!$A$14,'Form Details'!$D:$D,'Adv. Filter'!$B$14))</f>
        <v>0</v>
      </c>
      <c r="P698" s="238"/>
      <c r="Q698" s="238"/>
      <c r="R698" s="238"/>
      <c r="S698" s="238"/>
      <c r="T698" s="238"/>
      <c r="U698" s="239"/>
      <c r="V698" s="100"/>
      <c r="W698" s="237">
        <f>COUNTIFS('Form Details'!$AA:$AA,"Yes",'Form Details'!$N:$N,"Pradeep",'Form Details'!$J:$J,$C698,'Form Details'!$D:$D,'Adv. Filter'!$A$14,'Form Details'!$D:$D,'Adv. Filter'!$B$14)</f>
        <v>0</v>
      </c>
      <c r="X698" s="238"/>
      <c r="Y698" s="238"/>
      <c r="Z698" s="238"/>
      <c r="AA698" s="238"/>
      <c r="AB698" s="238"/>
      <c r="AC698" s="239"/>
      <c r="AD698" s="237">
        <f>COUNTIFS('Form Details'!$W:$W,"Paid",'Form Details'!$N:$N,"Pradeep",'Form Details'!$J:$J,$C698,'Form Details'!$D:$D,'Adv. Filter'!$A$14,'Form Details'!$D:$D,'Adv. Filter'!$B$14)</f>
        <v>0</v>
      </c>
      <c r="AE698" s="238"/>
      <c r="AF698" s="238"/>
      <c r="AG698" s="238"/>
      <c r="AH698" s="238"/>
      <c r="AI698" s="238"/>
      <c r="AJ698" s="239"/>
      <c r="AK698" s="237">
        <f>COUNTIFS('Form Details'!$W:$W,"Due",'Form Details'!$N:$N,"Pradeep",'Form Details'!$J:$J,$C698,'Form Details'!$D:$D,'Adv. Filter'!$A$14,'Form Details'!$D:$D,'Adv. Filter'!$B$14)</f>
        <v>0</v>
      </c>
      <c r="AL698" s="238"/>
      <c r="AM698" s="238"/>
      <c r="AN698" s="238"/>
      <c r="AO698" s="238"/>
      <c r="AP698" s="238"/>
      <c r="AQ698" s="239"/>
      <c r="AR698" s="237">
        <f>COUNTIFS('Form Details'!$W:$W,"No Fee",'Form Details'!$N:$N,"Pradeep",'Form Details'!$J:$J,$C698,'Form Details'!$D:$D,'Adv. Filter'!$A$14,'Form Details'!$D:$D,'Adv. Filter'!$B$14)</f>
        <v>0</v>
      </c>
      <c r="AS698" s="238"/>
      <c r="AT698" s="238"/>
      <c r="AU698" s="238"/>
      <c r="AV698" s="238"/>
      <c r="AW698" s="238"/>
      <c r="AX698" s="239"/>
      <c r="AY698" s="237">
        <f>COUNTIFS('Form Details'!$W:$W,"Paid/Reject",'Form Details'!$N:$N,"Pradeep",'Form Details'!$J:$J,$C698,'Form Details'!$D:$D,'Adv. Filter'!$A$14,'Form Details'!$D:$D,'Adv. Filter'!$B$14)</f>
        <v>0</v>
      </c>
      <c r="AZ698" s="238"/>
      <c r="BA698" s="238"/>
      <c r="BB698" s="238"/>
      <c r="BC698" s="238"/>
      <c r="BD698" s="238"/>
      <c r="BE698" s="239"/>
      <c r="BF698" s="237">
        <f>COUNTIFS('Form Details'!$W:$W,"Staff",'Form Details'!$N:$N,"Pradeep",'Form Details'!$J:$J,$C698,'Form Details'!$D:$D,'Adv. Filter'!$A$14,'Form Details'!$D:$D,'Adv. Filter'!$B$14)</f>
        <v>0</v>
      </c>
      <c r="BG698" s="238"/>
      <c r="BH698" s="238"/>
      <c r="BI698" s="238"/>
      <c r="BJ698" s="238"/>
      <c r="BK698" s="238"/>
      <c r="BL698" s="239"/>
      <c r="BM698" s="237">
        <f>COUNTIFS('Form Details'!$W:$W,"File in Office",'Form Details'!$N:$N,"Pradeep",'Form Details'!$J:$J,$C698,'Form Details'!$D:$D,'Adv. Filter'!$A$14,'Form Details'!$D:$D,'Adv. Filter'!$B$14)</f>
        <v>0</v>
      </c>
      <c r="BN698" s="238"/>
      <c r="BO698" s="238"/>
      <c r="BP698" s="238"/>
      <c r="BQ698" s="238"/>
      <c r="BR698" s="238"/>
      <c r="BS698" s="239"/>
      <c r="BT698" s="100"/>
      <c r="BU698" s="237">
        <f>COUNTIFS('Form Details'!$AA:$AA,"No",'Form Details'!$N:$N,"Pradeep",'Form Details'!$J:$J,$C698,'Form Details'!$D:$D,'Adv. Filter'!$A$14,'Form Details'!$D:$D,'Adv. Filter'!$B$14)</f>
        <v>0</v>
      </c>
      <c r="BV698" s="238"/>
      <c r="BW698" s="238"/>
      <c r="BX698" s="238"/>
      <c r="BY698" s="238"/>
      <c r="BZ698" s="238"/>
      <c r="CA698" s="239"/>
      <c r="CB698" s="237">
        <f>COUNTIFS('Form Details'!$W:$W,"Adv/Paid",'Form Details'!$N:$N,"Pradeep",'Form Details'!$J:$J,$C698,'Form Details'!$D:$D,'Adv. Filter'!$A$14,'Form Details'!$D:$D,'Adv. Filter'!$B$14)</f>
        <v>0</v>
      </c>
      <c r="CC698" s="238"/>
      <c r="CD698" s="238"/>
      <c r="CE698" s="238"/>
      <c r="CF698" s="238"/>
      <c r="CG698" s="238"/>
      <c r="CH698" s="239"/>
      <c r="CI698" s="237">
        <f>COUNTIFS('Form Details'!$W:$W,"Adv/Paid/Reject",'Form Details'!$N:$N,"Pradeep",'Form Details'!$J:$J,$C698,'Form Details'!$D:$D,'Adv. Filter'!$A$14,'Form Details'!$D:$D,'Adv. Filter'!$B$14)</f>
        <v>0</v>
      </c>
      <c r="CJ698" s="238"/>
      <c r="CK698" s="238"/>
      <c r="CL698" s="238"/>
      <c r="CM698" s="238"/>
      <c r="CN698" s="238"/>
      <c r="CO698" s="239"/>
      <c r="CP698" s="237">
        <f>COUNTIFS('Form Details'!$W:$W,"Reject",'Form Details'!$N:$N,"Pradeep",'Form Details'!$J:$J,$C698,'Form Details'!$D:$D,'Adv. Filter'!$A$14,'Form Details'!$D:$D,'Adv. Filter'!$B$14)</f>
        <v>0</v>
      </c>
      <c r="CQ698" s="238"/>
      <c r="CR698" s="238"/>
      <c r="CS698" s="238"/>
      <c r="CT698" s="238"/>
      <c r="CU698" s="238"/>
      <c r="CV698" s="239"/>
      <c r="CW698" s="237">
        <f>COUNTIFS('Form Details'!$W:$W,"Adv/Paid/Pending",'Form Details'!$N:$N,"Pradeep",'Form Details'!$J:$J,$C698,'Form Details'!$D:$D,'Adv. Filter'!$A$14,'Form Details'!$D:$D,'Adv. Filter'!$B$14)</f>
        <v>0</v>
      </c>
      <c r="CX698" s="238"/>
      <c r="CY698" s="238"/>
      <c r="CZ698" s="238"/>
      <c r="DA698" s="238"/>
      <c r="DB698" s="238"/>
      <c r="DC698" s="239"/>
      <c r="DD698" s="237">
        <f>COUNTIFS('Form Details'!$W:$W,"Pending",'Form Details'!$N:$N,"Pradeep",'Form Details'!$J:$J,$C698,'Form Details'!$D:$D,'Adv. Filter'!$A$14,'Form Details'!$D:$D,'Adv. Filter'!$B$14)</f>
        <v>0</v>
      </c>
      <c r="DE698" s="238"/>
      <c r="DF698" s="238"/>
      <c r="DG698" s="238"/>
      <c r="DH698" s="238"/>
      <c r="DI698" s="238"/>
      <c r="DJ698" s="239"/>
      <c r="DK698" s="237">
        <f>COUNTIFS('Form Details'!$W:$W,"Adv/Paid/NoStatus",'Form Details'!$N:$N,"Pradeep",'Form Details'!$J:$J,$C698,'Form Details'!$D:$D,'Adv. Filter'!$A$14,'Form Details'!$D:$D,'Adv. Filter'!$B$14)</f>
        <v>0</v>
      </c>
      <c r="DL698" s="238"/>
      <c r="DM698" s="238"/>
      <c r="DN698" s="238"/>
      <c r="DO698" s="238"/>
      <c r="DP698" s="238"/>
      <c r="DQ698" s="239"/>
      <c r="DR698" s="237">
        <f>COUNTIFS('Form Details'!$W:$W,"No Status",'Form Details'!$N:$N,"Pradeep",'Form Details'!$J:$J,$C698,'Form Details'!$D:$D,'Adv. Filter'!$A$14,'Form Details'!$D:$D,'Adv. Filter'!$B$14)</f>
        <v>0</v>
      </c>
      <c r="DS698" s="238"/>
      <c r="DT698" s="238"/>
      <c r="DU698" s="238"/>
      <c r="DV698" s="238"/>
      <c r="DW698" s="238"/>
      <c r="DX698" s="239"/>
      <c r="DY698" s="237">
        <f>SUM(COUNTIFS('Form Details'!$W:$W,{"Wrong Entry ","Double Entry"},'Form Details'!$N:$N,"Pradeep",'Form Details'!$J:$J,$C698,'Form Details'!$D:$D,'Adv. Filter'!$A$14,'Form Details'!$D:$D,'Adv. Filter'!$B$14))</f>
        <v>0</v>
      </c>
      <c r="DZ698" s="238"/>
      <c r="EA698" s="238"/>
      <c r="EB698" s="238"/>
      <c r="EC698" s="238"/>
      <c r="ED698" s="238"/>
      <c r="EE698" s="239"/>
    </row>
    <row r="699" spans="3:135" ht="15" hidden="1" customHeight="1">
      <c r="C699" s="248" t="s">
        <v>116</v>
      </c>
      <c r="D699" s="249"/>
      <c r="E699" s="249"/>
      <c r="F699" s="249"/>
      <c r="G699" s="249"/>
      <c r="H699" s="249"/>
      <c r="I699" s="249"/>
      <c r="J699" s="249"/>
      <c r="K699" s="249"/>
      <c r="L699" s="249"/>
      <c r="M699" s="249"/>
      <c r="N699" s="249"/>
      <c r="O699" s="237">
        <f>SUM(COUNTIFS('Form Details'!$AA:$AA,{"Yes","No","-"},'Form Details'!$N:$N,"Pradeep",'Form Details'!$J:$J,$C699,'Form Details'!$D:$D,'Adv. Filter'!$A$14,'Form Details'!$D:$D,'Adv. Filter'!$B$14))</f>
        <v>0</v>
      </c>
      <c r="P699" s="238"/>
      <c r="Q699" s="238"/>
      <c r="R699" s="238"/>
      <c r="S699" s="238"/>
      <c r="T699" s="238"/>
      <c r="U699" s="239"/>
      <c r="V699" s="100"/>
      <c r="W699" s="237">
        <f>COUNTIFS('Form Details'!$AA:$AA,"Yes",'Form Details'!$N:$N,"Pradeep",'Form Details'!$J:$J,$C699,'Form Details'!$D:$D,'Adv. Filter'!$A$14,'Form Details'!$D:$D,'Adv. Filter'!$B$14)</f>
        <v>0</v>
      </c>
      <c r="X699" s="238"/>
      <c r="Y699" s="238"/>
      <c r="Z699" s="238"/>
      <c r="AA699" s="238"/>
      <c r="AB699" s="238"/>
      <c r="AC699" s="239"/>
      <c r="AD699" s="237">
        <f>COUNTIFS('Form Details'!$W:$W,"Paid",'Form Details'!$N:$N,"Pradeep",'Form Details'!$J:$J,$C699,'Form Details'!$D:$D,'Adv. Filter'!$A$14,'Form Details'!$D:$D,'Adv. Filter'!$B$14)</f>
        <v>0</v>
      </c>
      <c r="AE699" s="238"/>
      <c r="AF699" s="238"/>
      <c r="AG699" s="238"/>
      <c r="AH699" s="238"/>
      <c r="AI699" s="238"/>
      <c r="AJ699" s="239"/>
      <c r="AK699" s="237">
        <f>COUNTIFS('Form Details'!$W:$W,"Due",'Form Details'!$N:$N,"Pradeep",'Form Details'!$J:$J,$C699,'Form Details'!$D:$D,'Adv. Filter'!$A$14,'Form Details'!$D:$D,'Adv. Filter'!$B$14)</f>
        <v>0</v>
      </c>
      <c r="AL699" s="238"/>
      <c r="AM699" s="238"/>
      <c r="AN699" s="238"/>
      <c r="AO699" s="238"/>
      <c r="AP699" s="238"/>
      <c r="AQ699" s="239"/>
      <c r="AR699" s="237">
        <f>COUNTIFS('Form Details'!$W:$W,"No Fee",'Form Details'!$N:$N,"Pradeep",'Form Details'!$J:$J,$C699,'Form Details'!$D:$D,'Adv. Filter'!$A$14,'Form Details'!$D:$D,'Adv. Filter'!$B$14)</f>
        <v>0</v>
      </c>
      <c r="AS699" s="238"/>
      <c r="AT699" s="238"/>
      <c r="AU699" s="238"/>
      <c r="AV699" s="238"/>
      <c r="AW699" s="238"/>
      <c r="AX699" s="239"/>
      <c r="AY699" s="237">
        <f>COUNTIFS('Form Details'!$W:$W,"Paid/Reject",'Form Details'!$N:$N,"Pradeep",'Form Details'!$J:$J,$C699,'Form Details'!$D:$D,'Adv. Filter'!$A$14,'Form Details'!$D:$D,'Adv. Filter'!$B$14)</f>
        <v>0</v>
      </c>
      <c r="AZ699" s="238"/>
      <c r="BA699" s="238"/>
      <c r="BB699" s="238"/>
      <c r="BC699" s="238"/>
      <c r="BD699" s="238"/>
      <c r="BE699" s="239"/>
      <c r="BF699" s="237">
        <f>COUNTIFS('Form Details'!$W:$W,"Staff",'Form Details'!$N:$N,"Pradeep",'Form Details'!$J:$J,$C699,'Form Details'!$D:$D,'Adv. Filter'!$A$14,'Form Details'!$D:$D,'Adv. Filter'!$B$14)</f>
        <v>0</v>
      </c>
      <c r="BG699" s="238"/>
      <c r="BH699" s="238"/>
      <c r="BI699" s="238"/>
      <c r="BJ699" s="238"/>
      <c r="BK699" s="238"/>
      <c r="BL699" s="239"/>
      <c r="BM699" s="237">
        <f>COUNTIFS('Form Details'!$W:$W,"File in Office",'Form Details'!$N:$N,"Pradeep",'Form Details'!$J:$J,$C699,'Form Details'!$D:$D,'Adv. Filter'!$A$14,'Form Details'!$D:$D,'Adv. Filter'!$B$14)</f>
        <v>0</v>
      </c>
      <c r="BN699" s="238"/>
      <c r="BO699" s="238"/>
      <c r="BP699" s="238"/>
      <c r="BQ699" s="238"/>
      <c r="BR699" s="238"/>
      <c r="BS699" s="239"/>
      <c r="BT699" s="100"/>
      <c r="BU699" s="237">
        <f>COUNTIFS('Form Details'!$AA:$AA,"No",'Form Details'!$N:$N,"Pradeep",'Form Details'!$J:$J,$C699,'Form Details'!$D:$D,'Adv. Filter'!$A$14,'Form Details'!$D:$D,'Adv. Filter'!$B$14)</f>
        <v>0</v>
      </c>
      <c r="BV699" s="238"/>
      <c r="BW699" s="238"/>
      <c r="BX699" s="238"/>
      <c r="BY699" s="238"/>
      <c r="BZ699" s="238"/>
      <c r="CA699" s="239"/>
      <c r="CB699" s="237">
        <f>COUNTIFS('Form Details'!$W:$W,"Adv/Paid",'Form Details'!$N:$N,"Pradeep",'Form Details'!$J:$J,$C699,'Form Details'!$D:$D,'Adv. Filter'!$A$14,'Form Details'!$D:$D,'Adv. Filter'!$B$14)</f>
        <v>0</v>
      </c>
      <c r="CC699" s="238"/>
      <c r="CD699" s="238"/>
      <c r="CE699" s="238"/>
      <c r="CF699" s="238"/>
      <c r="CG699" s="238"/>
      <c r="CH699" s="239"/>
      <c r="CI699" s="237">
        <f>COUNTIFS('Form Details'!$W:$W,"Adv/Paid/Reject",'Form Details'!$N:$N,"Pradeep",'Form Details'!$J:$J,$C699,'Form Details'!$D:$D,'Adv. Filter'!$A$14,'Form Details'!$D:$D,'Adv. Filter'!$B$14)</f>
        <v>0</v>
      </c>
      <c r="CJ699" s="238"/>
      <c r="CK699" s="238"/>
      <c r="CL699" s="238"/>
      <c r="CM699" s="238"/>
      <c r="CN699" s="238"/>
      <c r="CO699" s="239"/>
      <c r="CP699" s="237">
        <f>COUNTIFS('Form Details'!$W:$W,"Reject",'Form Details'!$N:$N,"Pradeep",'Form Details'!$J:$J,$C699,'Form Details'!$D:$D,'Adv. Filter'!$A$14,'Form Details'!$D:$D,'Adv. Filter'!$B$14)</f>
        <v>0</v>
      </c>
      <c r="CQ699" s="238"/>
      <c r="CR699" s="238"/>
      <c r="CS699" s="238"/>
      <c r="CT699" s="238"/>
      <c r="CU699" s="238"/>
      <c r="CV699" s="239"/>
      <c r="CW699" s="237">
        <f>COUNTIFS('Form Details'!$W:$W,"Adv/Paid/Pending",'Form Details'!$N:$N,"Pradeep",'Form Details'!$J:$J,$C699,'Form Details'!$D:$D,'Adv. Filter'!$A$14,'Form Details'!$D:$D,'Adv. Filter'!$B$14)</f>
        <v>0</v>
      </c>
      <c r="CX699" s="238"/>
      <c r="CY699" s="238"/>
      <c r="CZ699" s="238"/>
      <c r="DA699" s="238"/>
      <c r="DB699" s="238"/>
      <c r="DC699" s="239"/>
      <c r="DD699" s="237">
        <f>COUNTIFS('Form Details'!$W:$W,"Pending",'Form Details'!$N:$N,"Pradeep",'Form Details'!$J:$J,$C699,'Form Details'!$D:$D,'Adv. Filter'!$A$14,'Form Details'!$D:$D,'Adv. Filter'!$B$14)</f>
        <v>0</v>
      </c>
      <c r="DE699" s="238"/>
      <c r="DF699" s="238"/>
      <c r="DG699" s="238"/>
      <c r="DH699" s="238"/>
      <c r="DI699" s="238"/>
      <c r="DJ699" s="239"/>
      <c r="DK699" s="237">
        <f>COUNTIFS('Form Details'!$W:$W,"Adv/Paid/NoStatus",'Form Details'!$N:$N,"Pradeep",'Form Details'!$J:$J,$C699,'Form Details'!$D:$D,'Adv. Filter'!$A$14,'Form Details'!$D:$D,'Adv. Filter'!$B$14)</f>
        <v>0</v>
      </c>
      <c r="DL699" s="238"/>
      <c r="DM699" s="238"/>
      <c r="DN699" s="238"/>
      <c r="DO699" s="238"/>
      <c r="DP699" s="238"/>
      <c r="DQ699" s="239"/>
      <c r="DR699" s="237">
        <f>COUNTIFS('Form Details'!$W:$W,"No Status",'Form Details'!$N:$N,"Pradeep",'Form Details'!$J:$J,$C699,'Form Details'!$D:$D,'Adv. Filter'!$A$14,'Form Details'!$D:$D,'Adv. Filter'!$B$14)</f>
        <v>0</v>
      </c>
      <c r="DS699" s="238"/>
      <c r="DT699" s="238"/>
      <c r="DU699" s="238"/>
      <c r="DV699" s="238"/>
      <c r="DW699" s="238"/>
      <c r="DX699" s="239"/>
      <c r="DY699" s="237">
        <f>SUM(COUNTIFS('Form Details'!$W:$W,{"Wrong Entry ","Double Entry"},'Form Details'!$N:$N,"Pradeep",'Form Details'!$J:$J,$C699,'Form Details'!$D:$D,'Adv. Filter'!$A$14,'Form Details'!$D:$D,'Adv. Filter'!$B$14))</f>
        <v>0</v>
      </c>
      <c r="DZ699" s="238"/>
      <c r="EA699" s="238"/>
      <c r="EB699" s="238"/>
      <c r="EC699" s="238"/>
      <c r="ED699" s="238"/>
      <c r="EE699" s="239"/>
    </row>
    <row r="700" spans="3:135" hidden="1">
      <c r="C700" s="248" t="s">
        <v>119</v>
      </c>
      <c r="D700" s="249"/>
      <c r="E700" s="249"/>
      <c r="F700" s="249"/>
      <c r="G700" s="249"/>
      <c r="H700" s="249"/>
      <c r="I700" s="249"/>
      <c r="J700" s="249"/>
      <c r="K700" s="249"/>
      <c r="L700" s="249"/>
      <c r="M700" s="249"/>
      <c r="N700" s="249"/>
      <c r="O700" s="237">
        <f>SUM(COUNTIFS('Form Details'!$AA:$AA,{"Yes","No","-"},'Form Details'!$N:$N,"Pradeep",'Form Details'!$J:$J,$C700,'Form Details'!$D:$D,'Adv. Filter'!$A$14,'Form Details'!$D:$D,'Adv. Filter'!$B$14))</f>
        <v>0</v>
      </c>
      <c r="P700" s="238"/>
      <c r="Q700" s="238"/>
      <c r="R700" s="238"/>
      <c r="S700" s="238"/>
      <c r="T700" s="238"/>
      <c r="U700" s="239"/>
      <c r="V700" s="100"/>
      <c r="W700" s="237">
        <f>COUNTIFS('Form Details'!$AA:$AA,"Yes",'Form Details'!$N:$N,"Pradeep",'Form Details'!$J:$J,$C700,'Form Details'!$D:$D,'Adv. Filter'!$A$14,'Form Details'!$D:$D,'Adv. Filter'!$B$14)</f>
        <v>0</v>
      </c>
      <c r="X700" s="238"/>
      <c r="Y700" s="238"/>
      <c r="Z700" s="238"/>
      <c r="AA700" s="238"/>
      <c r="AB700" s="238"/>
      <c r="AC700" s="239"/>
      <c r="AD700" s="237">
        <f>COUNTIFS('Form Details'!$W:$W,"Paid",'Form Details'!$N:$N,"Pradeep",'Form Details'!$J:$J,$C700,'Form Details'!$D:$D,'Adv. Filter'!$A$14,'Form Details'!$D:$D,'Adv. Filter'!$B$14)</f>
        <v>0</v>
      </c>
      <c r="AE700" s="238"/>
      <c r="AF700" s="238"/>
      <c r="AG700" s="238"/>
      <c r="AH700" s="238"/>
      <c r="AI700" s="238"/>
      <c r="AJ700" s="239"/>
      <c r="AK700" s="237">
        <f>COUNTIFS('Form Details'!$W:$W,"Due",'Form Details'!$N:$N,"Pradeep",'Form Details'!$J:$J,$C700,'Form Details'!$D:$D,'Adv. Filter'!$A$14,'Form Details'!$D:$D,'Adv. Filter'!$B$14)</f>
        <v>0</v>
      </c>
      <c r="AL700" s="238"/>
      <c r="AM700" s="238"/>
      <c r="AN700" s="238"/>
      <c r="AO700" s="238"/>
      <c r="AP700" s="238"/>
      <c r="AQ700" s="239"/>
      <c r="AR700" s="237">
        <f>COUNTIFS('Form Details'!$W:$W,"No Fee",'Form Details'!$N:$N,"Pradeep",'Form Details'!$J:$J,$C700,'Form Details'!$D:$D,'Adv. Filter'!$A$14,'Form Details'!$D:$D,'Adv. Filter'!$B$14)</f>
        <v>0</v>
      </c>
      <c r="AS700" s="238"/>
      <c r="AT700" s="238"/>
      <c r="AU700" s="238"/>
      <c r="AV700" s="238"/>
      <c r="AW700" s="238"/>
      <c r="AX700" s="239"/>
      <c r="AY700" s="237">
        <f>COUNTIFS('Form Details'!$W:$W,"Paid/Reject",'Form Details'!$N:$N,"Pradeep",'Form Details'!$J:$J,$C700,'Form Details'!$D:$D,'Adv. Filter'!$A$14,'Form Details'!$D:$D,'Adv. Filter'!$B$14)</f>
        <v>0</v>
      </c>
      <c r="AZ700" s="238"/>
      <c r="BA700" s="238"/>
      <c r="BB700" s="238"/>
      <c r="BC700" s="238"/>
      <c r="BD700" s="238"/>
      <c r="BE700" s="239"/>
      <c r="BF700" s="237">
        <f>COUNTIFS('Form Details'!$W:$W,"Staff",'Form Details'!$N:$N,"Pradeep",'Form Details'!$J:$J,$C700,'Form Details'!$D:$D,'Adv. Filter'!$A$14,'Form Details'!$D:$D,'Adv. Filter'!$B$14)</f>
        <v>0</v>
      </c>
      <c r="BG700" s="238"/>
      <c r="BH700" s="238"/>
      <c r="BI700" s="238"/>
      <c r="BJ700" s="238"/>
      <c r="BK700" s="238"/>
      <c r="BL700" s="239"/>
      <c r="BM700" s="237">
        <f>COUNTIFS('Form Details'!$W:$W,"File in Office",'Form Details'!$N:$N,"Pradeep",'Form Details'!$J:$J,$C700,'Form Details'!$D:$D,'Adv. Filter'!$A$14,'Form Details'!$D:$D,'Adv. Filter'!$B$14)</f>
        <v>0</v>
      </c>
      <c r="BN700" s="238"/>
      <c r="BO700" s="238"/>
      <c r="BP700" s="238"/>
      <c r="BQ700" s="238"/>
      <c r="BR700" s="238"/>
      <c r="BS700" s="239"/>
      <c r="BT700" s="100"/>
      <c r="BU700" s="237">
        <f>COUNTIFS('Form Details'!$AA:$AA,"No",'Form Details'!$N:$N,"Pradeep",'Form Details'!$J:$J,$C700,'Form Details'!$D:$D,'Adv. Filter'!$A$14,'Form Details'!$D:$D,'Adv. Filter'!$B$14)</f>
        <v>0</v>
      </c>
      <c r="BV700" s="238"/>
      <c r="BW700" s="238"/>
      <c r="BX700" s="238"/>
      <c r="BY700" s="238"/>
      <c r="BZ700" s="238"/>
      <c r="CA700" s="239"/>
      <c r="CB700" s="237">
        <f>COUNTIFS('Form Details'!$W:$W,"Adv/Paid",'Form Details'!$N:$N,"Pradeep",'Form Details'!$J:$J,$C700,'Form Details'!$D:$D,'Adv. Filter'!$A$14,'Form Details'!$D:$D,'Adv. Filter'!$B$14)</f>
        <v>0</v>
      </c>
      <c r="CC700" s="238"/>
      <c r="CD700" s="238"/>
      <c r="CE700" s="238"/>
      <c r="CF700" s="238"/>
      <c r="CG700" s="238"/>
      <c r="CH700" s="239"/>
      <c r="CI700" s="237">
        <f>COUNTIFS('Form Details'!$W:$W,"Adv/Paid/Reject",'Form Details'!$N:$N,"Pradeep",'Form Details'!$J:$J,$C700,'Form Details'!$D:$D,'Adv. Filter'!$A$14,'Form Details'!$D:$D,'Adv. Filter'!$B$14)</f>
        <v>0</v>
      </c>
      <c r="CJ700" s="238"/>
      <c r="CK700" s="238"/>
      <c r="CL700" s="238"/>
      <c r="CM700" s="238"/>
      <c r="CN700" s="238"/>
      <c r="CO700" s="239"/>
      <c r="CP700" s="237">
        <f>COUNTIFS('Form Details'!$W:$W,"Reject",'Form Details'!$N:$N,"Pradeep",'Form Details'!$J:$J,$C700,'Form Details'!$D:$D,'Adv. Filter'!$A$14,'Form Details'!$D:$D,'Adv. Filter'!$B$14)</f>
        <v>0</v>
      </c>
      <c r="CQ700" s="238"/>
      <c r="CR700" s="238"/>
      <c r="CS700" s="238"/>
      <c r="CT700" s="238"/>
      <c r="CU700" s="238"/>
      <c r="CV700" s="239"/>
      <c r="CW700" s="237">
        <f>COUNTIFS('Form Details'!$W:$W,"Adv/Paid/Pending",'Form Details'!$N:$N,"Pradeep",'Form Details'!$J:$J,$C700,'Form Details'!$D:$D,'Adv. Filter'!$A$14,'Form Details'!$D:$D,'Adv. Filter'!$B$14)</f>
        <v>0</v>
      </c>
      <c r="CX700" s="238"/>
      <c r="CY700" s="238"/>
      <c r="CZ700" s="238"/>
      <c r="DA700" s="238"/>
      <c r="DB700" s="238"/>
      <c r="DC700" s="239"/>
      <c r="DD700" s="237">
        <f>COUNTIFS('Form Details'!$W:$W,"Pending",'Form Details'!$N:$N,"Pradeep",'Form Details'!$J:$J,$C700,'Form Details'!$D:$D,'Adv. Filter'!$A$14,'Form Details'!$D:$D,'Adv. Filter'!$B$14)</f>
        <v>0</v>
      </c>
      <c r="DE700" s="238"/>
      <c r="DF700" s="238"/>
      <c r="DG700" s="238"/>
      <c r="DH700" s="238"/>
      <c r="DI700" s="238"/>
      <c r="DJ700" s="239"/>
      <c r="DK700" s="237">
        <f>COUNTIFS('Form Details'!$W:$W,"Adv/Paid/NoStatus",'Form Details'!$N:$N,"Pradeep",'Form Details'!$J:$J,$C700,'Form Details'!$D:$D,'Adv. Filter'!$A$14,'Form Details'!$D:$D,'Adv. Filter'!$B$14)</f>
        <v>0</v>
      </c>
      <c r="DL700" s="238"/>
      <c r="DM700" s="238"/>
      <c r="DN700" s="238"/>
      <c r="DO700" s="238"/>
      <c r="DP700" s="238"/>
      <c r="DQ700" s="239"/>
      <c r="DR700" s="237">
        <f>COUNTIFS('Form Details'!$W:$W,"No Status",'Form Details'!$N:$N,"Pradeep",'Form Details'!$J:$J,$C700,'Form Details'!$D:$D,'Adv. Filter'!$A$14,'Form Details'!$D:$D,'Adv. Filter'!$B$14)</f>
        <v>0</v>
      </c>
      <c r="DS700" s="238"/>
      <c r="DT700" s="238"/>
      <c r="DU700" s="238"/>
      <c r="DV700" s="238"/>
      <c r="DW700" s="238"/>
      <c r="DX700" s="239"/>
      <c r="DY700" s="237">
        <f>SUM(COUNTIFS('Form Details'!$W:$W,{"Wrong Entry ","Double Entry"},'Form Details'!$N:$N,"Pradeep",'Form Details'!$J:$J,$C700,'Form Details'!$D:$D,'Adv. Filter'!$A$14,'Form Details'!$D:$D,'Adv. Filter'!$B$14))</f>
        <v>0</v>
      </c>
      <c r="DZ700" s="238"/>
      <c r="EA700" s="238"/>
      <c r="EB700" s="238"/>
      <c r="EC700" s="238"/>
      <c r="ED700" s="238"/>
      <c r="EE700" s="239"/>
    </row>
    <row r="701" spans="3:135" ht="15.75" hidden="1" thickBot="1">
      <c r="C701" s="248" t="s">
        <v>92</v>
      </c>
      <c r="D701" s="249"/>
      <c r="E701" s="249"/>
      <c r="F701" s="249"/>
      <c r="G701" s="249"/>
      <c r="H701" s="249"/>
      <c r="I701" s="249"/>
      <c r="J701" s="249"/>
      <c r="K701" s="249"/>
      <c r="L701" s="249"/>
      <c r="M701" s="249"/>
      <c r="N701" s="249"/>
      <c r="O701" s="237">
        <f>SUM(COUNTIFS('Form Details'!$AA:$AA,{"Yes","No","-"},'Form Details'!$N:$N,"Pradeep",'Form Details'!$J:$J,$C701,'Form Details'!$D:$D,'Adv. Filter'!$A$14,'Form Details'!$D:$D,'Adv. Filter'!$B$14))</f>
        <v>72</v>
      </c>
      <c r="P701" s="238"/>
      <c r="Q701" s="238"/>
      <c r="R701" s="238"/>
      <c r="S701" s="238"/>
      <c r="T701" s="238"/>
      <c r="U701" s="239"/>
      <c r="V701" s="100"/>
      <c r="W701" s="237">
        <f>COUNTIFS('Form Details'!$AA:$AA,"Yes",'Form Details'!$N:$N,"Pradeep",'Form Details'!$J:$J,$C701,'Form Details'!$D:$D,'Adv. Filter'!$A$14,'Form Details'!$D:$D,'Adv. Filter'!$B$14)</f>
        <v>64</v>
      </c>
      <c r="X701" s="238"/>
      <c r="Y701" s="238"/>
      <c r="Z701" s="238"/>
      <c r="AA701" s="238"/>
      <c r="AB701" s="238"/>
      <c r="AC701" s="239"/>
      <c r="AD701" s="237">
        <f>COUNTIFS('Form Details'!$W:$W,"Paid",'Form Details'!$N:$N,"Pradeep",'Form Details'!$J:$J,$C701,'Form Details'!$D:$D,'Adv. Filter'!$A$14,'Form Details'!$D:$D,'Adv. Filter'!$B$14)</f>
        <v>48</v>
      </c>
      <c r="AE701" s="238"/>
      <c r="AF701" s="238"/>
      <c r="AG701" s="238"/>
      <c r="AH701" s="238"/>
      <c r="AI701" s="238"/>
      <c r="AJ701" s="239"/>
      <c r="AK701" s="237">
        <f>COUNTIFS('Form Details'!$W:$W,"Due",'Form Details'!$N:$N,"Pradeep",'Form Details'!$J:$J,$C701,'Form Details'!$D:$D,'Adv. Filter'!$A$14,'Form Details'!$D:$D,'Adv. Filter'!$B$14)</f>
        <v>16</v>
      </c>
      <c r="AL701" s="238"/>
      <c r="AM701" s="238"/>
      <c r="AN701" s="238"/>
      <c r="AO701" s="238"/>
      <c r="AP701" s="238"/>
      <c r="AQ701" s="239"/>
      <c r="AR701" s="237">
        <f>COUNTIFS('Form Details'!$W:$W,"No Fee",'Form Details'!$N:$N,"Pradeep",'Form Details'!$J:$J,$C701,'Form Details'!$D:$D,'Adv. Filter'!$A$14,'Form Details'!$D:$D,'Adv. Filter'!$B$14)</f>
        <v>0</v>
      </c>
      <c r="AS701" s="238"/>
      <c r="AT701" s="238"/>
      <c r="AU701" s="238"/>
      <c r="AV701" s="238"/>
      <c r="AW701" s="238"/>
      <c r="AX701" s="239"/>
      <c r="AY701" s="237">
        <f>COUNTIFS('Form Details'!$W:$W,"Paid/Reject",'Form Details'!$N:$N,"Pradeep",'Form Details'!$J:$J,$C701,'Form Details'!$D:$D,'Adv. Filter'!$A$14,'Form Details'!$D:$D,'Adv. Filter'!$B$14)</f>
        <v>0</v>
      </c>
      <c r="AZ701" s="238"/>
      <c r="BA701" s="238"/>
      <c r="BB701" s="238"/>
      <c r="BC701" s="238"/>
      <c r="BD701" s="238"/>
      <c r="BE701" s="239"/>
      <c r="BF701" s="237">
        <f>COUNTIFS('Form Details'!$W:$W,"Staff",'Form Details'!$N:$N,"Pradeep",'Form Details'!$J:$J,$C701,'Form Details'!$D:$D,'Adv. Filter'!$A$14,'Form Details'!$D:$D,'Adv. Filter'!$B$14)</f>
        <v>0</v>
      </c>
      <c r="BG701" s="238"/>
      <c r="BH701" s="238"/>
      <c r="BI701" s="238"/>
      <c r="BJ701" s="238"/>
      <c r="BK701" s="238"/>
      <c r="BL701" s="239"/>
      <c r="BM701" s="237">
        <f>COUNTIFS('Form Details'!$W:$W,"File in Office",'Form Details'!$N:$N,"Pradeep",'Form Details'!$J:$J,$C701,'Form Details'!$D:$D,'Adv. Filter'!$A$14,'Form Details'!$D:$D,'Adv. Filter'!$B$14)</f>
        <v>0</v>
      </c>
      <c r="BN701" s="238"/>
      <c r="BO701" s="238"/>
      <c r="BP701" s="238"/>
      <c r="BQ701" s="238"/>
      <c r="BR701" s="238"/>
      <c r="BS701" s="239"/>
      <c r="BT701" s="100"/>
      <c r="BU701" s="237">
        <f>COUNTIFS('Form Details'!$AA:$AA,"No",'Form Details'!$N:$N,"Pradeep",'Form Details'!$J:$J,$C701,'Form Details'!$D:$D,'Adv. Filter'!$A$14,'Form Details'!$D:$D,'Adv. Filter'!$B$14)</f>
        <v>8</v>
      </c>
      <c r="BV701" s="238"/>
      <c r="BW701" s="238"/>
      <c r="BX701" s="238"/>
      <c r="BY701" s="238"/>
      <c r="BZ701" s="238"/>
      <c r="CA701" s="239"/>
      <c r="CB701" s="237">
        <f>COUNTIFS('Form Details'!$W:$W,"Adv/Paid",'Form Details'!$N:$N,"Pradeep",'Form Details'!$J:$J,$C701,'Form Details'!$D:$D,'Adv. Filter'!$A$14,'Form Details'!$D:$D,'Adv. Filter'!$B$14)</f>
        <v>0</v>
      </c>
      <c r="CC701" s="238"/>
      <c r="CD701" s="238"/>
      <c r="CE701" s="238"/>
      <c r="CF701" s="238"/>
      <c r="CG701" s="238"/>
      <c r="CH701" s="239"/>
      <c r="CI701" s="237">
        <f>COUNTIFS('Form Details'!$W:$W,"Adv/Paid/Reject",'Form Details'!$N:$N,"Pradeep",'Form Details'!$J:$J,$C701,'Form Details'!$D:$D,'Adv. Filter'!$A$14,'Form Details'!$D:$D,'Adv. Filter'!$B$14)</f>
        <v>0</v>
      </c>
      <c r="CJ701" s="238"/>
      <c r="CK701" s="238"/>
      <c r="CL701" s="238"/>
      <c r="CM701" s="238"/>
      <c r="CN701" s="238"/>
      <c r="CO701" s="239"/>
      <c r="CP701" s="237">
        <f>COUNTIFS('Form Details'!$W:$W,"Reject",'Form Details'!$N:$N,"Pradeep",'Form Details'!$J:$J,$C701,'Form Details'!$D:$D,'Adv. Filter'!$A$14,'Form Details'!$D:$D,'Adv. Filter'!$B$14)</f>
        <v>1</v>
      </c>
      <c r="CQ701" s="238"/>
      <c r="CR701" s="238"/>
      <c r="CS701" s="238"/>
      <c r="CT701" s="238"/>
      <c r="CU701" s="238"/>
      <c r="CV701" s="239"/>
      <c r="CW701" s="237">
        <f>COUNTIFS('Form Details'!$W:$W,"Adv/Paid/Pending",'Form Details'!$N:$N,"Pradeep",'Form Details'!$J:$J,$C701,'Form Details'!$D:$D,'Adv. Filter'!$A$14,'Form Details'!$D:$D,'Adv. Filter'!$B$14)</f>
        <v>0</v>
      </c>
      <c r="CX701" s="238"/>
      <c r="CY701" s="238"/>
      <c r="CZ701" s="238"/>
      <c r="DA701" s="238"/>
      <c r="DB701" s="238"/>
      <c r="DC701" s="239"/>
      <c r="DD701" s="237">
        <f>COUNTIFS('Form Details'!$W:$W,"Pending",'Form Details'!$N:$N,"Pradeep",'Form Details'!$J:$J,$C701,'Form Details'!$D:$D,'Adv. Filter'!$A$14,'Form Details'!$D:$D,'Adv. Filter'!$B$14)</f>
        <v>0</v>
      </c>
      <c r="DE701" s="238"/>
      <c r="DF701" s="238"/>
      <c r="DG701" s="238"/>
      <c r="DH701" s="238"/>
      <c r="DI701" s="238"/>
      <c r="DJ701" s="239"/>
      <c r="DK701" s="237">
        <f>COUNTIFS('Form Details'!$W:$W,"Adv/Paid/NoStatus",'Form Details'!$N:$N,"Pradeep",'Form Details'!$J:$J,$C701,'Form Details'!$D:$D,'Adv. Filter'!$A$14,'Form Details'!$D:$D,'Adv. Filter'!$B$14)</f>
        <v>0</v>
      </c>
      <c r="DL701" s="238"/>
      <c r="DM701" s="238"/>
      <c r="DN701" s="238"/>
      <c r="DO701" s="238"/>
      <c r="DP701" s="238"/>
      <c r="DQ701" s="239"/>
      <c r="DR701" s="237">
        <f>COUNTIFS('Form Details'!$W:$W,"No Status",'Form Details'!$N:$N,"Pradeep",'Form Details'!$J:$J,$C701,'Form Details'!$D:$D,'Adv. Filter'!$A$14,'Form Details'!$D:$D,'Adv. Filter'!$B$14)</f>
        <v>6</v>
      </c>
      <c r="DS701" s="238"/>
      <c r="DT701" s="238"/>
      <c r="DU701" s="238"/>
      <c r="DV701" s="238"/>
      <c r="DW701" s="238"/>
      <c r="DX701" s="239"/>
      <c r="DY701" s="237">
        <f>SUM(COUNTIFS('Form Details'!$W:$W,{"Wrong Entry ","Double Entry"},'Form Details'!$N:$N,"Pradeep",'Form Details'!$J:$J,$C701,'Form Details'!$D:$D,'Adv. Filter'!$A$14,'Form Details'!$D:$D,'Adv. Filter'!$B$14))</f>
        <v>1</v>
      </c>
      <c r="DZ701" s="238"/>
      <c r="EA701" s="238"/>
      <c r="EB701" s="238"/>
      <c r="EC701" s="238"/>
      <c r="ED701" s="238"/>
      <c r="EE701" s="239"/>
    </row>
    <row r="702" spans="3:135" hidden="1">
      <c r="C702" s="248" t="s">
        <v>97</v>
      </c>
      <c r="D702" s="249"/>
      <c r="E702" s="249"/>
      <c r="F702" s="249"/>
      <c r="G702" s="249"/>
      <c r="H702" s="249"/>
      <c r="I702" s="249"/>
      <c r="J702" s="249"/>
      <c r="K702" s="249"/>
      <c r="L702" s="249"/>
      <c r="M702" s="249"/>
      <c r="N702" s="249"/>
      <c r="O702" s="237">
        <f>SUM(COUNTIFS('Form Details'!$AA:$AA,{"Yes","No","-"},'Form Details'!$N:$N,"Pradeep",'Form Details'!$J:$J,$C702,'Form Details'!$D:$D,'Adv. Filter'!$A$14,'Form Details'!$D:$D,'Adv. Filter'!$B$14))</f>
        <v>0</v>
      </c>
      <c r="P702" s="238"/>
      <c r="Q702" s="238"/>
      <c r="R702" s="238"/>
      <c r="S702" s="238"/>
      <c r="T702" s="238"/>
      <c r="U702" s="239"/>
      <c r="V702" s="100"/>
      <c r="W702" s="237">
        <f>COUNTIFS('Form Details'!$AA:$AA,"Yes",'Form Details'!$N:$N,"Pradeep",'Form Details'!$J:$J,$C702,'Form Details'!$D:$D,'Adv. Filter'!$A$14,'Form Details'!$D:$D,'Adv. Filter'!$B$14)</f>
        <v>0</v>
      </c>
      <c r="X702" s="238"/>
      <c r="Y702" s="238"/>
      <c r="Z702" s="238"/>
      <c r="AA702" s="238"/>
      <c r="AB702" s="238"/>
      <c r="AC702" s="239"/>
      <c r="AD702" s="237">
        <f>COUNTIFS('Form Details'!$W:$W,"Paid",'Form Details'!$N:$N,"Pradeep",'Form Details'!$J:$J,$C702,'Form Details'!$D:$D,'Adv. Filter'!$A$14,'Form Details'!$D:$D,'Adv. Filter'!$B$14)</f>
        <v>0</v>
      </c>
      <c r="AE702" s="238"/>
      <c r="AF702" s="238"/>
      <c r="AG702" s="238"/>
      <c r="AH702" s="238"/>
      <c r="AI702" s="238"/>
      <c r="AJ702" s="239"/>
      <c r="AK702" s="237">
        <f>COUNTIFS('Form Details'!$W:$W,"Due",'Form Details'!$N:$N,"Pradeep",'Form Details'!$J:$J,$C702,'Form Details'!$D:$D,'Adv. Filter'!$A$14,'Form Details'!$D:$D,'Adv. Filter'!$B$14)</f>
        <v>0</v>
      </c>
      <c r="AL702" s="238"/>
      <c r="AM702" s="238"/>
      <c r="AN702" s="238"/>
      <c r="AO702" s="238"/>
      <c r="AP702" s="238"/>
      <c r="AQ702" s="239"/>
      <c r="AR702" s="237">
        <f>COUNTIFS('Form Details'!$W:$W,"No Fee",'Form Details'!$N:$N,"Pradeep",'Form Details'!$J:$J,$C702,'Form Details'!$D:$D,'Adv. Filter'!$A$14,'Form Details'!$D:$D,'Adv. Filter'!$B$14)</f>
        <v>0</v>
      </c>
      <c r="AS702" s="238"/>
      <c r="AT702" s="238"/>
      <c r="AU702" s="238"/>
      <c r="AV702" s="238"/>
      <c r="AW702" s="238"/>
      <c r="AX702" s="239"/>
      <c r="AY702" s="237">
        <f>COUNTIFS('Form Details'!$W:$W,"Paid/Reject",'Form Details'!$N:$N,"Pradeep",'Form Details'!$J:$J,$C702,'Form Details'!$D:$D,'Adv. Filter'!$A$14,'Form Details'!$D:$D,'Adv. Filter'!$B$14)</f>
        <v>0</v>
      </c>
      <c r="AZ702" s="238"/>
      <c r="BA702" s="238"/>
      <c r="BB702" s="238"/>
      <c r="BC702" s="238"/>
      <c r="BD702" s="238"/>
      <c r="BE702" s="239"/>
      <c r="BF702" s="237">
        <f>COUNTIFS('Form Details'!$W:$W,"Staff",'Form Details'!$N:$N,"Pradeep",'Form Details'!$J:$J,$C702,'Form Details'!$D:$D,'Adv. Filter'!$A$14,'Form Details'!$D:$D,'Adv. Filter'!$B$14)</f>
        <v>0</v>
      </c>
      <c r="BG702" s="238"/>
      <c r="BH702" s="238"/>
      <c r="BI702" s="238"/>
      <c r="BJ702" s="238"/>
      <c r="BK702" s="238"/>
      <c r="BL702" s="239"/>
      <c r="BM702" s="237">
        <f>COUNTIFS('Form Details'!$W:$W,"File in Office",'Form Details'!$N:$N,"Pradeep",'Form Details'!$J:$J,$C702,'Form Details'!$D:$D,'Adv. Filter'!$A$14,'Form Details'!$D:$D,'Adv. Filter'!$B$14)</f>
        <v>0</v>
      </c>
      <c r="BN702" s="238"/>
      <c r="BO702" s="238"/>
      <c r="BP702" s="238"/>
      <c r="BQ702" s="238"/>
      <c r="BR702" s="238"/>
      <c r="BS702" s="239"/>
      <c r="BT702" s="100"/>
      <c r="BU702" s="237">
        <f>COUNTIFS('Form Details'!$AA:$AA,"No",'Form Details'!$N:$N,"Pradeep",'Form Details'!$J:$J,$C702,'Form Details'!$D:$D,'Adv. Filter'!$A$14,'Form Details'!$D:$D,'Adv. Filter'!$B$14)</f>
        <v>0</v>
      </c>
      <c r="BV702" s="238"/>
      <c r="BW702" s="238"/>
      <c r="BX702" s="238"/>
      <c r="BY702" s="238"/>
      <c r="BZ702" s="238"/>
      <c r="CA702" s="239"/>
      <c r="CB702" s="237">
        <f>COUNTIFS('Form Details'!$W:$W,"Adv/Paid",'Form Details'!$N:$N,"Pradeep",'Form Details'!$J:$J,$C702,'Form Details'!$D:$D,'Adv. Filter'!$A$14,'Form Details'!$D:$D,'Adv. Filter'!$B$14)</f>
        <v>0</v>
      </c>
      <c r="CC702" s="238"/>
      <c r="CD702" s="238"/>
      <c r="CE702" s="238"/>
      <c r="CF702" s="238"/>
      <c r="CG702" s="238"/>
      <c r="CH702" s="239"/>
      <c r="CI702" s="237">
        <f>COUNTIFS('Form Details'!$W:$W,"Adv/Paid/Reject",'Form Details'!$N:$N,"Pradeep",'Form Details'!$J:$J,$C702,'Form Details'!$D:$D,'Adv. Filter'!$A$14,'Form Details'!$D:$D,'Adv. Filter'!$B$14)</f>
        <v>0</v>
      </c>
      <c r="CJ702" s="238"/>
      <c r="CK702" s="238"/>
      <c r="CL702" s="238"/>
      <c r="CM702" s="238"/>
      <c r="CN702" s="238"/>
      <c r="CO702" s="239"/>
      <c r="CP702" s="237">
        <f>COUNTIFS('Form Details'!$W:$W,"Reject",'Form Details'!$N:$N,"Pradeep",'Form Details'!$J:$J,$C702,'Form Details'!$D:$D,'Adv. Filter'!$A$14,'Form Details'!$D:$D,'Adv. Filter'!$B$14)</f>
        <v>0</v>
      </c>
      <c r="CQ702" s="238"/>
      <c r="CR702" s="238"/>
      <c r="CS702" s="238"/>
      <c r="CT702" s="238"/>
      <c r="CU702" s="238"/>
      <c r="CV702" s="239"/>
      <c r="CW702" s="237">
        <f>COUNTIFS('Form Details'!$W:$W,"Adv/Paid/Pending",'Form Details'!$N:$N,"Pradeep",'Form Details'!$J:$J,$C702,'Form Details'!$D:$D,'Adv. Filter'!$A$14,'Form Details'!$D:$D,'Adv. Filter'!$B$14)</f>
        <v>0</v>
      </c>
      <c r="CX702" s="238"/>
      <c r="CY702" s="238"/>
      <c r="CZ702" s="238"/>
      <c r="DA702" s="238"/>
      <c r="DB702" s="238"/>
      <c r="DC702" s="239"/>
      <c r="DD702" s="237">
        <f>COUNTIFS('Form Details'!$W:$W,"Pending",'Form Details'!$N:$N,"Pradeep",'Form Details'!$J:$J,$C702,'Form Details'!$D:$D,'Adv. Filter'!$A$14,'Form Details'!$D:$D,'Adv. Filter'!$B$14)</f>
        <v>0</v>
      </c>
      <c r="DE702" s="238"/>
      <c r="DF702" s="238"/>
      <c r="DG702" s="238"/>
      <c r="DH702" s="238"/>
      <c r="DI702" s="238"/>
      <c r="DJ702" s="239"/>
      <c r="DK702" s="237">
        <f>COUNTIFS('Form Details'!$W:$W,"Adv/Paid/NoStatus",'Form Details'!$N:$N,"Pradeep",'Form Details'!$J:$J,$C702,'Form Details'!$D:$D,'Adv. Filter'!$A$14,'Form Details'!$D:$D,'Adv. Filter'!$B$14)</f>
        <v>0</v>
      </c>
      <c r="DL702" s="238"/>
      <c r="DM702" s="238"/>
      <c r="DN702" s="238"/>
      <c r="DO702" s="238"/>
      <c r="DP702" s="238"/>
      <c r="DQ702" s="239"/>
      <c r="DR702" s="237">
        <f>COUNTIFS('Form Details'!$W:$W,"No Status",'Form Details'!$N:$N,"Pradeep",'Form Details'!$J:$J,$C702,'Form Details'!$D:$D,'Adv. Filter'!$A$14,'Form Details'!$D:$D,'Adv. Filter'!$B$14)</f>
        <v>0</v>
      </c>
      <c r="DS702" s="238"/>
      <c r="DT702" s="238"/>
      <c r="DU702" s="238"/>
      <c r="DV702" s="238"/>
      <c r="DW702" s="238"/>
      <c r="DX702" s="239"/>
      <c r="DY702" s="237">
        <f>SUM(COUNTIFS('Form Details'!$W:$W,{"Wrong Entry ","Double Entry"},'Form Details'!$N:$N,"Pradeep",'Form Details'!$J:$J,$C702,'Form Details'!$D:$D,'Adv. Filter'!$A$14,'Form Details'!$D:$D,'Adv. Filter'!$B$14))</f>
        <v>0</v>
      </c>
      <c r="DZ702" s="238"/>
      <c r="EA702" s="238"/>
      <c r="EB702" s="238"/>
      <c r="EC702" s="238"/>
      <c r="ED702" s="238"/>
      <c r="EE702" s="239"/>
    </row>
    <row r="703" spans="3:135" hidden="1">
      <c r="C703" s="248" t="s">
        <v>102</v>
      </c>
      <c r="D703" s="249"/>
      <c r="E703" s="249"/>
      <c r="F703" s="249"/>
      <c r="G703" s="249"/>
      <c r="H703" s="249"/>
      <c r="I703" s="249"/>
      <c r="J703" s="249"/>
      <c r="K703" s="249"/>
      <c r="L703" s="249"/>
      <c r="M703" s="249"/>
      <c r="N703" s="249"/>
      <c r="O703" s="237">
        <f>SUM(COUNTIFS('Form Details'!$AA:$AA,{"Yes","No","-"},'Form Details'!$N:$N,"Pradeep",'Form Details'!$J:$J,$C703,'Form Details'!$D:$D,'Adv. Filter'!$A$14,'Form Details'!$D:$D,'Adv. Filter'!$B$14))</f>
        <v>0</v>
      </c>
      <c r="P703" s="238"/>
      <c r="Q703" s="238"/>
      <c r="R703" s="238"/>
      <c r="S703" s="238"/>
      <c r="T703" s="238"/>
      <c r="U703" s="239"/>
      <c r="V703" s="100"/>
      <c r="W703" s="237">
        <f>COUNTIFS('Form Details'!$AA:$AA,"Yes",'Form Details'!$N:$N,"Pradeep",'Form Details'!$J:$J,$C703,'Form Details'!$D:$D,'Adv. Filter'!$A$14,'Form Details'!$D:$D,'Adv. Filter'!$B$14)</f>
        <v>0</v>
      </c>
      <c r="X703" s="238"/>
      <c r="Y703" s="238"/>
      <c r="Z703" s="238"/>
      <c r="AA703" s="238"/>
      <c r="AB703" s="238"/>
      <c r="AC703" s="239"/>
      <c r="AD703" s="237">
        <f>COUNTIFS('Form Details'!$W:$W,"Paid",'Form Details'!$N:$N,"Pradeep",'Form Details'!$J:$J,$C703,'Form Details'!$D:$D,'Adv. Filter'!$A$14,'Form Details'!$D:$D,'Adv. Filter'!$B$14)</f>
        <v>0</v>
      </c>
      <c r="AE703" s="238"/>
      <c r="AF703" s="238"/>
      <c r="AG703" s="238"/>
      <c r="AH703" s="238"/>
      <c r="AI703" s="238"/>
      <c r="AJ703" s="239"/>
      <c r="AK703" s="237">
        <f>COUNTIFS('Form Details'!$W:$W,"Due",'Form Details'!$N:$N,"Pradeep",'Form Details'!$J:$J,$C703,'Form Details'!$D:$D,'Adv. Filter'!$A$14,'Form Details'!$D:$D,'Adv. Filter'!$B$14)</f>
        <v>0</v>
      </c>
      <c r="AL703" s="238"/>
      <c r="AM703" s="238"/>
      <c r="AN703" s="238"/>
      <c r="AO703" s="238"/>
      <c r="AP703" s="238"/>
      <c r="AQ703" s="239"/>
      <c r="AR703" s="237">
        <f>COUNTIFS('Form Details'!$W:$W,"No Fee",'Form Details'!$N:$N,"Pradeep",'Form Details'!$J:$J,$C703,'Form Details'!$D:$D,'Adv. Filter'!$A$14,'Form Details'!$D:$D,'Adv. Filter'!$B$14)</f>
        <v>0</v>
      </c>
      <c r="AS703" s="238"/>
      <c r="AT703" s="238"/>
      <c r="AU703" s="238"/>
      <c r="AV703" s="238"/>
      <c r="AW703" s="238"/>
      <c r="AX703" s="239"/>
      <c r="AY703" s="237">
        <f>COUNTIFS('Form Details'!$W:$W,"Paid/Reject",'Form Details'!$N:$N,"Pradeep",'Form Details'!$J:$J,$C703,'Form Details'!$D:$D,'Adv. Filter'!$A$14,'Form Details'!$D:$D,'Adv. Filter'!$B$14)</f>
        <v>0</v>
      </c>
      <c r="AZ703" s="238"/>
      <c r="BA703" s="238"/>
      <c r="BB703" s="238"/>
      <c r="BC703" s="238"/>
      <c r="BD703" s="238"/>
      <c r="BE703" s="239"/>
      <c r="BF703" s="237">
        <f>COUNTIFS('Form Details'!$W:$W,"Staff",'Form Details'!$N:$N,"Pradeep",'Form Details'!$J:$J,$C703,'Form Details'!$D:$D,'Adv. Filter'!$A$14,'Form Details'!$D:$D,'Adv. Filter'!$B$14)</f>
        <v>0</v>
      </c>
      <c r="BG703" s="238"/>
      <c r="BH703" s="238"/>
      <c r="BI703" s="238"/>
      <c r="BJ703" s="238"/>
      <c r="BK703" s="238"/>
      <c r="BL703" s="239"/>
      <c r="BM703" s="237">
        <f>COUNTIFS('Form Details'!$W:$W,"File in Office",'Form Details'!$N:$N,"Pradeep",'Form Details'!$J:$J,$C703,'Form Details'!$D:$D,'Adv. Filter'!$A$14,'Form Details'!$D:$D,'Adv. Filter'!$B$14)</f>
        <v>0</v>
      </c>
      <c r="BN703" s="238"/>
      <c r="BO703" s="238"/>
      <c r="BP703" s="238"/>
      <c r="BQ703" s="238"/>
      <c r="BR703" s="238"/>
      <c r="BS703" s="239"/>
      <c r="BT703" s="100"/>
      <c r="BU703" s="237">
        <f>COUNTIFS('Form Details'!$AA:$AA,"No",'Form Details'!$N:$N,"Pradeep",'Form Details'!$J:$J,$C703,'Form Details'!$D:$D,'Adv. Filter'!$A$14,'Form Details'!$D:$D,'Adv. Filter'!$B$14)</f>
        <v>0</v>
      </c>
      <c r="BV703" s="238"/>
      <c r="BW703" s="238"/>
      <c r="BX703" s="238"/>
      <c r="BY703" s="238"/>
      <c r="BZ703" s="238"/>
      <c r="CA703" s="239"/>
      <c r="CB703" s="237">
        <f>COUNTIFS('Form Details'!$W:$W,"Adv/Paid",'Form Details'!$N:$N,"Pradeep",'Form Details'!$J:$J,$C703,'Form Details'!$D:$D,'Adv. Filter'!$A$14,'Form Details'!$D:$D,'Adv. Filter'!$B$14)</f>
        <v>0</v>
      </c>
      <c r="CC703" s="238"/>
      <c r="CD703" s="238"/>
      <c r="CE703" s="238"/>
      <c r="CF703" s="238"/>
      <c r="CG703" s="238"/>
      <c r="CH703" s="239"/>
      <c r="CI703" s="237">
        <f>COUNTIFS('Form Details'!$W:$W,"Adv/Paid/Reject",'Form Details'!$N:$N,"Pradeep",'Form Details'!$J:$J,$C703,'Form Details'!$D:$D,'Adv. Filter'!$A$14,'Form Details'!$D:$D,'Adv. Filter'!$B$14)</f>
        <v>0</v>
      </c>
      <c r="CJ703" s="238"/>
      <c r="CK703" s="238"/>
      <c r="CL703" s="238"/>
      <c r="CM703" s="238"/>
      <c r="CN703" s="238"/>
      <c r="CO703" s="239"/>
      <c r="CP703" s="237">
        <f>COUNTIFS('Form Details'!$W:$W,"Reject",'Form Details'!$N:$N,"Pradeep",'Form Details'!$J:$J,$C703,'Form Details'!$D:$D,'Adv. Filter'!$A$14,'Form Details'!$D:$D,'Adv. Filter'!$B$14)</f>
        <v>0</v>
      </c>
      <c r="CQ703" s="238"/>
      <c r="CR703" s="238"/>
      <c r="CS703" s="238"/>
      <c r="CT703" s="238"/>
      <c r="CU703" s="238"/>
      <c r="CV703" s="239"/>
      <c r="CW703" s="237">
        <f>COUNTIFS('Form Details'!$W:$W,"Adv/Paid/Pending",'Form Details'!$N:$N,"Pradeep",'Form Details'!$J:$J,$C703,'Form Details'!$D:$D,'Adv. Filter'!$A$14,'Form Details'!$D:$D,'Adv. Filter'!$B$14)</f>
        <v>0</v>
      </c>
      <c r="CX703" s="238"/>
      <c r="CY703" s="238"/>
      <c r="CZ703" s="238"/>
      <c r="DA703" s="238"/>
      <c r="DB703" s="238"/>
      <c r="DC703" s="239"/>
      <c r="DD703" s="237">
        <f>COUNTIFS('Form Details'!$W:$W,"Pending",'Form Details'!$N:$N,"Pradeep",'Form Details'!$J:$J,$C703,'Form Details'!$D:$D,'Adv. Filter'!$A$14,'Form Details'!$D:$D,'Adv. Filter'!$B$14)</f>
        <v>0</v>
      </c>
      <c r="DE703" s="238"/>
      <c r="DF703" s="238"/>
      <c r="DG703" s="238"/>
      <c r="DH703" s="238"/>
      <c r="DI703" s="238"/>
      <c r="DJ703" s="239"/>
      <c r="DK703" s="237">
        <f>COUNTIFS('Form Details'!$W:$W,"Adv/Paid/NoStatus",'Form Details'!$N:$N,"Pradeep",'Form Details'!$J:$J,$C703,'Form Details'!$D:$D,'Adv. Filter'!$A$14,'Form Details'!$D:$D,'Adv. Filter'!$B$14)</f>
        <v>0</v>
      </c>
      <c r="DL703" s="238"/>
      <c r="DM703" s="238"/>
      <c r="DN703" s="238"/>
      <c r="DO703" s="238"/>
      <c r="DP703" s="238"/>
      <c r="DQ703" s="239"/>
      <c r="DR703" s="237">
        <f>COUNTIFS('Form Details'!$W:$W,"No Status",'Form Details'!$N:$N,"Pradeep",'Form Details'!$J:$J,$C703,'Form Details'!$D:$D,'Adv. Filter'!$A$14,'Form Details'!$D:$D,'Adv. Filter'!$B$14)</f>
        <v>0</v>
      </c>
      <c r="DS703" s="238"/>
      <c r="DT703" s="238"/>
      <c r="DU703" s="238"/>
      <c r="DV703" s="238"/>
      <c r="DW703" s="238"/>
      <c r="DX703" s="239"/>
      <c r="DY703" s="237">
        <f>SUM(COUNTIFS('Form Details'!$W:$W,{"Wrong Entry ","Double Entry"},'Form Details'!$N:$N,"Pradeep",'Form Details'!$J:$J,$C703,'Form Details'!$D:$D,'Adv. Filter'!$A$14,'Form Details'!$D:$D,'Adv. Filter'!$B$14))</f>
        <v>0</v>
      </c>
      <c r="DZ703" s="238"/>
      <c r="EA703" s="238"/>
      <c r="EB703" s="238"/>
      <c r="EC703" s="238"/>
      <c r="ED703" s="238"/>
      <c r="EE703" s="239"/>
    </row>
    <row r="704" spans="3:135" ht="15.75" hidden="1" thickBot="1">
      <c r="C704" s="248" t="s">
        <v>108</v>
      </c>
      <c r="D704" s="249"/>
      <c r="E704" s="249"/>
      <c r="F704" s="249"/>
      <c r="G704" s="249"/>
      <c r="H704" s="249"/>
      <c r="I704" s="249"/>
      <c r="J704" s="249"/>
      <c r="K704" s="249"/>
      <c r="L704" s="249"/>
      <c r="M704" s="249"/>
      <c r="N704" s="249"/>
      <c r="O704" s="240">
        <f>SUM(COUNTIFS('Form Details'!$AA:$AA,{"Yes","No","-"},'Form Details'!$N:$N,"Pradeep",'Form Details'!$J:$J,$C704,'Form Details'!$D:$D,'Adv. Filter'!$A$14,'Form Details'!$D:$D,'Adv. Filter'!$B$14))</f>
        <v>0</v>
      </c>
      <c r="P704" s="241"/>
      <c r="Q704" s="241"/>
      <c r="R704" s="241"/>
      <c r="S704" s="241"/>
      <c r="T704" s="241"/>
      <c r="U704" s="242"/>
      <c r="V704" s="100"/>
      <c r="W704" s="240">
        <f>COUNTIFS('Form Details'!$AA:$AA,"Yes",'Form Details'!$N:$N,"Pradeep",'Form Details'!$J:$J,$C704,'Form Details'!$D:$D,'Adv. Filter'!$A$14,'Form Details'!$D:$D,'Adv. Filter'!$B$14)</f>
        <v>0</v>
      </c>
      <c r="X704" s="241"/>
      <c r="Y704" s="241"/>
      <c r="Z704" s="241"/>
      <c r="AA704" s="241"/>
      <c r="AB704" s="241"/>
      <c r="AC704" s="242"/>
      <c r="AD704" s="240">
        <f>COUNTIFS('Form Details'!$W:$W,"Paid",'Form Details'!$N:$N,"Pradeep",'Form Details'!$J:$J,$C704,'Form Details'!$D:$D,'Adv. Filter'!$A$14,'Form Details'!$D:$D,'Adv. Filter'!$B$14)</f>
        <v>0</v>
      </c>
      <c r="AE704" s="241"/>
      <c r="AF704" s="241"/>
      <c r="AG704" s="241"/>
      <c r="AH704" s="241"/>
      <c r="AI704" s="241"/>
      <c r="AJ704" s="242"/>
      <c r="AK704" s="240">
        <f>COUNTIFS('Form Details'!$W:$W,"Due",'Form Details'!$N:$N,"Pradeep",'Form Details'!$J:$J,$C704,'Form Details'!$D:$D,'Adv. Filter'!$A$14,'Form Details'!$D:$D,'Adv. Filter'!$B$14)</f>
        <v>0</v>
      </c>
      <c r="AL704" s="241"/>
      <c r="AM704" s="241"/>
      <c r="AN704" s="241"/>
      <c r="AO704" s="241"/>
      <c r="AP704" s="241"/>
      <c r="AQ704" s="242"/>
      <c r="AR704" s="240">
        <f>COUNTIFS('Form Details'!$W:$W,"No Fee",'Form Details'!$N:$N,"Pradeep",'Form Details'!$J:$J,$C704,'Form Details'!$D:$D,'Adv. Filter'!$A$14,'Form Details'!$D:$D,'Adv. Filter'!$B$14)</f>
        <v>0</v>
      </c>
      <c r="AS704" s="241"/>
      <c r="AT704" s="241"/>
      <c r="AU704" s="241"/>
      <c r="AV704" s="241"/>
      <c r="AW704" s="241"/>
      <c r="AX704" s="242"/>
      <c r="AY704" s="240">
        <f>COUNTIFS('Form Details'!$W:$W,"Paid/Reject",'Form Details'!$N:$N,"Pradeep",'Form Details'!$J:$J,$C704,'Form Details'!$D:$D,'Adv. Filter'!$A$14,'Form Details'!$D:$D,'Adv. Filter'!$B$14)</f>
        <v>0</v>
      </c>
      <c r="AZ704" s="241"/>
      <c r="BA704" s="241"/>
      <c r="BB704" s="241"/>
      <c r="BC704" s="241"/>
      <c r="BD704" s="241"/>
      <c r="BE704" s="242"/>
      <c r="BF704" s="240">
        <f>COUNTIFS('Form Details'!$W:$W,"Staff",'Form Details'!$N:$N,"Pradeep",'Form Details'!$J:$J,$C704,'Form Details'!$D:$D,'Adv. Filter'!$A$14,'Form Details'!$D:$D,'Adv. Filter'!$B$14)</f>
        <v>0</v>
      </c>
      <c r="BG704" s="241"/>
      <c r="BH704" s="241"/>
      <c r="BI704" s="241"/>
      <c r="BJ704" s="241"/>
      <c r="BK704" s="241"/>
      <c r="BL704" s="242"/>
      <c r="BM704" s="240">
        <f>COUNTIFS('Form Details'!$W:$W,"File in Office",'Form Details'!$N:$N,"Pradeep",'Form Details'!$J:$J,$C704,'Form Details'!$D:$D,'Adv. Filter'!$A$14,'Form Details'!$D:$D,'Adv. Filter'!$B$14)</f>
        <v>0</v>
      </c>
      <c r="BN704" s="241"/>
      <c r="BO704" s="241"/>
      <c r="BP704" s="241"/>
      <c r="BQ704" s="241"/>
      <c r="BR704" s="241"/>
      <c r="BS704" s="242"/>
      <c r="BT704" s="100"/>
      <c r="BU704" s="240">
        <f>COUNTIFS('Form Details'!$AA:$AA,"No",'Form Details'!$N:$N,"Pradeep",'Form Details'!$J:$J,$C704,'Form Details'!$D:$D,'Adv. Filter'!$A$14,'Form Details'!$D:$D,'Adv. Filter'!$B$14)</f>
        <v>0</v>
      </c>
      <c r="BV704" s="241"/>
      <c r="BW704" s="241"/>
      <c r="BX704" s="241"/>
      <c r="BY704" s="241"/>
      <c r="BZ704" s="241"/>
      <c r="CA704" s="242"/>
      <c r="CB704" s="240">
        <f>COUNTIFS('Form Details'!$W:$W,"Adv/Paid",'Form Details'!$N:$N,"Pradeep",'Form Details'!$J:$J,$C704,'Form Details'!$D:$D,'Adv. Filter'!$A$14,'Form Details'!$D:$D,'Adv. Filter'!$B$14)</f>
        <v>0</v>
      </c>
      <c r="CC704" s="241"/>
      <c r="CD704" s="241"/>
      <c r="CE704" s="241"/>
      <c r="CF704" s="241"/>
      <c r="CG704" s="241"/>
      <c r="CH704" s="242"/>
      <c r="CI704" s="240">
        <f>COUNTIFS('Form Details'!$W:$W,"Adv/Paid/Reject",'Form Details'!$N:$N,"Pradeep",'Form Details'!$J:$J,$C704,'Form Details'!$D:$D,'Adv. Filter'!$A$14,'Form Details'!$D:$D,'Adv. Filter'!$B$14)</f>
        <v>0</v>
      </c>
      <c r="CJ704" s="241"/>
      <c r="CK704" s="241"/>
      <c r="CL704" s="241"/>
      <c r="CM704" s="241"/>
      <c r="CN704" s="241"/>
      <c r="CO704" s="242"/>
      <c r="CP704" s="240">
        <f>COUNTIFS('Form Details'!$W:$W,"Reject",'Form Details'!$N:$N,"Pradeep",'Form Details'!$J:$J,$C704,'Form Details'!$D:$D,'Adv. Filter'!$A$14,'Form Details'!$D:$D,'Adv. Filter'!$B$14)</f>
        <v>0</v>
      </c>
      <c r="CQ704" s="241"/>
      <c r="CR704" s="241"/>
      <c r="CS704" s="241"/>
      <c r="CT704" s="241"/>
      <c r="CU704" s="241"/>
      <c r="CV704" s="242"/>
      <c r="CW704" s="240">
        <f>COUNTIFS('Form Details'!$W:$W,"Adv/Paid/Pending",'Form Details'!$N:$N,"Pradeep",'Form Details'!$J:$J,$C704,'Form Details'!$D:$D,'Adv. Filter'!$A$14,'Form Details'!$D:$D,'Adv. Filter'!$B$14)</f>
        <v>0</v>
      </c>
      <c r="CX704" s="241"/>
      <c r="CY704" s="241"/>
      <c r="CZ704" s="241"/>
      <c r="DA704" s="241"/>
      <c r="DB704" s="241"/>
      <c r="DC704" s="242"/>
      <c r="DD704" s="240">
        <f>COUNTIFS('Form Details'!$W:$W,"Pending",'Form Details'!$N:$N,"Pradeep",'Form Details'!$J:$J,$C704,'Form Details'!$D:$D,'Adv. Filter'!$A$14,'Form Details'!$D:$D,'Adv. Filter'!$B$14)</f>
        <v>0</v>
      </c>
      <c r="DE704" s="241"/>
      <c r="DF704" s="241"/>
      <c r="DG704" s="241"/>
      <c r="DH704" s="241"/>
      <c r="DI704" s="241"/>
      <c r="DJ704" s="242"/>
      <c r="DK704" s="240">
        <f>COUNTIFS('Form Details'!$W:$W,"Adv/Paid/NoStatus",'Form Details'!$N:$N,"Pradeep",'Form Details'!$J:$J,$C704,'Form Details'!$D:$D,'Adv. Filter'!$A$14,'Form Details'!$D:$D,'Adv. Filter'!$B$14)</f>
        <v>0</v>
      </c>
      <c r="DL704" s="241"/>
      <c r="DM704" s="241"/>
      <c r="DN704" s="241"/>
      <c r="DO704" s="241"/>
      <c r="DP704" s="241"/>
      <c r="DQ704" s="242"/>
      <c r="DR704" s="240">
        <f>COUNTIFS('Form Details'!$W:$W,"No Status",'Form Details'!$N:$N,"Pradeep",'Form Details'!$J:$J,$C704,'Form Details'!$D:$D,'Adv. Filter'!$A$14,'Form Details'!$D:$D,'Adv. Filter'!$B$14)</f>
        <v>0</v>
      </c>
      <c r="DS704" s="241"/>
      <c r="DT704" s="241"/>
      <c r="DU704" s="241"/>
      <c r="DV704" s="241"/>
      <c r="DW704" s="241"/>
      <c r="DX704" s="242"/>
      <c r="DY704" s="240">
        <f>SUM(COUNTIFS('Form Details'!$W:$W,{"Wrong Entry ","Double Entry"},'Form Details'!$N:$N,"Pradeep",'Form Details'!$J:$J,$C704,'Form Details'!$D:$D,'Adv. Filter'!$A$14,'Form Details'!$D:$D,'Adv. Filter'!$B$14))</f>
        <v>0</v>
      </c>
      <c r="DZ704" s="241"/>
      <c r="EA704" s="241"/>
      <c r="EB704" s="241"/>
      <c r="EC704" s="241"/>
      <c r="ED704" s="241"/>
      <c r="EE704" s="242"/>
    </row>
    <row r="705" spans="3:135" ht="15.75" hidden="1" thickTop="1">
      <c r="C705" s="246" t="s">
        <v>503</v>
      </c>
      <c r="D705" s="247"/>
      <c r="E705" s="247"/>
      <c r="F705" s="247"/>
      <c r="G705" s="247"/>
      <c r="H705" s="247"/>
      <c r="I705" s="247"/>
      <c r="J705" s="247"/>
      <c r="K705" s="247"/>
      <c r="L705" s="247"/>
      <c r="M705" s="247"/>
      <c r="N705" s="247"/>
      <c r="O705" s="243">
        <f>SUM(O688:U704)</f>
        <v>364</v>
      </c>
      <c r="P705" s="244"/>
      <c r="Q705" s="244"/>
      <c r="R705" s="244"/>
      <c r="S705" s="244"/>
      <c r="T705" s="244"/>
      <c r="U705" s="244"/>
      <c r="V705" s="106"/>
      <c r="W705" s="243">
        <f>SUM(W688:AC704)</f>
        <v>321</v>
      </c>
      <c r="X705" s="244"/>
      <c r="Y705" s="244"/>
      <c r="Z705" s="244"/>
      <c r="AA705" s="244"/>
      <c r="AB705" s="244"/>
      <c r="AC705" s="244"/>
      <c r="AD705" s="243">
        <f>SUM(AD688:AJ704)</f>
        <v>208</v>
      </c>
      <c r="AE705" s="244"/>
      <c r="AF705" s="244"/>
      <c r="AG705" s="244"/>
      <c r="AH705" s="244"/>
      <c r="AI705" s="244"/>
      <c r="AJ705" s="244"/>
      <c r="AK705" s="243">
        <f>SUM(AK688:AQ704)</f>
        <v>112</v>
      </c>
      <c r="AL705" s="244"/>
      <c r="AM705" s="244"/>
      <c r="AN705" s="244"/>
      <c r="AO705" s="244"/>
      <c r="AP705" s="244"/>
      <c r="AQ705" s="244"/>
      <c r="AR705" s="243">
        <f>SUM(AR688:AX704)</f>
        <v>0</v>
      </c>
      <c r="AS705" s="244"/>
      <c r="AT705" s="244"/>
      <c r="AU705" s="244"/>
      <c r="AV705" s="244"/>
      <c r="AW705" s="244"/>
      <c r="AX705" s="244"/>
      <c r="AY705" s="243">
        <f>SUM(AY688:BE704)</f>
        <v>1</v>
      </c>
      <c r="AZ705" s="244"/>
      <c r="BA705" s="244"/>
      <c r="BB705" s="244"/>
      <c r="BC705" s="244"/>
      <c r="BD705" s="244"/>
      <c r="BE705" s="244"/>
      <c r="BF705" s="243">
        <f>SUM(BF688:BL704)</f>
        <v>0</v>
      </c>
      <c r="BG705" s="244"/>
      <c r="BH705" s="244"/>
      <c r="BI705" s="244"/>
      <c r="BJ705" s="244"/>
      <c r="BK705" s="244"/>
      <c r="BL705" s="244"/>
      <c r="BM705" s="243">
        <f>SUM(BM688:BS704)</f>
        <v>1</v>
      </c>
      <c r="BN705" s="244"/>
      <c r="BO705" s="244"/>
      <c r="BP705" s="244"/>
      <c r="BQ705" s="244"/>
      <c r="BR705" s="244"/>
      <c r="BS705" s="244"/>
      <c r="BT705" s="106"/>
      <c r="BU705" s="243">
        <f>SUM(BU688:CA704)</f>
        <v>43</v>
      </c>
      <c r="BV705" s="244"/>
      <c r="BW705" s="244"/>
      <c r="BX705" s="244"/>
      <c r="BY705" s="244"/>
      <c r="BZ705" s="244"/>
      <c r="CA705" s="244"/>
      <c r="CB705" s="243">
        <f>SUM(CB688:CH704)</f>
        <v>6</v>
      </c>
      <c r="CC705" s="244"/>
      <c r="CD705" s="244"/>
      <c r="CE705" s="244"/>
      <c r="CF705" s="244"/>
      <c r="CG705" s="244"/>
      <c r="CH705" s="244"/>
      <c r="CI705" s="243">
        <f>SUM(CI688:CO704)</f>
        <v>0</v>
      </c>
      <c r="CJ705" s="244"/>
      <c r="CK705" s="244"/>
      <c r="CL705" s="244"/>
      <c r="CM705" s="244"/>
      <c r="CN705" s="244"/>
      <c r="CO705" s="244"/>
      <c r="CP705" s="243">
        <f>SUM(CP688:CV704)</f>
        <v>4</v>
      </c>
      <c r="CQ705" s="244"/>
      <c r="CR705" s="244"/>
      <c r="CS705" s="244"/>
      <c r="CT705" s="244"/>
      <c r="CU705" s="244"/>
      <c r="CV705" s="244"/>
      <c r="CW705" s="243">
        <f>SUM(CW688:DC704)</f>
        <v>0</v>
      </c>
      <c r="CX705" s="244"/>
      <c r="CY705" s="244"/>
      <c r="CZ705" s="244"/>
      <c r="DA705" s="244"/>
      <c r="DB705" s="244"/>
      <c r="DC705" s="244"/>
      <c r="DD705" s="243">
        <f>SUM(DD688:DJ704)</f>
        <v>0</v>
      </c>
      <c r="DE705" s="244"/>
      <c r="DF705" s="244"/>
      <c r="DG705" s="244"/>
      <c r="DH705" s="244"/>
      <c r="DI705" s="244"/>
      <c r="DJ705" s="244"/>
      <c r="DK705" s="243">
        <f>SUM(DK688:DQ704)</f>
        <v>0</v>
      </c>
      <c r="DL705" s="244"/>
      <c r="DM705" s="244"/>
      <c r="DN705" s="244"/>
      <c r="DO705" s="244"/>
      <c r="DP705" s="244"/>
      <c r="DQ705" s="244"/>
      <c r="DR705" s="243">
        <f>SUM(DR688:DX704)</f>
        <v>27</v>
      </c>
      <c r="DS705" s="244"/>
      <c r="DT705" s="244"/>
      <c r="DU705" s="244"/>
      <c r="DV705" s="244"/>
      <c r="DW705" s="244"/>
      <c r="DX705" s="244"/>
      <c r="DY705" s="243">
        <f>SUM(DY688:EE704)</f>
        <v>5</v>
      </c>
      <c r="DZ705" s="244"/>
      <c r="EA705" s="244"/>
      <c r="EB705" s="244"/>
      <c r="EC705" s="244"/>
      <c r="ED705" s="244"/>
      <c r="EE705" s="244"/>
    </row>
    <row r="706" spans="3:135" hidden="1">
      <c r="C706" s="100"/>
      <c r="E706" s="100"/>
      <c r="F706" s="100"/>
      <c r="G706" s="100"/>
      <c r="H706" s="100"/>
      <c r="I706" s="100"/>
      <c r="J706" s="100"/>
      <c r="K706" s="100"/>
      <c r="L706" s="100"/>
      <c r="M706" s="100"/>
      <c r="N706" s="100"/>
      <c r="O706" s="100"/>
      <c r="P706" s="100"/>
      <c r="Q706" s="100"/>
      <c r="R706" s="100"/>
      <c r="S706" s="100"/>
      <c r="T706" s="100"/>
      <c r="U706" s="100"/>
      <c r="V706" s="100"/>
      <c r="W706" s="100"/>
      <c r="X706" s="100"/>
      <c r="Y706" s="100"/>
      <c r="Z706" s="100"/>
      <c r="AA706" s="100"/>
      <c r="AB706" s="100"/>
      <c r="AC706" s="100"/>
      <c r="AD706" s="100"/>
      <c r="AE706" s="100"/>
      <c r="AF706" s="100"/>
      <c r="AG706" s="100"/>
      <c r="AH706" s="100"/>
      <c r="AI706" s="100"/>
      <c r="AJ706" s="100"/>
      <c r="AK706" s="100"/>
      <c r="AL706" s="100"/>
      <c r="AM706" s="100"/>
      <c r="AN706" s="100"/>
      <c r="AO706" s="100"/>
      <c r="AP706" s="100"/>
      <c r="AQ706" s="100"/>
      <c r="AR706" s="100"/>
      <c r="AS706" s="100"/>
      <c r="AT706" s="100"/>
      <c r="AU706" s="100"/>
      <c r="AV706" s="100"/>
      <c r="AW706" s="100"/>
      <c r="AX706" s="100"/>
      <c r="AY706" s="100"/>
      <c r="AZ706" s="100"/>
      <c r="BA706" s="100"/>
      <c r="BB706" s="100"/>
      <c r="BC706" s="100"/>
      <c r="BD706" s="100"/>
      <c r="BE706" s="100"/>
      <c r="BF706" s="100"/>
      <c r="BG706" s="100"/>
      <c r="BH706" s="100"/>
      <c r="BI706" s="100"/>
      <c r="BJ706" s="100"/>
      <c r="BK706" s="100"/>
      <c r="BL706" s="100"/>
      <c r="BM706" s="100"/>
      <c r="BN706" s="100"/>
      <c r="BO706" s="100"/>
      <c r="BP706" s="100"/>
      <c r="BQ706" s="100"/>
      <c r="BR706" s="100"/>
      <c r="BS706" s="100"/>
      <c r="BT706" s="100"/>
      <c r="BU706" s="100"/>
      <c r="BV706" s="100"/>
      <c r="BW706" s="100"/>
      <c r="BX706" s="100"/>
      <c r="BY706" s="100"/>
      <c r="BZ706" s="100"/>
      <c r="CA706" s="100"/>
      <c r="CB706" s="100"/>
      <c r="CC706" s="100"/>
      <c r="CD706" s="100"/>
      <c r="CE706" s="100"/>
      <c r="CF706" s="100"/>
      <c r="CG706" s="100"/>
      <c r="CH706" s="100"/>
      <c r="CI706" s="100"/>
      <c r="CJ706" s="100"/>
      <c r="CK706" s="100"/>
      <c r="CL706" s="100"/>
      <c r="CM706" s="100"/>
      <c r="CN706" s="100"/>
      <c r="CO706" s="100"/>
      <c r="CP706" s="100"/>
      <c r="CQ706" s="100"/>
      <c r="CR706" s="100"/>
      <c r="CS706" s="100"/>
      <c r="CT706" s="100"/>
      <c r="CU706" s="100"/>
      <c r="CV706" s="100"/>
      <c r="CW706" s="100"/>
      <c r="CX706" s="100"/>
      <c r="CY706" s="100"/>
      <c r="CZ706" s="100"/>
      <c r="DA706" s="100"/>
      <c r="DB706" s="100"/>
      <c r="DC706" s="100"/>
      <c r="DD706" s="100"/>
      <c r="DE706" s="100"/>
      <c r="DF706" s="100"/>
      <c r="DG706" s="100"/>
      <c r="DH706" s="100"/>
      <c r="DI706" s="100"/>
      <c r="DJ706" s="100"/>
      <c r="DK706" s="100"/>
      <c r="DL706" s="100"/>
      <c r="DM706" s="100"/>
      <c r="DN706" s="100"/>
      <c r="DO706" s="100"/>
      <c r="DP706" s="100"/>
      <c r="DQ706" s="100"/>
      <c r="DR706" s="100"/>
      <c r="DS706" s="100"/>
      <c r="DT706" s="100"/>
      <c r="DU706" s="100"/>
      <c r="DV706" s="100"/>
      <c r="DW706" s="100"/>
      <c r="DX706" s="100"/>
      <c r="DY706" s="100"/>
      <c r="DZ706" s="100"/>
      <c r="EA706" s="100"/>
      <c r="EB706" s="100"/>
      <c r="EC706" s="100"/>
      <c r="ED706" s="100"/>
      <c r="EE706" s="100"/>
    </row>
    <row r="707" spans="3:135" ht="15.75" hidden="1">
      <c r="C707" s="452" t="str">
        <f>CONCATENATE("PREVIOUS FORMS   ",TEXT('Adv. Filter'!$A$15,"( up to  DD-MMM-YY )"))</f>
        <v>PREVIOUS FORMS   ( up to  01-Jan-17 )</v>
      </c>
      <c r="D707" s="452"/>
      <c r="E707" s="452"/>
      <c r="F707" s="452"/>
      <c r="G707" s="452"/>
      <c r="H707" s="452"/>
      <c r="I707" s="452"/>
      <c r="J707" s="452"/>
      <c r="K707" s="452"/>
      <c r="L707" s="452"/>
      <c r="M707" s="452"/>
      <c r="N707" s="452"/>
      <c r="O707" s="452"/>
      <c r="P707" s="452"/>
      <c r="Q707" s="452"/>
      <c r="R707" s="452"/>
      <c r="S707" s="452"/>
      <c r="T707" s="452"/>
      <c r="U707" s="452"/>
      <c r="V707" s="452"/>
      <c r="W707" s="452"/>
      <c r="X707" s="452"/>
      <c r="Y707" s="452"/>
      <c r="Z707" s="452"/>
      <c r="AA707" s="452"/>
      <c r="AB707" s="452"/>
      <c r="AC707" s="452"/>
      <c r="AD707" s="452"/>
      <c r="AE707" s="452"/>
      <c r="AF707" s="452"/>
      <c r="AG707" s="452"/>
      <c r="AH707" s="452"/>
      <c r="AI707" s="452"/>
      <c r="AJ707" s="452"/>
      <c r="AK707" s="452"/>
      <c r="AL707" s="452"/>
      <c r="AM707" s="452"/>
      <c r="AN707" s="452"/>
      <c r="AO707" s="452"/>
      <c r="AP707" s="452"/>
      <c r="AQ707" s="452"/>
      <c r="AR707" s="452"/>
      <c r="AS707" s="452"/>
      <c r="AT707" s="452"/>
      <c r="AU707" s="452"/>
      <c r="AV707" s="452"/>
      <c r="AW707" s="452"/>
      <c r="AX707" s="452"/>
      <c r="AY707" s="452"/>
      <c r="AZ707" s="452"/>
      <c r="BA707" s="452"/>
      <c r="BB707" s="452"/>
      <c r="BC707" s="452"/>
      <c r="BD707" s="452"/>
      <c r="BE707" s="452"/>
      <c r="BF707" s="452"/>
      <c r="BG707" s="452"/>
      <c r="BH707" s="452"/>
      <c r="BI707" s="452"/>
      <c r="BJ707" s="452"/>
      <c r="BK707" s="452"/>
      <c r="BL707" s="452"/>
      <c r="BM707" s="452"/>
      <c r="BN707" s="452"/>
      <c r="BO707" s="452"/>
      <c r="BP707" s="452"/>
      <c r="BQ707" s="452"/>
      <c r="BR707" s="452"/>
      <c r="BS707" s="452"/>
      <c r="BT707" s="452"/>
      <c r="BU707" s="452"/>
      <c r="BV707" s="452"/>
      <c r="BW707" s="452"/>
      <c r="BX707" s="452"/>
      <c r="BY707" s="452"/>
      <c r="BZ707" s="452"/>
      <c r="CA707" s="452"/>
      <c r="CB707" s="452"/>
      <c r="CC707" s="452"/>
      <c r="CD707" s="452"/>
      <c r="CE707" s="452"/>
      <c r="CF707" s="452"/>
      <c r="CG707" s="452"/>
      <c r="CH707" s="452"/>
      <c r="CI707" s="452"/>
      <c r="CJ707" s="452"/>
      <c r="CK707" s="452"/>
      <c r="CL707" s="452"/>
      <c r="CM707" s="452"/>
      <c r="CN707" s="452"/>
      <c r="CO707" s="452"/>
      <c r="CP707" s="452"/>
      <c r="CQ707" s="452"/>
      <c r="CR707" s="452"/>
      <c r="CS707" s="452"/>
      <c r="CT707" s="452"/>
      <c r="CU707" s="452"/>
      <c r="CV707" s="452"/>
      <c r="CW707" s="452"/>
      <c r="CX707" s="452"/>
      <c r="CY707" s="452"/>
      <c r="CZ707" s="452"/>
      <c r="DA707" s="452"/>
      <c r="DB707" s="452"/>
      <c r="DC707" s="452"/>
      <c r="DD707" s="452"/>
      <c r="DE707" s="452"/>
      <c r="DF707" s="452"/>
      <c r="DG707" s="452"/>
      <c r="DH707" s="452"/>
      <c r="DI707" s="452"/>
      <c r="DJ707" s="452"/>
      <c r="DK707" s="452"/>
      <c r="DL707" s="452"/>
      <c r="DM707" s="452"/>
      <c r="DN707" s="452"/>
      <c r="DO707" s="452"/>
      <c r="DP707" s="452"/>
      <c r="DQ707" s="452"/>
      <c r="DR707" s="452"/>
      <c r="DS707" s="452"/>
      <c r="DT707" s="452"/>
      <c r="DU707" s="452"/>
      <c r="DV707" s="452"/>
      <c r="DW707" s="452"/>
      <c r="DX707" s="452"/>
      <c r="DY707" s="452"/>
      <c r="DZ707" s="452"/>
      <c r="EA707" s="452"/>
      <c r="EB707" s="452"/>
      <c r="EC707" s="452"/>
      <c r="ED707" s="452"/>
      <c r="EE707" s="452"/>
    </row>
    <row r="708" spans="3:135" hidden="1">
      <c r="C708" s="478" t="s">
        <v>513</v>
      </c>
      <c r="D708" s="478"/>
      <c r="E708" s="478"/>
      <c r="F708" s="478"/>
      <c r="G708" s="478"/>
      <c r="H708" s="478"/>
      <c r="I708" s="478"/>
      <c r="J708" s="478"/>
      <c r="K708" s="478"/>
      <c r="L708" s="478"/>
      <c r="M708" s="478"/>
      <c r="N708" s="478"/>
      <c r="O708" s="209" t="s">
        <v>117</v>
      </c>
      <c r="P708" s="209"/>
      <c r="Q708" s="209"/>
      <c r="R708" s="209"/>
      <c r="S708" s="209"/>
      <c r="T708" s="209"/>
      <c r="U708" s="209"/>
      <c r="V708" s="100"/>
      <c r="W708" s="231" t="s">
        <v>511</v>
      </c>
      <c r="X708" s="232"/>
      <c r="Y708" s="232"/>
      <c r="Z708" s="232"/>
      <c r="AA708" s="232"/>
      <c r="AB708" s="232"/>
      <c r="AC708" s="232"/>
      <c r="AD708" s="232"/>
      <c r="AE708" s="232"/>
      <c r="AF708" s="232"/>
      <c r="AG708" s="232"/>
      <c r="AH708" s="232"/>
      <c r="AI708" s="232"/>
      <c r="AJ708" s="232"/>
      <c r="AK708" s="232"/>
      <c r="AL708" s="232"/>
      <c r="AM708" s="232"/>
      <c r="AN708" s="232"/>
      <c r="AO708" s="232"/>
      <c r="AP708" s="232"/>
      <c r="AQ708" s="232"/>
      <c r="AR708" s="232"/>
      <c r="AS708" s="232"/>
      <c r="AT708" s="232"/>
      <c r="AU708" s="232"/>
      <c r="AV708" s="232"/>
      <c r="AW708" s="232"/>
      <c r="AX708" s="232"/>
      <c r="AY708" s="232"/>
      <c r="AZ708" s="232"/>
      <c r="BA708" s="232"/>
      <c r="BB708" s="232"/>
      <c r="BC708" s="232"/>
      <c r="BD708" s="232"/>
      <c r="BE708" s="232"/>
      <c r="BF708" s="232"/>
      <c r="BG708" s="232"/>
      <c r="BH708" s="232"/>
      <c r="BI708" s="232"/>
      <c r="BJ708" s="232"/>
      <c r="BK708" s="232"/>
      <c r="BL708" s="232"/>
      <c r="BM708" s="232"/>
      <c r="BN708" s="232"/>
      <c r="BO708" s="232"/>
      <c r="BP708" s="232"/>
      <c r="BQ708" s="232"/>
      <c r="BR708" s="232"/>
      <c r="BS708" s="233"/>
      <c r="BT708" s="100"/>
      <c r="BU708" s="231" t="s">
        <v>571</v>
      </c>
      <c r="BV708" s="232"/>
      <c r="BW708" s="232"/>
      <c r="BX708" s="232"/>
      <c r="BY708" s="232"/>
      <c r="BZ708" s="232"/>
      <c r="CA708" s="232"/>
      <c r="CB708" s="232"/>
      <c r="CC708" s="232"/>
      <c r="CD708" s="232"/>
      <c r="CE708" s="232"/>
      <c r="CF708" s="232"/>
      <c r="CG708" s="232"/>
      <c r="CH708" s="232"/>
      <c r="CI708" s="232"/>
      <c r="CJ708" s="232"/>
      <c r="CK708" s="232"/>
      <c r="CL708" s="232"/>
      <c r="CM708" s="232"/>
      <c r="CN708" s="232"/>
      <c r="CO708" s="232"/>
      <c r="CP708" s="232"/>
      <c r="CQ708" s="232"/>
      <c r="CR708" s="232"/>
      <c r="CS708" s="232"/>
      <c r="CT708" s="232"/>
      <c r="CU708" s="232"/>
      <c r="CV708" s="232"/>
      <c r="CW708" s="232"/>
      <c r="CX708" s="232"/>
      <c r="CY708" s="232"/>
      <c r="CZ708" s="232"/>
      <c r="DA708" s="232"/>
      <c r="DB708" s="232"/>
      <c r="DC708" s="232"/>
      <c r="DD708" s="232"/>
      <c r="DE708" s="232"/>
      <c r="DF708" s="232"/>
      <c r="DG708" s="232"/>
      <c r="DH708" s="232"/>
      <c r="DI708" s="232"/>
      <c r="DJ708" s="232"/>
      <c r="DK708" s="232"/>
      <c r="DL708" s="232"/>
      <c r="DM708" s="232"/>
      <c r="DN708" s="232"/>
      <c r="DO708" s="232"/>
      <c r="DP708" s="232"/>
      <c r="DQ708" s="232"/>
      <c r="DR708" s="232"/>
      <c r="DS708" s="232"/>
      <c r="DT708" s="232"/>
      <c r="DU708" s="232"/>
      <c r="DV708" s="232"/>
      <c r="DW708" s="232"/>
      <c r="DX708" s="232"/>
      <c r="DY708" s="232"/>
      <c r="DZ708" s="232"/>
      <c r="EA708" s="232"/>
      <c r="EB708" s="232"/>
      <c r="EC708" s="232"/>
      <c r="ED708" s="232"/>
      <c r="EE708" s="233"/>
    </row>
    <row r="709" spans="3:135" hidden="1">
      <c r="C709" s="478"/>
      <c r="D709" s="478"/>
      <c r="E709" s="478"/>
      <c r="F709" s="478"/>
      <c r="G709" s="478"/>
      <c r="H709" s="478"/>
      <c r="I709" s="478"/>
      <c r="J709" s="478"/>
      <c r="K709" s="478"/>
      <c r="L709" s="478"/>
      <c r="M709" s="478"/>
      <c r="N709" s="478"/>
      <c r="O709" s="208" t="s">
        <v>569</v>
      </c>
      <c r="P709" s="208"/>
      <c r="Q709" s="208"/>
      <c r="R709" s="208"/>
      <c r="S709" s="208"/>
      <c r="T709" s="208"/>
      <c r="U709" s="208"/>
      <c r="V709" s="100"/>
      <c r="W709" s="208" t="s">
        <v>511</v>
      </c>
      <c r="X709" s="208"/>
      <c r="Y709" s="208"/>
      <c r="Z709" s="208"/>
      <c r="AA709" s="208"/>
      <c r="AB709" s="208"/>
      <c r="AC709" s="208"/>
      <c r="AD709" s="245" t="s">
        <v>493</v>
      </c>
      <c r="AE709" s="208"/>
      <c r="AF709" s="208"/>
      <c r="AG709" s="208"/>
      <c r="AH709" s="208"/>
      <c r="AI709" s="208"/>
      <c r="AJ709" s="208"/>
      <c r="AK709" s="208" t="s">
        <v>485</v>
      </c>
      <c r="AL709" s="208"/>
      <c r="AM709" s="208"/>
      <c r="AN709" s="208"/>
      <c r="AO709" s="208"/>
      <c r="AP709" s="208"/>
      <c r="AQ709" s="208"/>
      <c r="AR709" s="208" t="s">
        <v>575</v>
      </c>
      <c r="AS709" s="208"/>
      <c r="AT709" s="208"/>
      <c r="AU709" s="208"/>
      <c r="AV709" s="208"/>
      <c r="AW709" s="208"/>
      <c r="AX709" s="208"/>
      <c r="AY709" s="208" t="s">
        <v>568</v>
      </c>
      <c r="AZ709" s="208"/>
      <c r="BA709" s="208"/>
      <c r="BB709" s="208"/>
      <c r="BC709" s="208"/>
      <c r="BD709" s="208"/>
      <c r="BE709" s="208"/>
      <c r="BF709" s="208" t="s">
        <v>492</v>
      </c>
      <c r="BG709" s="208"/>
      <c r="BH709" s="208"/>
      <c r="BI709" s="208"/>
      <c r="BJ709" s="208"/>
      <c r="BK709" s="208"/>
      <c r="BL709" s="208"/>
      <c r="BM709" s="208" t="s">
        <v>567</v>
      </c>
      <c r="BN709" s="208"/>
      <c r="BO709" s="208"/>
      <c r="BP709" s="208"/>
      <c r="BQ709" s="208"/>
      <c r="BR709" s="208"/>
      <c r="BS709" s="208"/>
      <c r="BT709" s="100"/>
      <c r="BU709" s="208" t="s">
        <v>570</v>
      </c>
      <c r="BV709" s="208"/>
      <c r="BW709" s="208"/>
      <c r="BX709" s="208"/>
      <c r="BY709" s="208"/>
      <c r="BZ709" s="208"/>
      <c r="CA709" s="208"/>
      <c r="CB709" s="208" t="s">
        <v>559</v>
      </c>
      <c r="CC709" s="208"/>
      <c r="CD709" s="208"/>
      <c r="CE709" s="208"/>
      <c r="CF709" s="208"/>
      <c r="CG709" s="208"/>
      <c r="CH709" s="208"/>
      <c r="CI709" s="208" t="s">
        <v>560</v>
      </c>
      <c r="CJ709" s="208"/>
      <c r="CK709" s="208"/>
      <c r="CL709" s="208"/>
      <c r="CM709" s="208"/>
      <c r="CN709" s="208"/>
      <c r="CO709" s="208"/>
      <c r="CP709" s="208" t="s">
        <v>561</v>
      </c>
      <c r="CQ709" s="208"/>
      <c r="CR709" s="208"/>
      <c r="CS709" s="208"/>
      <c r="CT709" s="208"/>
      <c r="CU709" s="208"/>
      <c r="CV709" s="208"/>
      <c r="CW709" s="208" t="s">
        <v>562</v>
      </c>
      <c r="CX709" s="208"/>
      <c r="CY709" s="208"/>
      <c r="CZ709" s="208"/>
      <c r="DA709" s="208"/>
      <c r="DB709" s="208"/>
      <c r="DC709" s="208"/>
      <c r="DD709" s="208" t="s">
        <v>563</v>
      </c>
      <c r="DE709" s="208"/>
      <c r="DF709" s="208"/>
      <c r="DG709" s="208"/>
      <c r="DH709" s="208"/>
      <c r="DI709" s="208"/>
      <c r="DJ709" s="208"/>
      <c r="DK709" s="208" t="s">
        <v>564</v>
      </c>
      <c r="DL709" s="208"/>
      <c r="DM709" s="208"/>
      <c r="DN709" s="208"/>
      <c r="DO709" s="208"/>
      <c r="DP709" s="208"/>
      <c r="DQ709" s="208"/>
      <c r="DR709" s="208" t="s">
        <v>565</v>
      </c>
      <c r="DS709" s="208"/>
      <c r="DT709" s="208"/>
      <c r="DU709" s="208"/>
      <c r="DV709" s="208"/>
      <c r="DW709" s="208"/>
      <c r="DX709" s="208"/>
      <c r="DY709" s="208" t="s">
        <v>566</v>
      </c>
      <c r="DZ709" s="208"/>
      <c r="EA709" s="208"/>
      <c r="EB709" s="208"/>
      <c r="EC709" s="208"/>
      <c r="ED709" s="208"/>
      <c r="EE709" s="208"/>
    </row>
    <row r="710" spans="3:135" hidden="1">
      <c r="C710" s="248" t="s">
        <v>26</v>
      </c>
      <c r="D710" s="249"/>
      <c r="E710" s="249"/>
      <c r="F710" s="249"/>
      <c r="G710" s="249"/>
      <c r="H710" s="249"/>
      <c r="I710" s="249"/>
      <c r="J710" s="249"/>
      <c r="K710" s="249"/>
      <c r="L710" s="249"/>
      <c r="M710" s="249"/>
      <c r="N710" s="249"/>
      <c r="O710" s="237">
        <f>COUNTIFS('Form Details'!$D:$D,"&lt;"&amp;'Adv. Filter'!$A$15,'Form Details'!$N:$N,"Pradeep",'Form Details'!$J:$J,$C710)</f>
        <v>0</v>
      </c>
      <c r="P710" s="238"/>
      <c r="Q710" s="238"/>
      <c r="R710" s="238"/>
      <c r="S710" s="238"/>
      <c r="T710" s="238"/>
      <c r="U710" s="239"/>
      <c r="V710" s="100"/>
      <c r="W710" s="237">
        <f>COUNTIFS('Form Details'!$D:$D,"&lt;"&amp;'Adv. Filter'!$A$15,'Form Details'!$N:$N,"Pradeep",'Form Details'!$J:$J,$C710,'Form Details'!$AA:$AA,"Yes")</f>
        <v>0</v>
      </c>
      <c r="X710" s="238"/>
      <c r="Y710" s="238"/>
      <c r="Z710" s="238"/>
      <c r="AA710" s="238"/>
      <c r="AB710" s="238"/>
      <c r="AC710" s="239"/>
      <c r="AD710" s="237">
        <f>COUNTIFS('Form Details'!$D:$D,"&lt;"&amp;'Adv. Filter'!$A$15,'Form Details'!$N:$N,"Pradeep",'Form Details'!$J:$J,$C710,'Form Details'!$W:$W,"Paid",'Form Details'!$S:$S,'Adv. Filter'!$A$14,'Form Details'!$S:$S,'Adv. Filter'!$B$14)</f>
        <v>0</v>
      </c>
      <c r="AE710" s="238"/>
      <c r="AF710" s="238"/>
      <c r="AG710" s="238"/>
      <c r="AH710" s="238"/>
      <c r="AI710" s="238"/>
      <c r="AJ710" s="239"/>
      <c r="AK710" s="237">
        <f>COUNTIFS('Form Details'!$D:$D,"&lt;"&amp;'Adv. Filter'!$A$15,'Form Details'!$N:$N,"Pradeep",'Form Details'!$J:$J,$C710,'Form Details'!$W:$W,"Due")</f>
        <v>0</v>
      </c>
      <c r="AL710" s="238"/>
      <c r="AM710" s="238"/>
      <c r="AN710" s="238"/>
      <c r="AO710" s="238"/>
      <c r="AP710" s="238"/>
      <c r="AQ710" s="239"/>
      <c r="AR710" s="234">
        <f>COUNTIFS('Form Details'!$D:$D,"&lt;"&amp;'Adv. Filter'!$A$15,'Form Details'!$N:$N,"Pradeep",'Form Details'!$J:$J,$C710,'Form Details'!$W:$W,"No Fee")</f>
        <v>0</v>
      </c>
      <c r="AS710" s="235"/>
      <c r="AT710" s="235"/>
      <c r="AU710" s="235"/>
      <c r="AV710" s="235"/>
      <c r="AW710" s="235"/>
      <c r="AX710" s="236"/>
      <c r="AY710" s="234">
        <f>COUNTIFS('Form Details'!$D:$D,"&lt;"&amp;'Adv. Filter'!$A$15,'Form Details'!$N:$N,"Pradeep",'Form Details'!$J:$J,$C710,'Form Details'!$W:$W,"Paid/Reject")</f>
        <v>0</v>
      </c>
      <c r="AZ710" s="235"/>
      <c r="BA710" s="235"/>
      <c r="BB710" s="235"/>
      <c r="BC710" s="235"/>
      <c r="BD710" s="235"/>
      <c r="BE710" s="236"/>
      <c r="BF710" s="234">
        <f>COUNTIFS('Form Details'!$D:$D,"&lt;"&amp;'Adv. Filter'!$A$15,'Form Details'!$N:$N,"Pradeep",'Form Details'!$J:$J,$C710,'Form Details'!$W:$W,"Staff")</f>
        <v>0</v>
      </c>
      <c r="BG710" s="235"/>
      <c r="BH710" s="235"/>
      <c r="BI710" s="235"/>
      <c r="BJ710" s="235"/>
      <c r="BK710" s="235"/>
      <c r="BL710" s="236"/>
      <c r="BM710" s="234">
        <f>COUNTIFS('Form Details'!$D:$D,"&lt;"&amp;'Adv. Filter'!$A$15,'Form Details'!$N:$N,"Pradeep",'Form Details'!$J:$J,$C710,'Form Details'!$W:$W,"File In Office")</f>
        <v>0</v>
      </c>
      <c r="BN710" s="235"/>
      <c r="BO710" s="235"/>
      <c r="BP710" s="235"/>
      <c r="BQ710" s="235"/>
      <c r="BR710" s="235"/>
      <c r="BS710" s="236"/>
      <c r="BT710" s="100"/>
      <c r="BU710" s="234">
        <f>COUNTIFS('Form Details'!$D:$D,"&lt;"&amp;'Adv. Filter'!$A$15,'Form Details'!$N:$N,"Pradeep",'Form Details'!$J:$J,$C710,'Form Details'!$AA:$AA,"No")</f>
        <v>0</v>
      </c>
      <c r="BV710" s="235"/>
      <c r="BW710" s="235"/>
      <c r="BX710" s="235"/>
      <c r="BY710" s="235"/>
      <c r="BZ710" s="235"/>
      <c r="CA710" s="236"/>
      <c r="CB710" s="234">
        <f>COUNTIFS('Form Details'!$D:$D,"&lt;"&amp;'Adv. Filter'!$A$15,'Form Details'!$N:$N,"Pradeep",'Form Details'!$J:$J,$C710,'Form Details'!$W:$W,"Adv/Paid")</f>
        <v>0</v>
      </c>
      <c r="CC710" s="235"/>
      <c r="CD710" s="235"/>
      <c r="CE710" s="235"/>
      <c r="CF710" s="235"/>
      <c r="CG710" s="235"/>
      <c r="CH710" s="236"/>
      <c r="CI710" s="234">
        <f>COUNTIFS('Form Details'!$D:$D,"&lt;"&amp;'Adv. Filter'!$A$15,'Form Details'!$N:$N,"Pradeep",'Form Details'!$J:$J,$C710,'Form Details'!$W:$W,"Adv/Paid/Reject")</f>
        <v>0</v>
      </c>
      <c r="CJ710" s="235"/>
      <c r="CK710" s="235"/>
      <c r="CL710" s="235"/>
      <c r="CM710" s="235"/>
      <c r="CN710" s="235"/>
      <c r="CO710" s="236"/>
      <c r="CP710" s="234">
        <f>COUNTIFS('Form Details'!$D:$D,"&lt;"&amp;'Adv. Filter'!$A$15,'Form Details'!$N:$N,"Pradeep",'Form Details'!$J:$J,$C710,'Form Details'!$W:$W,"Reject")</f>
        <v>0</v>
      </c>
      <c r="CQ710" s="235"/>
      <c r="CR710" s="235"/>
      <c r="CS710" s="235"/>
      <c r="CT710" s="235"/>
      <c r="CU710" s="235"/>
      <c r="CV710" s="236"/>
      <c r="CW710" s="234">
        <f>COUNTIFS('Form Details'!$D:$D,"&lt;"&amp;'Adv. Filter'!$A$15,'Form Details'!$N:$N,"Pradeep",'Form Details'!$J:$J,$C710,'Form Details'!$W:$W,"Adv/Paid/Pending")</f>
        <v>0</v>
      </c>
      <c r="CX710" s="235"/>
      <c r="CY710" s="235"/>
      <c r="CZ710" s="235"/>
      <c r="DA710" s="235"/>
      <c r="DB710" s="235"/>
      <c r="DC710" s="236"/>
      <c r="DD710" s="234">
        <f>COUNTIFS('Form Details'!$D:$D,"&lt;"&amp;'Adv. Filter'!$A$15,'Form Details'!$N:$N,"Pradeep",'Form Details'!$J:$J,$C710,'Form Details'!$W:$W,"Pending")</f>
        <v>0</v>
      </c>
      <c r="DE710" s="235"/>
      <c r="DF710" s="235"/>
      <c r="DG710" s="235"/>
      <c r="DH710" s="235"/>
      <c r="DI710" s="235"/>
      <c r="DJ710" s="236"/>
      <c r="DK710" s="234">
        <f>COUNTIFS('Form Details'!$D:$D,"&lt;"&amp;'Adv. Filter'!$A$15,'Form Details'!$N:$N,"Pradeep",'Form Details'!$J:$J,$C710,'Form Details'!$W:$W,"Adv/Paid/NoStatus")</f>
        <v>0</v>
      </c>
      <c r="DL710" s="235"/>
      <c r="DM710" s="235"/>
      <c r="DN710" s="235"/>
      <c r="DO710" s="235"/>
      <c r="DP710" s="235"/>
      <c r="DQ710" s="236"/>
      <c r="DR710" s="234">
        <f>COUNTIFS('Form Details'!$D:$D,"&lt;"&amp;'Adv. Filter'!$A$15,'Form Details'!$N:$N,"Pradeep",'Form Details'!$J:$J,$C710,'Form Details'!$W:$W,"No Status")</f>
        <v>0</v>
      </c>
      <c r="DS710" s="235"/>
      <c r="DT710" s="235"/>
      <c r="DU710" s="235"/>
      <c r="DV710" s="235"/>
      <c r="DW710" s="235"/>
      <c r="DX710" s="236"/>
      <c r="DY710" s="234">
        <f>SUM(COUNTIFS('Form Details'!$D:$D,"&lt;"&amp;'Adv. Filter'!$A$15,'Form Details'!$N:$N,"Pradeep",'Form Details'!$J:$J,$C710,'Form Details'!$W:$W,{"Wrong Entry ","Double Entry"}))</f>
        <v>0</v>
      </c>
      <c r="DZ710" s="235"/>
      <c r="EA710" s="235"/>
      <c r="EB710" s="235"/>
      <c r="EC710" s="235"/>
      <c r="ED710" s="235"/>
      <c r="EE710" s="236"/>
    </row>
    <row r="711" spans="3:135" hidden="1">
      <c r="C711" s="248" t="s">
        <v>38</v>
      </c>
      <c r="D711" s="249"/>
      <c r="E711" s="249"/>
      <c r="F711" s="249"/>
      <c r="G711" s="249"/>
      <c r="H711" s="249"/>
      <c r="I711" s="249"/>
      <c r="J711" s="249"/>
      <c r="K711" s="249"/>
      <c r="L711" s="249"/>
      <c r="M711" s="249"/>
      <c r="N711" s="249"/>
      <c r="O711" s="237">
        <f>COUNTIFS('Form Details'!$D:$D,"&lt;"&amp;'Adv. Filter'!$A$15,'Form Details'!$N:$N,"Pradeep",'Form Details'!$J:$J,$C711)</f>
        <v>0</v>
      </c>
      <c r="P711" s="238"/>
      <c r="Q711" s="238"/>
      <c r="R711" s="238"/>
      <c r="S711" s="238"/>
      <c r="T711" s="238"/>
      <c r="U711" s="239"/>
      <c r="V711" s="100"/>
      <c r="W711" s="237">
        <f>COUNTIFS('Form Details'!$D:$D,"&lt;"&amp;'Adv. Filter'!$A$15,'Form Details'!$N:$N,"Pradeep",'Form Details'!$J:$J,$C711,'Form Details'!$AA:$AA,"Yes")</f>
        <v>0</v>
      </c>
      <c r="X711" s="238"/>
      <c r="Y711" s="238"/>
      <c r="Z711" s="238"/>
      <c r="AA711" s="238"/>
      <c r="AB711" s="238"/>
      <c r="AC711" s="239"/>
      <c r="AD711" s="237">
        <f>COUNTIFS('Form Details'!$D:$D,"&lt;"&amp;'Adv. Filter'!$A$15,'Form Details'!$N:$N,"Pradeep",'Form Details'!$J:$J,$C711,'Form Details'!$W:$W,"Paid",'Form Details'!$S:$S,'Adv. Filter'!$A$14,'Form Details'!$S:$S,'Adv. Filter'!$B$14)</f>
        <v>0</v>
      </c>
      <c r="AE711" s="238"/>
      <c r="AF711" s="238"/>
      <c r="AG711" s="238"/>
      <c r="AH711" s="238"/>
      <c r="AI711" s="238"/>
      <c r="AJ711" s="239"/>
      <c r="AK711" s="237">
        <f>COUNTIFS('Form Details'!$D:$D,"&lt;"&amp;'Adv. Filter'!$A$15,'Form Details'!$N:$N,"Pradeep",'Form Details'!$J:$J,$C711,'Form Details'!$W:$W,"Due")</f>
        <v>0</v>
      </c>
      <c r="AL711" s="238"/>
      <c r="AM711" s="238"/>
      <c r="AN711" s="238"/>
      <c r="AO711" s="238"/>
      <c r="AP711" s="238"/>
      <c r="AQ711" s="239"/>
      <c r="AR711" s="237">
        <f>COUNTIFS('Form Details'!$D:$D,"&lt;"&amp;'Adv. Filter'!$A$15,'Form Details'!$N:$N,"Pradeep",'Form Details'!$J:$J,$C711,'Form Details'!$W:$W,"No Fee")</f>
        <v>0</v>
      </c>
      <c r="AS711" s="238"/>
      <c r="AT711" s="238"/>
      <c r="AU711" s="238"/>
      <c r="AV711" s="238"/>
      <c r="AW711" s="238"/>
      <c r="AX711" s="239"/>
      <c r="AY711" s="237">
        <f>COUNTIFS('Form Details'!$D:$D,"&lt;"&amp;'Adv. Filter'!$A$15,'Form Details'!$N:$N,"Pradeep",'Form Details'!$J:$J,$C711,'Form Details'!$W:$W,"Paid/Reject")</f>
        <v>0</v>
      </c>
      <c r="AZ711" s="238"/>
      <c r="BA711" s="238"/>
      <c r="BB711" s="238"/>
      <c r="BC711" s="238"/>
      <c r="BD711" s="238"/>
      <c r="BE711" s="239"/>
      <c r="BF711" s="237">
        <f>COUNTIFS('Form Details'!$D:$D,"&lt;"&amp;'Adv. Filter'!$A$15,'Form Details'!$N:$N,"Pradeep",'Form Details'!$J:$J,$C711,'Form Details'!$W:$W,"Staff")</f>
        <v>0</v>
      </c>
      <c r="BG711" s="238"/>
      <c r="BH711" s="238"/>
      <c r="BI711" s="238"/>
      <c r="BJ711" s="238"/>
      <c r="BK711" s="238"/>
      <c r="BL711" s="239"/>
      <c r="BM711" s="237">
        <f>COUNTIFS('Form Details'!$D:$D,"&lt;"&amp;'Adv. Filter'!$A$15,'Form Details'!$N:$N,"Pradeep",'Form Details'!$J:$J,$C711,'Form Details'!$W:$W,"File In Office")</f>
        <v>0</v>
      </c>
      <c r="BN711" s="238"/>
      <c r="BO711" s="238"/>
      <c r="BP711" s="238"/>
      <c r="BQ711" s="238"/>
      <c r="BR711" s="238"/>
      <c r="BS711" s="239"/>
      <c r="BT711" s="100"/>
      <c r="BU711" s="237">
        <f>COUNTIFS('Form Details'!$D:$D,"&lt;"&amp;'Adv. Filter'!$A$15,'Form Details'!$N:$N,"Pradeep",'Form Details'!$J:$J,$C711,'Form Details'!$AA:$AA,"No")</f>
        <v>0</v>
      </c>
      <c r="BV711" s="238"/>
      <c r="BW711" s="238"/>
      <c r="BX711" s="238"/>
      <c r="BY711" s="238"/>
      <c r="BZ711" s="238"/>
      <c r="CA711" s="239"/>
      <c r="CB711" s="237">
        <f>COUNTIFS('Form Details'!$D:$D,"&lt;"&amp;'Adv. Filter'!$A$15,'Form Details'!$N:$N,"Pradeep",'Form Details'!$J:$J,$C711,'Form Details'!$W:$W,"Adv/Paid")</f>
        <v>0</v>
      </c>
      <c r="CC711" s="238"/>
      <c r="CD711" s="238"/>
      <c r="CE711" s="238"/>
      <c r="CF711" s="238"/>
      <c r="CG711" s="238"/>
      <c r="CH711" s="239"/>
      <c r="CI711" s="237">
        <f>COUNTIFS('Form Details'!$D:$D,"&lt;"&amp;'Adv. Filter'!$A$15,'Form Details'!$N:$N,"Pradeep",'Form Details'!$J:$J,$C711,'Form Details'!$W:$W,"Adv/Paid/Reject")</f>
        <v>0</v>
      </c>
      <c r="CJ711" s="238"/>
      <c r="CK711" s="238"/>
      <c r="CL711" s="238"/>
      <c r="CM711" s="238"/>
      <c r="CN711" s="238"/>
      <c r="CO711" s="239"/>
      <c r="CP711" s="237">
        <f>COUNTIFS('Form Details'!$D:$D,"&lt;"&amp;'Adv. Filter'!$A$15,'Form Details'!$N:$N,"Pradeep",'Form Details'!$J:$J,$C711,'Form Details'!$W:$W,"Reject")</f>
        <v>0</v>
      </c>
      <c r="CQ711" s="238"/>
      <c r="CR711" s="238"/>
      <c r="CS711" s="238"/>
      <c r="CT711" s="238"/>
      <c r="CU711" s="238"/>
      <c r="CV711" s="239"/>
      <c r="CW711" s="237">
        <f>COUNTIFS('Form Details'!$D:$D,"&lt;"&amp;'Adv. Filter'!$A$15,'Form Details'!$N:$N,"Pradeep",'Form Details'!$J:$J,$C711,'Form Details'!$W:$W,"Adv/Paid/Pending")</f>
        <v>0</v>
      </c>
      <c r="CX711" s="238"/>
      <c r="CY711" s="238"/>
      <c r="CZ711" s="238"/>
      <c r="DA711" s="238"/>
      <c r="DB711" s="238"/>
      <c r="DC711" s="239"/>
      <c r="DD711" s="237">
        <f>COUNTIFS('Form Details'!$D:$D,"&lt;"&amp;'Adv. Filter'!$A$15,'Form Details'!$N:$N,"Pradeep",'Form Details'!$J:$J,$C711,'Form Details'!$W:$W,"Pending")</f>
        <v>0</v>
      </c>
      <c r="DE711" s="238"/>
      <c r="DF711" s="238"/>
      <c r="DG711" s="238"/>
      <c r="DH711" s="238"/>
      <c r="DI711" s="238"/>
      <c r="DJ711" s="239"/>
      <c r="DK711" s="237">
        <f>COUNTIFS('Form Details'!$D:$D,"&lt;"&amp;'Adv. Filter'!$A$15,'Form Details'!$N:$N,"Pradeep",'Form Details'!$J:$J,$C711,'Form Details'!$W:$W,"Adv/Paid/NoStatus")</f>
        <v>0</v>
      </c>
      <c r="DL711" s="238"/>
      <c r="DM711" s="238"/>
      <c r="DN711" s="238"/>
      <c r="DO711" s="238"/>
      <c r="DP711" s="238"/>
      <c r="DQ711" s="239"/>
      <c r="DR711" s="237">
        <f>COUNTIFS('Form Details'!$D:$D,"&lt;"&amp;'Adv. Filter'!$A$15,'Form Details'!$N:$N,"Pradeep",'Form Details'!$J:$J,$C711,'Form Details'!$W:$W,"No Status")</f>
        <v>0</v>
      </c>
      <c r="DS711" s="238"/>
      <c r="DT711" s="238"/>
      <c r="DU711" s="238"/>
      <c r="DV711" s="238"/>
      <c r="DW711" s="238"/>
      <c r="DX711" s="239"/>
      <c r="DY711" s="237">
        <f>SUM(COUNTIFS('Form Details'!$D:$D,"&lt;"&amp;'Adv. Filter'!$A$15,'Form Details'!$N:$N,"Pradeep",'Form Details'!$J:$J,$C711,'Form Details'!$W:$W,{"Wrong Entry ","Double Entry"}))</f>
        <v>0</v>
      </c>
      <c r="DZ711" s="238"/>
      <c r="EA711" s="238"/>
      <c r="EB711" s="238"/>
      <c r="EC711" s="238"/>
      <c r="ED711" s="238"/>
      <c r="EE711" s="239"/>
    </row>
    <row r="712" spans="3:135" hidden="1">
      <c r="C712" s="248" t="s">
        <v>49</v>
      </c>
      <c r="D712" s="249"/>
      <c r="E712" s="249"/>
      <c r="F712" s="249"/>
      <c r="G712" s="249"/>
      <c r="H712" s="249"/>
      <c r="I712" s="249"/>
      <c r="J712" s="249"/>
      <c r="K712" s="249"/>
      <c r="L712" s="249"/>
      <c r="M712" s="249"/>
      <c r="N712" s="249"/>
      <c r="O712" s="237">
        <f>COUNTIFS('Form Details'!$D:$D,"&lt;"&amp;'Adv. Filter'!$A$15,'Form Details'!$N:$N,"Pradeep",'Form Details'!$J:$J,$C712)</f>
        <v>3</v>
      </c>
      <c r="P712" s="238"/>
      <c r="Q712" s="238"/>
      <c r="R712" s="238"/>
      <c r="S712" s="238"/>
      <c r="T712" s="238"/>
      <c r="U712" s="239"/>
      <c r="V712" s="100"/>
      <c r="W712" s="237">
        <f>COUNTIFS('Form Details'!$D:$D,"&lt;"&amp;'Adv. Filter'!$A$15,'Form Details'!$N:$N,"Pradeep",'Form Details'!$J:$J,$C712,'Form Details'!$AA:$AA,"Yes")</f>
        <v>3</v>
      </c>
      <c r="X712" s="238"/>
      <c r="Y712" s="238"/>
      <c r="Z712" s="238"/>
      <c r="AA712" s="238"/>
      <c r="AB712" s="238"/>
      <c r="AC712" s="239"/>
      <c r="AD712" s="237">
        <f>COUNTIFS('Form Details'!$D:$D,"&lt;"&amp;'Adv. Filter'!$A$15,'Form Details'!$N:$N,"Pradeep",'Form Details'!$J:$J,$C712,'Form Details'!$W:$W,"Paid",'Form Details'!$S:$S,'Adv. Filter'!$A$14,'Form Details'!$S:$S,'Adv. Filter'!$B$14)</f>
        <v>3</v>
      </c>
      <c r="AE712" s="238"/>
      <c r="AF712" s="238"/>
      <c r="AG712" s="238"/>
      <c r="AH712" s="238"/>
      <c r="AI712" s="238"/>
      <c r="AJ712" s="239"/>
      <c r="AK712" s="237">
        <f>COUNTIFS('Form Details'!$D:$D,"&lt;"&amp;'Adv. Filter'!$A$15,'Form Details'!$N:$N,"Pradeep",'Form Details'!$J:$J,$C712,'Form Details'!$W:$W,"Due")</f>
        <v>0</v>
      </c>
      <c r="AL712" s="238"/>
      <c r="AM712" s="238"/>
      <c r="AN712" s="238"/>
      <c r="AO712" s="238"/>
      <c r="AP712" s="238"/>
      <c r="AQ712" s="239"/>
      <c r="AR712" s="237">
        <f>COUNTIFS('Form Details'!$D:$D,"&lt;"&amp;'Adv. Filter'!$A$15,'Form Details'!$N:$N,"Pradeep",'Form Details'!$J:$J,$C712,'Form Details'!$W:$W,"No Fee")</f>
        <v>0</v>
      </c>
      <c r="AS712" s="238"/>
      <c r="AT712" s="238"/>
      <c r="AU712" s="238"/>
      <c r="AV712" s="238"/>
      <c r="AW712" s="238"/>
      <c r="AX712" s="239"/>
      <c r="AY712" s="237">
        <f>COUNTIFS('Form Details'!$D:$D,"&lt;"&amp;'Adv. Filter'!$A$15,'Form Details'!$N:$N,"Pradeep",'Form Details'!$J:$J,$C712,'Form Details'!$W:$W,"Paid/Reject")</f>
        <v>0</v>
      </c>
      <c r="AZ712" s="238"/>
      <c r="BA712" s="238"/>
      <c r="BB712" s="238"/>
      <c r="BC712" s="238"/>
      <c r="BD712" s="238"/>
      <c r="BE712" s="239"/>
      <c r="BF712" s="237">
        <f>COUNTIFS('Form Details'!$D:$D,"&lt;"&amp;'Adv. Filter'!$A$15,'Form Details'!$N:$N,"Pradeep",'Form Details'!$J:$J,$C712,'Form Details'!$W:$W,"Staff")</f>
        <v>0</v>
      </c>
      <c r="BG712" s="238"/>
      <c r="BH712" s="238"/>
      <c r="BI712" s="238"/>
      <c r="BJ712" s="238"/>
      <c r="BK712" s="238"/>
      <c r="BL712" s="239"/>
      <c r="BM712" s="237">
        <f>COUNTIFS('Form Details'!$D:$D,"&lt;"&amp;'Adv. Filter'!$A$15,'Form Details'!$N:$N,"Pradeep",'Form Details'!$J:$J,$C712,'Form Details'!$W:$W,"File In Office")</f>
        <v>0</v>
      </c>
      <c r="BN712" s="238"/>
      <c r="BO712" s="238"/>
      <c r="BP712" s="238"/>
      <c r="BQ712" s="238"/>
      <c r="BR712" s="238"/>
      <c r="BS712" s="239"/>
      <c r="BT712" s="100"/>
      <c r="BU712" s="237">
        <f>COUNTIFS('Form Details'!$D:$D,"&lt;"&amp;'Adv. Filter'!$A$15,'Form Details'!$N:$N,"Pradeep",'Form Details'!$J:$J,$C712,'Form Details'!$AA:$AA,"No")</f>
        <v>0</v>
      </c>
      <c r="BV712" s="238"/>
      <c r="BW712" s="238"/>
      <c r="BX712" s="238"/>
      <c r="BY712" s="238"/>
      <c r="BZ712" s="238"/>
      <c r="CA712" s="239"/>
      <c r="CB712" s="237">
        <f>COUNTIFS('Form Details'!$D:$D,"&lt;"&amp;'Adv. Filter'!$A$15,'Form Details'!$N:$N,"Pradeep",'Form Details'!$J:$J,$C712,'Form Details'!$W:$W,"Adv/Paid")</f>
        <v>0</v>
      </c>
      <c r="CC712" s="238"/>
      <c r="CD712" s="238"/>
      <c r="CE712" s="238"/>
      <c r="CF712" s="238"/>
      <c r="CG712" s="238"/>
      <c r="CH712" s="239"/>
      <c r="CI712" s="237">
        <f>COUNTIFS('Form Details'!$D:$D,"&lt;"&amp;'Adv. Filter'!$A$15,'Form Details'!$N:$N,"Pradeep",'Form Details'!$J:$J,$C712,'Form Details'!$W:$W,"Adv/Paid/Reject")</f>
        <v>0</v>
      </c>
      <c r="CJ712" s="238"/>
      <c r="CK712" s="238"/>
      <c r="CL712" s="238"/>
      <c r="CM712" s="238"/>
      <c r="CN712" s="238"/>
      <c r="CO712" s="239"/>
      <c r="CP712" s="237">
        <f>COUNTIFS('Form Details'!$D:$D,"&lt;"&amp;'Adv. Filter'!$A$15,'Form Details'!$N:$N,"Pradeep",'Form Details'!$J:$J,$C712,'Form Details'!$W:$W,"Reject")</f>
        <v>0</v>
      </c>
      <c r="CQ712" s="238"/>
      <c r="CR712" s="238"/>
      <c r="CS712" s="238"/>
      <c r="CT712" s="238"/>
      <c r="CU712" s="238"/>
      <c r="CV712" s="239"/>
      <c r="CW712" s="237">
        <f>COUNTIFS('Form Details'!$D:$D,"&lt;"&amp;'Adv. Filter'!$A$15,'Form Details'!$N:$N,"Pradeep",'Form Details'!$J:$J,$C712,'Form Details'!$W:$W,"Adv/Paid/Pending")</f>
        <v>0</v>
      </c>
      <c r="CX712" s="238"/>
      <c r="CY712" s="238"/>
      <c r="CZ712" s="238"/>
      <c r="DA712" s="238"/>
      <c r="DB712" s="238"/>
      <c r="DC712" s="239"/>
      <c r="DD712" s="237">
        <f>COUNTIFS('Form Details'!$D:$D,"&lt;"&amp;'Adv. Filter'!$A$15,'Form Details'!$N:$N,"Pradeep",'Form Details'!$J:$J,$C712,'Form Details'!$W:$W,"Pending")</f>
        <v>0</v>
      </c>
      <c r="DE712" s="238"/>
      <c r="DF712" s="238"/>
      <c r="DG712" s="238"/>
      <c r="DH712" s="238"/>
      <c r="DI712" s="238"/>
      <c r="DJ712" s="239"/>
      <c r="DK712" s="237">
        <f>COUNTIFS('Form Details'!$D:$D,"&lt;"&amp;'Adv. Filter'!$A$15,'Form Details'!$N:$N,"Pradeep",'Form Details'!$J:$J,$C712,'Form Details'!$W:$W,"Adv/Paid/NoStatus")</f>
        <v>0</v>
      </c>
      <c r="DL712" s="238"/>
      <c r="DM712" s="238"/>
      <c r="DN712" s="238"/>
      <c r="DO712" s="238"/>
      <c r="DP712" s="238"/>
      <c r="DQ712" s="239"/>
      <c r="DR712" s="237">
        <f>COUNTIFS('Form Details'!$D:$D,"&lt;"&amp;'Adv. Filter'!$A$15,'Form Details'!$N:$N,"Pradeep",'Form Details'!$J:$J,$C712,'Form Details'!$W:$W,"No Status")</f>
        <v>0</v>
      </c>
      <c r="DS712" s="238"/>
      <c r="DT712" s="238"/>
      <c r="DU712" s="238"/>
      <c r="DV712" s="238"/>
      <c r="DW712" s="238"/>
      <c r="DX712" s="239"/>
      <c r="DY712" s="237">
        <f>SUM(COUNTIFS('Form Details'!$D:$D,"&lt;"&amp;'Adv. Filter'!$A$15,'Form Details'!$N:$N,"Pradeep",'Form Details'!$J:$J,$C712,'Form Details'!$W:$W,{"Wrong Entry ","Double Entry"}))</f>
        <v>0</v>
      </c>
      <c r="DZ712" s="238"/>
      <c r="EA712" s="238"/>
      <c r="EB712" s="238"/>
      <c r="EC712" s="238"/>
      <c r="ED712" s="238"/>
      <c r="EE712" s="239"/>
    </row>
    <row r="713" spans="3:135" hidden="1">
      <c r="C713" s="248" t="s">
        <v>59</v>
      </c>
      <c r="D713" s="249"/>
      <c r="E713" s="249"/>
      <c r="F713" s="249"/>
      <c r="G713" s="249"/>
      <c r="H713" s="249"/>
      <c r="I713" s="249"/>
      <c r="J713" s="249"/>
      <c r="K713" s="249"/>
      <c r="L713" s="249"/>
      <c r="M713" s="249"/>
      <c r="N713" s="249"/>
      <c r="O713" s="237">
        <f>COUNTIFS('Form Details'!$D:$D,"&lt;"&amp;'Adv. Filter'!$A$15,'Form Details'!$N:$N,"Pradeep",'Form Details'!$J:$J,$C713)</f>
        <v>0</v>
      </c>
      <c r="P713" s="238"/>
      <c r="Q713" s="238"/>
      <c r="R713" s="238"/>
      <c r="S713" s="238"/>
      <c r="T713" s="238"/>
      <c r="U713" s="239"/>
      <c r="V713" s="100"/>
      <c r="W713" s="237">
        <f>COUNTIFS('Form Details'!$D:$D,"&lt;"&amp;'Adv. Filter'!$A$15,'Form Details'!$N:$N,"Pradeep",'Form Details'!$J:$J,$C713,'Form Details'!$AA:$AA,"Yes")</f>
        <v>0</v>
      </c>
      <c r="X713" s="238"/>
      <c r="Y713" s="238"/>
      <c r="Z713" s="238"/>
      <c r="AA713" s="238"/>
      <c r="AB713" s="238"/>
      <c r="AC713" s="239"/>
      <c r="AD713" s="237">
        <f>COUNTIFS('Form Details'!$D:$D,"&lt;"&amp;'Adv. Filter'!$A$15,'Form Details'!$N:$N,"Pradeep",'Form Details'!$J:$J,$C713,'Form Details'!$W:$W,"Paid",'Form Details'!$S:$S,'Adv. Filter'!$A$14,'Form Details'!$S:$S,'Adv. Filter'!$B$14)</f>
        <v>0</v>
      </c>
      <c r="AE713" s="238"/>
      <c r="AF713" s="238"/>
      <c r="AG713" s="238"/>
      <c r="AH713" s="238"/>
      <c r="AI713" s="238"/>
      <c r="AJ713" s="239"/>
      <c r="AK713" s="237">
        <f>COUNTIFS('Form Details'!$D:$D,"&lt;"&amp;'Adv. Filter'!$A$15,'Form Details'!$N:$N,"Pradeep",'Form Details'!$J:$J,$C713,'Form Details'!$W:$W,"Due")</f>
        <v>0</v>
      </c>
      <c r="AL713" s="238"/>
      <c r="AM713" s="238"/>
      <c r="AN713" s="238"/>
      <c r="AO713" s="238"/>
      <c r="AP713" s="238"/>
      <c r="AQ713" s="239"/>
      <c r="AR713" s="237">
        <f>COUNTIFS('Form Details'!$D:$D,"&lt;"&amp;'Adv. Filter'!$A$15,'Form Details'!$N:$N,"Pradeep",'Form Details'!$J:$J,$C713,'Form Details'!$W:$W,"No Fee")</f>
        <v>0</v>
      </c>
      <c r="AS713" s="238"/>
      <c r="AT713" s="238"/>
      <c r="AU713" s="238"/>
      <c r="AV713" s="238"/>
      <c r="AW713" s="238"/>
      <c r="AX713" s="239"/>
      <c r="AY713" s="237">
        <f>COUNTIFS('Form Details'!$D:$D,"&lt;"&amp;'Adv. Filter'!$A$15,'Form Details'!$N:$N,"Pradeep",'Form Details'!$J:$J,$C713,'Form Details'!$W:$W,"Paid/Reject")</f>
        <v>0</v>
      </c>
      <c r="AZ713" s="238"/>
      <c r="BA713" s="238"/>
      <c r="BB713" s="238"/>
      <c r="BC713" s="238"/>
      <c r="BD713" s="238"/>
      <c r="BE713" s="239"/>
      <c r="BF713" s="237">
        <f>COUNTIFS('Form Details'!$D:$D,"&lt;"&amp;'Adv. Filter'!$A$15,'Form Details'!$N:$N,"Pradeep",'Form Details'!$J:$J,$C713,'Form Details'!$W:$W,"Staff")</f>
        <v>0</v>
      </c>
      <c r="BG713" s="238"/>
      <c r="BH713" s="238"/>
      <c r="BI713" s="238"/>
      <c r="BJ713" s="238"/>
      <c r="BK713" s="238"/>
      <c r="BL713" s="239"/>
      <c r="BM713" s="237">
        <f>COUNTIFS('Form Details'!$D:$D,"&lt;"&amp;'Adv. Filter'!$A$15,'Form Details'!$N:$N,"Pradeep",'Form Details'!$J:$J,$C713,'Form Details'!$W:$W,"File In Office")</f>
        <v>0</v>
      </c>
      <c r="BN713" s="238"/>
      <c r="BO713" s="238"/>
      <c r="BP713" s="238"/>
      <c r="BQ713" s="238"/>
      <c r="BR713" s="238"/>
      <c r="BS713" s="239"/>
      <c r="BT713" s="100"/>
      <c r="BU713" s="237">
        <f>COUNTIFS('Form Details'!$D:$D,"&lt;"&amp;'Adv. Filter'!$A$15,'Form Details'!$N:$N,"Pradeep",'Form Details'!$J:$J,$C713,'Form Details'!$AA:$AA,"No")</f>
        <v>0</v>
      </c>
      <c r="BV713" s="238"/>
      <c r="BW713" s="238"/>
      <c r="BX713" s="238"/>
      <c r="BY713" s="238"/>
      <c r="BZ713" s="238"/>
      <c r="CA713" s="239"/>
      <c r="CB713" s="237">
        <f>COUNTIFS('Form Details'!$D:$D,"&lt;"&amp;'Adv. Filter'!$A$15,'Form Details'!$N:$N,"Pradeep",'Form Details'!$J:$J,$C713,'Form Details'!$W:$W,"Adv/Paid")</f>
        <v>0</v>
      </c>
      <c r="CC713" s="238"/>
      <c r="CD713" s="238"/>
      <c r="CE713" s="238"/>
      <c r="CF713" s="238"/>
      <c r="CG713" s="238"/>
      <c r="CH713" s="239"/>
      <c r="CI713" s="237">
        <f>COUNTIFS('Form Details'!$D:$D,"&lt;"&amp;'Adv. Filter'!$A$15,'Form Details'!$N:$N,"Pradeep",'Form Details'!$J:$J,$C713,'Form Details'!$W:$W,"Adv/Paid/Reject")</f>
        <v>0</v>
      </c>
      <c r="CJ713" s="238"/>
      <c r="CK713" s="238"/>
      <c r="CL713" s="238"/>
      <c r="CM713" s="238"/>
      <c r="CN713" s="238"/>
      <c r="CO713" s="239"/>
      <c r="CP713" s="237">
        <f>COUNTIFS('Form Details'!$D:$D,"&lt;"&amp;'Adv. Filter'!$A$15,'Form Details'!$N:$N,"Pradeep",'Form Details'!$J:$J,$C713,'Form Details'!$W:$W,"Reject")</f>
        <v>0</v>
      </c>
      <c r="CQ713" s="238"/>
      <c r="CR713" s="238"/>
      <c r="CS713" s="238"/>
      <c r="CT713" s="238"/>
      <c r="CU713" s="238"/>
      <c r="CV713" s="239"/>
      <c r="CW713" s="237">
        <f>COUNTIFS('Form Details'!$D:$D,"&lt;"&amp;'Adv. Filter'!$A$15,'Form Details'!$N:$N,"Pradeep",'Form Details'!$J:$J,$C713,'Form Details'!$W:$W,"Adv/Paid/Pending")</f>
        <v>0</v>
      </c>
      <c r="CX713" s="238"/>
      <c r="CY713" s="238"/>
      <c r="CZ713" s="238"/>
      <c r="DA713" s="238"/>
      <c r="DB713" s="238"/>
      <c r="DC713" s="239"/>
      <c r="DD713" s="237">
        <f>COUNTIFS('Form Details'!$D:$D,"&lt;"&amp;'Adv. Filter'!$A$15,'Form Details'!$N:$N,"Pradeep",'Form Details'!$J:$J,$C713,'Form Details'!$W:$W,"Pending")</f>
        <v>0</v>
      </c>
      <c r="DE713" s="238"/>
      <c r="DF713" s="238"/>
      <c r="DG713" s="238"/>
      <c r="DH713" s="238"/>
      <c r="DI713" s="238"/>
      <c r="DJ713" s="239"/>
      <c r="DK713" s="237">
        <f>COUNTIFS('Form Details'!$D:$D,"&lt;"&amp;'Adv. Filter'!$A$15,'Form Details'!$N:$N,"Pradeep",'Form Details'!$J:$J,$C713,'Form Details'!$W:$W,"Adv/Paid/NoStatus")</f>
        <v>0</v>
      </c>
      <c r="DL713" s="238"/>
      <c r="DM713" s="238"/>
      <c r="DN713" s="238"/>
      <c r="DO713" s="238"/>
      <c r="DP713" s="238"/>
      <c r="DQ713" s="239"/>
      <c r="DR713" s="237">
        <f>COUNTIFS('Form Details'!$D:$D,"&lt;"&amp;'Adv. Filter'!$A$15,'Form Details'!$N:$N,"Pradeep",'Form Details'!$J:$J,$C713,'Form Details'!$W:$W,"No Status")</f>
        <v>0</v>
      </c>
      <c r="DS713" s="238"/>
      <c r="DT713" s="238"/>
      <c r="DU713" s="238"/>
      <c r="DV713" s="238"/>
      <c r="DW713" s="238"/>
      <c r="DX713" s="239"/>
      <c r="DY713" s="237">
        <f>SUM(COUNTIFS('Form Details'!$D:$D,"&lt;"&amp;'Adv. Filter'!$A$15,'Form Details'!$N:$N,"Pradeep",'Form Details'!$J:$J,$C713,'Form Details'!$W:$W,{"Wrong Entry ","Double Entry"}))</f>
        <v>0</v>
      </c>
      <c r="DZ713" s="238"/>
      <c r="EA713" s="238"/>
      <c r="EB713" s="238"/>
      <c r="EC713" s="238"/>
      <c r="ED713" s="238"/>
      <c r="EE713" s="239"/>
    </row>
    <row r="714" spans="3:135" hidden="1">
      <c r="C714" s="248" t="s">
        <v>70</v>
      </c>
      <c r="D714" s="249"/>
      <c r="E714" s="249"/>
      <c r="F714" s="249"/>
      <c r="G714" s="249"/>
      <c r="H714" s="249"/>
      <c r="I714" s="249"/>
      <c r="J714" s="249"/>
      <c r="K714" s="249"/>
      <c r="L714" s="249"/>
      <c r="M714" s="249"/>
      <c r="N714" s="249"/>
      <c r="O714" s="237">
        <f>COUNTIFS('Form Details'!$D:$D,"&lt;"&amp;'Adv. Filter'!$A$15,'Form Details'!$N:$N,"Pradeep",'Form Details'!$J:$J,$C714)</f>
        <v>0</v>
      </c>
      <c r="P714" s="238"/>
      <c r="Q714" s="238"/>
      <c r="R714" s="238"/>
      <c r="S714" s="238"/>
      <c r="T714" s="238"/>
      <c r="U714" s="239"/>
      <c r="V714" s="100"/>
      <c r="W714" s="237">
        <f>COUNTIFS('Form Details'!$D:$D,"&lt;"&amp;'Adv. Filter'!$A$15,'Form Details'!$N:$N,"Pradeep",'Form Details'!$J:$J,$C714,'Form Details'!$AA:$AA,"Yes")</f>
        <v>0</v>
      </c>
      <c r="X714" s="238"/>
      <c r="Y714" s="238"/>
      <c r="Z714" s="238"/>
      <c r="AA714" s="238"/>
      <c r="AB714" s="238"/>
      <c r="AC714" s="239"/>
      <c r="AD714" s="237">
        <f>COUNTIFS('Form Details'!$D:$D,"&lt;"&amp;'Adv. Filter'!$A$15,'Form Details'!$N:$N,"Pradeep",'Form Details'!$J:$J,$C714,'Form Details'!$W:$W,"Paid",'Form Details'!$S:$S,'Adv. Filter'!$A$14,'Form Details'!$S:$S,'Adv. Filter'!$B$14)</f>
        <v>0</v>
      </c>
      <c r="AE714" s="238"/>
      <c r="AF714" s="238"/>
      <c r="AG714" s="238"/>
      <c r="AH714" s="238"/>
      <c r="AI714" s="238"/>
      <c r="AJ714" s="239"/>
      <c r="AK714" s="237">
        <f>COUNTIFS('Form Details'!$D:$D,"&lt;"&amp;'Adv. Filter'!$A$15,'Form Details'!$N:$N,"Pradeep",'Form Details'!$J:$J,$C714,'Form Details'!$W:$W,"Due")</f>
        <v>0</v>
      </c>
      <c r="AL714" s="238"/>
      <c r="AM714" s="238"/>
      <c r="AN714" s="238"/>
      <c r="AO714" s="238"/>
      <c r="AP714" s="238"/>
      <c r="AQ714" s="239"/>
      <c r="AR714" s="237">
        <f>COUNTIFS('Form Details'!$D:$D,"&lt;"&amp;'Adv. Filter'!$A$15,'Form Details'!$N:$N,"Pradeep",'Form Details'!$J:$J,$C714,'Form Details'!$W:$W,"No Fee")</f>
        <v>0</v>
      </c>
      <c r="AS714" s="238"/>
      <c r="AT714" s="238"/>
      <c r="AU714" s="238"/>
      <c r="AV714" s="238"/>
      <c r="AW714" s="238"/>
      <c r="AX714" s="239"/>
      <c r="AY714" s="237">
        <f>COUNTIFS('Form Details'!$D:$D,"&lt;"&amp;'Adv. Filter'!$A$15,'Form Details'!$N:$N,"Pradeep",'Form Details'!$J:$J,$C714,'Form Details'!$W:$W,"Paid/Reject")</f>
        <v>0</v>
      </c>
      <c r="AZ714" s="238"/>
      <c r="BA714" s="238"/>
      <c r="BB714" s="238"/>
      <c r="BC714" s="238"/>
      <c r="BD714" s="238"/>
      <c r="BE714" s="239"/>
      <c r="BF714" s="237">
        <f>COUNTIFS('Form Details'!$D:$D,"&lt;"&amp;'Adv. Filter'!$A$15,'Form Details'!$N:$N,"Pradeep",'Form Details'!$J:$J,$C714,'Form Details'!$W:$W,"Staff")</f>
        <v>0</v>
      </c>
      <c r="BG714" s="238"/>
      <c r="BH714" s="238"/>
      <c r="BI714" s="238"/>
      <c r="BJ714" s="238"/>
      <c r="BK714" s="238"/>
      <c r="BL714" s="239"/>
      <c r="BM714" s="237">
        <f>COUNTIFS('Form Details'!$D:$D,"&lt;"&amp;'Adv. Filter'!$A$15,'Form Details'!$N:$N,"Pradeep",'Form Details'!$J:$J,$C714,'Form Details'!$W:$W,"File In Office")</f>
        <v>0</v>
      </c>
      <c r="BN714" s="238"/>
      <c r="BO714" s="238"/>
      <c r="BP714" s="238"/>
      <c r="BQ714" s="238"/>
      <c r="BR714" s="238"/>
      <c r="BS714" s="239"/>
      <c r="BT714" s="100"/>
      <c r="BU714" s="237">
        <f>COUNTIFS('Form Details'!$D:$D,"&lt;"&amp;'Adv. Filter'!$A$15,'Form Details'!$N:$N,"Pradeep",'Form Details'!$J:$J,$C714,'Form Details'!$AA:$AA,"No")</f>
        <v>0</v>
      </c>
      <c r="BV714" s="238"/>
      <c r="BW714" s="238"/>
      <c r="BX714" s="238"/>
      <c r="BY714" s="238"/>
      <c r="BZ714" s="238"/>
      <c r="CA714" s="239"/>
      <c r="CB714" s="237">
        <f>COUNTIFS('Form Details'!$D:$D,"&lt;"&amp;'Adv. Filter'!$A$15,'Form Details'!$N:$N,"Pradeep",'Form Details'!$J:$J,$C714,'Form Details'!$W:$W,"Adv/Paid")</f>
        <v>0</v>
      </c>
      <c r="CC714" s="238"/>
      <c r="CD714" s="238"/>
      <c r="CE714" s="238"/>
      <c r="CF714" s="238"/>
      <c r="CG714" s="238"/>
      <c r="CH714" s="239"/>
      <c r="CI714" s="237">
        <f>COUNTIFS('Form Details'!$D:$D,"&lt;"&amp;'Adv. Filter'!$A$15,'Form Details'!$N:$N,"Pradeep",'Form Details'!$J:$J,$C714,'Form Details'!$W:$W,"Adv/Paid/Reject")</f>
        <v>0</v>
      </c>
      <c r="CJ714" s="238"/>
      <c r="CK714" s="238"/>
      <c r="CL714" s="238"/>
      <c r="CM714" s="238"/>
      <c r="CN714" s="238"/>
      <c r="CO714" s="239"/>
      <c r="CP714" s="237">
        <f>COUNTIFS('Form Details'!$D:$D,"&lt;"&amp;'Adv. Filter'!$A$15,'Form Details'!$N:$N,"Pradeep",'Form Details'!$J:$J,$C714,'Form Details'!$W:$W,"Reject")</f>
        <v>0</v>
      </c>
      <c r="CQ714" s="238"/>
      <c r="CR714" s="238"/>
      <c r="CS714" s="238"/>
      <c r="CT714" s="238"/>
      <c r="CU714" s="238"/>
      <c r="CV714" s="239"/>
      <c r="CW714" s="237">
        <f>COUNTIFS('Form Details'!$D:$D,"&lt;"&amp;'Adv. Filter'!$A$15,'Form Details'!$N:$N,"Pradeep",'Form Details'!$J:$J,$C714,'Form Details'!$W:$W,"Adv/Paid/Pending")</f>
        <v>0</v>
      </c>
      <c r="CX714" s="238"/>
      <c r="CY714" s="238"/>
      <c r="CZ714" s="238"/>
      <c r="DA714" s="238"/>
      <c r="DB714" s="238"/>
      <c r="DC714" s="239"/>
      <c r="DD714" s="237">
        <f>COUNTIFS('Form Details'!$D:$D,"&lt;"&amp;'Adv. Filter'!$A$15,'Form Details'!$N:$N,"Pradeep",'Form Details'!$J:$J,$C714,'Form Details'!$W:$W,"Pending")</f>
        <v>0</v>
      </c>
      <c r="DE714" s="238"/>
      <c r="DF714" s="238"/>
      <c r="DG714" s="238"/>
      <c r="DH714" s="238"/>
      <c r="DI714" s="238"/>
      <c r="DJ714" s="239"/>
      <c r="DK714" s="237">
        <f>COUNTIFS('Form Details'!$D:$D,"&lt;"&amp;'Adv. Filter'!$A$15,'Form Details'!$N:$N,"Pradeep",'Form Details'!$J:$J,$C714,'Form Details'!$W:$W,"Adv/Paid/NoStatus")</f>
        <v>0</v>
      </c>
      <c r="DL714" s="238"/>
      <c r="DM714" s="238"/>
      <c r="DN714" s="238"/>
      <c r="DO714" s="238"/>
      <c r="DP714" s="238"/>
      <c r="DQ714" s="239"/>
      <c r="DR714" s="237">
        <f>COUNTIFS('Form Details'!$D:$D,"&lt;"&amp;'Adv. Filter'!$A$15,'Form Details'!$N:$N,"Pradeep",'Form Details'!$J:$J,$C714,'Form Details'!$W:$W,"No Status")</f>
        <v>0</v>
      </c>
      <c r="DS714" s="238"/>
      <c r="DT714" s="238"/>
      <c r="DU714" s="238"/>
      <c r="DV714" s="238"/>
      <c r="DW714" s="238"/>
      <c r="DX714" s="239"/>
      <c r="DY714" s="237">
        <f>SUM(COUNTIFS('Form Details'!$D:$D,"&lt;"&amp;'Adv. Filter'!$A$15,'Form Details'!$N:$N,"Pradeep",'Form Details'!$J:$J,$C714,'Form Details'!$W:$W,{"Wrong Entry ","Double Entry"}))</f>
        <v>0</v>
      </c>
      <c r="DZ714" s="238"/>
      <c r="EA714" s="238"/>
      <c r="EB714" s="238"/>
      <c r="EC714" s="238"/>
      <c r="ED714" s="238"/>
      <c r="EE714" s="239"/>
    </row>
    <row r="715" spans="3:135" hidden="1">
      <c r="C715" s="248" t="s">
        <v>77</v>
      </c>
      <c r="D715" s="249"/>
      <c r="E715" s="249"/>
      <c r="F715" s="249"/>
      <c r="G715" s="249"/>
      <c r="H715" s="249"/>
      <c r="I715" s="249"/>
      <c r="J715" s="249"/>
      <c r="K715" s="249"/>
      <c r="L715" s="249"/>
      <c r="M715" s="249"/>
      <c r="N715" s="249"/>
      <c r="O715" s="237">
        <f>COUNTIFS('Form Details'!$D:$D,"&lt;"&amp;'Adv. Filter'!$A$15,'Form Details'!$N:$N,"Pradeep",'Form Details'!$J:$J,$C715)</f>
        <v>0</v>
      </c>
      <c r="P715" s="238"/>
      <c r="Q715" s="238"/>
      <c r="R715" s="238"/>
      <c r="S715" s="238"/>
      <c r="T715" s="238"/>
      <c r="U715" s="239"/>
      <c r="V715" s="100"/>
      <c r="W715" s="237">
        <f>COUNTIFS('Form Details'!$D:$D,"&lt;"&amp;'Adv. Filter'!$A$15,'Form Details'!$N:$N,"Pradeep",'Form Details'!$J:$J,$C715,'Form Details'!$AA:$AA,"Yes")</f>
        <v>0</v>
      </c>
      <c r="X715" s="238"/>
      <c r="Y715" s="238"/>
      <c r="Z715" s="238"/>
      <c r="AA715" s="238"/>
      <c r="AB715" s="238"/>
      <c r="AC715" s="239"/>
      <c r="AD715" s="237">
        <f>COUNTIFS('Form Details'!$D:$D,"&lt;"&amp;'Adv. Filter'!$A$15,'Form Details'!$N:$N,"Pradeep",'Form Details'!$J:$J,$C715,'Form Details'!$W:$W,"Paid",'Form Details'!$S:$S,'Adv. Filter'!$A$14,'Form Details'!$S:$S,'Adv. Filter'!$B$14)</f>
        <v>0</v>
      </c>
      <c r="AE715" s="238"/>
      <c r="AF715" s="238"/>
      <c r="AG715" s="238"/>
      <c r="AH715" s="238"/>
      <c r="AI715" s="238"/>
      <c r="AJ715" s="239"/>
      <c r="AK715" s="237">
        <f>COUNTIFS('Form Details'!$D:$D,"&lt;"&amp;'Adv. Filter'!$A$15,'Form Details'!$N:$N,"Pradeep",'Form Details'!$J:$J,$C715,'Form Details'!$W:$W,"Due")</f>
        <v>0</v>
      </c>
      <c r="AL715" s="238"/>
      <c r="AM715" s="238"/>
      <c r="AN715" s="238"/>
      <c r="AO715" s="238"/>
      <c r="AP715" s="238"/>
      <c r="AQ715" s="239"/>
      <c r="AR715" s="237">
        <f>COUNTIFS('Form Details'!$D:$D,"&lt;"&amp;'Adv. Filter'!$A$15,'Form Details'!$N:$N,"Pradeep",'Form Details'!$J:$J,$C715,'Form Details'!$W:$W,"No Fee")</f>
        <v>0</v>
      </c>
      <c r="AS715" s="238"/>
      <c r="AT715" s="238"/>
      <c r="AU715" s="238"/>
      <c r="AV715" s="238"/>
      <c r="AW715" s="238"/>
      <c r="AX715" s="239"/>
      <c r="AY715" s="237">
        <f>COUNTIFS('Form Details'!$D:$D,"&lt;"&amp;'Adv. Filter'!$A$15,'Form Details'!$N:$N,"Pradeep",'Form Details'!$J:$J,$C715,'Form Details'!$W:$W,"Paid/Reject")</f>
        <v>0</v>
      </c>
      <c r="AZ715" s="238"/>
      <c r="BA715" s="238"/>
      <c r="BB715" s="238"/>
      <c r="BC715" s="238"/>
      <c r="BD715" s="238"/>
      <c r="BE715" s="239"/>
      <c r="BF715" s="237">
        <f>COUNTIFS('Form Details'!$D:$D,"&lt;"&amp;'Adv. Filter'!$A$15,'Form Details'!$N:$N,"Pradeep",'Form Details'!$J:$J,$C715,'Form Details'!$W:$W,"Staff")</f>
        <v>0</v>
      </c>
      <c r="BG715" s="238"/>
      <c r="BH715" s="238"/>
      <c r="BI715" s="238"/>
      <c r="BJ715" s="238"/>
      <c r="BK715" s="238"/>
      <c r="BL715" s="239"/>
      <c r="BM715" s="237">
        <f>COUNTIFS('Form Details'!$D:$D,"&lt;"&amp;'Adv. Filter'!$A$15,'Form Details'!$N:$N,"Pradeep",'Form Details'!$J:$J,$C715,'Form Details'!$W:$W,"File In Office")</f>
        <v>0</v>
      </c>
      <c r="BN715" s="238"/>
      <c r="BO715" s="238"/>
      <c r="BP715" s="238"/>
      <c r="BQ715" s="238"/>
      <c r="BR715" s="238"/>
      <c r="BS715" s="239"/>
      <c r="BT715" s="100"/>
      <c r="BU715" s="237">
        <f>COUNTIFS('Form Details'!$D:$D,"&lt;"&amp;'Adv. Filter'!$A$15,'Form Details'!$N:$N,"Pradeep",'Form Details'!$J:$J,$C715,'Form Details'!$AA:$AA,"No")</f>
        <v>0</v>
      </c>
      <c r="BV715" s="238"/>
      <c r="BW715" s="238"/>
      <c r="BX715" s="238"/>
      <c r="BY715" s="238"/>
      <c r="BZ715" s="238"/>
      <c r="CA715" s="239"/>
      <c r="CB715" s="237">
        <f>COUNTIFS('Form Details'!$D:$D,"&lt;"&amp;'Adv. Filter'!$A$15,'Form Details'!$N:$N,"Pradeep",'Form Details'!$J:$J,$C715,'Form Details'!$W:$W,"Adv/Paid")</f>
        <v>0</v>
      </c>
      <c r="CC715" s="238"/>
      <c r="CD715" s="238"/>
      <c r="CE715" s="238"/>
      <c r="CF715" s="238"/>
      <c r="CG715" s="238"/>
      <c r="CH715" s="239"/>
      <c r="CI715" s="237">
        <f>COUNTIFS('Form Details'!$D:$D,"&lt;"&amp;'Adv. Filter'!$A$15,'Form Details'!$N:$N,"Pradeep",'Form Details'!$J:$J,$C715,'Form Details'!$W:$W,"Adv/Paid/Reject")</f>
        <v>0</v>
      </c>
      <c r="CJ715" s="238"/>
      <c r="CK715" s="238"/>
      <c r="CL715" s="238"/>
      <c r="CM715" s="238"/>
      <c r="CN715" s="238"/>
      <c r="CO715" s="239"/>
      <c r="CP715" s="237">
        <f>COUNTIFS('Form Details'!$D:$D,"&lt;"&amp;'Adv. Filter'!$A$15,'Form Details'!$N:$N,"Pradeep",'Form Details'!$J:$J,$C715,'Form Details'!$W:$W,"Reject")</f>
        <v>0</v>
      </c>
      <c r="CQ715" s="238"/>
      <c r="CR715" s="238"/>
      <c r="CS715" s="238"/>
      <c r="CT715" s="238"/>
      <c r="CU715" s="238"/>
      <c r="CV715" s="239"/>
      <c r="CW715" s="237">
        <f>COUNTIFS('Form Details'!$D:$D,"&lt;"&amp;'Adv. Filter'!$A$15,'Form Details'!$N:$N,"Pradeep",'Form Details'!$J:$J,$C715,'Form Details'!$W:$W,"Adv/Paid/Pending")</f>
        <v>0</v>
      </c>
      <c r="CX715" s="238"/>
      <c r="CY715" s="238"/>
      <c r="CZ715" s="238"/>
      <c r="DA715" s="238"/>
      <c r="DB715" s="238"/>
      <c r="DC715" s="239"/>
      <c r="DD715" s="237">
        <f>COUNTIFS('Form Details'!$D:$D,"&lt;"&amp;'Adv. Filter'!$A$15,'Form Details'!$N:$N,"Pradeep",'Form Details'!$J:$J,$C715,'Form Details'!$W:$W,"Pending")</f>
        <v>0</v>
      </c>
      <c r="DE715" s="238"/>
      <c r="DF715" s="238"/>
      <c r="DG715" s="238"/>
      <c r="DH715" s="238"/>
      <c r="DI715" s="238"/>
      <c r="DJ715" s="239"/>
      <c r="DK715" s="237">
        <f>COUNTIFS('Form Details'!$D:$D,"&lt;"&amp;'Adv. Filter'!$A$15,'Form Details'!$N:$N,"Pradeep",'Form Details'!$J:$J,$C715,'Form Details'!$W:$W,"Adv/Paid/NoStatus")</f>
        <v>0</v>
      </c>
      <c r="DL715" s="238"/>
      <c r="DM715" s="238"/>
      <c r="DN715" s="238"/>
      <c r="DO715" s="238"/>
      <c r="DP715" s="238"/>
      <c r="DQ715" s="239"/>
      <c r="DR715" s="237">
        <f>COUNTIFS('Form Details'!$D:$D,"&lt;"&amp;'Adv. Filter'!$A$15,'Form Details'!$N:$N,"Pradeep",'Form Details'!$J:$J,$C715,'Form Details'!$W:$W,"No Status")</f>
        <v>0</v>
      </c>
      <c r="DS715" s="238"/>
      <c r="DT715" s="238"/>
      <c r="DU715" s="238"/>
      <c r="DV715" s="238"/>
      <c r="DW715" s="238"/>
      <c r="DX715" s="239"/>
      <c r="DY715" s="237">
        <f>SUM(COUNTIFS('Form Details'!$D:$D,"&lt;"&amp;'Adv. Filter'!$A$15,'Form Details'!$N:$N,"Pradeep",'Form Details'!$J:$J,$C715,'Form Details'!$W:$W,{"Wrong Entry ","Double Entry"}))</f>
        <v>0</v>
      </c>
      <c r="DZ715" s="238"/>
      <c r="EA715" s="238"/>
      <c r="EB715" s="238"/>
      <c r="EC715" s="238"/>
      <c r="ED715" s="238"/>
      <c r="EE715" s="239"/>
    </row>
    <row r="716" spans="3:135" hidden="1">
      <c r="C716" s="248" t="s">
        <v>138</v>
      </c>
      <c r="D716" s="249"/>
      <c r="E716" s="249"/>
      <c r="F716" s="249"/>
      <c r="G716" s="249"/>
      <c r="H716" s="249"/>
      <c r="I716" s="249"/>
      <c r="J716" s="249"/>
      <c r="K716" s="249"/>
      <c r="L716" s="249"/>
      <c r="M716" s="249"/>
      <c r="N716" s="249"/>
      <c r="O716" s="237">
        <f>COUNTIFS('Form Details'!$D:$D,"&lt;"&amp;'Adv. Filter'!$A$15,'Form Details'!$N:$N,"Pradeep",'Form Details'!$J:$J,$C716)</f>
        <v>0</v>
      </c>
      <c r="P716" s="238"/>
      <c r="Q716" s="238"/>
      <c r="R716" s="238"/>
      <c r="S716" s="238"/>
      <c r="T716" s="238"/>
      <c r="U716" s="239"/>
      <c r="V716" s="100"/>
      <c r="W716" s="237">
        <f>COUNTIFS('Form Details'!$D:$D,"&lt;"&amp;'Adv. Filter'!$A$15,'Form Details'!$N:$N,"Pradeep",'Form Details'!$J:$J,$C716,'Form Details'!$AA:$AA,"Yes")</f>
        <v>0</v>
      </c>
      <c r="X716" s="238"/>
      <c r="Y716" s="238"/>
      <c r="Z716" s="238"/>
      <c r="AA716" s="238"/>
      <c r="AB716" s="238"/>
      <c r="AC716" s="239"/>
      <c r="AD716" s="237">
        <f>COUNTIFS('Form Details'!$D:$D,"&lt;"&amp;'Adv. Filter'!$A$15,'Form Details'!$N:$N,"Pradeep",'Form Details'!$J:$J,$C716,'Form Details'!$W:$W,"Paid",'Form Details'!$S:$S,'Adv. Filter'!$A$14,'Form Details'!$S:$S,'Adv. Filter'!$B$14)</f>
        <v>0</v>
      </c>
      <c r="AE716" s="238"/>
      <c r="AF716" s="238"/>
      <c r="AG716" s="238"/>
      <c r="AH716" s="238"/>
      <c r="AI716" s="238"/>
      <c r="AJ716" s="239"/>
      <c r="AK716" s="237">
        <f>COUNTIFS('Form Details'!$D:$D,"&lt;"&amp;'Adv. Filter'!$A$15,'Form Details'!$N:$N,"Pradeep",'Form Details'!$J:$J,$C716,'Form Details'!$W:$W,"Due")</f>
        <v>0</v>
      </c>
      <c r="AL716" s="238"/>
      <c r="AM716" s="238"/>
      <c r="AN716" s="238"/>
      <c r="AO716" s="238"/>
      <c r="AP716" s="238"/>
      <c r="AQ716" s="239"/>
      <c r="AR716" s="237">
        <f>COUNTIFS('Form Details'!$D:$D,"&lt;"&amp;'Adv. Filter'!$A$15,'Form Details'!$N:$N,"Pradeep",'Form Details'!$J:$J,$C716,'Form Details'!$W:$W,"No Fee")</f>
        <v>0</v>
      </c>
      <c r="AS716" s="238"/>
      <c r="AT716" s="238"/>
      <c r="AU716" s="238"/>
      <c r="AV716" s="238"/>
      <c r="AW716" s="238"/>
      <c r="AX716" s="239"/>
      <c r="AY716" s="237">
        <f>COUNTIFS('Form Details'!$D:$D,"&lt;"&amp;'Adv. Filter'!$A$15,'Form Details'!$N:$N,"Pradeep",'Form Details'!$J:$J,$C716,'Form Details'!$W:$W,"Paid/Reject")</f>
        <v>0</v>
      </c>
      <c r="AZ716" s="238"/>
      <c r="BA716" s="238"/>
      <c r="BB716" s="238"/>
      <c r="BC716" s="238"/>
      <c r="BD716" s="238"/>
      <c r="BE716" s="239"/>
      <c r="BF716" s="237">
        <f>COUNTIFS('Form Details'!$D:$D,"&lt;"&amp;'Adv. Filter'!$A$15,'Form Details'!$N:$N,"Pradeep",'Form Details'!$J:$J,$C716,'Form Details'!$W:$W,"Staff")</f>
        <v>0</v>
      </c>
      <c r="BG716" s="238"/>
      <c r="BH716" s="238"/>
      <c r="BI716" s="238"/>
      <c r="BJ716" s="238"/>
      <c r="BK716" s="238"/>
      <c r="BL716" s="239"/>
      <c r="BM716" s="237">
        <f>COUNTIFS('Form Details'!$D:$D,"&lt;"&amp;'Adv. Filter'!$A$15,'Form Details'!$N:$N,"Pradeep",'Form Details'!$J:$J,$C716,'Form Details'!$W:$W,"File In Office")</f>
        <v>0</v>
      </c>
      <c r="BN716" s="238"/>
      <c r="BO716" s="238"/>
      <c r="BP716" s="238"/>
      <c r="BQ716" s="238"/>
      <c r="BR716" s="238"/>
      <c r="BS716" s="239"/>
      <c r="BT716" s="100"/>
      <c r="BU716" s="237">
        <f>COUNTIFS('Form Details'!$D:$D,"&lt;"&amp;'Adv. Filter'!$A$15,'Form Details'!$N:$N,"Pradeep",'Form Details'!$J:$J,$C716,'Form Details'!$AA:$AA,"No")</f>
        <v>0</v>
      </c>
      <c r="BV716" s="238"/>
      <c r="BW716" s="238"/>
      <c r="BX716" s="238"/>
      <c r="BY716" s="238"/>
      <c r="BZ716" s="238"/>
      <c r="CA716" s="239"/>
      <c r="CB716" s="237">
        <f>COUNTIFS('Form Details'!$D:$D,"&lt;"&amp;'Adv. Filter'!$A$15,'Form Details'!$N:$N,"Pradeep",'Form Details'!$J:$J,$C716,'Form Details'!$W:$W,"Adv/Paid")</f>
        <v>0</v>
      </c>
      <c r="CC716" s="238"/>
      <c r="CD716" s="238"/>
      <c r="CE716" s="238"/>
      <c r="CF716" s="238"/>
      <c r="CG716" s="238"/>
      <c r="CH716" s="239"/>
      <c r="CI716" s="237">
        <f>COUNTIFS('Form Details'!$D:$D,"&lt;"&amp;'Adv. Filter'!$A$15,'Form Details'!$N:$N,"Pradeep",'Form Details'!$J:$J,$C716,'Form Details'!$W:$W,"Adv/Paid/Reject")</f>
        <v>0</v>
      </c>
      <c r="CJ716" s="238"/>
      <c r="CK716" s="238"/>
      <c r="CL716" s="238"/>
      <c r="CM716" s="238"/>
      <c r="CN716" s="238"/>
      <c r="CO716" s="239"/>
      <c r="CP716" s="237">
        <f>COUNTIFS('Form Details'!$D:$D,"&lt;"&amp;'Adv. Filter'!$A$15,'Form Details'!$N:$N,"Pradeep",'Form Details'!$J:$J,$C716,'Form Details'!$W:$W,"Reject")</f>
        <v>0</v>
      </c>
      <c r="CQ716" s="238"/>
      <c r="CR716" s="238"/>
      <c r="CS716" s="238"/>
      <c r="CT716" s="238"/>
      <c r="CU716" s="238"/>
      <c r="CV716" s="239"/>
      <c r="CW716" s="237">
        <f>COUNTIFS('Form Details'!$D:$D,"&lt;"&amp;'Adv. Filter'!$A$15,'Form Details'!$N:$N,"Pradeep",'Form Details'!$J:$J,$C716,'Form Details'!$W:$W,"Adv/Paid/Pending")</f>
        <v>0</v>
      </c>
      <c r="CX716" s="238"/>
      <c r="CY716" s="238"/>
      <c r="CZ716" s="238"/>
      <c r="DA716" s="238"/>
      <c r="DB716" s="238"/>
      <c r="DC716" s="239"/>
      <c r="DD716" s="237">
        <f>COUNTIFS('Form Details'!$D:$D,"&lt;"&amp;'Adv. Filter'!$A$15,'Form Details'!$N:$N,"Pradeep",'Form Details'!$J:$J,$C716,'Form Details'!$W:$W,"Pending")</f>
        <v>0</v>
      </c>
      <c r="DE716" s="238"/>
      <c r="DF716" s="238"/>
      <c r="DG716" s="238"/>
      <c r="DH716" s="238"/>
      <c r="DI716" s="238"/>
      <c r="DJ716" s="239"/>
      <c r="DK716" s="237">
        <f>COUNTIFS('Form Details'!$D:$D,"&lt;"&amp;'Adv. Filter'!$A$15,'Form Details'!$N:$N,"Pradeep",'Form Details'!$J:$J,$C716,'Form Details'!$W:$W,"Adv/Paid/NoStatus")</f>
        <v>0</v>
      </c>
      <c r="DL716" s="238"/>
      <c r="DM716" s="238"/>
      <c r="DN716" s="238"/>
      <c r="DO716" s="238"/>
      <c r="DP716" s="238"/>
      <c r="DQ716" s="239"/>
      <c r="DR716" s="237">
        <f>COUNTIFS('Form Details'!$D:$D,"&lt;"&amp;'Adv. Filter'!$A$15,'Form Details'!$N:$N,"Pradeep",'Form Details'!$J:$J,$C716,'Form Details'!$W:$W,"No Status")</f>
        <v>0</v>
      </c>
      <c r="DS716" s="238"/>
      <c r="DT716" s="238"/>
      <c r="DU716" s="238"/>
      <c r="DV716" s="238"/>
      <c r="DW716" s="238"/>
      <c r="DX716" s="239"/>
      <c r="DY716" s="237">
        <f>SUM(COUNTIFS('Form Details'!$D:$D,"&lt;"&amp;'Adv. Filter'!$A$15,'Form Details'!$N:$N,"Pradeep",'Form Details'!$J:$J,$C716,'Form Details'!$W:$W,{"Wrong Entry ","Double Entry"}))</f>
        <v>0</v>
      </c>
      <c r="DZ716" s="238"/>
      <c r="EA716" s="238"/>
      <c r="EB716" s="238"/>
      <c r="EC716" s="238"/>
      <c r="ED716" s="238"/>
      <c r="EE716" s="239"/>
    </row>
    <row r="717" spans="3:135" hidden="1">
      <c r="C717" s="248" t="s">
        <v>84</v>
      </c>
      <c r="D717" s="249"/>
      <c r="E717" s="249"/>
      <c r="F717" s="249"/>
      <c r="G717" s="249"/>
      <c r="H717" s="249"/>
      <c r="I717" s="249"/>
      <c r="J717" s="249"/>
      <c r="K717" s="249"/>
      <c r="L717" s="249"/>
      <c r="M717" s="249"/>
      <c r="N717" s="249"/>
      <c r="O717" s="237">
        <f>COUNTIFS('Form Details'!$D:$D,"&lt;"&amp;'Adv. Filter'!$A$15,'Form Details'!$N:$N,"Pradeep",'Form Details'!$J:$J,$C717)</f>
        <v>14</v>
      </c>
      <c r="P717" s="238"/>
      <c r="Q717" s="238"/>
      <c r="R717" s="238"/>
      <c r="S717" s="238"/>
      <c r="T717" s="238"/>
      <c r="U717" s="239"/>
      <c r="V717" s="100"/>
      <c r="W717" s="237">
        <f>COUNTIFS('Form Details'!$D:$D,"&lt;"&amp;'Adv. Filter'!$A$15,'Form Details'!$N:$N,"Pradeep",'Form Details'!$J:$J,$C717,'Form Details'!$AA:$AA,"Yes")</f>
        <v>14</v>
      </c>
      <c r="X717" s="238"/>
      <c r="Y717" s="238"/>
      <c r="Z717" s="238"/>
      <c r="AA717" s="238"/>
      <c r="AB717" s="238"/>
      <c r="AC717" s="239"/>
      <c r="AD717" s="237">
        <f>COUNTIFS('Form Details'!$D:$D,"&lt;"&amp;'Adv. Filter'!$A$15,'Form Details'!$N:$N,"Pradeep",'Form Details'!$J:$J,$C717,'Form Details'!$W:$W,"Paid",'Form Details'!$S:$S,'Adv. Filter'!$A$14,'Form Details'!$S:$S,'Adv. Filter'!$B$14)</f>
        <v>11</v>
      </c>
      <c r="AE717" s="238"/>
      <c r="AF717" s="238"/>
      <c r="AG717" s="238"/>
      <c r="AH717" s="238"/>
      <c r="AI717" s="238"/>
      <c r="AJ717" s="239"/>
      <c r="AK717" s="237">
        <f>COUNTIFS('Form Details'!$D:$D,"&lt;"&amp;'Adv. Filter'!$A$15,'Form Details'!$N:$N,"Pradeep",'Form Details'!$J:$J,$C717,'Form Details'!$W:$W,"Due")</f>
        <v>3</v>
      </c>
      <c r="AL717" s="238"/>
      <c r="AM717" s="238"/>
      <c r="AN717" s="238"/>
      <c r="AO717" s="238"/>
      <c r="AP717" s="238"/>
      <c r="AQ717" s="239"/>
      <c r="AR717" s="237">
        <f>COUNTIFS('Form Details'!$D:$D,"&lt;"&amp;'Adv. Filter'!$A$15,'Form Details'!$N:$N,"Pradeep",'Form Details'!$J:$J,$C717,'Form Details'!$W:$W,"No Fee")</f>
        <v>0</v>
      </c>
      <c r="AS717" s="238"/>
      <c r="AT717" s="238"/>
      <c r="AU717" s="238"/>
      <c r="AV717" s="238"/>
      <c r="AW717" s="238"/>
      <c r="AX717" s="239"/>
      <c r="AY717" s="237">
        <f>COUNTIFS('Form Details'!$D:$D,"&lt;"&amp;'Adv. Filter'!$A$15,'Form Details'!$N:$N,"Pradeep",'Form Details'!$J:$J,$C717,'Form Details'!$W:$W,"Paid/Reject")</f>
        <v>0</v>
      </c>
      <c r="AZ717" s="238"/>
      <c r="BA717" s="238"/>
      <c r="BB717" s="238"/>
      <c r="BC717" s="238"/>
      <c r="BD717" s="238"/>
      <c r="BE717" s="239"/>
      <c r="BF717" s="237">
        <f>COUNTIFS('Form Details'!$D:$D,"&lt;"&amp;'Adv. Filter'!$A$15,'Form Details'!$N:$N,"Pradeep",'Form Details'!$J:$J,$C717,'Form Details'!$W:$W,"Staff")</f>
        <v>0</v>
      </c>
      <c r="BG717" s="238"/>
      <c r="BH717" s="238"/>
      <c r="BI717" s="238"/>
      <c r="BJ717" s="238"/>
      <c r="BK717" s="238"/>
      <c r="BL717" s="239"/>
      <c r="BM717" s="237">
        <f>COUNTIFS('Form Details'!$D:$D,"&lt;"&amp;'Adv. Filter'!$A$15,'Form Details'!$N:$N,"Pradeep",'Form Details'!$J:$J,$C717,'Form Details'!$W:$W,"File In Office")</f>
        <v>0</v>
      </c>
      <c r="BN717" s="238"/>
      <c r="BO717" s="238"/>
      <c r="BP717" s="238"/>
      <c r="BQ717" s="238"/>
      <c r="BR717" s="238"/>
      <c r="BS717" s="239"/>
      <c r="BT717" s="100"/>
      <c r="BU717" s="237">
        <f>COUNTIFS('Form Details'!$D:$D,"&lt;"&amp;'Adv. Filter'!$A$15,'Form Details'!$N:$N,"Pradeep",'Form Details'!$J:$J,$C717,'Form Details'!$AA:$AA,"No")</f>
        <v>0</v>
      </c>
      <c r="BV717" s="238"/>
      <c r="BW717" s="238"/>
      <c r="BX717" s="238"/>
      <c r="BY717" s="238"/>
      <c r="BZ717" s="238"/>
      <c r="CA717" s="239"/>
      <c r="CB717" s="237">
        <f>COUNTIFS('Form Details'!$D:$D,"&lt;"&amp;'Adv. Filter'!$A$15,'Form Details'!$N:$N,"Pradeep",'Form Details'!$J:$J,$C717,'Form Details'!$W:$W,"Adv/Paid")</f>
        <v>0</v>
      </c>
      <c r="CC717" s="238"/>
      <c r="CD717" s="238"/>
      <c r="CE717" s="238"/>
      <c r="CF717" s="238"/>
      <c r="CG717" s="238"/>
      <c r="CH717" s="239"/>
      <c r="CI717" s="237">
        <f>COUNTIFS('Form Details'!$D:$D,"&lt;"&amp;'Adv. Filter'!$A$15,'Form Details'!$N:$N,"Pradeep",'Form Details'!$J:$J,$C717,'Form Details'!$W:$W,"Adv/Paid/Reject")</f>
        <v>0</v>
      </c>
      <c r="CJ717" s="238"/>
      <c r="CK717" s="238"/>
      <c r="CL717" s="238"/>
      <c r="CM717" s="238"/>
      <c r="CN717" s="238"/>
      <c r="CO717" s="239"/>
      <c r="CP717" s="237">
        <f>COUNTIFS('Form Details'!$D:$D,"&lt;"&amp;'Adv. Filter'!$A$15,'Form Details'!$N:$N,"Pradeep",'Form Details'!$J:$J,$C717,'Form Details'!$W:$W,"Reject")</f>
        <v>0</v>
      </c>
      <c r="CQ717" s="238"/>
      <c r="CR717" s="238"/>
      <c r="CS717" s="238"/>
      <c r="CT717" s="238"/>
      <c r="CU717" s="238"/>
      <c r="CV717" s="239"/>
      <c r="CW717" s="237">
        <f>COUNTIFS('Form Details'!$D:$D,"&lt;"&amp;'Adv. Filter'!$A$15,'Form Details'!$N:$N,"Pradeep",'Form Details'!$J:$J,$C717,'Form Details'!$W:$W,"Adv/Paid/Pending")</f>
        <v>0</v>
      </c>
      <c r="CX717" s="238"/>
      <c r="CY717" s="238"/>
      <c r="CZ717" s="238"/>
      <c r="DA717" s="238"/>
      <c r="DB717" s="238"/>
      <c r="DC717" s="239"/>
      <c r="DD717" s="237">
        <f>COUNTIFS('Form Details'!$D:$D,"&lt;"&amp;'Adv. Filter'!$A$15,'Form Details'!$N:$N,"Pradeep",'Form Details'!$J:$J,$C717,'Form Details'!$W:$W,"Pending")</f>
        <v>0</v>
      </c>
      <c r="DE717" s="238"/>
      <c r="DF717" s="238"/>
      <c r="DG717" s="238"/>
      <c r="DH717" s="238"/>
      <c r="DI717" s="238"/>
      <c r="DJ717" s="239"/>
      <c r="DK717" s="237">
        <f>COUNTIFS('Form Details'!$D:$D,"&lt;"&amp;'Adv. Filter'!$A$15,'Form Details'!$N:$N,"Pradeep",'Form Details'!$J:$J,$C717,'Form Details'!$W:$W,"Adv/Paid/NoStatus")</f>
        <v>0</v>
      </c>
      <c r="DL717" s="238"/>
      <c r="DM717" s="238"/>
      <c r="DN717" s="238"/>
      <c r="DO717" s="238"/>
      <c r="DP717" s="238"/>
      <c r="DQ717" s="239"/>
      <c r="DR717" s="237">
        <f>COUNTIFS('Form Details'!$D:$D,"&lt;"&amp;'Adv. Filter'!$A$15,'Form Details'!$N:$N,"Pradeep",'Form Details'!$J:$J,$C717,'Form Details'!$W:$W,"No Status")</f>
        <v>0</v>
      </c>
      <c r="DS717" s="238"/>
      <c r="DT717" s="238"/>
      <c r="DU717" s="238"/>
      <c r="DV717" s="238"/>
      <c r="DW717" s="238"/>
      <c r="DX717" s="239"/>
      <c r="DY717" s="237">
        <f>SUM(COUNTIFS('Form Details'!$D:$D,"&lt;"&amp;'Adv. Filter'!$A$15,'Form Details'!$N:$N,"Pradeep",'Form Details'!$J:$J,$C717,'Form Details'!$W:$W,{"Wrong Entry ","Double Entry"}))</f>
        <v>0</v>
      </c>
      <c r="DZ717" s="238"/>
      <c r="EA717" s="238"/>
      <c r="EB717" s="238"/>
      <c r="EC717" s="238"/>
      <c r="ED717" s="238"/>
      <c r="EE717" s="239"/>
    </row>
    <row r="718" spans="3:135" hidden="1">
      <c r="C718" s="248" t="s">
        <v>551</v>
      </c>
      <c r="D718" s="249"/>
      <c r="E718" s="249"/>
      <c r="F718" s="249"/>
      <c r="G718" s="249"/>
      <c r="H718" s="249"/>
      <c r="I718" s="249"/>
      <c r="J718" s="249"/>
      <c r="K718" s="249"/>
      <c r="L718" s="249"/>
      <c r="M718" s="249"/>
      <c r="N718" s="249"/>
      <c r="O718" s="237">
        <f>COUNTIFS('Form Details'!$D:$D,"&lt;"&amp;'Adv. Filter'!$A$15,'Form Details'!$N:$N,"Pradeep",'Form Details'!$J:$J,$C718)</f>
        <v>0</v>
      </c>
      <c r="P718" s="238"/>
      <c r="Q718" s="238"/>
      <c r="R718" s="238"/>
      <c r="S718" s="238"/>
      <c r="T718" s="238"/>
      <c r="U718" s="239"/>
      <c r="V718" s="100"/>
      <c r="W718" s="237">
        <f>COUNTIFS('Form Details'!$D:$D,"&lt;"&amp;'Adv. Filter'!$A$15,'Form Details'!$N:$N,"Pradeep",'Form Details'!$J:$J,$C718,'Form Details'!$AA:$AA,"Yes")</f>
        <v>0</v>
      </c>
      <c r="X718" s="238"/>
      <c r="Y718" s="238"/>
      <c r="Z718" s="238"/>
      <c r="AA718" s="238"/>
      <c r="AB718" s="238"/>
      <c r="AC718" s="239"/>
      <c r="AD718" s="237">
        <f>COUNTIFS('Form Details'!$D:$D,"&lt;"&amp;'Adv. Filter'!$A$15,'Form Details'!$N:$N,"Pradeep",'Form Details'!$J:$J,$C718,'Form Details'!$W:$W,"Paid",'Form Details'!$S:$S,'Adv. Filter'!$A$14,'Form Details'!$S:$S,'Adv. Filter'!$B$14)</f>
        <v>0</v>
      </c>
      <c r="AE718" s="238"/>
      <c r="AF718" s="238"/>
      <c r="AG718" s="238"/>
      <c r="AH718" s="238"/>
      <c r="AI718" s="238"/>
      <c r="AJ718" s="239"/>
      <c r="AK718" s="237">
        <f>COUNTIFS('Form Details'!$D:$D,"&lt;"&amp;'Adv. Filter'!$A$15,'Form Details'!$N:$N,"Pradeep",'Form Details'!$J:$J,$C718,'Form Details'!$W:$W,"Due")</f>
        <v>0</v>
      </c>
      <c r="AL718" s="238"/>
      <c r="AM718" s="238"/>
      <c r="AN718" s="238"/>
      <c r="AO718" s="238"/>
      <c r="AP718" s="238"/>
      <c r="AQ718" s="239"/>
      <c r="AR718" s="237">
        <f>COUNTIFS('Form Details'!$D:$D,"&lt;"&amp;'Adv. Filter'!$A$15,'Form Details'!$N:$N,"Pradeep",'Form Details'!$J:$J,$C718,'Form Details'!$W:$W,"No Fee")</f>
        <v>0</v>
      </c>
      <c r="AS718" s="238"/>
      <c r="AT718" s="238"/>
      <c r="AU718" s="238"/>
      <c r="AV718" s="238"/>
      <c r="AW718" s="238"/>
      <c r="AX718" s="239"/>
      <c r="AY718" s="237">
        <f>COUNTIFS('Form Details'!$D:$D,"&lt;"&amp;'Adv. Filter'!$A$15,'Form Details'!$N:$N,"Pradeep",'Form Details'!$J:$J,$C718,'Form Details'!$W:$W,"Paid/Reject")</f>
        <v>0</v>
      </c>
      <c r="AZ718" s="238"/>
      <c r="BA718" s="238"/>
      <c r="BB718" s="238"/>
      <c r="BC718" s="238"/>
      <c r="BD718" s="238"/>
      <c r="BE718" s="239"/>
      <c r="BF718" s="237">
        <f>COUNTIFS('Form Details'!$D:$D,"&lt;"&amp;'Adv. Filter'!$A$15,'Form Details'!$N:$N,"Pradeep",'Form Details'!$J:$J,$C718,'Form Details'!$W:$W,"Staff")</f>
        <v>0</v>
      </c>
      <c r="BG718" s="238"/>
      <c r="BH718" s="238"/>
      <c r="BI718" s="238"/>
      <c r="BJ718" s="238"/>
      <c r="BK718" s="238"/>
      <c r="BL718" s="239"/>
      <c r="BM718" s="237">
        <f>COUNTIFS('Form Details'!$D:$D,"&lt;"&amp;'Adv. Filter'!$A$15,'Form Details'!$N:$N,"Pradeep",'Form Details'!$J:$J,$C718,'Form Details'!$W:$W,"File In Office")</f>
        <v>0</v>
      </c>
      <c r="BN718" s="238"/>
      <c r="BO718" s="238"/>
      <c r="BP718" s="238"/>
      <c r="BQ718" s="238"/>
      <c r="BR718" s="238"/>
      <c r="BS718" s="239"/>
      <c r="BT718" s="100"/>
      <c r="BU718" s="237">
        <f>COUNTIFS('Form Details'!$D:$D,"&lt;"&amp;'Adv. Filter'!$A$15,'Form Details'!$N:$N,"Pradeep",'Form Details'!$J:$J,$C718,'Form Details'!$AA:$AA,"No")</f>
        <v>0</v>
      </c>
      <c r="BV718" s="238"/>
      <c r="BW718" s="238"/>
      <c r="BX718" s="238"/>
      <c r="BY718" s="238"/>
      <c r="BZ718" s="238"/>
      <c r="CA718" s="239"/>
      <c r="CB718" s="237">
        <f>COUNTIFS('Form Details'!$D:$D,"&lt;"&amp;'Adv. Filter'!$A$15,'Form Details'!$N:$N,"Pradeep",'Form Details'!$J:$J,$C718,'Form Details'!$W:$W,"Adv/Paid")</f>
        <v>0</v>
      </c>
      <c r="CC718" s="238"/>
      <c r="CD718" s="238"/>
      <c r="CE718" s="238"/>
      <c r="CF718" s="238"/>
      <c r="CG718" s="238"/>
      <c r="CH718" s="239"/>
      <c r="CI718" s="237">
        <f>COUNTIFS('Form Details'!$D:$D,"&lt;"&amp;'Adv. Filter'!$A$15,'Form Details'!$N:$N,"Pradeep",'Form Details'!$J:$J,$C718,'Form Details'!$W:$W,"Adv/Paid/Reject")</f>
        <v>0</v>
      </c>
      <c r="CJ718" s="238"/>
      <c r="CK718" s="238"/>
      <c r="CL718" s="238"/>
      <c r="CM718" s="238"/>
      <c r="CN718" s="238"/>
      <c r="CO718" s="239"/>
      <c r="CP718" s="237">
        <f>COUNTIFS('Form Details'!$D:$D,"&lt;"&amp;'Adv. Filter'!$A$15,'Form Details'!$N:$N,"Pradeep",'Form Details'!$J:$J,$C718,'Form Details'!$W:$W,"Reject")</f>
        <v>0</v>
      </c>
      <c r="CQ718" s="238"/>
      <c r="CR718" s="238"/>
      <c r="CS718" s="238"/>
      <c r="CT718" s="238"/>
      <c r="CU718" s="238"/>
      <c r="CV718" s="239"/>
      <c r="CW718" s="237">
        <f>COUNTIFS('Form Details'!$D:$D,"&lt;"&amp;'Adv. Filter'!$A$15,'Form Details'!$N:$N,"Pradeep",'Form Details'!$J:$J,$C718,'Form Details'!$W:$W,"Adv/Paid/Pending")</f>
        <v>0</v>
      </c>
      <c r="CX718" s="238"/>
      <c r="CY718" s="238"/>
      <c r="CZ718" s="238"/>
      <c r="DA718" s="238"/>
      <c r="DB718" s="238"/>
      <c r="DC718" s="239"/>
      <c r="DD718" s="237">
        <f>COUNTIFS('Form Details'!$D:$D,"&lt;"&amp;'Adv. Filter'!$A$15,'Form Details'!$N:$N,"Pradeep",'Form Details'!$J:$J,$C718,'Form Details'!$W:$W,"Pending")</f>
        <v>0</v>
      </c>
      <c r="DE718" s="238"/>
      <c r="DF718" s="238"/>
      <c r="DG718" s="238"/>
      <c r="DH718" s="238"/>
      <c r="DI718" s="238"/>
      <c r="DJ718" s="239"/>
      <c r="DK718" s="237">
        <f>COUNTIFS('Form Details'!$D:$D,"&lt;"&amp;'Adv. Filter'!$A$15,'Form Details'!$N:$N,"Pradeep",'Form Details'!$J:$J,$C718,'Form Details'!$W:$W,"Adv/Paid/NoStatus")</f>
        <v>0</v>
      </c>
      <c r="DL718" s="238"/>
      <c r="DM718" s="238"/>
      <c r="DN718" s="238"/>
      <c r="DO718" s="238"/>
      <c r="DP718" s="238"/>
      <c r="DQ718" s="239"/>
      <c r="DR718" s="237">
        <f>COUNTIFS('Form Details'!$D:$D,"&lt;"&amp;'Adv. Filter'!$A$15,'Form Details'!$N:$N,"Pradeep",'Form Details'!$J:$J,$C718,'Form Details'!$W:$W,"No Status")</f>
        <v>0</v>
      </c>
      <c r="DS718" s="238"/>
      <c r="DT718" s="238"/>
      <c r="DU718" s="238"/>
      <c r="DV718" s="238"/>
      <c r="DW718" s="238"/>
      <c r="DX718" s="239"/>
      <c r="DY718" s="237">
        <f>SUM(COUNTIFS('Form Details'!$D:$D,"&lt;"&amp;'Adv. Filter'!$A$15,'Form Details'!$N:$N,"Pradeep",'Form Details'!$J:$J,$C718,'Form Details'!$W:$W,{"Wrong Entry ","Double Entry"}))</f>
        <v>0</v>
      </c>
      <c r="DZ718" s="238"/>
      <c r="EA718" s="238"/>
      <c r="EB718" s="238"/>
      <c r="EC718" s="238"/>
      <c r="ED718" s="238"/>
      <c r="EE718" s="239"/>
    </row>
    <row r="719" spans="3:135" hidden="1">
      <c r="C719" s="248" t="s">
        <v>121</v>
      </c>
      <c r="D719" s="249"/>
      <c r="E719" s="249"/>
      <c r="F719" s="249"/>
      <c r="G719" s="249"/>
      <c r="H719" s="249"/>
      <c r="I719" s="249"/>
      <c r="J719" s="249"/>
      <c r="K719" s="249"/>
      <c r="L719" s="249"/>
      <c r="M719" s="249"/>
      <c r="N719" s="249"/>
      <c r="O719" s="237">
        <f>COUNTIFS('Form Details'!$D:$D,"&lt;"&amp;'Adv. Filter'!$A$15,'Form Details'!$N:$N,"Pradeep",'Form Details'!$J:$J,$C719)</f>
        <v>0</v>
      </c>
      <c r="P719" s="238"/>
      <c r="Q719" s="238"/>
      <c r="R719" s="238"/>
      <c r="S719" s="238"/>
      <c r="T719" s="238"/>
      <c r="U719" s="239"/>
      <c r="V719" s="100"/>
      <c r="W719" s="237">
        <f>COUNTIFS('Form Details'!$D:$D,"&lt;"&amp;'Adv. Filter'!$A$15,'Form Details'!$N:$N,"Pradeep",'Form Details'!$J:$J,$C719,'Form Details'!$AA:$AA,"Yes")</f>
        <v>0</v>
      </c>
      <c r="X719" s="238"/>
      <c r="Y719" s="238"/>
      <c r="Z719" s="238"/>
      <c r="AA719" s="238"/>
      <c r="AB719" s="238"/>
      <c r="AC719" s="239"/>
      <c r="AD719" s="237">
        <f>COUNTIFS('Form Details'!$D:$D,"&lt;"&amp;'Adv. Filter'!$A$15,'Form Details'!$N:$N,"Pradeep",'Form Details'!$J:$J,$C719,'Form Details'!$W:$W,"Paid",'Form Details'!$S:$S,'Adv. Filter'!$A$14,'Form Details'!$S:$S,'Adv. Filter'!$B$14)</f>
        <v>0</v>
      </c>
      <c r="AE719" s="238"/>
      <c r="AF719" s="238"/>
      <c r="AG719" s="238"/>
      <c r="AH719" s="238"/>
      <c r="AI719" s="238"/>
      <c r="AJ719" s="239"/>
      <c r="AK719" s="237">
        <f>COUNTIFS('Form Details'!$D:$D,"&lt;"&amp;'Adv. Filter'!$A$15,'Form Details'!$N:$N,"Pradeep",'Form Details'!$J:$J,$C719,'Form Details'!$W:$W,"Due")</f>
        <v>0</v>
      </c>
      <c r="AL719" s="238"/>
      <c r="AM719" s="238"/>
      <c r="AN719" s="238"/>
      <c r="AO719" s="238"/>
      <c r="AP719" s="238"/>
      <c r="AQ719" s="239"/>
      <c r="AR719" s="237">
        <f>COUNTIFS('Form Details'!$D:$D,"&lt;"&amp;'Adv. Filter'!$A$15,'Form Details'!$N:$N,"Pradeep",'Form Details'!$J:$J,$C719,'Form Details'!$W:$W,"No Fee")</f>
        <v>0</v>
      </c>
      <c r="AS719" s="238"/>
      <c r="AT719" s="238"/>
      <c r="AU719" s="238"/>
      <c r="AV719" s="238"/>
      <c r="AW719" s="238"/>
      <c r="AX719" s="239"/>
      <c r="AY719" s="237">
        <f>COUNTIFS('Form Details'!$D:$D,"&lt;"&amp;'Adv. Filter'!$A$15,'Form Details'!$N:$N,"Pradeep",'Form Details'!$J:$J,$C719,'Form Details'!$W:$W,"Paid/Reject")</f>
        <v>0</v>
      </c>
      <c r="AZ719" s="238"/>
      <c r="BA719" s="238"/>
      <c r="BB719" s="238"/>
      <c r="BC719" s="238"/>
      <c r="BD719" s="238"/>
      <c r="BE719" s="239"/>
      <c r="BF719" s="237">
        <f>COUNTIFS('Form Details'!$D:$D,"&lt;"&amp;'Adv. Filter'!$A$15,'Form Details'!$N:$N,"Pradeep",'Form Details'!$J:$J,$C719,'Form Details'!$W:$W,"Staff")</f>
        <v>0</v>
      </c>
      <c r="BG719" s="238"/>
      <c r="BH719" s="238"/>
      <c r="BI719" s="238"/>
      <c r="BJ719" s="238"/>
      <c r="BK719" s="238"/>
      <c r="BL719" s="239"/>
      <c r="BM719" s="237">
        <f>COUNTIFS('Form Details'!$D:$D,"&lt;"&amp;'Adv. Filter'!$A$15,'Form Details'!$N:$N,"Pradeep",'Form Details'!$J:$J,$C719,'Form Details'!$W:$W,"File In Office")</f>
        <v>0</v>
      </c>
      <c r="BN719" s="238"/>
      <c r="BO719" s="238"/>
      <c r="BP719" s="238"/>
      <c r="BQ719" s="238"/>
      <c r="BR719" s="238"/>
      <c r="BS719" s="239"/>
      <c r="BT719" s="100"/>
      <c r="BU719" s="237">
        <f>COUNTIFS('Form Details'!$D:$D,"&lt;"&amp;'Adv. Filter'!$A$15,'Form Details'!$N:$N,"Pradeep",'Form Details'!$J:$J,$C719,'Form Details'!$AA:$AA,"No")</f>
        <v>0</v>
      </c>
      <c r="BV719" s="238"/>
      <c r="BW719" s="238"/>
      <c r="BX719" s="238"/>
      <c r="BY719" s="238"/>
      <c r="BZ719" s="238"/>
      <c r="CA719" s="239"/>
      <c r="CB719" s="237">
        <f>COUNTIFS('Form Details'!$D:$D,"&lt;"&amp;'Adv. Filter'!$A$15,'Form Details'!$N:$N,"Pradeep",'Form Details'!$J:$J,$C719,'Form Details'!$W:$W,"Adv/Paid")</f>
        <v>0</v>
      </c>
      <c r="CC719" s="238"/>
      <c r="CD719" s="238"/>
      <c r="CE719" s="238"/>
      <c r="CF719" s="238"/>
      <c r="CG719" s="238"/>
      <c r="CH719" s="239"/>
      <c r="CI719" s="237">
        <f>COUNTIFS('Form Details'!$D:$D,"&lt;"&amp;'Adv. Filter'!$A$15,'Form Details'!$N:$N,"Pradeep",'Form Details'!$J:$J,$C719,'Form Details'!$W:$W,"Adv/Paid/Reject")</f>
        <v>0</v>
      </c>
      <c r="CJ719" s="238"/>
      <c r="CK719" s="238"/>
      <c r="CL719" s="238"/>
      <c r="CM719" s="238"/>
      <c r="CN719" s="238"/>
      <c r="CO719" s="239"/>
      <c r="CP719" s="237">
        <f>COUNTIFS('Form Details'!$D:$D,"&lt;"&amp;'Adv. Filter'!$A$15,'Form Details'!$N:$N,"Pradeep",'Form Details'!$J:$J,$C719,'Form Details'!$W:$W,"Reject")</f>
        <v>0</v>
      </c>
      <c r="CQ719" s="238"/>
      <c r="CR719" s="238"/>
      <c r="CS719" s="238"/>
      <c r="CT719" s="238"/>
      <c r="CU719" s="238"/>
      <c r="CV719" s="239"/>
      <c r="CW719" s="237">
        <f>COUNTIFS('Form Details'!$D:$D,"&lt;"&amp;'Adv. Filter'!$A$15,'Form Details'!$N:$N,"Pradeep",'Form Details'!$J:$J,$C719,'Form Details'!$W:$W,"Adv/Paid/Pending")</f>
        <v>0</v>
      </c>
      <c r="CX719" s="238"/>
      <c r="CY719" s="238"/>
      <c r="CZ719" s="238"/>
      <c r="DA719" s="238"/>
      <c r="DB719" s="238"/>
      <c r="DC719" s="239"/>
      <c r="DD719" s="237">
        <f>COUNTIFS('Form Details'!$D:$D,"&lt;"&amp;'Adv. Filter'!$A$15,'Form Details'!$N:$N,"Pradeep",'Form Details'!$J:$J,$C719,'Form Details'!$W:$W,"Pending")</f>
        <v>0</v>
      </c>
      <c r="DE719" s="238"/>
      <c r="DF719" s="238"/>
      <c r="DG719" s="238"/>
      <c r="DH719" s="238"/>
      <c r="DI719" s="238"/>
      <c r="DJ719" s="239"/>
      <c r="DK719" s="237">
        <f>COUNTIFS('Form Details'!$D:$D,"&lt;"&amp;'Adv. Filter'!$A$15,'Form Details'!$N:$N,"Pradeep",'Form Details'!$J:$J,$C719,'Form Details'!$W:$W,"Adv/Paid/NoStatus")</f>
        <v>0</v>
      </c>
      <c r="DL719" s="238"/>
      <c r="DM719" s="238"/>
      <c r="DN719" s="238"/>
      <c r="DO719" s="238"/>
      <c r="DP719" s="238"/>
      <c r="DQ719" s="239"/>
      <c r="DR719" s="237">
        <f>COUNTIFS('Form Details'!$D:$D,"&lt;"&amp;'Adv. Filter'!$A$15,'Form Details'!$N:$N,"Pradeep",'Form Details'!$J:$J,$C719,'Form Details'!$W:$W,"No Status")</f>
        <v>0</v>
      </c>
      <c r="DS719" s="238"/>
      <c r="DT719" s="238"/>
      <c r="DU719" s="238"/>
      <c r="DV719" s="238"/>
      <c r="DW719" s="238"/>
      <c r="DX719" s="239"/>
      <c r="DY719" s="237">
        <f>SUM(COUNTIFS('Form Details'!$D:$D,"&lt;"&amp;'Adv. Filter'!$A$15,'Form Details'!$N:$N,"Pradeep",'Form Details'!$J:$J,$C719,'Form Details'!$W:$W,{"Wrong Entry ","Double Entry"}))</f>
        <v>0</v>
      </c>
      <c r="DZ719" s="238"/>
      <c r="EA719" s="238"/>
      <c r="EB719" s="238"/>
      <c r="EC719" s="238"/>
      <c r="ED719" s="238"/>
      <c r="EE719" s="239"/>
    </row>
    <row r="720" spans="3:135" hidden="1">
      <c r="C720" s="248" t="s">
        <v>111</v>
      </c>
      <c r="D720" s="249"/>
      <c r="E720" s="249"/>
      <c r="F720" s="249"/>
      <c r="G720" s="249"/>
      <c r="H720" s="249"/>
      <c r="I720" s="249"/>
      <c r="J720" s="249"/>
      <c r="K720" s="249"/>
      <c r="L720" s="249"/>
      <c r="M720" s="249"/>
      <c r="N720" s="249"/>
      <c r="O720" s="237">
        <f>COUNTIFS('Form Details'!$D:$D,"&lt;"&amp;'Adv. Filter'!$A$15,'Form Details'!$N:$N,"Pradeep",'Form Details'!$J:$J,$C720)</f>
        <v>0</v>
      </c>
      <c r="P720" s="238"/>
      <c r="Q720" s="238"/>
      <c r="R720" s="238"/>
      <c r="S720" s="238"/>
      <c r="T720" s="238"/>
      <c r="U720" s="239"/>
      <c r="V720" s="100"/>
      <c r="W720" s="237">
        <f>COUNTIFS('Form Details'!$D:$D,"&lt;"&amp;'Adv. Filter'!$A$15,'Form Details'!$N:$N,"Pradeep",'Form Details'!$J:$J,$C720,'Form Details'!$AA:$AA,"Yes")</f>
        <v>0</v>
      </c>
      <c r="X720" s="238"/>
      <c r="Y720" s="238"/>
      <c r="Z720" s="238"/>
      <c r="AA720" s="238"/>
      <c r="AB720" s="238"/>
      <c r="AC720" s="239"/>
      <c r="AD720" s="237">
        <f>COUNTIFS('Form Details'!$D:$D,"&lt;"&amp;'Adv. Filter'!$A$15,'Form Details'!$N:$N,"Pradeep",'Form Details'!$J:$J,$C720,'Form Details'!$W:$W,"Paid",'Form Details'!$S:$S,'Adv. Filter'!$A$14,'Form Details'!$S:$S,'Adv. Filter'!$B$14)</f>
        <v>0</v>
      </c>
      <c r="AE720" s="238"/>
      <c r="AF720" s="238"/>
      <c r="AG720" s="238"/>
      <c r="AH720" s="238"/>
      <c r="AI720" s="238"/>
      <c r="AJ720" s="239"/>
      <c r="AK720" s="237">
        <f>COUNTIFS('Form Details'!$D:$D,"&lt;"&amp;'Adv. Filter'!$A$15,'Form Details'!$N:$N,"Pradeep",'Form Details'!$J:$J,$C720,'Form Details'!$W:$W,"Due")</f>
        <v>0</v>
      </c>
      <c r="AL720" s="238"/>
      <c r="AM720" s="238"/>
      <c r="AN720" s="238"/>
      <c r="AO720" s="238"/>
      <c r="AP720" s="238"/>
      <c r="AQ720" s="239"/>
      <c r="AR720" s="237">
        <f>COUNTIFS('Form Details'!$D:$D,"&lt;"&amp;'Adv. Filter'!$A$15,'Form Details'!$N:$N,"Pradeep",'Form Details'!$J:$J,$C720,'Form Details'!$W:$W,"No Fee")</f>
        <v>0</v>
      </c>
      <c r="AS720" s="238"/>
      <c r="AT720" s="238"/>
      <c r="AU720" s="238"/>
      <c r="AV720" s="238"/>
      <c r="AW720" s="238"/>
      <c r="AX720" s="239"/>
      <c r="AY720" s="237">
        <f>COUNTIFS('Form Details'!$D:$D,"&lt;"&amp;'Adv. Filter'!$A$15,'Form Details'!$N:$N,"Pradeep",'Form Details'!$J:$J,$C720,'Form Details'!$W:$W,"Paid/Reject")</f>
        <v>0</v>
      </c>
      <c r="AZ720" s="238"/>
      <c r="BA720" s="238"/>
      <c r="BB720" s="238"/>
      <c r="BC720" s="238"/>
      <c r="BD720" s="238"/>
      <c r="BE720" s="239"/>
      <c r="BF720" s="237">
        <f>COUNTIFS('Form Details'!$D:$D,"&lt;"&amp;'Adv. Filter'!$A$15,'Form Details'!$N:$N,"Pradeep",'Form Details'!$J:$J,$C720,'Form Details'!$W:$W,"Staff")</f>
        <v>0</v>
      </c>
      <c r="BG720" s="238"/>
      <c r="BH720" s="238"/>
      <c r="BI720" s="238"/>
      <c r="BJ720" s="238"/>
      <c r="BK720" s="238"/>
      <c r="BL720" s="239"/>
      <c r="BM720" s="237">
        <f>COUNTIFS('Form Details'!$D:$D,"&lt;"&amp;'Adv. Filter'!$A$15,'Form Details'!$N:$N,"Pradeep",'Form Details'!$J:$J,$C720,'Form Details'!$W:$W,"File In Office")</f>
        <v>0</v>
      </c>
      <c r="BN720" s="238"/>
      <c r="BO720" s="238"/>
      <c r="BP720" s="238"/>
      <c r="BQ720" s="238"/>
      <c r="BR720" s="238"/>
      <c r="BS720" s="239"/>
      <c r="BT720" s="100"/>
      <c r="BU720" s="237">
        <f>COUNTIFS('Form Details'!$D:$D,"&lt;"&amp;'Adv. Filter'!$A$15,'Form Details'!$N:$N,"Pradeep",'Form Details'!$J:$J,$C720,'Form Details'!$AA:$AA,"No")</f>
        <v>0</v>
      </c>
      <c r="BV720" s="238"/>
      <c r="BW720" s="238"/>
      <c r="BX720" s="238"/>
      <c r="BY720" s="238"/>
      <c r="BZ720" s="238"/>
      <c r="CA720" s="239"/>
      <c r="CB720" s="237">
        <f>COUNTIFS('Form Details'!$D:$D,"&lt;"&amp;'Adv. Filter'!$A$15,'Form Details'!$N:$N,"Pradeep",'Form Details'!$J:$J,$C720,'Form Details'!$W:$W,"Adv/Paid")</f>
        <v>0</v>
      </c>
      <c r="CC720" s="238"/>
      <c r="CD720" s="238"/>
      <c r="CE720" s="238"/>
      <c r="CF720" s="238"/>
      <c r="CG720" s="238"/>
      <c r="CH720" s="239"/>
      <c r="CI720" s="237">
        <f>COUNTIFS('Form Details'!$D:$D,"&lt;"&amp;'Adv. Filter'!$A$15,'Form Details'!$N:$N,"Pradeep",'Form Details'!$J:$J,$C720,'Form Details'!$W:$W,"Adv/Paid/Reject")</f>
        <v>0</v>
      </c>
      <c r="CJ720" s="238"/>
      <c r="CK720" s="238"/>
      <c r="CL720" s="238"/>
      <c r="CM720" s="238"/>
      <c r="CN720" s="238"/>
      <c r="CO720" s="239"/>
      <c r="CP720" s="237">
        <f>COUNTIFS('Form Details'!$D:$D,"&lt;"&amp;'Adv. Filter'!$A$15,'Form Details'!$N:$N,"Pradeep",'Form Details'!$J:$J,$C720,'Form Details'!$W:$W,"Reject")</f>
        <v>0</v>
      </c>
      <c r="CQ720" s="238"/>
      <c r="CR720" s="238"/>
      <c r="CS720" s="238"/>
      <c r="CT720" s="238"/>
      <c r="CU720" s="238"/>
      <c r="CV720" s="239"/>
      <c r="CW720" s="237">
        <f>COUNTIFS('Form Details'!$D:$D,"&lt;"&amp;'Adv. Filter'!$A$15,'Form Details'!$N:$N,"Pradeep",'Form Details'!$J:$J,$C720,'Form Details'!$W:$W,"Adv/Paid/Pending")</f>
        <v>0</v>
      </c>
      <c r="CX720" s="238"/>
      <c r="CY720" s="238"/>
      <c r="CZ720" s="238"/>
      <c r="DA720" s="238"/>
      <c r="DB720" s="238"/>
      <c r="DC720" s="239"/>
      <c r="DD720" s="237">
        <f>COUNTIFS('Form Details'!$D:$D,"&lt;"&amp;'Adv. Filter'!$A$15,'Form Details'!$N:$N,"Pradeep",'Form Details'!$J:$J,$C720,'Form Details'!$W:$W,"Pending")</f>
        <v>0</v>
      </c>
      <c r="DE720" s="238"/>
      <c r="DF720" s="238"/>
      <c r="DG720" s="238"/>
      <c r="DH720" s="238"/>
      <c r="DI720" s="238"/>
      <c r="DJ720" s="239"/>
      <c r="DK720" s="237">
        <f>COUNTIFS('Form Details'!$D:$D,"&lt;"&amp;'Adv. Filter'!$A$15,'Form Details'!$N:$N,"Pradeep",'Form Details'!$J:$J,$C720,'Form Details'!$W:$W,"Adv/Paid/NoStatus")</f>
        <v>0</v>
      </c>
      <c r="DL720" s="238"/>
      <c r="DM720" s="238"/>
      <c r="DN720" s="238"/>
      <c r="DO720" s="238"/>
      <c r="DP720" s="238"/>
      <c r="DQ720" s="239"/>
      <c r="DR720" s="237">
        <f>COUNTIFS('Form Details'!$D:$D,"&lt;"&amp;'Adv. Filter'!$A$15,'Form Details'!$N:$N,"Pradeep",'Form Details'!$J:$J,$C720,'Form Details'!$W:$W,"No Status")</f>
        <v>0</v>
      </c>
      <c r="DS720" s="238"/>
      <c r="DT720" s="238"/>
      <c r="DU720" s="238"/>
      <c r="DV720" s="238"/>
      <c r="DW720" s="238"/>
      <c r="DX720" s="239"/>
      <c r="DY720" s="237">
        <f>SUM(COUNTIFS('Form Details'!$D:$D,"&lt;"&amp;'Adv. Filter'!$A$15,'Form Details'!$N:$N,"Pradeep",'Form Details'!$J:$J,$C720,'Form Details'!$W:$W,{"Wrong Entry ","Double Entry"}))</f>
        <v>0</v>
      </c>
      <c r="DZ720" s="238"/>
      <c r="EA720" s="238"/>
      <c r="EB720" s="238"/>
      <c r="EC720" s="238"/>
      <c r="ED720" s="238"/>
      <c r="EE720" s="239"/>
    </row>
    <row r="721" spans="3:135" hidden="1">
      <c r="C721" s="248" t="s">
        <v>116</v>
      </c>
      <c r="D721" s="249"/>
      <c r="E721" s="249"/>
      <c r="F721" s="249"/>
      <c r="G721" s="249"/>
      <c r="H721" s="249"/>
      <c r="I721" s="249"/>
      <c r="J721" s="249"/>
      <c r="K721" s="249"/>
      <c r="L721" s="249"/>
      <c r="M721" s="249"/>
      <c r="N721" s="249"/>
      <c r="O721" s="237">
        <f>COUNTIFS('Form Details'!$D:$D,"&lt;"&amp;'Adv. Filter'!$A$15,'Form Details'!$N:$N,"Pradeep",'Form Details'!$J:$J,$C721)</f>
        <v>0</v>
      </c>
      <c r="P721" s="238"/>
      <c r="Q721" s="238"/>
      <c r="R721" s="238"/>
      <c r="S721" s="238"/>
      <c r="T721" s="238"/>
      <c r="U721" s="239"/>
      <c r="V721" s="100"/>
      <c r="W721" s="237">
        <f>COUNTIFS('Form Details'!$D:$D,"&lt;"&amp;'Adv. Filter'!$A$15,'Form Details'!$N:$N,"Pradeep",'Form Details'!$J:$J,$C721,'Form Details'!$AA:$AA,"Yes")</f>
        <v>0</v>
      </c>
      <c r="X721" s="238"/>
      <c r="Y721" s="238"/>
      <c r="Z721" s="238"/>
      <c r="AA721" s="238"/>
      <c r="AB721" s="238"/>
      <c r="AC721" s="239"/>
      <c r="AD721" s="237">
        <f>COUNTIFS('Form Details'!$D:$D,"&lt;"&amp;'Adv. Filter'!$A$15,'Form Details'!$N:$N,"Pradeep",'Form Details'!$J:$J,$C721,'Form Details'!$W:$W,"Paid",'Form Details'!$S:$S,'Adv. Filter'!$A$14,'Form Details'!$S:$S,'Adv. Filter'!$B$14)</f>
        <v>0</v>
      </c>
      <c r="AE721" s="238"/>
      <c r="AF721" s="238"/>
      <c r="AG721" s="238"/>
      <c r="AH721" s="238"/>
      <c r="AI721" s="238"/>
      <c r="AJ721" s="239"/>
      <c r="AK721" s="237">
        <f>COUNTIFS('Form Details'!$D:$D,"&lt;"&amp;'Adv. Filter'!$A$15,'Form Details'!$N:$N,"Pradeep",'Form Details'!$J:$J,$C721,'Form Details'!$W:$W,"Due")</f>
        <v>0</v>
      </c>
      <c r="AL721" s="238"/>
      <c r="AM721" s="238"/>
      <c r="AN721" s="238"/>
      <c r="AO721" s="238"/>
      <c r="AP721" s="238"/>
      <c r="AQ721" s="239"/>
      <c r="AR721" s="237">
        <f>COUNTIFS('Form Details'!$D:$D,"&lt;"&amp;'Adv. Filter'!$A$15,'Form Details'!$N:$N,"Pradeep",'Form Details'!$J:$J,$C721,'Form Details'!$W:$W,"No Fee")</f>
        <v>0</v>
      </c>
      <c r="AS721" s="238"/>
      <c r="AT721" s="238"/>
      <c r="AU721" s="238"/>
      <c r="AV721" s="238"/>
      <c r="AW721" s="238"/>
      <c r="AX721" s="239"/>
      <c r="AY721" s="237">
        <f>COUNTIFS('Form Details'!$D:$D,"&lt;"&amp;'Adv. Filter'!$A$15,'Form Details'!$N:$N,"Pradeep",'Form Details'!$J:$J,$C721,'Form Details'!$W:$W,"Paid/Reject")</f>
        <v>0</v>
      </c>
      <c r="AZ721" s="238"/>
      <c r="BA721" s="238"/>
      <c r="BB721" s="238"/>
      <c r="BC721" s="238"/>
      <c r="BD721" s="238"/>
      <c r="BE721" s="239"/>
      <c r="BF721" s="237">
        <f>COUNTIFS('Form Details'!$D:$D,"&lt;"&amp;'Adv. Filter'!$A$15,'Form Details'!$N:$N,"Pradeep",'Form Details'!$J:$J,$C721,'Form Details'!$W:$W,"Staff")</f>
        <v>0</v>
      </c>
      <c r="BG721" s="238"/>
      <c r="BH721" s="238"/>
      <c r="BI721" s="238"/>
      <c r="BJ721" s="238"/>
      <c r="BK721" s="238"/>
      <c r="BL721" s="239"/>
      <c r="BM721" s="237">
        <f>COUNTIFS('Form Details'!$D:$D,"&lt;"&amp;'Adv. Filter'!$A$15,'Form Details'!$N:$N,"Pradeep",'Form Details'!$J:$J,$C721,'Form Details'!$W:$W,"File In Office")</f>
        <v>0</v>
      </c>
      <c r="BN721" s="238"/>
      <c r="BO721" s="238"/>
      <c r="BP721" s="238"/>
      <c r="BQ721" s="238"/>
      <c r="BR721" s="238"/>
      <c r="BS721" s="239"/>
      <c r="BT721" s="100"/>
      <c r="BU721" s="237">
        <f>COUNTIFS('Form Details'!$D:$D,"&lt;"&amp;'Adv. Filter'!$A$15,'Form Details'!$N:$N,"Pradeep",'Form Details'!$J:$J,$C721,'Form Details'!$AA:$AA,"No")</f>
        <v>0</v>
      </c>
      <c r="BV721" s="238"/>
      <c r="BW721" s="238"/>
      <c r="BX721" s="238"/>
      <c r="BY721" s="238"/>
      <c r="BZ721" s="238"/>
      <c r="CA721" s="239"/>
      <c r="CB721" s="237">
        <f>COUNTIFS('Form Details'!$D:$D,"&lt;"&amp;'Adv. Filter'!$A$15,'Form Details'!$N:$N,"Pradeep",'Form Details'!$J:$J,$C721,'Form Details'!$W:$W,"Adv/Paid")</f>
        <v>0</v>
      </c>
      <c r="CC721" s="238"/>
      <c r="CD721" s="238"/>
      <c r="CE721" s="238"/>
      <c r="CF721" s="238"/>
      <c r="CG721" s="238"/>
      <c r="CH721" s="239"/>
      <c r="CI721" s="237">
        <f>COUNTIFS('Form Details'!$D:$D,"&lt;"&amp;'Adv. Filter'!$A$15,'Form Details'!$N:$N,"Pradeep",'Form Details'!$J:$J,$C721,'Form Details'!$W:$W,"Adv/Paid/Reject")</f>
        <v>0</v>
      </c>
      <c r="CJ721" s="238"/>
      <c r="CK721" s="238"/>
      <c r="CL721" s="238"/>
      <c r="CM721" s="238"/>
      <c r="CN721" s="238"/>
      <c r="CO721" s="239"/>
      <c r="CP721" s="237">
        <f>COUNTIFS('Form Details'!$D:$D,"&lt;"&amp;'Adv. Filter'!$A$15,'Form Details'!$N:$N,"Pradeep",'Form Details'!$J:$J,$C721,'Form Details'!$W:$W,"Reject")</f>
        <v>0</v>
      </c>
      <c r="CQ721" s="238"/>
      <c r="CR721" s="238"/>
      <c r="CS721" s="238"/>
      <c r="CT721" s="238"/>
      <c r="CU721" s="238"/>
      <c r="CV721" s="239"/>
      <c r="CW721" s="237">
        <f>COUNTIFS('Form Details'!$D:$D,"&lt;"&amp;'Adv. Filter'!$A$15,'Form Details'!$N:$N,"Pradeep",'Form Details'!$J:$J,$C721,'Form Details'!$W:$W,"Adv/Paid/Pending")</f>
        <v>0</v>
      </c>
      <c r="CX721" s="238"/>
      <c r="CY721" s="238"/>
      <c r="CZ721" s="238"/>
      <c r="DA721" s="238"/>
      <c r="DB721" s="238"/>
      <c r="DC721" s="239"/>
      <c r="DD721" s="237">
        <f>COUNTIFS('Form Details'!$D:$D,"&lt;"&amp;'Adv. Filter'!$A$15,'Form Details'!$N:$N,"Pradeep",'Form Details'!$J:$J,$C721,'Form Details'!$W:$W,"Pending")</f>
        <v>0</v>
      </c>
      <c r="DE721" s="238"/>
      <c r="DF721" s="238"/>
      <c r="DG721" s="238"/>
      <c r="DH721" s="238"/>
      <c r="DI721" s="238"/>
      <c r="DJ721" s="239"/>
      <c r="DK721" s="237">
        <f>COUNTIFS('Form Details'!$D:$D,"&lt;"&amp;'Adv. Filter'!$A$15,'Form Details'!$N:$N,"Pradeep",'Form Details'!$J:$J,$C721,'Form Details'!$W:$W,"Adv/Paid/NoStatus")</f>
        <v>0</v>
      </c>
      <c r="DL721" s="238"/>
      <c r="DM721" s="238"/>
      <c r="DN721" s="238"/>
      <c r="DO721" s="238"/>
      <c r="DP721" s="238"/>
      <c r="DQ721" s="239"/>
      <c r="DR721" s="237">
        <f>COUNTIFS('Form Details'!$D:$D,"&lt;"&amp;'Adv. Filter'!$A$15,'Form Details'!$N:$N,"Pradeep",'Form Details'!$J:$J,$C721,'Form Details'!$W:$W,"No Status")</f>
        <v>0</v>
      </c>
      <c r="DS721" s="238"/>
      <c r="DT721" s="238"/>
      <c r="DU721" s="238"/>
      <c r="DV721" s="238"/>
      <c r="DW721" s="238"/>
      <c r="DX721" s="239"/>
      <c r="DY721" s="237">
        <f>SUM(COUNTIFS('Form Details'!$D:$D,"&lt;"&amp;'Adv. Filter'!$A$15,'Form Details'!$N:$N,"Pradeep",'Form Details'!$J:$J,$C721,'Form Details'!$W:$W,{"Wrong Entry ","Double Entry"}))</f>
        <v>0</v>
      </c>
      <c r="DZ721" s="238"/>
      <c r="EA721" s="238"/>
      <c r="EB721" s="238"/>
      <c r="EC721" s="238"/>
      <c r="ED721" s="238"/>
      <c r="EE721" s="239"/>
    </row>
    <row r="722" spans="3:135" hidden="1">
      <c r="C722" s="248" t="s">
        <v>119</v>
      </c>
      <c r="D722" s="249"/>
      <c r="E722" s="249"/>
      <c r="F722" s="249"/>
      <c r="G722" s="249"/>
      <c r="H722" s="249"/>
      <c r="I722" s="249"/>
      <c r="J722" s="249"/>
      <c r="K722" s="249"/>
      <c r="L722" s="249"/>
      <c r="M722" s="249"/>
      <c r="N722" s="249"/>
      <c r="O722" s="237">
        <f>COUNTIFS('Form Details'!$D:$D,"&lt;"&amp;'Adv. Filter'!$A$15,'Form Details'!$N:$N,"Pradeep",'Form Details'!$J:$J,$C722)</f>
        <v>0</v>
      </c>
      <c r="P722" s="238"/>
      <c r="Q722" s="238"/>
      <c r="R722" s="238"/>
      <c r="S722" s="238"/>
      <c r="T722" s="238"/>
      <c r="U722" s="239"/>
      <c r="V722" s="100"/>
      <c r="W722" s="237">
        <f>COUNTIFS('Form Details'!$D:$D,"&lt;"&amp;'Adv. Filter'!$A$15,'Form Details'!$N:$N,"Pradeep",'Form Details'!$J:$J,$C722,'Form Details'!$AA:$AA,"Yes")</f>
        <v>0</v>
      </c>
      <c r="X722" s="238"/>
      <c r="Y722" s="238"/>
      <c r="Z722" s="238"/>
      <c r="AA722" s="238"/>
      <c r="AB722" s="238"/>
      <c r="AC722" s="239"/>
      <c r="AD722" s="237">
        <f>COUNTIFS('Form Details'!$D:$D,"&lt;"&amp;'Adv. Filter'!$A$15,'Form Details'!$N:$N,"Pradeep",'Form Details'!$J:$J,$C722,'Form Details'!$W:$W,"Paid",'Form Details'!$S:$S,'Adv. Filter'!$A$14,'Form Details'!$S:$S,'Adv. Filter'!$B$14)</f>
        <v>0</v>
      </c>
      <c r="AE722" s="238"/>
      <c r="AF722" s="238"/>
      <c r="AG722" s="238"/>
      <c r="AH722" s="238"/>
      <c r="AI722" s="238"/>
      <c r="AJ722" s="239"/>
      <c r="AK722" s="237">
        <f>COUNTIFS('Form Details'!$D:$D,"&lt;"&amp;'Adv. Filter'!$A$15,'Form Details'!$N:$N,"Pradeep",'Form Details'!$J:$J,$C722,'Form Details'!$W:$W,"Due")</f>
        <v>0</v>
      </c>
      <c r="AL722" s="238"/>
      <c r="AM722" s="238"/>
      <c r="AN722" s="238"/>
      <c r="AO722" s="238"/>
      <c r="AP722" s="238"/>
      <c r="AQ722" s="239"/>
      <c r="AR722" s="237">
        <f>COUNTIFS('Form Details'!$D:$D,"&lt;"&amp;'Adv. Filter'!$A$15,'Form Details'!$N:$N,"Pradeep",'Form Details'!$J:$J,$C722,'Form Details'!$W:$W,"No Fee")</f>
        <v>0</v>
      </c>
      <c r="AS722" s="238"/>
      <c r="AT722" s="238"/>
      <c r="AU722" s="238"/>
      <c r="AV722" s="238"/>
      <c r="AW722" s="238"/>
      <c r="AX722" s="239"/>
      <c r="AY722" s="237">
        <f>COUNTIFS('Form Details'!$D:$D,"&lt;"&amp;'Adv. Filter'!$A$15,'Form Details'!$N:$N,"Pradeep",'Form Details'!$J:$J,$C722,'Form Details'!$W:$W,"Paid/Reject")</f>
        <v>0</v>
      </c>
      <c r="AZ722" s="238"/>
      <c r="BA722" s="238"/>
      <c r="BB722" s="238"/>
      <c r="BC722" s="238"/>
      <c r="BD722" s="238"/>
      <c r="BE722" s="239"/>
      <c r="BF722" s="237">
        <f>COUNTIFS('Form Details'!$D:$D,"&lt;"&amp;'Adv. Filter'!$A$15,'Form Details'!$N:$N,"Pradeep",'Form Details'!$J:$J,$C722,'Form Details'!$W:$W,"Staff")</f>
        <v>0</v>
      </c>
      <c r="BG722" s="238"/>
      <c r="BH722" s="238"/>
      <c r="BI722" s="238"/>
      <c r="BJ722" s="238"/>
      <c r="BK722" s="238"/>
      <c r="BL722" s="239"/>
      <c r="BM722" s="237">
        <f>COUNTIFS('Form Details'!$D:$D,"&lt;"&amp;'Adv. Filter'!$A$15,'Form Details'!$N:$N,"Pradeep",'Form Details'!$J:$J,$C722,'Form Details'!$W:$W,"File In Office")</f>
        <v>0</v>
      </c>
      <c r="BN722" s="238"/>
      <c r="BO722" s="238"/>
      <c r="BP722" s="238"/>
      <c r="BQ722" s="238"/>
      <c r="BR722" s="238"/>
      <c r="BS722" s="239"/>
      <c r="BT722" s="100"/>
      <c r="BU722" s="237">
        <f>COUNTIFS('Form Details'!$D:$D,"&lt;"&amp;'Adv. Filter'!$A$15,'Form Details'!$N:$N,"Pradeep",'Form Details'!$J:$J,$C722,'Form Details'!$AA:$AA,"No")</f>
        <v>0</v>
      </c>
      <c r="BV722" s="238"/>
      <c r="BW722" s="238"/>
      <c r="BX722" s="238"/>
      <c r="BY722" s="238"/>
      <c r="BZ722" s="238"/>
      <c r="CA722" s="239"/>
      <c r="CB722" s="237">
        <f>COUNTIFS('Form Details'!$D:$D,"&lt;"&amp;'Adv. Filter'!$A$15,'Form Details'!$N:$N,"Pradeep",'Form Details'!$J:$J,$C722,'Form Details'!$W:$W,"Adv/Paid")</f>
        <v>0</v>
      </c>
      <c r="CC722" s="238"/>
      <c r="CD722" s="238"/>
      <c r="CE722" s="238"/>
      <c r="CF722" s="238"/>
      <c r="CG722" s="238"/>
      <c r="CH722" s="239"/>
      <c r="CI722" s="237">
        <f>COUNTIFS('Form Details'!$D:$D,"&lt;"&amp;'Adv. Filter'!$A$15,'Form Details'!$N:$N,"Pradeep",'Form Details'!$J:$J,$C722,'Form Details'!$W:$W,"Adv/Paid/Reject")</f>
        <v>0</v>
      </c>
      <c r="CJ722" s="238"/>
      <c r="CK722" s="238"/>
      <c r="CL722" s="238"/>
      <c r="CM722" s="238"/>
      <c r="CN722" s="238"/>
      <c r="CO722" s="239"/>
      <c r="CP722" s="237">
        <f>COUNTIFS('Form Details'!$D:$D,"&lt;"&amp;'Adv. Filter'!$A$15,'Form Details'!$N:$N,"Pradeep",'Form Details'!$J:$J,$C722,'Form Details'!$W:$W,"Reject")</f>
        <v>0</v>
      </c>
      <c r="CQ722" s="238"/>
      <c r="CR722" s="238"/>
      <c r="CS722" s="238"/>
      <c r="CT722" s="238"/>
      <c r="CU722" s="238"/>
      <c r="CV722" s="239"/>
      <c r="CW722" s="237">
        <f>COUNTIFS('Form Details'!$D:$D,"&lt;"&amp;'Adv. Filter'!$A$15,'Form Details'!$N:$N,"Pradeep",'Form Details'!$J:$J,$C722,'Form Details'!$W:$W,"Adv/Paid/Pending")</f>
        <v>0</v>
      </c>
      <c r="CX722" s="238"/>
      <c r="CY722" s="238"/>
      <c r="CZ722" s="238"/>
      <c r="DA722" s="238"/>
      <c r="DB722" s="238"/>
      <c r="DC722" s="239"/>
      <c r="DD722" s="237">
        <f>COUNTIFS('Form Details'!$D:$D,"&lt;"&amp;'Adv. Filter'!$A$15,'Form Details'!$N:$N,"Pradeep",'Form Details'!$J:$J,$C722,'Form Details'!$W:$W,"Pending")</f>
        <v>0</v>
      </c>
      <c r="DE722" s="238"/>
      <c r="DF722" s="238"/>
      <c r="DG722" s="238"/>
      <c r="DH722" s="238"/>
      <c r="DI722" s="238"/>
      <c r="DJ722" s="239"/>
      <c r="DK722" s="237">
        <f>COUNTIFS('Form Details'!$D:$D,"&lt;"&amp;'Adv. Filter'!$A$15,'Form Details'!$N:$N,"Pradeep",'Form Details'!$J:$J,$C722,'Form Details'!$W:$W,"Adv/Paid/NoStatus")</f>
        <v>0</v>
      </c>
      <c r="DL722" s="238"/>
      <c r="DM722" s="238"/>
      <c r="DN722" s="238"/>
      <c r="DO722" s="238"/>
      <c r="DP722" s="238"/>
      <c r="DQ722" s="239"/>
      <c r="DR722" s="237">
        <f>COUNTIFS('Form Details'!$D:$D,"&lt;"&amp;'Adv. Filter'!$A$15,'Form Details'!$N:$N,"Pradeep",'Form Details'!$J:$J,$C722,'Form Details'!$W:$W,"No Status")</f>
        <v>0</v>
      </c>
      <c r="DS722" s="238"/>
      <c r="DT722" s="238"/>
      <c r="DU722" s="238"/>
      <c r="DV722" s="238"/>
      <c r="DW722" s="238"/>
      <c r="DX722" s="239"/>
      <c r="DY722" s="237">
        <f>SUM(COUNTIFS('Form Details'!$D:$D,"&lt;"&amp;'Adv. Filter'!$A$15,'Form Details'!$N:$N,"Pradeep",'Form Details'!$J:$J,$C722,'Form Details'!$W:$W,{"Wrong Entry ","Double Entry"}))</f>
        <v>0</v>
      </c>
      <c r="DZ722" s="238"/>
      <c r="EA722" s="238"/>
      <c r="EB722" s="238"/>
      <c r="EC722" s="238"/>
      <c r="ED722" s="238"/>
      <c r="EE722" s="239"/>
    </row>
    <row r="723" spans="3:135" ht="15.75" hidden="1" thickBot="1">
      <c r="C723" s="248" t="s">
        <v>92</v>
      </c>
      <c r="D723" s="249"/>
      <c r="E723" s="249"/>
      <c r="F723" s="249"/>
      <c r="G723" s="249"/>
      <c r="H723" s="249"/>
      <c r="I723" s="249"/>
      <c r="J723" s="249"/>
      <c r="K723" s="249"/>
      <c r="L723" s="249"/>
      <c r="M723" s="249"/>
      <c r="N723" s="249"/>
      <c r="O723" s="237">
        <f>COUNTIFS('Form Details'!$D:$D,"&lt;"&amp;'Adv. Filter'!$A$15,'Form Details'!$N:$N,"Pradeep",'Form Details'!$J:$J,$C723)</f>
        <v>2</v>
      </c>
      <c r="P723" s="238"/>
      <c r="Q723" s="238"/>
      <c r="R723" s="238"/>
      <c r="S723" s="238"/>
      <c r="T723" s="238"/>
      <c r="U723" s="239"/>
      <c r="V723" s="100"/>
      <c r="W723" s="237">
        <f>COUNTIFS('Form Details'!$D:$D,"&lt;"&amp;'Adv. Filter'!$A$15,'Form Details'!$N:$N,"Pradeep",'Form Details'!$J:$J,$C723,'Form Details'!$AA:$AA,"Yes")</f>
        <v>2</v>
      </c>
      <c r="X723" s="238"/>
      <c r="Y723" s="238"/>
      <c r="Z723" s="238"/>
      <c r="AA723" s="238"/>
      <c r="AB723" s="238"/>
      <c r="AC723" s="239"/>
      <c r="AD723" s="237">
        <f>COUNTIFS('Form Details'!$D:$D,"&lt;"&amp;'Adv. Filter'!$A$15,'Form Details'!$N:$N,"Pradeep",'Form Details'!$J:$J,$C723,'Form Details'!$W:$W,"Paid",'Form Details'!$S:$S,'Adv. Filter'!$A$14,'Form Details'!$S:$S,'Adv. Filter'!$B$14)</f>
        <v>1</v>
      </c>
      <c r="AE723" s="238"/>
      <c r="AF723" s="238"/>
      <c r="AG723" s="238"/>
      <c r="AH723" s="238"/>
      <c r="AI723" s="238"/>
      <c r="AJ723" s="239"/>
      <c r="AK723" s="237">
        <f>COUNTIFS('Form Details'!$D:$D,"&lt;"&amp;'Adv. Filter'!$A$15,'Form Details'!$N:$N,"Pradeep",'Form Details'!$J:$J,$C723,'Form Details'!$W:$W,"Due")</f>
        <v>1</v>
      </c>
      <c r="AL723" s="238"/>
      <c r="AM723" s="238"/>
      <c r="AN723" s="238"/>
      <c r="AO723" s="238"/>
      <c r="AP723" s="238"/>
      <c r="AQ723" s="239"/>
      <c r="AR723" s="237">
        <f>COUNTIFS('Form Details'!$D:$D,"&lt;"&amp;'Adv. Filter'!$A$15,'Form Details'!$N:$N,"Pradeep",'Form Details'!$J:$J,$C723,'Form Details'!$W:$W,"No Fee")</f>
        <v>0</v>
      </c>
      <c r="AS723" s="238"/>
      <c r="AT723" s="238"/>
      <c r="AU723" s="238"/>
      <c r="AV723" s="238"/>
      <c r="AW723" s="238"/>
      <c r="AX723" s="239"/>
      <c r="AY723" s="237">
        <f>COUNTIFS('Form Details'!$D:$D,"&lt;"&amp;'Adv. Filter'!$A$15,'Form Details'!$N:$N,"Pradeep",'Form Details'!$J:$J,$C723,'Form Details'!$W:$W,"Paid/Reject")</f>
        <v>0</v>
      </c>
      <c r="AZ723" s="238"/>
      <c r="BA723" s="238"/>
      <c r="BB723" s="238"/>
      <c r="BC723" s="238"/>
      <c r="BD723" s="238"/>
      <c r="BE723" s="239"/>
      <c r="BF723" s="237">
        <f>COUNTIFS('Form Details'!$D:$D,"&lt;"&amp;'Adv. Filter'!$A$15,'Form Details'!$N:$N,"Pradeep",'Form Details'!$J:$J,$C723,'Form Details'!$W:$W,"Staff")</f>
        <v>0</v>
      </c>
      <c r="BG723" s="238"/>
      <c r="BH723" s="238"/>
      <c r="BI723" s="238"/>
      <c r="BJ723" s="238"/>
      <c r="BK723" s="238"/>
      <c r="BL723" s="239"/>
      <c r="BM723" s="237">
        <f>COUNTIFS('Form Details'!$D:$D,"&lt;"&amp;'Adv. Filter'!$A$15,'Form Details'!$N:$N,"Pradeep",'Form Details'!$J:$J,$C723,'Form Details'!$W:$W,"File In Office")</f>
        <v>0</v>
      </c>
      <c r="BN723" s="238"/>
      <c r="BO723" s="238"/>
      <c r="BP723" s="238"/>
      <c r="BQ723" s="238"/>
      <c r="BR723" s="238"/>
      <c r="BS723" s="239"/>
      <c r="BT723" s="100"/>
      <c r="BU723" s="237">
        <f>COUNTIFS('Form Details'!$D:$D,"&lt;"&amp;'Adv. Filter'!$A$15,'Form Details'!$N:$N,"Pradeep",'Form Details'!$J:$J,$C723,'Form Details'!$AA:$AA,"No")</f>
        <v>0</v>
      </c>
      <c r="BV723" s="238"/>
      <c r="BW723" s="238"/>
      <c r="BX723" s="238"/>
      <c r="BY723" s="238"/>
      <c r="BZ723" s="238"/>
      <c r="CA723" s="239"/>
      <c r="CB723" s="237">
        <f>COUNTIFS('Form Details'!$D:$D,"&lt;"&amp;'Adv. Filter'!$A$15,'Form Details'!$N:$N,"Pradeep",'Form Details'!$J:$J,$C723,'Form Details'!$W:$W,"Adv/Paid")</f>
        <v>0</v>
      </c>
      <c r="CC723" s="238"/>
      <c r="CD723" s="238"/>
      <c r="CE723" s="238"/>
      <c r="CF723" s="238"/>
      <c r="CG723" s="238"/>
      <c r="CH723" s="239"/>
      <c r="CI723" s="237">
        <f>COUNTIFS('Form Details'!$D:$D,"&lt;"&amp;'Adv. Filter'!$A$15,'Form Details'!$N:$N,"Pradeep",'Form Details'!$J:$J,$C723,'Form Details'!$W:$W,"Adv/Paid/Reject")</f>
        <v>0</v>
      </c>
      <c r="CJ723" s="238"/>
      <c r="CK723" s="238"/>
      <c r="CL723" s="238"/>
      <c r="CM723" s="238"/>
      <c r="CN723" s="238"/>
      <c r="CO723" s="239"/>
      <c r="CP723" s="237">
        <f>COUNTIFS('Form Details'!$D:$D,"&lt;"&amp;'Adv. Filter'!$A$15,'Form Details'!$N:$N,"Pradeep",'Form Details'!$J:$J,$C723,'Form Details'!$W:$W,"Reject")</f>
        <v>0</v>
      </c>
      <c r="CQ723" s="238"/>
      <c r="CR723" s="238"/>
      <c r="CS723" s="238"/>
      <c r="CT723" s="238"/>
      <c r="CU723" s="238"/>
      <c r="CV723" s="239"/>
      <c r="CW723" s="237">
        <f>COUNTIFS('Form Details'!$D:$D,"&lt;"&amp;'Adv. Filter'!$A$15,'Form Details'!$N:$N,"Pradeep",'Form Details'!$J:$J,$C723,'Form Details'!$W:$W,"Adv/Paid/Pending")</f>
        <v>0</v>
      </c>
      <c r="CX723" s="238"/>
      <c r="CY723" s="238"/>
      <c r="CZ723" s="238"/>
      <c r="DA723" s="238"/>
      <c r="DB723" s="238"/>
      <c r="DC723" s="239"/>
      <c r="DD723" s="237">
        <f>COUNTIFS('Form Details'!$D:$D,"&lt;"&amp;'Adv. Filter'!$A$15,'Form Details'!$N:$N,"Pradeep",'Form Details'!$J:$J,$C723,'Form Details'!$W:$W,"Pending")</f>
        <v>0</v>
      </c>
      <c r="DE723" s="238"/>
      <c r="DF723" s="238"/>
      <c r="DG723" s="238"/>
      <c r="DH723" s="238"/>
      <c r="DI723" s="238"/>
      <c r="DJ723" s="239"/>
      <c r="DK723" s="237">
        <f>COUNTIFS('Form Details'!$D:$D,"&lt;"&amp;'Adv. Filter'!$A$15,'Form Details'!$N:$N,"Pradeep",'Form Details'!$J:$J,$C723,'Form Details'!$W:$W,"Adv/Paid/NoStatus")</f>
        <v>0</v>
      </c>
      <c r="DL723" s="238"/>
      <c r="DM723" s="238"/>
      <c r="DN723" s="238"/>
      <c r="DO723" s="238"/>
      <c r="DP723" s="238"/>
      <c r="DQ723" s="239"/>
      <c r="DR723" s="237">
        <f>COUNTIFS('Form Details'!$D:$D,"&lt;"&amp;'Adv. Filter'!$A$15,'Form Details'!$N:$N,"Pradeep",'Form Details'!$J:$J,$C723,'Form Details'!$W:$W,"No Status")</f>
        <v>0</v>
      </c>
      <c r="DS723" s="238"/>
      <c r="DT723" s="238"/>
      <c r="DU723" s="238"/>
      <c r="DV723" s="238"/>
      <c r="DW723" s="238"/>
      <c r="DX723" s="239"/>
      <c r="DY723" s="237">
        <f>SUM(COUNTIFS('Form Details'!$D:$D,"&lt;"&amp;'Adv. Filter'!$A$15,'Form Details'!$N:$N,"Pradeep",'Form Details'!$J:$J,$C723,'Form Details'!$W:$W,{"Wrong Entry ","Double Entry"}))</f>
        <v>0</v>
      </c>
      <c r="DZ723" s="238"/>
      <c r="EA723" s="238"/>
      <c r="EB723" s="238"/>
      <c r="EC723" s="238"/>
      <c r="ED723" s="238"/>
      <c r="EE723" s="239"/>
    </row>
    <row r="724" spans="3:135" hidden="1">
      <c r="C724" s="248" t="s">
        <v>97</v>
      </c>
      <c r="D724" s="249"/>
      <c r="E724" s="249"/>
      <c r="F724" s="249"/>
      <c r="G724" s="249"/>
      <c r="H724" s="249"/>
      <c r="I724" s="249"/>
      <c r="J724" s="249"/>
      <c r="K724" s="249"/>
      <c r="L724" s="249"/>
      <c r="M724" s="249"/>
      <c r="N724" s="249"/>
      <c r="O724" s="237">
        <f>COUNTIFS('Form Details'!$D:$D,"&lt;"&amp;'Adv. Filter'!$A$15,'Form Details'!$N:$N,"Pradeep",'Form Details'!$J:$J,$C724)</f>
        <v>0</v>
      </c>
      <c r="P724" s="238"/>
      <c r="Q724" s="238"/>
      <c r="R724" s="238"/>
      <c r="S724" s="238"/>
      <c r="T724" s="238"/>
      <c r="U724" s="239"/>
      <c r="V724" s="100"/>
      <c r="W724" s="237">
        <f>COUNTIFS('Form Details'!$D:$D,"&lt;"&amp;'Adv. Filter'!$A$15,'Form Details'!$N:$N,"Pradeep",'Form Details'!$J:$J,$C724,'Form Details'!$AA:$AA,"Yes")</f>
        <v>0</v>
      </c>
      <c r="X724" s="238"/>
      <c r="Y724" s="238"/>
      <c r="Z724" s="238"/>
      <c r="AA724" s="238"/>
      <c r="AB724" s="238"/>
      <c r="AC724" s="239"/>
      <c r="AD724" s="237">
        <f>COUNTIFS('Form Details'!$D:$D,"&lt;"&amp;'Adv. Filter'!$A$15,'Form Details'!$N:$N,"Pradeep",'Form Details'!$J:$J,$C724,'Form Details'!$W:$W,"Paid",'Form Details'!$S:$S,'Adv. Filter'!$A$14,'Form Details'!$S:$S,'Adv. Filter'!$B$14)</f>
        <v>0</v>
      </c>
      <c r="AE724" s="238"/>
      <c r="AF724" s="238"/>
      <c r="AG724" s="238"/>
      <c r="AH724" s="238"/>
      <c r="AI724" s="238"/>
      <c r="AJ724" s="239"/>
      <c r="AK724" s="237">
        <f>COUNTIFS('Form Details'!$D:$D,"&lt;"&amp;'Adv. Filter'!$A$15,'Form Details'!$N:$N,"Pradeep",'Form Details'!$J:$J,$C724,'Form Details'!$W:$W,"Due")</f>
        <v>0</v>
      </c>
      <c r="AL724" s="238"/>
      <c r="AM724" s="238"/>
      <c r="AN724" s="238"/>
      <c r="AO724" s="238"/>
      <c r="AP724" s="238"/>
      <c r="AQ724" s="239"/>
      <c r="AR724" s="237">
        <f>COUNTIFS('Form Details'!$D:$D,"&lt;"&amp;'Adv. Filter'!$A$15,'Form Details'!$N:$N,"Pradeep",'Form Details'!$J:$J,$C724,'Form Details'!$W:$W,"No Fee")</f>
        <v>0</v>
      </c>
      <c r="AS724" s="238"/>
      <c r="AT724" s="238"/>
      <c r="AU724" s="238"/>
      <c r="AV724" s="238"/>
      <c r="AW724" s="238"/>
      <c r="AX724" s="239"/>
      <c r="AY724" s="237">
        <f>COUNTIFS('Form Details'!$D:$D,"&lt;"&amp;'Adv. Filter'!$A$15,'Form Details'!$N:$N,"Pradeep",'Form Details'!$J:$J,$C724,'Form Details'!$W:$W,"Paid/Reject")</f>
        <v>0</v>
      </c>
      <c r="AZ724" s="238"/>
      <c r="BA724" s="238"/>
      <c r="BB724" s="238"/>
      <c r="BC724" s="238"/>
      <c r="BD724" s="238"/>
      <c r="BE724" s="239"/>
      <c r="BF724" s="237">
        <f>COUNTIFS('Form Details'!$D:$D,"&lt;"&amp;'Adv. Filter'!$A$15,'Form Details'!$N:$N,"Pradeep",'Form Details'!$J:$J,$C724,'Form Details'!$W:$W,"Staff")</f>
        <v>0</v>
      </c>
      <c r="BG724" s="238"/>
      <c r="BH724" s="238"/>
      <c r="BI724" s="238"/>
      <c r="BJ724" s="238"/>
      <c r="BK724" s="238"/>
      <c r="BL724" s="239"/>
      <c r="BM724" s="237">
        <f>COUNTIFS('Form Details'!$D:$D,"&lt;"&amp;'Adv. Filter'!$A$15,'Form Details'!$N:$N,"Pradeep",'Form Details'!$J:$J,$C724,'Form Details'!$W:$W,"File In Office")</f>
        <v>0</v>
      </c>
      <c r="BN724" s="238"/>
      <c r="BO724" s="238"/>
      <c r="BP724" s="238"/>
      <c r="BQ724" s="238"/>
      <c r="BR724" s="238"/>
      <c r="BS724" s="239"/>
      <c r="BT724" s="100"/>
      <c r="BU724" s="237">
        <f>COUNTIFS('Form Details'!$D:$D,"&lt;"&amp;'Adv. Filter'!$A$15,'Form Details'!$N:$N,"Pradeep",'Form Details'!$J:$J,$C724,'Form Details'!$AA:$AA,"No")</f>
        <v>0</v>
      </c>
      <c r="BV724" s="238"/>
      <c r="BW724" s="238"/>
      <c r="BX724" s="238"/>
      <c r="BY724" s="238"/>
      <c r="BZ724" s="238"/>
      <c r="CA724" s="239"/>
      <c r="CB724" s="237">
        <f>COUNTIFS('Form Details'!$D:$D,"&lt;"&amp;'Adv. Filter'!$A$15,'Form Details'!$N:$N,"Pradeep",'Form Details'!$J:$J,$C724,'Form Details'!$W:$W,"Adv/Paid")</f>
        <v>0</v>
      </c>
      <c r="CC724" s="238"/>
      <c r="CD724" s="238"/>
      <c r="CE724" s="238"/>
      <c r="CF724" s="238"/>
      <c r="CG724" s="238"/>
      <c r="CH724" s="239"/>
      <c r="CI724" s="237">
        <f>COUNTIFS('Form Details'!$D:$D,"&lt;"&amp;'Adv. Filter'!$A$15,'Form Details'!$N:$N,"Pradeep",'Form Details'!$J:$J,$C724,'Form Details'!$W:$W,"Adv/Paid/Reject")</f>
        <v>0</v>
      </c>
      <c r="CJ724" s="238"/>
      <c r="CK724" s="238"/>
      <c r="CL724" s="238"/>
      <c r="CM724" s="238"/>
      <c r="CN724" s="238"/>
      <c r="CO724" s="239"/>
      <c r="CP724" s="237">
        <f>COUNTIFS('Form Details'!$D:$D,"&lt;"&amp;'Adv. Filter'!$A$15,'Form Details'!$N:$N,"Pradeep",'Form Details'!$J:$J,$C724,'Form Details'!$W:$W,"Reject")</f>
        <v>0</v>
      </c>
      <c r="CQ724" s="238"/>
      <c r="CR724" s="238"/>
      <c r="CS724" s="238"/>
      <c r="CT724" s="238"/>
      <c r="CU724" s="238"/>
      <c r="CV724" s="239"/>
      <c r="CW724" s="237">
        <f>COUNTIFS('Form Details'!$D:$D,"&lt;"&amp;'Adv. Filter'!$A$15,'Form Details'!$N:$N,"Pradeep",'Form Details'!$J:$J,$C724,'Form Details'!$W:$W,"Adv/Paid/Pending")</f>
        <v>0</v>
      </c>
      <c r="CX724" s="238"/>
      <c r="CY724" s="238"/>
      <c r="CZ724" s="238"/>
      <c r="DA724" s="238"/>
      <c r="DB724" s="238"/>
      <c r="DC724" s="239"/>
      <c r="DD724" s="237">
        <f>COUNTIFS('Form Details'!$D:$D,"&lt;"&amp;'Adv. Filter'!$A$15,'Form Details'!$N:$N,"Pradeep",'Form Details'!$J:$J,$C724,'Form Details'!$W:$W,"Pending")</f>
        <v>0</v>
      </c>
      <c r="DE724" s="238"/>
      <c r="DF724" s="238"/>
      <c r="DG724" s="238"/>
      <c r="DH724" s="238"/>
      <c r="DI724" s="238"/>
      <c r="DJ724" s="239"/>
      <c r="DK724" s="237">
        <f>COUNTIFS('Form Details'!$D:$D,"&lt;"&amp;'Adv. Filter'!$A$15,'Form Details'!$N:$N,"Pradeep",'Form Details'!$J:$J,$C724,'Form Details'!$W:$W,"Adv/Paid/NoStatus")</f>
        <v>0</v>
      </c>
      <c r="DL724" s="238"/>
      <c r="DM724" s="238"/>
      <c r="DN724" s="238"/>
      <c r="DO724" s="238"/>
      <c r="DP724" s="238"/>
      <c r="DQ724" s="239"/>
      <c r="DR724" s="237">
        <f>COUNTIFS('Form Details'!$D:$D,"&lt;"&amp;'Adv. Filter'!$A$15,'Form Details'!$N:$N,"Pradeep",'Form Details'!$J:$J,$C724,'Form Details'!$W:$W,"No Status")</f>
        <v>0</v>
      </c>
      <c r="DS724" s="238"/>
      <c r="DT724" s="238"/>
      <c r="DU724" s="238"/>
      <c r="DV724" s="238"/>
      <c r="DW724" s="238"/>
      <c r="DX724" s="239"/>
      <c r="DY724" s="237">
        <f>SUM(COUNTIFS('Form Details'!$D:$D,"&lt;"&amp;'Adv. Filter'!$A$15,'Form Details'!$N:$N,"Pradeep",'Form Details'!$J:$J,$C724,'Form Details'!$W:$W,{"Wrong Entry ","Double Entry"}))</f>
        <v>0</v>
      </c>
      <c r="DZ724" s="238"/>
      <c r="EA724" s="238"/>
      <c r="EB724" s="238"/>
      <c r="EC724" s="238"/>
      <c r="ED724" s="238"/>
      <c r="EE724" s="239"/>
    </row>
    <row r="725" spans="3:135" hidden="1">
      <c r="C725" s="248" t="s">
        <v>102</v>
      </c>
      <c r="D725" s="249"/>
      <c r="E725" s="249"/>
      <c r="F725" s="249"/>
      <c r="G725" s="249"/>
      <c r="H725" s="249"/>
      <c r="I725" s="249"/>
      <c r="J725" s="249"/>
      <c r="K725" s="249"/>
      <c r="L725" s="249"/>
      <c r="M725" s="249"/>
      <c r="N725" s="249"/>
      <c r="O725" s="237">
        <f>COUNTIFS('Form Details'!$D:$D,"&lt;"&amp;'Adv. Filter'!$A$15,'Form Details'!$N:$N,"Pradeep",'Form Details'!$J:$J,$C725)</f>
        <v>0</v>
      </c>
      <c r="P725" s="238"/>
      <c r="Q725" s="238"/>
      <c r="R725" s="238"/>
      <c r="S725" s="238"/>
      <c r="T725" s="238"/>
      <c r="U725" s="239"/>
      <c r="V725" s="100"/>
      <c r="W725" s="237">
        <f>COUNTIFS('Form Details'!$D:$D,"&lt;"&amp;'Adv. Filter'!$A$15,'Form Details'!$N:$N,"Pradeep",'Form Details'!$J:$J,$C725,'Form Details'!$AA:$AA,"Yes")</f>
        <v>0</v>
      </c>
      <c r="X725" s="238"/>
      <c r="Y725" s="238"/>
      <c r="Z725" s="238"/>
      <c r="AA725" s="238"/>
      <c r="AB725" s="238"/>
      <c r="AC725" s="239"/>
      <c r="AD725" s="237">
        <f>COUNTIFS('Form Details'!$D:$D,"&lt;"&amp;'Adv. Filter'!$A$15,'Form Details'!$N:$N,"Pradeep",'Form Details'!$J:$J,$C725,'Form Details'!$W:$W,"Paid",'Form Details'!$S:$S,'Adv. Filter'!$A$14,'Form Details'!$S:$S,'Adv. Filter'!$B$14)</f>
        <v>0</v>
      </c>
      <c r="AE725" s="238"/>
      <c r="AF725" s="238"/>
      <c r="AG725" s="238"/>
      <c r="AH725" s="238"/>
      <c r="AI725" s="238"/>
      <c r="AJ725" s="239"/>
      <c r="AK725" s="237">
        <f>COUNTIFS('Form Details'!$D:$D,"&lt;"&amp;'Adv. Filter'!$A$15,'Form Details'!$N:$N,"Pradeep",'Form Details'!$J:$J,$C725,'Form Details'!$W:$W,"Due")</f>
        <v>0</v>
      </c>
      <c r="AL725" s="238"/>
      <c r="AM725" s="238"/>
      <c r="AN725" s="238"/>
      <c r="AO725" s="238"/>
      <c r="AP725" s="238"/>
      <c r="AQ725" s="239"/>
      <c r="AR725" s="237">
        <f>COUNTIFS('Form Details'!$D:$D,"&lt;"&amp;'Adv. Filter'!$A$15,'Form Details'!$N:$N,"Pradeep",'Form Details'!$J:$J,$C725,'Form Details'!$W:$W,"No Fee")</f>
        <v>0</v>
      </c>
      <c r="AS725" s="238"/>
      <c r="AT725" s="238"/>
      <c r="AU725" s="238"/>
      <c r="AV725" s="238"/>
      <c r="AW725" s="238"/>
      <c r="AX725" s="239"/>
      <c r="AY725" s="237">
        <f>COUNTIFS('Form Details'!$D:$D,"&lt;"&amp;'Adv. Filter'!$A$15,'Form Details'!$N:$N,"Pradeep",'Form Details'!$J:$J,$C725,'Form Details'!$W:$W,"Paid/Reject")</f>
        <v>0</v>
      </c>
      <c r="AZ725" s="238"/>
      <c r="BA725" s="238"/>
      <c r="BB725" s="238"/>
      <c r="BC725" s="238"/>
      <c r="BD725" s="238"/>
      <c r="BE725" s="239"/>
      <c r="BF725" s="237">
        <f>COUNTIFS('Form Details'!$D:$D,"&lt;"&amp;'Adv. Filter'!$A$15,'Form Details'!$N:$N,"Pradeep",'Form Details'!$J:$J,$C725,'Form Details'!$W:$W,"Staff")</f>
        <v>0</v>
      </c>
      <c r="BG725" s="238"/>
      <c r="BH725" s="238"/>
      <c r="BI725" s="238"/>
      <c r="BJ725" s="238"/>
      <c r="BK725" s="238"/>
      <c r="BL725" s="239"/>
      <c r="BM725" s="237">
        <f>COUNTIFS('Form Details'!$D:$D,"&lt;"&amp;'Adv. Filter'!$A$15,'Form Details'!$N:$N,"Pradeep",'Form Details'!$J:$J,$C725,'Form Details'!$W:$W,"File In Office")</f>
        <v>0</v>
      </c>
      <c r="BN725" s="238"/>
      <c r="BO725" s="238"/>
      <c r="BP725" s="238"/>
      <c r="BQ725" s="238"/>
      <c r="BR725" s="238"/>
      <c r="BS725" s="239"/>
      <c r="BT725" s="100"/>
      <c r="BU725" s="237">
        <f>COUNTIFS('Form Details'!$D:$D,"&lt;"&amp;'Adv. Filter'!$A$15,'Form Details'!$N:$N,"Pradeep",'Form Details'!$J:$J,$C725,'Form Details'!$AA:$AA,"No")</f>
        <v>0</v>
      </c>
      <c r="BV725" s="238"/>
      <c r="BW725" s="238"/>
      <c r="BX725" s="238"/>
      <c r="BY725" s="238"/>
      <c r="BZ725" s="238"/>
      <c r="CA725" s="239"/>
      <c r="CB725" s="237">
        <f>COUNTIFS('Form Details'!$D:$D,"&lt;"&amp;'Adv. Filter'!$A$15,'Form Details'!$N:$N,"Pradeep",'Form Details'!$J:$J,$C725,'Form Details'!$W:$W,"Adv/Paid")</f>
        <v>0</v>
      </c>
      <c r="CC725" s="238"/>
      <c r="CD725" s="238"/>
      <c r="CE725" s="238"/>
      <c r="CF725" s="238"/>
      <c r="CG725" s="238"/>
      <c r="CH725" s="239"/>
      <c r="CI725" s="237">
        <f>COUNTIFS('Form Details'!$D:$D,"&lt;"&amp;'Adv. Filter'!$A$15,'Form Details'!$N:$N,"Pradeep",'Form Details'!$J:$J,$C725,'Form Details'!$W:$W,"Adv/Paid/Reject")</f>
        <v>0</v>
      </c>
      <c r="CJ725" s="238"/>
      <c r="CK725" s="238"/>
      <c r="CL725" s="238"/>
      <c r="CM725" s="238"/>
      <c r="CN725" s="238"/>
      <c r="CO725" s="239"/>
      <c r="CP725" s="237">
        <f>COUNTIFS('Form Details'!$D:$D,"&lt;"&amp;'Adv. Filter'!$A$15,'Form Details'!$N:$N,"Pradeep",'Form Details'!$J:$J,$C725,'Form Details'!$W:$W,"Reject")</f>
        <v>0</v>
      </c>
      <c r="CQ725" s="238"/>
      <c r="CR725" s="238"/>
      <c r="CS725" s="238"/>
      <c r="CT725" s="238"/>
      <c r="CU725" s="238"/>
      <c r="CV725" s="239"/>
      <c r="CW725" s="237">
        <f>COUNTIFS('Form Details'!$D:$D,"&lt;"&amp;'Adv. Filter'!$A$15,'Form Details'!$N:$N,"Pradeep",'Form Details'!$J:$J,$C725,'Form Details'!$W:$W,"Adv/Paid/Pending")</f>
        <v>0</v>
      </c>
      <c r="CX725" s="238"/>
      <c r="CY725" s="238"/>
      <c r="CZ725" s="238"/>
      <c r="DA725" s="238"/>
      <c r="DB725" s="238"/>
      <c r="DC725" s="239"/>
      <c r="DD725" s="237">
        <f>COUNTIFS('Form Details'!$D:$D,"&lt;"&amp;'Adv. Filter'!$A$15,'Form Details'!$N:$N,"Pradeep",'Form Details'!$J:$J,$C725,'Form Details'!$W:$W,"Pending")</f>
        <v>0</v>
      </c>
      <c r="DE725" s="238"/>
      <c r="DF725" s="238"/>
      <c r="DG725" s="238"/>
      <c r="DH725" s="238"/>
      <c r="DI725" s="238"/>
      <c r="DJ725" s="239"/>
      <c r="DK725" s="237">
        <f>COUNTIFS('Form Details'!$D:$D,"&lt;"&amp;'Adv. Filter'!$A$15,'Form Details'!$N:$N,"Pradeep",'Form Details'!$J:$J,$C725,'Form Details'!$W:$W,"Adv/Paid/NoStatus")</f>
        <v>0</v>
      </c>
      <c r="DL725" s="238"/>
      <c r="DM725" s="238"/>
      <c r="DN725" s="238"/>
      <c r="DO725" s="238"/>
      <c r="DP725" s="238"/>
      <c r="DQ725" s="239"/>
      <c r="DR725" s="237">
        <f>COUNTIFS('Form Details'!$D:$D,"&lt;"&amp;'Adv. Filter'!$A$15,'Form Details'!$N:$N,"Pradeep",'Form Details'!$J:$J,$C725,'Form Details'!$W:$W,"No Status")</f>
        <v>0</v>
      </c>
      <c r="DS725" s="238"/>
      <c r="DT725" s="238"/>
      <c r="DU725" s="238"/>
      <c r="DV725" s="238"/>
      <c r="DW725" s="238"/>
      <c r="DX725" s="239"/>
      <c r="DY725" s="237">
        <f>SUM(COUNTIFS('Form Details'!$D:$D,"&lt;"&amp;'Adv. Filter'!$A$15,'Form Details'!$N:$N,"Pradeep",'Form Details'!$J:$J,$C725,'Form Details'!$W:$W,{"Wrong Entry ","Double Entry"}))</f>
        <v>0</v>
      </c>
      <c r="DZ725" s="238"/>
      <c r="EA725" s="238"/>
      <c r="EB725" s="238"/>
      <c r="EC725" s="238"/>
      <c r="ED725" s="238"/>
      <c r="EE725" s="239"/>
    </row>
    <row r="726" spans="3:135" ht="15.75" hidden="1" thickBot="1">
      <c r="C726" s="248" t="s">
        <v>108</v>
      </c>
      <c r="D726" s="249"/>
      <c r="E726" s="249"/>
      <c r="F726" s="249"/>
      <c r="G726" s="249"/>
      <c r="H726" s="249"/>
      <c r="I726" s="249"/>
      <c r="J726" s="249"/>
      <c r="K726" s="249"/>
      <c r="L726" s="249"/>
      <c r="M726" s="249"/>
      <c r="N726" s="249"/>
      <c r="O726" s="237">
        <f>COUNTIFS('Form Details'!$D:$D,"&lt;"&amp;'Adv. Filter'!$A$15,'Form Details'!$N:$N,"Pradeep",'Form Details'!$J:$J,$C726)</f>
        <v>0</v>
      </c>
      <c r="P726" s="238"/>
      <c r="Q726" s="238"/>
      <c r="R726" s="238"/>
      <c r="S726" s="238"/>
      <c r="T726" s="238"/>
      <c r="U726" s="239"/>
      <c r="V726" s="100"/>
      <c r="W726" s="237">
        <f>COUNTIFS('Form Details'!$D:$D,"&lt;"&amp;'Adv. Filter'!$A$15,'Form Details'!$N:$N,"Pradeep",'Form Details'!$J:$J,$C726,'Form Details'!$AA:$AA,"Yes")</f>
        <v>0</v>
      </c>
      <c r="X726" s="238"/>
      <c r="Y726" s="238"/>
      <c r="Z726" s="238"/>
      <c r="AA726" s="238"/>
      <c r="AB726" s="238"/>
      <c r="AC726" s="239"/>
      <c r="AD726" s="237">
        <f>COUNTIFS('Form Details'!$D:$D,"&lt;"&amp;'Adv. Filter'!$A$15,'Form Details'!$N:$N,"Pradeep",'Form Details'!$J:$J,$C726,'Form Details'!$W:$W,"Paid",'Form Details'!$S:$S,'Adv. Filter'!$A$14,'Form Details'!$S:$S,'Adv. Filter'!$B$14)</f>
        <v>0</v>
      </c>
      <c r="AE726" s="238"/>
      <c r="AF726" s="238"/>
      <c r="AG726" s="238"/>
      <c r="AH726" s="238"/>
      <c r="AI726" s="238"/>
      <c r="AJ726" s="239"/>
      <c r="AK726" s="237">
        <f>COUNTIFS('Form Details'!$D:$D,"&lt;"&amp;'Adv. Filter'!$A$15,'Form Details'!$N:$N,"Pradeep",'Form Details'!$J:$J,$C726,'Form Details'!$W:$W,"Due")</f>
        <v>0</v>
      </c>
      <c r="AL726" s="238"/>
      <c r="AM726" s="238"/>
      <c r="AN726" s="238"/>
      <c r="AO726" s="238"/>
      <c r="AP726" s="238"/>
      <c r="AQ726" s="239"/>
      <c r="AR726" s="240">
        <f>COUNTIFS('Form Details'!$D:$D,"&lt;"&amp;'Adv. Filter'!$A$15,'Form Details'!$N:$N,"Pradeep",'Form Details'!$J:$J,$C726,'Form Details'!$W:$W,"No Fee")</f>
        <v>0</v>
      </c>
      <c r="AS726" s="241"/>
      <c r="AT726" s="241"/>
      <c r="AU726" s="241"/>
      <c r="AV726" s="241"/>
      <c r="AW726" s="241"/>
      <c r="AX726" s="242"/>
      <c r="AY726" s="240">
        <f>COUNTIFS('Form Details'!$D:$D,"&lt;"&amp;'Adv. Filter'!$A$15,'Form Details'!$N:$N,"Pradeep",'Form Details'!$J:$J,$C726,'Form Details'!$W:$W,"Paid/Reject")</f>
        <v>0</v>
      </c>
      <c r="AZ726" s="241"/>
      <c r="BA726" s="241"/>
      <c r="BB726" s="241"/>
      <c r="BC726" s="241"/>
      <c r="BD726" s="241"/>
      <c r="BE726" s="242"/>
      <c r="BF726" s="240">
        <f>COUNTIFS('Form Details'!$D:$D,"&lt;"&amp;'Adv. Filter'!$A$15,'Form Details'!$N:$N,"Pradeep",'Form Details'!$J:$J,$C726,'Form Details'!$W:$W,"Staff")</f>
        <v>0</v>
      </c>
      <c r="BG726" s="241"/>
      <c r="BH726" s="241"/>
      <c r="BI726" s="241"/>
      <c r="BJ726" s="241"/>
      <c r="BK726" s="241"/>
      <c r="BL726" s="242"/>
      <c r="BM726" s="240">
        <f>COUNTIFS('Form Details'!$D:$D,"&lt;"&amp;'Adv. Filter'!$A$15,'Form Details'!$N:$N,"Pradeep",'Form Details'!$J:$J,$C726,'Form Details'!$W:$W,"File In Office")</f>
        <v>0</v>
      </c>
      <c r="BN726" s="241"/>
      <c r="BO726" s="241"/>
      <c r="BP726" s="241"/>
      <c r="BQ726" s="241"/>
      <c r="BR726" s="241"/>
      <c r="BS726" s="242"/>
      <c r="BT726" s="100"/>
      <c r="BU726" s="240">
        <f>COUNTIFS('Form Details'!$D:$D,"&lt;"&amp;'Adv. Filter'!$A$15,'Form Details'!$N:$N,"Pradeep",'Form Details'!$J:$J,$C726,'Form Details'!$AA:$AA,"No")</f>
        <v>0</v>
      </c>
      <c r="BV726" s="241"/>
      <c r="BW726" s="241"/>
      <c r="BX726" s="241"/>
      <c r="BY726" s="241"/>
      <c r="BZ726" s="241"/>
      <c r="CA726" s="242"/>
      <c r="CB726" s="240">
        <f>COUNTIFS('Form Details'!$D:$D,"&lt;"&amp;'Adv. Filter'!$A$15,'Form Details'!$N:$N,"Pradeep",'Form Details'!$J:$J,$C726,'Form Details'!$W:$W,"Adv/Paid")</f>
        <v>0</v>
      </c>
      <c r="CC726" s="241"/>
      <c r="CD726" s="241"/>
      <c r="CE726" s="241"/>
      <c r="CF726" s="241"/>
      <c r="CG726" s="241"/>
      <c r="CH726" s="242"/>
      <c r="CI726" s="240">
        <f>COUNTIFS('Form Details'!$D:$D,"&lt;"&amp;'Adv. Filter'!$A$15,'Form Details'!$N:$N,"Pradeep",'Form Details'!$J:$J,$C726,'Form Details'!$W:$W,"Adv/Paid/Reject")</f>
        <v>0</v>
      </c>
      <c r="CJ726" s="241"/>
      <c r="CK726" s="241"/>
      <c r="CL726" s="241"/>
      <c r="CM726" s="241"/>
      <c r="CN726" s="241"/>
      <c r="CO726" s="242"/>
      <c r="CP726" s="240">
        <f>COUNTIFS('Form Details'!$D:$D,"&lt;"&amp;'Adv. Filter'!$A$15,'Form Details'!$N:$N,"Pradeep",'Form Details'!$J:$J,$C726,'Form Details'!$W:$W,"Reject")</f>
        <v>0</v>
      </c>
      <c r="CQ726" s="241"/>
      <c r="CR726" s="241"/>
      <c r="CS726" s="241"/>
      <c r="CT726" s="241"/>
      <c r="CU726" s="241"/>
      <c r="CV726" s="242"/>
      <c r="CW726" s="240">
        <f>COUNTIFS('Form Details'!$D:$D,"&lt;"&amp;'Adv. Filter'!$A$15,'Form Details'!$N:$N,"Pradeep",'Form Details'!$J:$J,$C726,'Form Details'!$W:$W,"Adv/Paid/Pending")</f>
        <v>0</v>
      </c>
      <c r="CX726" s="241"/>
      <c r="CY726" s="241"/>
      <c r="CZ726" s="241"/>
      <c r="DA726" s="241"/>
      <c r="DB726" s="241"/>
      <c r="DC726" s="242"/>
      <c r="DD726" s="240">
        <f>COUNTIFS('Form Details'!$D:$D,"&lt;"&amp;'Adv. Filter'!$A$15,'Form Details'!$N:$N,"Pradeep",'Form Details'!$J:$J,$C726,'Form Details'!$W:$W,"Pending")</f>
        <v>0</v>
      </c>
      <c r="DE726" s="241"/>
      <c r="DF726" s="241"/>
      <c r="DG726" s="241"/>
      <c r="DH726" s="241"/>
      <c r="DI726" s="241"/>
      <c r="DJ726" s="242"/>
      <c r="DK726" s="240">
        <f>COUNTIFS('Form Details'!$D:$D,"&lt;"&amp;'Adv. Filter'!$A$15,'Form Details'!$N:$N,"Pradeep",'Form Details'!$J:$J,$C726,'Form Details'!$W:$W,"Adv/Paid/NoStatus")</f>
        <v>0</v>
      </c>
      <c r="DL726" s="241"/>
      <c r="DM726" s="241"/>
      <c r="DN726" s="241"/>
      <c r="DO726" s="241"/>
      <c r="DP726" s="241"/>
      <c r="DQ726" s="242"/>
      <c r="DR726" s="240">
        <f>COUNTIFS('Form Details'!$D:$D,"&lt;"&amp;'Adv. Filter'!$A$15,'Form Details'!$N:$N,"Pradeep",'Form Details'!$J:$J,$C726,'Form Details'!$W:$W,"No Status")</f>
        <v>0</v>
      </c>
      <c r="DS726" s="241"/>
      <c r="DT726" s="241"/>
      <c r="DU726" s="241"/>
      <c r="DV726" s="241"/>
      <c r="DW726" s="241"/>
      <c r="DX726" s="242"/>
      <c r="DY726" s="240">
        <f>SUM(COUNTIFS('Form Details'!$D:$D,"&lt;"&amp;'Adv. Filter'!$A$15,'Form Details'!$N:$N,"Pradeep",'Form Details'!$J:$J,$C726,'Form Details'!$W:$W,{"Wrong Entry ","Double Entry"}))</f>
        <v>0</v>
      </c>
      <c r="DZ726" s="241"/>
      <c r="EA726" s="241"/>
      <c r="EB726" s="241"/>
      <c r="EC726" s="241"/>
      <c r="ED726" s="241"/>
      <c r="EE726" s="242"/>
    </row>
    <row r="727" spans="3:135" ht="15.75" hidden="1" thickTop="1">
      <c r="C727" s="246" t="s">
        <v>503</v>
      </c>
      <c r="D727" s="247"/>
      <c r="E727" s="247"/>
      <c r="F727" s="247"/>
      <c r="G727" s="247"/>
      <c r="H727" s="247"/>
      <c r="I727" s="247"/>
      <c r="J727" s="247"/>
      <c r="K727" s="247"/>
      <c r="L727" s="247"/>
      <c r="M727" s="247"/>
      <c r="N727" s="247"/>
      <c r="O727" s="243">
        <f>SUM(O710:U726)</f>
        <v>19</v>
      </c>
      <c r="P727" s="244"/>
      <c r="Q727" s="244"/>
      <c r="R727" s="244"/>
      <c r="S727" s="244"/>
      <c r="T727" s="244"/>
      <c r="U727" s="244"/>
      <c r="V727" s="106"/>
      <c r="W727" s="243">
        <f>SUM(W710:AC726)</f>
        <v>19</v>
      </c>
      <c r="X727" s="244"/>
      <c r="Y727" s="244"/>
      <c r="Z727" s="244"/>
      <c r="AA727" s="244"/>
      <c r="AB727" s="244"/>
      <c r="AC727" s="244"/>
      <c r="AD727" s="243">
        <f>SUM(AD710:AJ726)</f>
        <v>15</v>
      </c>
      <c r="AE727" s="244"/>
      <c r="AF727" s="244"/>
      <c r="AG727" s="244"/>
      <c r="AH727" s="244"/>
      <c r="AI727" s="244"/>
      <c r="AJ727" s="244"/>
      <c r="AK727" s="243">
        <f>SUM(AK710:AQ726)</f>
        <v>4</v>
      </c>
      <c r="AL727" s="244"/>
      <c r="AM727" s="244"/>
      <c r="AN727" s="244"/>
      <c r="AO727" s="244"/>
      <c r="AP727" s="244"/>
      <c r="AQ727" s="244"/>
      <c r="AR727" s="243">
        <f>SUM(AR710:AX726)</f>
        <v>0</v>
      </c>
      <c r="AS727" s="244"/>
      <c r="AT727" s="244"/>
      <c r="AU727" s="244"/>
      <c r="AV727" s="244"/>
      <c r="AW727" s="244"/>
      <c r="AX727" s="244"/>
      <c r="AY727" s="243">
        <f>SUM(AY710:BE726)</f>
        <v>0</v>
      </c>
      <c r="AZ727" s="244"/>
      <c r="BA727" s="244"/>
      <c r="BB727" s="244"/>
      <c r="BC727" s="244"/>
      <c r="BD727" s="244"/>
      <c r="BE727" s="244"/>
      <c r="BF727" s="243">
        <f>SUM(BF710:BL726)</f>
        <v>0</v>
      </c>
      <c r="BG727" s="244"/>
      <c r="BH727" s="244"/>
      <c r="BI727" s="244"/>
      <c r="BJ727" s="244"/>
      <c r="BK727" s="244"/>
      <c r="BL727" s="244"/>
      <c r="BM727" s="243">
        <f>SUM(BM710:BS726)</f>
        <v>0</v>
      </c>
      <c r="BN727" s="244"/>
      <c r="BO727" s="244"/>
      <c r="BP727" s="244"/>
      <c r="BQ727" s="244"/>
      <c r="BR727" s="244"/>
      <c r="BS727" s="244"/>
      <c r="BT727" s="106"/>
      <c r="BU727" s="243">
        <f>SUM(BU710:CA726)</f>
        <v>0</v>
      </c>
      <c r="BV727" s="244"/>
      <c r="BW727" s="244"/>
      <c r="BX727" s="244"/>
      <c r="BY727" s="244"/>
      <c r="BZ727" s="244"/>
      <c r="CA727" s="244"/>
      <c r="CB727" s="243">
        <f>SUM(CB710:CH726)</f>
        <v>0</v>
      </c>
      <c r="CC727" s="244"/>
      <c r="CD727" s="244"/>
      <c r="CE727" s="244"/>
      <c r="CF727" s="244"/>
      <c r="CG727" s="244"/>
      <c r="CH727" s="244"/>
      <c r="CI727" s="243">
        <f>SUM(CI710:CO726)</f>
        <v>0</v>
      </c>
      <c r="CJ727" s="244"/>
      <c r="CK727" s="244"/>
      <c r="CL727" s="244"/>
      <c r="CM727" s="244"/>
      <c r="CN727" s="244"/>
      <c r="CO727" s="244"/>
      <c r="CP727" s="243">
        <f>SUM(CP710:CV726)</f>
        <v>0</v>
      </c>
      <c r="CQ727" s="244"/>
      <c r="CR727" s="244"/>
      <c r="CS727" s="244"/>
      <c r="CT727" s="244"/>
      <c r="CU727" s="244"/>
      <c r="CV727" s="244"/>
      <c r="CW727" s="243">
        <f>SUM(CW710:DC726)</f>
        <v>0</v>
      </c>
      <c r="CX727" s="244"/>
      <c r="CY727" s="244"/>
      <c r="CZ727" s="244"/>
      <c r="DA727" s="244"/>
      <c r="DB727" s="244"/>
      <c r="DC727" s="244"/>
      <c r="DD727" s="243">
        <f>SUM(DD710:DJ726)</f>
        <v>0</v>
      </c>
      <c r="DE727" s="244"/>
      <c r="DF727" s="244"/>
      <c r="DG727" s="244"/>
      <c r="DH727" s="244"/>
      <c r="DI727" s="244"/>
      <c r="DJ727" s="244"/>
      <c r="DK727" s="243">
        <f>SUM(DK710:DQ726)</f>
        <v>0</v>
      </c>
      <c r="DL727" s="244"/>
      <c r="DM727" s="244"/>
      <c r="DN727" s="244"/>
      <c r="DO727" s="244"/>
      <c r="DP727" s="244"/>
      <c r="DQ727" s="244"/>
      <c r="DR727" s="243">
        <f>SUM(DR710:DX726)</f>
        <v>0</v>
      </c>
      <c r="DS727" s="244"/>
      <c r="DT727" s="244"/>
      <c r="DU727" s="244"/>
      <c r="DV727" s="244"/>
      <c r="DW727" s="244"/>
      <c r="DX727" s="244"/>
      <c r="DY727" s="243">
        <f>SUM(DY710:EE726)</f>
        <v>0</v>
      </c>
      <c r="DZ727" s="244"/>
      <c r="EA727" s="244"/>
      <c r="EB727" s="244"/>
      <c r="EC727" s="244"/>
      <c r="ED727" s="244"/>
      <c r="EE727" s="244"/>
    </row>
    <row r="728" spans="3:135" hidden="1"/>
    <row r="729" spans="3:135" hidden="1"/>
    <row r="730" spans="3:135" hidden="1"/>
    <row r="731" spans="3:135" hidden="1"/>
    <row r="732" spans="3:135" hidden="1"/>
    <row r="733" spans="3:135" hidden="1"/>
    <row r="734" spans="3:135" hidden="1"/>
    <row r="735" spans="3:135" hidden="1"/>
    <row r="736" spans="3:135" hidden="1"/>
    <row r="737" spans="1:104" hidden="1"/>
    <row r="738" spans="1:104" hidden="1"/>
    <row r="739" spans="1:104" hidden="1"/>
    <row r="740" spans="1:104" hidden="1"/>
    <row r="741" spans="1:104" hidden="1"/>
    <row r="742" spans="1:104" hidden="1"/>
    <row r="743" spans="1:104" hidden="1"/>
    <row r="744" spans="1:104" hidden="1"/>
    <row r="745" spans="1:104" hidden="1"/>
    <row r="746" spans="1:104" hidden="1"/>
    <row r="747" spans="1:104" hidden="1"/>
    <row r="748" spans="1:104" hidden="1"/>
    <row r="749" spans="1:104" hidden="1"/>
    <row r="750" spans="1:104" hidden="1">
      <c r="A750" s="303"/>
      <c r="B750" s="303"/>
      <c r="C750" s="303"/>
      <c r="D750" s="303"/>
      <c r="E750" s="303"/>
      <c r="F750" s="303"/>
      <c r="G750" s="303"/>
      <c r="H750" s="303"/>
      <c r="I750" s="303"/>
      <c r="J750" s="303"/>
      <c r="K750" s="303"/>
      <c r="L750" s="303"/>
      <c r="M750" s="303"/>
      <c r="N750" s="303"/>
      <c r="O750" s="303"/>
      <c r="P750" s="303"/>
      <c r="Q750" s="303"/>
      <c r="R750" s="303"/>
      <c r="S750" s="303"/>
      <c r="T750" s="303"/>
      <c r="U750" s="303"/>
      <c r="V750" s="303"/>
      <c r="W750" s="303"/>
      <c r="X750" s="303"/>
      <c r="Y750" s="303"/>
      <c r="Z750" s="303"/>
      <c r="AA750" s="303"/>
      <c r="AB750" s="303"/>
      <c r="AC750" s="303"/>
      <c r="AD750" s="303"/>
      <c r="AE750" s="303"/>
      <c r="AF750" s="303"/>
      <c r="AG750" s="303"/>
      <c r="AH750" s="303"/>
      <c r="AI750" s="303"/>
      <c r="AJ750" s="303"/>
      <c r="AK750" s="303"/>
      <c r="AL750" s="303"/>
      <c r="AM750" s="303"/>
      <c r="AN750" s="303"/>
      <c r="AO750" s="303"/>
      <c r="AP750" s="303"/>
      <c r="AQ750" s="303"/>
      <c r="AR750" s="303"/>
      <c r="AS750" s="303"/>
      <c r="AT750" s="303"/>
      <c r="AU750" s="303"/>
      <c r="AV750" s="303"/>
      <c r="AW750" s="303"/>
      <c r="AX750" s="303"/>
      <c r="AY750" s="303"/>
      <c r="AZ750" s="303"/>
      <c r="BA750" s="303"/>
      <c r="BB750" s="303"/>
      <c r="BC750" s="303"/>
      <c r="BD750" s="303"/>
      <c r="BE750" s="303"/>
      <c r="BF750" s="303"/>
      <c r="BG750" s="303"/>
      <c r="BH750" s="303"/>
      <c r="BI750" s="303"/>
      <c r="BJ750" s="303"/>
      <c r="BK750" s="303"/>
      <c r="BL750" s="303"/>
      <c r="BM750" s="303"/>
      <c r="BN750" s="303"/>
      <c r="BO750" s="303"/>
      <c r="BP750" s="303"/>
      <c r="BQ750" s="303"/>
      <c r="BR750" s="303"/>
      <c r="BS750" s="303"/>
      <c r="BT750" s="303"/>
      <c r="BU750" s="303"/>
      <c r="BV750" s="303"/>
      <c r="BW750" s="303"/>
      <c r="BX750" s="303"/>
      <c r="BY750" s="303"/>
      <c r="BZ750" s="303"/>
      <c r="CA750" s="303"/>
      <c r="CB750" s="303"/>
      <c r="CC750" s="303"/>
      <c r="CD750" s="303"/>
      <c r="CE750" s="303"/>
      <c r="CF750" s="303"/>
      <c r="CG750" s="303"/>
      <c r="CH750" s="303"/>
      <c r="CI750" s="303"/>
      <c r="CJ750" s="303"/>
      <c r="CK750" s="303"/>
      <c r="CL750" s="303"/>
      <c r="CM750" s="303"/>
      <c r="CN750" s="303"/>
      <c r="CO750" s="303"/>
      <c r="CP750" s="303"/>
      <c r="CQ750" s="303"/>
      <c r="CR750" s="303"/>
      <c r="CS750" s="303"/>
      <c r="CT750" s="303"/>
      <c r="CU750" s="303"/>
      <c r="CV750" s="303"/>
      <c r="CW750" s="303"/>
      <c r="CX750" s="303"/>
      <c r="CY750" s="303"/>
      <c r="CZ750" s="303"/>
    </row>
    <row r="751" spans="1:104" hidden="1"/>
    <row r="752" spans="1:104" hidden="1"/>
    <row r="753" spans="1:112" ht="15" hidden="1" customHeight="1">
      <c r="AR753" s="441" t="s">
        <v>515</v>
      </c>
      <c r="AS753" s="441"/>
      <c r="AT753" s="441"/>
      <c r="AU753" s="441"/>
      <c r="AV753" s="441"/>
      <c r="AW753" s="441"/>
      <c r="AX753" s="441"/>
      <c r="AY753" s="441"/>
      <c r="AZ753" s="441"/>
      <c r="BA753" s="441"/>
      <c r="BB753" s="441"/>
      <c r="BC753" s="441"/>
      <c r="BD753" s="441"/>
      <c r="BE753" s="441"/>
      <c r="BF753" s="441"/>
      <c r="BG753" s="441"/>
      <c r="BH753" s="441"/>
      <c r="BI753" s="441"/>
      <c r="BJ753" s="441"/>
      <c r="BK753" s="441"/>
      <c r="BL753" s="441"/>
      <c r="BM753" s="441"/>
      <c r="BN753" s="441"/>
      <c r="BO753" s="441"/>
      <c r="BP753" s="441"/>
      <c r="BQ753" s="441"/>
      <c r="BR753" s="441"/>
      <c r="BS753" s="441"/>
      <c r="BT753" s="441"/>
      <c r="BU753" s="441"/>
      <c r="BV753" s="441"/>
      <c r="BW753" s="441"/>
      <c r="BX753" s="441"/>
      <c r="BY753" s="441"/>
      <c r="BZ753" s="441"/>
      <c r="CA753" s="441"/>
      <c r="CB753" s="441"/>
      <c r="CC753" s="441"/>
      <c r="CD753" s="441"/>
      <c r="CE753" s="441"/>
      <c r="CF753" s="441"/>
      <c r="CG753" s="441"/>
      <c r="CH753" s="441"/>
      <c r="CI753" s="441"/>
      <c r="CJ753" s="441"/>
      <c r="CK753" s="441"/>
      <c r="CL753" s="441"/>
      <c r="CM753" s="50"/>
      <c r="CN753" s="50"/>
      <c r="CO753" s="50"/>
      <c r="CP753" s="50"/>
      <c r="CQ753" s="50"/>
      <c r="CR753" s="50"/>
      <c r="CS753" s="50"/>
      <c r="CT753" s="50"/>
      <c r="CU753" s="50"/>
      <c r="CV753" s="50"/>
      <c r="CW753" s="50"/>
    </row>
    <row r="754" spans="1:112" ht="15" hidden="1" customHeight="1">
      <c r="AR754" s="451" t="str">
        <f>CONCATENATE("Statement As of  ",TEXT('Adv. Filter'!$A$15,"DD-MMM-YYYY"), " TO ",TEXT('Adv. Filter'!$B$15,"DD-MMM-YYYY"))</f>
        <v>Statement As of  01-Jan-2017 TO 13-Oct-2017</v>
      </c>
      <c r="AS754" s="451"/>
      <c r="AT754" s="451"/>
      <c r="AU754" s="451"/>
      <c r="AV754" s="451"/>
      <c r="AW754" s="451"/>
      <c r="AX754" s="451"/>
      <c r="AY754" s="451"/>
      <c r="AZ754" s="451"/>
      <c r="BA754" s="451"/>
      <c r="BB754" s="451"/>
      <c r="BC754" s="451"/>
      <c r="BD754" s="451"/>
      <c r="BE754" s="451"/>
      <c r="BF754" s="451"/>
      <c r="BG754" s="451"/>
      <c r="BH754" s="451"/>
      <c r="BI754" s="451"/>
      <c r="BJ754" s="451"/>
      <c r="BK754" s="451"/>
      <c r="BL754" s="451"/>
      <c r="BM754" s="451"/>
      <c r="BN754" s="451"/>
      <c r="BO754" s="451"/>
      <c r="BP754" s="451"/>
      <c r="BQ754" s="451"/>
      <c r="BR754" s="451"/>
      <c r="BS754" s="451"/>
      <c r="BT754" s="451"/>
      <c r="BU754" s="451"/>
      <c r="BV754" s="451"/>
      <c r="BW754" s="451"/>
      <c r="BX754" s="451"/>
      <c r="BY754" s="451"/>
      <c r="BZ754" s="451"/>
      <c r="CA754" s="451"/>
      <c r="CB754" s="451"/>
      <c r="CC754" s="451"/>
      <c r="CD754" s="451"/>
      <c r="CE754" s="451"/>
      <c r="CF754" s="451"/>
      <c r="CG754" s="451"/>
      <c r="CH754" s="451"/>
      <c r="CI754" s="451"/>
      <c r="CJ754" s="451"/>
      <c r="CK754" s="451"/>
      <c r="CL754" s="451"/>
      <c r="CM754" s="50"/>
      <c r="CN754" s="50"/>
      <c r="CO754" s="50"/>
      <c r="CP754" s="50"/>
      <c r="CQ754" s="50"/>
      <c r="CR754" s="50"/>
    </row>
    <row r="755" spans="1:112" hidden="1"/>
    <row r="756" spans="1:112" ht="15.75" hidden="1">
      <c r="C756" s="452" t="s">
        <v>513</v>
      </c>
      <c r="D756" s="452"/>
      <c r="E756" s="452"/>
      <c r="F756" s="452"/>
      <c r="G756" s="452"/>
      <c r="H756" s="452"/>
      <c r="I756" s="452"/>
      <c r="J756" s="452"/>
      <c r="K756" s="452"/>
      <c r="L756" s="452"/>
      <c r="M756" s="452"/>
      <c r="N756" s="452"/>
      <c r="O756" s="452"/>
      <c r="P756" s="452"/>
      <c r="Q756" s="452"/>
      <c r="R756" s="452"/>
      <c r="S756" s="452"/>
      <c r="T756" s="453" t="str">
        <f>CONCATENATE("PRESENT   ",TEXT('Adv. Filter'!$A$15,"( DD-MMM-YY"), " TO ",TEXT('Adv. Filter'!$B$15,"DD-MMM-YY )"))</f>
        <v>PRESENT   ( 01-Jan-17 TO 13-Oct-17 )</v>
      </c>
      <c r="U756" s="454"/>
      <c r="V756" s="454"/>
      <c r="W756" s="454"/>
      <c r="X756" s="454"/>
      <c r="Y756" s="454"/>
      <c r="Z756" s="454"/>
      <c r="AA756" s="454"/>
      <c r="AB756" s="454"/>
      <c r="AC756" s="454"/>
      <c r="AD756" s="454"/>
      <c r="AE756" s="454"/>
      <c r="AF756" s="454"/>
      <c r="AG756" s="454"/>
      <c r="AH756" s="454"/>
      <c r="AI756" s="454"/>
      <c r="AJ756" s="454"/>
      <c r="AK756" s="454"/>
      <c r="AL756" s="454"/>
      <c r="AM756" s="454"/>
      <c r="AN756" s="454"/>
      <c r="AO756" s="454"/>
      <c r="AP756" s="454"/>
      <c r="AQ756" s="454"/>
      <c r="AR756" s="454"/>
      <c r="AS756" s="454"/>
      <c r="AT756" s="454"/>
      <c r="AU756" s="454"/>
      <c r="AV756" s="454"/>
      <c r="AW756" s="455"/>
      <c r="AX756" s="49"/>
      <c r="AY756" s="452" t="s">
        <v>513</v>
      </c>
      <c r="AZ756" s="452"/>
      <c r="BA756" s="452"/>
      <c r="BB756" s="452"/>
      <c r="BC756" s="452"/>
      <c r="BD756" s="452"/>
      <c r="BE756" s="452"/>
      <c r="BF756" s="452"/>
      <c r="BG756" s="452"/>
      <c r="BH756" s="452"/>
      <c r="BI756" s="452"/>
      <c r="BJ756" s="452"/>
      <c r="BK756" s="452"/>
      <c r="BL756" s="452"/>
      <c r="BM756" s="452"/>
      <c r="BN756" s="452"/>
      <c r="BO756" s="452"/>
      <c r="BP756" s="453" t="str">
        <f>CONCATENATE("PREVIOUS   ",TEXT('Adv. Filter'!$A$15,"( up to  DD-MMM-YY )"))</f>
        <v>PREVIOUS   ( up to  01-Jan-17 )</v>
      </c>
      <c r="BQ756" s="454"/>
      <c r="BR756" s="454"/>
      <c r="BS756" s="454"/>
      <c r="BT756" s="454"/>
      <c r="BU756" s="454"/>
      <c r="BV756" s="454"/>
      <c r="BW756" s="454"/>
      <c r="BX756" s="454"/>
      <c r="BY756" s="454"/>
      <c r="BZ756" s="454"/>
      <c r="CA756" s="454"/>
      <c r="CB756" s="454"/>
      <c r="CC756" s="454"/>
      <c r="CD756" s="454"/>
      <c r="CE756" s="454"/>
      <c r="CF756" s="454"/>
      <c r="CG756" s="454"/>
      <c r="CH756" s="454"/>
      <c r="CI756" s="454"/>
      <c r="CJ756" s="454"/>
      <c r="CK756" s="454"/>
      <c r="CL756" s="454"/>
      <c r="CM756" s="454"/>
      <c r="CN756" s="454"/>
      <c r="CO756" s="454"/>
      <c r="CP756" s="454"/>
      <c r="CQ756" s="454"/>
      <c r="CR756" s="454"/>
      <c r="CS756" s="455"/>
      <c r="DA756" s="162"/>
    </row>
    <row r="757" spans="1:112" ht="15" hidden="1" customHeight="1">
      <c r="C757" s="452"/>
      <c r="D757" s="452"/>
      <c r="E757" s="452"/>
      <c r="F757" s="452"/>
      <c r="G757" s="452"/>
      <c r="H757" s="452"/>
      <c r="I757" s="452"/>
      <c r="J757" s="452"/>
      <c r="K757" s="452"/>
      <c r="L757" s="452"/>
      <c r="M757" s="452"/>
      <c r="N757" s="452"/>
      <c r="O757" s="452"/>
      <c r="P757" s="452"/>
      <c r="Q757" s="452"/>
      <c r="R757" s="452"/>
      <c r="S757" s="452"/>
      <c r="T757" s="442" t="s">
        <v>34</v>
      </c>
      <c r="U757" s="443"/>
      <c r="V757" s="443"/>
      <c r="W757" s="443"/>
      <c r="X757" s="443"/>
      <c r="Y757" s="443"/>
      <c r="Z757" s="443"/>
      <c r="AA757" s="443"/>
      <c r="AB757" s="443"/>
      <c r="AC757" s="444"/>
      <c r="AD757" s="442" t="s">
        <v>10</v>
      </c>
      <c r="AE757" s="443"/>
      <c r="AF757" s="443"/>
      <c r="AG757" s="443"/>
      <c r="AH757" s="443"/>
      <c r="AI757" s="443"/>
      <c r="AJ757" s="443"/>
      <c r="AK757" s="443"/>
      <c r="AL757" s="443"/>
      <c r="AM757" s="444"/>
      <c r="AN757" s="445" t="s">
        <v>503</v>
      </c>
      <c r="AO757" s="446"/>
      <c r="AP757" s="446"/>
      <c r="AQ757" s="446"/>
      <c r="AR757" s="446"/>
      <c r="AS757" s="446"/>
      <c r="AT757" s="446"/>
      <c r="AU757" s="446"/>
      <c r="AV757" s="446"/>
      <c r="AW757" s="447"/>
      <c r="AY757" s="452"/>
      <c r="AZ757" s="452"/>
      <c r="BA757" s="452"/>
      <c r="BB757" s="452"/>
      <c r="BC757" s="452"/>
      <c r="BD757" s="452"/>
      <c r="BE757" s="452"/>
      <c r="BF757" s="452"/>
      <c r="BG757" s="452"/>
      <c r="BH757" s="452"/>
      <c r="BI757" s="452"/>
      <c r="BJ757" s="452"/>
      <c r="BK757" s="452"/>
      <c r="BL757" s="452"/>
      <c r="BM757" s="452"/>
      <c r="BN757" s="452"/>
      <c r="BO757" s="452"/>
      <c r="BP757" s="442" t="s">
        <v>34</v>
      </c>
      <c r="BQ757" s="443"/>
      <c r="BR757" s="443"/>
      <c r="BS757" s="443"/>
      <c r="BT757" s="443"/>
      <c r="BU757" s="443"/>
      <c r="BV757" s="443"/>
      <c r="BW757" s="443"/>
      <c r="BX757" s="443"/>
      <c r="BY757" s="444"/>
      <c r="BZ757" s="442" t="s">
        <v>10</v>
      </c>
      <c r="CA757" s="443"/>
      <c r="CB757" s="443"/>
      <c r="CC757" s="443"/>
      <c r="CD757" s="443"/>
      <c r="CE757" s="443"/>
      <c r="CF757" s="443"/>
      <c r="CG757" s="443"/>
      <c r="CH757" s="443"/>
      <c r="CI757" s="444"/>
      <c r="CJ757" s="445" t="s">
        <v>503</v>
      </c>
      <c r="CK757" s="446"/>
      <c r="CL757" s="446"/>
      <c r="CM757" s="446"/>
      <c r="CN757" s="446"/>
      <c r="CO757" s="446"/>
      <c r="CP757" s="446"/>
      <c r="CQ757" s="446"/>
      <c r="CR757" s="446"/>
      <c r="CS757" s="447"/>
      <c r="DG757" s="24"/>
      <c r="DH757" s="24" t="s">
        <v>30</v>
      </c>
    </row>
    <row r="758" spans="1:112" hidden="1">
      <c r="A758" s="44"/>
      <c r="B758" s="44"/>
      <c r="C758" s="299" t="s">
        <v>26</v>
      </c>
      <c r="D758" s="300"/>
      <c r="E758" s="300"/>
      <c r="F758" s="300"/>
      <c r="G758" s="300"/>
      <c r="H758" s="300"/>
      <c r="I758" s="300"/>
      <c r="J758" s="300"/>
      <c r="K758" s="300"/>
      <c r="L758" s="300"/>
      <c r="M758" s="300"/>
      <c r="N758" s="300"/>
      <c r="O758" s="300"/>
      <c r="P758" s="300"/>
      <c r="Q758" s="300"/>
      <c r="R758" s="300"/>
      <c r="S758" s="301"/>
      <c r="T758" s="276">
        <f>SUMIFS('Adv. Filter'!$BJ$1:$BJ$50000,'Adv. Filter'!$BT$1:$BT$50000,"Ganesh",'Adv. Filter'!$BQ$1:$BQ$50000,$C758,'Adv. Filter'!$BH$1:$BH$50000,"Cash",'Adv. Filter'!$BO$1:$BO$50000,'Adv. Filter'!$A$14,'Adv. Filter'!$BO$1:$BO$50000,'Adv. Filter'!$B$14)</f>
        <v>0</v>
      </c>
      <c r="U758" s="277"/>
      <c r="V758" s="277"/>
      <c r="W758" s="277"/>
      <c r="X758" s="277"/>
      <c r="Y758" s="277"/>
      <c r="Z758" s="277"/>
      <c r="AA758" s="277"/>
      <c r="AB758" s="277"/>
      <c r="AC758" s="278"/>
      <c r="AD758" s="276">
        <f>SUMIFS('Adv. Filter'!$BJ$1:$BJ$50000,'Adv. Filter'!$BT$1:$BT$50000,"Ganesh",'Adv. Filter'!$BQ$1:$BQ$50000,$C758,'Adv. Filter'!$BH$1:$BH$50000,"Bank",'Adv. Filter'!$BO$1:$BO$50000,'Adv. Filter'!$A$14,'Adv. Filter'!$BO$1:$BO$50000,'Adv. Filter'!$B$14)</f>
        <v>0</v>
      </c>
      <c r="AE758" s="277"/>
      <c r="AF758" s="277"/>
      <c r="AG758" s="277"/>
      <c r="AH758" s="277"/>
      <c r="AI758" s="277"/>
      <c r="AJ758" s="277"/>
      <c r="AK758" s="277"/>
      <c r="AL758" s="277"/>
      <c r="AM758" s="278"/>
      <c r="AN758" s="448">
        <f t="shared" ref="AN758:AN789" si="26">T758+AD758</f>
        <v>0</v>
      </c>
      <c r="AO758" s="449"/>
      <c r="AP758" s="449"/>
      <c r="AQ758" s="449"/>
      <c r="AR758" s="449"/>
      <c r="AS758" s="449"/>
      <c r="AT758" s="449"/>
      <c r="AU758" s="449"/>
      <c r="AV758" s="449"/>
      <c r="AW758" s="450"/>
      <c r="AX758" s="45"/>
      <c r="AY758" s="299" t="s">
        <v>26</v>
      </c>
      <c r="AZ758" s="300"/>
      <c r="BA758" s="300"/>
      <c r="BB758" s="300"/>
      <c r="BC758" s="300"/>
      <c r="BD758" s="300"/>
      <c r="BE758" s="300"/>
      <c r="BF758" s="300"/>
      <c r="BG758" s="300"/>
      <c r="BH758" s="300"/>
      <c r="BI758" s="300"/>
      <c r="BJ758" s="300"/>
      <c r="BK758" s="300"/>
      <c r="BL758" s="300"/>
      <c r="BM758" s="300"/>
      <c r="BN758" s="300"/>
      <c r="BO758" s="301"/>
      <c r="BP758" s="276">
        <f>SUMIFS('Adv. Filter'!$BJ$1:$BJ$50000,'Adv. Filter'!$BT$1:$BT$50000,"Ganesh",'Adv. Filter'!$BQ$1:$BQ$50000,$AY758,'Adv. Filter'!$BH$1:$BH$50000,"Cash",'Adv. Filter'!$BO$1:$BO$50000,"&lt;"&amp;'Adv. Filter'!$A$15)</f>
        <v>0</v>
      </c>
      <c r="BQ758" s="277"/>
      <c r="BR758" s="277"/>
      <c r="BS758" s="277"/>
      <c r="BT758" s="277"/>
      <c r="BU758" s="277"/>
      <c r="BV758" s="277"/>
      <c r="BW758" s="277"/>
      <c r="BX758" s="277"/>
      <c r="BY758" s="278"/>
      <c r="BZ758" s="276">
        <f>SUMIFS('Adv. Filter'!$BJ$1:$BJ$50000,'Adv. Filter'!$BT$1:$BT$50000,"Ganesh",'Adv. Filter'!$BQ$1:$BQ$50000,$AY758,'Adv. Filter'!$BH$1:$BH$50000,"Bank",'Adv. Filter'!$BO$1:$BO$50000,"&lt;"&amp;'Adv. Filter'!$A$15)</f>
        <v>0</v>
      </c>
      <c r="CA758" s="277"/>
      <c r="CB758" s="277"/>
      <c r="CC758" s="277"/>
      <c r="CD758" s="277"/>
      <c r="CE758" s="277"/>
      <c r="CF758" s="277"/>
      <c r="CG758" s="277"/>
      <c r="CH758" s="277"/>
      <c r="CI758" s="278"/>
      <c r="CJ758" s="448">
        <f t="shared" ref="CJ758:CJ789" si="27">BP758+BZ758</f>
        <v>0</v>
      </c>
      <c r="CK758" s="449"/>
      <c r="CL758" s="449"/>
      <c r="CM758" s="449"/>
      <c r="CN758" s="449"/>
      <c r="CO758" s="449"/>
      <c r="CP758" s="449"/>
      <c r="CQ758" s="449"/>
      <c r="CR758" s="449"/>
      <c r="CS758" s="450"/>
      <c r="CT758" s="44"/>
      <c r="CU758" s="44"/>
      <c r="CV758" s="44"/>
      <c r="CW758" s="44"/>
      <c r="CX758" s="44"/>
      <c r="CY758" s="44"/>
      <c r="CZ758" s="44"/>
      <c r="DG758" s="131" t="s">
        <v>583</v>
      </c>
      <c r="DH758" s="123">
        <f>COUNTIFS('Form Details'!$W:$W,"Due",'Form Details'!$AB:$AB,"R",'Form Details'!$N:$N,DH757)</f>
        <v>45</v>
      </c>
    </row>
    <row r="759" spans="1:112" hidden="1">
      <c r="C759" s="308" t="s">
        <v>115</v>
      </c>
      <c r="D759" s="309"/>
      <c r="E759" s="309"/>
      <c r="F759" s="309"/>
      <c r="G759" s="309"/>
      <c r="H759" s="309"/>
      <c r="I759" s="309"/>
      <c r="J759" s="309"/>
      <c r="K759" s="309"/>
      <c r="L759" s="309"/>
      <c r="M759" s="309"/>
      <c r="N759" s="309"/>
      <c r="O759" s="309"/>
      <c r="P759" s="309"/>
      <c r="Q759" s="309"/>
      <c r="R759" s="309"/>
      <c r="S759" s="310"/>
      <c r="T759" s="267">
        <f>SUMIFS('Adv. Filter'!$BJ$1:$BJ$50000,'Adv. Filter'!$BT$1:$BT$50000,"Ganesh",'Adv. Filter'!$BQ$1:$BQ$50000,$C758,'Adv. Filter'!$BH$1:$BH$50000,"Cash",'Adv. Filter'!$BO$1:$BO$50000,'Adv. Filter'!$A$14,'Adv. Filter'!$BO$1:$BO$50000,'Adv. Filter'!$B$14,'Adv. Filter'!$BP$1:$BP$50000,"Project")</f>
        <v>0</v>
      </c>
      <c r="U759" s="268"/>
      <c r="V759" s="268"/>
      <c r="W759" s="268"/>
      <c r="X759" s="268"/>
      <c r="Y759" s="268"/>
      <c r="Z759" s="268"/>
      <c r="AA759" s="268"/>
      <c r="AB759" s="268"/>
      <c r="AC759" s="269"/>
      <c r="AD759" s="267">
        <f>SUMIFS('Adv. Filter'!$BJ$1:$BJ$50000,'Adv. Filter'!$BT$1:$BT$50000,"Ganesh",'Adv. Filter'!$BQ$1:$BQ$50000,$C758,'Adv. Filter'!$BH$1:$BH$50000,"Bank",'Adv. Filter'!$BO$1:$BO$50000,'Adv. Filter'!$A$14,'Adv. Filter'!$BO$1:$BO$50000,'Adv. Filter'!$B$14,'Adv. Filter'!$BP$1:$BP$50000,"Project")</f>
        <v>0</v>
      </c>
      <c r="AE759" s="268"/>
      <c r="AF759" s="268"/>
      <c r="AG759" s="268"/>
      <c r="AH759" s="268"/>
      <c r="AI759" s="268"/>
      <c r="AJ759" s="268"/>
      <c r="AK759" s="268"/>
      <c r="AL759" s="268"/>
      <c r="AM759" s="269"/>
      <c r="AN759" s="267">
        <f t="shared" si="26"/>
        <v>0</v>
      </c>
      <c r="AO759" s="268"/>
      <c r="AP759" s="268"/>
      <c r="AQ759" s="268"/>
      <c r="AR759" s="268"/>
      <c r="AS759" s="268"/>
      <c r="AT759" s="268"/>
      <c r="AU759" s="268"/>
      <c r="AV759" s="268"/>
      <c r="AW759" s="269"/>
      <c r="AX759" s="22"/>
      <c r="AY759" s="308" t="s">
        <v>115</v>
      </c>
      <c r="AZ759" s="309"/>
      <c r="BA759" s="309"/>
      <c r="BB759" s="309"/>
      <c r="BC759" s="309"/>
      <c r="BD759" s="309"/>
      <c r="BE759" s="309"/>
      <c r="BF759" s="309"/>
      <c r="BG759" s="309"/>
      <c r="BH759" s="309"/>
      <c r="BI759" s="309"/>
      <c r="BJ759" s="309"/>
      <c r="BK759" s="309"/>
      <c r="BL759" s="309"/>
      <c r="BM759" s="309"/>
      <c r="BN759" s="309"/>
      <c r="BO759" s="310"/>
      <c r="BP759" s="267">
        <f>SUMIFS('Adv. Filter'!$BJ$1:$BJ$50000,'Adv. Filter'!$BT$1:$BT$50000,"Ganesh",'Adv. Filter'!$BQ$1:$BQ$50000,$AY758,'Adv. Filter'!$BH$1:$BH$50000,"Cash",'Adv. Filter'!$BO$1:$BO$50000,"&lt;"&amp;'Adv. Filter'!$A$15,'Adv. Filter'!$BP$1:$BP$50000,"Project")</f>
        <v>0</v>
      </c>
      <c r="BQ759" s="268"/>
      <c r="BR759" s="268"/>
      <c r="BS759" s="268"/>
      <c r="BT759" s="268"/>
      <c r="BU759" s="268"/>
      <c r="BV759" s="268"/>
      <c r="BW759" s="268"/>
      <c r="BX759" s="268"/>
      <c r="BY759" s="269"/>
      <c r="BZ759" s="267">
        <f>SUMIFS('Adv. Filter'!$BJ$1:$BJ$50000,'Adv. Filter'!$BT$1:$BT$50000,"Ganesh",'Adv. Filter'!$BQ$1:$BQ$50000,$AY758,'Adv. Filter'!$BH$1:$BH$50000,"Bank",'Adv. Filter'!$BO$1:$BO$50000,"&lt;"&amp;'Adv. Filter'!$A$15,'Adv. Filter'!$BP$1:$BP$50000,"Project")</f>
        <v>0</v>
      </c>
      <c r="CA759" s="268"/>
      <c r="CB759" s="268"/>
      <c r="CC759" s="268"/>
      <c r="CD759" s="268"/>
      <c r="CE759" s="268"/>
      <c r="CF759" s="268"/>
      <c r="CG759" s="268"/>
      <c r="CH759" s="268"/>
      <c r="CI759" s="269"/>
      <c r="CJ759" s="267">
        <f t="shared" si="27"/>
        <v>0</v>
      </c>
      <c r="CK759" s="268"/>
      <c r="CL759" s="268"/>
      <c r="CM759" s="268"/>
      <c r="CN759" s="268"/>
      <c r="CO759" s="268"/>
      <c r="CP759" s="268"/>
      <c r="CQ759" s="268"/>
      <c r="CR759" s="268"/>
      <c r="CS759" s="269"/>
      <c r="DG759" s="131" t="s">
        <v>584</v>
      </c>
      <c r="DH759" s="123">
        <f>COUNTIFS('Form Details'!$W:$W,"Due",'Form Details'!$AB:$AB,"Y",'Form Details'!$N:$N,DH757)</f>
        <v>0</v>
      </c>
    </row>
    <row r="760" spans="1:112" hidden="1">
      <c r="C760" s="308" t="s">
        <v>510</v>
      </c>
      <c r="D760" s="309"/>
      <c r="E760" s="309"/>
      <c r="F760" s="309"/>
      <c r="G760" s="309"/>
      <c r="H760" s="309"/>
      <c r="I760" s="309"/>
      <c r="J760" s="309"/>
      <c r="K760" s="309"/>
      <c r="L760" s="309"/>
      <c r="M760" s="309"/>
      <c r="N760" s="309"/>
      <c r="O760" s="309"/>
      <c r="P760" s="309"/>
      <c r="Q760" s="309"/>
      <c r="R760" s="309"/>
      <c r="S760" s="310"/>
      <c r="T760" s="267">
        <v>0</v>
      </c>
      <c r="U760" s="268"/>
      <c r="V760" s="268"/>
      <c r="W760" s="268"/>
      <c r="X760" s="268"/>
      <c r="Y760" s="268"/>
      <c r="Z760" s="268"/>
      <c r="AA760" s="268"/>
      <c r="AB760" s="268"/>
      <c r="AC760" s="269"/>
      <c r="AD760" s="267">
        <v>0</v>
      </c>
      <c r="AE760" s="268"/>
      <c r="AF760" s="268"/>
      <c r="AG760" s="268"/>
      <c r="AH760" s="268"/>
      <c r="AI760" s="268"/>
      <c r="AJ760" s="268"/>
      <c r="AK760" s="268"/>
      <c r="AL760" s="268"/>
      <c r="AM760" s="269"/>
      <c r="AN760" s="267">
        <f t="shared" si="26"/>
        <v>0</v>
      </c>
      <c r="AO760" s="268"/>
      <c r="AP760" s="268"/>
      <c r="AQ760" s="268"/>
      <c r="AR760" s="268"/>
      <c r="AS760" s="268"/>
      <c r="AT760" s="268"/>
      <c r="AU760" s="268"/>
      <c r="AV760" s="268"/>
      <c r="AW760" s="269"/>
      <c r="AX760" s="22"/>
      <c r="AY760" s="308" t="s">
        <v>510</v>
      </c>
      <c r="AZ760" s="309"/>
      <c r="BA760" s="309"/>
      <c r="BB760" s="309"/>
      <c r="BC760" s="309"/>
      <c r="BD760" s="309"/>
      <c r="BE760" s="309"/>
      <c r="BF760" s="309"/>
      <c r="BG760" s="309"/>
      <c r="BH760" s="309"/>
      <c r="BI760" s="309"/>
      <c r="BJ760" s="309"/>
      <c r="BK760" s="309"/>
      <c r="BL760" s="309"/>
      <c r="BM760" s="309"/>
      <c r="BN760" s="309"/>
      <c r="BO760" s="310"/>
      <c r="BP760" s="267"/>
      <c r="BQ760" s="268"/>
      <c r="BR760" s="268"/>
      <c r="BS760" s="268"/>
      <c r="BT760" s="268"/>
      <c r="BU760" s="268"/>
      <c r="BV760" s="268"/>
      <c r="BW760" s="268"/>
      <c r="BX760" s="268"/>
      <c r="BY760" s="269"/>
      <c r="BZ760" s="267"/>
      <c r="CA760" s="268"/>
      <c r="CB760" s="268"/>
      <c r="CC760" s="268"/>
      <c r="CD760" s="268"/>
      <c r="CE760" s="268"/>
      <c r="CF760" s="268"/>
      <c r="CG760" s="268"/>
      <c r="CH760" s="268"/>
      <c r="CI760" s="269"/>
      <c r="CJ760" s="267">
        <f t="shared" si="27"/>
        <v>0</v>
      </c>
      <c r="CK760" s="268"/>
      <c r="CL760" s="268"/>
      <c r="CM760" s="268"/>
      <c r="CN760" s="268"/>
      <c r="CO760" s="268"/>
      <c r="CP760" s="268"/>
      <c r="CQ760" s="268"/>
      <c r="CR760" s="268"/>
      <c r="CS760" s="269"/>
      <c r="DG760" s="131" t="s">
        <v>585</v>
      </c>
      <c r="DH760" s="123">
        <f>COUNTIFS('Form Details'!$W:$W,"Due",'Form Details'!$AB:$AB,"G",'Form Details'!$N:$N,DH757)</f>
        <v>0</v>
      </c>
    </row>
    <row r="761" spans="1:112" hidden="1">
      <c r="C761" s="43"/>
      <c r="D761" s="36" t="str">
        <f>IF(AN758=0,C758&amp;" -","")</f>
        <v>Avanse -</v>
      </c>
      <c r="E761" s="42"/>
      <c r="F761" s="42"/>
      <c r="G761" s="42"/>
      <c r="H761" s="42"/>
      <c r="I761" s="42"/>
      <c r="J761" s="42"/>
      <c r="K761" s="42"/>
      <c r="L761" s="42"/>
      <c r="M761" s="42"/>
      <c r="N761" s="42"/>
      <c r="O761" s="42"/>
      <c r="P761" s="1"/>
      <c r="Q761" s="42"/>
      <c r="R761" s="41" t="s">
        <v>275</v>
      </c>
      <c r="S761" s="40"/>
      <c r="T761" s="267">
        <f>SUMIFS('Adv. Filter'!$CH$1:$CH$50000,'Adv. Filter'!$CD$1:$CD$50000,"Ganesh",'Adv. Filter'!$CE$1:$CE$50000,$C758,'Adv. Filter'!$CC$1:$CC$50000,"Suspense",'Adv. Filter'!$CF$1:$CF$50000,"Cash")</f>
        <v>0</v>
      </c>
      <c r="U761" s="268"/>
      <c r="V761" s="268"/>
      <c r="W761" s="268"/>
      <c r="X761" s="268"/>
      <c r="Y761" s="268"/>
      <c r="Z761" s="268"/>
      <c r="AA761" s="268"/>
      <c r="AB761" s="268"/>
      <c r="AC761" s="269"/>
      <c r="AD761" s="267">
        <f>SUMIFS('Adv. Filter'!$CH$1:$CH$50000,'Adv. Filter'!$CD$1:$CD$50000,"Ganesh",'Adv. Filter'!$CE$1:$CE$50000,$C758,'Adv. Filter'!$CC$1:$CC$50000,"Suspense",'Adv. Filter'!$CF$1:$CF$50000,"Bank")</f>
        <v>32760</v>
      </c>
      <c r="AE761" s="268"/>
      <c r="AF761" s="268"/>
      <c r="AG761" s="268"/>
      <c r="AH761" s="268"/>
      <c r="AI761" s="268"/>
      <c r="AJ761" s="268"/>
      <c r="AK761" s="268"/>
      <c r="AL761" s="268"/>
      <c r="AM761" s="269"/>
      <c r="AN761" s="267">
        <f t="shared" si="26"/>
        <v>32760</v>
      </c>
      <c r="AO761" s="268"/>
      <c r="AP761" s="268"/>
      <c r="AQ761" s="268"/>
      <c r="AR761" s="268"/>
      <c r="AS761" s="268"/>
      <c r="AT761" s="268"/>
      <c r="AU761" s="268"/>
      <c r="AV761" s="268"/>
      <c r="AW761" s="269"/>
      <c r="AX761" s="22"/>
      <c r="AY761" s="43"/>
      <c r="AZ761" s="36" t="str">
        <f>IF(CJ758=0,AY758&amp;" -","")</f>
        <v>Avanse -</v>
      </c>
      <c r="BA761" s="42"/>
      <c r="BB761" s="42"/>
      <c r="BC761" s="42"/>
      <c r="BD761" s="42"/>
      <c r="BE761" s="42"/>
      <c r="BF761" s="42"/>
      <c r="BG761" s="42"/>
      <c r="BH761" s="42"/>
      <c r="BI761" s="42"/>
      <c r="BJ761" s="42"/>
      <c r="BK761" s="42"/>
      <c r="BL761" s="1"/>
      <c r="BM761" s="42"/>
      <c r="BN761" s="41" t="s">
        <v>275</v>
      </c>
      <c r="BO761" s="40"/>
      <c r="BP761" s="267"/>
      <c r="BQ761" s="268"/>
      <c r="BR761" s="268"/>
      <c r="BS761" s="268"/>
      <c r="BT761" s="268"/>
      <c r="BU761" s="268"/>
      <c r="BV761" s="268"/>
      <c r="BW761" s="268"/>
      <c r="BX761" s="268"/>
      <c r="BY761" s="269"/>
      <c r="BZ761" s="267"/>
      <c r="CA761" s="268"/>
      <c r="CB761" s="268"/>
      <c r="CC761" s="268"/>
      <c r="CD761" s="268"/>
      <c r="CE761" s="268"/>
      <c r="CF761" s="268"/>
      <c r="CG761" s="268"/>
      <c r="CH761" s="268"/>
      <c r="CI761" s="269"/>
      <c r="CJ761" s="267">
        <f t="shared" si="27"/>
        <v>0</v>
      </c>
      <c r="CK761" s="268"/>
      <c r="CL761" s="268"/>
      <c r="CM761" s="268"/>
      <c r="CN761" s="268"/>
      <c r="CO761" s="268"/>
      <c r="CP761" s="268"/>
      <c r="CQ761" s="268"/>
      <c r="CR761" s="268"/>
      <c r="CS761" s="269"/>
    </row>
    <row r="762" spans="1:112" hidden="1">
      <c r="A762" s="44"/>
      <c r="B762" s="44"/>
      <c r="C762" s="293" t="s">
        <v>38</v>
      </c>
      <c r="D762" s="294"/>
      <c r="E762" s="294"/>
      <c r="F762" s="294"/>
      <c r="G762" s="294"/>
      <c r="H762" s="294"/>
      <c r="I762" s="294"/>
      <c r="J762" s="294"/>
      <c r="K762" s="294"/>
      <c r="L762" s="294"/>
      <c r="M762" s="294"/>
      <c r="N762" s="294"/>
      <c r="O762" s="294"/>
      <c r="P762" s="294"/>
      <c r="Q762" s="294"/>
      <c r="R762" s="294"/>
      <c r="S762" s="295"/>
      <c r="T762" s="276">
        <f>SUMIFS('Adv. Filter'!$BJ$1:$BJ$50000,'Adv. Filter'!$BT$1:$BT$50000,"Ganesh",'Adv. Filter'!$BQ$1:$BQ$50000,$C762,'Adv. Filter'!$BH$1:$BH$50000,"Cash",'Adv. Filter'!$BO$1:$BO$50000,'Adv. Filter'!$A$14,'Adv. Filter'!$BO$1:$BO$50000,'Adv. Filter'!$B$14)</f>
        <v>0</v>
      </c>
      <c r="U762" s="277"/>
      <c r="V762" s="277"/>
      <c r="W762" s="277"/>
      <c r="X762" s="277"/>
      <c r="Y762" s="277"/>
      <c r="Z762" s="277"/>
      <c r="AA762" s="277"/>
      <c r="AB762" s="277"/>
      <c r="AC762" s="278"/>
      <c r="AD762" s="276">
        <f>SUMIFS('Adv. Filter'!$BJ$1:$BJ$50000,'Adv. Filter'!$BT$1:$BT$50000,"Ganesh",'Adv. Filter'!$BQ$1:$BQ$50000,$C762,'Adv. Filter'!$BH$1:$BH$50000,"Bank",'Adv. Filter'!$BO$1:$BO$50000,'Adv. Filter'!$A$14,'Adv. Filter'!$BO$1:$BO$50000,'Adv. Filter'!$B$14)</f>
        <v>0</v>
      </c>
      <c r="AE762" s="277"/>
      <c r="AF762" s="277"/>
      <c r="AG762" s="277"/>
      <c r="AH762" s="277"/>
      <c r="AI762" s="277"/>
      <c r="AJ762" s="277"/>
      <c r="AK762" s="277"/>
      <c r="AL762" s="277"/>
      <c r="AM762" s="278"/>
      <c r="AN762" s="276">
        <f t="shared" si="26"/>
        <v>0</v>
      </c>
      <c r="AO762" s="277"/>
      <c r="AP762" s="277"/>
      <c r="AQ762" s="277"/>
      <c r="AR762" s="277"/>
      <c r="AS762" s="277"/>
      <c r="AT762" s="277"/>
      <c r="AU762" s="277"/>
      <c r="AV762" s="277"/>
      <c r="AW762" s="278"/>
      <c r="AX762" s="45"/>
      <c r="AY762" s="293" t="s">
        <v>38</v>
      </c>
      <c r="AZ762" s="294"/>
      <c r="BA762" s="294"/>
      <c r="BB762" s="294"/>
      <c r="BC762" s="294"/>
      <c r="BD762" s="294"/>
      <c r="BE762" s="294"/>
      <c r="BF762" s="294"/>
      <c r="BG762" s="294"/>
      <c r="BH762" s="294"/>
      <c r="BI762" s="294"/>
      <c r="BJ762" s="294"/>
      <c r="BK762" s="294"/>
      <c r="BL762" s="294"/>
      <c r="BM762" s="294"/>
      <c r="BN762" s="294"/>
      <c r="BO762" s="295"/>
      <c r="BP762" s="276">
        <f>SUMIFS('Adv. Filter'!$BJ$1:$BJ$50000,'Adv. Filter'!$BT$1:$BT$50000,"Ganesh",'Adv. Filter'!$BQ$1:$BQ$50000,$AY762,'Adv. Filter'!$BH$1:$BH$50000,"Cash",'Adv. Filter'!$BO$1:$BO$50000,"&lt;"&amp;'Adv. Filter'!$A$15)</f>
        <v>0</v>
      </c>
      <c r="BQ762" s="277"/>
      <c r="BR762" s="277"/>
      <c r="BS762" s="277"/>
      <c r="BT762" s="277"/>
      <c r="BU762" s="277"/>
      <c r="BV762" s="277"/>
      <c r="BW762" s="277"/>
      <c r="BX762" s="277"/>
      <c r="BY762" s="278"/>
      <c r="BZ762" s="276">
        <f>SUMIFS('Adv. Filter'!$BJ$1:$BJ$50000,'Adv. Filter'!$BT$1:$BT$50000,"Ganesh",'Adv. Filter'!$BQ$1:$BQ$50000,$AY762,'Adv. Filter'!$BH$1:$BH$50000,"Bank",'Adv. Filter'!$BO$1:$BO$50000,"&lt;"&amp;'Adv. Filter'!$A$15)</f>
        <v>0</v>
      </c>
      <c r="CA762" s="277"/>
      <c r="CB762" s="277"/>
      <c r="CC762" s="277"/>
      <c r="CD762" s="277"/>
      <c r="CE762" s="277"/>
      <c r="CF762" s="277"/>
      <c r="CG762" s="277"/>
      <c r="CH762" s="277"/>
      <c r="CI762" s="278"/>
      <c r="CJ762" s="276">
        <f t="shared" si="27"/>
        <v>0</v>
      </c>
      <c r="CK762" s="277"/>
      <c r="CL762" s="277"/>
      <c r="CM762" s="277"/>
      <c r="CN762" s="277"/>
      <c r="CO762" s="277"/>
      <c r="CP762" s="277"/>
      <c r="CQ762" s="277"/>
      <c r="CR762" s="277"/>
      <c r="CS762" s="278"/>
      <c r="CT762" s="44"/>
      <c r="CU762" s="44"/>
      <c r="CV762" s="44"/>
      <c r="CW762" s="44"/>
      <c r="CX762" s="44"/>
      <c r="CY762" s="44"/>
      <c r="CZ762" s="44"/>
    </row>
    <row r="763" spans="1:112" hidden="1">
      <c r="C763" s="308" t="s">
        <v>115</v>
      </c>
      <c r="D763" s="309"/>
      <c r="E763" s="309"/>
      <c r="F763" s="309"/>
      <c r="G763" s="309"/>
      <c r="H763" s="309"/>
      <c r="I763" s="309"/>
      <c r="J763" s="309"/>
      <c r="K763" s="309"/>
      <c r="L763" s="309"/>
      <c r="M763" s="309"/>
      <c r="N763" s="309"/>
      <c r="O763" s="309"/>
      <c r="P763" s="309"/>
      <c r="Q763" s="309"/>
      <c r="R763" s="309"/>
      <c r="S763" s="310"/>
      <c r="T763" s="267">
        <f>SUMIFS('Adv. Filter'!$BJ$1:$BJ$50000,'Adv. Filter'!$BT$1:$BT$50000,"Ganesh",'Adv. Filter'!$BQ$1:$BQ$50000,$C762,'Adv. Filter'!$BH$1:$BH$50000,"Cash",'Adv. Filter'!$BO$1:$BO$50000,'Adv. Filter'!$A$14,'Adv. Filter'!$BO$1:$BO$50000,'Adv. Filter'!$B$14,'Adv. Filter'!$BP$1:$BP$50000,"Project")</f>
        <v>0</v>
      </c>
      <c r="U763" s="268"/>
      <c r="V763" s="268"/>
      <c r="W763" s="268"/>
      <c r="X763" s="268"/>
      <c r="Y763" s="268"/>
      <c r="Z763" s="268"/>
      <c r="AA763" s="268"/>
      <c r="AB763" s="268"/>
      <c r="AC763" s="269"/>
      <c r="AD763" s="267">
        <f>SUMIFS('Adv. Filter'!$BJ$1:$BJ$50000,'Adv. Filter'!$BT$1:$BT$50000,"Ganesh",'Adv. Filter'!$BQ$1:$BQ$50000,$C762,'Adv. Filter'!$BH$1:$BH$50000,"Bank",'Adv. Filter'!$BO$1:$BO$50000,'Adv. Filter'!$A$14,'Adv. Filter'!$BO$1:$BO$50000,'Adv. Filter'!$B$14,'Adv. Filter'!$BP$1:$BP$50000,"Project")</f>
        <v>0</v>
      </c>
      <c r="AE763" s="268"/>
      <c r="AF763" s="268"/>
      <c r="AG763" s="268"/>
      <c r="AH763" s="268"/>
      <c r="AI763" s="268"/>
      <c r="AJ763" s="268"/>
      <c r="AK763" s="268"/>
      <c r="AL763" s="268"/>
      <c r="AM763" s="269"/>
      <c r="AN763" s="267">
        <f t="shared" si="26"/>
        <v>0</v>
      </c>
      <c r="AO763" s="268"/>
      <c r="AP763" s="268"/>
      <c r="AQ763" s="268"/>
      <c r="AR763" s="268"/>
      <c r="AS763" s="268"/>
      <c r="AT763" s="268"/>
      <c r="AU763" s="268"/>
      <c r="AV763" s="268"/>
      <c r="AW763" s="269"/>
      <c r="AX763" s="22"/>
      <c r="AY763" s="308" t="s">
        <v>115</v>
      </c>
      <c r="AZ763" s="309"/>
      <c r="BA763" s="309"/>
      <c r="BB763" s="309"/>
      <c r="BC763" s="309"/>
      <c r="BD763" s="309"/>
      <c r="BE763" s="309"/>
      <c r="BF763" s="309"/>
      <c r="BG763" s="309"/>
      <c r="BH763" s="309"/>
      <c r="BI763" s="309"/>
      <c r="BJ763" s="309"/>
      <c r="BK763" s="309"/>
      <c r="BL763" s="309"/>
      <c r="BM763" s="309"/>
      <c r="BN763" s="309"/>
      <c r="BO763" s="310"/>
      <c r="BP763" s="267">
        <f>SUMIFS('Adv. Filter'!$BJ$1:$BJ$50000,'Adv. Filter'!$BT$1:$BT$50000,"Ganesh",'Adv. Filter'!$BQ$1:$BQ$50000,$AY762,'Adv. Filter'!$BH$1:$BH$50000,"Cash",'Adv. Filter'!$BO$1:$BO$50000,"&lt;"&amp;'Adv. Filter'!$A$15,'Adv. Filter'!$BP$1:$BP$50000,"Project")</f>
        <v>0</v>
      </c>
      <c r="BQ763" s="268"/>
      <c r="BR763" s="268"/>
      <c r="BS763" s="268"/>
      <c r="BT763" s="268"/>
      <c r="BU763" s="268"/>
      <c r="BV763" s="268"/>
      <c r="BW763" s="268"/>
      <c r="BX763" s="268"/>
      <c r="BY763" s="269"/>
      <c r="BZ763" s="267">
        <f>SUMIFS('Adv. Filter'!$BJ$1:$BJ$50000,'Adv. Filter'!$BT$1:$BT$50000,"Ganesh",'Adv. Filter'!$BQ$1:$BQ$50000,$AY762,'Adv. Filter'!$BH$1:$BH$50000,"Bank",'Adv. Filter'!$BO$1:$BO$50000,"&lt;"&amp;'Adv. Filter'!$A$15,'Adv. Filter'!$BP$1:$BP$50000,"Project")</f>
        <v>0</v>
      </c>
      <c r="CA763" s="268"/>
      <c r="CB763" s="268"/>
      <c r="CC763" s="268"/>
      <c r="CD763" s="268"/>
      <c r="CE763" s="268"/>
      <c r="CF763" s="268"/>
      <c r="CG763" s="268"/>
      <c r="CH763" s="268"/>
      <c r="CI763" s="269"/>
      <c r="CJ763" s="267">
        <f t="shared" si="27"/>
        <v>0</v>
      </c>
      <c r="CK763" s="268"/>
      <c r="CL763" s="268"/>
      <c r="CM763" s="268"/>
      <c r="CN763" s="268"/>
      <c r="CO763" s="268"/>
      <c r="CP763" s="268"/>
      <c r="CQ763" s="268"/>
      <c r="CR763" s="268"/>
      <c r="CS763" s="269"/>
    </row>
    <row r="764" spans="1:112" hidden="1">
      <c r="C764" s="308" t="s">
        <v>510</v>
      </c>
      <c r="D764" s="309"/>
      <c r="E764" s="309"/>
      <c r="F764" s="309"/>
      <c r="G764" s="309"/>
      <c r="H764" s="309"/>
      <c r="I764" s="309"/>
      <c r="J764" s="309"/>
      <c r="K764" s="309"/>
      <c r="L764" s="309"/>
      <c r="M764" s="309"/>
      <c r="N764" s="309"/>
      <c r="O764" s="309"/>
      <c r="P764" s="309"/>
      <c r="Q764" s="309"/>
      <c r="R764" s="309"/>
      <c r="S764" s="310"/>
      <c r="T764" s="267">
        <v>0</v>
      </c>
      <c r="U764" s="268"/>
      <c r="V764" s="268"/>
      <c r="W764" s="268"/>
      <c r="X764" s="268"/>
      <c r="Y764" s="268"/>
      <c r="Z764" s="268"/>
      <c r="AA764" s="268"/>
      <c r="AB764" s="268"/>
      <c r="AC764" s="269"/>
      <c r="AD764" s="267">
        <v>0</v>
      </c>
      <c r="AE764" s="268"/>
      <c r="AF764" s="268"/>
      <c r="AG764" s="268"/>
      <c r="AH764" s="268"/>
      <c r="AI764" s="268"/>
      <c r="AJ764" s="268"/>
      <c r="AK764" s="268"/>
      <c r="AL764" s="268"/>
      <c r="AM764" s="269"/>
      <c r="AN764" s="267">
        <f t="shared" si="26"/>
        <v>0</v>
      </c>
      <c r="AO764" s="268"/>
      <c r="AP764" s="268"/>
      <c r="AQ764" s="268"/>
      <c r="AR764" s="268"/>
      <c r="AS764" s="268"/>
      <c r="AT764" s="268"/>
      <c r="AU764" s="268"/>
      <c r="AV764" s="268"/>
      <c r="AW764" s="269"/>
      <c r="AX764" s="22"/>
      <c r="AY764" s="308" t="s">
        <v>510</v>
      </c>
      <c r="AZ764" s="309"/>
      <c r="BA764" s="309"/>
      <c r="BB764" s="309"/>
      <c r="BC764" s="309"/>
      <c r="BD764" s="309"/>
      <c r="BE764" s="309"/>
      <c r="BF764" s="309"/>
      <c r="BG764" s="309"/>
      <c r="BH764" s="309"/>
      <c r="BI764" s="309"/>
      <c r="BJ764" s="309"/>
      <c r="BK764" s="309"/>
      <c r="BL764" s="309"/>
      <c r="BM764" s="309"/>
      <c r="BN764" s="309"/>
      <c r="BO764" s="310"/>
      <c r="BP764" s="267"/>
      <c r="BQ764" s="268"/>
      <c r="BR764" s="268"/>
      <c r="BS764" s="268"/>
      <c r="BT764" s="268"/>
      <c r="BU764" s="268"/>
      <c r="BV764" s="268"/>
      <c r="BW764" s="268"/>
      <c r="BX764" s="268"/>
      <c r="BY764" s="269"/>
      <c r="BZ764" s="267"/>
      <c r="CA764" s="268"/>
      <c r="CB764" s="268"/>
      <c r="CC764" s="268"/>
      <c r="CD764" s="268"/>
      <c r="CE764" s="268"/>
      <c r="CF764" s="268"/>
      <c r="CG764" s="268"/>
      <c r="CH764" s="268"/>
      <c r="CI764" s="269"/>
      <c r="CJ764" s="267">
        <f t="shared" si="27"/>
        <v>0</v>
      </c>
      <c r="CK764" s="268"/>
      <c r="CL764" s="268"/>
      <c r="CM764" s="268"/>
      <c r="CN764" s="268"/>
      <c r="CO764" s="268"/>
      <c r="CP764" s="268"/>
      <c r="CQ764" s="268"/>
      <c r="CR764" s="268"/>
      <c r="CS764" s="269"/>
    </row>
    <row r="765" spans="1:112" hidden="1">
      <c r="A765" s="44"/>
      <c r="B765" s="44"/>
      <c r="C765" s="48"/>
      <c r="D765" s="36" t="str">
        <f>IF(AN762=0,C762&amp;" -","")</f>
        <v>Axis -</v>
      </c>
      <c r="E765" s="42"/>
      <c r="F765" s="42"/>
      <c r="G765" s="42"/>
      <c r="H765" s="42"/>
      <c r="I765" s="42"/>
      <c r="J765" s="42"/>
      <c r="K765" s="42"/>
      <c r="L765" s="42"/>
      <c r="M765" s="42"/>
      <c r="N765" s="42"/>
      <c r="O765" s="42"/>
      <c r="P765" s="47"/>
      <c r="Q765" s="42"/>
      <c r="R765" s="41" t="s">
        <v>275</v>
      </c>
      <c r="S765" s="46"/>
      <c r="T765" s="267">
        <f>SUMIFS('Adv. Filter'!$CH$1:$CH$50000,'Adv. Filter'!$CD$1:$CD$50000,"Ganesh",'Adv. Filter'!$CE$1:$CE$50000,$C762,'Adv. Filter'!$CC$1:$CC$50000,"Suspense",'Adv. Filter'!$CF$1:$CF$50000,"Cash")</f>
        <v>0</v>
      </c>
      <c r="U765" s="268"/>
      <c r="V765" s="268"/>
      <c r="W765" s="268"/>
      <c r="X765" s="268"/>
      <c r="Y765" s="268"/>
      <c r="Z765" s="268"/>
      <c r="AA765" s="268"/>
      <c r="AB765" s="268"/>
      <c r="AC765" s="269"/>
      <c r="AD765" s="267">
        <f>SUMIFS('Adv. Filter'!$CH$1:$CH$50000,'Adv. Filter'!$CD$1:$CD$50000,"Ganesh",'Adv. Filter'!$CE$1:$CE$50000,$C762,'Adv. Filter'!$CC$1:$CC$50000,"Suspense",'Adv. Filter'!$CF$1:$CF$50000,"Bank")</f>
        <v>0</v>
      </c>
      <c r="AE765" s="268"/>
      <c r="AF765" s="268"/>
      <c r="AG765" s="268"/>
      <c r="AH765" s="268"/>
      <c r="AI765" s="268"/>
      <c r="AJ765" s="268"/>
      <c r="AK765" s="268"/>
      <c r="AL765" s="268"/>
      <c r="AM765" s="269"/>
      <c r="AN765" s="276">
        <f t="shared" si="26"/>
        <v>0</v>
      </c>
      <c r="AO765" s="277"/>
      <c r="AP765" s="277"/>
      <c r="AQ765" s="277"/>
      <c r="AR765" s="277"/>
      <c r="AS765" s="277"/>
      <c r="AT765" s="277"/>
      <c r="AU765" s="277"/>
      <c r="AV765" s="277"/>
      <c r="AW765" s="278"/>
      <c r="AX765" s="45"/>
      <c r="AY765" s="48"/>
      <c r="AZ765" s="36" t="str">
        <f>IF(CJ762=0,AY762&amp;" -","")</f>
        <v>Axis -</v>
      </c>
      <c r="BA765" s="42"/>
      <c r="BB765" s="42"/>
      <c r="BC765" s="42"/>
      <c r="BD765" s="42"/>
      <c r="BE765" s="42"/>
      <c r="BF765" s="42"/>
      <c r="BG765" s="42"/>
      <c r="BH765" s="42"/>
      <c r="BI765" s="42"/>
      <c r="BJ765" s="42"/>
      <c r="BK765" s="42"/>
      <c r="BL765" s="47"/>
      <c r="BM765" s="42"/>
      <c r="BN765" s="41" t="s">
        <v>275</v>
      </c>
      <c r="BO765" s="46"/>
      <c r="BP765" s="276"/>
      <c r="BQ765" s="277"/>
      <c r="BR765" s="277"/>
      <c r="BS765" s="277"/>
      <c r="BT765" s="277"/>
      <c r="BU765" s="277"/>
      <c r="BV765" s="277"/>
      <c r="BW765" s="277"/>
      <c r="BX765" s="277"/>
      <c r="BY765" s="278"/>
      <c r="BZ765" s="276"/>
      <c r="CA765" s="277"/>
      <c r="CB765" s="277"/>
      <c r="CC765" s="277"/>
      <c r="CD765" s="277"/>
      <c r="CE765" s="277"/>
      <c r="CF765" s="277"/>
      <c r="CG765" s="277"/>
      <c r="CH765" s="277"/>
      <c r="CI765" s="278"/>
      <c r="CJ765" s="276">
        <f t="shared" si="27"/>
        <v>0</v>
      </c>
      <c r="CK765" s="277"/>
      <c r="CL765" s="277"/>
      <c r="CM765" s="277"/>
      <c r="CN765" s="277"/>
      <c r="CO765" s="277"/>
      <c r="CP765" s="277"/>
      <c r="CQ765" s="277"/>
      <c r="CR765" s="277"/>
      <c r="CS765" s="278"/>
      <c r="CT765" s="44"/>
      <c r="CU765" s="44"/>
      <c r="CV765" s="44"/>
      <c r="CW765" s="44"/>
      <c r="CX765" s="44"/>
      <c r="CY765" s="44"/>
      <c r="CZ765" s="44"/>
    </row>
    <row r="766" spans="1:112" hidden="1">
      <c r="A766" s="44"/>
      <c r="B766" s="44"/>
      <c r="C766" s="293" t="s">
        <v>49</v>
      </c>
      <c r="D766" s="294"/>
      <c r="E766" s="294"/>
      <c r="F766" s="294"/>
      <c r="G766" s="294"/>
      <c r="H766" s="294"/>
      <c r="I766" s="294"/>
      <c r="J766" s="294"/>
      <c r="K766" s="294"/>
      <c r="L766" s="294"/>
      <c r="M766" s="294"/>
      <c r="N766" s="294"/>
      <c r="O766" s="294"/>
      <c r="P766" s="294"/>
      <c r="Q766" s="294"/>
      <c r="R766" s="294"/>
      <c r="S766" s="295"/>
      <c r="T766" s="276">
        <f>SUMIFS('Adv. Filter'!$BJ$1:$BJ$50000,'Adv. Filter'!$BT$1:$BT$50000,"Ganesh",'Adv. Filter'!$BQ$1:$BQ$50000,$C766,'Adv. Filter'!$BH$1:$BH$50000,"Cash",'Adv. Filter'!$BO$1:$BO$50000,'Adv. Filter'!$A$14,'Adv. Filter'!$BO$1:$BO$50000,'Adv. Filter'!$B$14)</f>
        <v>0</v>
      </c>
      <c r="U766" s="277"/>
      <c r="V766" s="277"/>
      <c r="W766" s="277"/>
      <c r="X766" s="277"/>
      <c r="Y766" s="277"/>
      <c r="Z766" s="277"/>
      <c r="AA766" s="277"/>
      <c r="AB766" s="277"/>
      <c r="AC766" s="278"/>
      <c r="AD766" s="276">
        <f>SUMIFS('Adv. Filter'!$BJ$1:$BJ$50000,'Adv. Filter'!$BT$1:$BT$50000,"Ganesh",'Adv. Filter'!$BQ$1:$BQ$50000,$C766,'Adv. Filter'!$BH$1:$BH$50000,"Bank",'Adv. Filter'!$BO$1:$BO$50000,'Adv. Filter'!$A$14,'Adv. Filter'!$BO$1:$BO$50000,'Adv. Filter'!$B$14)</f>
        <v>0</v>
      </c>
      <c r="AE766" s="277"/>
      <c r="AF766" s="277"/>
      <c r="AG766" s="277"/>
      <c r="AH766" s="277"/>
      <c r="AI766" s="277"/>
      <c r="AJ766" s="277"/>
      <c r="AK766" s="277"/>
      <c r="AL766" s="277"/>
      <c r="AM766" s="278"/>
      <c r="AN766" s="276">
        <f t="shared" si="26"/>
        <v>0</v>
      </c>
      <c r="AO766" s="277"/>
      <c r="AP766" s="277"/>
      <c r="AQ766" s="277"/>
      <c r="AR766" s="277"/>
      <c r="AS766" s="277"/>
      <c r="AT766" s="277"/>
      <c r="AU766" s="277"/>
      <c r="AV766" s="277"/>
      <c r="AW766" s="278"/>
      <c r="AX766" s="45"/>
      <c r="AY766" s="293" t="s">
        <v>49</v>
      </c>
      <c r="AZ766" s="294"/>
      <c r="BA766" s="294"/>
      <c r="BB766" s="294"/>
      <c r="BC766" s="294"/>
      <c r="BD766" s="294"/>
      <c r="BE766" s="294"/>
      <c r="BF766" s="294"/>
      <c r="BG766" s="294"/>
      <c r="BH766" s="294"/>
      <c r="BI766" s="294"/>
      <c r="BJ766" s="294"/>
      <c r="BK766" s="294"/>
      <c r="BL766" s="294"/>
      <c r="BM766" s="294"/>
      <c r="BN766" s="294"/>
      <c r="BO766" s="295"/>
      <c r="BP766" s="276">
        <f>SUMIFS('Adv. Filter'!$BJ$1:$BJ$50000,'Adv. Filter'!$BT$1:$BT$50000,"Ganesh",'Adv. Filter'!$BQ$1:$BQ$50000,$AY766,'Adv. Filter'!$BH$1:$BH$50000,"Cash",'Adv. Filter'!$BO$1:$BO$50000,"&lt;"&amp;'Adv. Filter'!$A$15)</f>
        <v>0</v>
      </c>
      <c r="BQ766" s="277"/>
      <c r="BR766" s="277"/>
      <c r="BS766" s="277"/>
      <c r="BT766" s="277"/>
      <c r="BU766" s="277"/>
      <c r="BV766" s="277"/>
      <c r="BW766" s="277"/>
      <c r="BX766" s="277"/>
      <c r="BY766" s="278"/>
      <c r="BZ766" s="276">
        <f>SUMIFS('Adv. Filter'!$BJ$1:$BJ$50000,'Adv. Filter'!$BT$1:$BT$50000,"Ganesh",'Adv. Filter'!$BQ$1:$BQ$50000,$AY766,'Adv. Filter'!$BH$1:$BH$50000,"Bank",'Adv. Filter'!$BO$1:$BO$50000,"&lt;"&amp;'Adv. Filter'!$A$15)</f>
        <v>0</v>
      </c>
      <c r="CA766" s="277"/>
      <c r="CB766" s="277"/>
      <c r="CC766" s="277"/>
      <c r="CD766" s="277"/>
      <c r="CE766" s="277"/>
      <c r="CF766" s="277"/>
      <c r="CG766" s="277"/>
      <c r="CH766" s="277"/>
      <c r="CI766" s="278"/>
      <c r="CJ766" s="276">
        <f t="shared" si="27"/>
        <v>0</v>
      </c>
      <c r="CK766" s="277"/>
      <c r="CL766" s="277"/>
      <c r="CM766" s="277"/>
      <c r="CN766" s="277"/>
      <c r="CO766" s="277"/>
      <c r="CP766" s="277"/>
      <c r="CQ766" s="277"/>
      <c r="CR766" s="277"/>
      <c r="CS766" s="278"/>
      <c r="CT766" s="44"/>
      <c r="CU766" s="44"/>
      <c r="CV766" s="44"/>
      <c r="CW766" s="44"/>
      <c r="CX766" s="44"/>
      <c r="CY766" s="44"/>
      <c r="CZ766" s="44"/>
    </row>
    <row r="767" spans="1:112" hidden="1">
      <c r="C767" s="308" t="s">
        <v>115</v>
      </c>
      <c r="D767" s="309"/>
      <c r="E767" s="309"/>
      <c r="F767" s="309"/>
      <c r="G767" s="309"/>
      <c r="H767" s="309"/>
      <c r="I767" s="309"/>
      <c r="J767" s="309"/>
      <c r="K767" s="309"/>
      <c r="L767" s="309"/>
      <c r="M767" s="309"/>
      <c r="N767" s="309"/>
      <c r="O767" s="309"/>
      <c r="P767" s="309"/>
      <c r="Q767" s="309"/>
      <c r="R767" s="309"/>
      <c r="S767" s="310"/>
      <c r="T767" s="267">
        <f>SUMIFS('Adv. Filter'!$BJ$1:$BJ$50000,'Adv. Filter'!$BT$1:$BT$50000,"Ganesh",'Adv. Filter'!$BQ$1:$BQ$50000,$C766,'Adv. Filter'!$BH$1:$BH$50000,"Cash",'Adv. Filter'!$BO$1:$BO$50000,'Adv. Filter'!$A$14,'Adv. Filter'!$BO$1:$BO$50000,'Adv. Filter'!$B$14,'Adv. Filter'!$BP$1:$BP$50000,"Project")</f>
        <v>0</v>
      </c>
      <c r="U767" s="268"/>
      <c r="V767" s="268"/>
      <c r="W767" s="268"/>
      <c r="X767" s="268"/>
      <c r="Y767" s="268"/>
      <c r="Z767" s="268"/>
      <c r="AA767" s="268"/>
      <c r="AB767" s="268"/>
      <c r="AC767" s="269"/>
      <c r="AD767" s="267">
        <f>SUMIFS('Adv. Filter'!$BJ$1:$BJ$50000,'Adv. Filter'!$BT$1:$BT$50000,"Ganesh",'Adv. Filter'!$BQ$1:$BQ$50000,$C766,'Adv. Filter'!$BH$1:$BH$50000,"Bank",'Adv. Filter'!$BO$1:$BO$50000,'Adv. Filter'!$A$14,'Adv. Filter'!$BO$1:$BO$50000,'Adv. Filter'!$B$14,'Adv. Filter'!$BP$1:$BP$50000,"Project")</f>
        <v>0</v>
      </c>
      <c r="AE767" s="268"/>
      <c r="AF767" s="268"/>
      <c r="AG767" s="268"/>
      <c r="AH767" s="268"/>
      <c r="AI767" s="268"/>
      <c r="AJ767" s="268"/>
      <c r="AK767" s="268"/>
      <c r="AL767" s="268"/>
      <c r="AM767" s="269"/>
      <c r="AN767" s="267">
        <f t="shared" si="26"/>
        <v>0</v>
      </c>
      <c r="AO767" s="268"/>
      <c r="AP767" s="268"/>
      <c r="AQ767" s="268"/>
      <c r="AR767" s="268"/>
      <c r="AS767" s="268"/>
      <c r="AT767" s="268"/>
      <c r="AU767" s="268"/>
      <c r="AV767" s="268"/>
      <c r="AW767" s="269"/>
      <c r="AX767" s="22"/>
      <c r="AY767" s="308" t="s">
        <v>115</v>
      </c>
      <c r="AZ767" s="309"/>
      <c r="BA767" s="309"/>
      <c r="BB767" s="309"/>
      <c r="BC767" s="309"/>
      <c r="BD767" s="309"/>
      <c r="BE767" s="309"/>
      <c r="BF767" s="309"/>
      <c r="BG767" s="309"/>
      <c r="BH767" s="309"/>
      <c r="BI767" s="309"/>
      <c r="BJ767" s="309"/>
      <c r="BK767" s="309"/>
      <c r="BL767" s="309"/>
      <c r="BM767" s="309"/>
      <c r="BN767" s="309"/>
      <c r="BO767" s="310"/>
      <c r="BP767" s="267">
        <f>SUMIFS('Adv. Filter'!$BJ$1:$BJ$50000,'Adv. Filter'!$BT$1:$BT$50000,"Ganesh",'Adv. Filter'!$BQ$1:$BQ$50000,$AY766,'Adv. Filter'!$BH$1:$BH$50000,"Cash",'Adv. Filter'!$BO$1:$BO$50000,"&lt;"&amp;'Adv. Filter'!$A$15,'Adv. Filter'!$BP$1:$BP$50000,"Project")</f>
        <v>0</v>
      </c>
      <c r="BQ767" s="268"/>
      <c r="BR767" s="268"/>
      <c r="BS767" s="268"/>
      <c r="BT767" s="268"/>
      <c r="BU767" s="268"/>
      <c r="BV767" s="268"/>
      <c r="BW767" s="268"/>
      <c r="BX767" s="268"/>
      <c r="BY767" s="269"/>
      <c r="BZ767" s="267">
        <f>SUMIFS('Adv. Filter'!$BJ$1:$BJ$50000,'Adv. Filter'!$BT$1:$BT$50000,"Ganesh",'Adv. Filter'!$BQ$1:$BQ$50000,$AY766,'Adv. Filter'!$BH$1:$BH$50000,"Bank",'Adv. Filter'!$BO$1:$BO$50000,"&lt;"&amp;'Adv. Filter'!$A$15,'Adv. Filter'!$BP$1:$BP$50000,"Project")</f>
        <v>0</v>
      </c>
      <c r="CA767" s="268"/>
      <c r="CB767" s="268"/>
      <c r="CC767" s="268"/>
      <c r="CD767" s="268"/>
      <c r="CE767" s="268"/>
      <c r="CF767" s="268"/>
      <c r="CG767" s="268"/>
      <c r="CH767" s="268"/>
      <c r="CI767" s="269"/>
      <c r="CJ767" s="267">
        <f t="shared" si="27"/>
        <v>0</v>
      </c>
      <c r="CK767" s="268"/>
      <c r="CL767" s="268"/>
      <c r="CM767" s="268"/>
      <c r="CN767" s="268"/>
      <c r="CO767" s="268"/>
      <c r="CP767" s="268"/>
      <c r="CQ767" s="268"/>
      <c r="CR767" s="268"/>
      <c r="CS767" s="269"/>
    </row>
    <row r="768" spans="1:112" hidden="1">
      <c r="C768" s="308" t="s">
        <v>510</v>
      </c>
      <c r="D768" s="309"/>
      <c r="E768" s="309"/>
      <c r="F768" s="309"/>
      <c r="G768" s="309"/>
      <c r="H768" s="309"/>
      <c r="I768" s="309"/>
      <c r="J768" s="309"/>
      <c r="K768" s="309"/>
      <c r="L768" s="309"/>
      <c r="M768" s="309"/>
      <c r="N768" s="309"/>
      <c r="O768" s="309"/>
      <c r="P768" s="309"/>
      <c r="Q768" s="309"/>
      <c r="R768" s="309"/>
      <c r="S768" s="310"/>
      <c r="T768" s="267">
        <v>0</v>
      </c>
      <c r="U768" s="268"/>
      <c r="V768" s="268"/>
      <c r="W768" s="268"/>
      <c r="X768" s="268"/>
      <c r="Y768" s="268"/>
      <c r="Z768" s="268"/>
      <c r="AA768" s="268"/>
      <c r="AB768" s="268"/>
      <c r="AC768" s="269"/>
      <c r="AD768" s="267">
        <v>0</v>
      </c>
      <c r="AE768" s="268"/>
      <c r="AF768" s="268"/>
      <c r="AG768" s="268"/>
      <c r="AH768" s="268"/>
      <c r="AI768" s="268"/>
      <c r="AJ768" s="268"/>
      <c r="AK768" s="268"/>
      <c r="AL768" s="268"/>
      <c r="AM768" s="269"/>
      <c r="AN768" s="267">
        <f t="shared" si="26"/>
        <v>0</v>
      </c>
      <c r="AO768" s="268"/>
      <c r="AP768" s="268"/>
      <c r="AQ768" s="268"/>
      <c r="AR768" s="268"/>
      <c r="AS768" s="268"/>
      <c r="AT768" s="268"/>
      <c r="AU768" s="268"/>
      <c r="AV768" s="268"/>
      <c r="AW768" s="269"/>
      <c r="AX768" s="22"/>
      <c r="AY768" s="308" t="s">
        <v>510</v>
      </c>
      <c r="AZ768" s="309"/>
      <c r="BA768" s="309"/>
      <c r="BB768" s="309"/>
      <c r="BC768" s="309"/>
      <c r="BD768" s="309"/>
      <c r="BE768" s="309"/>
      <c r="BF768" s="309"/>
      <c r="BG768" s="309"/>
      <c r="BH768" s="309"/>
      <c r="BI768" s="309"/>
      <c r="BJ768" s="309"/>
      <c r="BK768" s="309"/>
      <c r="BL768" s="309"/>
      <c r="BM768" s="309"/>
      <c r="BN768" s="309"/>
      <c r="BO768" s="310"/>
      <c r="BP768" s="267"/>
      <c r="BQ768" s="268"/>
      <c r="BR768" s="268"/>
      <c r="BS768" s="268"/>
      <c r="BT768" s="268"/>
      <c r="BU768" s="268"/>
      <c r="BV768" s="268"/>
      <c r="BW768" s="268"/>
      <c r="BX768" s="268"/>
      <c r="BY768" s="269"/>
      <c r="BZ768" s="267"/>
      <c r="CA768" s="268"/>
      <c r="CB768" s="268"/>
      <c r="CC768" s="268"/>
      <c r="CD768" s="268"/>
      <c r="CE768" s="268"/>
      <c r="CF768" s="268"/>
      <c r="CG768" s="268"/>
      <c r="CH768" s="268"/>
      <c r="CI768" s="269"/>
      <c r="CJ768" s="267">
        <f t="shared" si="27"/>
        <v>0</v>
      </c>
      <c r="CK768" s="268"/>
      <c r="CL768" s="268"/>
      <c r="CM768" s="268"/>
      <c r="CN768" s="268"/>
      <c r="CO768" s="268"/>
      <c r="CP768" s="268"/>
      <c r="CQ768" s="268"/>
      <c r="CR768" s="268"/>
      <c r="CS768" s="269"/>
    </row>
    <row r="769" spans="1:104" hidden="1">
      <c r="C769" s="43"/>
      <c r="D769" s="36" t="str">
        <f>IF(AN766=0,C766&amp;" -","")</f>
        <v>BOI -</v>
      </c>
      <c r="E769" s="42"/>
      <c r="F769" s="42"/>
      <c r="G769" s="42"/>
      <c r="H769" s="42"/>
      <c r="I769" s="42"/>
      <c r="J769" s="42"/>
      <c r="K769" s="42"/>
      <c r="L769" s="42"/>
      <c r="M769" s="42"/>
      <c r="N769" s="42"/>
      <c r="O769" s="42"/>
      <c r="P769" s="1"/>
      <c r="Q769" s="42"/>
      <c r="R769" s="41" t="s">
        <v>275</v>
      </c>
      <c r="S769" s="40"/>
      <c r="T769" s="267">
        <f>SUMIFS('Adv. Filter'!$CH$1:$CH$50000,'Adv. Filter'!$CD$1:$CD$50000,"Ganesh",'Adv. Filter'!$CE$1:$CE$50000,$C766,'Adv. Filter'!$CC$1:$CC$50000,"Suspense",'Adv. Filter'!$CF$1:$CF$50000,"Cash")</f>
        <v>0</v>
      </c>
      <c r="U769" s="268"/>
      <c r="V769" s="268"/>
      <c r="W769" s="268"/>
      <c r="X769" s="268"/>
      <c r="Y769" s="268"/>
      <c r="Z769" s="268"/>
      <c r="AA769" s="268"/>
      <c r="AB769" s="268"/>
      <c r="AC769" s="269"/>
      <c r="AD769" s="267">
        <f>SUMIFS('Adv. Filter'!$CH$1:$CH$50000,'Adv. Filter'!$CD$1:$CD$50000,"Ganesh",'Adv. Filter'!$CE$1:$CE$50000,$C766,'Adv. Filter'!$CC$1:$CC$50000,"Suspense",'Adv. Filter'!$CF$1:$CF$50000,"Bank")</f>
        <v>0</v>
      </c>
      <c r="AE769" s="268"/>
      <c r="AF769" s="268"/>
      <c r="AG769" s="268"/>
      <c r="AH769" s="268"/>
      <c r="AI769" s="268"/>
      <c r="AJ769" s="268"/>
      <c r="AK769" s="268"/>
      <c r="AL769" s="268"/>
      <c r="AM769" s="269"/>
      <c r="AN769" s="267">
        <f t="shared" si="26"/>
        <v>0</v>
      </c>
      <c r="AO769" s="268"/>
      <c r="AP769" s="268"/>
      <c r="AQ769" s="268"/>
      <c r="AR769" s="268"/>
      <c r="AS769" s="268"/>
      <c r="AT769" s="268"/>
      <c r="AU769" s="268"/>
      <c r="AV769" s="268"/>
      <c r="AW769" s="269"/>
      <c r="AX769" s="22"/>
      <c r="AY769" s="43"/>
      <c r="AZ769" s="36" t="str">
        <f>IF(CJ766=0,AY766&amp;" -","")</f>
        <v>BOI -</v>
      </c>
      <c r="BA769" s="42"/>
      <c r="BB769" s="42"/>
      <c r="BC769" s="42"/>
      <c r="BD769" s="42"/>
      <c r="BE769" s="42"/>
      <c r="BF769" s="42"/>
      <c r="BG769" s="42"/>
      <c r="BH769" s="42"/>
      <c r="BI769" s="42"/>
      <c r="BJ769" s="42"/>
      <c r="BK769" s="42"/>
      <c r="BL769" s="1"/>
      <c r="BM769" s="42"/>
      <c r="BN769" s="41" t="s">
        <v>275</v>
      </c>
      <c r="BO769" s="40"/>
      <c r="BP769" s="267"/>
      <c r="BQ769" s="268"/>
      <c r="BR769" s="268"/>
      <c r="BS769" s="268"/>
      <c r="BT769" s="268"/>
      <c r="BU769" s="268"/>
      <c r="BV769" s="268"/>
      <c r="BW769" s="268"/>
      <c r="BX769" s="268"/>
      <c r="BY769" s="269"/>
      <c r="BZ769" s="267"/>
      <c r="CA769" s="268"/>
      <c r="CB769" s="268"/>
      <c r="CC769" s="268"/>
      <c r="CD769" s="268"/>
      <c r="CE769" s="268"/>
      <c r="CF769" s="268"/>
      <c r="CG769" s="268"/>
      <c r="CH769" s="268"/>
      <c r="CI769" s="269"/>
      <c r="CJ769" s="267">
        <f t="shared" si="27"/>
        <v>0</v>
      </c>
      <c r="CK769" s="268"/>
      <c r="CL769" s="268"/>
      <c r="CM769" s="268"/>
      <c r="CN769" s="268"/>
      <c r="CO769" s="268"/>
      <c r="CP769" s="268"/>
      <c r="CQ769" s="268"/>
      <c r="CR769" s="268"/>
      <c r="CS769" s="269"/>
    </row>
    <row r="770" spans="1:104" hidden="1">
      <c r="A770" s="44"/>
      <c r="B770" s="44"/>
      <c r="C770" s="293" t="s">
        <v>59</v>
      </c>
      <c r="D770" s="294"/>
      <c r="E770" s="294"/>
      <c r="F770" s="294"/>
      <c r="G770" s="294"/>
      <c r="H770" s="294"/>
      <c r="I770" s="294"/>
      <c r="J770" s="294"/>
      <c r="K770" s="294"/>
      <c r="L770" s="294"/>
      <c r="M770" s="294"/>
      <c r="N770" s="294"/>
      <c r="O770" s="294"/>
      <c r="P770" s="294"/>
      <c r="Q770" s="294"/>
      <c r="R770" s="294"/>
      <c r="S770" s="295"/>
      <c r="T770" s="276">
        <f>SUMIFS('Adv. Filter'!$BJ$1:$BJ$50000,'Adv. Filter'!$BT$1:$BT$50000,"Ganesh",'Adv. Filter'!$BQ$1:$BQ$50000,$C770,'Adv. Filter'!$BH$1:$BH$50000,"Cash",'Adv. Filter'!$BO$1:$BO$50000,'Adv. Filter'!$A$14,'Adv. Filter'!$BO$1:$BO$50000,'Adv. Filter'!$B$14)</f>
        <v>0</v>
      </c>
      <c r="U770" s="277"/>
      <c r="V770" s="277"/>
      <c r="W770" s="277"/>
      <c r="X770" s="277"/>
      <c r="Y770" s="277"/>
      <c r="Z770" s="277"/>
      <c r="AA770" s="277"/>
      <c r="AB770" s="277"/>
      <c r="AC770" s="278"/>
      <c r="AD770" s="276">
        <f>SUMIFS('Adv. Filter'!$BJ$1:$BJ$50000,'Adv. Filter'!$BT$1:$BT$50000,"Ganesh",'Adv. Filter'!$BQ$1:$BQ$50000,$C770,'Adv. Filter'!$BH$1:$BH$50000,"Bank",'Adv. Filter'!$BO$1:$BO$50000,'Adv. Filter'!$A$14,'Adv. Filter'!$BO$1:$BO$50000,'Adv. Filter'!$B$14)</f>
        <v>0</v>
      </c>
      <c r="AE770" s="277"/>
      <c r="AF770" s="277"/>
      <c r="AG770" s="277"/>
      <c r="AH770" s="277"/>
      <c r="AI770" s="277"/>
      <c r="AJ770" s="277"/>
      <c r="AK770" s="277"/>
      <c r="AL770" s="277"/>
      <c r="AM770" s="278"/>
      <c r="AN770" s="276">
        <f t="shared" si="26"/>
        <v>0</v>
      </c>
      <c r="AO770" s="277"/>
      <c r="AP770" s="277"/>
      <c r="AQ770" s="277"/>
      <c r="AR770" s="277"/>
      <c r="AS770" s="277"/>
      <c r="AT770" s="277"/>
      <c r="AU770" s="277"/>
      <c r="AV770" s="277"/>
      <c r="AW770" s="278"/>
      <c r="AX770" s="45"/>
      <c r="AY770" s="293" t="s">
        <v>59</v>
      </c>
      <c r="AZ770" s="294"/>
      <c r="BA770" s="294"/>
      <c r="BB770" s="294"/>
      <c r="BC770" s="294"/>
      <c r="BD770" s="294"/>
      <c r="BE770" s="294"/>
      <c r="BF770" s="294"/>
      <c r="BG770" s="294"/>
      <c r="BH770" s="294"/>
      <c r="BI770" s="294"/>
      <c r="BJ770" s="294"/>
      <c r="BK770" s="294"/>
      <c r="BL770" s="294"/>
      <c r="BM770" s="294"/>
      <c r="BN770" s="294"/>
      <c r="BO770" s="295"/>
      <c r="BP770" s="276">
        <f>SUMIFS('Adv. Filter'!$BJ$1:$BJ$50000,'Adv. Filter'!$BT$1:$BT$50000,"Ganesh",'Adv. Filter'!$BQ$1:$BQ$50000,$AY770,'Adv. Filter'!$BH$1:$BH$50000,"Cash",'Adv. Filter'!$BO$1:$BO$50000,"&lt;"&amp;'Adv. Filter'!$A$15)</f>
        <v>0</v>
      </c>
      <c r="BQ770" s="277"/>
      <c r="BR770" s="277"/>
      <c r="BS770" s="277"/>
      <c r="BT770" s="277"/>
      <c r="BU770" s="277"/>
      <c r="BV770" s="277"/>
      <c r="BW770" s="277"/>
      <c r="BX770" s="277"/>
      <c r="BY770" s="278"/>
      <c r="BZ770" s="276">
        <f>SUMIFS('Adv. Filter'!$BJ$1:$BJ$50000,'Adv. Filter'!$BT$1:$BT$50000,"Ganesh",'Adv. Filter'!$BQ$1:$BQ$50000,$AY770,'Adv. Filter'!$BH$1:$BH$50000,"Bank",'Adv. Filter'!$BO$1:$BO$50000,"&lt;"&amp;'Adv. Filter'!$A$15)</f>
        <v>0</v>
      </c>
      <c r="CA770" s="277"/>
      <c r="CB770" s="277"/>
      <c r="CC770" s="277"/>
      <c r="CD770" s="277"/>
      <c r="CE770" s="277"/>
      <c r="CF770" s="277"/>
      <c r="CG770" s="277"/>
      <c r="CH770" s="277"/>
      <c r="CI770" s="278"/>
      <c r="CJ770" s="276">
        <f t="shared" si="27"/>
        <v>0</v>
      </c>
      <c r="CK770" s="277"/>
      <c r="CL770" s="277"/>
      <c r="CM770" s="277"/>
      <c r="CN770" s="277"/>
      <c r="CO770" s="277"/>
      <c r="CP770" s="277"/>
      <c r="CQ770" s="277"/>
      <c r="CR770" s="277"/>
      <c r="CS770" s="278"/>
      <c r="CT770" s="44"/>
      <c r="CU770" s="44"/>
      <c r="CV770" s="44"/>
      <c r="CW770" s="44"/>
      <c r="CX770" s="44"/>
      <c r="CY770" s="44"/>
      <c r="CZ770" s="44"/>
    </row>
    <row r="771" spans="1:104" hidden="1">
      <c r="C771" s="308" t="s">
        <v>115</v>
      </c>
      <c r="D771" s="309"/>
      <c r="E771" s="309"/>
      <c r="F771" s="309"/>
      <c r="G771" s="309"/>
      <c r="H771" s="309"/>
      <c r="I771" s="309"/>
      <c r="J771" s="309"/>
      <c r="K771" s="309"/>
      <c r="L771" s="309"/>
      <c r="M771" s="309"/>
      <c r="N771" s="309"/>
      <c r="O771" s="309"/>
      <c r="P771" s="309"/>
      <c r="Q771" s="309"/>
      <c r="R771" s="309"/>
      <c r="S771" s="310"/>
      <c r="T771" s="267">
        <f>SUMIFS('Adv. Filter'!$BJ$1:$BJ$50000,'Adv. Filter'!$BT$1:$BT$50000,"Ganesh",'Adv. Filter'!$BQ$1:$BQ$50000,$C770,'Adv. Filter'!$BH$1:$BH$50000,"Cash",'Adv. Filter'!$BO$1:$BO$50000,'Adv. Filter'!$A$14,'Adv. Filter'!$BO$1:$BO$50000,'Adv. Filter'!$B$14,'Adv. Filter'!$BP$1:$BP$50000,"Project")</f>
        <v>0</v>
      </c>
      <c r="U771" s="268"/>
      <c r="V771" s="268"/>
      <c r="W771" s="268"/>
      <c r="X771" s="268"/>
      <c r="Y771" s="268"/>
      <c r="Z771" s="268"/>
      <c r="AA771" s="268"/>
      <c r="AB771" s="268"/>
      <c r="AC771" s="269"/>
      <c r="AD771" s="267">
        <f>SUMIFS('Adv. Filter'!$BJ$1:$BJ$50000,'Adv. Filter'!$BT$1:$BT$50000,"Ganesh",'Adv. Filter'!$BQ$1:$BQ$50000,$C770,'Adv. Filter'!$BH$1:$BH$50000,"Bank",'Adv. Filter'!$BO$1:$BO$50000,'Adv. Filter'!$A$14,'Adv. Filter'!$BO$1:$BO$50000,'Adv. Filter'!$B$14,'Adv. Filter'!$BP$1:$BP$50000,"Project")</f>
        <v>0</v>
      </c>
      <c r="AE771" s="268"/>
      <c r="AF771" s="268"/>
      <c r="AG771" s="268"/>
      <c r="AH771" s="268"/>
      <c r="AI771" s="268"/>
      <c r="AJ771" s="268"/>
      <c r="AK771" s="268"/>
      <c r="AL771" s="268"/>
      <c r="AM771" s="269"/>
      <c r="AN771" s="267">
        <f t="shared" si="26"/>
        <v>0</v>
      </c>
      <c r="AO771" s="268"/>
      <c r="AP771" s="268"/>
      <c r="AQ771" s="268"/>
      <c r="AR771" s="268"/>
      <c r="AS771" s="268"/>
      <c r="AT771" s="268"/>
      <c r="AU771" s="268"/>
      <c r="AV771" s="268"/>
      <c r="AW771" s="269"/>
      <c r="AX771" s="22"/>
      <c r="AY771" s="308" t="s">
        <v>115</v>
      </c>
      <c r="AZ771" s="309"/>
      <c r="BA771" s="309"/>
      <c r="BB771" s="309"/>
      <c r="BC771" s="309"/>
      <c r="BD771" s="309"/>
      <c r="BE771" s="309"/>
      <c r="BF771" s="309"/>
      <c r="BG771" s="309"/>
      <c r="BH771" s="309"/>
      <c r="BI771" s="309"/>
      <c r="BJ771" s="309"/>
      <c r="BK771" s="309"/>
      <c r="BL771" s="309"/>
      <c r="BM771" s="309"/>
      <c r="BN771" s="309"/>
      <c r="BO771" s="310"/>
      <c r="BP771" s="267">
        <f>SUMIFS('Adv. Filter'!$BJ$1:$BJ$50000,'Adv. Filter'!$BT$1:$BT$50000,"Ganesh",'Adv. Filter'!$BQ$1:$BQ$50000,$AY770,'Adv. Filter'!$BH$1:$BH$50000,"Cash",'Adv. Filter'!$BO$1:$BO$50000,"&lt;"&amp;'Adv. Filter'!$A$15,'Adv. Filter'!$BP$1:$BP$50000,"Project")</f>
        <v>0</v>
      </c>
      <c r="BQ771" s="268"/>
      <c r="BR771" s="268"/>
      <c r="BS771" s="268"/>
      <c r="BT771" s="268"/>
      <c r="BU771" s="268"/>
      <c r="BV771" s="268"/>
      <c r="BW771" s="268"/>
      <c r="BX771" s="268"/>
      <c r="BY771" s="269"/>
      <c r="BZ771" s="267">
        <f>SUMIFS('Adv. Filter'!$BJ$1:$BJ$50000,'Adv. Filter'!$BT$1:$BT$50000,"Ganesh",'Adv. Filter'!$BQ$1:$BQ$50000,$AY770,'Adv. Filter'!$BH$1:$BH$50000,"Bank",'Adv. Filter'!$BO$1:$BO$50000,"&lt;"&amp;'Adv. Filter'!$A$15,'Adv. Filter'!$BP$1:$BP$50000,"Project")</f>
        <v>0</v>
      </c>
      <c r="CA771" s="268"/>
      <c r="CB771" s="268"/>
      <c r="CC771" s="268"/>
      <c r="CD771" s="268"/>
      <c r="CE771" s="268"/>
      <c r="CF771" s="268"/>
      <c r="CG771" s="268"/>
      <c r="CH771" s="268"/>
      <c r="CI771" s="269"/>
      <c r="CJ771" s="267">
        <f t="shared" si="27"/>
        <v>0</v>
      </c>
      <c r="CK771" s="268"/>
      <c r="CL771" s="268"/>
      <c r="CM771" s="268"/>
      <c r="CN771" s="268"/>
      <c r="CO771" s="268"/>
      <c r="CP771" s="268"/>
      <c r="CQ771" s="268"/>
      <c r="CR771" s="268"/>
      <c r="CS771" s="269"/>
    </row>
    <row r="772" spans="1:104" hidden="1">
      <c r="C772" s="308" t="s">
        <v>510</v>
      </c>
      <c r="D772" s="309"/>
      <c r="E772" s="309"/>
      <c r="F772" s="309"/>
      <c r="G772" s="309"/>
      <c r="H772" s="309"/>
      <c r="I772" s="309"/>
      <c r="J772" s="309"/>
      <c r="K772" s="309"/>
      <c r="L772" s="309"/>
      <c r="M772" s="309"/>
      <c r="N772" s="309"/>
      <c r="O772" s="309"/>
      <c r="P772" s="309"/>
      <c r="Q772" s="309"/>
      <c r="R772" s="309"/>
      <c r="S772" s="310"/>
      <c r="T772" s="267">
        <v>0</v>
      </c>
      <c r="U772" s="268"/>
      <c r="V772" s="268"/>
      <c r="W772" s="268"/>
      <c r="X772" s="268"/>
      <c r="Y772" s="268"/>
      <c r="Z772" s="268"/>
      <c r="AA772" s="268"/>
      <c r="AB772" s="268"/>
      <c r="AC772" s="269"/>
      <c r="AD772" s="267">
        <v>0</v>
      </c>
      <c r="AE772" s="268"/>
      <c r="AF772" s="268"/>
      <c r="AG772" s="268"/>
      <c r="AH772" s="268"/>
      <c r="AI772" s="268"/>
      <c r="AJ772" s="268"/>
      <c r="AK772" s="268"/>
      <c r="AL772" s="268"/>
      <c r="AM772" s="269"/>
      <c r="AN772" s="267">
        <f t="shared" si="26"/>
        <v>0</v>
      </c>
      <c r="AO772" s="268"/>
      <c r="AP772" s="268"/>
      <c r="AQ772" s="268"/>
      <c r="AR772" s="268"/>
      <c r="AS772" s="268"/>
      <c r="AT772" s="268"/>
      <c r="AU772" s="268"/>
      <c r="AV772" s="268"/>
      <c r="AW772" s="269"/>
      <c r="AX772" s="22"/>
      <c r="AY772" s="308" t="s">
        <v>510</v>
      </c>
      <c r="AZ772" s="309"/>
      <c r="BA772" s="309"/>
      <c r="BB772" s="309"/>
      <c r="BC772" s="309"/>
      <c r="BD772" s="309"/>
      <c r="BE772" s="309"/>
      <c r="BF772" s="309"/>
      <c r="BG772" s="309"/>
      <c r="BH772" s="309"/>
      <c r="BI772" s="309"/>
      <c r="BJ772" s="309"/>
      <c r="BK772" s="309"/>
      <c r="BL772" s="309"/>
      <c r="BM772" s="309"/>
      <c r="BN772" s="309"/>
      <c r="BO772" s="310"/>
      <c r="BP772" s="267"/>
      <c r="BQ772" s="268"/>
      <c r="BR772" s="268"/>
      <c r="BS772" s="268"/>
      <c r="BT772" s="268"/>
      <c r="BU772" s="268"/>
      <c r="BV772" s="268"/>
      <c r="BW772" s="268"/>
      <c r="BX772" s="268"/>
      <c r="BY772" s="269"/>
      <c r="BZ772" s="267"/>
      <c r="CA772" s="268"/>
      <c r="CB772" s="268"/>
      <c r="CC772" s="268"/>
      <c r="CD772" s="268"/>
      <c r="CE772" s="268"/>
      <c r="CF772" s="268"/>
      <c r="CG772" s="268"/>
      <c r="CH772" s="268"/>
      <c r="CI772" s="269"/>
      <c r="CJ772" s="267">
        <f t="shared" si="27"/>
        <v>0</v>
      </c>
      <c r="CK772" s="268"/>
      <c r="CL772" s="268"/>
      <c r="CM772" s="268"/>
      <c r="CN772" s="268"/>
      <c r="CO772" s="268"/>
      <c r="CP772" s="268"/>
      <c r="CQ772" s="268"/>
      <c r="CR772" s="268"/>
      <c r="CS772" s="269"/>
    </row>
    <row r="773" spans="1:104" hidden="1">
      <c r="C773" s="43"/>
      <c r="D773" s="36" t="str">
        <f>IF(AN770=0,C770&amp;" -","")</f>
        <v>Canara -</v>
      </c>
      <c r="E773" s="42"/>
      <c r="F773" s="42"/>
      <c r="G773" s="42"/>
      <c r="H773" s="42"/>
      <c r="I773" s="42"/>
      <c r="J773" s="42"/>
      <c r="K773" s="42"/>
      <c r="L773" s="42"/>
      <c r="M773" s="42"/>
      <c r="N773" s="42"/>
      <c r="O773" s="42"/>
      <c r="P773" s="1"/>
      <c r="Q773" s="42"/>
      <c r="R773" s="41" t="s">
        <v>275</v>
      </c>
      <c r="S773" s="40"/>
      <c r="T773" s="267">
        <f>SUMIFS('Adv. Filter'!$CH$1:$CH$50000,'Adv. Filter'!$CD$1:$CD$50000,"Ganesh",'Adv. Filter'!$CE$1:$CE$50000,$C770,'Adv. Filter'!$CC$1:$CC$50000,"Suspense",'Adv. Filter'!$CF$1:$CF$50000,"Cash")</f>
        <v>0</v>
      </c>
      <c r="U773" s="268"/>
      <c r="V773" s="268"/>
      <c r="W773" s="268"/>
      <c r="X773" s="268"/>
      <c r="Y773" s="268"/>
      <c r="Z773" s="268"/>
      <c r="AA773" s="268"/>
      <c r="AB773" s="268"/>
      <c r="AC773" s="269"/>
      <c r="AD773" s="267">
        <f>SUMIFS('Adv. Filter'!$CH$1:$CH$50000,'Adv. Filter'!$CD$1:$CD$50000,"Ganesh",'Adv. Filter'!$CE$1:$CE$50000,$C770,'Adv. Filter'!$CC$1:$CC$50000,"Suspense",'Adv. Filter'!$CF$1:$CF$50000,"Bank")</f>
        <v>0</v>
      </c>
      <c r="AE773" s="268"/>
      <c r="AF773" s="268"/>
      <c r="AG773" s="268"/>
      <c r="AH773" s="268"/>
      <c r="AI773" s="268"/>
      <c r="AJ773" s="268"/>
      <c r="AK773" s="268"/>
      <c r="AL773" s="268"/>
      <c r="AM773" s="269"/>
      <c r="AN773" s="267">
        <f t="shared" si="26"/>
        <v>0</v>
      </c>
      <c r="AO773" s="268"/>
      <c r="AP773" s="268"/>
      <c r="AQ773" s="268"/>
      <c r="AR773" s="268"/>
      <c r="AS773" s="268"/>
      <c r="AT773" s="268"/>
      <c r="AU773" s="268"/>
      <c r="AV773" s="268"/>
      <c r="AW773" s="269"/>
      <c r="AX773" s="22"/>
      <c r="AY773" s="43"/>
      <c r="AZ773" s="36" t="str">
        <f>IF(CJ770=0,AY770&amp;" -","")</f>
        <v>Canara -</v>
      </c>
      <c r="BA773" s="42"/>
      <c r="BB773" s="42"/>
      <c r="BC773" s="42"/>
      <c r="BD773" s="42"/>
      <c r="BE773" s="42"/>
      <c r="BF773" s="42"/>
      <c r="BG773" s="42"/>
      <c r="BH773" s="42"/>
      <c r="BI773" s="42"/>
      <c r="BJ773" s="42"/>
      <c r="BK773" s="42"/>
      <c r="BL773" s="1"/>
      <c r="BM773" s="42"/>
      <c r="BN773" s="41" t="s">
        <v>275</v>
      </c>
      <c r="BO773" s="40"/>
      <c r="BP773" s="267"/>
      <c r="BQ773" s="268"/>
      <c r="BR773" s="268"/>
      <c r="BS773" s="268"/>
      <c r="BT773" s="268"/>
      <c r="BU773" s="268"/>
      <c r="BV773" s="268"/>
      <c r="BW773" s="268"/>
      <c r="BX773" s="268"/>
      <c r="BY773" s="269"/>
      <c r="BZ773" s="267"/>
      <c r="CA773" s="268"/>
      <c r="CB773" s="268"/>
      <c r="CC773" s="268"/>
      <c r="CD773" s="268"/>
      <c r="CE773" s="268"/>
      <c r="CF773" s="268"/>
      <c r="CG773" s="268"/>
      <c r="CH773" s="268"/>
      <c r="CI773" s="269"/>
      <c r="CJ773" s="267">
        <f t="shared" si="27"/>
        <v>0</v>
      </c>
      <c r="CK773" s="268"/>
      <c r="CL773" s="268"/>
      <c r="CM773" s="268"/>
      <c r="CN773" s="268"/>
      <c r="CO773" s="268"/>
      <c r="CP773" s="268"/>
      <c r="CQ773" s="268"/>
      <c r="CR773" s="268"/>
      <c r="CS773" s="269"/>
    </row>
    <row r="774" spans="1:104" hidden="1">
      <c r="A774" s="44"/>
      <c r="B774" s="44"/>
      <c r="C774" s="293" t="s">
        <v>70</v>
      </c>
      <c r="D774" s="294"/>
      <c r="E774" s="294"/>
      <c r="F774" s="294"/>
      <c r="G774" s="294"/>
      <c r="H774" s="294"/>
      <c r="I774" s="294"/>
      <c r="J774" s="294"/>
      <c r="K774" s="294"/>
      <c r="L774" s="294"/>
      <c r="M774" s="294"/>
      <c r="N774" s="294"/>
      <c r="O774" s="294"/>
      <c r="P774" s="294"/>
      <c r="Q774" s="294"/>
      <c r="R774" s="294"/>
      <c r="S774" s="295"/>
      <c r="T774" s="276">
        <f>SUMIFS('Adv. Filter'!$BJ$1:$BJ$50000,'Adv. Filter'!$BT$1:$BT$50000,"Ganesh",'Adv. Filter'!$BQ$1:$BQ$50000,$C774,'Adv. Filter'!$BH$1:$BH$50000,"Cash",'Adv. Filter'!$BO$1:$BO$50000,'Adv. Filter'!$A$14,'Adv. Filter'!$BO$1:$BO$50000,'Adv. Filter'!$B$14)</f>
        <v>0</v>
      </c>
      <c r="U774" s="277"/>
      <c r="V774" s="277"/>
      <c r="W774" s="277"/>
      <c r="X774" s="277"/>
      <c r="Y774" s="277"/>
      <c r="Z774" s="277"/>
      <c r="AA774" s="277"/>
      <c r="AB774" s="277"/>
      <c r="AC774" s="278"/>
      <c r="AD774" s="276">
        <f>SUMIFS('Adv. Filter'!$BJ$1:$BJ$50000,'Adv. Filter'!$BT$1:$BT$50000,"Ganesh",'Adv. Filter'!$BQ$1:$BQ$50000,$C774,'Adv. Filter'!$BH$1:$BH$50000,"Bank",'Adv. Filter'!$BO$1:$BO$50000,'Adv. Filter'!$A$14,'Adv. Filter'!$BO$1:$BO$50000,'Adv. Filter'!$B$14)</f>
        <v>0</v>
      </c>
      <c r="AE774" s="277"/>
      <c r="AF774" s="277"/>
      <c r="AG774" s="277"/>
      <c r="AH774" s="277"/>
      <c r="AI774" s="277"/>
      <c r="AJ774" s="277"/>
      <c r="AK774" s="277"/>
      <c r="AL774" s="277"/>
      <c r="AM774" s="278"/>
      <c r="AN774" s="276">
        <f t="shared" si="26"/>
        <v>0</v>
      </c>
      <c r="AO774" s="277"/>
      <c r="AP774" s="277"/>
      <c r="AQ774" s="277"/>
      <c r="AR774" s="277"/>
      <c r="AS774" s="277"/>
      <c r="AT774" s="277"/>
      <c r="AU774" s="277"/>
      <c r="AV774" s="277"/>
      <c r="AW774" s="278"/>
      <c r="AX774" s="45"/>
      <c r="AY774" s="293" t="s">
        <v>70</v>
      </c>
      <c r="AZ774" s="294"/>
      <c r="BA774" s="294"/>
      <c r="BB774" s="294"/>
      <c r="BC774" s="294"/>
      <c r="BD774" s="294"/>
      <c r="BE774" s="294"/>
      <c r="BF774" s="294"/>
      <c r="BG774" s="294"/>
      <c r="BH774" s="294"/>
      <c r="BI774" s="294"/>
      <c r="BJ774" s="294"/>
      <c r="BK774" s="294"/>
      <c r="BL774" s="294"/>
      <c r="BM774" s="294"/>
      <c r="BN774" s="294"/>
      <c r="BO774" s="295"/>
      <c r="BP774" s="276">
        <f>SUMIFS('Adv. Filter'!$BJ$1:$BJ$50000,'Adv. Filter'!$BT$1:$BT$50000,"Ganesh",'Adv. Filter'!$BQ$1:$BQ$50000,$AY774,'Adv. Filter'!$BH$1:$BH$50000,"Cash",'Adv. Filter'!$BO$1:$BO$50000,"&lt;"&amp;'Adv. Filter'!$A$15)</f>
        <v>0</v>
      </c>
      <c r="BQ774" s="277"/>
      <c r="BR774" s="277"/>
      <c r="BS774" s="277"/>
      <c r="BT774" s="277"/>
      <c r="BU774" s="277"/>
      <c r="BV774" s="277"/>
      <c r="BW774" s="277"/>
      <c r="BX774" s="277"/>
      <c r="BY774" s="278"/>
      <c r="BZ774" s="276">
        <f>SUMIFS('Adv. Filter'!$BJ$1:$BJ$50000,'Adv. Filter'!$BT$1:$BT$50000,"Ganesh",'Adv. Filter'!$BQ$1:$BQ$50000,$AY774,'Adv. Filter'!$BH$1:$BH$50000,"Bank",'Adv. Filter'!$BO$1:$BO$50000,"&lt;"&amp;'Adv. Filter'!$A$15)</f>
        <v>0</v>
      </c>
      <c r="CA774" s="277"/>
      <c r="CB774" s="277"/>
      <c r="CC774" s="277"/>
      <c r="CD774" s="277"/>
      <c r="CE774" s="277"/>
      <c r="CF774" s="277"/>
      <c r="CG774" s="277"/>
      <c r="CH774" s="277"/>
      <c r="CI774" s="278"/>
      <c r="CJ774" s="276">
        <f t="shared" si="27"/>
        <v>0</v>
      </c>
      <c r="CK774" s="277"/>
      <c r="CL774" s="277"/>
      <c r="CM774" s="277"/>
      <c r="CN774" s="277"/>
      <c r="CO774" s="277"/>
      <c r="CP774" s="277"/>
      <c r="CQ774" s="277"/>
      <c r="CR774" s="277"/>
      <c r="CS774" s="278"/>
      <c r="CT774" s="44"/>
      <c r="CU774" s="44"/>
      <c r="CV774" s="44"/>
      <c r="CW774" s="44"/>
      <c r="CX774" s="44"/>
      <c r="CY774" s="44"/>
      <c r="CZ774" s="44"/>
    </row>
    <row r="775" spans="1:104" hidden="1">
      <c r="C775" s="308" t="s">
        <v>115</v>
      </c>
      <c r="D775" s="309"/>
      <c r="E775" s="309"/>
      <c r="F775" s="309"/>
      <c r="G775" s="309"/>
      <c r="H775" s="309"/>
      <c r="I775" s="309"/>
      <c r="J775" s="309"/>
      <c r="K775" s="309"/>
      <c r="L775" s="309"/>
      <c r="M775" s="309"/>
      <c r="N775" s="309"/>
      <c r="O775" s="309"/>
      <c r="P775" s="309"/>
      <c r="Q775" s="309"/>
      <c r="R775" s="309"/>
      <c r="S775" s="310"/>
      <c r="T775" s="267">
        <f>SUMIFS('Adv. Filter'!$BJ$1:$BJ$50000,'Adv. Filter'!$BT$1:$BT$50000,"Ganesh",'Adv. Filter'!$BQ$1:$BQ$50000,$C774,'Adv. Filter'!$BH$1:$BH$50000,"Cash",'Adv. Filter'!$BO$1:$BO$50000,'Adv. Filter'!$A$14,'Adv. Filter'!$BO$1:$BO$50000,'Adv. Filter'!$B$14,'Adv. Filter'!$BP$1:$BP$50000,"Project")</f>
        <v>0</v>
      </c>
      <c r="U775" s="268"/>
      <c r="V775" s="268"/>
      <c r="W775" s="268"/>
      <c r="X775" s="268"/>
      <c r="Y775" s="268"/>
      <c r="Z775" s="268"/>
      <c r="AA775" s="268"/>
      <c r="AB775" s="268"/>
      <c r="AC775" s="269"/>
      <c r="AD775" s="267">
        <f>SUMIFS('Adv. Filter'!$BJ$1:$BJ$50000,'Adv. Filter'!$BT$1:$BT$50000,"Ganesh",'Adv. Filter'!$BQ$1:$BQ$50000,$C774,'Adv. Filter'!$BH$1:$BH$50000,"Bank",'Adv. Filter'!$BO$1:$BO$50000,'Adv. Filter'!$A$14,'Adv. Filter'!$BO$1:$BO$50000,'Adv. Filter'!$B$14,'Adv. Filter'!$BP$1:$BP$50000,"Project")</f>
        <v>0</v>
      </c>
      <c r="AE775" s="268"/>
      <c r="AF775" s="268"/>
      <c r="AG775" s="268"/>
      <c r="AH775" s="268"/>
      <c r="AI775" s="268"/>
      <c r="AJ775" s="268"/>
      <c r="AK775" s="268"/>
      <c r="AL775" s="268"/>
      <c r="AM775" s="269"/>
      <c r="AN775" s="267">
        <f t="shared" si="26"/>
        <v>0</v>
      </c>
      <c r="AO775" s="268"/>
      <c r="AP775" s="268"/>
      <c r="AQ775" s="268"/>
      <c r="AR775" s="268"/>
      <c r="AS775" s="268"/>
      <c r="AT775" s="268"/>
      <c r="AU775" s="268"/>
      <c r="AV775" s="268"/>
      <c r="AW775" s="269"/>
      <c r="AX775" s="22"/>
      <c r="AY775" s="308" t="s">
        <v>115</v>
      </c>
      <c r="AZ775" s="309"/>
      <c r="BA775" s="309"/>
      <c r="BB775" s="309"/>
      <c r="BC775" s="309"/>
      <c r="BD775" s="309"/>
      <c r="BE775" s="309"/>
      <c r="BF775" s="309"/>
      <c r="BG775" s="309"/>
      <c r="BH775" s="309"/>
      <c r="BI775" s="309"/>
      <c r="BJ775" s="309"/>
      <c r="BK775" s="309"/>
      <c r="BL775" s="309"/>
      <c r="BM775" s="309"/>
      <c r="BN775" s="309"/>
      <c r="BO775" s="310"/>
      <c r="BP775" s="267">
        <f>SUMIFS('Adv. Filter'!$BJ$1:$BJ$50000,'Adv. Filter'!$BT$1:$BT$50000,"Ganesh",'Adv. Filter'!$BQ$1:$BQ$50000,$AY774,'Adv. Filter'!$BH$1:$BH$50000,"Cash",'Adv. Filter'!$BO$1:$BO$50000,"&lt;"&amp;'Adv. Filter'!$A$15,'Adv. Filter'!$BP$1:$BP$50000,"Project")</f>
        <v>0</v>
      </c>
      <c r="BQ775" s="268"/>
      <c r="BR775" s="268"/>
      <c r="BS775" s="268"/>
      <c r="BT775" s="268"/>
      <c r="BU775" s="268"/>
      <c r="BV775" s="268"/>
      <c r="BW775" s="268"/>
      <c r="BX775" s="268"/>
      <c r="BY775" s="269"/>
      <c r="BZ775" s="267">
        <f>SUMIFS('Adv. Filter'!$BJ$1:$BJ$50000,'Adv. Filter'!$BT$1:$BT$50000,"Ganesh",'Adv. Filter'!$BQ$1:$BQ$50000,$AY774,'Adv. Filter'!$BH$1:$BH$50000,"Bank",'Adv. Filter'!$BO$1:$BO$50000,"&lt;"&amp;'Adv. Filter'!$A$15,'Adv. Filter'!$BP$1:$BP$50000,"Project")</f>
        <v>0</v>
      </c>
      <c r="CA775" s="268"/>
      <c r="CB775" s="268"/>
      <c r="CC775" s="268"/>
      <c r="CD775" s="268"/>
      <c r="CE775" s="268"/>
      <c r="CF775" s="268"/>
      <c r="CG775" s="268"/>
      <c r="CH775" s="268"/>
      <c r="CI775" s="269"/>
      <c r="CJ775" s="267">
        <f t="shared" si="27"/>
        <v>0</v>
      </c>
      <c r="CK775" s="268"/>
      <c r="CL775" s="268"/>
      <c r="CM775" s="268"/>
      <c r="CN775" s="268"/>
      <c r="CO775" s="268"/>
      <c r="CP775" s="268"/>
      <c r="CQ775" s="268"/>
      <c r="CR775" s="268"/>
      <c r="CS775" s="269"/>
    </row>
    <row r="776" spans="1:104" hidden="1">
      <c r="C776" s="308" t="s">
        <v>510</v>
      </c>
      <c r="D776" s="309"/>
      <c r="E776" s="309"/>
      <c r="F776" s="309"/>
      <c r="G776" s="309"/>
      <c r="H776" s="309"/>
      <c r="I776" s="309"/>
      <c r="J776" s="309"/>
      <c r="K776" s="309"/>
      <c r="L776" s="309"/>
      <c r="M776" s="309"/>
      <c r="N776" s="309"/>
      <c r="O776" s="309"/>
      <c r="P776" s="309"/>
      <c r="Q776" s="309"/>
      <c r="R776" s="309"/>
      <c r="S776" s="310"/>
      <c r="T776" s="267">
        <v>0</v>
      </c>
      <c r="U776" s="268"/>
      <c r="V776" s="268"/>
      <c r="W776" s="268"/>
      <c r="X776" s="268"/>
      <c r="Y776" s="268"/>
      <c r="Z776" s="268"/>
      <c r="AA776" s="268"/>
      <c r="AB776" s="268"/>
      <c r="AC776" s="269"/>
      <c r="AD776" s="267">
        <v>0</v>
      </c>
      <c r="AE776" s="268"/>
      <c r="AF776" s="268"/>
      <c r="AG776" s="268"/>
      <c r="AH776" s="268"/>
      <c r="AI776" s="268"/>
      <c r="AJ776" s="268"/>
      <c r="AK776" s="268"/>
      <c r="AL776" s="268"/>
      <c r="AM776" s="269"/>
      <c r="AN776" s="267">
        <f t="shared" si="26"/>
        <v>0</v>
      </c>
      <c r="AO776" s="268"/>
      <c r="AP776" s="268"/>
      <c r="AQ776" s="268"/>
      <c r="AR776" s="268"/>
      <c r="AS776" s="268"/>
      <c r="AT776" s="268"/>
      <c r="AU776" s="268"/>
      <c r="AV776" s="268"/>
      <c r="AW776" s="269"/>
      <c r="AX776" s="22"/>
      <c r="AY776" s="308" t="s">
        <v>510</v>
      </c>
      <c r="AZ776" s="309"/>
      <c r="BA776" s="309"/>
      <c r="BB776" s="309"/>
      <c r="BC776" s="309"/>
      <c r="BD776" s="309"/>
      <c r="BE776" s="309"/>
      <c r="BF776" s="309"/>
      <c r="BG776" s="309"/>
      <c r="BH776" s="309"/>
      <c r="BI776" s="309"/>
      <c r="BJ776" s="309"/>
      <c r="BK776" s="309"/>
      <c r="BL776" s="309"/>
      <c r="BM776" s="309"/>
      <c r="BN776" s="309"/>
      <c r="BO776" s="310"/>
      <c r="BP776" s="267"/>
      <c r="BQ776" s="268"/>
      <c r="BR776" s="268"/>
      <c r="BS776" s="268"/>
      <c r="BT776" s="268"/>
      <c r="BU776" s="268"/>
      <c r="BV776" s="268"/>
      <c r="BW776" s="268"/>
      <c r="BX776" s="268"/>
      <c r="BY776" s="269"/>
      <c r="BZ776" s="267"/>
      <c r="CA776" s="268"/>
      <c r="CB776" s="268"/>
      <c r="CC776" s="268"/>
      <c r="CD776" s="268"/>
      <c r="CE776" s="268"/>
      <c r="CF776" s="268"/>
      <c r="CG776" s="268"/>
      <c r="CH776" s="268"/>
      <c r="CI776" s="269"/>
      <c r="CJ776" s="267">
        <f t="shared" si="27"/>
        <v>0</v>
      </c>
      <c r="CK776" s="268"/>
      <c r="CL776" s="268"/>
      <c r="CM776" s="268"/>
      <c r="CN776" s="268"/>
      <c r="CO776" s="268"/>
      <c r="CP776" s="268"/>
      <c r="CQ776" s="268"/>
      <c r="CR776" s="268"/>
      <c r="CS776" s="269"/>
    </row>
    <row r="777" spans="1:104" hidden="1">
      <c r="C777" s="43"/>
      <c r="D777" s="36" t="str">
        <f>IF(AN774=0,C774&amp;" -","")</f>
        <v>Cosmos -</v>
      </c>
      <c r="E777" s="42"/>
      <c r="F777" s="42"/>
      <c r="G777" s="42"/>
      <c r="H777" s="42"/>
      <c r="I777" s="42"/>
      <c r="J777" s="42"/>
      <c r="K777" s="42"/>
      <c r="L777" s="42"/>
      <c r="M777" s="42"/>
      <c r="N777" s="42"/>
      <c r="O777" s="42"/>
      <c r="P777" s="1"/>
      <c r="Q777" s="42"/>
      <c r="R777" s="41" t="s">
        <v>275</v>
      </c>
      <c r="S777" s="40"/>
      <c r="T777" s="267">
        <f>SUMIFS('Adv. Filter'!$CH$1:$CH$50000,'Adv. Filter'!$CD$1:$CD$50000,"Ganesh",'Adv. Filter'!$CE$1:$CE$50000,$C774,'Adv. Filter'!$CC$1:$CC$50000,"Suspense",'Adv. Filter'!$CF$1:$CF$50000,"Cash")</f>
        <v>0</v>
      </c>
      <c r="U777" s="268"/>
      <c r="V777" s="268"/>
      <c r="W777" s="268"/>
      <c r="X777" s="268"/>
      <c r="Y777" s="268"/>
      <c r="Z777" s="268"/>
      <c r="AA777" s="268"/>
      <c r="AB777" s="268"/>
      <c r="AC777" s="269"/>
      <c r="AD777" s="267">
        <f>SUMIFS('Adv. Filter'!$CH$1:$CH$50000,'Adv. Filter'!$CD$1:$CD$50000,"Ganesh",'Adv. Filter'!$CE$1:$CE$50000,$C774,'Adv. Filter'!$CC$1:$CC$50000,"Suspense",'Adv. Filter'!$CF$1:$CF$50000,"Bank")</f>
        <v>0</v>
      </c>
      <c r="AE777" s="268"/>
      <c r="AF777" s="268"/>
      <c r="AG777" s="268"/>
      <c r="AH777" s="268"/>
      <c r="AI777" s="268"/>
      <c r="AJ777" s="268"/>
      <c r="AK777" s="268"/>
      <c r="AL777" s="268"/>
      <c r="AM777" s="269"/>
      <c r="AN777" s="267">
        <f t="shared" si="26"/>
        <v>0</v>
      </c>
      <c r="AO777" s="268"/>
      <c r="AP777" s="268"/>
      <c r="AQ777" s="268"/>
      <c r="AR777" s="268"/>
      <c r="AS777" s="268"/>
      <c r="AT777" s="268"/>
      <c r="AU777" s="268"/>
      <c r="AV777" s="268"/>
      <c r="AW777" s="269"/>
      <c r="AX777" s="22"/>
      <c r="AY777" s="43"/>
      <c r="AZ777" s="36" t="str">
        <f>IF(CJ774=0,AY774&amp;" -","")</f>
        <v>Cosmos -</v>
      </c>
      <c r="BA777" s="42"/>
      <c r="BB777" s="42"/>
      <c r="BC777" s="42"/>
      <c r="BD777" s="42"/>
      <c r="BE777" s="42"/>
      <c r="BF777" s="42"/>
      <c r="BG777" s="42"/>
      <c r="BH777" s="42"/>
      <c r="BI777" s="42"/>
      <c r="BJ777" s="42"/>
      <c r="BK777" s="42"/>
      <c r="BL777" s="1"/>
      <c r="BM777" s="42"/>
      <c r="BN777" s="41" t="s">
        <v>275</v>
      </c>
      <c r="BO777" s="40"/>
      <c r="BP777" s="267"/>
      <c r="BQ777" s="268"/>
      <c r="BR777" s="268"/>
      <c r="BS777" s="268"/>
      <c r="BT777" s="268"/>
      <c r="BU777" s="268"/>
      <c r="BV777" s="268"/>
      <c r="BW777" s="268"/>
      <c r="BX777" s="268"/>
      <c r="BY777" s="269"/>
      <c r="BZ777" s="267"/>
      <c r="CA777" s="268"/>
      <c r="CB777" s="268"/>
      <c r="CC777" s="268"/>
      <c r="CD777" s="268"/>
      <c r="CE777" s="268"/>
      <c r="CF777" s="268"/>
      <c r="CG777" s="268"/>
      <c r="CH777" s="268"/>
      <c r="CI777" s="269"/>
      <c r="CJ777" s="267">
        <f t="shared" si="27"/>
        <v>0</v>
      </c>
      <c r="CK777" s="268"/>
      <c r="CL777" s="268"/>
      <c r="CM777" s="268"/>
      <c r="CN777" s="268"/>
      <c r="CO777" s="268"/>
      <c r="CP777" s="268"/>
      <c r="CQ777" s="268"/>
      <c r="CR777" s="268"/>
      <c r="CS777" s="269"/>
    </row>
    <row r="778" spans="1:104" hidden="1">
      <c r="A778" s="44"/>
      <c r="B778" s="44"/>
      <c r="C778" s="293" t="s">
        <v>77</v>
      </c>
      <c r="D778" s="294"/>
      <c r="E778" s="294"/>
      <c r="F778" s="294"/>
      <c r="G778" s="294"/>
      <c r="H778" s="294"/>
      <c r="I778" s="294"/>
      <c r="J778" s="294"/>
      <c r="K778" s="294"/>
      <c r="L778" s="294"/>
      <c r="M778" s="294"/>
      <c r="N778" s="294"/>
      <c r="O778" s="294"/>
      <c r="P778" s="294"/>
      <c r="Q778" s="294"/>
      <c r="R778" s="294"/>
      <c r="S778" s="295"/>
      <c r="T778" s="276">
        <f>SUMIFS('Adv. Filter'!$BJ$1:$BJ$50000,'Adv. Filter'!$BT$1:$BT$50000,"Ganesh",'Adv. Filter'!$BQ$1:$BQ$50000,$C778,'Adv. Filter'!$BH$1:$BH$50000,"Cash",'Adv. Filter'!$BO$1:$BO$50000,'Adv. Filter'!$A$14,'Adv. Filter'!$BO$1:$BO$50000,'Adv. Filter'!$B$14)</f>
        <v>0</v>
      </c>
      <c r="U778" s="277"/>
      <c r="V778" s="277"/>
      <c r="W778" s="277"/>
      <c r="X778" s="277"/>
      <c r="Y778" s="277"/>
      <c r="Z778" s="277"/>
      <c r="AA778" s="277"/>
      <c r="AB778" s="277"/>
      <c r="AC778" s="278"/>
      <c r="AD778" s="276">
        <f>SUMIFS('Adv. Filter'!$BJ$1:$BJ$50000,'Adv. Filter'!$BT$1:$BT$50000,"Ganesh",'Adv. Filter'!$BQ$1:$BQ$50000,$C778,'Adv. Filter'!$BH$1:$BH$50000,"Bank",'Adv. Filter'!$BO$1:$BO$50000,'Adv. Filter'!$A$14,'Adv. Filter'!$BO$1:$BO$50000,'Adv. Filter'!$B$14)</f>
        <v>0</v>
      </c>
      <c r="AE778" s="277"/>
      <c r="AF778" s="277"/>
      <c r="AG778" s="277"/>
      <c r="AH778" s="277"/>
      <c r="AI778" s="277"/>
      <c r="AJ778" s="277"/>
      <c r="AK778" s="277"/>
      <c r="AL778" s="277"/>
      <c r="AM778" s="278"/>
      <c r="AN778" s="276">
        <f t="shared" si="26"/>
        <v>0</v>
      </c>
      <c r="AO778" s="277"/>
      <c r="AP778" s="277"/>
      <c r="AQ778" s="277"/>
      <c r="AR778" s="277"/>
      <c r="AS778" s="277"/>
      <c r="AT778" s="277"/>
      <c r="AU778" s="277"/>
      <c r="AV778" s="277"/>
      <c r="AW778" s="278"/>
      <c r="AX778" s="45"/>
      <c r="AY778" s="293" t="s">
        <v>77</v>
      </c>
      <c r="AZ778" s="294"/>
      <c r="BA778" s="294"/>
      <c r="BB778" s="294"/>
      <c r="BC778" s="294"/>
      <c r="BD778" s="294"/>
      <c r="BE778" s="294"/>
      <c r="BF778" s="294"/>
      <c r="BG778" s="294"/>
      <c r="BH778" s="294"/>
      <c r="BI778" s="294"/>
      <c r="BJ778" s="294"/>
      <c r="BK778" s="294"/>
      <c r="BL778" s="294"/>
      <c r="BM778" s="294"/>
      <c r="BN778" s="294"/>
      <c r="BO778" s="295"/>
      <c r="BP778" s="276">
        <f>SUMIFS('Adv. Filter'!$BJ$1:$BJ$50000,'Adv. Filter'!$BT$1:$BT$50000,"Ganesh",'Adv. Filter'!$BQ$1:$BQ$50000,$AY778,'Adv. Filter'!$BH$1:$BH$50000,"Cash",'Adv. Filter'!$BO$1:$BO$50000,"&lt;"&amp;'Adv. Filter'!$A$15)</f>
        <v>0</v>
      </c>
      <c r="BQ778" s="277"/>
      <c r="BR778" s="277"/>
      <c r="BS778" s="277"/>
      <c r="BT778" s="277"/>
      <c r="BU778" s="277"/>
      <c r="BV778" s="277"/>
      <c r="BW778" s="277"/>
      <c r="BX778" s="277"/>
      <c r="BY778" s="278"/>
      <c r="BZ778" s="276">
        <f>SUMIFS('Adv. Filter'!$BJ$1:$BJ$50000,'Adv. Filter'!$BT$1:$BT$50000,"Ganesh",'Adv. Filter'!$BQ$1:$BQ$50000,$AY778,'Adv. Filter'!$BH$1:$BH$50000,"Bank",'Adv. Filter'!$BO$1:$BO$50000,"&lt;"&amp;'Adv. Filter'!$A$15)</f>
        <v>0</v>
      </c>
      <c r="CA778" s="277"/>
      <c r="CB778" s="277"/>
      <c r="CC778" s="277"/>
      <c r="CD778" s="277"/>
      <c r="CE778" s="277"/>
      <c r="CF778" s="277"/>
      <c r="CG778" s="277"/>
      <c r="CH778" s="277"/>
      <c r="CI778" s="278"/>
      <c r="CJ778" s="276">
        <f t="shared" si="27"/>
        <v>0</v>
      </c>
      <c r="CK778" s="277"/>
      <c r="CL778" s="277"/>
      <c r="CM778" s="277"/>
      <c r="CN778" s="277"/>
      <c r="CO778" s="277"/>
      <c r="CP778" s="277"/>
      <c r="CQ778" s="277"/>
      <c r="CR778" s="277"/>
      <c r="CS778" s="278"/>
      <c r="CT778" s="44"/>
      <c r="CU778" s="44"/>
      <c r="CV778" s="44"/>
      <c r="CW778" s="44"/>
      <c r="CX778" s="44"/>
      <c r="CY778" s="44"/>
      <c r="CZ778" s="44"/>
    </row>
    <row r="779" spans="1:104" hidden="1">
      <c r="C779" s="308" t="s">
        <v>115</v>
      </c>
      <c r="D779" s="309"/>
      <c r="E779" s="309"/>
      <c r="F779" s="309"/>
      <c r="G779" s="309"/>
      <c r="H779" s="309"/>
      <c r="I779" s="309"/>
      <c r="J779" s="309"/>
      <c r="K779" s="309"/>
      <c r="L779" s="309"/>
      <c r="M779" s="309"/>
      <c r="N779" s="309"/>
      <c r="O779" s="309"/>
      <c r="P779" s="309"/>
      <c r="Q779" s="309"/>
      <c r="R779" s="309"/>
      <c r="S779" s="310"/>
      <c r="T779" s="267">
        <f>SUMIFS('Adv. Filter'!$BJ$1:$BJ$50000,'Adv. Filter'!$BT$1:$BT$50000,"Ganesh",'Adv. Filter'!$BQ$1:$BQ$50000,$C778,'Adv. Filter'!$BH$1:$BH$50000,"Cash",'Adv. Filter'!$BO$1:$BO$50000,'Adv. Filter'!$A$14,'Adv. Filter'!$BO$1:$BO$50000,'Adv. Filter'!$B$14,'Adv. Filter'!$BP$1:$BP$50000,"Project")</f>
        <v>0</v>
      </c>
      <c r="U779" s="268"/>
      <c r="V779" s="268"/>
      <c r="W779" s="268"/>
      <c r="X779" s="268"/>
      <c r="Y779" s="268"/>
      <c r="Z779" s="268"/>
      <c r="AA779" s="268"/>
      <c r="AB779" s="268"/>
      <c r="AC779" s="269"/>
      <c r="AD779" s="267">
        <f>SUMIFS('Adv. Filter'!$BJ$1:$BJ$50000,'Adv. Filter'!$BT$1:$BT$50000,"Ganesh",'Adv. Filter'!$BQ$1:$BQ$50000,$C778,'Adv. Filter'!$BH$1:$BH$50000,"Bank",'Adv. Filter'!$BO$1:$BO$50000,'Adv. Filter'!$A$14,'Adv. Filter'!$BO$1:$BO$50000,'Adv. Filter'!$B$14,'Adv. Filter'!$BP$1:$BP$50000,"Project")</f>
        <v>0</v>
      </c>
      <c r="AE779" s="268"/>
      <c r="AF779" s="268"/>
      <c r="AG779" s="268"/>
      <c r="AH779" s="268"/>
      <c r="AI779" s="268"/>
      <c r="AJ779" s="268"/>
      <c r="AK779" s="268"/>
      <c r="AL779" s="268"/>
      <c r="AM779" s="269"/>
      <c r="AN779" s="267">
        <f t="shared" si="26"/>
        <v>0</v>
      </c>
      <c r="AO779" s="268"/>
      <c r="AP779" s="268"/>
      <c r="AQ779" s="268"/>
      <c r="AR779" s="268"/>
      <c r="AS779" s="268"/>
      <c r="AT779" s="268"/>
      <c r="AU779" s="268"/>
      <c r="AV779" s="268"/>
      <c r="AW779" s="269"/>
      <c r="AX779" s="22"/>
      <c r="AY779" s="308" t="s">
        <v>115</v>
      </c>
      <c r="AZ779" s="309"/>
      <c r="BA779" s="309"/>
      <c r="BB779" s="309"/>
      <c r="BC779" s="309"/>
      <c r="BD779" s="309"/>
      <c r="BE779" s="309"/>
      <c r="BF779" s="309"/>
      <c r="BG779" s="309"/>
      <c r="BH779" s="309"/>
      <c r="BI779" s="309"/>
      <c r="BJ779" s="309"/>
      <c r="BK779" s="309"/>
      <c r="BL779" s="309"/>
      <c r="BM779" s="309"/>
      <c r="BN779" s="309"/>
      <c r="BO779" s="310"/>
      <c r="BP779" s="267">
        <f>SUMIFS('Adv. Filter'!$BJ$1:$BJ$50000,'Adv. Filter'!$BT$1:$BT$50000,"Ganesh",'Adv. Filter'!$BQ$1:$BQ$50000,$AY778,'Adv. Filter'!$BH$1:$BH$50000,"Cash",'Adv. Filter'!$BO$1:$BO$50000,"&lt;"&amp;'Adv. Filter'!$A$15,'Adv. Filter'!$BP$1:$BP$50000,"Project")</f>
        <v>0</v>
      </c>
      <c r="BQ779" s="268"/>
      <c r="BR779" s="268"/>
      <c r="BS779" s="268"/>
      <c r="BT779" s="268"/>
      <c r="BU779" s="268"/>
      <c r="BV779" s="268"/>
      <c r="BW779" s="268"/>
      <c r="BX779" s="268"/>
      <c r="BY779" s="269"/>
      <c r="BZ779" s="267">
        <f>SUMIFS('Adv. Filter'!$BJ$1:$BJ$50000,'Adv. Filter'!$BT$1:$BT$50000,"Ganesh",'Adv. Filter'!$BQ$1:$BQ$50000,$AY778,'Adv. Filter'!$BH$1:$BH$50000,"Bank",'Adv. Filter'!$BO$1:$BO$50000,"&lt;"&amp;'Adv. Filter'!$A$15,'Adv. Filter'!$BP$1:$BP$50000,"Project")</f>
        <v>0</v>
      </c>
      <c r="CA779" s="268"/>
      <c r="CB779" s="268"/>
      <c r="CC779" s="268"/>
      <c r="CD779" s="268"/>
      <c r="CE779" s="268"/>
      <c r="CF779" s="268"/>
      <c r="CG779" s="268"/>
      <c r="CH779" s="268"/>
      <c r="CI779" s="269"/>
      <c r="CJ779" s="267">
        <f t="shared" si="27"/>
        <v>0</v>
      </c>
      <c r="CK779" s="268"/>
      <c r="CL779" s="268"/>
      <c r="CM779" s="268"/>
      <c r="CN779" s="268"/>
      <c r="CO779" s="268"/>
      <c r="CP779" s="268"/>
      <c r="CQ779" s="268"/>
      <c r="CR779" s="268"/>
      <c r="CS779" s="269"/>
    </row>
    <row r="780" spans="1:104" hidden="1">
      <c r="C780" s="308" t="s">
        <v>510</v>
      </c>
      <c r="D780" s="309"/>
      <c r="E780" s="309"/>
      <c r="F780" s="309"/>
      <c r="G780" s="309"/>
      <c r="H780" s="309"/>
      <c r="I780" s="309"/>
      <c r="J780" s="309"/>
      <c r="K780" s="309"/>
      <c r="L780" s="309"/>
      <c r="M780" s="309"/>
      <c r="N780" s="309"/>
      <c r="O780" s="309"/>
      <c r="P780" s="309"/>
      <c r="Q780" s="309"/>
      <c r="R780" s="309"/>
      <c r="S780" s="310"/>
      <c r="T780" s="267">
        <v>0</v>
      </c>
      <c r="U780" s="268"/>
      <c r="V780" s="268"/>
      <c r="W780" s="268"/>
      <c r="X780" s="268"/>
      <c r="Y780" s="268"/>
      <c r="Z780" s="268"/>
      <c r="AA780" s="268"/>
      <c r="AB780" s="268"/>
      <c r="AC780" s="269"/>
      <c r="AD780" s="267">
        <v>0</v>
      </c>
      <c r="AE780" s="268"/>
      <c r="AF780" s="268"/>
      <c r="AG780" s="268"/>
      <c r="AH780" s="268"/>
      <c r="AI780" s="268"/>
      <c r="AJ780" s="268"/>
      <c r="AK780" s="268"/>
      <c r="AL780" s="268"/>
      <c r="AM780" s="269"/>
      <c r="AN780" s="267">
        <f t="shared" si="26"/>
        <v>0</v>
      </c>
      <c r="AO780" s="268"/>
      <c r="AP780" s="268"/>
      <c r="AQ780" s="268"/>
      <c r="AR780" s="268"/>
      <c r="AS780" s="268"/>
      <c r="AT780" s="268"/>
      <c r="AU780" s="268"/>
      <c r="AV780" s="268"/>
      <c r="AW780" s="269"/>
      <c r="AX780" s="22"/>
      <c r="AY780" s="308" t="s">
        <v>510</v>
      </c>
      <c r="AZ780" s="309"/>
      <c r="BA780" s="309"/>
      <c r="BB780" s="309"/>
      <c r="BC780" s="309"/>
      <c r="BD780" s="309"/>
      <c r="BE780" s="309"/>
      <c r="BF780" s="309"/>
      <c r="BG780" s="309"/>
      <c r="BH780" s="309"/>
      <c r="BI780" s="309"/>
      <c r="BJ780" s="309"/>
      <c r="BK780" s="309"/>
      <c r="BL780" s="309"/>
      <c r="BM780" s="309"/>
      <c r="BN780" s="309"/>
      <c r="BO780" s="310"/>
      <c r="BP780" s="267"/>
      <c r="BQ780" s="268"/>
      <c r="BR780" s="268"/>
      <c r="BS780" s="268"/>
      <c r="BT780" s="268"/>
      <c r="BU780" s="268"/>
      <c r="BV780" s="268"/>
      <c r="BW780" s="268"/>
      <c r="BX780" s="268"/>
      <c r="BY780" s="269"/>
      <c r="BZ780" s="267"/>
      <c r="CA780" s="268"/>
      <c r="CB780" s="268"/>
      <c r="CC780" s="268"/>
      <c r="CD780" s="268"/>
      <c r="CE780" s="268"/>
      <c r="CF780" s="268"/>
      <c r="CG780" s="268"/>
      <c r="CH780" s="268"/>
      <c r="CI780" s="269"/>
      <c r="CJ780" s="267">
        <f t="shared" si="27"/>
        <v>0</v>
      </c>
      <c r="CK780" s="268"/>
      <c r="CL780" s="268"/>
      <c r="CM780" s="268"/>
      <c r="CN780" s="268"/>
      <c r="CO780" s="268"/>
      <c r="CP780" s="268"/>
      <c r="CQ780" s="268"/>
      <c r="CR780" s="268"/>
      <c r="CS780" s="269"/>
    </row>
    <row r="781" spans="1:104" hidden="1">
      <c r="C781" s="43"/>
      <c r="D781" s="36" t="str">
        <f>IF(AN778=0,C778&amp;" -","")</f>
        <v>Indian -</v>
      </c>
      <c r="E781" s="42"/>
      <c r="F781" s="42"/>
      <c r="G781" s="42"/>
      <c r="H781" s="42"/>
      <c r="I781" s="42"/>
      <c r="J781" s="42"/>
      <c r="K781" s="42"/>
      <c r="L781" s="42"/>
      <c r="M781" s="42"/>
      <c r="N781" s="42"/>
      <c r="O781" s="42"/>
      <c r="P781" s="1"/>
      <c r="Q781" s="42"/>
      <c r="R781" s="41" t="s">
        <v>275</v>
      </c>
      <c r="S781" s="40"/>
      <c r="T781" s="267">
        <f>SUMIFS('Adv. Filter'!$CH$1:$CH$50000,'Adv. Filter'!$CD$1:$CD$50000,"Ganesh",'Adv. Filter'!$CE$1:$CE$50000,$C778,'Adv. Filter'!$CC$1:$CC$50000,"Suspense",'Adv. Filter'!$CF$1:$CF$50000,"Cash")</f>
        <v>0</v>
      </c>
      <c r="U781" s="268"/>
      <c r="V781" s="268"/>
      <c r="W781" s="268"/>
      <c r="X781" s="268"/>
      <c r="Y781" s="268"/>
      <c r="Z781" s="268"/>
      <c r="AA781" s="268"/>
      <c r="AB781" s="268"/>
      <c r="AC781" s="269"/>
      <c r="AD781" s="267">
        <f>SUMIFS('Adv. Filter'!$CH$1:$CH$50000,'Adv. Filter'!$CD$1:$CD$50000,"Ganesh",'Adv. Filter'!$CE$1:$CE$50000,$C778,'Adv. Filter'!$CC$1:$CC$50000,"Suspense",'Adv. Filter'!$CF$1:$CF$50000,"Bank")</f>
        <v>0</v>
      </c>
      <c r="AE781" s="268"/>
      <c r="AF781" s="268"/>
      <c r="AG781" s="268"/>
      <c r="AH781" s="268"/>
      <c r="AI781" s="268"/>
      <c r="AJ781" s="268"/>
      <c r="AK781" s="268"/>
      <c r="AL781" s="268"/>
      <c r="AM781" s="269"/>
      <c r="AN781" s="267">
        <f t="shared" si="26"/>
        <v>0</v>
      </c>
      <c r="AO781" s="268"/>
      <c r="AP781" s="268"/>
      <c r="AQ781" s="268"/>
      <c r="AR781" s="268"/>
      <c r="AS781" s="268"/>
      <c r="AT781" s="268"/>
      <c r="AU781" s="268"/>
      <c r="AV781" s="268"/>
      <c r="AW781" s="269"/>
      <c r="AX781" s="22"/>
      <c r="AY781" s="43"/>
      <c r="AZ781" s="36" t="str">
        <f>IF(CJ778=0,AY778&amp;" -","")</f>
        <v>Indian -</v>
      </c>
      <c r="BA781" s="42"/>
      <c r="BB781" s="42"/>
      <c r="BC781" s="42"/>
      <c r="BD781" s="42"/>
      <c r="BE781" s="42"/>
      <c r="BF781" s="42"/>
      <c r="BG781" s="42"/>
      <c r="BH781" s="42"/>
      <c r="BI781" s="42"/>
      <c r="BJ781" s="42"/>
      <c r="BK781" s="42"/>
      <c r="BL781" s="1"/>
      <c r="BM781" s="42"/>
      <c r="BN781" s="41" t="s">
        <v>275</v>
      </c>
      <c r="BO781" s="40"/>
      <c r="BP781" s="267"/>
      <c r="BQ781" s="268"/>
      <c r="BR781" s="268"/>
      <c r="BS781" s="268"/>
      <c r="BT781" s="268"/>
      <c r="BU781" s="268"/>
      <c r="BV781" s="268"/>
      <c r="BW781" s="268"/>
      <c r="BX781" s="268"/>
      <c r="BY781" s="269"/>
      <c r="BZ781" s="267"/>
      <c r="CA781" s="268"/>
      <c r="CB781" s="268"/>
      <c r="CC781" s="268"/>
      <c r="CD781" s="268"/>
      <c r="CE781" s="268"/>
      <c r="CF781" s="268"/>
      <c r="CG781" s="268"/>
      <c r="CH781" s="268"/>
      <c r="CI781" s="269"/>
      <c r="CJ781" s="267">
        <f t="shared" si="27"/>
        <v>0</v>
      </c>
      <c r="CK781" s="268"/>
      <c r="CL781" s="268"/>
      <c r="CM781" s="268"/>
      <c r="CN781" s="268"/>
      <c r="CO781" s="268"/>
      <c r="CP781" s="268"/>
      <c r="CQ781" s="268"/>
      <c r="CR781" s="268"/>
      <c r="CS781" s="269"/>
    </row>
    <row r="782" spans="1:104" hidden="1">
      <c r="A782" s="44"/>
      <c r="B782" s="44"/>
      <c r="C782" s="293" t="s">
        <v>138</v>
      </c>
      <c r="D782" s="294"/>
      <c r="E782" s="294"/>
      <c r="F782" s="294"/>
      <c r="G782" s="294"/>
      <c r="H782" s="294"/>
      <c r="I782" s="294"/>
      <c r="J782" s="294"/>
      <c r="K782" s="294"/>
      <c r="L782" s="294"/>
      <c r="M782" s="294"/>
      <c r="N782" s="294"/>
      <c r="O782" s="294"/>
      <c r="P782" s="294"/>
      <c r="Q782" s="294"/>
      <c r="R782" s="294"/>
      <c r="S782" s="295"/>
      <c r="T782" s="276">
        <f>SUMIFS('Adv. Filter'!$BJ$1:$BJ$50000,'Adv. Filter'!$BT$1:$BT$50000,"Ganesh",'Adv. Filter'!$BQ$1:$BQ$50000,$C782,'Adv. Filter'!$BH$1:$BH$50000,"Cash",'Adv. Filter'!$BO$1:$BO$50000,'Adv. Filter'!$A$14,'Adv. Filter'!$BO$1:$BO$50000,'Adv. Filter'!$B$14)</f>
        <v>0</v>
      </c>
      <c r="U782" s="277"/>
      <c r="V782" s="277"/>
      <c r="W782" s="277"/>
      <c r="X782" s="277"/>
      <c r="Y782" s="277"/>
      <c r="Z782" s="277"/>
      <c r="AA782" s="277"/>
      <c r="AB782" s="277"/>
      <c r="AC782" s="278"/>
      <c r="AD782" s="276">
        <f>SUMIFS('Adv. Filter'!$BJ$1:$BJ$50000,'Adv. Filter'!$BT$1:$BT$50000,"Ganesh",'Adv. Filter'!$BQ$1:$BQ$50000,$C782,'Adv. Filter'!$BH$1:$BH$50000,"Bank",'Adv. Filter'!$BO$1:$BO$50000,'Adv. Filter'!$A$14,'Adv. Filter'!$BO$1:$BO$50000,'Adv. Filter'!$B$14)</f>
        <v>0</v>
      </c>
      <c r="AE782" s="277"/>
      <c r="AF782" s="277"/>
      <c r="AG782" s="277"/>
      <c r="AH782" s="277"/>
      <c r="AI782" s="277"/>
      <c r="AJ782" s="277"/>
      <c r="AK782" s="277"/>
      <c r="AL782" s="277"/>
      <c r="AM782" s="278"/>
      <c r="AN782" s="276">
        <f t="shared" si="26"/>
        <v>0</v>
      </c>
      <c r="AO782" s="277"/>
      <c r="AP782" s="277"/>
      <c r="AQ782" s="277"/>
      <c r="AR782" s="277"/>
      <c r="AS782" s="277"/>
      <c r="AT782" s="277"/>
      <c r="AU782" s="277"/>
      <c r="AV782" s="277"/>
      <c r="AW782" s="278"/>
      <c r="AX782" s="45"/>
      <c r="AY782" s="293" t="s">
        <v>138</v>
      </c>
      <c r="AZ782" s="294"/>
      <c r="BA782" s="294"/>
      <c r="BB782" s="294"/>
      <c r="BC782" s="294"/>
      <c r="BD782" s="294"/>
      <c r="BE782" s="294"/>
      <c r="BF782" s="294"/>
      <c r="BG782" s="294"/>
      <c r="BH782" s="294"/>
      <c r="BI782" s="294"/>
      <c r="BJ782" s="294"/>
      <c r="BK782" s="294"/>
      <c r="BL782" s="294"/>
      <c r="BM782" s="294"/>
      <c r="BN782" s="294"/>
      <c r="BO782" s="295"/>
      <c r="BP782" s="276">
        <f>SUMIFS('Adv. Filter'!$BJ$1:$BJ$50000,'Adv. Filter'!$BT$1:$BT$50000,"Ganesh",'Adv. Filter'!$BQ$1:$BQ$50000,$AY782,'Adv. Filter'!$BH$1:$BH$50000,"Cash",'Adv. Filter'!$BO$1:$BO$50000,"&lt;"&amp;'Adv. Filter'!$A$15)</f>
        <v>0</v>
      </c>
      <c r="BQ782" s="277"/>
      <c r="BR782" s="277"/>
      <c r="BS782" s="277"/>
      <c r="BT782" s="277"/>
      <c r="BU782" s="277"/>
      <c r="BV782" s="277"/>
      <c r="BW782" s="277"/>
      <c r="BX782" s="277"/>
      <c r="BY782" s="278"/>
      <c r="BZ782" s="276">
        <f>SUMIFS('Adv. Filter'!$BJ$1:$BJ$50000,'Adv. Filter'!$BT$1:$BT$50000,"Ganesh",'Adv. Filter'!$BQ$1:$BQ$50000,$AY782,'Adv. Filter'!$BH$1:$BH$50000,"Bank",'Adv. Filter'!$BO$1:$BO$50000,"&lt;"&amp;'Adv. Filter'!$A$15)</f>
        <v>0</v>
      </c>
      <c r="CA782" s="277"/>
      <c r="CB782" s="277"/>
      <c r="CC782" s="277"/>
      <c r="CD782" s="277"/>
      <c r="CE782" s="277"/>
      <c r="CF782" s="277"/>
      <c r="CG782" s="277"/>
      <c r="CH782" s="277"/>
      <c r="CI782" s="278"/>
      <c r="CJ782" s="276">
        <f t="shared" si="27"/>
        <v>0</v>
      </c>
      <c r="CK782" s="277"/>
      <c r="CL782" s="277"/>
      <c r="CM782" s="277"/>
      <c r="CN782" s="277"/>
      <c r="CO782" s="277"/>
      <c r="CP782" s="277"/>
      <c r="CQ782" s="277"/>
      <c r="CR782" s="277"/>
      <c r="CS782" s="278"/>
      <c r="CT782" s="44"/>
      <c r="CU782" s="44"/>
      <c r="CV782" s="44"/>
      <c r="CW782" s="44"/>
      <c r="CX782" s="44"/>
      <c r="CY782" s="44"/>
      <c r="CZ782" s="44"/>
    </row>
    <row r="783" spans="1:104" hidden="1">
      <c r="C783" s="308" t="s">
        <v>115</v>
      </c>
      <c r="D783" s="309"/>
      <c r="E783" s="309"/>
      <c r="F783" s="309"/>
      <c r="G783" s="309"/>
      <c r="H783" s="309"/>
      <c r="I783" s="309"/>
      <c r="J783" s="309"/>
      <c r="K783" s="309"/>
      <c r="L783" s="309"/>
      <c r="M783" s="309"/>
      <c r="N783" s="309"/>
      <c r="O783" s="309"/>
      <c r="P783" s="309"/>
      <c r="Q783" s="309"/>
      <c r="R783" s="309"/>
      <c r="S783" s="310"/>
      <c r="T783" s="267">
        <f>SUMIFS('Adv. Filter'!$BJ$1:$BJ$50000,'Adv. Filter'!$BT$1:$BT$50000,"Ganesh",'Adv. Filter'!$BQ$1:$BQ$50000,$C782,'Adv. Filter'!$BH$1:$BH$50000,"Cash",'Adv. Filter'!$BO$1:$BO$50000,'Adv. Filter'!$A$14,'Adv. Filter'!$BO$1:$BO$50000,'Adv. Filter'!$B$14,'Adv. Filter'!$BP$1:$BP$50000,"Project")</f>
        <v>0</v>
      </c>
      <c r="U783" s="268"/>
      <c r="V783" s="268"/>
      <c r="W783" s="268"/>
      <c r="X783" s="268"/>
      <c r="Y783" s="268"/>
      <c r="Z783" s="268"/>
      <c r="AA783" s="268"/>
      <c r="AB783" s="268"/>
      <c r="AC783" s="269"/>
      <c r="AD783" s="267">
        <f>SUMIFS('Adv. Filter'!$BJ$1:$BJ$50000,'Adv. Filter'!$BT$1:$BT$50000,"Ganesh",'Adv. Filter'!$BQ$1:$BQ$50000,$C782,'Adv. Filter'!$BH$1:$BH$50000,"Bank",'Adv. Filter'!$BO$1:$BO$50000,'Adv. Filter'!$A$14,'Adv. Filter'!$BO$1:$BO$50000,'Adv. Filter'!$B$14,'Adv. Filter'!$BP$1:$BP$50000,"Project")</f>
        <v>0</v>
      </c>
      <c r="AE783" s="268"/>
      <c r="AF783" s="268"/>
      <c r="AG783" s="268"/>
      <c r="AH783" s="268"/>
      <c r="AI783" s="268"/>
      <c r="AJ783" s="268"/>
      <c r="AK783" s="268"/>
      <c r="AL783" s="268"/>
      <c r="AM783" s="269"/>
      <c r="AN783" s="267">
        <f t="shared" si="26"/>
        <v>0</v>
      </c>
      <c r="AO783" s="268"/>
      <c r="AP783" s="268"/>
      <c r="AQ783" s="268"/>
      <c r="AR783" s="268"/>
      <c r="AS783" s="268"/>
      <c r="AT783" s="268"/>
      <c r="AU783" s="268"/>
      <c r="AV783" s="268"/>
      <c r="AW783" s="269"/>
      <c r="AX783" s="22"/>
      <c r="AY783" s="308" t="s">
        <v>115</v>
      </c>
      <c r="AZ783" s="309"/>
      <c r="BA783" s="309"/>
      <c r="BB783" s="309"/>
      <c r="BC783" s="309"/>
      <c r="BD783" s="309"/>
      <c r="BE783" s="309"/>
      <c r="BF783" s="309"/>
      <c r="BG783" s="309"/>
      <c r="BH783" s="309"/>
      <c r="BI783" s="309"/>
      <c r="BJ783" s="309"/>
      <c r="BK783" s="309"/>
      <c r="BL783" s="309"/>
      <c r="BM783" s="309"/>
      <c r="BN783" s="309"/>
      <c r="BO783" s="310"/>
      <c r="BP783" s="267">
        <f>SUMIFS('Adv. Filter'!$BJ$1:$BJ$50000,'Adv. Filter'!$BT$1:$BT$50000,"Ganesh",'Adv. Filter'!$BQ$1:$BQ$50000,$AY782,'Adv. Filter'!$BH$1:$BH$50000,"Cash",'Adv. Filter'!$BO$1:$BO$50000,"&lt;"&amp;'Adv. Filter'!$A$15,'Adv. Filter'!$BP$1:$BP$50000,"Project")</f>
        <v>0</v>
      </c>
      <c r="BQ783" s="268"/>
      <c r="BR783" s="268"/>
      <c r="BS783" s="268"/>
      <c r="BT783" s="268"/>
      <c r="BU783" s="268"/>
      <c r="BV783" s="268"/>
      <c r="BW783" s="268"/>
      <c r="BX783" s="268"/>
      <c r="BY783" s="269"/>
      <c r="BZ783" s="267">
        <f>SUMIFS('Adv. Filter'!$BJ$1:$BJ$50000,'Adv. Filter'!$BT$1:$BT$50000,"Ganesh",'Adv. Filter'!$BQ$1:$BQ$50000,$AY782,'Adv. Filter'!$BH$1:$BH$50000,"Bank",'Adv. Filter'!$BO$1:$BO$50000,"&lt;"&amp;'Adv. Filter'!$A$15,'Adv. Filter'!$BP$1:$BP$50000,"Project")</f>
        <v>0</v>
      </c>
      <c r="CA783" s="268"/>
      <c r="CB783" s="268"/>
      <c r="CC783" s="268"/>
      <c r="CD783" s="268"/>
      <c r="CE783" s="268"/>
      <c r="CF783" s="268"/>
      <c r="CG783" s="268"/>
      <c r="CH783" s="268"/>
      <c r="CI783" s="269"/>
      <c r="CJ783" s="267">
        <f t="shared" si="27"/>
        <v>0</v>
      </c>
      <c r="CK783" s="268"/>
      <c r="CL783" s="268"/>
      <c r="CM783" s="268"/>
      <c r="CN783" s="268"/>
      <c r="CO783" s="268"/>
      <c r="CP783" s="268"/>
      <c r="CQ783" s="268"/>
      <c r="CR783" s="268"/>
      <c r="CS783" s="269"/>
    </row>
    <row r="784" spans="1:104" hidden="1">
      <c r="C784" s="308" t="s">
        <v>510</v>
      </c>
      <c r="D784" s="309"/>
      <c r="E784" s="309"/>
      <c r="F784" s="309"/>
      <c r="G784" s="309"/>
      <c r="H784" s="309"/>
      <c r="I784" s="309"/>
      <c r="J784" s="309"/>
      <c r="K784" s="309"/>
      <c r="L784" s="309"/>
      <c r="M784" s="309"/>
      <c r="N784" s="309"/>
      <c r="O784" s="309"/>
      <c r="P784" s="309"/>
      <c r="Q784" s="309"/>
      <c r="R784" s="309"/>
      <c r="S784" s="310"/>
      <c r="T784" s="267">
        <v>0</v>
      </c>
      <c r="U784" s="268"/>
      <c r="V784" s="268"/>
      <c r="W784" s="268"/>
      <c r="X784" s="268"/>
      <c r="Y784" s="268"/>
      <c r="Z784" s="268"/>
      <c r="AA784" s="268"/>
      <c r="AB784" s="268"/>
      <c r="AC784" s="269"/>
      <c r="AD784" s="267">
        <v>0</v>
      </c>
      <c r="AE784" s="268"/>
      <c r="AF784" s="268"/>
      <c r="AG784" s="268"/>
      <c r="AH784" s="268"/>
      <c r="AI784" s="268"/>
      <c r="AJ784" s="268"/>
      <c r="AK784" s="268"/>
      <c r="AL784" s="268"/>
      <c r="AM784" s="269"/>
      <c r="AN784" s="267">
        <f t="shared" si="26"/>
        <v>0</v>
      </c>
      <c r="AO784" s="268"/>
      <c r="AP784" s="268"/>
      <c r="AQ784" s="268"/>
      <c r="AR784" s="268"/>
      <c r="AS784" s="268"/>
      <c r="AT784" s="268"/>
      <c r="AU784" s="268"/>
      <c r="AV784" s="268"/>
      <c r="AW784" s="269"/>
      <c r="AX784" s="22"/>
      <c r="AY784" s="308" t="s">
        <v>510</v>
      </c>
      <c r="AZ784" s="309"/>
      <c r="BA784" s="309"/>
      <c r="BB784" s="309"/>
      <c r="BC784" s="309"/>
      <c r="BD784" s="309"/>
      <c r="BE784" s="309"/>
      <c r="BF784" s="309"/>
      <c r="BG784" s="309"/>
      <c r="BH784" s="309"/>
      <c r="BI784" s="309"/>
      <c r="BJ784" s="309"/>
      <c r="BK784" s="309"/>
      <c r="BL784" s="309"/>
      <c r="BM784" s="309"/>
      <c r="BN784" s="309"/>
      <c r="BO784" s="310"/>
      <c r="BP784" s="267"/>
      <c r="BQ784" s="268"/>
      <c r="BR784" s="268"/>
      <c r="BS784" s="268"/>
      <c r="BT784" s="268"/>
      <c r="BU784" s="268"/>
      <c r="BV784" s="268"/>
      <c r="BW784" s="268"/>
      <c r="BX784" s="268"/>
      <c r="BY784" s="269"/>
      <c r="BZ784" s="267"/>
      <c r="CA784" s="268"/>
      <c r="CB784" s="268"/>
      <c r="CC784" s="268"/>
      <c r="CD784" s="268"/>
      <c r="CE784" s="268"/>
      <c r="CF784" s="268"/>
      <c r="CG784" s="268"/>
      <c r="CH784" s="268"/>
      <c r="CI784" s="269"/>
      <c r="CJ784" s="267">
        <f t="shared" si="27"/>
        <v>0</v>
      </c>
      <c r="CK784" s="268"/>
      <c r="CL784" s="268"/>
      <c r="CM784" s="268"/>
      <c r="CN784" s="268"/>
      <c r="CO784" s="268"/>
      <c r="CP784" s="268"/>
      <c r="CQ784" s="268"/>
      <c r="CR784" s="268"/>
      <c r="CS784" s="269"/>
    </row>
    <row r="785" spans="1:104" hidden="1">
      <c r="C785" s="43"/>
      <c r="D785" s="36" t="str">
        <f>IF(AN782=0,C782&amp;" -","")</f>
        <v>Indus Ind -</v>
      </c>
      <c r="E785" s="42"/>
      <c r="F785" s="42"/>
      <c r="G785" s="42"/>
      <c r="H785" s="42"/>
      <c r="I785" s="42"/>
      <c r="J785" s="42"/>
      <c r="K785" s="42"/>
      <c r="L785" s="42"/>
      <c r="M785" s="42"/>
      <c r="N785" s="42"/>
      <c r="O785" s="42"/>
      <c r="P785" s="1"/>
      <c r="Q785" s="42"/>
      <c r="R785" s="41" t="s">
        <v>275</v>
      </c>
      <c r="S785" s="40"/>
      <c r="T785" s="267">
        <f>SUMIFS('Adv. Filter'!$CH$1:$CH$50000,'Adv. Filter'!$CD$1:$CD$50000,"Ganesh",'Adv. Filter'!$CE$1:$CE$50000,$C782,'Adv. Filter'!$CC$1:$CC$50000,"Suspense",'Adv. Filter'!$CF$1:$CF$50000,"Cash")</f>
        <v>0</v>
      </c>
      <c r="U785" s="268"/>
      <c r="V785" s="268"/>
      <c r="W785" s="268"/>
      <c r="X785" s="268"/>
      <c r="Y785" s="268"/>
      <c r="Z785" s="268"/>
      <c r="AA785" s="268"/>
      <c r="AB785" s="268"/>
      <c r="AC785" s="269"/>
      <c r="AD785" s="267">
        <f>SUMIFS('Adv. Filter'!$CH$1:$CH$50000,'Adv. Filter'!$CD$1:$CD$50000,"Ganesh",'Adv. Filter'!$CE$1:$CE$50000,$C782,'Adv. Filter'!$CC$1:$CC$50000,"Suspense",'Adv. Filter'!$CF$1:$CF$50000,"Bank")</f>
        <v>0</v>
      </c>
      <c r="AE785" s="268"/>
      <c r="AF785" s="268"/>
      <c r="AG785" s="268"/>
      <c r="AH785" s="268"/>
      <c r="AI785" s="268"/>
      <c r="AJ785" s="268"/>
      <c r="AK785" s="268"/>
      <c r="AL785" s="268"/>
      <c r="AM785" s="269"/>
      <c r="AN785" s="267">
        <f t="shared" si="26"/>
        <v>0</v>
      </c>
      <c r="AO785" s="268"/>
      <c r="AP785" s="268"/>
      <c r="AQ785" s="268"/>
      <c r="AR785" s="268"/>
      <c r="AS785" s="268"/>
      <c r="AT785" s="268"/>
      <c r="AU785" s="268"/>
      <c r="AV785" s="268"/>
      <c r="AW785" s="269"/>
      <c r="AX785" s="22"/>
      <c r="AY785" s="43"/>
      <c r="AZ785" s="36" t="str">
        <f>IF(CJ782=0,AY782&amp;" -","")</f>
        <v>Indus Ind -</v>
      </c>
      <c r="BA785" s="42"/>
      <c r="BB785" s="42"/>
      <c r="BC785" s="42"/>
      <c r="BD785" s="42"/>
      <c r="BE785" s="42"/>
      <c r="BF785" s="42"/>
      <c r="BG785" s="42"/>
      <c r="BH785" s="42"/>
      <c r="BI785" s="42"/>
      <c r="BJ785" s="42"/>
      <c r="BK785" s="42"/>
      <c r="BL785" s="1"/>
      <c r="BM785" s="42"/>
      <c r="BN785" s="41" t="s">
        <v>275</v>
      </c>
      <c r="BO785" s="40"/>
      <c r="BP785" s="267"/>
      <c r="BQ785" s="268"/>
      <c r="BR785" s="268"/>
      <c r="BS785" s="268"/>
      <c r="BT785" s="268"/>
      <c r="BU785" s="268"/>
      <c r="BV785" s="268"/>
      <c r="BW785" s="268"/>
      <c r="BX785" s="268"/>
      <c r="BY785" s="269"/>
      <c r="BZ785" s="267"/>
      <c r="CA785" s="268"/>
      <c r="CB785" s="268"/>
      <c r="CC785" s="268"/>
      <c r="CD785" s="268"/>
      <c r="CE785" s="268"/>
      <c r="CF785" s="268"/>
      <c r="CG785" s="268"/>
      <c r="CH785" s="268"/>
      <c r="CI785" s="269"/>
      <c r="CJ785" s="267">
        <f t="shared" si="27"/>
        <v>0</v>
      </c>
      <c r="CK785" s="268"/>
      <c r="CL785" s="268"/>
      <c r="CM785" s="268"/>
      <c r="CN785" s="268"/>
      <c r="CO785" s="268"/>
      <c r="CP785" s="268"/>
      <c r="CQ785" s="268"/>
      <c r="CR785" s="268"/>
      <c r="CS785" s="269"/>
    </row>
    <row r="786" spans="1:104" hidden="1">
      <c r="A786" s="44"/>
      <c r="B786" s="44"/>
      <c r="C786" s="293" t="s">
        <v>84</v>
      </c>
      <c r="D786" s="294"/>
      <c r="E786" s="294"/>
      <c r="F786" s="294"/>
      <c r="G786" s="294"/>
      <c r="H786" s="294"/>
      <c r="I786" s="294"/>
      <c r="J786" s="294"/>
      <c r="K786" s="294"/>
      <c r="L786" s="294"/>
      <c r="M786" s="294"/>
      <c r="N786" s="294"/>
      <c r="O786" s="294"/>
      <c r="P786" s="294"/>
      <c r="Q786" s="294"/>
      <c r="R786" s="294"/>
      <c r="S786" s="295"/>
      <c r="T786" s="276">
        <f>SUMIFS('Adv. Filter'!$BJ$1:$BJ$50000,'Adv. Filter'!$BT$1:$BT$50000,"Ganesh",'Adv. Filter'!$BQ$1:$BQ$50000,$C786,'Adv. Filter'!$BH$1:$BH$50000,"Cash",'Adv. Filter'!$BO$1:$BO$50000,'Adv. Filter'!$A$14,'Adv. Filter'!$BO$1:$BO$50000,'Adv. Filter'!$B$14)</f>
        <v>0</v>
      </c>
      <c r="U786" s="277"/>
      <c r="V786" s="277"/>
      <c r="W786" s="277"/>
      <c r="X786" s="277"/>
      <c r="Y786" s="277"/>
      <c r="Z786" s="277"/>
      <c r="AA786" s="277"/>
      <c r="AB786" s="277"/>
      <c r="AC786" s="278"/>
      <c r="AD786" s="276">
        <f>SUMIFS('Adv. Filter'!$BJ$1:$BJ$50000,'Adv. Filter'!$BT$1:$BT$50000,"Ganesh",'Adv. Filter'!$BQ$1:$BQ$50000,$C786,'Adv. Filter'!$BH$1:$BH$50000,"Bank",'Adv. Filter'!$BO$1:$BO$50000,'Adv. Filter'!$A$14,'Adv. Filter'!$BO$1:$BO$50000,'Adv. Filter'!$B$14)</f>
        <v>0</v>
      </c>
      <c r="AE786" s="277"/>
      <c r="AF786" s="277"/>
      <c r="AG786" s="277"/>
      <c r="AH786" s="277"/>
      <c r="AI786" s="277"/>
      <c r="AJ786" s="277"/>
      <c r="AK786" s="277"/>
      <c r="AL786" s="277"/>
      <c r="AM786" s="278"/>
      <c r="AN786" s="276">
        <f t="shared" si="26"/>
        <v>0</v>
      </c>
      <c r="AO786" s="277"/>
      <c r="AP786" s="277"/>
      <c r="AQ786" s="277"/>
      <c r="AR786" s="277"/>
      <c r="AS786" s="277"/>
      <c r="AT786" s="277"/>
      <c r="AU786" s="277"/>
      <c r="AV786" s="277"/>
      <c r="AW786" s="278"/>
      <c r="AX786" s="45"/>
      <c r="AY786" s="293" t="s">
        <v>84</v>
      </c>
      <c r="AZ786" s="294"/>
      <c r="BA786" s="294"/>
      <c r="BB786" s="294"/>
      <c r="BC786" s="294"/>
      <c r="BD786" s="294"/>
      <c r="BE786" s="294"/>
      <c r="BF786" s="294"/>
      <c r="BG786" s="294"/>
      <c r="BH786" s="294"/>
      <c r="BI786" s="294"/>
      <c r="BJ786" s="294"/>
      <c r="BK786" s="294"/>
      <c r="BL786" s="294"/>
      <c r="BM786" s="294"/>
      <c r="BN786" s="294"/>
      <c r="BO786" s="295"/>
      <c r="BP786" s="276">
        <f>SUMIFS('Adv. Filter'!$BJ$1:$BJ$50000,'Adv. Filter'!$BT$1:$BT$50000,"Ganesh",'Adv. Filter'!$BQ$1:$BQ$50000,$AY786,'Adv. Filter'!$BH$1:$BH$50000,"Cash",'Adv. Filter'!$BO$1:$BO$50000,"&lt;"&amp;'Adv. Filter'!$A$15)</f>
        <v>0</v>
      </c>
      <c r="BQ786" s="277"/>
      <c r="BR786" s="277"/>
      <c r="BS786" s="277"/>
      <c r="BT786" s="277"/>
      <c r="BU786" s="277"/>
      <c r="BV786" s="277"/>
      <c r="BW786" s="277"/>
      <c r="BX786" s="277"/>
      <c r="BY786" s="278"/>
      <c r="BZ786" s="276">
        <f>SUMIFS('Adv. Filter'!$BJ$1:$BJ$50000,'Adv. Filter'!$BT$1:$BT$50000,"Ganesh",'Adv. Filter'!$BQ$1:$BQ$50000,$AY786,'Adv. Filter'!$BH$1:$BH$50000,"Bank",'Adv. Filter'!$BO$1:$BO$50000,"&lt;"&amp;'Adv. Filter'!$A$15)</f>
        <v>0</v>
      </c>
      <c r="CA786" s="277"/>
      <c r="CB786" s="277"/>
      <c r="CC786" s="277"/>
      <c r="CD786" s="277"/>
      <c r="CE786" s="277"/>
      <c r="CF786" s="277"/>
      <c r="CG786" s="277"/>
      <c r="CH786" s="277"/>
      <c r="CI786" s="278"/>
      <c r="CJ786" s="276">
        <f t="shared" si="27"/>
        <v>0</v>
      </c>
      <c r="CK786" s="277"/>
      <c r="CL786" s="277"/>
      <c r="CM786" s="277"/>
      <c r="CN786" s="277"/>
      <c r="CO786" s="277"/>
      <c r="CP786" s="277"/>
      <c r="CQ786" s="277"/>
      <c r="CR786" s="277"/>
      <c r="CS786" s="278"/>
      <c r="CT786" s="44"/>
      <c r="CU786" s="44"/>
      <c r="CV786" s="44"/>
      <c r="CW786" s="44"/>
      <c r="CX786" s="44"/>
      <c r="CY786" s="44"/>
      <c r="CZ786" s="44"/>
    </row>
    <row r="787" spans="1:104" hidden="1">
      <c r="C787" s="308" t="s">
        <v>115</v>
      </c>
      <c r="D787" s="309"/>
      <c r="E787" s="309"/>
      <c r="F787" s="309"/>
      <c r="G787" s="309"/>
      <c r="H787" s="309"/>
      <c r="I787" s="309"/>
      <c r="J787" s="309"/>
      <c r="K787" s="309"/>
      <c r="L787" s="309"/>
      <c r="M787" s="309"/>
      <c r="N787" s="309"/>
      <c r="O787" s="309"/>
      <c r="P787" s="309"/>
      <c r="Q787" s="309"/>
      <c r="R787" s="309"/>
      <c r="S787" s="310"/>
      <c r="T787" s="267">
        <f>SUMIFS('Adv. Filter'!$BJ$1:$BJ$50000,'Adv. Filter'!$BT$1:$BT$50000,"Ganesh",'Adv. Filter'!$BQ$1:$BQ$50000,$C786,'Adv. Filter'!$BH$1:$BH$50000,"Cash",'Adv. Filter'!$BO$1:$BO$50000,'Adv. Filter'!$A$14,'Adv. Filter'!$BO$1:$BO$50000,'Adv. Filter'!$B$14,'Adv. Filter'!$BP$1:$BP$50000,"Project")</f>
        <v>0</v>
      </c>
      <c r="U787" s="268"/>
      <c r="V787" s="268"/>
      <c r="W787" s="268"/>
      <c r="X787" s="268"/>
      <c r="Y787" s="268"/>
      <c r="Z787" s="268"/>
      <c r="AA787" s="268"/>
      <c r="AB787" s="268"/>
      <c r="AC787" s="269"/>
      <c r="AD787" s="267">
        <f>SUMIFS('Adv. Filter'!$BJ$1:$BJ$50000,'Adv. Filter'!$BT$1:$BT$50000,"Ganesh",'Adv. Filter'!$BQ$1:$BQ$50000,$C786,'Adv. Filter'!$BH$1:$BH$50000,"Bank",'Adv. Filter'!$BO$1:$BO$50000,'Adv. Filter'!$A$14,'Adv. Filter'!$BO$1:$BO$50000,'Adv. Filter'!$B$14,'Adv. Filter'!$BP$1:$BP$50000,"Project")</f>
        <v>0</v>
      </c>
      <c r="AE787" s="268"/>
      <c r="AF787" s="268"/>
      <c r="AG787" s="268"/>
      <c r="AH787" s="268"/>
      <c r="AI787" s="268"/>
      <c r="AJ787" s="268"/>
      <c r="AK787" s="268"/>
      <c r="AL787" s="268"/>
      <c r="AM787" s="269"/>
      <c r="AN787" s="267">
        <f t="shared" si="26"/>
        <v>0</v>
      </c>
      <c r="AO787" s="268"/>
      <c r="AP787" s="268"/>
      <c r="AQ787" s="268"/>
      <c r="AR787" s="268"/>
      <c r="AS787" s="268"/>
      <c r="AT787" s="268"/>
      <c r="AU787" s="268"/>
      <c r="AV787" s="268"/>
      <c r="AW787" s="269"/>
      <c r="AX787" s="22"/>
      <c r="AY787" s="308" t="s">
        <v>115</v>
      </c>
      <c r="AZ787" s="309"/>
      <c r="BA787" s="309"/>
      <c r="BB787" s="309"/>
      <c r="BC787" s="309"/>
      <c r="BD787" s="309"/>
      <c r="BE787" s="309"/>
      <c r="BF787" s="309"/>
      <c r="BG787" s="309"/>
      <c r="BH787" s="309"/>
      <c r="BI787" s="309"/>
      <c r="BJ787" s="309"/>
      <c r="BK787" s="309"/>
      <c r="BL787" s="309"/>
      <c r="BM787" s="309"/>
      <c r="BN787" s="309"/>
      <c r="BO787" s="310"/>
      <c r="BP787" s="267">
        <f>SUMIFS('Adv. Filter'!$BJ$1:$BJ$50000,'Adv. Filter'!$BT$1:$BT$50000,"Ganesh",'Adv. Filter'!$BQ$1:$BQ$50000,$AY786,'Adv. Filter'!$BH$1:$BH$50000,"Cash",'Adv. Filter'!$BO$1:$BO$50000,"&lt;"&amp;'Adv. Filter'!$A$15,'Adv. Filter'!$BP$1:$BP$50000,"Project")</f>
        <v>0</v>
      </c>
      <c r="BQ787" s="268"/>
      <c r="BR787" s="268"/>
      <c r="BS787" s="268"/>
      <c r="BT787" s="268"/>
      <c r="BU787" s="268"/>
      <c r="BV787" s="268"/>
      <c r="BW787" s="268"/>
      <c r="BX787" s="268"/>
      <c r="BY787" s="269"/>
      <c r="BZ787" s="267">
        <f>SUMIFS('Adv. Filter'!$BJ$1:$BJ$50000,'Adv. Filter'!$BT$1:$BT$50000,"Ganesh",'Adv. Filter'!$BQ$1:$BQ$50000,$AY786,'Adv. Filter'!$BH$1:$BH$50000,"Bank",'Adv. Filter'!$BO$1:$BO$50000,"&lt;"&amp;'Adv. Filter'!$A$15,'Adv. Filter'!$BP$1:$BP$50000,"Project")</f>
        <v>0</v>
      </c>
      <c r="CA787" s="268"/>
      <c r="CB787" s="268"/>
      <c r="CC787" s="268"/>
      <c r="CD787" s="268"/>
      <c r="CE787" s="268"/>
      <c r="CF787" s="268"/>
      <c r="CG787" s="268"/>
      <c r="CH787" s="268"/>
      <c r="CI787" s="269"/>
      <c r="CJ787" s="267">
        <f t="shared" si="27"/>
        <v>0</v>
      </c>
      <c r="CK787" s="268"/>
      <c r="CL787" s="268"/>
      <c r="CM787" s="268"/>
      <c r="CN787" s="268"/>
      <c r="CO787" s="268"/>
      <c r="CP787" s="268"/>
      <c r="CQ787" s="268"/>
      <c r="CR787" s="268"/>
      <c r="CS787" s="269"/>
    </row>
    <row r="788" spans="1:104" hidden="1">
      <c r="C788" s="308" t="s">
        <v>510</v>
      </c>
      <c r="D788" s="309"/>
      <c r="E788" s="309"/>
      <c r="F788" s="309"/>
      <c r="G788" s="309"/>
      <c r="H788" s="309"/>
      <c r="I788" s="309"/>
      <c r="J788" s="309"/>
      <c r="K788" s="309"/>
      <c r="L788" s="309"/>
      <c r="M788" s="309"/>
      <c r="N788" s="309"/>
      <c r="O788" s="309"/>
      <c r="P788" s="309"/>
      <c r="Q788" s="309"/>
      <c r="R788" s="309"/>
      <c r="S788" s="310"/>
      <c r="T788" s="267">
        <v>0</v>
      </c>
      <c r="U788" s="268"/>
      <c r="V788" s="268"/>
      <c r="W788" s="268"/>
      <c r="X788" s="268"/>
      <c r="Y788" s="268"/>
      <c r="Z788" s="268"/>
      <c r="AA788" s="268"/>
      <c r="AB788" s="268"/>
      <c r="AC788" s="269"/>
      <c r="AD788" s="267">
        <v>0</v>
      </c>
      <c r="AE788" s="268"/>
      <c r="AF788" s="268"/>
      <c r="AG788" s="268"/>
      <c r="AH788" s="268"/>
      <c r="AI788" s="268"/>
      <c r="AJ788" s="268"/>
      <c r="AK788" s="268"/>
      <c r="AL788" s="268"/>
      <c r="AM788" s="269"/>
      <c r="AN788" s="267">
        <f t="shared" si="26"/>
        <v>0</v>
      </c>
      <c r="AO788" s="268"/>
      <c r="AP788" s="268"/>
      <c r="AQ788" s="268"/>
      <c r="AR788" s="268"/>
      <c r="AS788" s="268"/>
      <c r="AT788" s="268"/>
      <c r="AU788" s="268"/>
      <c r="AV788" s="268"/>
      <c r="AW788" s="269"/>
      <c r="AX788" s="22"/>
      <c r="AY788" s="308" t="s">
        <v>510</v>
      </c>
      <c r="AZ788" s="309"/>
      <c r="BA788" s="309"/>
      <c r="BB788" s="309"/>
      <c r="BC788" s="309"/>
      <c r="BD788" s="309"/>
      <c r="BE788" s="309"/>
      <c r="BF788" s="309"/>
      <c r="BG788" s="309"/>
      <c r="BH788" s="309"/>
      <c r="BI788" s="309"/>
      <c r="BJ788" s="309"/>
      <c r="BK788" s="309"/>
      <c r="BL788" s="309"/>
      <c r="BM788" s="309"/>
      <c r="BN788" s="309"/>
      <c r="BO788" s="310"/>
      <c r="BP788" s="267"/>
      <c r="BQ788" s="268"/>
      <c r="BR788" s="268"/>
      <c r="BS788" s="268"/>
      <c r="BT788" s="268"/>
      <c r="BU788" s="268"/>
      <c r="BV788" s="268"/>
      <c r="BW788" s="268"/>
      <c r="BX788" s="268"/>
      <c r="BY788" s="269"/>
      <c r="BZ788" s="267"/>
      <c r="CA788" s="268"/>
      <c r="CB788" s="268"/>
      <c r="CC788" s="268"/>
      <c r="CD788" s="268"/>
      <c r="CE788" s="268"/>
      <c r="CF788" s="268"/>
      <c r="CG788" s="268"/>
      <c r="CH788" s="268"/>
      <c r="CI788" s="269"/>
      <c r="CJ788" s="267">
        <f t="shared" si="27"/>
        <v>0</v>
      </c>
      <c r="CK788" s="268"/>
      <c r="CL788" s="268"/>
      <c r="CM788" s="268"/>
      <c r="CN788" s="268"/>
      <c r="CO788" s="268"/>
      <c r="CP788" s="268"/>
      <c r="CQ788" s="268"/>
      <c r="CR788" s="268"/>
      <c r="CS788" s="269"/>
    </row>
    <row r="789" spans="1:104" hidden="1">
      <c r="C789" s="43"/>
      <c r="D789" s="36" t="str">
        <f>IF(AN786=0,C786&amp;" -","")</f>
        <v>SBI -</v>
      </c>
      <c r="E789" s="42"/>
      <c r="F789" s="42"/>
      <c r="G789" s="42"/>
      <c r="H789" s="42"/>
      <c r="I789" s="42"/>
      <c r="J789" s="42"/>
      <c r="K789" s="42"/>
      <c r="L789" s="42"/>
      <c r="M789" s="42"/>
      <c r="N789" s="42"/>
      <c r="O789" s="42"/>
      <c r="P789" s="1"/>
      <c r="Q789" s="42"/>
      <c r="R789" s="41" t="s">
        <v>275</v>
      </c>
      <c r="S789" s="40"/>
      <c r="T789" s="267">
        <f>SUMIFS('Adv. Filter'!$CH$1:$CH$50000,'Adv. Filter'!$CD$1:$CD$50000,"Ganesh",'Adv. Filter'!$CE$1:$CE$50000,$C786,'Adv. Filter'!$CC$1:$CC$50000,"Suspense",'Adv. Filter'!$CF$1:$CF$50000,"Cash")</f>
        <v>0</v>
      </c>
      <c r="U789" s="268"/>
      <c r="V789" s="268"/>
      <c r="W789" s="268"/>
      <c r="X789" s="268"/>
      <c r="Y789" s="268"/>
      <c r="Z789" s="268"/>
      <c r="AA789" s="268"/>
      <c r="AB789" s="268"/>
      <c r="AC789" s="269"/>
      <c r="AD789" s="267">
        <f>SUMIFS('Adv. Filter'!$CH$1:$CH$50000,'Adv. Filter'!$CD$1:$CD$50000,"Ganesh",'Adv. Filter'!$CE$1:$CE$50000,$C786,'Adv. Filter'!$CC$1:$CC$50000,"Suspense",'Adv. Filter'!$CF$1:$CF$50000,"Bank")</f>
        <v>0</v>
      </c>
      <c r="AE789" s="268"/>
      <c r="AF789" s="268"/>
      <c r="AG789" s="268"/>
      <c r="AH789" s="268"/>
      <c r="AI789" s="268"/>
      <c r="AJ789" s="268"/>
      <c r="AK789" s="268"/>
      <c r="AL789" s="268"/>
      <c r="AM789" s="269"/>
      <c r="AN789" s="267">
        <f t="shared" si="26"/>
        <v>0</v>
      </c>
      <c r="AO789" s="268"/>
      <c r="AP789" s="268"/>
      <c r="AQ789" s="268"/>
      <c r="AR789" s="268"/>
      <c r="AS789" s="268"/>
      <c r="AT789" s="268"/>
      <c r="AU789" s="268"/>
      <c r="AV789" s="268"/>
      <c r="AW789" s="269"/>
      <c r="AX789" s="22"/>
      <c r="AY789" s="43"/>
      <c r="AZ789" s="36" t="str">
        <f>IF(CJ786=0,AY786&amp;" -","")</f>
        <v>SBI -</v>
      </c>
      <c r="BA789" s="42"/>
      <c r="BB789" s="42"/>
      <c r="BC789" s="42"/>
      <c r="BD789" s="42"/>
      <c r="BE789" s="42"/>
      <c r="BF789" s="42"/>
      <c r="BG789" s="42"/>
      <c r="BH789" s="42"/>
      <c r="BI789" s="42"/>
      <c r="BJ789" s="42"/>
      <c r="BK789" s="42"/>
      <c r="BL789" s="1"/>
      <c r="BM789" s="42"/>
      <c r="BN789" s="41" t="s">
        <v>275</v>
      </c>
      <c r="BO789" s="40"/>
      <c r="BP789" s="267"/>
      <c r="BQ789" s="268"/>
      <c r="BR789" s="268"/>
      <c r="BS789" s="268"/>
      <c r="BT789" s="268"/>
      <c r="BU789" s="268"/>
      <c r="BV789" s="268"/>
      <c r="BW789" s="268"/>
      <c r="BX789" s="268"/>
      <c r="BY789" s="269"/>
      <c r="BZ789" s="267"/>
      <c r="CA789" s="268"/>
      <c r="CB789" s="268"/>
      <c r="CC789" s="268"/>
      <c r="CD789" s="268"/>
      <c r="CE789" s="268"/>
      <c r="CF789" s="268"/>
      <c r="CG789" s="268"/>
      <c r="CH789" s="268"/>
      <c r="CI789" s="269"/>
      <c r="CJ789" s="267">
        <f t="shared" si="27"/>
        <v>0</v>
      </c>
      <c r="CK789" s="268"/>
      <c r="CL789" s="268"/>
      <c r="CM789" s="268"/>
      <c r="CN789" s="268"/>
      <c r="CO789" s="268"/>
      <c r="CP789" s="268"/>
      <c r="CQ789" s="268"/>
      <c r="CR789" s="268"/>
      <c r="CS789" s="269"/>
    </row>
    <row r="790" spans="1:104" hidden="1">
      <c r="A790" s="44"/>
      <c r="B790" s="44"/>
      <c r="C790" s="293" t="s">
        <v>551</v>
      </c>
      <c r="D790" s="294"/>
      <c r="E790" s="294"/>
      <c r="F790" s="294"/>
      <c r="G790" s="294"/>
      <c r="H790" s="294"/>
      <c r="I790" s="294"/>
      <c r="J790" s="294"/>
      <c r="K790" s="294"/>
      <c r="L790" s="294"/>
      <c r="M790" s="294"/>
      <c r="N790" s="294"/>
      <c r="O790" s="294"/>
      <c r="P790" s="294"/>
      <c r="Q790" s="294"/>
      <c r="R790" s="294"/>
      <c r="S790" s="295"/>
      <c r="T790" s="276">
        <f>SUMIFS('Adv. Filter'!$BJ$1:$BJ$50000,'Adv. Filter'!$BT$1:$BT$50000,"Ganesh",'Adv. Filter'!$BQ$1:$BQ$50000,$C790,'Adv. Filter'!$BH$1:$BH$50000,"Cash",'Adv. Filter'!$BO$1:$BO$50000,'Adv. Filter'!$A$14,'Adv. Filter'!$BO$1:$BO$50000,'Adv. Filter'!$B$14)</f>
        <v>0</v>
      </c>
      <c r="U790" s="277"/>
      <c r="V790" s="277"/>
      <c r="W790" s="277"/>
      <c r="X790" s="277"/>
      <c r="Y790" s="277"/>
      <c r="Z790" s="277"/>
      <c r="AA790" s="277"/>
      <c r="AB790" s="277"/>
      <c r="AC790" s="278"/>
      <c r="AD790" s="276">
        <f>SUMIFS('Adv. Filter'!$BJ$1:$BJ$50000,'Adv. Filter'!$BT$1:$BT$50000,"Ganesh",'Adv. Filter'!$BQ$1:$BQ$50000,$C790,'Adv. Filter'!$BH$1:$BH$50000,"Bank",'Adv. Filter'!$BO$1:$BO$50000,'Adv. Filter'!$A$14,'Adv. Filter'!$BO$1:$BO$50000,'Adv. Filter'!$B$14)</f>
        <v>0</v>
      </c>
      <c r="AE790" s="277"/>
      <c r="AF790" s="277"/>
      <c r="AG790" s="277"/>
      <c r="AH790" s="277"/>
      <c r="AI790" s="277"/>
      <c r="AJ790" s="277"/>
      <c r="AK790" s="277"/>
      <c r="AL790" s="277"/>
      <c r="AM790" s="278"/>
      <c r="AN790" s="276">
        <f t="shared" ref="AN790:AN825" si="28">T790+AD790</f>
        <v>0</v>
      </c>
      <c r="AO790" s="277"/>
      <c r="AP790" s="277"/>
      <c r="AQ790" s="277"/>
      <c r="AR790" s="277"/>
      <c r="AS790" s="277"/>
      <c r="AT790" s="277"/>
      <c r="AU790" s="277"/>
      <c r="AV790" s="277"/>
      <c r="AW790" s="278"/>
      <c r="AX790" s="45"/>
      <c r="AY790" s="293" t="s">
        <v>551</v>
      </c>
      <c r="AZ790" s="294"/>
      <c r="BA790" s="294"/>
      <c r="BB790" s="294"/>
      <c r="BC790" s="294"/>
      <c r="BD790" s="294"/>
      <c r="BE790" s="294"/>
      <c r="BF790" s="294"/>
      <c r="BG790" s="294"/>
      <c r="BH790" s="294"/>
      <c r="BI790" s="294"/>
      <c r="BJ790" s="294"/>
      <c r="BK790" s="294"/>
      <c r="BL790" s="294"/>
      <c r="BM790" s="294"/>
      <c r="BN790" s="294"/>
      <c r="BO790" s="295"/>
      <c r="BP790" s="276">
        <f>SUMIFS('Adv. Filter'!$BJ$1:$BJ$50000,'Adv. Filter'!$BT$1:$BT$50000,"Ganesh",'Adv. Filter'!$BQ$1:$BQ$50000,$AY790,'Adv. Filter'!$BH$1:$BH$50000,"Cash",'Adv. Filter'!$BO$1:$BO$50000,"&lt;"&amp;'Adv. Filter'!$A$15)</f>
        <v>0</v>
      </c>
      <c r="BQ790" s="277"/>
      <c r="BR790" s="277"/>
      <c r="BS790" s="277"/>
      <c r="BT790" s="277"/>
      <c r="BU790" s="277"/>
      <c r="BV790" s="277"/>
      <c r="BW790" s="277"/>
      <c r="BX790" s="277"/>
      <c r="BY790" s="278"/>
      <c r="BZ790" s="276">
        <f>SUMIFS('Adv. Filter'!$BJ$1:$BJ$50000,'Adv. Filter'!$BT$1:$BT$50000,"Ganesh",'Adv. Filter'!$BQ$1:$BQ$50000,$AY790,'Adv. Filter'!$BH$1:$BH$50000,"Bank",'Adv. Filter'!$BO$1:$BO$50000,"&lt;"&amp;'Adv. Filter'!$A$15)</f>
        <v>0</v>
      </c>
      <c r="CA790" s="277"/>
      <c r="CB790" s="277"/>
      <c r="CC790" s="277"/>
      <c r="CD790" s="277"/>
      <c r="CE790" s="277"/>
      <c r="CF790" s="277"/>
      <c r="CG790" s="277"/>
      <c r="CH790" s="277"/>
      <c r="CI790" s="278"/>
      <c r="CJ790" s="276">
        <f t="shared" ref="CJ790:CJ825" si="29">BP790+BZ790</f>
        <v>0</v>
      </c>
      <c r="CK790" s="277"/>
      <c r="CL790" s="277"/>
      <c r="CM790" s="277"/>
      <c r="CN790" s="277"/>
      <c r="CO790" s="277"/>
      <c r="CP790" s="277"/>
      <c r="CQ790" s="277"/>
      <c r="CR790" s="277"/>
      <c r="CS790" s="278"/>
      <c r="CT790" s="44"/>
      <c r="CU790" s="44"/>
      <c r="CV790" s="44"/>
      <c r="CW790" s="44"/>
      <c r="CX790" s="44"/>
      <c r="CY790" s="44"/>
      <c r="CZ790" s="44"/>
    </row>
    <row r="791" spans="1:104" hidden="1">
      <c r="C791" s="308" t="s">
        <v>115</v>
      </c>
      <c r="D791" s="309"/>
      <c r="E791" s="309"/>
      <c r="F791" s="309"/>
      <c r="G791" s="309"/>
      <c r="H791" s="309"/>
      <c r="I791" s="309"/>
      <c r="J791" s="309"/>
      <c r="K791" s="309"/>
      <c r="L791" s="309"/>
      <c r="M791" s="309"/>
      <c r="N791" s="309"/>
      <c r="O791" s="309"/>
      <c r="P791" s="309"/>
      <c r="Q791" s="309"/>
      <c r="R791" s="309"/>
      <c r="S791" s="310"/>
      <c r="T791" s="267">
        <f>SUMIFS('Adv. Filter'!$BJ$1:$BJ$50000,'Adv. Filter'!$BT$1:$BT$50000,"Ganesh",'Adv. Filter'!$BQ$1:$BQ$50000,$C790,'Adv. Filter'!$BH$1:$BH$50000,"Cash",'Adv. Filter'!$BO$1:$BO$50000,'Adv. Filter'!$A$14,'Adv. Filter'!$BO$1:$BO$50000,'Adv. Filter'!$B$14,'Adv. Filter'!$BP$1:$BP$50000,"Project")</f>
        <v>0</v>
      </c>
      <c r="U791" s="268"/>
      <c r="V791" s="268"/>
      <c r="W791" s="268"/>
      <c r="X791" s="268"/>
      <c r="Y791" s="268"/>
      <c r="Z791" s="268"/>
      <c r="AA791" s="268"/>
      <c r="AB791" s="268"/>
      <c r="AC791" s="269"/>
      <c r="AD791" s="267">
        <f>SUMIFS('Adv. Filter'!$BJ$1:$BJ$50000,'Adv. Filter'!$BT$1:$BT$50000,"Ganesh",'Adv. Filter'!$BQ$1:$BQ$50000,$C790,'Adv. Filter'!$BH$1:$BH$50000,"Bank",'Adv. Filter'!$BO$1:$BO$50000,'Adv. Filter'!$A$14,'Adv. Filter'!$BO$1:$BO$50000,'Adv. Filter'!$B$14,'Adv. Filter'!$BP$1:$BP$50000,"Project")</f>
        <v>0</v>
      </c>
      <c r="AE791" s="268"/>
      <c r="AF791" s="268"/>
      <c r="AG791" s="268"/>
      <c r="AH791" s="268"/>
      <c r="AI791" s="268"/>
      <c r="AJ791" s="268"/>
      <c r="AK791" s="268"/>
      <c r="AL791" s="268"/>
      <c r="AM791" s="269"/>
      <c r="AN791" s="267">
        <f t="shared" si="28"/>
        <v>0</v>
      </c>
      <c r="AO791" s="268"/>
      <c r="AP791" s="268"/>
      <c r="AQ791" s="268"/>
      <c r="AR791" s="268"/>
      <c r="AS791" s="268"/>
      <c r="AT791" s="268"/>
      <c r="AU791" s="268"/>
      <c r="AV791" s="268"/>
      <c r="AW791" s="269"/>
      <c r="AX791" s="22"/>
      <c r="AY791" s="308" t="s">
        <v>115</v>
      </c>
      <c r="AZ791" s="309"/>
      <c r="BA791" s="309"/>
      <c r="BB791" s="309"/>
      <c r="BC791" s="309"/>
      <c r="BD791" s="309"/>
      <c r="BE791" s="309"/>
      <c r="BF791" s="309"/>
      <c r="BG791" s="309"/>
      <c r="BH791" s="309"/>
      <c r="BI791" s="309"/>
      <c r="BJ791" s="309"/>
      <c r="BK791" s="309"/>
      <c r="BL791" s="309"/>
      <c r="BM791" s="309"/>
      <c r="BN791" s="309"/>
      <c r="BO791" s="310"/>
      <c r="BP791" s="267">
        <f>SUMIFS('Adv. Filter'!$BJ$1:$BJ$50000,'Adv. Filter'!$BT$1:$BT$50000,"Ganesh",'Adv. Filter'!$BQ$1:$BQ$50000,$AY790,'Adv. Filter'!$BH$1:$BH$50000,"Cash",'Adv. Filter'!$BO$1:$BO$50000,"&lt;"&amp;'Adv. Filter'!$A$15,'Adv. Filter'!$BP$1:$BP$50000,"Project")</f>
        <v>0</v>
      </c>
      <c r="BQ791" s="268"/>
      <c r="BR791" s="268"/>
      <c r="BS791" s="268"/>
      <c r="BT791" s="268"/>
      <c r="BU791" s="268"/>
      <c r="BV791" s="268"/>
      <c r="BW791" s="268"/>
      <c r="BX791" s="268"/>
      <c r="BY791" s="269"/>
      <c r="BZ791" s="267">
        <f>SUMIFS('Adv. Filter'!$BJ$1:$BJ$50000,'Adv. Filter'!$BT$1:$BT$50000,"Ganesh",'Adv. Filter'!$BQ$1:$BQ$50000,$AY790,'Adv. Filter'!$BH$1:$BH$50000,"Bank",'Adv. Filter'!$BO$1:$BO$50000,"&lt;"&amp;'Adv. Filter'!$A$15,'Adv. Filter'!$BP$1:$BP$50000,"Project")</f>
        <v>0</v>
      </c>
      <c r="CA791" s="268"/>
      <c r="CB791" s="268"/>
      <c r="CC791" s="268"/>
      <c r="CD791" s="268"/>
      <c r="CE791" s="268"/>
      <c r="CF791" s="268"/>
      <c r="CG791" s="268"/>
      <c r="CH791" s="268"/>
      <c r="CI791" s="269"/>
      <c r="CJ791" s="267">
        <f t="shared" si="29"/>
        <v>0</v>
      </c>
      <c r="CK791" s="268"/>
      <c r="CL791" s="268"/>
      <c r="CM791" s="268"/>
      <c r="CN791" s="268"/>
      <c r="CO791" s="268"/>
      <c r="CP791" s="268"/>
      <c r="CQ791" s="268"/>
      <c r="CR791" s="268"/>
      <c r="CS791" s="269"/>
    </row>
    <row r="792" spans="1:104" hidden="1">
      <c r="C792" s="308" t="s">
        <v>510</v>
      </c>
      <c r="D792" s="309"/>
      <c r="E792" s="309"/>
      <c r="F792" s="309"/>
      <c r="G792" s="309"/>
      <c r="H792" s="309"/>
      <c r="I792" s="309"/>
      <c r="J792" s="309"/>
      <c r="K792" s="309"/>
      <c r="L792" s="309"/>
      <c r="M792" s="309"/>
      <c r="N792" s="309"/>
      <c r="O792" s="309"/>
      <c r="P792" s="309"/>
      <c r="Q792" s="309"/>
      <c r="R792" s="309"/>
      <c r="S792" s="310"/>
      <c r="T792" s="267">
        <v>0</v>
      </c>
      <c r="U792" s="268"/>
      <c r="V792" s="268"/>
      <c r="W792" s="268"/>
      <c r="X792" s="268"/>
      <c r="Y792" s="268"/>
      <c r="Z792" s="268"/>
      <c r="AA792" s="268"/>
      <c r="AB792" s="268"/>
      <c r="AC792" s="269"/>
      <c r="AD792" s="267">
        <v>0</v>
      </c>
      <c r="AE792" s="268"/>
      <c r="AF792" s="268"/>
      <c r="AG792" s="268"/>
      <c r="AH792" s="268"/>
      <c r="AI792" s="268"/>
      <c r="AJ792" s="268"/>
      <c r="AK792" s="268"/>
      <c r="AL792" s="268"/>
      <c r="AM792" s="269"/>
      <c r="AN792" s="267">
        <f t="shared" si="28"/>
        <v>0</v>
      </c>
      <c r="AO792" s="268"/>
      <c r="AP792" s="268"/>
      <c r="AQ792" s="268"/>
      <c r="AR792" s="268"/>
      <c r="AS792" s="268"/>
      <c r="AT792" s="268"/>
      <c r="AU792" s="268"/>
      <c r="AV792" s="268"/>
      <c r="AW792" s="269"/>
      <c r="AX792" s="22"/>
      <c r="AY792" s="308" t="s">
        <v>510</v>
      </c>
      <c r="AZ792" s="309"/>
      <c r="BA792" s="309"/>
      <c r="BB792" s="309"/>
      <c r="BC792" s="309"/>
      <c r="BD792" s="309"/>
      <c r="BE792" s="309"/>
      <c r="BF792" s="309"/>
      <c r="BG792" s="309"/>
      <c r="BH792" s="309"/>
      <c r="BI792" s="309"/>
      <c r="BJ792" s="309"/>
      <c r="BK792" s="309"/>
      <c r="BL792" s="309"/>
      <c r="BM792" s="309"/>
      <c r="BN792" s="309"/>
      <c r="BO792" s="310"/>
      <c r="BP792" s="267"/>
      <c r="BQ792" s="268"/>
      <c r="BR792" s="268"/>
      <c r="BS792" s="268"/>
      <c r="BT792" s="268"/>
      <c r="BU792" s="268"/>
      <c r="BV792" s="268"/>
      <c r="BW792" s="268"/>
      <c r="BX792" s="268"/>
      <c r="BY792" s="269"/>
      <c r="BZ792" s="267"/>
      <c r="CA792" s="268"/>
      <c r="CB792" s="268"/>
      <c r="CC792" s="268"/>
      <c r="CD792" s="268"/>
      <c r="CE792" s="268"/>
      <c r="CF792" s="268"/>
      <c r="CG792" s="268"/>
      <c r="CH792" s="268"/>
      <c r="CI792" s="269"/>
      <c r="CJ792" s="267">
        <f t="shared" si="29"/>
        <v>0</v>
      </c>
      <c r="CK792" s="268"/>
      <c r="CL792" s="268"/>
      <c r="CM792" s="268"/>
      <c r="CN792" s="268"/>
      <c r="CO792" s="268"/>
      <c r="CP792" s="268"/>
      <c r="CQ792" s="268"/>
      <c r="CR792" s="268"/>
      <c r="CS792" s="269"/>
    </row>
    <row r="793" spans="1:104" hidden="1">
      <c r="A793" s="44"/>
      <c r="B793" s="44"/>
      <c r="C793" s="293" t="s">
        <v>121</v>
      </c>
      <c r="D793" s="294"/>
      <c r="E793" s="294"/>
      <c r="F793" s="294"/>
      <c r="G793" s="294"/>
      <c r="H793" s="294"/>
      <c r="I793" s="294"/>
      <c r="J793" s="294"/>
      <c r="K793" s="294"/>
      <c r="L793" s="294"/>
      <c r="M793" s="294"/>
      <c r="N793" s="294"/>
      <c r="O793" s="294"/>
      <c r="P793" s="294"/>
      <c r="Q793" s="294"/>
      <c r="R793" s="294"/>
      <c r="S793" s="295"/>
      <c r="T793" s="276">
        <f>SUMIFS('Adv. Filter'!$BJ$1:$BJ$50000,'Adv. Filter'!$BT$1:$BT$50000,"Ganesh",'Adv. Filter'!$BQ$1:$BQ$50000,$C793,'Adv. Filter'!$BH$1:$BH$50000,"Cash",'Adv. Filter'!$BO$1:$BO$50000,'Adv. Filter'!$A$14,'Adv. Filter'!$BO$1:$BO$50000,'Adv. Filter'!$B$14)</f>
        <v>0</v>
      </c>
      <c r="U793" s="277"/>
      <c r="V793" s="277"/>
      <c r="W793" s="277"/>
      <c r="X793" s="277"/>
      <c r="Y793" s="277"/>
      <c r="Z793" s="277"/>
      <c r="AA793" s="277"/>
      <c r="AB793" s="277"/>
      <c r="AC793" s="278"/>
      <c r="AD793" s="276">
        <f>SUMIFS('Adv. Filter'!$BJ$1:$BJ$50000,'Adv. Filter'!$BT$1:$BT$50000,"Ganesh",'Adv. Filter'!$BQ$1:$BQ$50000,$C793,'Adv. Filter'!$BH$1:$BH$50000,"Bank",'Adv. Filter'!$BO$1:$BO$50000,'Adv. Filter'!$A$14,'Adv. Filter'!$BO$1:$BO$50000,'Adv. Filter'!$B$14)</f>
        <v>0</v>
      </c>
      <c r="AE793" s="277"/>
      <c r="AF793" s="277"/>
      <c r="AG793" s="277"/>
      <c r="AH793" s="277"/>
      <c r="AI793" s="277"/>
      <c r="AJ793" s="277"/>
      <c r="AK793" s="277"/>
      <c r="AL793" s="277"/>
      <c r="AM793" s="278"/>
      <c r="AN793" s="276">
        <f t="shared" si="28"/>
        <v>0</v>
      </c>
      <c r="AO793" s="277"/>
      <c r="AP793" s="277"/>
      <c r="AQ793" s="277"/>
      <c r="AR793" s="277"/>
      <c r="AS793" s="277"/>
      <c r="AT793" s="277"/>
      <c r="AU793" s="277"/>
      <c r="AV793" s="277"/>
      <c r="AW793" s="278"/>
      <c r="AX793" s="45"/>
      <c r="AY793" s="293" t="s">
        <v>121</v>
      </c>
      <c r="AZ793" s="294"/>
      <c r="BA793" s="294"/>
      <c r="BB793" s="294"/>
      <c r="BC793" s="294"/>
      <c r="BD793" s="294"/>
      <c r="BE793" s="294"/>
      <c r="BF793" s="294"/>
      <c r="BG793" s="294"/>
      <c r="BH793" s="294"/>
      <c r="BI793" s="294"/>
      <c r="BJ793" s="294"/>
      <c r="BK793" s="294"/>
      <c r="BL793" s="294"/>
      <c r="BM793" s="294"/>
      <c r="BN793" s="294"/>
      <c r="BO793" s="295"/>
      <c r="BP793" s="276">
        <f>SUMIFS('Adv. Filter'!$BJ$1:$BJ$50000,'Adv. Filter'!$BT$1:$BT$50000,"Ganesh",'Adv. Filter'!$BQ$1:$BQ$50000,$AY793,'Adv. Filter'!$BH$1:$BH$50000,"Cash",'Adv. Filter'!$BO$1:$BO$50000,"&lt;"&amp;'Adv. Filter'!$A$15)</f>
        <v>0</v>
      </c>
      <c r="BQ793" s="277"/>
      <c r="BR793" s="277"/>
      <c r="BS793" s="277"/>
      <c r="BT793" s="277"/>
      <c r="BU793" s="277"/>
      <c r="BV793" s="277"/>
      <c r="BW793" s="277"/>
      <c r="BX793" s="277"/>
      <c r="BY793" s="278"/>
      <c r="BZ793" s="276">
        <f>SUMIFS('Adv. Filter'!$BJ$1:$BJ$50000,'Adv. Filter'!$BT$1:$BT$50000,"Ganesh",'Adv. Filter'!$BQ$1:$BQ$50000,$AY793,'Adv. Filter'!$BH$1:$BH$50000,"Bank",'Adv. Filter'!$BO$1:$BO$50000,"&lt;"&amp;'Adv. Filter'!$A$15)</f>
        <v>0</v>
      </c>
      <c r="CA793" s="277"/>
      <c r="CB793" s="277"/>
      <c r="CC793" s="277"/>
      <c r="CD793" s="277"/>
      <c r="CE793" s="277"/>
      <c r="CF793" s="277"/>
      <c r="CG793" s="277"/>
      <c r="CH793" s="277"/>
      <c r="CI793" s="278"/>
      <c r="CJ793" s="276">
        <f t="shared" si="29"/>
        <v>0</v>
      </c>
      <c r="CK793" s="277"/>
      <c r="CL793" s="277"/>
      <c r="CM793" s="277"/>
      <c r="CN793" s="277"/>
      <c r="CO793" s="277"/>
      <c r="CP793" s="277"/>
      <c r="CQ793" s="277"/>
      <c r="CR793" s="277"/>
      <c r="CS793" s="278"/>
      <c r="CT793" s="44"/>
      <c r="CU793" s="44"/>
      <c r="CV793" s="44"/>
      <c r="CW793" s="44"/>
      <c r="CX793" s="44"/>
      <c r="CY793" s="44"/>
      <c r="CZ793" s="44"/>
    </row>
    <row r="794" spans="1:104" hidden="1">
      <c r="C794" s="308" t="s">
        <v>115</v>
      </c>
      <c r="D794" s="309"/>
      <c r="E794" s="309"/>
      <c r="F794" s="309"/>
      <c r="G794" s="309"/>
      <c r="H794" s="309"/>
      <c r="I794" s="309"/>
      <c r="J794" s="309"/>
      <c r="K794" s="309"/>
      <c r="L794" s="309"/>
      <c r="M794" s="309"/>
      <c r="N794" s="309"/>
      <c r="O794" s="309"/>
      <c r="P794" s="309"/>
      <c r="Q794" s="309"/>
      <c r="R794" s="309"/>
      <c r="S794" s="310"/>
      <c r="T794" s="267">
        <f>SUMIFS('Adv. Filter'!$BJ$1:$BJ$50000,'Adv. Filter'!$BT$1:$BT$50000,"Ganesh",'Adv. Filter'!$BQ$1:$BQ$50000,$C793,'Adv. Filter'!$BH$1:$BH$50000,"Cash",'Adv. Filter'!$BO$1:$BO$50000,'Adv. Filter'!$A$14,'Adv. Filter'!$BO$1:$BO$50000,'Adv. Filter'!$B$14,'Adv. Filter'!$BP$1:$BP$50000,"Project")</f>
        <v>0</v>
      </c>
      <c r="U794" s="268"/>
      <c r="V794" s="268"/>
      <c r="W794" s="268"/>
      <c r="X794" s="268"/>
      <c r="Y794" s="268"/>
      <c r="Z794" s="268"/>
      <c r="AA794" s="268"/>
      <c r="AB794" s="268"/>
      <c r="AC794" s="269"/>
      <c r="AD794" s="267">
        <f>SUMIFS('Adv. Filter'!$BJ$1:$BJ$50000,'Adv. Filter'!$BT$1:$BT$50000,"Ganesh",'Adv. Filter'!$BQ$1:$BQ$50000,$C793,'Adv. Filter'!$BH$1:$BH$50000,"Bank",'Adv. Filter'!$BO$1:$BO$50000,'Adv. Filter'!$A$14,'Adv. Filter'!$BO$1:$BO$50000,'Adv. Filter'!$B$14,'Adv. Filter'!$BP$1:$BP$50000,"Project")</f>
        <v>0</v>
      </c>
      <c r="AE794" s="268"/>
      <c r="AF794" s="268"/>
      <c r="AG794" s="268"/>
      <c r="AH794" s="268"/>
      <c r="AI794" s="268"/>
      <c r="AJ794" s="268"/>
      <c r="AK794" s="268"/>
      <c r="AL794" s="268"/>
      <c r="AM794" s="269"/>
      <c r="AN794" s="267">
        <f t="shared" si="28"/>
        <v>0</v>
      </c>
      <c r="AO794" s="268"/>
      <c r="AP794" s="268"/>
      <c r="AQ794" s="268"/>
      <c r="AR794" s="268"/>
      <c r="AS794" s="268"/>
      <c r="AT794" s="268"/>
      <c r="AU794" s="268"/>
      <c r="AV794" s="268"/>
      <c r="AW794" s="269"/>
      <c r="AX794" s="22"/>
      <c r="AY794" s="308" t="s">
        <v>115</v>
      </c>
      <c r="AZ794" s="309"/>
      <c r="BA794" s="309"/>
      <c r="BB794" s="309"/>
      <c r="BC794" s="309"/>
      <c r="BD794" s="309"/>
      <c r="BE794" s="309"/>
      <c r="BF794" s="309"/>
      <c r="BG794" s="309"/>
      <c r="BH794" s="309"/>
      <c r="BI794" s="309"/>
      <c r="BJ794" s="309"/>
      <c r="BK794" s="309"/>
      <c r="BL794" s="309"/>
      <c r="BM794" s="309"/>
      <c r="BN794" s="309"/>
      <c r="BO794" s="310"/>
      <c r="BP794" s="267">
        <f>SUMIFS('Adv. Filter'!$BJ$1:$BJ$50000,'Adv. Filter'!$BT$1:$BT$50000,"Ganesh",'Adv. Filter'!$BQ$1:$BQ$50000,$AY793,'Adv. Filter'!$BH$1:$BH$50000,"Cash",'Adv. Filter'!$BO$1:$BO$50000,"&lt;"&amp;'Adv. Filter'!$A$15,'Adv. Filter'!$BP$1:$BP$50000,"Project")</f>
        <v>0</v>
      </c>
      <c r="BQ794" s="268"/>
      <c r="BR794" s="268"/>
      <c r="BS794" s="268"/>
      <c r="BT794" s="268"/>
      <c r="BU794" s="268"/>
      <c r="BV794" s="268"/>
      <c r="BW794" s="268"/>
      <c r="BX794" s="268"/>
      <c r="BY794" s="269"/>
      <c r="BZ794" s="267">
        <f>SUMIFS('Adv. Filter'!$BJ$1:$BJ$50000,'Adv. Filter'!$BT$1:$BT$50000,"Ganesh",'Adv. Filter'!$BQ$1:$BQ$50000,$AY793,'Adv. Filter'!$BH$1:$BH$50000,"Bank",'Adv. Filter'!$BO$1:$BO$50000,"&lt;"&amp;'Adv. Filter'!$A$15,'Adv. Filter'!$BP$1:$BP$50000,"Project")</f>
        <v>0</v>
      </c>
      <c r="CA794" s="268"/>
      <c r="CB794" s="268"/>
      <c r="CC794" s="268"/>
      <c r="CD794" s="268"/>
      <c r="CE794" s="268"/>
      <c r="CF794" s="268"/>
      <c r="CG794" s="268"/>
      <c r="CH794" s="268"/>
      <c r="CI794" s="269"/>
      <c r="CJ794" s="267">
        <f t="shared" si="29"/>
        <v>0</v>
      </c>
      <c r="CK794" s="268"/>
      <c r="CL794" s="268"/>
      <c r="CM794" s="268"/>
      <c r="CN794" s="268"/>
      <c r="CO794" s="268"/>
      <c r="CP794" s="268"/>
      <c r="CQ794" s="268"/>
      <c r="CR794" s="268"/>
      <c r="CS794" s="269"/>
    </row>
    <row r="795" spans="1:104" hidden="1">
      <c r="C795" s="308" t="s">
        <v>510</v>
      </c>
      <c r="D795" s="309"/>
      <c r="E795" s="309"/>
      <c r="F795" s="309"/>
      <c r="G795" s="309"/>
      <c r="H795" s="309"/>
      <c r="I795" s="309"/>
      <c r="J795" s="309"/>
      <c r="K795" s="309"/>
      <c r="L795" s="309"/>
      <c r="M795" s="309"/>
      <c r="N795" s="309"/>
      <c r="O795" s="309"/>
      <c r="P795" s="309"/>
      <c r="Q795" s="309"/>
      <c r="R795" s="309"/>
      <c r="S795" s="310"/>
      <c r="T795" s="267">
        <v>0</v>
      </c>
      <c r="U795" s="268"/>
      <c r="V795" s="268"/>
      <c r="W795" s="268"/>
      <c r="X795" s="268"/>
      <c r="Y795" s="268"/>
      <c r="Z795" s="268"/>
      <c r="AA795" s="268"/>
      <c r="AB795" s="268"/>
      <c r="AC795" s="269"/>
      <c r="AD795" s="267">
        <v>0</v>
      </c>
      <c r="AE795" s="268"/>
      <c r="AF795" s="268"/>
      <c r="AG795" s="268"/>
      <c r="AH795" s="268"/>
      <c r="AI795" s="268"/>
      <c r="AJ795" s="268"/>
      <c r="AK795" s="268"/>
      <c r="AL795" s="268"/>
      <c r="AM795" s="269"/>
      <c r="AN795" s="267">
        <f t="shared" si="28"/>
        <v>0</v>
      </c>
      <c r="AO795" s="268"/>
      <c r="AP795" s="268"/>
      <c r="AQ795" s="268"/>
      <c r="AR795" s="268"/>
      <c r="AS795" s="268"/>
      <c r="AT795" s="268"/>
      <c r="AU795" s="268"/>
      <c r="AV795" s="268"/>
      <c r="AW795" s="269"/>
      <c r="AX795" s="22"/>
      <c r="AY795" s="308" t="s">
        <v>510</v>
      </c>
      <c r="AZ795" s="309"/>
      <c r="BA795" s="309"/>
      <c r="BB795" s="309"/>
      <c r="BC795" s="309"/>
      <c r="BD795" s="309"/>
      <c r="BE795" s="309"/>
      <c r="BF795" s="309"/>
      <c r="BG795" s="309"/>
      <c r="BH795" s="309"/>
      <c r="BI795" s="309"/>
      <c r="BJ795" s="309"/>
      <c r="BK795" s="309"/>
      <c r="BL795" s="309"/>
      <c r="BM795" s="309"/>
      <c r="BN795" s="309"/>
      <c r="BO795" s="310"/>
      <c r="BP795" s="267"/>
      <c r="BQ795" s="268"/>
      <c r="BR795" s="268"/>
      <c r="BS795" s="268"/>
      <c r="BT795" s="268"/>
      <c r="BU795" s="268"/>
      <c r="BV795" s="268"/>
      <c r="BW795" s="268"/>
      <c r="BX795" s="268"/>
      <c r="BY795" s="269"/>
      <c r="BZ795" s="267"/>
      <c r="CA795" s="268"/>
      <c r="CB795" s="268"/>
      <c r="CC795" s="268"/>
      <c r="CD795" s="268"/>
      <c r="CE795" s="268"/>
      <c r="CF795" s="268"/>
      <c r="CG795" s="268"/>
      <c r="CH795" s="268"/>
      <c r="CI795" s="269"/>
      <c r="CJ795" s="267">
        <f t="shared" si="29"/>
        <v>0</v>
      </c>
      <c r="CK795" s="268"/>
      <c r="CL795" s="268"/>
      <c r="CM795" s="268"/>
      <c r="CN795" s="268"/>
      <c r="CO795" s="268"/>
      <c r="CP795" s="268"/>
      <c r="CQ795" s="268"/>
      <c r="CR795" s="268"/>
      <c r="CS795" s="269"/>
    </row>
    <row r="796" spans="1:104" hidden="1">
      <c r="C796" s="43"/>
      <c r="D796" s="36" t="str">
        <f>IF(AN793=0,C793&amp;" -","")</f>
        <v>SBH -</v>
      </c>
      <c r="E796" s="42"/>
      <c r="F796" s="42"/>
      <c r="G796" s="42"/>
      <c r="H796" s="42"/>
      <c r="I796" s="42"/>
      <c r="J796" s="42"/>
      <c r="K796" s="42"/>
      <c r="L796" s="42"/>
      <c r="M796" s="42"/>
      <c r="N796" s="42"/>
      <c r="O796" s="42"/>
      <c r="P796" s="1"/>
      <c r="Q796" s="42"/>
      <c r="R796" s="41" t="s">
        <v>275</v>
      </c>
      <c r="S796" s="40"/>
      <c r="T796" s="267">
        <f>SUMIFS('Adv. Filter'!$CH$1:$CH$50000,'Adv. Filter'!$CD$1:$CD$50000,"Ganesh",'Adv. Filter'!$CE$1:$CE$50000,$C793,'Adv. Filter'!$CC$1:$CC$50000,"Suspense",'Adv. Filter'!$CF$1:$CF$50000,"Cash")</f>
        <v>1000</v>
      </c>
      <c r="U796" s="268"/>
      <c r="V796" s="268"/>
      <c r="W796" s="268"/>
      <c r="X796" s="268"/>
      <c r="Y796" s="268"/>
      <c r="Z796" s="268"/>
      <c r="AA796" s="268"/>
      <c r="AB796" s="268"/>
      <c r="AC796" s="269"/>
      <c r="AD796" s="267">
        <f>SUMIFS('Adv. Filter'!$CH$1:$CH$50000,'Adv. Filter'!$CD$1:$CD$50000,"Ganesh",'Adv. Filter'!$CE$1:$CE$50000,$C793,'Adv. Filter'!$CC$1:$CC$50000,"Suspense",'Adv. Filter'!$CF$1:$CF$50000,"Bank")</f>
        <v>28710</v>
      </c>
      <c r="AE796" s="268"/>
      <c r="AF796" s="268"/>
      <c r="AG796" s="268"/>
      <c r="AH796" s="268"/>
      <c r="AI796" s="268"/>
      <c r="AJ796" s="268"/>
      <c r="AK796" s="268"/>
      <c r="AL796" s="268"/>
      <c r="AM796" s="269"/>
      <c r="AN796" s="267">
        <f t="shared" si="28"/>
        <v>29710</v>
      </c>
      <c r="AO796" s="268"/>
      <c r="AP796" s="268"/>
      <c r="AQ796" s="268"/>
      <c r="AR796" s="268"/>
      <c r="AS796" s="268"/>
      <c r="AT796" s="268"/>
      <c r="AU796" s="268"/>
      <c r="AV796" s="268"/>
      <c r="AW796" s="269"/>
      <c r="AX796" s="22"/>
      <c r="AY796" s="43"/>
      <c r="AZ796" s="36" t="str">
        <f>IF(CJ793=0,AY793&amp;" -","")</f>
        <v>SBH -</v>
      </c>
      <c r="BA796" s="42"/>
      <c r="BB796" s="42"/>
      <c r="BC796" s="42"/>
      <c r="BD796" s="42"/>
      <c r="BE796" s="42"/>
      <c r="BF796" s="42"/>
      <c r="BG796" s="42"/>
      <c r="BH796" s="42"/>
      <c r="BI796" s="42"/>
      <c r="BJ796" s="42"/>
      <c r="BK796" s="42"/>
      <c r="BL796" s="1"/>
      <c r="BM796" s="42"/>
      <c r="BN796" s="41" t="s">
        <v>275</v>
      </c>
      <c r="BO796" s="40"/>
      <c r="BP796" s="267"/>
      <c r="BQ796" s="268"/>
      <c r="BR796" s="268"/>
      <c r="BS796" s="268"/>
      <c r="BT796" s="268"/>
      <c r="BU796" s="268"/>
      <c r="BV796" s="268"/>
      <c r="BW796" s="268"/>
      <c r="BX796" s="268"/>
      <c r="BY796" s="269"/>
      <c r="BZ796" s="267"/>
      <c r="CA796" s="268"/>
      <c r="CB796" s="268"/>
      <c r="CC796" s="268"/>
      <c r="CD796" s="268"/>
      <c r="CE796" s="268"/>
      <c r="CF796" s="268"/>
      <c r="CG796" s="268"/>
      <c r="CH796" s="268"/>
      <c r="CI796" s="269"/>
      <c r="CJ796" s="267">
        <f t="shared" si="29"/>
        <v>0</v>
      </c>
      <c r="CK796" s="268"/>
      <c r="CL796" s="268"/>
      <c r="CM796" s="268"/>
      <c r="CN796" s="268"/>
      <c r="CO796" s="268"/>
      <c r="CP796" s="268"/>
      <c r="CQ796" s="268"/>
      <c r="CR796" s="268"/>
      <c r="CS796" s="269"/>
    </row>
    <row r="797" spans="1:104" hidden="1">
      <c r="A797" s="44"/>
      <c r="B797" s="44"/>
      <c r="C797" s="293" t="s">
        <v>111</v>
      </c>
      <c r="D797" s="294"/>
      <c r="E797" s="294"/>
      <c r="F797" s="294"/>
      <c r="G797" s="294"/>
      <c r="H797" s="294"/>
      <c r="I797" s="294"/>
      <c r="J797" s="294"/>
      <c r="K797" s="294"/>
      <c r="L797" s="294"/>
      <c r="M797" s="294"/>
      <c r="N797" s="294"/>
      <c r="O797" s="294"/>
      <c r="P797" s="294"/>
      <c r="Q797" s="294"/>
      <c r="R797" s="294"/>
      <c r="S797" s="295"/>
      <c r="T797" s="276">
        <f>SUMIFS('Adv. Filter'!$BJ$1:$BJ$50000,'Adv. Filter'!$BT$1:$BT$50000,"Ganesh",'Adv. Filter'!$BQ$1:$BQ$50000,$C797,'Adv. Filter'!$BH$1:$BH$50000,"Cash",'Adv. Filter'!$BO$1:$BO$50000,'Adv. Filter'!$A$14,'Adv. Filter'!$BO$1:$BO$50000,'Adv. Filter'!$B$14)</f>
        <v>0</v>
      </c>
      <c r="U797" s="277"/>
      <c r="V797" s="277"/>
      <c r="W797" s="277"/>
      <c r="X797" s="277"/>
      <c r="Y797" s="277"/>
      <c r="Z797" s="277"/>
      <c r="AA797" s="277"/>
      <c r="AB797" s="277"/>
      <c r="AC797" s="278"/>
      <c r="AD797" s="276">
        <f>SUMIFS('Adv. Filter'!$BJ$1:$BJ$50000,'Adv. Filter'!$BT$1:$BT$50000,"Ganesh",'Adv. Filter'!$BQ$1:$BQ$50000,$C797,'Adv. Filter'!$BH$1:$BH$50000,"Bank",'Adv. Filter'!$BO$1:$BO$50000,'Adv. Filter'!$A$14,'Adv. Filter'!$BO$1:$BO$50000,'Adv. Filter'!$B$14)</f>
        <v>0</v>
      </c>
      <c r="AE797" s="277"/>
      <c r="AF797" s="277"/>
      <c r="AG797" s="277"/>
      <c r="AH797" s="277"/>
      <c r="AI797" s="277"/>
      <c r="AJ797" s="277"/>
      <c r="AK797" s="277"/>
      <c r="AL797" s="277"/>
      <c r="AM797" s="278"/>
      <c r="AN797" s="276">
        <f t="shared" si="28"/>
        <v>0</v>
      </c>
      <c r="AO797" s="277"/>
      <c r="AP797" s="277"/>
      <c r="AQ797" s="277"/>
      <c r="AR797" s="277"/>
      <c r="AS797" s="277"/>
      <c r="AT797" s="277"/>
      <c r="AU797" s="277"/>
      <c r="AV797" s="277"/>
      <c r="AW797" s="278"/>
      <c r="AX797" s="45"/>
      <c r="AY797" s="293" t="s">
        <v>111</v>
      </c>
      <c r="AZ797" s="294"/>
      <c r="BA797" s="294"/>
      <c r="BB797" s="294"/>
      <c r="BC797" s="294"/>
      <c r="BD797" s="294"/>
      <c r="BE797" s="294"/>
      <c r="BF797" s="294"/>
      <c r="BG797" s="294"/>
      <c r="BH797" s="294"/>
      <c r="BI797" s="294"/>
      <c r="BJ797" s="294"/>
      <c r="BK797" s="294"/>
      <c r="BL797" s="294"/>
      <c r="BM797" s="294"/>
      <c r="BN797" s="294"/>
      <c r="BO797" s="295"/>
      <c r="BP797" s="276">
        <f>SUMIFS('Adv. Filter'!$BJ$1:$BJ$50000,'Adv. Filter'!$BT$1:$BT$50000,"Ganesh",'Adv. Filter'!$BQ$1:$BQ$50000,$AY797,'Adv. Filter'!$BH$1:$BH$50000,"Cash",'Adv. Filter'!$BO$1:$BO$50000,"&lt;"&amp;'Adv. Filter'!$A$15)</f>
        <v>0</v>
      </c>
      <c r="BQ797" s="277"/>
      <c r="BR797" s="277"/>
      <c r="BS797" s="277"/>
      <c r="BT797" s="277"/>
      <c r="BU797" s="277"/>
      <c r="BV797" s="277"/>
      <c r="BW797" s="277"/>
      <c r="BX797" s="277"/>
      <c r="BY797" s="278"/>
      <c r="BZ797" s="276">
        <f>SUMIFS('Adv. Filter'!$BJ$1:$BJ$50000,'Adv. Filter'!$BT$1:$BT$50000,"Ganesh",'Adv. Filter'!$BQ$1:$BQ$50000,$AY797,'Adv. Filter'!$BH$1:$BH$50000,"Bank",'Adv. Filter'!$BO$1:$BO$50000,"&lt;"&amp;'Adv. Filter'!$A$15)</f>
        <v>0</v>
      </c>
      <c r="CA797" s="277"/>
      <c r="CB797" s="277"/>
      <c r="CC797" s="277"/>
      <c r="CD797" s="277"/>
      <c r="CE797" s="277"/>
      <c r="CF797" s="277"/>
      <c r="CG797" s="277"/>
      <c r="CH797" s="277"/>
      <c r="CI797" s="278"/>
      <c r="CJ797" s="276">
        <f t="shared" si="29"/>
        <v>0</v>
      </c>
      <c r="CK797" s="277"/>
      <c r="CL797" s="277"/>
      <c r="CM797" s="277"/>
      <c r="CN797" s="277"/>
      <c r="CO797" s="277"/>
      <c r="CP797" s="277"/>
      <c r="CQ797" s="277"/>
      <c r="CR797" s="277"/>
      <c r="CS797" s="278"/>
      <c r="CT797" s="44"/>
      <c r="CU797" s="44"/>
      <c r="CV797" s="44"/>
      <c r="CW797" s="44"/>
      <c r="CX797" s="44"/>
      <c r="CY797" s="44"/>
      <c r="CZ797" s="44"/>
    </row>
    <row r="798" spans="1:104" hidden="1">
      <c r="C798" s="308" t="s">
        <v>115</v>
      </c>
      <c r="D798" s="309"/>
      <c r="E798" s="309"/>
      <c r="F798" s="309"/>
      <c r="G798" s="309"/>
      <c r="H798" s="309"/>
      <c r="I798" s="309"/>
      <c r="J798" s="309"/>
      <c r="K798" s="309"/>
      <c r="L798" s="309"/>
      <c r="M798" s="309"/>
      <c r="N798" s="309"/>
      <c r="O798" s="309"/>
      <c r="P798" s="309"/>
      <c r="Q798" s="309"/>
      <c r="R798" s="309"/>
      <c r="S798" s="310"/>
      <c r="T798" s="267">
        <f>SUMIFS('Adv. Filter'!$BJ$1:$BJ$50000,'Adv. Filter'!$BT$1:$BT$50000,"Ganesh",'Adv. Filter'!$BQ$1:$BQ$50000,$C797,'Adv. Filter'!$BH$1:$BH$50000,"Cash",'Adv. Filter'!$BO$1:$BO$50000,'Adv. Filter'!$A$14,'Adv. Filter'!$BO$1:$BO$50000,'Adv. Filter'!$B$14,'Adv. Filter'!$BP$1:$BP$50000,"Project")</f>
        <v>0</v>
      </c>
      <c r="U798" s="268"/>
      <c r="V798" s="268"/>
      <c r="W798" s="268"/>
      <c r="X798" s="268"/>
      <c r="Y798" s="268"/>
      <c r="Z798" s="268"/>
      <c r="AA798" s="268"/>
      <c r="AB798" s="268"/>
      <c r="AC798" s="269"/>
      <c r="AD798" s="267">
        <f>SUMIFS('Adv. Filter'!$BJ$1:$BJ$50000,'Adv. Filter'!$BT$1:$BT$50000,"Ganesh",'Adv. Filter'!$BQ$1:$BQ$50000,$C797,'Adv. Filter'!$BH$1:$BH$50000,"Bank",'Adv. Filter'!$BO$1:$BO$50000,'Adv. Filter'!$A$14,'Adv. Filter'!$BO$1:$BO$50000,'Adv. Filter'!$B$14,'Adv. Filter'!$BP$1:$BP$50000,"Project")</f>
        <v>0</v>
      </c>
      <c r="AE798" s="268"/>
      <c r="AF798" s="268"/>
      <c r="AG798" s="268"/>
      <c r="AH798" s="268"/>
      <c r="AI798" s="268"/>
      <c r="AJ798" s="268"/>
      <c r="AK798" s="268"/>
      <c r="AL798" s="268"/>
      <c r="AM798" s="269"/>
      <c r="AN798" s="267">
        <f t="shared" si="28"/>
        <v>0</v>
      </c>
      <c r="AO798" s="268"/>
      <c r="AP798" s="268"/>
      <c r="AQ798" s="268"/>
      <c r="AR798" s="268"/>
      <c r="AS798" s="268"/>
      <c r="AT798" s="268"/>
      <c r="AU798" s="268"/>
      <c r="AV798" s="268"/>
      <c r="AW798" s="269"/>
      <c r="AX798" s="22"/>
      <c r="AY798" s="308" t="s">
        <v>115</v>
      </c>
      <c r="AZ798" s="309"/>
      <c r="BA798" s="309"/>
      <c r="BB798" s="309"/>
      <c r="BC798" s="309"/>
      <c r="BD798" s="309"/>
      <c r="BE798" s="309"/>
      <c r="BF798" s="309"/>
      <c r="BG798" s="309"/>
      <c r="BH798" s="309"/>
      <c r="BI798" s="309"/>
      <c r="BJ798" s="309"/>
      <c r="BK798" s="309"/>
      <c r="BL798" s="309"/>
      <c r="BM798" s="309"/>
      <c r="BN798" s="309"/>
      <c r="BO798" s="310"/>
      <c r="BP798" s="267">
        <f>SUMIFS('Adv. Filter'!$BJ$1:$BJ$50000,'Adv. Filter'!$BT$1:$BT$50000,"Ganesh",'Adv. Filter'!$BQ$1:$BQ$50000,$AY797,'Adv. Filter'!$BH$1:$BH$50000,"Cash",'Adv. Filter'!$BO$1:$BO$50000,"&lt;"&amp;'Adv. Filter'!$A$15,'Adv. Filter'!$BP$1:$BP$50000,"Project")</f>
        <v>0</v>
      </c>
      <c r="BQ798" s="268"/>
      <c r="BR798" s="268"/>
      <c r="BS798" s="268"/>
      <c r="BT798" s="268"/>
      <c r="BU798" s="268"/>
      <c r="BV798" s="268"/>
      <c r="BW798" s="268"/>
      <c r="BX798" s="268"/>
      <c r="BY798" s="269"/>
      <c r="BZ798" s="267">
        <f>SUMIFS('Adv. Filter'!$BJ$1:$BJ$50000,'Adv. Filter'!$BT$1:$BT$50000,"Ganesh",'Adv. Filter'!$BQ$1:$BQ$50000,$AY797,'Adv. Filter'!$BH$1:$BH$50000,"Bank",'Adv. Filter'!$BO$1:$BO$50000,"&lt;"&amp;'Adv. Filter'!$A$15,'Adv. Filter'!$BP$1:$BP$50000,"Project")</f>
        <v>0</v>
      </c>
      <c r="CA798" s="268"/>
      <c r="CB798" s="268"/>
      <c r="CC798" s="268"/>
      <c r="CD798" s="268"/>
      <c r="CE798" s="268"/>
      <c r="CF798" s="268"/>
      <c r="CG798" s="268"/>
      <c r="CH798" s="268"/>
      <c r="CI798" s="269"/>
      <c r="CJ798" s="267">
        <f t="shared" si="29"/>
        <v>0</v>
      </c>
      <c r="CK798" s="268"/>
      <c r="CL798" s="268"/>
      <c r="CM798" s="268"/>
      <c r="CN798" s="268"/>
      <c r="CO798" s="268"/>
      <c r="CP798" s="268"/>
      <c r="CQ798" s="268"/>
      <c r="CR798" s="268"/>
      <c r="CS798" s="269"/>
    </row>
    <row r="799" spans="1:104" hidden="1">
      <c r="C799" s="308" t="s">
        <v>510</v>
      </c>
      <c r="D799" s="309"/>
      <c r="E799" s="309"/>
      <c r="F799" s="309"/>
      <c r="G799" s="309"/>
      <c r="H799" s="309"/>
      <c r="I799" s="309"/>
      <c r="J799" s="309"/>
      <c r="K799" s="309"/>
      <c r="L799" s="309"/>
      <c r="M799" s="309"/>
      <c r="N799" s="309"/>
      <c r="O799" s="309"/>
      <c r="P799" s="309"/>
      <c r="Q799" s="309"/>
      <c r="R799" s="309"/>
      <c r="S799" s="310"/>
      <c r="T799" s="267">
        <v>0</v>
      </c>
      <c r="U799" s="268"/>
      <c r="V799" s="268"/>
      <c r="W799" s="268"/>
      <c r="X799" s="268"/>
      <c r="Y799" s="268"/>
      <c r="Z799" s="268"/>
      <c r="AA799" s="268"/>
      <c r="AB799" s="268"/>
      <c r="AC799" s="269"/>
      <c r="AD799" s="267">
        <v>0</v>
      </c>
      <c r="AE799" s="268"/>
      <c r="AF799" s="268"/>
      <c r="AG799" s="268"/>
      <c r="AH799" s="268"/>
      <c r="AI799" s="268"/>
      <c r="AJ799" s="268"/>
      <c r="AK799" s="268"/>
      <c r="AL799" s="268"/>
      <c r="AM799" s="269"/>
      <c r="AN799" s="267">
        <f t="shared" si="28"/>
        <v>0</v>
      </c>
      <c r="AO799" s="268"/>
      <c r="AP799" s="268"/>
      <c r="AQ799" s="268"/>
      <c r="AR799" s="268"/>
      <c r="AS799" s="268"/>
      <c r="AT799" s="268"/>
      <c r="AU799" s="268"/>
      <c r="AV799" s="268"/>
      <c r="AW799" s="269"/>
      <c r="AX799" s="22"/>
      <c r="AY799" s="308" t="s">
        <v>510</v>
      </c>
      <c r="AZ799" s="309"/>
      <c r="BA799" s="309"/>
      <c r="BB799" s="309"/>
      <c r="BC799" s="309"/>
      <c r="BD799" s="309"/>
      <c r="BE799" s="309"/>
      <c r="BF799" s="309"/>
      <c r="BG799" s="309"/>
      <c r="BH799" s="309"/>
      <c r="BI799" s="309"/>
      <c r="BJ799" s="309"/>
      <c r="BK799" s="309"/>
      <c r="BL799" s="309"/>
      <c r="BM799" s="309"/>
      <c r="BN799" s="309"/>
      <c r="BO799" s="310"/>
      <c r="BP799" s="267"/>
      <c r="BQ799" s="268"/>
      <c r="BR799" s="268"/>
      <c r="BS799" s="268"/>
      <c r="BT799" s="268"/>
      <c r="BU799" s="268"/>
      <c r="BV799" s="268"/>
      <c r="BW799" s="268"/>
      <c r="BX799" s="268"/>
      <c r="BY799" s="269"/>
      <c r="BZ799" s="267"/>
      <c r="CA799" s="268"/>
      <c r="CB799" s="268"/>
      <c r="CC799" s="268"/>
      <c r="CD799" s="268"/>
      <c r="CE799" s="268"/>
      <c r="CF799" s="268"/>
      <c r="CG799" s="268"/>
      <c r="CH799" s="268"/>
      <c r="CI799" s="269"/>
      <c r="CJ799" s="267">
        <f t="shared" si="29"/>
        <v>0</v>
      </c>
      <c r="CK799" s="268"/>
      <c r="CL799" s="268"/>
      <c r="CM799" s="268"/>
      <c r="CN799" s="268"/>
      <c r="CO799" s="268"/>
      <c r="CP799" s="268"/>
      <c r="CQ799" s="268"/>
      <c r="CR799" s="268"/>
      <c r="CS799" s="269"/>
    </row>
    <row r="800" spans="1:104" hidden="1">
      <c r="C800" s="43"/>
      <c r="D800" s="36" t="str">
        <f>IF(AN797=0,C797&amp;" -","")</f>
        <v>SBM -</v>
      </c>
      <c r="E800" s="42"/>
      <c r="F800" s="42"/>
      <c r="G800" s="42"/>
      <c r="H800" s="42"/>
      <c r="I800" s="42"/>
      <c r="J800" s="42"/>
      <c r="K800" s="42"/>
      <c r="L800" s="42"/>
      <c r="M800" s="42"/>
      <c r="N800" s="42"/>
      <c r="O800" s="42"/>
      <c r="P800" s="1"/>
      <c r="Q800" s="42"/>
      <c r="R800" s="41" t="s">
        <v>275</v>
      </c>
      <c r="S800" s="40"/>
      <c r="T800" s="267">
        <f>SUMIFS('Adv. Filter'!$CH$1:$CH$50000,'Adv. Filter'!$CD$1:$CD$50000,"Ganesh",'Adv. Filter'!$CE$1:$CE$50000,$C797,'Adv. Filter'!$CC$1:$CC$50000,"Suspense",'Adv. Filter'!$CF$1:$CF$50000,"Cash")</f>
        <v>0</v>
      </c>
      <c r="U800" s="268"/>
      <c r="V800" s="268"/>
      <c r="W800" s="268"/>
      <c r="X800" s="268"/>
      <c r="Y800" s="268"/>
      <c r="Z800" s="268"/>
      <c r="AA800" s="268"/>
      <c r="AB800" s="268"/>
      <c r="AC800" s="269"/>
      <c r="AD800" s="267">
        <f>SUMIFS('Adv. Filter'!$CH$1:$CH$50000,'Adv. Filter'!$CD$1:$CD$50000,"Ganesh",'Adv. Filter'!$CE$1:$CE$50000,$C797,'Adv. Filter'!$CC$1:$CC$50000,"Suspense",'Adv. Filter'!$CF$1:$CF$50000,"Bank")</f>
        <v>0</v>
      </c>
      <c r="AE800" s="268"/>
      <c r="AF800" s="268"/>
      <c r="AG800" s="268"/>
      <c r="AH800" s="268"/>
      <c r="AI800" s="268"/>
      <c r="AJ800" s="268"/>
      <c r="AK800" s="268"/>
      <c r="AL800" s="268"/>
      <c r="AM800" s="269"/>
      <c r="AN800" s="267">
        <f t="shared" si="28"/>
        <v>0</v>
      </c>
      <c r="AO800" s="268"/>
      <c r="AP800" s="268"/>
      <c r="AQ800" s="268"/>
      <c r="AR800" s="268"/>
      <c r="AS800" s="268"/>
      <c r="AT800" s="268"/>
      <c r="AU800" s="268"/>
      <c r="AV800" s="268"/>
      <c r="AW800" s="269"/>
      <c r="AX800" s="22"/>
      <c r="AY800" s="43"/>
      <c r="AZ800" s="36" t="str">
        <f>IF(CJ797=0,AY797&amp;" -","")</f>
        <v>SBM -</v>
      </c>
      <c r="BA800" s="42"/>
      <c r="BB800" s="42"/>
      <c r="BC800" s="42"/>
      <c r="BD800" s="42"/>
      <c r="BE800" s="42"/>
      <c r="BF800" s="42"/>
      <c r="BG800" s="42"/>
      <c r="BH800" s="42"/>
      <c r="BI800" s="42"/>
      <c r="BJ800" s="42"/>
      <c r="BK800" s="42"/>
      <c r="BL800" s="1"/>
      <c r="BM800" s="42"/>
      <c r="BN800" s="41" t="s">
        <v>275</v>
      </c>
      <c r="BO800" s="40"/>
      <c r="BP800" s="267"/>
      <c r="BQ800" s="268"/>
      <c r="BR800" s="268"/>
      <c r="BS800" s="268"/>
      <c r="BT800" s="268"/>
      <c r="BU800" s="268"/>
      <c r="BV800" s="268"/>
      <c r="BW800" s="268"/>
      <c r="BX800" s="268"/>
      <c r="BY800" s="269"/>
      <c r="BZ800" s="267"/>
      <c r="CA800" s="268"/>
      <c r="CB800" s="268"/>
      <c r="CC800" s="268"/>
      <c r="CD800" s="268"/>
      <c r="CE800" s="268"/>
      <c r="CF800" s="268"/>
      <c r="CG800" s="268"/>
      <c r="CH800" s="268"/>
      <c r="CI800" s="269"/>
      <c r="CJ800" s="267">
        <f t="shared" si="29"/>
        <v>0</v>
      </c>
      <c r="CK800" s="268"/>
      <c r="CL800" s="268"/>
      <c r="CM800" s="268"/>
      <c r="CN800" s="268"/>
      <c r="CO800" s="268"/>
      <c r="CP800" s="268"/>
      <c r="CQ800" s="268"/>
      <c r="CR800" s="268"/>
      <c r="CS800" s="269"/>
    </row>
    <row r="801" spans="1:104" hidden="1">
      <c r="A801" s="44"/>
      <c r="B801" s="44"/>
      <c r="C801" s="293" t="s">
        <v>116</v>
      </c>
      <c r="D801" s="294"/>
      <c r="E801" s="294"/>
      <c r="F801" s="294"/>
      <c r="G801" s="294"/>
      <c r="H801" s="294"/>
      <c r="I801" s="294"/>
      <c r="J801" s="294"/>
      <c r="K801" s="294"/>
      <c r="L801" s="294"/>
      <c r="M801" s="294"/>
      <c r="N801" s="294"/>
      <c r="O801" s="294"/>
      <c r="P801" s="294"/>
      <c r="Q801" s="294"/>
      <c r="R801" s="294"/>
      <c r="S801" s="295"/>
      <c r="T801" s="276">
        <f>SUMIFS('Adv. Filter'!$BJ$1:$BJ$50000,'Adv. Filter'!$BT$1:$BT$50000,"Ganesh",'Adv. Filter'!$BQ$1:$BQ$50000,$C801,'Adv. Filter'!$BH$1:$BH$50000,"Cash",'Adv. Filter'!$BO$1:$BO$50000,'Adv. Filter'!$A$14,'Adv. Filter'!$BO$1:$BO$50000,'Adv. Filter'!$B$14)</f>
        <v>0</v>
      </c>
      <c r="U801" s="277"/>
      <c r="V801" s="277"/>
      <c r="W801" s="277"/>
      <c r="X801" s="277"/>
      <c r="Y801" s="277"/>
      <c r="Z801" s="277"/>
      <c r="AA801" s="277"/>
      <c r="AB801" s="277"/>
      <c r="AC801" s="278"/>
      <c r="AD801" s="276">
        <f>SUMIFS('Adv. Filter'!$BJ$1:$BJ$50000,'Adv. Filter'!$BT$1:$BT$50000,"Ganesh",'Adv. Filter'!$BQ$1:$BQ$50000,$C801,'Adv. Filter'!$BH$1:$BH$50000,"Bank",'Adv. Filter'!$BO$1:$BO$50000,'Adv. Filter'!$A$14,'Adv. Filter'!$BO$1:$BO$50000,'Adv. Filter'!$B$14)</f>
        <v>0</v>
      </c>
      <c r="AE801" s="277"/>
      <c r="AF801" s="277"/>
      <c r="AG801" s="277"/>
      <c r="AH801" s="277"/>
      <c r="AI801" s="277"/>
      <c r="AJ801" s="277"/>
      <c r="AK801" s="277"/>
      <c r="AL801" s="277"/>
      <c r="AM801" s="278"/>
      <c r="AN801" s="276">
        <f t="shared" si="28"/>
        <v>0</v>
      </c>
      <c r="AO801" s="277"/>
      <c r="AP801" s="277"/>
      <c r="AQ801" s="277"/>
      <c r="AR801" s="277"/>
      <c r="AS801" s="277"/>
      <c r="AT801" s="277"/>
      <c r="AU801" s="277"/>
      <c r="AV801" s="277"/>
      <c r="AW801" s="278"/>
      <c r="AX801" s="45"/>
      <c r="AY801" s="293" t="s">
        <v>116</v>
      </c>
      <c r="AZ801" s="294"/>
      <c r="BA801" s="294"/>
      <c r="BB801" s="294"/>
      <c r="BC801" s="294"/>
      <c r="BD801" s="294"/>
      <c r="BE801" s="294"/>
      <c r="BF801" s="294"/>
      <c r="BG801" s="294"/>
      <c r="BH801" s="294"/>
      <c r="BI801" s="294"/>
      <c r="BJ801" s="294"/>
      <c r="BK801" s="294"/>
      <c r="BL801" s="294"/>
      <c r="BM801" s="294"/>
      <c r="BN801" s="294"/>
      <c r="BO801" s="295"/>
      <c r="BP801" s="276">
        <f>SUMIFS('Adv. Filter'!$BJ$1:$BJ$50000,'Adv. Filter'!$BT$1:$BT$50000,"Ganesh",'Adv. Filter'!$BQ$1:$BQ$50000,$AY801,'Adv. Filter'!$BH$1:$BH$50000,"Cash",'Adv. Filter'!$BO$1:$BO$50000,"&lt;"&amp;'Adv. Filter'!$A$15)</f>
        <v>0</v>
      </c>
      <c r="BQ801" s="277"/>
      <c r="BR801" s="277"/>
      <c r="BS801" s="277"/>
      <c r="BT801" s="277"/>
      <c r="BU801" s="277"/>
      <c r="BV801" s="277"/>
      <c r="BW801" s="277"/>
      <c r="BX801" s="277"/>
      <c r="BY801" s="278"/>
      <c r="BZ801" s="276">
        <f>SUMIFS('Adv. Filter'!$BJ$1:$BJ$50000,'Adv. Filter'!$BT$1:$BT$50000,"Ganesh",'Adv. Filter'!$BQ$1:$BQ$50000,$AY801,'Adv. Filter'!$BH$1:$BH$50000,"Bank",'Adv. Filter'!$BO$1:$BO$50000,"&lt;"&amp;'Adv. Filter'!$A$15)</f>
        <v>0</v>
      </c>
      <c r="CA801" s="277"/>
      <c r="CB801" s="277"/>
      <c r="CC801" s="277"/>
      <c r="CD801" s="277"/>
      <c r="CE801" s="277"/>
      <c r="CF801" s="277"/>
      <c r="CG801" s="277"/>
      <c r="CH801" s="277"/>
      <c r="CI801" s="278"/>
      <c r="CJ801" s="276">
        <f t="shared" si="29"/>
        <v>0</v>
      </c>
      <c r="CK801" s="277"/>
      <c r="CL801" s="277"/>
      <c r="CM801" s="277"/>
      <c r="CN801" s="277"/>
      <c r="CO801" s="277"/>
      <c r="CP801" s="277"/>
      <c r="CQ801" s="277"/>
      <c r="CR801" s="277"/>
      <c r="CS801" s="278"/>
      <c r="CT801" s="44"/>
      <c r="CU801" s="44"/>
      <c r="CV801" s="44"/>
      <c r="CW801" s="44"/>
      <c r="CX801" s="44"/>
      <c r="CY801" s="44"/>
      <c r="CZ801" s="44"/>
    </row>
    <row r="802" spans="1:104" hidden="1">
      <c r="C802" s="308" t="s">
        <v>115</v>
      </c>
      <c r="D802" s="309"/>
      <c r="E802" s="309"/>
      <c r="F802" s="309"/>
      <c r="G802" s="309"/>
      <c r="H802" s="309"/>
      <c r="I802" s="309"/>
      <c r="J802" s="309"/>
      <c r="K802" s="309"/>
      <c r="L802" s="309"/>
      <c r="M802" s="309"/>
      <c r="N802" s="309"/>
      <c r="O802" s="309"/>
      <c r="P802" s="309"/>
      <c r="Q802" s="309"/>
      <c r="R802" s="309"/>
      <c r="S802" s="310"/>
      <c r="T802" s="267">
        <f>SUMIFS('Adv. Filter'!$BJ$1:$BJ$50000,'Adv. Filter'!$BT$1:$BT$50000,"Ganesh",'Adv. Filter'!$BQ$1:$BQ$50000,$C801,'Adv. Filter'!$BH$1:$BH$50000,"Cash",'Adv. Filter'!$BO$1:$BO$50000,'Adv. Filter'!$A$14,'Adv. Filter'!$BO$1:$BO$50000,'Adv. Filter'!$B$14,'Adv. Filter'!$BP$1:$BP$50000,"Project")</f>
        <v>0</v>
      </c>
      <c r="U802" s="268"/>
      <c r="V802" s="268"/>
      <c r="W802" s="268"/>
      <c r="X802" s="268"/>
      <c r="Y802" s="268"/>
      <c r="Z802" s="268"/>
      <c r="AA802" s="268"/>
      <c r="AB802" s="268"/>
      <c r="AC802" s="269"/>
      <c r="AD802" s="267">
        <f>SUMIFS('Adv. Filter'!$BJ$1:$BJ$50000,'Adv. Filter'!$BT$1:$BT$50000,"Ganesh",'Adv. Filter'!$BQ$1:$BQ$50000,$C801,'Adv. Filter'!$BH$1:$BH$50000,"Bank",'Adv. Filter'!$BO$1:$BO$50000,'Adv. Filter'!$A$14,'Adv. Filter'!$BO$1:$BO$50000,'Adv. Filter'!$B$14,'Adv. Filter'!$BP$1:$BP$50000,"Project")</f>
        <v>0</v>
      </c>
      <c r="AE802" s="268"/>
      <c r="AF802" s="268"/>
      <c r="AG802" s="268"/>
      <c r="AH802" s="268"/>
      <c r="AI802" s="268"/>
      <c r="AJ802" s="268"/>
      <c r="AK802" s="268"/>
      <c r="AL802" s="268"/>
      <c r="AM802" s="269"/>
      <c r="AN802" s="267">
        <f t="shared" si="28"/>
        <v>0</v>
      </c>
      <c r="AO802" s="268"/>
      <c r="AP802" s="268"/>
      <c r="AQ802" s="268"/>
      <c r="AR802" s="268"/>
      <c r="AS802" s="268"/>
      <c r="AT802" s="268"/>
      <c r="AU802" s="268"/>
      <c r="AV802" s="268"/>
      <c r="AW802" s="269"/>
      <c r="AX802" s="22"/>
      <c r="AY802" s="308" t="s">
        <v>115</v>
      </c>
      <c r="AZ802" s="309"/>
      <c r="BA802" s="309"/>
      <c r="BB802" s="309"/>
      <c r="BC802" s="309"/>
      <c r="BD802" s="309"/>
      <c r="BE802" s="309"/>
      <c r="BF802" s="309"/>
      <c r="BG802" s="309"/>
      <c r="BH802" s="309"/>
      <c r="BI802" s="309"/>
      <c r="BJ802" s="309"/>
      <c r="BK802" s="309"/>
      <c r="BL802" s="309"/>
      <c r="BM802" s="309"/>
      <c r="BN802" s="309"/>
      <c r="BO802" s="310"/>
      <c r="BP802" s="267">
        <f>SUMIFS('Adv. Filter'!$BJ$1:$BJ$50000,'Adv. Filter'!$BT$1:$BT$50000,"Ganesh",'Adv. Filter'!$BQ$1:$BQ$50000,$AY801,'Adv. Filter'!$BH$1:$BH$50000,"Cash",'Adv. Filter'!$BO$1:$BO$50000,"&lt;"&amp;'Adv. Filter'!$A$15,'Adv. Filter'!$BP$1:$BP$50000,"Project")</f>
        <v>0</v>
      </c>
      <c r="BQ802" s="268"/>
      <c r="BR802" s="268"/>
      <c r="BS802" s="268"/>
      <c r="BT802" s="268"/>
      <c r="BU802" s="268"/>
      <c r="BV802" s="268"/>
      <c r="BW802" s="268"/>
      <c r="BX802" s="268"/>
      <c r="BY802" s="269"/>
      <c r="BZ802" s="267">
        <f>SUMIFS('Adv. Filter'!$BJ$1:$BJ$50000,'Adv. Filter'!$BT$1:$BT$50000,"Ganesh",'Adv. Filter'!$BQ$1:$BQ$50000,$AY801,'Adv. Filter'!$BH$1:$BH$50000,"Bank",'Adv. Filter'!$BO$1:$BO$50000,"&lt;"&amp;'Adv. Filter'!$A$15,'Adv. Filter'!$BP$1:$BP$50000,"Project")</f>
        <v>0</v>
      </c>
      <c r="CA802" s="268"/>
      <c r="CB802" s="268"/>
      <c r="CC802" s="268"/>
      <c r="CD802" s="268"/>
      <c r="CE802" s="268"/>
      <c r="CF802" s="268"/>
      <c r="CG802" s="268"/>
      <c r="CH802" s="268"/>
      <c r="CI802" s="269"/>
      <c r="CJ802" s="267">
        <f t="shared" si="29"/>
        <v>0</v>
      </c>
      <c r="CK802" s="268"/>
      <c r="CL802" s="268"/>
      <c r="CM802" s="268"/>
      <c r="CN802" s="268"/>
      <c r="CO802" s="268"/>
      <c r="CP802" s="268"/>
      <c r="CQ802" s="268"/>
      <c r="CR802" s="268"/>
      <c r="CS802" s="269"/>
    </row>
    <row r="803" spans="1:104" hidden="1">
      <c r="C803" s="308" t="s">
        <v>510</v>
      </c>
      <c r="D803" s="309"/>
      <c r="E803" s="309"/>
      <c r="F803" s="309"/>
      <c r="G803" s="309"/>
      <c r="H803" s="309"/>
      <c r="I803" s="309"/>
      <c r="J803" s="309"/>
      <c r="K803" s="309"/>
      <c r="L803" s="309"/>
      <c r="M803" s="309"/>
      <c r="N803" s="309"/>
      <c r="O803" s="309"/>
      <c r="P803" s="309"/>
      <c r="Q803" s="309"/>
      <c r="R803" s="309"/>
      <c r="S803" s="310"/>
      <c r="T803" s="267">
        <v>0</v>
      </c>
      <c r="U803" s="268"/>
      <c r="V803" s="268"/>
      <c r="W803" s="268"/>
      <c r="X803" s="268"/>
      <c r="Y803" s="268"/>
      <c r="Z803" s="268"/>
      <c r="AA803" s="268"/>
      <c r="AB803" s="268"/>
      <c r="AC803" s="269"/>
      <c r="AD803" s="267">
        <v>0</v>
      </c>
      <c r="AE803" s="268"/>
      <c r="AF803" s="268"/>
      <c r="AG803" s="268"/>
      <c r="AH803" s="268"/>
      <c r="AI803" s="268"/>
      <c r="AJ803" s="268"/>
      <c r="AK803" s="268"/>
      <c r="AL803" s="268"/>
      <c r="AM803" s="269"/>
      <c r="AN803" s="267">
        <f t="shared" si="28"/>
        <v>0</v>
      </c>
      <c r="AO803" s="268"/>
      <c r="AP803" s="268"/>
      <c r="AQ803" s="268"/>
      <c r="AR803" s="268"/>
      <c r="AS803" s="268"/>
      <c r="AT803" s="268"/>
      <c r="AU803" s="268"/>
      <c r="AV803" s="268"/>
      <c r="AW803" s="269"/>
      <c r="AX803" s="22"/>
      <c r="AY803" s="308" t="s">
        <v>510</v>
      </c>
      <c r="AZ803" s="309"/>
      <c r="BA803" s="309"/>
      <c r="BB803" s="309"/>
      <c r="BC803" s="309"/>
      <c r="BD803" s="309"/>
      <c r="BE803" s="309"/>
      <c r="BF803" s="309"/>
      <c r="BG803" s="309"/>
      <c r="BH803" s="309"/>
      <c r="BI803" s="309"/>
      <c r="BJ803" s="309"/>
      <c r="BK803" s="309"/>
      <c r="BL803" s="309"/>
      <c r="BM803" s="309"/>
      <c r="BN803" s="309"/>
      <c r="BO803" s="310"/>
      <c r="BP803" s="267"/>
      <c r="BQ803" s="268"/>
      <c r="BR803" s="268"/>
      <c r="BS803" s="268"/>
      <c r="BT803" s="268"/>
      <c r="BU803" s="268"/>
      <c r="BV803" s="268"/>
      <c r="BW803" s="268"/>
      <c r="BX803" s="268"/>
      <c r="BY803" s="269"/>
      <c r="BZ803" s="267"/>
      <c r="CA803" s="268"/>
      <c r="CB803" s="268"/>
      <c r="CC803" s="268"/>
      <c r="CD803" s="268"/>
      <c r="CE803" s="268"/>
      <c r="CF803" s="268"/>
      <c r="CG803" s="268"/>
      <c r="CH803" s="268"/>
      <c r="CI803" s="269"/>
      <c r="CJ803" s="267">
        <f t="shared" si="29"/>
        <v>0</v>
      </c>
      <c r="CK803" s="268"/>
      <c r="CL803" s="268"/>
      <c r="CM803" s="268"/>
      <c r="CN803" s="268"/>
      <c r="CO803" s="268"/>
      <c r="CP803" s="268"/>
      <c r="CQ803" s="268"/>
      <c r="CR803" s="268"/>
      <c r="CS803" s="269"/>
    </row>
    <row r="804" spans="1:104" hidden="1">
      <c r="C804" s="43"/>
      <c r="D804" s="36" t="str">
        <f>IF(AN801=0,C801&amp;" -","")</f>
        <v>SBP -</v>
      </c>
      <c r="E804" s="42"/>
      <c r="F804" s="42"/>
      <c r="G804" s="42"/>
      <c r="H804" s="42"/>
      <c r="I804" s="42"/>
      <c r="J804" s="42"/>
      <c r="K804" s="42"/>
      <c r="L804" s="42"/>
      <c r="M804" s="42"/>
      <c r="N804" s="42"/>
      <c r="O804" s="42"/>
      <c r="P804" s="1"/>
      <c r="Q804" s="42"/>
      <c r="R804" s="41" t="s">
        <v>275</v>
      </c>
      <c r="S804" s="40"/>
      <c r="T804" s="267">
        <f>SUMIFS('Adv. Filter'!$CH$1:$CH$50000,'Adv. Filter'!$CD$1:$CD$50000,"Ganesh",'Adv. Filter'!$CE$1:$CE$50000,$C801,'Adv. Filter'!$CC$1:$CC$50000,"Suspense",'Adv. Filter'!$CF$1:$CF$50000,"Cash")</f>
        <v>0</v>
      </c>
      <c r="U804" s="268"/>
      <c r="V804" s="268"/>
      <c r="W804" s="268"/>
      <c r="X804" s="268"/>
      <c r="Y804" s="268"/>
      <c r="Z804" s="268"/>
      <c r="AA804" s="268"/>
      <c r="AB804" s="268"/>
      <c r="AC804" s="269"/>
      <c r="AD804" s="267">
        <f>SUMIFS('Adv. Filter'!$CH$1:$CH$50000,'Adv. Filter'!$CD$1:$CD$50000,"Ganesh",'Adv. Filter'!$CE$1:$CE$50000,$C801,'Adv. Filter'!$CC$1:$CC$50000,"Suspense",'Adv. Filter'!$CF$1:$CF$50000,"Bank")</f>
        <v>0</v>
      </c>
      <c r="AE804" s="268"/>
      <c r="AF804" s="268"/>
      <c r="AG804" s="268"/>
      <c r="AH804" s="268"/>
      <c r="AI804" s="268"/>
      <c r="AJ804" s="268"/>
      <c r="AK804" s="268"/>
      <c r="AL804" s="268"/>
      <c r="AM804" s="269"/>
      <c r="AN804" s="267">
        <f t="shared" si="28"/>
        <v>0</v>
      </c>
      <c r="AO804" s="268"/>
      <c r="AP804" s="268"/>
      <c r="AQ804" s="268"/>
      <c r="AR804" s="268"/>
      <c r="AS804" s="268"/>
      <c r="AT804" s="268"/>
      <c r="AU804" s="268"/>
      <c r="AV804" s="268"/>
      <c r="AW804" s="269"/>
      <c r="AX804" s="22"/>
      <c r="AY804" s="43"/>
      <c r="AZ804" s="36" t="str">
        <f>IF(CJ801=0,AY801&amp;" -","")</f>
        <v>SBP -</v>
      </c>
      <c r="BA804" s="42"/>
      <c r="BB804" s="42"/>
      <c r="BC804" s="42"/>
      <c r="BD804" s="42"/>
      <c r="BE804" s="42"/>
      <c r="BF804" s="42"/>
      <c r="BG804" s="42"/>
      <c r="BH804" s="42"/>
      <c r="BI804" s="42"/>
      <c r="BJ804" s="42"/>
      <c r="BK804" s="42"/>
      <c r="BL804" s="1"/>
      <c r="BM804" s="42"/>
      <c r="BN804" s="41" t="s">
        <v>275</v>
      </c>
      <c r="BO804" s="40"/>
      <c r="BP804" s="267"/>
      <c r="BQ804" s="268"/>
      <c r="BR804" s="268"/>
      <c r="BS804" s="268"/>
      <c r="BT804" s="268"/>
      <c r="BU804" s="268"/>
      <c r="BV804" s="268"/>
      <c r="BW804" s="268"/>
      <c r="BX804" s="268"/>
      <c r="BY804" s="269"/>
      <c r="BZ804" s="267"/>
      <c r="CA804" s="268"/>
      <c r="CB804" s="268"/>
      <c r="CC804" s="268"/>
      <c r="CD804" s="268"/>
      <c r="CE804" s="268"/>
      <c r="CF804" s="268"/>
      <c r="CG804" s="268"/>
      <c r="CH804" s="268"/>
      <c r="CI804" s="269"/>
      <c r="CJ804" s="267">
        <f t="shared" si="29"/>
        <v>0</v>
      </c>
      <c r="CK804" s="268"/>
      <c r="CL804" s="268"/>
      <c r="CM804" s="268"/>
      <c r="CN804" s="268"/>
      <c r="CO804" s="268"/>
      <c r="CP804" s="268"/>
      <c r="CQ804" s="268"/>
      <c r="CR804" s="268"/>
      <c r="CS804" s="269"/>
    </row>
    <row r="805" spans="1:104" hidden="1">
      <c r="A805" s="44"/>
      <c r="B805" s="44"/>
      <c r="C805" s="293" t="s">
        <v>119</v>
      </c>
      <c r="D805" s="294"/>
      <c r="E805" s="294"/>
      <c r="F805" s="294"/>
      <c r="G805" s="294"/>
      <c r="H805" s="294"/>
      <c r="I805" s="294"/>
      <c r="J805" s="294"/>
      <c r="K805" s="294"/>
      <c r="L805" s="294"/>
      <c r="M805" s="294"/>
      <c r="N805" s="294"/>
      <c r="O805" s="294"/>
      <c r="P805" s="294"/>
      <c r="Q805" s="294"/>
      <c r="R805" s="294"/>
      <c r="S805" s="295"/>
      <c r="T805" s="276">
        <f>SUMIFS('Adv. Filter'!$BJ$1:$BJ$50000,'Adv. Filter'!$BT$1:$BT$50000,"Ganesh",'Adv. Filter'!$BQ$1:$BQ$50000,$C805,'Adv. Filter'!$BH$1:$BH$50000,"Cash",'Adv. Filter'!$BO$1:$BO$50000,'Adv. Filter'!$A$14,'Adv. Filter'!$BO$1:$BO$50000,'Adv. Filter'!$B$14)</f>
        <v>0</v>
      </c>
      <c r="U805" s="277"/>
      <c r="V805" s="277"/>
      <c r="W805" s="277"/>
      <c r="X805" s="277"/>
      <c r="Y805" s="277"/>
      <c r="Z805" s="277"/>
      <c r="AA805" s="277"/>
      <c r="AB805" s="277"/>
      <c r="AC805" s="278"/>
      <c r="AD805" s="276">
        <f>SUMIFS('Adv. Filter'!$BJ$1:$BJ$50000,'Adv. Filter'!$BT$1:$BT$50000,"Ganesh",'Adv. Filter'!$BQ$1:$BQ$50000,$C805,'Adv. Filter'!$BH$1:$BH$50000,"Bank",'Adv. Filter'!$BO$1:$BO$50000,'Adv. Filter'!$A$14,'Adv. Filter'!$BO$1:$BO$50000,'Adv. Filter'!$B$14)</f>
        <v>0</v>
      </c>
      <c r="AE805" s="277"/>
      <c r="AF805" s="277"/>
      <c r="AG805" s="277"/>
      <c r="AH805" s="277"/>
      <c r="AI805" s="277"/>
      <c r="AJ805" s="277"/>
      <c r="AK805" s="277"/>
      <c r="AL805" s="277"/>
      <c r="AM805" s="278"/>
      <c r="AN805" s="276">
        <f t="shared" si="28"/>
        <v>0</v>
      </c>
      <c r="AO805" s="277"/>
      <c r="AP805" s="277"/>
      <c r="AQ805" s="277"/>
      <c r="AR805" s="277"/>
      <c r="AS805" s="277"/>
      <c r="AT805" s="277"/>
      <c r="AU805" s="277"/>
      <c r="AV805" s="277"/>
      <c r="AW805" s="278"/>
      <c r="AX805" s="45"/>
      <c r="AY805" s="293" t="s">
        <v>119</v>
      </c>
      <c r="AZ805" s="294"/>
      <c r="BA805" s="294"/>
      <c r="BB805" s="294"/>
      <c r="BC805" s="294"/>
      <c r="BD805" s="294"/>
      <c r="BE805" s="294"/>
      <c r="BF805" s="294"/>
      <c r="BG805" s="294"/>
      <c r="BH805" s="294"/>
      <c r="BI805" s="294"/>
      <c r="BJ805" s="294"/>
      <c r="BK805" s="294"/>
      <c r="BL805" s="294"/>
      <c r="BM805" s="294"/>
      <c r="BN805" s="294"/>
      <c r="BO805" s="295"/>
      <c r="BP805" s="276">
        <f>SUMIFS('Adv. Filter'!$BJ$1:$BJ$50000,'Adv. Filter'!$BT$1:$BT$50000,"Ganesh",'Adv. Filter'!$BQ$1:$BQ$50000,$AY805,'Adv. Filter'!$BH$1:$BH$50000,"Cash",'Adv. Filter'!$BO$1:$BO$50000,"&lt;"&amp;'Adv. Filter'!$A$15)</f>
        <v>0</v>
      </c>
      <c r="BQ805" s="277"/>
      <c r="BR805" s="277"/>
      <c r="BS805" s="277"/>
      <c r="BT805" s="277"/>
      <c r="BU805" s="277"/>
      <c r="BV805" s="277"/>
      <c r="BW805" s="277"/>
      <c r="BX805" s="277"/>
      <c r="BY805" s="278"/>
      <c r="BZ805" s="276">
        <f>SUMIFS('Adv. Filter'!$BJ$1:$BJ$50000,'Adv. Filter'!$BT$1:$BT$50000,"Ganesh",'Adv. Filter'!$BQ$1:$BQ$50000,$AY805,'Adv. Filter'!$BH$1:$BH$50000,"Bank",'Adv. Filter'!$BO$1:$BO$50000,"&lt;"&amp;'Adv. Filter'!$A$15)</f>
        <v>0</v>
      </c>
      <c r="CA805" s="277"/>
      <c r="CB805" s="277"/>
      <c r="CC805" s="277"/>
      <c r="CD805" s="277"/>
      <c r="CE805" s="277"/>
      <c r="CF805" s="277"/>
      <c r="CG805" s="277"/>
      <c r="CH805" s="277"/>
      <c r="CI805" s="278"/>
      <c r="CJ805" s="276">
        <f t="shared" si="29"/>
        <v>0</v>
      </c>
      <c r="CK805" s="277"/>
      <c r="CL805" s="277"/>
      <c r="CM805" s="277"/>
      <c r="CN805" s="277"/>
      <c r="CO805" s="277"/>
      <c r="CP805" s="277"/>
      <c r="CQ805" s="277"/>
      <c r="CR805" s="277"/>
      <c r="CS805" s="278"/>
      <c r="CT805" s="44"/>
      <c r="CU805" s="44"/>
      <c r="CV805" s="44"/>
      <c r="CW805" s="44"/>
      <c r="CX805" s="44"/>
      <c r="CY805" s="44"/>
      <c r="CZ805" s="44"/>
    </row>
    <row r="806" spans="1:104" hidden="1">
      <c r="C806" s="308" t="s">
        <v>115</v>
      </c>
      <c r="D806" s="309"/>
      <c r="E806" s="309"/>
      <c r="F806" s="309"/>
      <c r="G806" s="309"/>
      <c r="H806" s="309"/>
      <c r="I806" s="309"/>
      <c r="J806" s="309"/>
      <c r="K806" s="309"/>
      <c r="L806" s="309"/>
      <c r="M806" s="309"/>
      <c r="N806" s="309"/>
      <c r="O806" s="309"/>
      <c r="P806" s="309"/>
      <c r="Q806" s="309"/>
      <c r="R806" s="309"/>
      <c r="S806" s="310"/>
      <c r="T806" s="267">
        <f>SUMIFS('Adv. Filter'!$BJ$1:$BJ$50000,'Adv. Filter'!$BT$1:$BT$50000,"Ganesh",'Adv. Filter'!$BQ$1:$BQ$50000,$C805,'Adv. Filter'!$BH$1:$BH$50000,"Cash",'Adv. Filter'!$BO$1:$BO$50000,'Adv. Filter'!$A$14,'Adv. Filter'!$BO$1:$BO$50000,'Adv. Filter'!$B$14,'Adv. Filter'!$BP$1:$BP$50000,"Project")</f>
        <v>0</v>
      </c>
      <c r="U806" s="268"/>
      <c r="V806" s="268"/>
      <c r="W806" s="268"/>
      <c r="X806" s="268"/>
      <c r="Y806" s="268"/>
      <c r="Z806" s="268"/>
      <c r="AA806" s="268"/>
      <c r="AB806" s="268"/>
      <c r="AC806" s="269"/>
      <c r="AD806" s="267">
        <f>SUMIFS('Adv. Filter'!$BJ$1:$BJ$50000,'Adv. Filter'!$BT$1:$BT$50000,"Ganesh",'Adv. Filter'!$BQ$1:$BQ$50000,$C805,'Adv. Filter'!$BH$1:$BH$50000,"Bank",'Adv. Filter'!$BO$1:$BO$50000,'Adv. Filter'!$A$14,'Adv. Filter'!$BO$1:$BO$50000,'Adv. Filter'!$B$14,'Adv. Filter'!$BP$1:$BP$50000,"Project")</f>
        <v>0</v>
      </c>
      <c r="AE806" s="268"/>
      <c r="AF806" s="268"/>
      <c r="AG806" s="268"/>
      <c r="AH806" s="268"/>
      <c r="AI806" s="268"/>
      <c r="AJ806" s="268"/>
      <c r="AK806" s="268"/>
      <c r="AL806" s="268"/>
      <c r="AM806" s="269"/>
      <c r="AN806" s="267">
        <f t="shared" si="28"/>
        <v>0</v>
      </c>
      <c r="AO806" s="268"/>
      <c r="AP806" s="268"/>
      <c r="AQ806" s="268"/>
      <c r="AR806" s="268"/>
      <c r="AS806" s="268"/>
      <c r="AT806" s="268"/>
      <c r="AU806" s="268"/>
      <c r="AV806" s="268"/>
      <c r="AW806" s="269"/>
      <c r="AX806" s="22"/>
      <c r="AY806" s="308" t="s">
        <v>115</v>
      </c>
      <c r="AZ806" s="309"/>
      <c r="BA806" s="309"/>
      <c r="BB806" s="309"/>
      <c r="BC806" s="309"/>
      <c r="BD806" s="309"/>
      <c r="BE806" s="309"/>
      <c r="BF806" s="309"/>
      <c r="BG806" s="309"/>
      <c r="BH806" s="309"/>
      <c r="BI806" s="309"/>
      <c r="BJ806" s="309"/>
      <c r="BK806" s="309"/>
      <c r="BL806" s="309"/>
      <c r="BM806" s="309"/>
      <c r="BN806" s="309"/>
      <c r="BO806" s="310"/>
      <c r="BP806" s="267">
        <f>SUMIFS('Adv. Filter'!$BJ$1:$BJ$50000,'Adv. Filter'!$BT$1:$BT$50000,"Ganesh",'Adv. Filter'!$BQ$1:$BQ$50000,$AY805,'Adv. Filter'!$BH$1:$BH$50000,"Cash",'Adv. Filter'!$BO$1:$BO$50000,"&lt;"&amp;'Adv. Filter'!$A$15,'Adv. Filter'!$BP$1:$BP$50000,"Project")</f>
        <v>0</v>
      </c>
      <c r="BQ806" s="268"/>
      <c r="BR806" s="268"/>
      <c r="BS806" s="268"/>
      <c r="BT806" s="268"/>
      <c r="BU806" s="268"/>
      <c r="BV806" s="268"/>
      <c r="BW806" s="268"/>
      <c r="BX806" s="268"/>
      <c r="BY806" s="269"/>
      <c r="BZ806" s="267">
        <f>SUMIFS('Adv. Filter'!$BJ$1:$BJ$50000,'Adv. Filter'!$BT$1:$BT$50000,"Ganesh",'Adv. Filter'!$BQ$1:$BQ$50000,$AY805,'Adv. Filter'!$BH$1:$BH$50000,"Bank",'Adv. Filter'!$BO$1:$BO$50000,"&lt;"&amp;'Adv. Filter'!$A$15,'Adv. Filter'!$BP$1:$BP$50000,"Project")</f>
        <v>0</v>
      </c>
      <c r="CA806" s="268"/>
      <c r="CB806" s="268"/>
      <c r="CC806" s="268"/>
      <c r="CD806" s="268"/>
      <c r="CE806" s="268"/>
      <c r="CF806" s="268"/>
      <c r="CG806" s="268"/>
      <c r="CH806" s="268"/>
      <c r="CI806" s="269"/>
      <c r="CJ806" s="267">
        <f t="shared" si="29"/>
        <v>0</v>
      </c>
      <c r="CK806" s="268"/>
      <c r="CL806" s="268"/>
      <c r="CM806" s="268"/>
      <c r="CN806" s="268"/>
      <c r="CO806" s="268"/>
      <c r="CP806" s="268"/>
      <c r="CQ806" s="268"/>
      <c r="CR806" s="268"/>
      <c r="CS806" s="269"/>
    </row>
    <row r="807" spans="1:104" hidden="1">
      <c r="C807" s="308" t="s">
        <v>510</v>
      </c>
      <c r="D807" s="309"/>
      <c r="E807" s="309"/>
      <c r="F807" s="309"/>
      <c r="G807" s="309"/>
      <c r="H807" s="309"/>
      <c r="I807" s="309"/>
      <c r="J807" s="309"/>
      <c r="K807" s="309"/>
      <c r="L807" s="309"/>
      <c r="M807" s="309"/>
      <c r="N807" s="309"/>
      <c r="O807" s="309"/>
      <c r="P807" s="309"/>
      <c r="Q807" s="309"/>
      <c r="R807" s="309"/>
      <c r="S807" s="310"/>
      <c r="T807" s="267">
        <v>0</v>
      </c>
      <c r="U807" s="268"/>
      <c r="V807" s="268"/>
      <c r="W807" s="268"/>
      <c r="X807" s="268"/>
      <c r="Y807" s="268"/>
      <c r="Z807" s="268"/>
      <c r="AA807" s="268"/>
      <c r="AB807" s="268"/>
      <c r="AC807" s="269"/>
      <c r="AD807" s="267">
        <v>0</v>
      </c>
      <c r="AE807" s="268"/>
      <c r="AF807" s="268"/>
      <c r="AG807" s="268"/>
      <c r="AH807" s="268"/>
      <c r="AI807" s="268"/>
      <c r="AJ807" s="268"/>
      <c r="AK807" s="268"/>
      <c r="AL807" s="268"/>
      <c r="AM807" s="269"/>
      <c r="AN807" s="267">
        <f t="shared" si="28"/>
        <v>0</v>
      </c>
      <c r="AO807" s="268"/>
      <c r="AP807" s="268"/>
      <c r="AQ807" s="268"/>
      <c r="AR807" s="268"/>
      <c r="AS807" s="268"/>
      <c r="AT807" s="268"/>
      <c r="AU807" s="268"/>
      <c r="AV807" s="268"/>
      <c r="AW807" s="269"/>
      <c r="AX807" s="22"/>
      <c r="AY807" s="308" t="s">
        <v>510</v>
      </c>
      <c r="AZ807" s="309"/>
      <c r="BA807" s="309"/>
      <c r="BB807" s="309"/>
      <c r="BC807" s="309"/>
      <c r="BD807" s="309"/>
      <c r="BE807" s="309"/>
      <c r="BF807" s="309"/>
      <c r="BG807" s="309"/>
      <c r="BH807" s="309"/>
      <c r="BI807" s="309"/>
      <c r="BJ807" s="309"/>
      <c r="BK807" s="309"/>
      <c r="BL807" s="309"/>
      <c r="BM807" s="309"/>
      <c r="BN807" s="309"/>
      <c r="BO807" s="310"/>
      <c r="BP807" s="267"/>
      <c r="BQ807" s="268"/>
      <c r="BR807" s="268"/>
      <c r="BS807" s="268"/>
      <c r="BT807" s="268"/>
      <c r="BU807" s="268"/>
      <c r="BV807" s="268"/>
      <c r="BW807" s="268"/>
      <c r="BX807" s="268"/>
      <c r="BY807" s="269"/>
      <c r="BZ807" s="267"/>
      <c r="CA807" s="268"/>
      <c r="CB807" s="268"/>
      <c r="CC807" s="268"/>
      <c r="CD807" s="268"/>
      <c r="CE807" s="268"/>
      <c r="CF807" s="268"/>
      <c r="CG807" s="268"/>
      <c r="CH807" s="268"/>
      <c r="CI807" s="269"/>
      <c r="CJ807" s="267">
        <f t="shared" si="29"/>
        <v>0</v>
      </c>
      <c r="CK807" s="268"/>
      <c r="CL807" s="268"/>
      <c r="CM807" s="268"/>
      <c r="CN807" s="268"/>
      <c r="CO807" s="268"/>
      <c r="CP807" s="268"/>
      <c r="CQ807" s="268"/>
      <c r="CR807" s="268"/>
      <c r="CS807" s="269"/>
    </row>
    <row r="808" spans="1:104" hidden="1">
      <c r="C808" s="43"/>
      <c r="D808" s="36" t="str">
        <f>IF(AN805=0,C805&amp;" -","")</f>
        <v>SBT -</v>
      </c>
      <c r="E808" s="42"/>
      <c r="F808" s="42"/>
      <c r="G808" s="42"/>
      <c r="H808" s="42"/>
      <c r="I808" s="42"/>
      <c r="J808" s="42"/>
      <c r="K808" s="42"/>
      <c r="L808" s="42"/>
      <c r="M808" s="42"/>
      <c r="N808" s="42"/>
      <c r="O808" s="42"/>
      <c r="P808" s="1"/>
      <c r="Q808" s="42"/>
      <c r="R808" s="41" t="s">
        <v>275</v>
      </c>
      <c r="S808" s="40"/>
      <c r="T808" s="267">
        <f>SUMIFS('Adv. Filter'!$CH$1:$CH$50000,'Adv. Filter'!$CD$1:$CD$50000,"Ganesh",'Adv. Filter'!$CE$1:$CE$50000,$C805,'Adv. Filter'!$CC$1:$CC$50000,"Suspense",'Adv. Filter'!$CF$1:$CF$50000,"Cash")</f>
        <v>0</v>
      </c>
      <c r="U808" s="268"/>
      <c r="V808" s="268"/>
      <c r="W808" s="268"/>
      <c r="X808" s="268"/>
      <c r="Y808" s="268"/>
      <c r="Z808" s="268"/>
      <c r="AA808" s="268"/>
      <c r="AB808" s="268"/>
      <c r="AC808" s="269"/>
      <c r="AD808" s="267">
        <f>SUMIFS('Adv. Filter'!$CH$1:$CH$50000,'Adv. Filter'!$CD$1:$CD$50000,"Ganesh",'Adv. Filter'!$CE$1:$CE$50000,$C805,'Adv. Filter'!$CC$1:$CC$50000,"Suspense",'Adv. Filter'!$CF$1:$CF$50000,"Bank")</f>
        <v>0</v>
      </c>
      <c r="AE808" s="268"/>
      <c r="AF808" s="268"/>
      <c r="AG808" s="268"/>
      <c r="AH808" s="268"/>
      <c r="AI808" s="268"/>
      <c r="AJ808" s="268"/>
      <c r="AK808" s="268"/>
      <c r="AL808" s="268"/>
      <c r="AM808" s="269"/>
      <c r="AN808" s="267">
        <f t="shared" si="28"/>
        <v>0</v>
      </c>
      <c r="AO808" s="268"/>
      <c r="AP808" s="268"/>
      <c r="AQ808" s="268"/>
      <c r="AR808" s="268"/>
      <c r="AS808" s="268"/>
      <c r="AT808" s="268"/>
      <c r="AU808" s="268"/>
      <c r="AV808" s="268"/>
      <c r="AW808" s="269"/>
      <c r="AX808" s="22"/>
      <c r="AY808" s="43"/>
      <c r="AZ808" s="36" t="str">
        <f>IF(CJ805=0,AY805&amp;" -","")</f>
        <v>SBT -</v>
      </c>
      <c r="BA808" s="42"/>
      <c r="BB808" s="42"/>
      <c r="BC808" s="42"/>
      <c r="BD808" s="42"/>
      <c r="BE808" s="42"/>
      <c r="BF808" s="42"/>
      <c r="BG808" s="42"/>
      <c r="BH808" s="42"/>
      <c r="BI808" s="42"/>
      <c r="BJ808" s="42"/>
      <c r="BK808" s="42"/>
      <c r="BL808" s="1"/>
      <c r="BM808" s="42"/>
      <c r="BN808" s="41" t="s">
        <v>275</v>
      </c>
      <c r="BO808" s="40"/>
      <c r="BP808" s="267"/>
      <c r="BQ808" s="268"/>
      <c r="BR808" s="268"/>
      <c r="BS808" s="268"/>
      <c r="BT808" s="268"/>
      <c r="BU808" s="268"/>
      <c r="BV808" s="268"/>
      <c r="BW808" s="268"/>
      <c r="BX808" s="268"/>
      <c r="BY808" s="269"/>
      <c r="BZ808" s="267"/>
      <c r="CA808" s="268"/>
      <c r="CB808" s="268"/>
      <c r="CC808" s="268"/>
      <c r="CD808" s="268"/>
      <c r="CE808" s="268"/>
      <c r="CF808" s="268"/>
      <c r="CG808" s="268"/>
      <c r="CH808" s="268"/>
      <c r="CI808" s="269"/>
      <c r="CJ808" s="267">
        <f t="shared" si="29"/>
        <v>0</v>
      </c>
      <c r="CK808" s="268"/>
      <c r="CL808" s="268"/>
      <c r="CM808" s="268"/>
      <c r="CN808" s="268"/>
      <c r="CO808" s="268"/>
      <c r="CP808" s="268"/>
      <c r="CQ808" s="268"/>
      <c r="CR808" s="268"/>
      <c r="CS808" s="269"/>
    </row>
    <row r="809" spans="1:104" hidden="1">
      <c r="A809" s="44"/>
      <c r="B809" s="44"/>
      <c r="C809" s="293" t="s">
        <v>92</v>
      </c>
      <c r="D809" s="294"/>
      <c r="E809" s="294"/>
      <c r="F809" s="294"/>
      <c r="G809" s="294"/>
      <c r="H809" s="294"/>
      <c r="I809" s="294"/>
      <c r="J809" s="294"/>
      <c r="K809" s="294"/>
      <c r="L809" s="294"/>
      <c r="M809" s="294"/>
      <c r="N809" s="294"/>
      <c r="O809" s="294"/>
      <c r="P809" s="294"/>
      <c r="Q809" s="294"/>
      <c r="R809" s="294"/>
      <c r="S809" s="295"/>
      <c r="T809" s="276">
        <f>SUMIFS('Adv. Filter'!$BJ$1:$BJ$50000,'Adv. Filter'!$BT$1:$BT$50000,"Ganesh",'Adv. Filter'!$BQ$1:$BQ$50000,$C809,'Adv. Filter'!$BH$1:$BH$50000,"Cash",'Adv. Filter'!$BO$1:$BO$50000,'Adv. Filter'!$A$14,'Adv. Filter'!$BO$1:$BO$50000,'Adv. Filter'!$B$14)</f>
        <v>0</v>
      </c>
      <c r="U809" s="277"/>
      <c r="V809" s="277"/>
      <c r="W809" s="277"/>
      <c r="X809" s="277"/>
      <c r="Y809" s="277"/>
      <c r="Z809" s="277"/>
      <c r="AA809" s="277"/>
      <c r="AB809" s="277"/>
      <c r="AC809" s="278"/>
      <c r="AD809" s="276">
        <f>SUMIFS('Adv. Filter'!$BJ$1:$BJ$50000,'Adv. Filter'!$BT$1:$BT$50000,"Ganesh",'Adv. Filter'!$BQ$1:$BQ$50000,$C809,'Adv. Filter'!$BH$1:$BH$50000,"Bank",'Adv. Filter'!$BO$1:$BO$50000,'Adv. Filter'!$A$14,'Adv. Filter'!$BO$1:$BO$50000,'Adv. Filter'!$B$14)</f>
        <v>0</v>
      </c>
      <c r="AE809" s="277"/>
      <c r="AF809" s="277"/>
      <c r="AG809" s="277"/>
      <c r="AH809" s="277"/>
      <c r="AI809" s="277"/>
      <c r="AJ809" s="277"/>
      <c r="AK809" s="277"/>
      <c r="AL809" s="277"/>
      <c r="AM809" s="278"/>
      <c r="AN809" s="276">
        <f t="shared" si="28"/>
        <v>0</v>
      </c>
      <c r="AO809" s="277"/>
      <c r="AP809" s="277"/>
      <c r="AQ809" s="277"/>
      <c r="AR809" s="277"/>
      <c r="AS809" s="277"/>
      <c r="AT809" s="277"/>
      <c r="AU809" s="277"/>
      <c r="AV809" s="277"/>
      <c r="AW809" s="278"/>
      <c r="AX809" s="45"/>
      <c r="AY809" s="293" t="s">
        <v>92</v>
      </c>
      <c r="AZ809" s="294"/>
      <c r="BA809" s="294"/>
      <c r="BB809" s="294"/>
      <c r="BC809" s="294"/>
      <c r="BD809" s="294"/>
      <c r="BE809" s="294"/>
      <c r="BF809" s="294"/>
      <c r="BG809" s="294"/>
      <c r="BH809" s="294"/>
      <c r="BI809" s="294"/>
      <c r="BJ809" s="294"/>
      <c r="BK809" s="294"/>
      <c r="BL809" s="294"/>
      <c r="BM809" s="294"/>
      <c r="BN809" s="294"/>
      <c r="BO809" s="295"/>
      <c r="BP809" s="276">
        <f>SUMIFS('Adv. Filter'!$BJ$1:$BJ$50000,'Adv. Filter'!$BT$1:$BT$50000,"Ganesh",'Adv. Filter'!$BQ$1:$BQ$50000,$AY809,'Adv. Filter'!$BH$1:$BH$50000,"Cash",'Adv. Filter'!$BO$1:$BO$50000,"&lt;"&amp;'Adv. Filter'!$A$15)</f>
        <v>0</v>
      </c>
      <c r="BQ809" s="277"/>
      <c r="BR809" s="277"/>
      <c r="BS809" s="277"/>
      <c r="BT809" s="277"/>
      <c r="BU809" s="277"/>
      <c r="BV809" s="277"/>
      <c r="BW809" s="277"/>
      <c r="BX809" s="277"/>
      <c r="BY809" s="278"/>
      <c r="BZ809" s="276">
        <f>SUMIFS('Adv. Filter'!$BJ$1:$BJ$50000,'Adv. Filter'!$BT$1:$BT$50000,"Ganesh",'Adv. Filter'!$BQ$1:$BQ$50000,$AY809,'Adv. Filter'!$BH$1:$BH$50000,"Bank",'Adv. Filter'!$BO$1:$BO$50000,"&lt;"&amp;'Adv. Filter'!$A$15)</f>
        <v>0</v>
      </c>
      <c r="CA809" s="277"/>
      <c r="CB809" s="277"/>
      <c r="CC809" s="277"/>
      <c r="CD809" s="277"/>
      <c r="CE809" s="277"/>
      <c r="CF809" s="277"/>
      <c r="CG809" s="277"/>
      <c r="CH809" s="277"/>
      <c r="CI809" s="278"/>
      <c r="CJ809" s="276">
        <f t="shared" si="29"/>
        <v>0</v>
      </c>
      <c r="CK809" s="277"/>
      <c r="CL809" s="277"/>
      <c r="CM809" s="277"/>
      <c r="CN809" s="277"/>
      <c r="CO809" s="277"/>
      <c r="CP809" s="277"/>
      <c r="CQ809" s="277"/>
      <c r="CR809" s="277"/>
      <c r="CS809" s="278"/>
      <c r="CT809" s="44"/>
      <c r="CU809" s="44"/>
      <c r="CV809" s="44"/>
      <c r="CW809" s="44"/>
      <c r="CX809" s="44"/>
      <c r="CY809" s="44"/>
      <c r="CZ809" s="44"/>
    </row>
    <row r="810" spans="1:104" hidden="1">
      <c r="C810" s="308" t="s">
        <v>115</v>
      </c>
      <c r="D810" s="309"/>
      <c r="E810" s="309"/>
      <c r="F810" s="309"/>
      <c r="G810" s="309"/>
      <c r="H810" s="309"/>
      <c r="I810" s="309"/>
      <c r="J810" s="309"/>
      <c r="K810" s="309"/>
      <c r="L810" s="309"/>
      <c r="M810" s="309"/>
      <c r="N810" s="309"/>
      <c r="O810" s="309"/>
      <c r="P810" s="309"/>
      <c r="Q810" s="309"/>
      <c r="R810" s="309"/>
      <c r="S810" s="310"/>
      <c r="T810" s="267">
        <f>SUMIFS('Adv. Filter'!$BJ$1:$BJ$50000,'Adv. Filter'!$BT$1:$BT$50000,"Ganesh",'Adv. Filter'!$BQ$1:$BQ$50000,$C809,'Adv. Filter'!$BH$1:$BH$50000,"Cash",'Adv. Filter'!$BO$1:$BO$50000,'Adv. Filter'!$A$14,'Adv. Filter'!$BO$1:$BO$50000,'Adv. Filter'!$B$14,'Adv. Filter'!$BP$1:$BP$50000,"Project")</f>
        <v>0</v>
      </c>
      <c r="U810" s="268"/>
      <c r="V810" s="268"/>
      <c r="W810" s="268"/>
      <c r="X810" s="268"/>
      <c r="Y810" s="268"/>
      <c r="Z810" s="268"/>
      <c r="AA810" s="268"/>
      <c r="AB810" s="268"/>
      <c r="AC810" s="269"/>
      <c r="AD810" s="267">
        <f>SUMIFS('Adv. Filter'!$BJ$1:$BJ$50000,'Adv. Filter'!$BT$1:$BT$50000,"Ganesh",'Adv. Filter'!$BQ$1:$BQ$50000,$C809,'Adv. Filter'!$BH$1:$BH$50000,"Bank",'Adv. Filter'!$BO$1:$BO$50000,'Adv. Filter'!$A$14,'Adv. Filter'!$BO$1:$BO$50000,'Adv. Filter'!$B$14,'Adv. Filter'!$BP$1:$BP$50000,"Project")</f>
        <v>0</v>
      </c>
      <c r="AE810" s="268"/>
      <c r="AF810" s="268"/>
      <c r="AG810" s="268"/>
      <c r="AH810" s="268"/>
      <c r="AI810" s="268"/>
      <c r="AJ810" s="268"/>
      <c r="AK810" s="268"/>
      <c r="AL810" s="268"/>
      <c r="AM810" s="269"/>
      <c r="AN810" s="267">
        <f t="shared" si="28"/>
        <v>0</v>
      </c>
      <c r="AO810" s="268"/>
      <c r="AP810" s="268"/>
      <c r="AQ810" s="268"/>
      <c r="AR810" s="268"/>
      <c r="AS810" s="268"/>
      <c r="AT810" s="268"/>
      <c r="AU810" s="268"/>
      <c r="AV810" s="268"/>
      <c r="AW810" s="269"/>
      <c r="AX810" s="22"/>
      <c r="AY810" s="308" t="s">
        <v>115</v>
      </c>
      <c r="AZ810" s="309"/>
      <c r="BA810" s="309"/>
      <c r="BB810" s="309"/>
      <c r="BC810" s="309"/>
      <c r="BD810" s="309"/>
      <c r="BE810" s="309"/>
      <c r="BF810" s="309"/>
      <c r="BG810" s="309"/>
      <c r="BH810" s="309"/>
      <c r="BI810" s="309"/>
      <c r="BJ810" s="309"/>
      <c r="BK810" s="309"/>
      <c r="BL810" s="309"/>
      <c r="BM810" s="309"/>
      <c r="BN810" s="309"/>
      <c r="BO810" s="310"/>
      <c r="BP810" s="267">
        <f>SUMIFS('Adv. Filter'!$BJ$1:$BJ$50000,'Adv. Filter'!$BT$1:$BT$50000,"Ganesh",'Adv. Filter'!$BQ$1:$BQ$50000,$AY809,'Adv. Filter'!$BH$1:$BH$50000,"Cash",'Adv. Filter'!$BO$1:$BO$50000,"&lt;"&amp;'Adv. Filter'!$A$15,'Adv. Filter'!$BP$1:$BP$50000,"Project")</f>
        <v>0</v>
      </c>
      <c r="BQ810" s="268"/>
      <c r="BR810" s="268"/>
      <c r="BS810" s="268"/>
      <c r="BT810" s="268"/>
      <c r="BU810" s="268"/>
      <c r="BV810" s="268"/>
      <c r="BW810" s="268"/>
      <c r="BX810" s="268"/>
      <c r="BY810" s="269"/>
      <c r="BZ810" s="267">
        <f>SUMIFS('Adv. Filter'!$BJ$1:$BJ$50000,'Adv. Filter'!$BT$1:$BT$50000,"Ganesh",'Adv. Filter'!$BQ$1:$BQ$50000,$AY809,'Adv. Filter'!$BH$1:$BH$50000,"Bank",'Adv. Filter'!$BO$1:$BO$50000,"&lt;"&amp;'Adv. Filter'!$A$15,'Adv. Filter'!$BP$1:$BP$50000,"Project")</f>
        <v>0</v>
      </c>
      <c r="CA810" s="268"/>
      <c r="CB810" s="268"/>
      <c r="CC810" s="268"/>
      <c r="CD810" s="268"/>
      <c r="CE810" s="268"/>
      <c r="CF810" s="268"/>
      <c r="CG810" s="268"/>
      <c r="CH810" s="268"/>
      <c r="CI810" s="269"/>
      <c r="CJ810" s="267">
        <f t="shared" si="29"/>
        <v>0</v>
      </c>
      <c r="CK810" s="268"/>
      <c r="CL810" s="268"/>
      <c r="CM810" s="268"/>
      <c r="CN810" s="268"/>
      <c r="CO810" s="268"/>
      <c r="CP810" s="268"/>
      <c r="CQ810" s="268"/>
      <c r="CR810" s="268"/>
      <c r="CS810" s="269"/>
    </row>
    <row r="811" spans="1:104" hidden="1">
      <c r="C811" s="308" t="s">
        <v>510</v>
      </c>
      <c r="D811" s="309"/>
      <c r="E811" s="309"/>
      <c r="F811" s="309"/>
      <c r="G811" s="309"/>
      <c r="H811" s="309"/>
      <c r="I811" s="309"/>
      <c r="J811" s="309"/>
      <c r="K811" s="309"/>
      <c r="L811" s="309"/>
      <c r="M811" s="309"/>
      <c r="N811" s="309"/>
      <c r="O811" s="309"/>
      <c r="P811" s="309"/>
      <c r="Q811" s="309"/>
      <c r="R811" s="309"/>
      <c r="S811" s="310"/>
      <c r="T811" s="267">
        <v>0</v>
      </c>
      <c r="U811" s="268"/>
      <c r="V811" s="268"/>
      <c r="W811" s="268"/>
      <c r="X811" s="268"/>
      <c r="Y811" s="268"/>
      <c r="Z811" s="268"/>
      <c r="AA811" s="268"/>
      <c r="AB811" s="268"/>
      <c r="AC811" s="269"/>
      <c r="AD811" s="267">
        <v>0</v>
      </c>
      <c r="AE811" s="268"/>
      <c r="AF811" s="268"/>
      <c r="AG811" s="268"/>
      <c r="AH811" s="268"/>
      <c r="AI811" s="268"/>
      <c r="AJ811" s="268"/>
      <c r="AK811" s="268"/>
      <c r="AL811" s="268"/>
      <c r="AM811" s="269"/>
      <c r="AN811" s="267">
        <f t="shared" si="28"/>
        <v>0</v>
      </c>
      <c r="AO811" s="268"/>
      <c r="AP811" s="268"/>
      <c r="AQ811" s="268"/>
      <c r="AR811" s="268"/>
      <c r="AS811" s="268"/>
      <c r="AT811" s="268"/>
      <c r="AU811" s="268"/>
      <c r="AV811" s="268"/>
      <c r="AW811" s="269"/>
      <c r="AX811" s="22"/>
      <c r="AY811" s="308" t="s">
        <v>510</v>
      </c>
      <c r="AZ811" s="309"/>
      <c r="BA811" s="309"/>
      <c r="BB811" s="309"/>
      <c r="BC811" s="309"/>
      <c r="BD811" s="309"/>
      <c r="BE811" s="309"/>
      <c r="BF811" s="309"/>
      <c r="BG811" s="309"/>
      <c r="BH811" s="309"/>
      <c r="BI811" s="309"/>
      <c r="BJ811" s="309"/>
      <c r="BK811" s="309"/>
      <c r="BL811" s="309"/>
      <c r="BM811" s="309"/>
      <c r="BN811" s="309"/>
      <c r="BO811" s="310"/>
      <c r="BP811" s="267"/>
      <c r="BQ811" s="268"/>
      <c r="BR811" s="268"/>
      <c r="BS811" s="268"/>
      <c r="BT811" s="268"/>
      <c r="BU811" s="268"/>
      <c r="BV811" s="268"/>
      <c r="BW811" s="268"/>
      <c r="BX811" s="268"/>
      <c r="BY811" s="269"/>
      <c r="BZ811" s="267"/>
      <c r="CA811" s="268"/>
      <c r="CB811" s="268"/>
      <c r="CC811" s="268"/>
      <c r="CD811" s="268"/>
      <c r="CE811" s="268"/>
      <c r="CF811" s="268"/>
      <c r="CG811" s="268"/>
      <c r="CH811" s="268"/>
      <c r="CI811" s="269"/>
      <c r="CJ811" s="267">
        <f t="shared" si="29"/>
        <v>0</v>
      </c>
      <c r="CK811" s="268"/>
      <c r="CL811" s="268"/>
      <c r="CM811" s="268"/>
      <c r="CN811" s="268"/>
      <c r="CO811" s="268"/>
      <c r="CP811" s="268"/>
      <c r="CQ811" s="268"/>
      <c r="CR811" s="268"/>
      <c r="CS811" s="269"/>
    </row>
    <row r="812" spans="1:104" hidden="1">
      <c r="C812" s="43"/>
      <c r="D812" s="36" t="str">
        <f>IF(AN809=0,C809&amp;" -","")</f>
        <v>Syndicate -</v>
      </c>
      <c r="E812" s="42"/>
      <c r="F812" s="42"/>
      <c r="G812" s="42"/>
      <c r="H812" s="42"/>
      <c r="I812" s="42"/>
      <c r="J812" s="42"/>
      <c r="K812" s="42"/>
      <c r="L812" s="42"/>
      <c r="M812" s="42"/>
      <c r="N812" s="42"/>
      <c r="O812" s="42"/>
      <c r="P812" s="1"/>
      <c r="Q812" s="42"/>
      <c r="R812" s="41" t="s">
        <v>275</v>
      </c>
      <c r="S812" s="40"/>
      <c r="T812" s="267">
        <f>SUMIFS('Adv. Filter'!$CH$1:$CH$50000,'Adv. Filter'!$CD$1:$CD$50000,"Ganesh",'Adv. Filter'!$CE$1:$CE$50000,$C809,'Adv. Filter'!$CC$1:$CC$50000,"Suspense",'Adv. Filter'!$CF$1:$CF$50000,"Cash")</f>
        <v>0</v>
      </c>
      <c r="U812" s="268"/>
      <c r="V812" s="268"/>
      <c r="W812" s="268"/>
      <c r="X812" s="268"/>
      <c r="Y812" s="268"/>
      <c r="Z812" s="268"/>
      <c r="AA812" s="268"/>
      <c r="AB812" s="268"/>
      <c r="AC812" s="269"/>
      <c r="AD812" s="267">
        <f>SUMIFS('Adv. Filter'!$CH$1:$CH$50000,'Adv. Filter'!$CD$1:$CD$50000,"Ganesh",'Adv. Filter'!$CE$1:$CE$50000,$C809,'Adv. Filter'!$CC$1:$CC$50000,"Suspense",'Adv. Filter'!$CF$1:$CF$50000,"Bank")</f>
        <v>0</v>
      </c>
      <c r="AE812" s="268"/>
      <c r="AF812" s="268"/>
      <c r="AG812" s="268"/>
      <c r="AH812" s="268"/>
      <c r="AI812" s="268"/>
      <c r="AJ812" s="268"/>
      <c r="AK812" s="268"/>
      <c r="AL812" s="268"/>
      <c r="AM812" s="269"/>
      <c r="AN812" s="267">
        <f t="shared" si="28"/>
        <v>0</v>
      </c>
      <c r="AO812" s="268"/>
      <c r="AP812" s="268"/>
      <c r="AQ812" s="268"/>
      <c r="AR812" s="268"/>
      <c r="AS812" s="268"/>
      <c r="AT812" s="268"/>
      <c r="AU812" s="268"/>
      <c r="AV812" s="268"/>
      <c r="AW812" s="269"/>
      <c r="AX812" s="22"/>
      <c r="AY812" s="43"/>
      <c r="AZ812" s="36" t="str">
        <f>IF(CJ809=0,AY809&amp;" -","")</f>
        <v>Syndicate -</v>
      </c>
      <c r="BA812" s="42"/>
      <c r="BB812" s="42"/>
      <c r="BC812" s="42"/>
      <c r="BD812" s="42"/>
      <c r="BE812" s="42"/>
      <c r="BF812" s="42"/>
      <c r="BG812" s="42"/>
      <c r="BH812" s="42"/>
      <c r="BI812" s="42"/>
      <c r="BJ812" s="42"/>
      <c r="BK812" s="42"/>
      <c r="BL812" s="1"/>
      <c r="BM812" s="42"/>
      <c r="BN812" s="41" t="s">
        <v>275</v>
      </c>
      <c r="BO812" s="40"/>
      <c r="BP812" s="267"/>
      <c r="BQ812" s="268"/>
      <c r="BR812" s="268"/>
      <c r="BS812" s="268"/>
      <c r="BT812" s="268"/>
      <c r="BU812" s="268"/>
      <c r="BV812" s="268"/>
      <c r="BW812" s="268"/>
      <c r="BX812" s="268"/>
      <c r="BY812" s="269"/>
      <c r="BZ812" s="267"/>
      <c r="CA812" s="268"/>
      <c r="CB812" s="268"/>
      <c r="CC812" s="268"/>
      <c r="CD812" s="268"/>
      <c r="CE812" s="268"/>
      <c r="CF812" s="268"/>
      <c r="CG812" s="268"/>
      <c r="CH812" s="268"/>
      <c r="CI812" s="269"/>
      <c r="CJ812" s="267">
        <f t="shared" si="29"/>
        <v>0</v>
      </c>
      <c r="CK812" s="268"/>
      <c r="CL812" s="268"/>
      <c r="CM812" s="268"/>
      <c r="CN812" s="268"/>
      <c r="CO812" s="268"/>
      <c r="CP812" s="268"/>
      <c r="CQ812" s="268"/>
      <c r="CR812" s="268"/>
      <c r="CS812" s="269"/>
    </row>
    <row r="813" spans="1:104" hidden="1">
      <c r="A813" s="44"/>
      <c r="B813" s="44"/>
      <c r="C813" s="293" t="s">
        <v>97</v>
      </c>
      <c r="D813" s="294"/>
      <c r="E813" s="294"/>
      <c r="F813" s="294"/>
      <c r="G813" s="294"/>
      <c r="H813" s="294"/>
      <c r="I813" s="294"/>
      <c r="J813" s="294"/>
      <c r="K813" s="294"/>
      <c r="L813" s="294"/>
      <c r="M813" s="294"/>
      <c r="N813" s="294"/>
      <c r="O813" s="294"/>
      <c r="P813" s="294"/>
      <c r="Q813" s="294"/>
      <c r="R813" s="294"/>
      <c r="S813" s="295"/>
      <c r="T813" s="276">
        <f>SUMIFS('Adv. Filter'!$BJ$1:$BJ$50000,'Adv. Filter'!$BT$1:$BT$50000,"Ganesh",'Adv. Filter'!$BQ$1:$BQ$50000,$C813,'Adv. Filter'!$BH$1:$BH$50000,"Cash",'Adv. Filter'!$BO$1:$BO$50000,'Adv. Filter'!$A$14,'Adv. Filter'!$BO$1:$BO$50000,'Adv. Filter'!$B$14)</f>
        <v>0</v>
      </c>
      <c r="U813" s="277"/>
      <c r="V813" s="277"/>
      <c r="W813" s="277"/>
      <c r="X813" s="277"/>
      <c r="Y813" s="277"/>
      <c r="Z813" s="277"/>
      <c r="AA813" s="277"/>
      <c r="AB813" s="277"/>
      <c r="AC813" s="278"/>
      <c r="AD813" s="276">
        <f>SUMIFS('Adv. Filter'!$BJ$1:$BJ$50000,'Adv. Filter'!$BT$1:$BT$50000,"Ganesh",'Adv. Filter'!$BQ$1:$BQ$50000,$C813,'Adv. Filter'!$BH$1:$BH$50000,"Bank",'Adv. Filter'!$BO$1:$BO$50000,'Adv. Filter'!$A$14,'Adv. Filter'!$BO$1:$BO$50000,'Adv. Filter'!$B$14)</f>
        <v>3500</v>
      </c>
      <c r="AE813" s="277"/>
      <c r="AF813" s="277"/>
      <c r="AG813" s="277"/>
      <c r="AH813" s="277"/>
      <c r="AI813" s="277"/>
      <c r="AJ813" s="277"/>
      <c r="AK813" s="277"/>
      <c r="AL813" s="277"/>
      <c r="AM813" s="278"/>
      <c r="AN813" s="276">
        <f t="shared" si="28"/>
        <v>3500</v>
      </c>
      <c r="AO813" s="277"/>
      <c r="AP813" s="277"/>
      <c r="AQ813" s="277"/>
      <c r="AR813" s="277"/>
      <c r="AS813" s="277"/>
      <c r="AT813" s="277"/>
      <c r="AU813" s="277"/>
      <c r="AV813" s="277"/>
      <c r="AW813" s="278"/>
      <c r="AX813" s="45"/>
      <c r="AY813" s="293" t="s">
        <v>97</v>
      </c>
      <c r="AZ813" s="294"/>
      <c r="BA813" s="294"/>
      <c r="BB813" s="294"/>
      <c r="BC813" s="294"/>
      <c r="BD813" s="294"/>
      <c r="BE813" s="294"/>
      <c r="BF813" s="294"/>
      <c r="BG813" s="294"/>
      <c r="BH813" s="294"/>
      <c r="BI813" s="294"/>
      <c r="BJ813" s="294"/>
      <c r="BK813" s="294"/>
      <c r="BL813" s="294"/>
      <c r="BM813" s="294"/>
      <c r="BN813" s="294"/>
      <c r="BO813" s="295"/>
      <c r="BP813" s="276">
        <f>SUMIFS('Adv. Filter'!$BJ$1:$BJ$50000,'Adv. Filter'!$BT$1:$BT$50000,"Ganesh",'Adv. Filter'!$BQ$1:$BQ$50000,$AY813,'Adv. Filter'!$BH$1:$BH$50000,"Cash",'Adv. Filter'!$BO$1:$BO$50000,"&lt;"&amp;'Adv. Filter'!$A$15)</f>
        <v>0</v>
      </c>
      <c r="BQ813" s="277"/>
      <c r="BR813" s="277"/>
      <c r="BS813" s="277"/>
      <c r="BT813" s="277"/>
      <c r="BU813" s="277"/>
      <c r="BV813" s="277"/>
      <c r="BW813" s="277"/>
      <c r="BX813" s="277"/>
      <c r="BY813" s="278"/>
      <c r="BZ813" s="276">
        <f>SUMIFS('Adv. Filter'!$BJ$1:$BJ$50000,'Adv. Filter'!$BT$1:$BT$50000,"Ganesh",'Adv. Filter'!$BQ$1:$BQ$50000,$AY813,'Adv. Filter'!$BH$1:$BH$50000,"Bank",'Adv. Filter'!$BO$1:$BO$50000,"&lt;"&amp;'Adv. Filter'!$A$15)</f>
        <v>0</v>
      </c>
      <c r="CA813" s="277"/>
      <c r="CB813" s="277"/>
      <c r="CC813" s="277"/>
      <c r="CD813" s="277"/>
      <c r="CE813" s="277"/>
      <c r="CF813" s="277"/>
      <c r="CG813" s="277"/>
      <c r="CH813" s="277"/>
      <c r="CI813" s="278"/>
      <c r="CJ813" s="276">
        <f t="shared" si="29"/>
        <v>0</v>
      </c>
      <c r="CK813" s="277"/>
      <c r="CL813" s="277"/>
      <c r="CM813" s="277"/>
      <c r="CN813" s="277"/>
      <c r="CO813" s="277"/>
      <c r="CP813" s="277"/>
      <c r="CQ813" s="277"/>
      <c r="CR813" s="277"/>
      <c r="CS813" s="278"/>
      <c r="CT813" s="44"/>
      <c r="CU813" s="44"/>
      <c r="CV813" s="44"/>
      <c r="CW813" s="44"/>
      <c r="CX813" s="44"/>
      <c r="CY813" s="44"/>
      <c r="CZ813" s="44"/>
    </row>
    <row r="814" spans="1:104" hidden="1">
      <c r="C814" s="308" t="s">
        <v>115</v>
      </c>
      <c r="D814" s="309"/>
      <c r="E814" s="309"/>
      <c r="F814" s="309"/>
      <c r="G814" s="309"/>
      <c r="H814" s="309"/>
      <c r="I814" s="309"/>
      <c r="J814" s="309"/>
      <c r="K814" s="309"/>
      <c r="L814" s="309"/>
      <c r="M814" s="309"/>
      <c r="N814" s="309"/>
      <c r="O814" s="309"/>
      <c r="P814" s="309"/>
      <c r="Q814" s="309"/>
      <c r="R814" s="309"/>
      <c r="S814" s="310"/>
      <c r="T814" s="267">
        <f>SUMIFS('Adv. Filter'!$BJ$1:$BJ$50000,'Adv. Filter'!$BT$1:$BT$50000,"Ganesh",'Adv. Filter'!$BQ$1:$BQ$50000,$C813,'Adv. Filter'!$BH$1:$BH$50000,"Cash",'Adv. Filter'!$BO$1:$BO$50000,'Adv. Filter'!$A$14,'Adv. Filter'!$BO$1:$BO$50000,'Adv. Filter'!$B$14,'Adv. Filter'!$BP$1:$BP$50000,"Project")</f>
        <v>0</v>
      </c>
      <c r="U814" s="268"/>
      <c r="V814" s="268"/>
      <c r="W814" s="268"/>
      <c r="X814" s="268"/>
      <c r="Y814" s="268"/>
      <c r="Z814" s="268"/>
      <c r="AA814" s="268"/>
      <c r="AB814" s="268"/>
      <c r="AC814" s="269"/>
      <c r="AD814" s="267">
        <f>SUMIFS('Adv. Filter'!$BJ$1:$BJ$50000,'Adv. Filter'!$BT$1:$BT$50000,"Ganesh",'Adv. Filter'!$BQ$1:$BQ$50000,$C813,'Adv. Filter'!$BH$1:$BH$50000,"Bank",'Adv. Filter'!$BO$1:$BO$50000,'Adv. Filter'!$A$14,'Adv. Filter'!$BO$1:$BO$50000,'Adv. Filter'!$B$14,'Adv. Filter'!$BP$1:$BP$50000,"Project")</f>
        <v>0</v>
      </c>
      <c r="AE814" s="268"/>
      <c r="AF814" s="268"/>
      <c r="AG814" s="268"/>
      <c r="AH814" s="268"/>
      <c r="AI814" s="268"/>
      <c r="AJ814" s="268"/>
      <c r="AK814" s="268"/>
      <c r="AL814" s="268"/>
      <c r="AM814" s="269"/>
      <c r="AN814" s="267">
        <f t="shared" si="28"/>
        <v>0</v>
      </c>
      <c r="AO814" s="268"/>
      <c r="AP814" s="268"/>
      <c r="AQ814" s="268"/>
      <c r="AR814" s="268"/>
      <c r="AS814" s="268"/>
      <c r="AT814" s="268"/>
      <c r="AU814" s="268"/>
      <c r="AV814" s="268"/>
      <c r="AW814" s="269"/>
      <c r="AX814" s="22"/>
      <c r="AY814" s="308" t="s">
        <v>115</v>
      </c>
      <c r="AZ814" s="309"/>
      <c r="BA814" s="309"/>
      <c r="BB814" s="309"/>
      <c r="BC814" s="309"/>
      <c r="BD814" s="309"/>
      <c r="BE814" s="309"/>
      <c r="BF814" s="309"/>
      <c r="BG814" s="309"/>
      <c r="BH814" s="309"/>
      <c r="BI814" s="309"/>
      <c r="BJ814" s="309"/>
      <c r="BK814" s="309"/>
      <c r="BL814" s="309"/>
      <c r="BM814" s="309"/>
      <c r="BN814" s="309"/>
      <c r="BO814" s="310"/>
      <c r="BP814" s="267">
        <f>SUMIFS('Adv. Filter'!$BJ$1:$BJ$50000,'Adv. Filter'!$BT$1:$BT$50000,"Ganesh",'Adv. Filter'!$BQ$1:$BQ$50000,$AY813,'Adv. Filter'!$BH$1:$BH$50000,"Cash",'Adv. Filter'!$BO$1:$BO$50000,"&lt;"&amp;'Adv. Filter'!$A$15,'Adv. Filter'!$BP$1:$BP$50000,"Project")</f>
        <v>0</v>
      </c>
      <c r="BQ814" s="268"/>
      <c r="BR814" s="268"/>
      <c r="BS814" s="268"/>
      <c r="BT814" s="268"/>
      <c r="BU814" s="268"/>
      <c r="BV814" s="268"/>
      <c r="BW814" s="268"/>
      <c r="BX814" s="268"/>
      <c r="BY814" s="269"/>
      <c r="BZ814" s="267">
        <f>SUMIFS('Adv. Filter'!$BJ$1:$BJ$50000,'Adv. Filter'!$BT$1:$BT$50000,"Ganesh",'Adv. Filter'!$BQ$1:$BQ$50000,$AY813,'Adv. Filter'!$BH$1:$BH$50000,"Bank",'Adv. Filter'!$BO$1:$BO$50000,"&lt;"&amp;'Adv. Filter'!$A$15,'Adv. Filter'!$BP$1:$BP$50000,"Project")</f>
        <v>0</v>
      </c>
      <c r="CA814" s="268"/>
      <c r="CB814" s="268"/>
      <c r="CC814" s="268"/>
      <c r="CD814" s="268"/>
      <c r="CE814" s="268"/>
      <c r="CF814" s="268"/>
      <c r="CG814" s="268"/>
      <c r="CH814" s="268"/>
      <c r="CI814" s="269"/>
      <c r="CJ814" s="267">
        <f t="shared" si="29"/>
        <v>0</v>
      </c>
      <c r="CK814" s="268"/>
      <c r="CL814" s="268"/>
      <c r="CM814" s="268"/>
      <c r="CN814" s="268"/>
      <c r="CO814" s="268"/>
      <c r="CP814" s="268"/>
      <c r="CQ814" s="268"/>
      <c r="CR814" s="268"/>
      <c r="CS814" s="269"/>
    </row>
    <row r="815" spans="1:104" hidden="1">
      <c r="C815" s="308" t="s">
        <v>510</v>
      </c>
      <c r="D815" s="309"/>
      <c r="E815" s="309"/>
      <c r="F815" s="309"/>
      <c r="G815" s="309"/>
      <c r="H815" s="309"/>
      <c r="I815" s="309"/>
      <c r="J815" s="309"/>
      <c r="K815" s="309"/>
      <c r="L815" s="309"/>
      <c r="M815" s="309"/>
      <c r="N815" s="309"/>
      <c r="O815" s="309"/>
      <c r="P815" s="309"/>
      <c r="Q815" s="309"/>
      <c r="R815" s="309"/>
      <c r="S815" s="310"/>
      <c r="T815" s="267">
        <v>0</v>
      </c>
      <c r="U815" s="268"/>
      <c r="V815" s="268"/>
      <c r="W815" s="268"/>
      <c r="X815" s="268"/>
      <c r="Y815" s="268"/>
      <c r="Z815" s="268"/>
      <c r="AA815" s="268"/>
      <c r="AB815" s="268"/>
      <c r="AC815" s="269"/>
      <c r="AD815" s="267">
        <v>0</v>
      </c>
      <c r="AE815" s="268"/>
      <c r="AF815" s="268"/>
      <c r="AG815" s="268"/>
      <c r="AH815" s="268"/>
      <c r="AI815" s="268"/>
      <c r="AJ815" s="268"/>
      <c r="AK815" s="268"/>
      <c r="AL815" s="268"/>
      <c r="AM815" s="269"/>
      <c r="AN815" s="267">
        <f t="shared" si="28"/>
        <v>0</v>
      </c>
      <c r="AO815" s="268"/>
      <c r="AP815" s="268"/>
      <c r="AQ815" s="268"/>
      <c r="AR815" s="268"/>
      <c r="AS815" s="268"/>
      <c r="AT815" s="268"/>
      <c r="AU815" s="268"/>
      <c r="AV815" s="268"/>
      <c r="AW815" s="269"/>
      <c r="AX815" s="22"/>
      <c r="AY815" s="308" t="s">
        <v>510</v>
      </c>
      <c r="AZ815" s="309"/>
      <c r="BA815" s="309"/>
      <c r="BB815" s="309"/>
      <c r="BC815" s="309"/>
      <c r="BD815" s="309"/>
      <c r="BE815" s="309"/>
      <c r="BF815" s="309"/>
      <c r="BG815" s="309"/>
      <c r="BH815" s="309"/>
      <c r="BI815" s="309"/>
      <c r="BJ815" s="309"/>
      <c r="BK815" s="309"/>
      <c r="BL815" s="309"/>
      <c r="BM815" s="309"/>
      <c r="BN815" s="309"/>
      <c r="BO815" s="310"/>
      <c r="BP815" s="267"/>
      <c r="BQ815" s="268"/>
      <c r="BR815" s="268"/>
      <c r="BS815" s="268"/>
      <c r="BT815" s="268"/>
      <c r="BU815" s="268"/>
      <c r="BV815" s="268"/>
      <c r="BW815" s="268"/>
      <c r="BX815" s="268"/>
      <c r="BY815" s="269"/>
      <c r="BZ815" s="267"/>
      <c r="CA815" s="268"/>
      <c r="CB815" s="268"/>
      <c r="CC815" s="268"/>
      <c r="CD815" s="268"/>
      <c r="CE815" s="268"/>
      <c r="CF815" s="268"/>
      <c r="CG815" s="268"/>
      <c r="CH815" s="268"/>
      <c r="CI815" s="269"/>
      <c r="CJ815" s="267">
        <f t="shared" si="29"/>
        <v>0</v>
      </c>
      <c r="CK815" s="268"/>
      <c r="CL815" s="268"/>
      <c r="CM815" s="268"/>
      <c r="CN815" s="268"/>
      <c r="CO815" s="268"/>
      <c r="CP815" s="268"/>
      <c r="CQ815" s="268"/>
      <c r="CR815" s="268"/>
      <c r="CS815" s="269"/>
    </row>
    <row r="816" spans="1:104" hidden="1">
      <c r="C816" s="43"/>
      <c r="D816" s="36" t="str">
        <f>IF(AN813=0,C813&amp;" -","")</f>
        <v/>
      </c>
      <c r="E816" s="42"/>
      <c r="F816" s="42"/>
      <c r="G816" s="42"/>
      <c r="H816" s="42"/>
      <c r="I816" s="42"/>
      <c r="J816" s="42"/>
      <c r="K816" s="42"/>
      <c r="L816" s="42"/>
      <c r="M816" s="42"/>
      <c r="N816" s="42"/>
      <c r="O816" s="42"/>
      <c r="P816" s="1"/>
      <c r="Q816" s="42"/>
      <c r="R816" s="41" t="s">
        <v>275</v>
      </c>
      <c r="S816" s="40"/>
      <c r="T816" s="267">
        <f>SUMIFS('Adv. Filter'!$CH$1:$CH$50000,'Adv. Filter'!$CD$1:$CD$50000,"Ganesh",'Adv. Filter'!$CE$1:$CE$50000,$C813,'Adv. Filter'!$CC$1:$CC$50000,"Suspense",'Adv. Filter'!$CF$1:$CF$50000,"Cash")</f>
        <v>0</v>
      </c>
      <c r="U816" s="268"/>
      <c r="V816" s="268"/>
      <c r="W816" s="268"/>
      <c r="X816" s="268"/>
      <c r="Y816" s="268"/>
      <c r="Z816" s="268"/>
      <c r="AA816" s="268"/>
      <c r="AB816" s="268"/>
      <c r="AC816" s="269"/>
      <c r="AD816" s="267">
        <f>SUMIFS('Adv. Filter'!$CH$1:$CH$50000,'Adv. Filter'!$CD$1:$CD$50000,"Ganesh",'Adv. Filter'!$CE$1:$CE$50000,$C813,'Adv. Filter'!$CC$1:$CC$50000,"Suspense",'Adv. Filter'!$CF$1:$CF$50000,"Bank")</f>
        <v>0</v>
      </c>
      <c r="AE816" s="268"/>
      <c r="AF816" s="268"/>
      <c r="AG816" s="268"/>
      <c r="AH816" s="268"/>
      <c r="AI816" s="268"/>
      <c r="AJ816" s="268"/>
      <c r="AK816" s="268"/>
      <c r="AL816" s="268"/>
      <c r="AM816" s="269"/>
      <c r="AN816" s="267">
        <f t="shared" si="28"/>
        <v>0</v>
      </c>
      <c r="AO816" s="268"/>
      <c r="AP816" s="268"/>
      <c r="AQ816" s="268"/>
      <c r="AR816" s="268"/>
      <c r="AS816" s="268"/>
      <c r="AT816" s="268"/>
      <c r="AU816" s="268"/>
      <c r="AV816" s="268"/>
      <c r="AW816" s="269"/>
      <c r="AX816" s="22"/>
      <c r="AY816" s="43"/>
      <c r="AZ816" s="36" t="str">
        <f>IF(CJ813=0,AY813&amp;" -","")</f>
        <v>TGB -</v>
      </c>
      <c r="BA816" s="42"/>
      <c r="BB816" s="42"/>
      <c r="BC816" s="42"/>
      <c r="BD816" s="42"/>
      <c r="BE816" s="42"/>
      <c r="BF816" s="42"/>
      <c r="BG816" s="42"/>
      <c r="BH816" s="42"/>
      <c r="BI816" s="42"/>
      <c r="BJ816" s="42"/>
      <c r="BK816" s="42"/>
      <c r="BL816" s="1"/>
      <c r="BM816" s="42"/>
      <c r="BN816" s="41" t="s">
        <v>275</v>
      </c>
      <c r="BO816" s="40"/>
      <c r="BP816" s="267"/>
      <c r="BQ816" s="268"/>
      <c r="BR816" s="268"/>
      <c r="BS816" s="268"/>
      <c r="BT816" s="268"/>
      <c r="BU816" s="268"/>
      <c r="BV816" s="268"/>
      <c r="BW816" s="268"/>
      <c r="BX816" s="268"/>
      <c r="BY816" s="269"/>
      <c r="BZ816" s="267"/>
      <c r="CA816" s="268"/>
      <c r="CB816" s="268"/>
      <c r="CC816" s="268"/>
      <c r="CD816" s="268"/>
      <c r="CE816" s="268"/>
      <c r="CF816" s="268"/>
      <c r="CG816" s="268"/>
      <c r="CH816" s="268"/>
      <c r="CI816" s="269"/>
      <c r="CJ816" s="267">
        <f t="shared" si="29"/>
        <v>0</v>
      </c>
      <c r="CK816" s="268"/>
      <c r="CL816" s="268"/>
      <c r="CM816" s="268"/>
      <c r="CN816" s="268"/>
      <c r="CO816" s="268"/>
      <c r="CP816" s="268"/>
      <c r="CQ816" s="268"/>
      <c r="CR816" s="268"/>
      <c r="CS816" s="269"/>
    </row>
    <row r="817" spans="1:104" hidden="1">
      <c r="A817" s="44"/>
      <c r="B817" s="44"/>
      <c r="C817" s="293" t="s">
        <v>102</v>
      </c>
      <c r="D817" s="294"/>
      <c r="E817" s="294"/>
      <c r="F817" s="294"/>
      <c r="G817" s="294"/>
      <c r="H817" s="294"/>
      <c r="I817" s="294"/>
      <c r="J817" s="294"/>
      <c r="K817" s="294"/>
      <c r="L817" s="294"/>
      <c r="M817" s="294"/>
      <c r="N817" s="294"/>
      <c r="O817" s="294"/>
      <c r="P817" s="294"/>
      <c r="Q817" s="294"/>
      <c r="R817" s="294"/>
      <c r="S817" s="295"/>
      <c r="T817" s="276">
        <f>SUMIFS('Adv. Filter'!$BJ$1:$BJ$50000,'Adv. Filter'!$BT$1:$BT$50000,"Ganesh",'Adv. Filter'!$BQ$1:$BQ$50000,$C817,'Adv. Filter'!$BH$1:$BH$50000,"Cash",'Adv. Filter'!$BO$1:$BO$50000,'Adv. Filter'!$A$14,'Adv. Filter'!$BO$1:$BO$50000,'Adv. Filter'!$B$14)</f>
        <v>0</v>
      </c>
      <c r="U817" s="277"/>
      <c r="V817" s="277"/>
      <c r="W817" s="277"/>
      <c r="X817" s="277"/>
      <c r="Y817" s="277"/>
      <c r="Z817" s="277"/>
      <c r="AA817" s="277"/>
      <c r="AB817" s="277"/>
      <c r="AC817" s="278"/>
      <c r="AD817" s="276">
        <f>SUMIFS('Adv. Filter'!$BJ$1:$BJ$50000,'Adv. Filter'!$BT$1:$BT$50000,"Ganesh",'Adv. Filter'!$BQ$1:$BQ$50000,$C817,'Adv. Filter'!$BH$1:$BH$50000,"Bank",'Adv. Filter'!$BO$1:$BO$50000,'Adv. Filter'!$A$14,'Adv. Filter'!$BO$1:$BO$50000,'Adv. Filter'!$B$14)</f>
        <v>0</v>
      </c>
      <c r="AE817" s="277"/>
      <c r="AF817" s="277"/>
      <c r="AG817" s="277"/>
      <c r="AH817" s="277"/>
      <c r="AI817" s="277"/>
      <c r="AJ817" s="277"/>
      <c r="AK817" s="277"/>
      <c r="AL817" s="277"/>
      <c r="AM817" s="278"/>
      <c r="AN817" s="276">
        <f t="shared" si="28"/>
        <v>0</v>
      </c>
      <c r="AO817" s="277"/>
      <c r="AP817" s="277"/>
      <c r="AQ817" s="277"/>
      <c r="AR817" s="277"/>
      <c r="AS817" s="277"/>
      <c r="AT817" s="277"/>
      <c r="AU817" s="277"/>
      <c r="AV817" s="277"/>
      <c r="AW817" s="278"/>
      <c r="AX817" s="45"/>
      <c r="AY817" s="293" t="s">
        <v>102</v>
      </c>
      <c r="AZ817" s="294"/>
      <c r="BA817" s="294"/>
      <c r="BB817" s="294"/>
      <c r="BC817" s="294"/>
      <c r="BD817" s="294"/>
      <c r="BE817" s="294"/>
      <c r="BF817" s="294"/>
      <c r="BG817" s="294"/>
      <c r="BH817" s="294"/>
      <c r="BI817" s="294"/>
      <c r="BJ817" s="294"/>
      <c r="BK817" s="294"/>
      <c r="BL817" s="294"/>
      <c r="BM817" s="294"/>
      <c r="BN817" s="294"/>
      <c r="BO817" s="295"/>
      <c r="BP817" s="276">
        <f>SUMIFS('Adv. Filter'!$BJ$1:$BJ$50000,'Adv. Filter'!$BT$1:$BT$50000,"Ganesh",'Adv. Filter'!$BQ$1:$BQ$50000,$AY817,'Adv. Filter'!$BH$1:$BH$50000,"Cash",'Adv. Filter'!$BO$1:$BO$50000,"&lt;"&amp;'Adv. Filter'!$A$15)</f>
        <v>0</v>
      </c>
      <c r="BQ817" s="277"/>
      <c r="BR817" s="277"/>
      <c r="BS817" s="277"/>
      <c r="BT817" s="277"/>
      <c r="BU817" s="277"/>
      <c r="BV817" s="277"/>
      <c r="BW817" s="277"/>
      <c r="BX817" s="277"/>
      <c r="BY817" s="278"/>
      <c r="BZ817" s="276">
        <f>SUMIFS('Adv. Filter'!$BJ$1:$BJ$50000,'Adv. Filter'!$BT$1:$BT$50000,"Ganesh",'Adv. Filter'!$BQ$1:$BQ$50000,$AY817,'Adv. Filter'!$BH$1:$BH$50000,"Bank",'Adv. Filter'!$BO$1:$BO$50000,"&lt;"&amp;'Adv. Filter'!$A$15)</f>
        <v>0</v>
      </c>
      <c r="CA817" s="277"/>
      <c r="CB817" s="277"/>
      <c r="CC817" s="277"/>
      <c r="CD817" s="277"/>
      <c r="CE817" s="277"/>
      <c r="CF817" s="277"/>
      <c r="CG817" s="277"/>
      <c r="CH817" s="277"/>
      <c r="CI817" s="278"/>
      <c r="CJ817" s="276">
        <f t="shared" si="29"/>
        <v>0</v>
      </c>
      <c r="CK817" s="277"/>
      <c r="CL817" s="277"/>
      <c r="CM817" s="277"/>
      <c r="CN817" s="277"/>
      <c r="CO817" s="277"/>
      <c r="CP817" s="277"/>
      <c r="CQ817" s="277"/>
      <c r="CR817" s="277"/>
      <c r="CS817" s="278"/>
      <c r="CT817" s="44"/>
      <c r="CU817" s="44"/>
      <c r="CV817" s="44"/>
      <c r="CW817" s="44"/>
      <c r="CX817" s="44"/>
      <c r="CY817" s="44"/>
      <c r="CZ817" s="44"/>
    </row>
    <row r="818" spans="1:104" hidden="1">
      <c r="C818" s="308" t="s">
        <v>115</v>
      </c>
      <c r="D818" s="309"/>
      <c r="E818" s="309"/>
      <c r="F818" s="309"/>
      <c r="G818" s="309"/>
      <c r="H818" s="309"/>
      <c r="I818" s="309"/>
      <c r="J818" s="309"/>
      <c r="K818" s="309"/>
      <c r="L818" s="309"/>
      <c r="M818" s="309"/>
      <c r="N818" s="309"/>
      <c r="O818" s="309"/>
      <c r="P818" s="309"/>
      <c r="Q818" s="309"/>
      <c r="R818" s="309"/>
      <c r="S818" s="310"/>
      <c r="T818" s="267">
        <f>SUMIFS('Adv. Filter'!$BJ$1:$BJ$50000,'Adv. Filter'!$BT$1:$BT$50000,"Ganesh",'Adv. Filter'!$BQ$1:$BQ$50000,$C817,'Adv. Filter'!$BH$1:$BH$50000,"Cash",'Adv. Filter'!$BO$1:$BO$50000,'Adv. Filter'!$A$14,'Adv. Filter'!$BO$1:$BO$50000,'Adv. Filter'!$B$14,'Adv. Filter'!$BP$1:$BP$50000,"Project")</f>
        <v>0</v>
      </c>
      <c r="U818" s="268"/>
      <c r="V818" s="268"/>
      <c r="W818" s="268"/>
      <c r="X818" s="268"/>
      <c r="Y818" s="268"/>
      <c r="Z818" s="268"/>
      <c r="AA818" s="268"/>
      <c r="AB818" s="268"/>
      <c r="AC818" s="269"/>
      <c r="AD818" s="267">
        <f>SUMIFS('Adv. Filter'!$BJ$1:$BJ$50000,'Adv. Filter'!$BT$1:$BT$50000,"Ganesh",'Adv. Filter'!$BQ$1:$BQ$50000,$C817,'Adv. Filter'!$BH$1:$BH$50000,"Bank",'Adv. Filter'!$BO$1:$BO$50000,'Adv. Filter'!$A$14,'Adv. Filter'!$BO$1:$BO$50000,'Adv. Filter'!$B$14,'Adv. Filter'!$BP$1:$BP$50000,"Project")</f>
        <v>0</v>
      </c>
      <c r="AE818" s="268"/>
      <c r="AF818" s="268"/>
      <c r="AG818" s="268"/>
      <c r="AH818" s="268"/>
      <c r="AI818" s="268"/>
      <c r="AJ818" s="268"/>
      <c r="AK818" s="268"/>
      <c r="AL818" s="268"/>
      <c r="AM818" s="269"/>
      <c r="AN818" s="267">
        <f t="shared" si="28"/>
        <v>0</v>
      </c>
      <c r="AO818" s="268"/>
      <c r="AP818" s="268"/>
      <c r="AQ818" s="268"/>
      <c r="AR818" s="268"/>
      <c r="AS818" s="268"/>
      <c r="AT818" s="268"/>
      <c r="AU818" s="268"/>
      <c r="AV818" s="268"/>
      <c r="AW818" s="269"/>
      <c r="AX818" s="22"/>
      <c r="AY818" s="308" t="s">
        <v>115</v>
      </c>
      <c r="AZ818" s="309"/>
      <c r="BA818" s="309"/>
      <c r="BB818" s="309"/>
      <c r="BC818" s="309"/>
      <c r="BD818" s="309"/>
      <c r="BE818" s="309"/>
      <c r="BF818" s="309"/>
      <c r="BG818" s="309"/>
      <c r="BH818" s="309"/>
      <c r="BI818" s="309"/>
      <c r="BJ818" s="309"/>
      <c r="BK818" s="309"/>
      <c r="BL818" s="309"/>
      <c r="BM818" s="309"/>
      <c r="BN818" s="309"/>
      <c r="BO818" s="310"/>
      <c r="BP818" s="267">
        <f>SUMIFS('Adv. Filter'!$BJ$1:$BJ$50000,'Adv. Filter'!$BT$1:$BT$50000,"Ganesh",'Adv. Filter'!$BQ$1:$BQ$50000,$AY817,'Adv. Filter'!$BH$1:$BH$50000,"Cash",'Adv. Filter'!$BO$1:$BO$50000,"&lt;"&amp;'Adv. Filter'!$A$15,'Adv. Filter'!$BP$1:$BP$50000,"Project")</f>
        <v>0</v>
      </c>
      <c r="BQ818" s="268"/>
      <c r="BR818" s="268"/>
      <c r="BS818" s="268"/>
      <c r="BT818" s="268"/>
      <c r="BU818" s="268"/>
      <c r="BV818" s="268"/>
      <c r="BW818" s="268"/>
      <c r="BX818" s="268"/>
      <c r="BY818" s="269"/>
      <c r="BZ818" s="267">
        <f>SUMIFS('Adv. Filter'!$BJ$1:$BJ$50000,'Adv. Filter'!$BT$1:$BT$50000,"Ganesh",'Adv. Filter'!$BQ$1:$BQ$50000,$AY817,'Adv. Filter'!$BH$1:$BH$50000,"Bank",'Adv. Filter'!$BO$1:$BO$50000,"&lt;"&amp;'Adv. Filter'!$A$15,'Adv. Filter'!$BP$1:$BP$50000,"Project")</f>
        <v>0</v>
      </c>
      <c r="CA818" s="268"/>
      <c r="CB818" s="268"/>
      <c r="CC818" s="268"/>
      <c r="CD818" s="268"/>
      <c r="CE818" s="268"/>
      <c r="CF818" s="268"/>
      <c r="CG818" s="268"/>
      <c r="CH818" s="268"/>
      <c r="CI818" s="269"/>
      <c r="CJ818" s="267">
        <f t="shared" si="29"/>
        <v>0</v>
      </c>
      <c r="CK818" s="268"/>
      <c r="CL818" s="268"/>
      <c r="CM818" s="268"/>
      <c r="CN818" s="268"/>
      <c r="CO818" s="268"/>
      <c r="CP818" s="268"/>
      <c r="CQ818" s="268"/>
      <c r="CR818" s="268"/>
      <c r="CS818" s="269"/>
    </row>
    <row r="819" spans="1:104" hidden="1">
      <c r="C819" s="308" t="s">
        <v>510</v>
      </c>
      <c r="D819" s="309"/>
      <c r="E819" s="309"/>
      <c r="F819" s="309"/>
      <c r="G819" s="309"/>
      <c r="H819" s="309"/>
      <c r="I819" s="309"/>
      <c r="J819" s="309"/>
      <c r="K819" s="309"/>
      <c r="L819" s="309"/>
      <c r="M819" s="309"/>
      <c r="N819" s="309"/>
      <c r="O819" s="309"/>
      <c r="P819" s="309"/>
      <c r="Q819" s="309"/>
      <c r="R819" s="309"/>
      <c r="S819" s="310"/>
      <c r="T819" s="267">
        <v>0</v>
      </c>
      <c r="U819" s="268"/>
      <c r="V819" s="268"/>
      <c r="W819" s="268"/>
      <c r="X819" s="268"/>
      <c r="Y819" s="268"/>
      <c r="Z819" s="268"/>
      <c r="AA819" s="268"/>
      <c r="AB819" s="268"/>
      <c r="AC819" s="269"/>
      <c r="AD819" s="267">
        <v>0</v>
      </c>
      <c r="AE819" s="268"/>
      <c r="AF819" s="268"/>
      <c r="AG819" s="268"/>
      <c r="AH819" s="268"/>
      <c r="AI819" s="268"/>
      <c r="AJ819" s="268"/>
      <c r="AK819" s="268"/>
      <c r="AL819" s="268"/>
      <c r="AM819" s="269"/>
      <c r="AN819" s="267">
        <f t="shared" si="28"/>
        <v>0</v>
      </c>
      <c r="AO819" s="268"/>
      <c r="AP819" s="268"/>
      <c r="AQ819" s="268"/>
      <c r="AR819" s="268"/>
      <c r="AS819" s="268"/>
      <c r="AT819" s="268"/>
      <c r="AU819" s="268"/>
      <c r="AV819" s="268"/>
      <c r="AW819" s="269"/>
      <c r="AX819" s="22"/>
      <c r="AY819" s="308" t="s">
        <v>510</v>
      </c>
      <c r="AZ819" s="309"/>
      <c r="BA819" s="309"/>
      <c r="BB819" s="309"/>
      <c r="BC819" s="309"/>
      <c r="BD819" s="309"/>
      <c r="BE819" s="309"/>
      <c r="BF819" s="309"/>
      <c r="BG819" s="309"/>
      <c r="BH819" s="309"/>
      <c r="BI819" s="309"/>
      <c r="BJ819" s="309"/>
      <c r="BK819" s="309"/>
      <c r="BL819" s="309"/>
      <c r="BM819" s="309"/>
      <c r="BN819" s="309"/>
      <c r="BO819" s="310"/>
      <c r="BP819" s="267"/>
      <c r="BQ819" s="268"/>
      <c r="BR819" s="268"/>
      <c r="BS819" s="268"/>
      <c r="BT819" s="268"/>
      <c r="BU819" s="268"/>
      <c r="BV819" s="268"/>
      <c r="BW819" s="268"/>
      <c r="BX819" s="268"/>
      <c r="BY819" s="269"/>
      <c r="BZ819" s="267"/>
      <c r="CA819" s="268"/>
      <c r="CB819" s="268"/>
      <c r="CC819" s="268"/>
      <c r="CD819" s="268"/>
      <c r="CE819" s="268"/>
      <c r="CF819" s="268"/>
      <c r="CG819" s="268"/>
      <c r="CH819" s="268"/>
      <c r="CI819" s="269"/>
      <c r="CJ819" s="267">
        <f t="shared" si="29"/>
        <v>0</v>
      </c>
      <c r="CK819" s="268"/>
      <c r="CL819" s="268"/>
      <c r="CM819" s="268"/>
      <c r="CN819" s="268"/>
      <c r="CO819" s="268"/>
      <c r="CP819" s="268"/>
      <c r="CQ819" s="268"/>
      <c r="CR819" s="268"/>
      <c r="CS819" s="269"/>
    </row>
    <row r="820" spans="1:104" hidden="1">
      <c r="C820" s="43"/>
      <c r="D820" s="36" t="str">
        <f>IF(AN817=0,C817&amp;" -","")</f>
        <v>UBI -</v>
      </c>
      <c r="E820" s="42"/>
      <c r="F820" s="42"/>
      <c r="G820" s="42"/>
      <c r="H820" s="42"/>
      <c r="I820" s="42"/>
      <c r="J820" s="42"/>
      <c r="K820" s="42"/>
      <c r="L820" s="42"/>
      <c r="M820" s="42"/>
      <c r="N820" s="42"/>
      <c r="O820" s="42"/>
      <c r="P820" s="1"/>
      <c r="Q820" s="42"/>
      <c r="R820" s="41" t="s">
        <v>275</v>
      </c>
      <c r="S820" s="40"/>
      <c r="T820" s="267">
        <f>SUMIFS('Adv. Filter'!$CH$1:$CH$50000,'Adv. Filter'!$CD$1:$CD$50000,"Ganesh",'Adv. Filter'!$CE$1:$CE$50000,$C817,'Adv. Filter'!$CC$1:$CC$50000,"Suspense",'Adv. Filter'!$CF$1:$CF$50000,"Cash")</f>
        <v>0</v>
      </c>
      <c r="U820" s="268"/>
      <c r="V820" s="268"/>
      <c r="W820" s="268"/>
      <c r="X820" s="268"/>
      <c r="Y820" s="268"/>
      <c r="Z820" s="268"/>
      <c r="AA820" s="268"/>
      <c r="AB820" s="268"/>
      <c r="AC820" s="269"/>
      <c r="AD820" s="267">
        <f>SUMIFS('Adv. Filter'!$CH$1:$CH$50000,'Adv. Filter'!$CD$1:$CD$50000,"Ganesh",'Adv. Filter'!$CE$1:$CE$50000,$C817,'Adv. Filter'!$CC$1:$CC$50000,"Suspense",'Adv. Filter'!$CF$1:$CF$50000,"Bank")</f>
        <v>0</v>
      </c>
      <c r="AE820" s="268"/>
      <c r="AF820" s="268"/>
      <c r="AG820" s="268"/>
      <c r="AH820" s="268"/>
      <c r="AI820" s="268"/>
      <c r="AJ820" s="268"/>
      <c r="AK820" s="268"/>
      <c r="AL820" s="268"/>
      <c r="AM820" s="269"/>
      <c r="AN820" s="267">
        <f t="shared" si="28"/>
        <v>0</v>
      </c>
      <c r="AO820" s="268"/>
      <c r="AP820" s="268"/>
      <c r="AQ820" s="268"/>
      <c r="AR820" s="268"/>
      <c r="AS820" s="268"/>
      <c r="AT820" s="268"/>
      <c r="AU820" s="268"/>
      <c r="AV820" s="268"/>
      <c r="AW820" s="269"/>
      <c r="AX820" s="22"/>
      <c r="AY820" s="43"/>
      <c r="AZ820" s="36" t="str">
        <f>IF(CJ817=0,AY817&amp;" -","")</f>
        <v>UBI -</v>
      </c>
      <c r="BA820" s="42"/>
      <c r="BB820" s="42"/>
      <c r="BC820" s="42"/>
      <c r="BD820" s="42"/>
      <c r="BE820" s="42"/>
      <c r="BF820" s="42"/>
      <c r="BG820" s="42"/>
      <c r="BH820" s="42"/>
      <c r="BI820" s="42"/>
      <c r="BJ820" s="42"/>
      <c r="BK820" s="42"/>
      <c r="BL820" s="1"/>
      <c r="BM820" s="42"/>
      <c r="BN820" s="41" t="s">
        <v>275</v>
      </c>
      <c r="BO820" s="40"/>
      <c r="BP820" s="267"/>
      <c r="BQ820" s="268"/>
      <c r="BR820" s="268"/>
      <c r="BS820" s="268"/>
      <c r="BT820" s="268"/>
      <c r="BU820" s="268"/>
      <c r="BV820" s="268"/>
      <c r="BW820" s="268"/>
      <c r="BX820" s="268"/>
      <c r="BY820" s="269"/>
      <c r="BZ820" s="267"/>
      <c r="CA820" s="268"/>
      <c r="CB820" s="268"/>
      <c r="CC820" s="268"/>
      <c r="CD820" s="268"/>
      <c r="CE820" s="268"/>
      <c r="CF820" s="268"/>
      <c r="CG820" s="268"/>
      <c r="CH820" s="268"/>
      <c r="CI820" s="269"/>
      <c r="CJ820" s="267">
        <f t="shared" si="29"/>
        <v>0</v>
      </c>
      <c r="CK820" s="268"/>
      <c r="CL820" s="268"/>
      <c r="CM820" s="268"/>
      <c r="CN820" s="268"/>
      <c r="CO820" s="268"/>
      <c r="CP820" s="268"/>
      <c r="CQ820" s="268"/>
      <c r="CR820" s="268"/>
      <c r="CS820" s="269"/>
    </row>
    <row r="821" spans="1:104" hidden="1">
      <c r="A821" s="44"/>
      <c r="B821" s="44"/>
      <c r="C821" s="293" t="s">
        <v>108</v>
      </c>
      <c r="D821" s="294"/>
      <c r="E821" s="294"/>
      <c r="F821" s="294"/>
      <c r="G821" s="294"/>
      <c r="H821" s="294"/>
      <c r="I821" s="294"/>
      <c r="J821" s="294"/>
      <c r="K821" s="294"/>
      <c r="L821" s="294"/>
      <c r="M821" s="294"/>
      <c r="N821" s="294"/>
      <c r="O821" s="294"/>
      <c r="P821" s="294"/>
      <c r="Q821" s="294"/>
      <c r="R821" s="294"/>
      <c r="S821" s="295"/>
      <c r="T821" s="276">
        <f>SUMIFS('Adv. Filter'!$BJ$1:$BJ$50000,'Adv. Filter'!$BT$1:$BT$50000,"Ganesh",'Adv. Filter'!$BQ$1:$BQ$50000,$C821,'Adv. Filter'!$BH$1:$BH$50000,"Cash",'Adv. Filter'!$BO$1:$BO$50000,'Adv. Filter'!$A$14,'Adv. Filter'!$BO$1:$BO$50000,'Adv. Filter'!$B$14)</f>
        <v>9500</v>
      </c>
      <c r="U821" s="277"/>
      <c r="V821" s="277"/>
      <c r="W821" s="277"/>
      <c r="X821" s="277"/>
      <c r="Y821" s="277"/>
      <c r="Z821" s="277"/>
      <c r="AA821" s="277"/>
      <c r="AB821" s="277"/>
      <c r="AC821" s="278"/>
      <c r="AD821" s="276">
        <f>SUMIFS('Adv. Filter'!$BJ$1:$BJ$50000,'Adv. Filter'!$BT$1:$BT$50000,"Ganesh",'Adv. Filter'!$BQ$1:$BQ$50000,$C821,'Adv. Filter'!$BH$1:$BH$50000,"Bank",'Adv. Filter'!$BO$1:$BO$50000,'Adv. Filter'!$A$14,'Adv. Filter'!$BO$1:$BO$50000,'Adv. Filter'!$B$14)</f>
        <v>155700</v>
      </c>
      <c r="AE821" s="277"/>
      <c r="AF821" s="277"/>
      <c r="AG821" s="277"/>
      <c r="AH821" s="277"/>
      <c r="AI821" s="277"/>
      <c r="AJ821" s="277"/>
      <c r="AK821" s="277"/>
      <c r="AL821" s="277"/>
      <c r="AM821" s="278"/>
      <c r="AN821" s="276">
        <f t="shared" si="28"/>
        <v>165200</v>
      </c>
      <c r="AO821" s="277"/>
      <c r="AP821" s="277"/>
      <c r="AQ821" s="277"/>
      <c r="AR821" s="277"/>
      <c r="AS821" s="277"/>
      <c r="AT821" s="277"/>
      <c r="AU821" s="277"/>
      <c r="AV821" s="277"/>
      <c r="AW821" s="278"/>
      <c r="AX821" s="45"/>
      <c r="AY821" s="293" t="s">
        <v>108</v>
      </c>
      <c r="AZ821" s="294"/>
      <c r="BA821" s="294"/>
      <c r="BB821" s="294"/>
      <c r="BC821" s="294"/>
      <c r="BD821" s="294"/>
      <c r="BE821" s="294"/>
      <c r="BF821" s="294"/>
      <c r="BG821" s="294"/>
      <c r="BH821" s="294"/>
      <c r="BI821" s="294"/>
      <c r="BJ821" s="294"/>
      <c r="BK821" s="294"/>
      <c r="BL821" s="294"/>
      <c r="BM821" s="294"/>
      <c r="BN821" s="294"/>
      <c r="BO821" s="295"/>
      <c r="BP821" s="276">
        <f>SUMIFS('Adv. Filter'!$BJ$1:$BJ$50000,'Adv. Filter'!$BT$1:$BT$50000,"Ganesh",'Adv. Filter'!$BQ$1:$BQ$50000,$AY821,'Adv. Filter'!$BH$1:$BH$50000,"Cash",'Adv. Filter'!$BO$1:$BO$50000,"&lt;"&amp;'Adv. Filter'!$A$15)</f>
        <v>0</v>
      </c>
      <c r="BQ821" s="277"/>
      <c r="BR821" s="277"/>
      <c r="BS821" s="277"/>
      <c r="BT821" s="277"/>
      <c r="BU821" s="277"/>
      <c r="BV821" s="277"/>
      <c r="BW821" s="277"/>
      <c r="BX821" s="277"/>
      <c r="BY821" s="278"/>
      <c r="BZ821" s="276">
        <f>SUMIFS('Adv. Filter'!$BJ$1:$BJ$50000,'Adv. Filter'!$BT$1:$BT$50000,"Ganesh",'Adv. Filter'!$BQ$1:$BQ$50000,$AY821,'Adv. Filter'!$BH$1:$BH$50000,"Bank",'Adv. Filter'!$BO$1:$BO$50000,"&lt;"&amp;'Adv. Filter'!$A$15)</f>
        <v>0</v>
      </c>
      <c r="CA821" s="277"/>
      <c r="CB821" s="277"/>
      <c r="CC821" s="277"/>
      <c r="CD821" s="277"/>
      <c r="CE821" s="277"/>
      <c r="CF821" s="277"/>
      <c r="CG821" s="277"/>
      <c r="CH821" s="277"/>
      <c r="CI821" s="278"/>
      <c r="CJ821" s="276">
        <f t="shared" si="29"/>
        <v>0</v>
      </c>
      <c r="CK821" s="277"/>
      <c r="CL821" s="277"/>
      <c r="CM821" s="277"/>
      <c r="CN821" s="277"/>
      <c r="CO821" s="277"/>
      <c r="CP821" s="277"/>
      <c r="CQ821" s="277"/>
      <c r="CR821" s="277"/>
      <c r="CS821" s="278"/>
      <c r="CT821" s="44"/>
      <c r="CU821" s="44"/>
      <c r="CV821" s="44"/>
      <c r="CW821" s="44"/>
      <c r="CX821" s="44"/>
      <c r="CY821" s="44"/>
      <c r="CZ821" s="44"/>
    </row>
    <row r="822" spans="1:104" hidden="1">
      <c r="C822" s="308" t="s">
        <v>115</v>
      </c>
      <c r="D822" s="309"/>
      <c r="E822" s="309"/>
      <c r="F822" s="309"/>
      <c r="G822" s="309"/>
      <c r="H822" s="309"/>
      <c r="I822" s="309"/>
      <c r="J822" s="309"/>
      <c r="K822" s="309"/>
      <c r="L822" s="309"/>
      <c r="M822" s="309"/>
      <c r="N822" s="309"/>
      <c r="O822" s="309"/>
      <c r="P822" s="309"/>
      <c r="Q822" s="309"/>
      <c r="R822" s="309"/>
      <c r="S822" s="310"/>
      <c r="T822" s="267">
        <f>SUMIFS('Adv. Filter'!$BJ$1:$BJ$50000,'Adv. Filter'!$BT$1:$BT$50000,"Ganesh",'Adv. Filter'!$BQ$1:$BQ$50000,$C821,'Adv. Filter'!$BH$1:$BH$50000,"Cash",'Adv. Filter'!$BO$1:$BO$50000,'Adv. Filter'!$A$14,'Adv. Filter'!$BO$1:$BO$50000,'Adv. Filter'!$B$14,'Adv. Filter'!$BP$1:$BP$50000,"Project")</f>
        <v>0</v>
      </c>
      <c r="U822" s="268"/>
      <c r="V822" s="268"/>
      <c r="W822" s="268"/>
      <c r="X822" s="268"/>
      <c r="Y822" s="268"/>
      <c r="Z822" s="268"/>
      <c r="AA822" s="268"/>
      <c r="AB822" s="268"/>
      <c r="AC822" s="269"/>
      <c r="AD822" s="267">
        <f>SUMIFS('Adv. Filter'!$BJ$1:$BJ$50000,'Adv. Filter'!$BT$1:$BT$50000,"Ganesh",'Adv. Filter'!$BQ$1:$BQ$50000,$C821,'Adv. Filter'!$BH$1:$BH$50000,"Bank",'Adv. Filter'!$BO$1:$BO$50000,'Adv. Filter'!$A$14,'Adv. Filter'!$BO$1:$BO$50000,'Adv. Filter'!$B$14,'Adv. Filter'!$BP$1:$BP$50000,"Project")</f>
        <v>0</v>
      </c>
      <c r="AE822" s="268"/>
      <c r="AF822" s="268"/>
      <c r="AG822" s="268"/>
      <c r="AH822" s="268"/>
      <c r="AI822" s="268"/>
      <c r="AJ822" s="268"/>
      <c r="AK822" s="268"/>
      <c r="AL822" s="268"/>
      <c r="AM822" s="269"/>
      <c r="AN822" s="267">
        <f t="shared" si="28"/>
        <v>0</v>
      </c>
      <c r="AO822" s="268"/>
      <c r="AP822" s="268"/>
      <c r="AQ822" s="268"/>
      <c r="AR822" s="268"/>
      <c r="AS822" s="268"/>
      <c r="AT822" s="268"/>
      <c r="AU822" s="268"/>
      <c r="AV822" s="268"/>
      <c r="AW822" s="269"/>
      <c r="AX822" s="22"/>
      <c r="AY822" s="308" t="s">
        <v>115</v>
      </c>
      <c r="AZ822" s="309"/>
      <c r="BA822" s="309"/>
      <c r="BB822" s="309"/>
      <c r="BC822" s="309"/>
      <c r="BD822" s="309"/>
      <c r="BE822" s="309"/>
      <c r="BF822" s="309"/>
      <c r="BG822" s="309"/>
      <c r="BH822" s="309"/>
      <c r="BI822" s="309"/>
      <c r="BJ822" s="309"/>
      <c r="BK822" s="309"/>
      <c r="BL822" s="309"/>
      <c r="BM822" s="309"/>
      <c r="BN822" s="309"/>
      <c r="BO822" s="310"/>
      <c r="BP822" s="267">
        <f>SUMIFS('Adv. Filter'!$BJ$1:$BJ$50000,'Adv. Filter'!$BT$1:$BT$50000,"Ganesh",'Adv. Filter'!$BQ$1:$BQ$50000,$AY821,'Adv. Filter'!$BH$1:$BH$50000,"Cash",'Adv. Filter'!$BO$1:$BO$50000,"&lt;"&amp;'Adv. Filter'!$A$15,'Adv. Filter'!$BP$1:$BP$50000,"Project")</f>
        <v>0</v>
      </c>
      <c r="BQ822" s="268"/>
      <c r="BR822" s="268"/>
      <c r="BS822" s="268"/>
      <c r="BT822" s="268"/>
      <c r="BU822" s="268"/>
      <c r="BV822" s="268"/>
      <c r="BW822" s="268"/>
      <c r="BX822" s="268"/>
      <c r="BY822" s="269"/>
      <c r="BZ822" s="267">
        <f>SUMIFS('Adv. Filter'!$BJ$1:$BJ$50000,'Adv. Filter'!$BT$1:$BT$50000,"Ganesh",'Adv. Filter'!$BQ$1:$BQ$50000,$AY821,'Adv. Filter'!$BH$1:$BH$50000,"Bank",'Adv. Filter'!$BO$1:$BO$50000,"&lt;"&amp;'Adv. Filter'!$A$15,'Adv. Filter'!$BP$1:$BP$50000,"Project")</f>
        <v>0</v>
      </c>
      <c r="CA822" s="268"/>
      <c r="CB822" s="268"/>
      <c r="CC822" s="268"/>
      <c r="CD822" s="268"/>
      <c r="CE822" s="268"/>
      <c r="CF822" s="268"/>
      <c r="CG822" s="268"/>
      <c r="CH822" s="268"/>
      <c r="CI822" s="269"/>
      <c r="CJ822" s="267">
        <f t="shared" si="29"/>
        <v>0</v>
      </c>
      <c r="CK822" s="268"/>
      <c r="CL822" s="268"/>
      <c r="CM822" s="268"/>
      <c r="CN822" s="268"/>
      <c r="CO822" s="268"/>
      <c r="CP822" s="268"/>
      <c r="CQ822" s="268"/>
      <c r="CR822" s="268"/>
      <c r="CS822" s="269"/>
    </row>
    <row r="823" spans="1:104" hidden="1">
      <c r="C823" s="308" t="s">
        <v>510</v>
      </c>
      <c r="D823" s="309"/>
      <c r="E823" s="309"/>
      <c r="F823" s="309"/>
      <c r="G823" s="309"/>
      <c r="H823" s="309"/>
      <c r="I823" s="309"/>
      <c r="J823" s="309"/>
      <c r="K823" s="309"/>
      <c r="L823" s="309"/>
      <c r="M823" s="309"/>
      <c r="N823" s="309"/>
      <c r="O823" s="309"/>
      <c r="P823" s="309"/>
      <c r="Q823" s="309"/>
      <c r="R823" s="309"/>
      <c r="S823" s="310"/>
      <c r="T823" s="267">
        <v>0</v>
      </c>
      <c r="U823" s="268"/>
      <c r="V823" s="268"/>
      <c r="W823" s="268"/>
      <c r="X823" s="268"/>
      <c r="Y823" s="268"/>
      <c r="Z823" s="268"/>
      <c r="AA823" s="268"/>
      <c r="AB823" s="268"/>
      <c r="AC823" s="269"/>
      <c r="AD823" s="267">
        <v>0</v>
      </c>
      <c r="AE823" s="268"/>
      <c r="AF823" s="268"/>
      <c r="AG823" s="268"/>
      <c r="AH823" s="268"/>
      <c r="AI823" s="268"/>
      <c r="AJ823" s="268"/>
      <c r="AK823" s="268"/>
      <c r="AL823" s="268"/>
      <c r="AM823" s="269"/>
      <c r="AN823" s="267">
        <f t="shared" si="28"/>
        <v>0</v>
      </c>
      <c r="AO823" s="268"/>
      <c r="AP823" s="268"/>
      <c r="AQ823" s="268"/>
      <c r="AR823" s="268"/>
      <c r="AS823" s="268"/>
      <c r="AT823" s="268"/>
      <c r="AU823" s="268"/>
      <c r="AV823" s="268"/>
      <c r="AW823" s="269"/>
      <c r="AX823" s="22"/>
      <c r="AY823" s="308" t="s">
        <v>510</v>
      </c>
      <c r="AZ823" s="309"/>
      <c r="BA823" s="309"/>
      <c r="BB823" s="309"/>
      <c r="BC823" s="309"/>
      <c r="BD823" s="309"/>
      <c r="BE823" s="309"/>
      <c r="BF823" s="309"/>
      <c r="BG823" s="309"/>
      <c r="BH823" s="309"/>
      <c r="BI823" s="309"/>
      <c r="BJ823" s="309"/>
      <c r="BK823" s="309"/>
      <c r="BL823" s="309"/>
      <c r="BM823" s="309"/>
      <c r="BN823" s="309"/>
      <c r="BO823" s="310"/>
      <c r="BP823" s="267"/>
      <c r="BQ823" s="268"/>
      <c r="BR823" s="268"/>
      <c r="BS823" s="268"/>
      <c r="BT823" s="268"/>
      <c r="BU823" s="268"/>
      <c r="BV823" s="268"/>
      <c r="BW823" s="268"/>
      <c r="BX823" s="268"/>
      <c r="BY823" s="269"/>
      <c r="BZ823" s="267"/>
      <c r="CA823" s="268"/>
      <c r="CB823" s="268"/>
      <c r="CC823" s="268"/>
      <c r="CD823" s="268"/>
      <c r="CE823" s="268"/>
      <c r="CF823" s="268"/>
      <c r="CG823" s="268"/>
      <c r="CH823" s="268"/>
      <c r="CI823" s="269"/>
      <c r="CJ823" s="267">
        <f t="shared" si="29"/>
        <v>0</v>
      </c>
      <c r="CK823" s="268"/>
      <c r="CL823" s="268"/>
      <c r="CM823" s="268"/>
      <c r="CN823" s="268"/>
      <c r="CO823" s="268"/>
      <c r="CP823" s="268"/>
      <c r="CQ823" s="268"/>
      <c r="CR823" s="268"/>
      <c r="CS823" s="269"/>
    </row>
    <row r="824" spans="1:104" ht="15.75" hidden="1" thickBot="1">
      <c r="C824" s="43"/>
      <c r="D824" s="36" t="str">
        <f>IF(AN821=0,C821&amp;" -","")</f>
        <v/>
      </c>
      <c r="E824" s="42"/>
      <c r="F824" s="42"/>
      <c r="G824" s="42"/>
      <c r="H824" s="42"/>
      <c r="I824" s="42"/>
      <c r="J824" s="42"/>
      <c r="K824" s="42"/>
      <c r="L824" s="42"/>
      <c r="M824" s="42"/>
      <c r="N824" s="42"/>
      <c r="O824" s="42"/>
      <c r="P824" s="78"/>
      <c r="Q824" s="42"/>
      <c r="R824" s="41" t="s">
        <v>275</v>
      </c>
      <c r="S824" s="79"/>
      <c r="T824" s="252">
        <f>SUMIFS('Adv. Filter'!$CH$1:$CH$50000,'Adv. Filter'!$CD$1:$CD$50000,"Ganesh",'Adv. Filter'!$CE$1:$CE$50000,$C821,'Adv. Filter'!$CC$1:$CC$50000,"Suspense",'Adv. Filter'!$CF$1:$CF$50000,"Cash")</f>
        <v>0</v>
      </c>
      <c r="U824" s="253"/>
      <c r="V824" s="253"/>
      <c r="W824" s="253"/>
      <c r="X824" s="253"/>
      <c r="Y824" s="253"/>
      <c r="Z824" s="253"/>
      <c r="AA824" s="253"/>
      <c r="AB824" s="253"/>
      <c r="AC824" s="254"/>
      <c r="AD824" s="252">
        <f>SUMIFS('Adv. Filter'!$CH$1:$CH$50000,'Adv. Filter'!$CD$1:$CD$50000,"Ganesh",'Adv. Filter'!$CE$1:$CE$50000,$C821,'Adv. Filter'!$CC$1:$CC$50000,"Suspense",'Adv. Filter'!$CF$1:$CF$50000,"Bank")</f>
        <v>118500</v>
      </c>
      <c r="AE824" s="253"/>
      <c r="AF824" s="253"/>
      <c r="AG824" s="253"/>
      <c r="AH824" s="253"/>
      <c r="AI824" s="253"/>
      <c r="AJ824" s="253"/>
      <c r="AK824" s="253"/>
      <c r="AL824" s="253"/>
      <c r="AM824" s="254"/>
      <c r="AN824" s="252">
        <f t="shared" si="28"/>
        <v>118500</v>
      </c>
      <c r="AO824" s="253"/>
      <c r="AP824" s="253"/>
      <c r="AQ824" s="253"/>
      <c r="AR824" s="253"/>
      <c r="AS824" s="253"/>
      <c r="AT824" s="253"/>
      <c r="AU824" s="253"/>
      <c r="AV824" s="253"/>
      <c r="AW824" s="254"/>
      <c r="AX824" s="22"/>
      <c r="AY824" s="84"/>
      <c r="AZ824" s="85" t="str">
        <f>IF(CJ821=0,AY821&amp;" -","")</f>
        <v>Vijaya -</v>
      </c>
      <c r="BA824" s="80"/>
      <c r="BB824" s="80"/>
      <c r="BC824" s="80"/>
      <c r="BD824" s="80"/>
      <c r="BE824" s="80"/>
      <c r="BF824" s="80"/>
      <c r="BG824" s="80"/>
      <c r="BH824" s="80"/>
      <c r="BI824" s="80"/>
      <c r="BJ824" s="80"/>
      <c r="BK824" s="80"/>
      <c r="BL824" s="81"/>
      <c r="BM824" s="80"/>
      <c r="BN824" s="82" t="s">
        <v>275</v>
      </c>
      <c r="BO824" s="83"/>
      <c r="BP824" s="252"/>
      <c r="BQ824" s="253"/>
      <c r="BR824" s="253"/>
      <c r="BS824" s="253"/>
      <c r="BT824" s="253"/>
      <c r="BU824" s="253"/>
      <c r="BV824" s="253"/>
      <c r="BW824" s="253"/>
      <c r="BX824" s="253"/>
      <c r="BY824" s="254"/>
      <c r="BZ824" s="252"/>
      <c r="CA824" s="253"/>
      <c r="CB824" s="253"/>
      <c r="CC824" s="253"/>
      <c r="CD824" s="253"/>
      <c r="CE824" s="253"/>
      <c r="CF824" s="253"/>
      <c r="CG824" s="253"/>
      <c r="CH824" s="253"/>
      <c r="CI824" s="254"/>
      <c r="CJ824" s="252">
        <f t="shared" si="29"/>
        <v>0</v>
      </c>
      <c r="CK824" s="253"/>
      <c r="CL824" s="253"/>
      <c r="CM824" s="253"/>
      <c r="CN824" s="253"/>
      <c r="CO824" s="253"/>
      <c r="CP824" s="253"/>
      <c r="CQ824" s="253"/>
      <c r="CR824" s="253"/>
      <c r="CS824" s="254"/>
    </row>
    <row r="825" spans="1:104" ht="16.5" hidden="1" thickTop="1">
      <c r="C825" s="459" t="s">
        <v>503</v>
      </c>
      <c r="D825" s="459"/>
      <c r="E825" s="459"/>
      <c r="F825" s="459"/>
      <c r="G825" s="459"/>
      <c r="H825" s="459"/>
      <c r="I825" s="459"/>
      <c r="J825" s="459"/>
      <c r="K825" s="459"/>
      <c r="L825" s="459"/>
      <c r="M825" s="459"/>
      <c r="N825" s="459"/>
      <c r="O825" s="459"/>
      <c r="P825" s="459"/>
      <c r="Q825" s="459"/>
      <c r="R825" s="459"/>
      <c r="S825" s="459"/>
      <c r="T825" s="258">
        <f>T758+T762+T766+T770+T774+T778+T782+T786+T790+T793+T797+T801+T805+T809+T813+T817+T821+T761+T765+T769+T773+T777+T781+T785+T789+T796+T800+T804+T808+T812+T816+T820+T824</f>
        <v>10500</v>
      </c>
      <c r="U825" s="259"/>
      <c r="V825" s="259"/>
      <c r="W825" s="259"/>
      <c r="X825" s="259"/>
      <c r="Y825" s="259"/>
      <c r="Z825" s="259"/>
      <c r="AA825" s="259"/>
      <c r="AB825" s="259"/>
      <c r="AC825" s="260"/>
      <c r="AD825" s="258">
        <f>AD758+AD762+AD766+AD770+AD774+AD778+AD782+AD786+AD790+AD793+AD797+AD801+AD805+AD809+AD813+AD817+AD821+AD761+AD765+AD769+AD773+AD777+AD781+AD785+AD789+AD796+AD800+AD804+AD808+AD812+AD816+AD820+AD824</f>
        <v>339170</v>
      </c>
      <c r="AE825" s="259"/>
      <c r="AF825" s="259"/>
      <c r="AG825" s="259"/>
      <c r="AH825" s="259"/>
      <c r="AI825" s="259"/>
      <c r="AJ825" s="259"/>
      <c r="AK825" s="259"/>
      <c r="AL825" s="259"/>
      <c r="AM825" s="260"/>
      <c r="AN825" s="258">
        <f t="shared" si="28"/>
        <v>349670</v>
      </c>
      <c r="AO825" s="259"/>
      <c r="AP825" s="259"/>
      <c r="AQ825" s="259"/>
      <c r="AR825" s="259"/>
      <c r="AS825" s="259"/>
      <c r="AT825" s="259"/>
      <c r="AU825" s="259"/>
      <c r="AV825" s="259"/>
      <c r="AW825" s="260"/>
      <c r="AX825" s="39"/>
      <c r="AY825" s="474" t="s">
        <v>503</v>
      </c>
      <c r="AZ825" s="474"/>
      <c r="BA825" s="474"/>
      <c r="BB825" s="474"/>
      <c r="BC825" s="474"/>
      <c r="BD825" s="474"/>
      <c r="BE825" s="474"/>
      <c r="BF825" s="474"/>
      <c r="BG825" s="474"/>
      <c r="BH825" s="474"/>
      <c r="BI825" s="474"/>
      <c r="BJ825" s="474"/>
      <c r="BK825" s="474"/>
      <c r="BL825" s="474"/>
      <c r="BM825" s="474"/>
      <c r="BN825" s="474"/>
      <c r="BO825" s="474"/>
      <c r="BP825" s="258">
        <f>BP758+BP762+BP766+BP770+BP774+BP778+BP782+BP786+BP790+BP793+BP797+BP801+BP805+BP809+BP813+BP817+BP821</f>
        <v>0</v>
      </c>
      <c r="BQ825" s="259"/>
      <c r="BR825" s="259"/>
      <c r="BS825" s="259"/>
      <c r="BT825" s="259"/>
      <c r="BU825" s="259"/>
      <c r="BV825" s="259"/>
      <c r="BW825" s="259"/>
      <c r="BX825" s="259"/>
      <c r="BY825" s="260"/>
      <c r="BZ825" s="258">
        <f>BZ758+BZ762+BZ766+BZ770+BZ774+BZ778+BZ782+BZ786+BZ790+BZ793+BZ797+BZ801+BZ805+BZ809+BZ813+BZ817+BZ821</f>
        <v>0</v>
      </c>
      <c r="CA825" s="259"/>
      <c r="CB825" s="259"/>
      <c r="CC825" s="259"/>
      <c r="CD825" s="259"/>
      <c r="CE825" s="259"/>
      <c r="CF825" s="259"/>
      <c r="CG825" s="259"/>
      <c r="CH825" s="259"/>
      <c r="CI825" s="260"/>
      <c r="CJ825" s="258">
        <f t="shared" si="29"/>
        <v>0</v>
      </c>
      <c r="CK825" s="259"/>
      <c r="CL825" s="259"/>
      <c r="CM825" s="259"/>
      <c r="CN825" s="259"/>
      <c r="CO825" s="259"/>
      <c r="CP825" s="259"/>
      <c r="CQ825" s="259"/>
      <c r="CR825" s="259"/>
      <c r="CS825" s="260"/>
    </row>
    <row r="826" spans="1:104" hidden="1"/>
    <row r="827" spans="1:104" hidden="1">
      <c r="D827"/>
      <c r="E827" s="261" t="s">
        <v>509</v>
      </c>
      <c r="F827" s="262"/>
      <c r="G827" s="262"/>
      <c r="H827" s="262"/>
      <c r="I827" s="262"/>
      <c r="J827" s="262"/>
      <c r="K827" s="262"/>
      <c r="L827" s="262"/>
      <c r="M827" s="262"/>
      <c r="N827" s="262"/>
      <c r="O827" s="262"/>
      <c r="P827" s="262"/>
      <c r="Q827" s="262"/>
      <c r="R827" s="262"/>
      <c r="S827" s="262"/>
      <c r="T827" s="262"/>
      <c r="U827" s="262"/>
      <c r="V827" s="262"/>
      <c r="W827" s="262"/>
      <c r="X827" s="262"/>
      <c r="Y827" s="262"/>
      <c r="Z827" s="262"/>
      <c r="AA827" s="262"/>
      <c r="AB827" s="262"/>
      <c r="AC827" s="262"/>
      <c r="AD827" s="262"/>
      <c r="AE827" s="262"/>
      <c r="AF827" s="262"/>
      <c r="AG827" s="262"/>
      <c r="AH827" s="262"/>
      <c r="AI827" s="262"/>
      <c r="AJ827" s="262"/>
      <c r="AK827" s="262"/>
      <c r="AL827" s="262"/>
      <c r="AM827" s="262"/>
      <c r="AN827" s="262"/>
      <c r="AO827" s="262"/>
      <c r="AP827" s="262"/>
      <c r="AQ827" s="262"/>
      <c r="AR827" s="262"/>
      <c r="AS827" s="262"/>
      <c r="AT827" s="262"/>
      <c r="AU827" s="262"/>
      <c r="AV827" s="262"/>
      <c r="AW827" s="263"/>
      <c r="AY827" s="261" t="s">
        <v>508</v>
      </c>
      <c r="AZ827" s="262"/>
      <c r="BA827" s="262"/>
      <c r="BB827" s="262"/>
      <c r="BC827" s="262"/>
      <c r="BD827" s="262"/>
      <c r="BE827" s="262"/>
      <c r="BF827" s="262"/>
      <c r="BG827" s="262"/>
      <c r="BH827" s="262"/>
      <c r="BI827" s="262"/>
      <c r="BJ827" s="262"/>
      <c r="BK827" s="262"/>
      <c r="BL827" s="262"/>
      <c r="BM827" s="262"/>
      <c r="BN827" s="262"/>
      <c r="BO827" s="262"/>
      <c r="BP827" s="262"/>
      <c r="BQ827" s="262"/>
      <c r="BR827" s="262"/>
      <c r="BS827" s="262"/>
      <c r="BT827" s="262"/>
      <c r="BU827" s="262"/>
      <c r="BV827" s="262"/>
      <c r="BW827" s="262"/>
      <c r="BX827" s="262"/>
      <c r="BY827" s="262"/>
      <c r="BZ827" s="262"/>
      <c r="CA827" s="262"/>
      <c r="CB827" s="262"/>
      <c r="CC827" s="262"/>
      <c r="CD827" s="262"/>
      <c r="CE827" s="262"/>
      <c r="CF827" s="262"/>
      <c r="CG827" s="262"/>
      <c r="CH827" s="262"/>
      <c r="CI827" s="262"/>
      <c r="CJ827" s="262"/>
      <c r="CK827" s="262"/>
      <c r="CL827" s="262"/>
      <c r="CM827" s="262"/>
      <c r="CN827" s="262"/>
      <c r="CO827" s="262"/>
      <c r="CP827" s="262"/>
      <c r="CQ827" s="263"/>
    </row>
    <row r="828" spans="1:104" ht="15" hidden="1" customHeight="1">
      <c r="D828"/>
      <c r="E828" s="231" t="s">
        <v>317</v>
      </c>
      <c r="F828" s="232"/>
      <c r="G828" s="232"/>
      <c r="H828" s="232"/>
      <c r="I828" s="232"/>
      <c r="J828" s="232"/>
      <c r="K828" s="232"/>
      <c r="L828" s="232"/>
      <c r="M828" s="232"/>
      <c r="N828" s="232"/>
      <c r="O828" s="232"/>
      <c r="P828" s="232"/>
      <c r="Q828" s="232"/>
      <c r="R828" s="232"/>
      <c r="S828" s="233"/>
      <c r="T828" s="445" t="s">
        <v>34</v>
      </c>
      <c r="U828" s="446"/>
      <c r="V828" s="446"/>
      <c r="W828" s="446"/>
      <c r="X828" s="446"/>
      <c r="Y828" s="446"/>
      <c r="Z828" s="446"/>
      <c r="AA828" s="446"/>
      <c r="AB828" s="446"/>
      <c r="AC828" s="447"/>
      <c r="AD828" s="445" t="s">
        <v>10</v>
      </c>
      <c r="AE828" s="446"/>
      <c r="AF828" s="446"/>
      <c r="AG828" s="446"/>
      <c r="AH828" s="446"/>
      <c r="AI828" s="446"/>
      <c r="AJ828" s="446"/>
      <c r="AK828" s="446"/>
      <c r="AL828" s="446"/>
      <c r="AM828" s="447"/>
      <c r="AN828" s="445" t="s">
        <v>503</v>
      </c>
      <c r="AO828" s="446"/>
      <c r="AP828" s="446"/>
      <c r="AQ828" s="446"/>
      <c r="AR828" s="446"/>
      <c r="AS828" s="446"/>
      <c r="AT828" s="446"/>
      <c r="AU828" s="446"/>
      <c r="AV828" s="446"/>
      <c r="AW828" s="447"/>
      <c r="AY828" s="231" t="s">
        <v>317</v>
      </c>
      <c r="AZ828" s="232"/>
      <c r="BA828" s="232"/>
      <c r="BB828" s="232"/>
      <c r="BC828" s="232"/>
      <c r="BD828" s="232"/>
      <c r="BE828" s="232"/>
      <c r="BF828" s="232"/>
      <c r="BG828" s="232"/>
      <c r="BH828" s="232"/>
      <c r="BI828" s="232"/>
      <c r="BJ828" s="232"/>
      <c r="BK828" s="232"/>
      <c r="BL828" s="232"/>
      <c r="BM828" s="233"/>
      <c r="BN828" s="445" t="s">
        <v>34</v>
      </c>
      <c r="BO828" s="446"/>
      <c r="BP828" s="446"/>
      <c r="BQ828" s="446"/>
      <c r="BR828" s="446"/>
      <c r="BS828" s="446"/>
      <c r="BT828" s="446"/>
      <c r="BU828" s="446"/>
      <c r="BV828" s="446"/>
      <c r="BW828" s="447"/>
      <c r="BX828" s="445" t="s">
        <v>10</v>
      </c>
      <c r="BY828" s="446"/>
      <c r="BZ828" s="446"/>
      <c r="CA828" s="446"/>
      <c r="CB828" s="446"/>
      <c r="CC828" s="446"/>
      <c r="CD828" s="446"/>
      <c r="CE828" s="446"/>
      <c r="CF828" s="446"/>
      <c r="CG828" s="447"/>
      <c r="CH828" s="445" t="s">
        <v>503</v>
      </c>
      <c r="CI828" s="446"/>
      <c r="CJ828" s="446"/>
      <c r="CK828" s="446"/>
      <c r="CL828" s="446"/>
      <c r="CM828" s="446"/>
      <c r="CN828" s="446"/>
      <c r="CO828" s="446"/>
      <c r="CP828" s="446"/>
      <c r="CQ828" s="447"/>
    </row>
    <row r="829" spans="1:104" hidden="1">
      <c r="D829"/>
      <c r="E829" s="460" t="s">
        <v>495</v>
      </c>
      <c r="F829" s="461"/>
      <c r="G829" s="461"/>
      <c r="H829" s="461"/>
      <c r="I829" s="461"/>
      <c r="J829" s="461"/>
      <c r="K829" s="461"/>
      <c r="L829" s="461"/>
      <c r="M829" s="461"/>
      <c r="N829" s="461"/>
      <c r="O829" s="461"/>
      <c r="P829" s="461"/>
      <c r="Q829" s="461"/>
      <c r="R829" s="461"/>
      <c r="S829" s="462"/>
      <c r="T829" s="304">
        <f>SUMIFS('Adv. Filter'!$CH$1:$CH$50000,'Adv. Filter'!$CD$1:$CD$50000,"Ganesh",'Adv. Filter'!$CB$1:$CB$50000,E829,'Adv. Filter'!$CF$1:$CF$50000,"Cash")</f>
        <v>6300</v>
      </c>
      <c r="U829" s="463"/>
      <c r="V829" s="463"/>
      <c r="W829" s="463"/>
      <c r="X829" s="463"/>
      <c r="Y829" s="463"/>
      <c r="Z829" s="463"/>
      <c r="AA829" s="463"/>
      <c r="AB829" s="463"/>
      <c r="AC829" s="464"/>
      <c r="AD829" s="304">
        <f>SUMIFS('Adv. Filter'!$CH$1:$CH$50000,'Adv. Filter'!$CD$1:$CD$50000,"Ganesh",'Adv. Filter'!$CB$1:$CB$50000,E829,'Adv. Filter'!$CF$1:$CF$50000,"Bank")</f>
        <v>0</v>
      </c>
      <c r="AE829" s="463"/>
      <c r="AF829" s="463"/>
      <c r="AG829" s="463"/>
      <c r="AH829" s="463"/>
      <c r="AI829" s="463"/>
      <c r="AJ829" s="463"/>
      <c r="AK829" s="463"/>
      <c r="AL829" s="463"/>
      <c r="AM829" s="464"/>
      <c r="AN829" s="304">
        <f>T829+AD829</f>
        <v>6300</v>
      </c>
      <c r="AO829" s="463"/>
      <c r="AP829" s="463"/>
      <c r="AQ829" s="463"/>
      <c r="AR829" s="463"/>
      <c r="AS829" s="463"/>
      <c r="AT829" s="463"/>
      <c r="AU829" s="463"/>
      <c r="AV829" s="463"/>
      <c r="AW829" s="464"/>
      <c r="AY829" s="465" t="s">
        <v>507</v>
      </c>
      <c r="AZ829" s="466"/>
      <c r="BA829" s="466"/>
      <c r="BB829" s="466"/>
      <c r="BC829" s="466"/>
      <c r="BD829" s="466"/>
      <c r="BE829" s="466"/>
      <c r="BF829" s="466"/>
      <c r="BG829" s="466"/>
      <c r="BH829" s="466"/>
      <c r="BI829" s="466"/>
      <c r="BJ829" s="466"/>
      <c r="BK829" s="466"/>
      <c r="BL829" s="466"/>
      <c r="BM829" s="467"/>
      <c r="BN829" s="304">
        <f>T825</f>
        <v>10500</v>
      </c>
      <c r="BO829" s="463"/>
      <c r="BP829" s="463"/>
      <c r="BQ829" s="463"/>
      <c r="BR829" s="463"/>
      <c r="BS829" s="463"/>
      <c r="BT829" s="463"/>
      <c r="BU829" s="463"/>
      <c r="BV829" s="463"/>
      <c r="BW829" s="464"/>
      <c r="BX829" s="304">
        <f>AD825</f>
        <v>339170</v>
      </c>
      <c r="BY829" s="463"/>
      <c r="BZ829" s="463"/>
      <c r="CA829" s="463"/>
      <c r="CB829" s="463"/>
      <c r="CC829" s="463"/>
      <c r="CD829" s="463"/>
      <c r="CE829" s="463"/>
      <c r="CF829" s="463"/>
      <c r="CG829" s="464"/>
      <c r="CH829" s="304">
        <f>BN829+BX829</f>
        <v>349670</v>
      </c>
      <c r="CI829" s="463"/>
      <c r="CJ829" s="463"/>
      <c r="CK829" s="463"/>
      <c r="CL829" s="463"/>
      <c r="CM829" s="463"/>
      <c r="CN829" s="463"/>
      <c r="CO829" s="463"/>
      <c r="CP829" s="463"/>
      <c r="CQ829" s="464"/>
    </row>
    <row r="830" spans="1:104" hidden="1">
      <c r="D830"/>
      <c r="E830" s="264" t="s">
        <v>496</v>
      </c>
      <c r="F830" s="265"/>
      <c r="G830" s="265"/>
      <c r="H830" s="265"/>
      <c r="I830" s="265"/>
      <c r="J830" s="265"/>
      <c r="K830" s="265"/>
      <c r="L830" s="265"/>
      <c r="M830" s="265"/>
      <c r="N830" s="265"/>
      <c r="O830" s="265"/>
      <c r="P830" s="265"/>
      <c r="Q830" s="265"/>
      <c r="R830" s="265"/>
      <c r="S830" s="266"/>
      <c r="T830" s="267">
        <f>SUMIFS('Adv. Filter'!$CH$1:$CH$50000,'Adv. Filter'!$CD$1:$CD$50000,"Ganesh",'Adv. Filter'!$CB$1:$CB$50000,E830,'Adv. Filter'!$CF$1:$CF$50000,"Cash")</f>
        <v>0</v>
      </c>
      <c r="U830" s="268"/>
      <c r="V830" s="268"/>
      <c r="W830" s="268"/>
      <c r="X830" s="268"/>
      <c r="Y830" s="268"/>
      <c r="Z830" s="268"/>
      <c r="AA830" s="268"/>
      <c r="AB830" s="268"/>
      <c r="AC830" s="269"/>
      <c r="AD830" s="267">
        <f>SUMIFS('Adv. Filter'!$CH$1:$CH$50000,'Adv. Filter'!$CD$1:$CD$50000,"Ganesh",'Adv. Filter'!$CB$1:$CB$50000,E830,'Adv. Filter'!$CF$1:$CF$50000,"Bank")</f>
        <v>0</v>
      </c>
      <c r="AE830" s="268"/>
      <c r="AF830" s="268"/>
      <c r="AG830" s="268"/>
      <c r="AH830" s="268"/>
      <c r="AI830" s="268"/>
      <c r="AJ830" s="268"/>
      <c r="AK830" s="268"/>
      <c r="AL830" s="268"/>
      <c r="AM830" s="269"/>
      <c r="AN830" s="267">
        <f>T830+AD830</f>
        <v>0</v>
      </c>
      <c r="AO830" s="268"/>
      <c r="AP830" s="268"/>
      <c r="AQ830" s="268"/>
      <c r="AR830" s="268"/>
      <c r="AS830" s="268"/>
      <c r="AT830" s="268"/>
      <c r="AU830" s="268"/>
      <c r="AV830" s="268"/>
      <c r="AW830" s="269"/>
      <c r="AY830" s="468" t="s">
        <v>506</v>
      </c>
      <c r="AZ830" s="469"/>
      <c r="BA830" s="469"/>
      <c r="BB830" s="469"/>
      <c r="BC830" s="469"/>
      <c r="BD830" s="469"/>
      <c r="BE830" s="469"/>
      <c r="BF830" s="469"/>
      <c r="BG830" s="469"/>
      <c r="BH830" s="469"/>
      <c r="BI830" s="469"/>
      <c r="BJ830" s="469"/>
      <c r="BK830" s="469"/>
      <c r="BL830" s="469"/>
      <c r="BM830" s="470"/>
      <c r="BN830" s="267">
        <f>BP825</f>
        <v>0</v>
      </c>
      <c r="BO830" s="268"/>
      <c r="BP830" s="268"/>
      <c r="BQ830" s="268"/>
      <c r="BR830" s="268"/>
      <c r="BS830" s="268"/>
      <c r="BT830" s="268"/>
      <c r="BU830" s="268"/>
      <c r="BV830" s="268"/>
      <c r="BW830" s="269"/>
      <c r="BX830" s="267">
        <f>BZ825</f>
        <v>0</v>
      </c>
      <c r="BY830" s="268"/>
      <c r="BZ830" s="268"/>
      <c r="CA830" s="268"/>
      <c r="CB830" s="268"/>
      <c r="CC830" s="268"/>
      <c r="CD830" s="268"/>
      <c r="CE830" s="268"/>
      <c r="CF830" s="268"/>
      <c r="CG830" s="269"/>
      <c r="CH830" s="267">
        <f>BN830+BX830</f>
        <v>0</v>
      </c>
      <c r="CI830" s="268"/>
      <c r="CJ830" s="268"/>
      <c r="CK830" s="268"/>
      <c r="CL830" s="268"/>
      <c r="CM830" s="268"/>
      <c r="CN830" s="268"/>
      <c r="CO830" s="268"/>
      <c r="CP830" s="268"/>
      <c r="CQ830" s="269"/>
    </row>
    <row r="831" spans="1:104" hidden="1">
      <c r="D831"/>
      <c r="E831" s="264" t="s">
        <v>505</v>
      </c>
      <c r="F831" s="265"/>
      <c r="G831" s="265"/>
      <c r="H831" s="265"/>
      <c r="I831" s="265"/>
      <c r="J831" s="265"/>
      <c r="K831" s="265"/>
      <c r="L831" s="265"/>
      <c r="M831" s="265"/>
      <c r="N831" s="265"/>
      <c r="O831" s="265"/>
      <c r="P831" s="265"/>
      <c r="Q831" s="265"/>
      <c r="R831" s="265"/>
      <c r="S831" s="266"/>
      <c r="T831" s="267">
        <f>SUMIFS('Adv. Filter'!$CH$1:$CH$50000,'Adv. Filter'!$CD$1:$CD$50000,"Ganesh",'Adv. Filter'!$CB$1:$CB$50000,E831,'Adv. Filter'!$CF$1:$CF$50000,"Cash")</f>
        <v>0</v>
      </c>
      <c r="U831" s="268"/>
      <c r="V831" s="268"/>
      <c r="W831" s="268"/>
      <c r="X831" s="268"/>
      <c r="Y831" s="268"/>
      <c r="Z831" s="268"/>
      <c r="AA831" s="268"/>
      <c r="AB831" s="268"/>
      <c r="AC831" s="269"/>
      <c r="AD831" s="267">
        <f>SUMIFS('Adv. Filter'!$CH$1:$CH$50000,'Adv. Filter'!$CD$1:$CD$50000,"Ganesh",'Adv. Filter'!$CB$1:$CB$50000,E831,'Adv. Filter'!$CF$1:$CF$50000,"Bank")</f>
        <v>0</v>
      </c>
      <c r="AE831" s="268"/>
      <c r="AF831" s="268"/>
      <c r="AG831" s="268"/>
      <c r="AH831" s="268"/>
      <c r="AI831" s="268"/>
      <c r="AJ831" s="268"/>
      <c r="AK831" s="268"/>
      <c r="AL831" s="268"/>
      <c r="AM831" s="269"/>
      <c r="AN831" s="267">
        <f>T831+AD831</f>
        <v>0</v>
      </c>
      <c r="AO831" s="268"/>
      <c r="AP831" s="268"/>
      <c r="AQ831" s="268"/>
      <c r="AR831" s="268"/>
      <c r="AS831" s="268"/>
      <c r="AT831" s="268"/>
      <c r="AU831" s="268"/>
      <c r="AV831" s="268"/>
      <c r="AW831" s="269"/>
      <c r="AY831" s="270"/>
      <c r="AZ831" s="271"/>
      <c r="BA831" s="271"/>
      <c r="BB831" s="271"/>
      <c r="BC831" s="271"/>
      <c r="BD831" s="271"/>
      <c r="BE831" s="271"/>
      <c r="BF831" s="271"/>
      <c r="BG831" s="271"/>
      <c r="BH831" s="271"/>
      <c r="BI831" s="271"/>
      <c r="BJ831" s="271"/>
      <c r="BK831" s="271"/>
      <c r="BL831" s="271"/>
      <c r="BM831" s="272"/>
      <c r="BN831" s="267"/>
      <c r="BO831" s="268"/>
      <c r="BP831" s="268"/>
      <c r="BQ831" s="268"/>
      <c r="BR831" s="268"/>
      <c r="BS831" s="268"/>
      <c r="BT831" s="268"/>
      <c r="BU831" s="268"/>
      <c r="BV831" s="268"/>
      <c r="BW831" s="269"/>
      <c r="BX831" s="267"/>
      <c r="BY831" s="268"/>
      <c r="BZ831" s="268"/>
      <c r="CA831" s="268"/>
      <c r="CB831" s="268"/>
      <c r="CC831" s="268"/>
      <c r="CD831" s="268"/>
      <c r="CE831" s="268"/>
      <c r="CF831" s="268"/>
      <c r="CG831" s="269"/>
      <c r="CH831" s="267"/>
      <c r="CI831" s="268"/>
      <c r="CJ831" s="268"/>
      <c r="CK831" s="268"/>
      <c r="CL831" s="268"/>
      <c r="CM831" s="268"/>
      <c r="CN831" s="268"/>
      <c r="CO831" s="268"/>
      <c r="CP831" s="268"/>
      <c r="CQ831" s="269"/>
    </row>
    <row r="832" spans="1:104" ht="15.75" hidden="1" thickBot="1">
      <c r="D832"/>
      <c r="E832" s="285" t="s">
        <v>504</v>
      </c>
      <c r="F832" s="286"/>
      <c r="G832" s="286"/>
      <c r="H832" s="286"/>
      <c r="I832" s="286"/>
      <c r="J832" s="286"/>
      <c r="K832" s="286"/>
      <c r="L832" s="286"/>
      <c r="M832" s="286"/>
      <c r="N832" s="286"/>
      <c r="O832" s="286"/>
      <c r="P832" s="286"/>
      <c r="Q832" s="286"/>
      <c r="R832" s="286"/>
      <c r="S832" s="287"/>
      <c r="T832" s="252">
        <f>SUMIFS('Adv. Filter'!$CH$1:$CH$50000,'Adv. Filter'!$CD$1:$CD$50000,"Ganesh",'Adv. Filter'!$CB$1:$CB$50000,E832,'Adv. Filter'!$CF$1:$CF$50000,"Cash")</f>
        <v>1600</v>
      </c>
      <c r="U832" s="253"/>
      <c r="V832" s="253"/>
      <c r="W832" s="253"/>
      <c r="X832" s="253"/>
      <c r="Y832" s="253"/>
      <c r="Z832" s="253"/>
      <c r="AA832" s="253"/>
      <c r="AB832" s="253"/>
      <c r="AC832" s="254"/>
      <c r="AD832" s="252">
        <f>SUMIFS('Adv. Filter'!$CH$1:$CH$50000,'Adv. Filter'!$CD$1:$CD$50000,"Ganesh",'Adv. Filter'!$CB$1:$CB$50000,E832,'Adv. Filter'!$CF$1:$CF$50000,"Bank")</f>
        <v>0</v>
      </c>
      <c r="AE832" s="253"/>
      <c r="AF832" s="253"/>
      <c r="AG832" s="253"/>
      <c r="AH832" s="253"/>
      <c r="AI832" s="253"/>
      <c r="AJ832" s="253"/>
      <c r="AK832" s="253"/>
      <c r="AL832" s="253"/>
      <c r="AM832" s="254"/>
      <c r="AN832" s="252">
        <f>T832+AD832</f>
        <v>1600</v>
      </c>
      <c r="AO832" s="253"/>
      <c r="AP832" s="253"/>
      <c r="AQ832" s="253"/>
      <c r="AR832" s="253"/>
      <c r="AS832" s="253"/>
      <c r="AT832" s="253"/>
      <c r="AU832" s="253"/>
      <c r="AV832" s="253"/>
      <c r="AW832" s="254"/>
      <c r="AY832" s="255" t="s">
        <v>329</v>
      </c>
      <c r="AZ832" s="256"/>
      <c r="BA832" s="256"/>
      <c r="BB832" s="256"/>
      <c r="BC832" s="256"/>
      <c r="BD832" s="256"/>
      <c r="BE832" s="256"/>
      <c r="BF832" s="256"/>
      <c r="BG832" s="256"/>
      <c r="BH832" s="256"/>
      <c r="BI832" s="256"/>
      <c r="BJ832" s="256"/>
      <c r="BK832" s="256"/>
      <c r="BL832" s="256"/>
      <c r="BM832" s="257"/>
      <c r="BN832" s="252">
        <f>SUMIFS('Adv. Filter'!$CH$1:$CH$50000,'Adv. Filter'!$CD$1:$CD$50000,"Ganesh",'Adv. Filter'!$CC$1:$CC$50000,"TDS",'Adv. Filter'!$CF$1:$CF$50000,"Cash")</f>
        <v>0</v>
      </c>
      <c r="BO832" s="253"/>
      <c r="BP832" s="253"/>
      <c r="BQ832" s="253"/>
      <c r="BR832" s="253"/>
      <c r="BS832" s="253"/>
      <c r="BT832" s="253"/>
      <c r="BU832" s="253"/>
      <c r="BV832" s="253"/>
      <c r="BW832" s="254"/>
      <c r="BX832" s="252">
        <f>SUMIFS('Adv. Filter'!$CH$1:$CH$50000,'Adv. Filter'!$CD$1:$CD$50000,"Ganesh",'Adv. Filter'!$CC$1:$CC$50000,"TDS",'Adv. Filter'!$CF$1:$CF$50000,"Bank")</f>
        <v>6830</v>
      </c>
      <c r="BY832" s="253"/>
      <c r="BZ832" s="253"/>
      <c r="CA832" s="253"/>
      <c r="CB832" s="253"/>
      <c r="CC832" s="253"/>
      <c r="CD832" s="253"/>
      <c r="CE832" s="253"/>
      <c r="CF832" s="253"/>
      <c r="CG832" s="254"/>
      <c r="CH832" s="252">
        <f>BN832+BX832</f>
        <v>6830</v>
      </c>
      <c r="CI832" s="253"/>
      <c r="CJ832" s="253"/>
      <c r="CK832" s="253"/>
      <c r="CL832" s="253"/>
      <c r="CM832" s="253"/>
      <c r="CN832" s="253"/>
      <c r="CO832" s="253"/>
      <c r="CP832" s="253"/>
      <c r="CQ832" s="254"/>
    </row>
    <row r="833" spans="3:135" ht="16.5" hidden="1" thickTop="1">
      <c r="D833"/>
      <c r="E833" s="279" t="s">
        <v>503</v>
      </c>
      <c r="F833" s="280"/>
      <c r="G833" s="280"/>
      <c r="H833" s="280"/>
      <c r="I833" s="280"/>
      <c r="J833" s="280"/>
      <c r="K833" s="280"/>
      <c r="L833" s="280"/>
      <c r="M833" s="280"/>
      <c r="N833" s="280"/>
      <c r="O833" s="280"/>
      <c r="P833" s="280"/>
      <c r="Q833" s="280"/>
      <c r="R833" s="280"/>
      <c r="S833" s="281"/>
      <c r="T833" s="258">
        <f>SUM(T829:AC832)</f>
        <v>7900</v>
      </c>
      <c r="U833" s="259"/>
      <c r="V833" s="259"/>
      <c r="W833" s="259"/>
      <c r="X833" s="259"/>
      <c r="Y833" s="259"/>
      <c r="Z833" s="259"/>
      <c r="AA833" s="259"/>
      <c r="AB833" s="259"/>
      <c r="AC833" s="260"/>
      <c r="AD833" s="258">
        <f>SUM(AD829:AM832)</f>
        <v>0</v>
      </c>
      <c r="AE833" s="259"/>
      <c r="AF833" s="259"/>
      <c r="AG833" s="259"/>
      <c r="AH833" s="259"/>
      <c r="AI833" s="259"/>
      <c r="AJ833" s="259"/>
      <c r="AK833" s="259"/>
      <c r="AL833" s="259"/>
      <c r="AM833" s="260"/>
      <c r="AN833" s="258">
        <f>T833+AD833</f>
        <v>7900</v>
      </c>
      <c r="AO833" s="259"/>
      <c r="AP833" s="259"/>
      <c r="AQ833" s="259"/>
      <c r="AR833" s="259"/>
      <c r="AS833" s="259"/>
      <c r="AT833" s="259"/>
      <c r="AU833" s="259"/>
      <c r="AV833" s="259"/>
      <c r="AW833" s="260"/>
      <c r="AX833" s="37"/>
      <c r="AY833" s="279" t="s">
        <v>503</v>
      </c>
      <c r="AZ833" s="280"/>
      <c r="BA833" s="280"/>
      <c r="BB833" s="280"/>
      <c r="BC833" s="280"/>
      <c r="BD833" s="280"/>
      <c r="BE833" s="280"/>
      <c r="BF833" s="280"/>
      <c r="BG833" s="280"/>
      <c r="BH833" s="280"/>
      <c r="BI833" s="280"/>
      <c r="BJ833" s="280"/>
      <c r="BK833" s="280"/>
      <c r="BL833" s="280"/>
      <c r="BM833" s="281"/>
      <c r="BN833" s="258">
        <f>SUM(BN829:BW832)</f>
        <v>10500</v>
      </c>
      <c r="BO833" s="259"/>
      <c r="BP833" s="259"/>
      <c r="BQ833" s="259"/>
      <c r="BR833" s="259"/>
      <c r="BS833" s="259"/>
      <c r="BT833" s="259"/>
      <c r="BU833" s="259"/>
      <c r="BV833" s="259"/>
      <c r="BW833" s="260"/>
      <c r="BX833" s="258">
        <f>SUM(BX829:CG832)</f>
        <v>346000</v>
      </c>
      <c r="BY833" s="259"/>
      <c r="BZ833" s="259"/>
      <c r="CA833" s="259"/>
      <c r="CB833" s="259"/>
      <c r="CC833" s="259"/>
      <c r="CD833" s="259"/>
      <c r="CE833" s="259"/>
      <c r="CF833" s="259"/>
      <c r="CG833" s="260"/>
      <c r="CH833" s="258">
        <f>BN833+BX833</f>
        <v>356500</v>
      </c>
      <c r="CI833" s="259"/>
      <c r="CJ833" s="259"/>
      <c r="CK833" s="259"/>
      <c r="CL833" s="259"/>
      <c r="CM833" s="259"/>
      <c r="CN833" s="259"/>
      <c r="CO833" s="259"/>
      <c r="CP833" s="259"/>
      <c r="CQ833" s="260"/>
    </row>
    <row r="834" spans="3:135" hidden="1">
      <c r="D834"/>
    </row>
    <row r="835" spans="3:135" ht="15.75" hidden="1">
      <c r="C835" s="453" t="str">
        <f>CONCATENATE("PRESENT FORMS    ",TEXT('Adv. Filter'!$A$15,"( DD-MMM-YY"), " TO ",TEXT('Adv. Filter'!$B$15,"DD-MMM-YY )"))</f>
        <v>PRESENT FORMS    ( 01-Jan-17 TO 13-Oct-17 )</v>
      </c>
      <c r="D835" s="454"/>
      <c r="E835" s="454"/>
      <c r="F835" s="454"/>
      <c r="G835" s="454"/>
      <c r="H835" s="454"/>
      <c r="I835" s="454"/>
      <c r="J835" s="454"/>
      <c r="K835" s="454"/>
      <c r="L835" s="454"/>
      <c r="M835" s="454"/>
      <c r="N835" s="454"/>
      <c r="O835" s="454"/>
      <c r="P835" s="454"/>
      <c r="Q835" s="454"/>
      <c r="R835" s="454"/>
      <c r="S835" s="454"/>
      <c r="T835" s="454"/>
      <c r="U835" s="454"/>
      <c r="V835" s="454"/>
      <c r="W835" s="454"/>
      <c r="X835" s="454"/>
      <c r="Y835" s="454"/>
      <c r="Z835" s="454"/>
      <c r="AA835" s="454"/>
      <c r="AB835" s="454"/>
      <c r="AC835" s="454"/>
      <c r="AD835" s="454"/>
      <c r="AE835" s="454"/>
      <c r="AF835" s="454"/>
      <c r="AG835" s="454"/>
      <c r="AH835" s="454"/>
      <c r="AI835" s="454"/>
      <c r="AJ835" s="454"/>
      <c r="AK835" s="454"/>
      <c r="AL835" s="454"/>
      <c r="AM835" s="454"/>
      <c r="AN835" s="454"/>
      <c r="AO835" s="454"/>
      <c r="AP835" s="454"/>
      <c r="AQ835" s="454"/>
      <c r="AR835" s="454"/>
      <c r="AS835" s="454"/>
      <c r="AT835" s="454"/>
      <c r="AU835" s="454"/>
      <c r="AV835" s="454"/>
      <c r="AW835" s="454"/>
      <c r="AX835" s="454"/>
      <c r="AY835" s="454"/>
      <c r="AZ835" s="454"/>
      <c r="BA835" s="454"/>
      <c r="BB835" s="454"/>
      <c r="BC835" s="454"/>
      <c r="BD835" s="454"/>
      <c r="BE835" s="454"/>
      <c r="BF835" s="454"/>
      <c r="BG835" s="454"/>
      <c r="BH835" s="454"/>
      <c r="BI835" s="454"/>
      <c r="BJ835" s="454"/>
      <c r="BK835" s="454"/>
      <c r="BL835" s="454"/>
      <c r="BM835" s="454"/>
      <c r="BN835" s="454"/>
      <c r="BO835" s="454"/>
      <c r="BP835" s="454"/>
      <c r="BQ835" s="454"/>
      <c r="BR835" s="454"/>
      <c r="BS835" s="454"/>
      <c r="BT835" s="454"/>
      <c r="BU835" s="454"/>
      <c r="BV835" s="454"/>
      <c r="BW835" s="454"/>
      <c r="BX835" s="454"/>
      <c r="BY835" s="454"/>
      <c r="BZ835" s="454"/>
      <c r="CA835" s="454"/>
      <c r="CB835" s="454"/>
      <c r="CC835" s="454"/>
      <c r="CD835" s="454"/>
      <c r="CE835" s="454"/>
      <c r="CF835" s="454"/>
      <c r="CG835" s="454"/>
      <c r="CH835" s="454"/>
      <c r="CI835" s="454"/>
      <c r="CJ835" s="454"/>
      <c r="CK835" s="454"/>
      <c r="CL835" s="454"/>
      <c r="CM835" s="454"/>
      <c r="CN835" s="454"/>
      <c r="CO835" s="454"/>
      <c r="CP835" s="454"/>
      <c r="CQ835" s="454"/>
      <c r="CR835" s="454"/>
      <c r="CS835" s="454"/>
      <c r="CT835" s="454"/>
      <c r="CU835" s="454"/>
      <c r="CV835" s="454"/>
      <c r="CW835" s="454"/>
      <c r="CX835" s="454"/>
      <c r="CY835" s="454"/>
      <c r="CZ835" s="454"/>
      <c r="DA835" s="454"/>
      <c r="DB835" s="454"/>
      <c r="DC835" s="454"/>
      <c r="DD835" s="454"/>
      <c r="DE835" s="454"/>
      <c r="DF835" s="454"/>
      <c r="DG835" s="454"/>
      <c r="DH835" s="454"/>
      <c r="DI835" s="454"/>
      <c r="DJ835" s="454"/>
      <c r="DK835" s="454"/>
      <c r="DL835" s="454"/>
      <c r="DM835" s="454"/>
      <c r="DN835" s="454"/>
      <c r="DO835" s="454"/>
      <c r="DP835" s="454"/>
      <c r="DQ835" s="454"/>
      <c r="DR835" s="454"/>
      <c r="DS835" s="454"/>
      <c r="DT835" s="454"/>
      <c r="DU835" s="454"/>
      <c r="DV835" s="454"/>
      <c r="DW835" s="454"/>
      <c r="DX835" s="454"/>
      <c r="DY835" s="454"/>
      <c r="DZ835" s="454"/>
      <c r="EA835" s="454"/>
      <c r="EB835" s="454"/>
      <c r="EC835" s="454"/>
      <c r="ED835" s="454"/>
      <c r="EE835" s="455"/>
    </row>
    <row r="836" spans="3:135" hidden="1">
      <c r="C836" s="478" t="s">
        <v>513</v>
      </c>
      <c r="D836" s="478"/>
      <c r="E836" s="478"/>
      <c r="F836" s="478"/>
      <c r="G836" s="478"/>
      <c r="H836" s="478"/>
      <c r="I836" s="478"/>
      <c r="J836" s="478"/>
      <c r="K836" s="478"/>
      <c r="L836" s="478"/>
      <c r="M836" s="478"/>
      <c r="N836" s="478"/>
      <c r="O836" s="209" t="s">
        <v>117</v>
      </c>
      <c r="P836" s="209"/>
      <c r="Q836" s="209"/>
      <c r="R836" s="209"/>
      <c r="S836" s="209"/>
      <c r="T836" s="209"/>
      <c r="U836" s="209"/>
      <c r="V836" s="100"/>
      <c r="W836" s="231" t="s">
        <v>511</v>
      </c>
      <c r="X836" s="232"/>
      <c r="Y836" s="232"/>
      <c r="Z836" s="232"/>
      <c r="AA836" s="232"/>
      <c r="AB836" s="232"/>
      <c r="AC836" s="232"/>
      <c r="AD836" s="232"/>
      <c r="AE836" s="232"/>
      <c r="AF836" s="232"/>
      <c r="AG836" s="232"/>
      <c r="AH836" s="232"/>
      <c r="AI836" s="232"/>
      <c r="AJ836" s="232"/>
      <c r="AK836" s="232"/>
      <c r="AL836" s="232"/>
      <c r="AM836" s="232"/>
      <c r="AN836" s="232"/>
      <c r="AO836" s="232"/>
      <c r="AP836" s="232"/>
      <c r="AQ836" s="232"/>
      <c r="AR836" s="232"/>
      <c r="AS836" s="232"/>
      <c r="AT836" s="232"/>
      <c r="AU836" s="232"/>
      <c r="AV836" s="232"/>
      <c r="AW836" s="232"/>
      <c r="AX836" s="232"/>
      <c r="AY836" s="232"/>
      <c r="AZ836" s="232"/>
      <c r="BA836" s="232"/>
      <c r="BB836" s="232"/>
      <c r="BC836" s="232"/>
      <c r="BD836" s="232"/>
      <c r="BE836" s="232"/>
      <c r="BF836" s="232"/>
      <c r="BG836" s="232"/>
      <c r="BH836" s="232"/>
      <c r="BI836" s="232"/>
      <c r="BJ836" s="232"/>
      <c r="BK836" s="232"/>
      <c r="BL836" s="232"/>
      <c r="BM836" s="232"/>
      <c r="BN836" s="232"/>
      <c r="BO836" s="232"/>
      <c r="BP836" s="232"/>
      <c r="BQ836" s="232"/>
      <c r="BR836" s="232"/>
      <c r="BS836" s="233"/>
      <c r="BT836" s="100"/>
      <c r="BU836" s="231" t="s">
        <v>571</v>
      </c>
      <c r="BV836" s="232"/>
      <c r="BW836" s="232"/>
      <c r="BX836" s="232"/>
      <c r="BY836" s="232"/>
      <c r="BZ836" s="232"/>
      <c r="CA836" s="232"/>
      <c r="CB836" s="232"/>
      <c r="CC836" s="232"/>
      <c r="CD836" s="232"/>
      <c r="CE836" s="232"/>
      <c r="CF836" s="232"/>
      <c r="CG836" s="232"/>
      <c r="CH836" s="232"/>
      <c r="CI836" s="232"/>
      <c r="CJ836" s="232"/>
      <c r="CK836" s="232"/>
      <c r="CL836" s="232"/>
      <c r="CM836" s="232"/>
      <c r="CN836" s="232"/>
      <c r="CO836" s="232"/>
      <c r="CP836" s="232"/>
      <c r="CQ836" s="232"/>
      <c r="CR836" s="232"/>
      <c r="CS836" s="232"/>
      <c r="CT836" s="232"/>
      <c r="CU836" s="232"/>
      <c r="CV836" s="232"/>
      <c r="CW836" s="232"/>
      <c r="CX836" s="232"/>
      <c r="CY836" s="232"/>
      <c r="CZ836" s="232"/>
      <c r="DA836" s="232"/>
      <c r="DB836" s="232"/>
      <c r="DC836" s="232"/>
      <c r="DD836" s="232"/>
      <c r="DE836" s="232"/>
      <c r="DF836" s="232"/>
      <c r="DG836" s="232"/>
      <c r="DH836" s="232"/>
      <c r="DI836" s="232"/>
      <c r="DJ836" s="232"/>
      <c r="DK836" s="232"/>
      <c r="DL836" s="232"/>
      <c r="DM836" s="232"/>
      <c r="DN836" s="232"/>
      <c r="DO836" s="232"/>
      <c r="DP836" s="232"/>
      <c r="DQ836" s="232"/>
      <c r="DR836" s="232"/>
      <c r="DS836" s="232"/>
      <c r="DT836" s="232"/>
      <c r="DU836" s="232"/>
      <c r="DV836" s="232"/>
      <c r="DW836" s="232"/>
      <c r="DX836" s="232"/>
      <c r="DY836" s="232"/>
      <c r="DZ836" s="232"/>
      <c r="EA836" s="232"/>
      <c r="EB836" s="232"/>
      <c r="EC836" s="232"/>
      <c r="ED836" s="232"/>
      <c r="EE836" s="233"/>
    </row>
    <row r="837" spans="3:135" hidden="1">
      <c r="C837" s="478"/>
      <c r="D837" s="478"/>
      <c r="E837" s="478"/>
      <c r="F837" s="478"/>
      <c r="G837" s="478"/>
      <c r="H837" s="478"/>
      <c r="I837" s="478"/>
      <c r="J837" s="478"/>
      <c r="K837" s="478"/>
      <c r="L837" s="478"/>
      <c r="M837" s="478"/>
      <c r="N837" s="478"/>
      <c r="O837" s="208" t="s">
        <v>569</v>
      </c>
      <c r="P837" s="208"/>
      <c r="Q837" s="208"/>
      <c r="R837" s="208"/>
      <c r="S837" s="208"/>
      <c r="T837" s="208"/>
      <c r="U837" s="208"/>
      <c r="V837" s="100"/>
      <c r="W837" s="250" t="s">
        <v>511</v>
      </c>
      <c r="X837" s="251"/>
      <c r="Y837" s="251"/>
      <c r="Z837" s="251"/>
      <c r="AA837" s="251"/>
      <c r="AB837" s="251"/>
      <c r="AC837" s="245"/>
      <c r="AD837" s="250" t="s">
        <v>493</v>
      </c>
      <c r="AE837" s="251"/>
      <c r="AF837" s="251"/>
      <c r="AG837" s="251"/>
      <c r="AH837" s="251"/>
      <c r="AI837" s="251"/>
      <c r="AJ837" s="245"/>
      <c r="AK837" s="250" t="s">
        <v>485</v>
      </c>
      <c r="AL837" s="251"/>
      <c r="AM837" s="251"/>
      <c r="AN837" s="251"/>
      <c r="AO837" s="251"/>
      <c r="AP837" s="251"/>
      <c r="AQ837" s="245"/>
      <c r="AR837" s="250" t="s">
        <v>575</v>
      </c>
      <c r="AS837" s="251"/>
      <c r="AT837" s="251"/>
      <c r="AU837" s="251"/>
      <c r="AV837" s="251"/>
      <c r="AW837" s="251"/>
      <c r="AX837" s="245"/>
      <c r="AY837" s="250" t="s">
        <v>568</v>
      </c>
      <c r="AZ837" s="251"/>
      <c r="BA837" s="251"/>
      <c r="BB837" s="251"/>
      <c r="BC837" s="251"/>
      <c r="BD837" s="251"/>
      <c r="BE837" s="245"/>
      <c r="BF837" s="250" t="s">
        <v>492</v>
      </c>
      <c r="BG837" s="251"/>
      <c r="BH837" s="251"/>
      <c r="BI837" s="251"/>
      <c r="BJ837" s="251"/>
      <c r="BK837" s="251"/>
      <c r="BL837" s="245"/>
      <c r="BM837" s="250" t="s">
        <v>567</v>
      </c>
      <c r="BN837" s="251"/>
      <c r="BO837" s="251"/>
      <c r="BP837" s="251"/>
      <c r="BQ837" s="251"/>
      <c r="BR837" s="251"/>
      <c r="BS837" s="245"/>
      <c r="BT837" s="100"/>
      <c r="BU837" s="208" t="s">
        <v>570</v>
      </c>
      <c r="BV837" s="208"/>
      <c r="BW837" s="208"/>
      <c r="BX837" s="208"/>
      <c r="BY837" s="208"/>
      <c r="BZ837" s="208"/>
      <c r="CA837" s="208"/>
      <c r="CB837" s="208" t="s">
        <v>559</v>
      </c>
      <c r="CC837" s="208"/>
      <c r="CD837" s="208"/>
      <c r="CE837" s="208"/>
      <c r="CF837" s="208"/>
      <c r="CG837" s="208"/>
      <c r="CH837" s="208"/>
      <c r="CI837" s="208" t="s">
        <v>560</v>
      </c>
      <c r="CJ837" s="208"/>
      <c r="CK837" s="208"/>
      <c r="CL837" s="208"/>
      <c r="CM837" s="208"/>
      <c r="CN837" s="208"/>
      <c r="CO837" s="208"/>
      <c r="CP837" s="208" t="s">
        <v>561</v>
      </c>
      <c r="CQ837" s="208"/>
      <c r="CR837" s="208"/>
      <c r="CS837" s="208"/>
      <c r="CT837" s="208"/>
      <c r="CU837" s="208"/>
      <c r="CV837" s="208"/>
      <c r="CW837" s="208" t="s">
        <v>562</v>
      </c>
      <c r="CX837" s="208"/>
      <c r="CY837" s="208"/>
      <c r="CZ837" s="208"/>
      <c r="DA837" s="208"/>
      <c r="DB837" s="208"/>
      <c r="DC837" s="208"/>
      <c r="DD837" s="208" t="s">
        <v>563</v>
      </c>
      <c r="DE837" s="208"/>
      <c r="DF837" s="208"/>
      <c r="DG837" s="208"/>
      <c r="DH837" s="208"/>
      <c r="DI837" s="208"/>
      <c r="DJ837" s="208"/>
      <c r="DK837" s="208" t="s">
        <v>564</v>
      </c>
      <c r="DL837" s="208"/>
      <c r="DM837" s="208"/>
      <c r="DN837" s="208"/>
      <c r="DO837" s="208"/>
      <c r="DP837" s="208"/>
      <c r="DQ837" s="208"/>
      <c r="DR837" s="208" t="s">
        <v>565</v>
      </c>
      <c r="DS837" s="208"/>
      <c r="DT837" s="208"/>
      <c r="DU837" s="208"/>
      <c r="DV837" s="208"/>
      <c r="DW837" s="208"/>
      <c r="DX837" s="208"/>
      <c r="DY837" s="208" t="s">
        <v>566</v>
      </c>
      <c r="DZ837" s="208"/>
      <c r="EA837" s="208"/>
      <c r="EB837" s="208"/>
      <c r="EC837" s="208"/>
      <c r="ED837" s="208"/>
      <c r="EE837" s="208"/>
    </row>
    <row r="838" spans="3:135" hidden="1">
      <c r="C838" s="248" t="s">
        <v>26</v>
      </c>
      <c r="D838" s="249"/>
      <c r="E838" s="249"/>
      <c r="F838" s="249"/>
      <c r="G838" s="249"/>
      <c r="H838" s="249"/>
      <c r="I838" s="249"/>
      <c r="J838" s="249"/>
      <c r="K838" s="249"/>
      <c r="L838" s="249"/>
      <c r="M838" s="249"/>
      <c r="N838" s="249"/>
      <c r="O838" s="234">
        <f>SUM(COUNTIFS('Form Details'!$AA:$AA,{"Yes","No","-"},'Form Details'!$N:$N,"Ganesh",'Form Details'!$J:$J,$C838,'Form Details'!$D:$D,'Adv. Filter'!$A$14,'Form Details'!$D:$D,'Adv. Filter'!$B$14))</f>
        <v>0</v>
      </c>
      <c r="P838" s="235"/>
      <c r="Q838" s="235"/>
      <c r="R838" s="235"/>
      <c r="S838" s="235"/>
      <c r="T838" s="235"/>
      <c r="U838" s="236"/>
      <c r="V838" s="100"/>
      <c r="W838" s="234">
        <f>COUNTIFS('Form Details'!$AA:$AA,"Yes",'Form Details'!$N:$N,"Ganesh",'Form Details'!$J:$J,$C838,'Form Details'!$D:$D,'Adv. Filter'!$A$14,'Form Details'!$D:$D,'Adv. Filter'!$B$14)</f>
        <v>0</v>
      </c>
      <c r="X838" s="235"/>
      <c r="Y838" s="235"/>
      <c r="Z838" s="235"/>
      <c r="AA838" s="235"/>
      <c r="AB838" s="235"/>
      <c r="AC838" s="236"/>
      <c r="AD838" s="234">
        <f>COUNTIFS('Form Details'!$W:$W,"Paid",'Form Details'!$N:$N,"Ganesh",'Form Details'!$J:$J,$C838,'Form Details'!$D:$D,'Adv. Filter'!$A$14,'Form Details'!$D:$D,'Adv. Filter'!$B$14)</f>
        <v>0</v>
      </c>
      <c r="AE838" s="235"/>
      <c r="AF838" s="235"/>
      <c r="AG838" s="235"/>
      <c r="AH838" s="235"/>
      <c r="AI838" s="235"/>
      <c r="AJ838" s="236"/>
      <c r="AK838" s="234">
        <f>COUNTIFS('Form Details'!$W:$W,"Due",'Form Details'!$N:$N,"Ganesh",'Form Details'!$J:$J,$C838,'Form Details'!$D:$D,'Adv. Filter'!$A$14,'Form Details'!$D:$D,'Adv. Filter'!$B$14)</f>
        <v>0</v>
      </c>
      <c r="AL838" s="235"/>
      <c r="AM838" s="235"/>
      <c r="AN838" s="235"/>
      <c r="AO838" s="235"/>
      <c r="AP838" s="235"/>
      <c r="AQ838" s="236"/>
      <c r="AR838" s="234">
        <f>COUNTIFS('Form Details'!$W:$W,"No Fee",'Form Details'!$N:$N,"Ganesh",'Form Details'!$J:$J,$C838,'Form Details'!$D:$D,'Adv. Filter'!$A$14,'Form Details'!$D:$D,'Adv. Filter'!$B$14)</f>
        <v>0</v>
      </c>
      <c r="AS838" s="235"/>
      <c r="AT838" s="235"/>
      <c r="AU838" s="235"/>
      <c r="AV838" s="235"/>
      <c r="AW838" s="235"/>
      <c r="AX838" s="236"/>
      <c r="AY838" s="234">
        <f>COUNTIFS('Form Details'!$W:$W,"Paid/Reject",'Form Details'!$N:$N,"Ganesh",'Form Details'!$J:$J,$C838,'Form Details'!$D:$D,'Adv. Filter'!$A$14,'Form Details'!$D:$D,'Adv. Filter'!$B$14)</f>
        <v>0</v>
      </c>
      <c r="AZ838" s="235"/>
      <c r="BA838" s="235"/>
      <c r="BB838" s="235"/>
      <c r="BC838" s="235"/>
      <c r="BD838" s="235"/>
      <c r="BE838" s="236"/>
      <c r="BF838" s="234">
        <f>COUNTIFS('Form Details'!$W:$W,"Staff",'Form Details'!$N:$N,"Ganesh",'Form Details'!$J:$J,$C838,'Form Details'!$D:$D,'Adv. Filter'!$A$14,'Form Details'!$D:$D,'Adv. Filter'!$B$14)</f>
        <v>0</v>
      </c>
      <c r="BG838" s="235"/>
      <c r="BH838" s="235"/>
      <c r="BI838" s="235"/>
      <c r="BJ838" s="235"/>
      <c r="BK838" s="235"/>
      <c r="BL838" s="236"/>
      <c r="BM838" s="234">
        <f>COUNTIFS('Form Details'!$W:$W,"File in Office",'Form Details'!$N:$N,"Ganesh",'Form Details'!$J:$J,$C838,'Form Details'!$D:$D,'Adv. Filter'!$A$14,'Form Details'!$D:$D,'Adv. Filter'!$B$14)</f>
        <v>0</v>
      </c>
      <c r="BN838" s="235"/>
      <c r="BO838" s="235"/>
      <c r="BP838" s="235"/>
      <c r="BQ838" s="235"/>
      <c r="BR838" s="235"/>
      <c r="BS838" s="236"/>
      <c r="BT838" s="100"/>
      <c r="BU838" s="234">
        <f>COUNTIFS('Form Details'!$AA:$AA,"No",'Form Details'!$N:$N,"Ganesh",'Form Details'!$J:$J,$C838,'Form Details'!$D:$D,'Adv. Filter'!$A$14,'Form Details'!$D:$D,'Adv. Filter'!$B$14)</f>
        <v>0</v>
      </c>
      <c r="BV838" s="235"/>
      <c r="BW838" s="235"/>
      <c r="BX838" s="235"/>
      <c r="BY838" s="235"/>
      <c r="BZ838" s="235"/>
      <c r="CA838" s="236"/>
      <c r="CB838" s="234">
        <f>COUNTIFS('Form Details'!$W:$W,"Adv/Paid",'Form Details'!$N:$N,"Ganesh",'Form Details'!$J:$J,$C838,'Form Details'!$D:$D,'Adv. Filter'!$A$14,'Form Details'!$D:$D,'Adv. Filter'!$B$14)</f>
        <v>0</v>
      </c>
      <c r="CC838" s="235"/>
      <c r="CD838" s="235"/>
      <c r="CE838" s="235"/>
      <c r="CF838" s="235"/>
      <c r="CG838" s="235"/>
      <c r="CH838" s="236"/>
      <c r="CI838" s="234">
        <f>COUNTIFS('Form Details'!$W:$W,"Adv/Paid/Reject",'Form Details'!$N:$N,"Ganesh",'Form Details'!$J:$J,$C838,'Form Details'!$D:$D,'Adv. Filter'!$A$14,'Form Details'!$D:$D,'Adv. Filter'!$B$14)</f>
        <v>0</v>
      </c>
      <c r="CJ838" s="235"/>
      <c r="CK838" s="235"/>
      <c r="CL838" s="235"/>
      <c r="CM838" s="235"/>
      <c r="CN838" s="235"/>
      <c r="CO838" s="236"/>
      <c r="CP838" s="234">
        <f>COUNTIFS('Form Details'!$W:$W,"Reject",'Form Details'!$N:$N,"Ganesh",'Form Details'!$J:$J,$C838,'Form Details'!$D:$D,'Adv. Filter'!$A$14,'Form Details'!$D:$D,'Adv. Filter'!$B$14)</f>
        <v>0</v>
      </c>
      <c r="CQ838" s="235"/>
      <c r="CR838" s="235"/>
      <c r="CS838" s="235"/>
      <c r="CT838" s="235"/>
      <c r="CU838" s="235"/>
      <c r="CV838" s="236"/>
      <c r="CW838" s="234">
        <f>COUNTIFS('Form Details'!$W:$W,"Adv/Paid/Pending",'Form Details'!$N:$N,"Ganesh",'Form Details'!$J:$J,$C838,'Form Details'!$D:$D,'Adv. Filter'!$A$14,'Form Details'!$D:$D,'Adv. Filter'!$B$14)</f>
        <v>0</v>
      </c>
      <c r="CX838" s="235"/>
      <c r="CY838" s="235"/>
      <c r="CZ838" s="235"/>
      <c r="DA838" s="235"/>
      <c r="DB838" s="235"/>
      <c r="DC838" s="236"/>
      <c r="DD838" s="234">
        <f>COUNTIFS('Form Details'!$W:$W,"Pending",'Form Details'!$N:$N,"Ganesh",'Form Details'!$J:$J,$C838,'Form Details'!$D:$D,'Adv. Filter'!$A$14,'Form Details'!$D:$D,'Adv. Filter'!$B$14)</f>
        <v>0</v>
      </c>
      <c r="DE838" s="235"/>
      <c r="DF838" s="235"/>
      <c r="DG838" s="235"/>
      <c r="DH838" s="235"/>
      <c r="DI838" s="235"/>
      <c r="DJ838" s="236"/>
      <c r="DK838" s="234">
        <f>COUNTIFS('Form Details'!$W:$W,"Adv/Paid/NoStatus",'Form Details'!$N:$N,"Ganesh",'Form Details'!$J:$J,$C838,'Form Details'!$D:$D,'Adv. Filter'!$A$14,'Form Details'!$D:$D,'Adv. Filter'!$B$14)</f>
        <v>0</v>
      </c>
      <c r="DL838" s="235"/>
      <c r="DM838" s="235"/>
      <c r="DN838" s="235"/>
      <c r="DO838" s="235"/>
      <c r="DP838" s="235"/>
      <c r="DQ838" s="236"/>
      <c r="DR838" s="234">
        <f>COUNTIFS('Form Details'!$W:$W,"No Status",'Form Details'!$N:$N,"Ganesh",'Form Details'!$J:$J,$C838,'Form Details'!$D:$D,'Adv. Filter'!$A$14,'Form Details'!$D:$D,'Adv. Filter'!$B$14)</f>
        <v>0</v>
      </c>
      <c r="DS838" s="235"/>
      <c r="DT838" s="235"/>
      <c r="DU838" s="235"/>
      <c r="DV838" s="235"/>
      <c r="DW838" s="235"/>
      <c r="DX838" s="236"/>
      <c r="DY838" s="234">
        <f>SUM(COUNTIFS('Form Details'!$W:$W,{"Wrong Entry ","Double Entry"},'Form Details'!$N:$N,"Ganesh",'Form Details'!$J:$J,$C838,'Form Details'!$D:$D,'Adv. Filter'!$A$14,'Form Details'!$D:$D,'Adv. Filter'!$B$14))</f>
        <v>0</v>
      </c>
      <c r="DZ838" s="235"/>
      <c r="EA838" s="235"/>
      <c r="EB838" s="235"/>
      <c r="EC838" s="235"/>
      <c r="ED838" s="235"/>
      <c r="EE838" s="236"/>
    </row>
    <row r="839" spans="3:135" hidden="1">
      <c r="C839" s="248" t="s">
        <v>38</v>
      </c>
      <c r="D839" s="249"/>
      <c r="E839" s="249"/>
      <c r="F839" s="249"/>
      <c r="G839" s="249"/>
      <c r="H839" s="249"/>
      <c r="I839" s="249"/>
      <c r="J839" s="249"/>
      <c r="K839" s="249"/>
      <c r="L839" s="249"/>
      <c r="M839" s="249"/>
      <c r="N839" s="249"/>
      <c r="O839" s="237">
        <f>SUM(COUNTIFS('Form Details'!$AA:$AA,{"Yes","No","-"},'Form Details'!$N:$N,"Ganesh",'Form Details'!$J:$J,$C839,'Form Details'!$D:$D,'Adv. Filter'!$A$14,'Form Details'!$D:$D,'Adv. Filter'!$B$14))</f>
        <v>0</v>
      </c>
      <c r="P839" s="238"/>
      <c r="Q839" s="238"/>
      <c r="R839" s="238"/>
      <c r="S839" s="238"/>
      <c r="T839" s="238"/>
      <c r="U839" s="239"/>
      <c r="V839" s="100"/>
      <c r="W839" s="237">
        <f>COUNTIFS('Form Details'!$AA:$AA,"Yes",'Form Details'!$N:$N,"Ganesh",'Form Details'!$J:$J,$C839,'Form Details'!$D:$D,'Adv. Filter'!$A$14,'Form Details'!$D:$D,'Adv. Filter'!$B$14)</f>
        <v>0</v>
      </c>
      <c r="X839" s="238"/>
      <c r="Y839" s="238"/>
      <c r="Z839" s="238"/>
      <c r="AA839" s="238"/>
      <c r="AB839" s="238"/>
      <c r="AC839" s="239"/>
      <c r="AD839" s="237">
        <f>COUNTIFS('Form Details'!$W:$W,"Paid",'Form Details'!$N:$N,"Ganesh",'Form Details'!$J:$J,$C839,'Form Details'!$D:$D,'Adv. Filter'!$A$14,'Form Details'!$D:$D,'Adv. Filter'!$B$14)</f>
        <v>0</v>
      </c>
      <c r="AE839" s="238"/>
      <c r="AF839" s="238"/>
      <c r="AG839" s="238"/>
      <c r="AH839" s="238"/>
      <c r="AI839" s="238"/>
      <c r="AJ839" s="239"/>
      <c r="AK839" s="237">
        <f>COUNTIFS('Form Details'!$W:$W,"Due",'Form Details'!$N:$N,"Ganesh",'Form Details'!$J:$J,$C839,'Form Details'!$D:$D,'Adv. Filter'!$A$14,'Form Details'!$D:$D,'Adv. Filter'!$B$14)</f>
        <v>0</v>
      </c>
      <c r="AL839" s="238"/>
      <c r="AM839" s="238"/>
      <c r="AN839" s="238"/>
      <c r="AO839" s="238"/>
      <c r="AP839" s="238"/>
      <c r="AQ839" s="239"/>
      <c r="AR839" s="237">
        <f>COUNTIFS('Form Details'!$W:$W,"No Fee",'Form Details'!$N:$N,"Ganesh",'Form Details'!$J:$J,$C839,'Form Details'!$D:$D,'Adv. Filter'!$A$14,'Form Details'!$D:$D,'Adv. Filter'!$B$14)</f>
        <v>0</v>
      </c>
      <c r="AS839" s="238"/>
      <c r="AT839" s="238"/>
      <c r="AU839" s="238"/>
      <c r="AV839" s="238"/>
      <c r="AW839" s="238"/>
      <c r="AX839" s="239"/>
      <c r="AY839" s="237">
        <f>COUNTIFS('Form Details'!$W:$W,"Paid/Reject",'Form Details'!$N:$N,"Ganesh",'Form Details'!$J:$J,$C839,'Form Details'!$D:$D,'Adv. Filter'!$A$14,'Form Details'!$D:$D,'Adv. Filter'!$B$14)</f>
        <v>0</v>
      </c>
      <c r="AZ839" s="238"/>
      <c r="BA839" s="238"/>
      <c r="BB839" s="238"/>
      <c r="BC839" s="238"/>
      <c r="BD839" s="238"/>
      <c r="BE839" s="239"/>
      <c r="BF839" s="237">
        <f>COUNTIFS('Form Details'!$W:$W,"Staff",'Form Details'!$N:$N,"Ganesh",'Form Details'!$J:$J,$C839,'Form Details'!$D:$D,'Adv. Filter'!$A$14,'Form Details'!$D:$D,'Adv. Filter'!$B$14)</f>
        <v>0</v>
      </c>
      <c r="BG839" s="238"/>
      <c r="BH839" s="238"/>
      <c r="BI839" s="238"/>
      <c r="BJ839" s="238"/>
      <c r="BK839" s="238"/>
      <c r="BL839" s="239"/>
      <c r="BM839" s="237">
        <f>COUNTIFS('Form Details'!$W:$W,"File in Office",'Form Details'!$N:$N,"Ganesh",'Form Details'!$J:$J,$C839,'Form Details'!$D:$D,'Adv. Filter'!$A$14,'Form Details'!$D:$D,'Adv. Filter'!$B$14)</f>
        <v>0</v>
      </c>
      <c r="BN839" s="238"/>
      <c r="BO839" s="238"/>
      <c r="BP839" s="238"/>
      <c r="BQ839" s="238"/>
      <c r="BR839" s="238"/>
      <c r="BS839" s="239"/>
      <c r="BT839" s="100"/>
      <c r="BU839" s="237">
        <f>COUNTIFS('Form Details'!$AA:$AA,"No",'Form Details'!$N:$N,"Ganesh",'Form Details'!$J:$J,$C839,'Form Details'!$D:$D,'Adv. Filter'!$A$14,'Form Details'!$D:$D,'Adv. Filter'!$B$14)</f>
        <v>0</v>
      </c>
      <c r="BV839" s="238"/>
      <c r="BW839" s="238"/>
      <c r="BX839" s="238"/>
      <c r="BY839" s="238"/>
      <c r="BZ839" s="238"/>
      <c r="CA839" s="239"/>
      <c r="CB839" s="237">
        <f>COUNTIFS('Form Details'!$W:$W,"Adv/Paid",'Form Details'!$N:$N,"Ganesh",'Form Details'!$J:$J,$C839,'Form Details'!$D:$D,'Adv. Filter'!$A$14,'Form Details'!$D:$D,'Adv. Filter'!$B$14)</f>
        <v>0</v>
      </c>
      <c r="CC839" s="238"/>
      <c r="CD839" s="238"/>
      <c r="CE839" s="238"/>
      <c r="CF839" s="238"/>
      <c r="CG839" s="238"/>
      <c r="CH839" s="239"/>
      <c r="CI839" s="237">
        <f>COUNTIFS('Form Details'!$W:$W,"Adv/Paid/Reject",'Form Details'!$N:$N,"Ganesh",'Form Details'!$J:$J,$C839,'Form Details'!$D:$D,'Adv. Filter'!$A$14,'Form Details'!$D:$D,'Adv. Filter'!$B$14)</f>
        <v>0</v>
      </c>
      <c r="CJ839" s="238"/>
      <c r="CK839" s="238"/>
      <c r="CL839" s="238"/>
      <c r="CM839" s="238"/>
      <c r="CN839" s="238"/>
      <c r="CO839" s="239"/>
      <c r="CP839" s="237">
        <f>COUNTIFS('Form Details'!$W:$W,"Reject",'Form Details'!$N:$N,"Ganesh",'Form Details'!$J:$J,$C839,'Form Details'!$D:$D,'Adv. Filter'!$A$14,'Form Details'!$D:$D,'Adv. Filter'!$B$14)</f>
        <v>0</v>
      </c>
      <c r="CQ839" s="238"/>
      <c r="CR839" s="238"/>
      <c r="CS839" s="238"/>
      <c r="CT839" s="238"/>
      <c r="CU839" s="238"/>
      <c r="CV839" s="239"/>
      <c r="CW839" s="237">
        <f>COUNTIFS('Form Details'!$W:$W,"Adv/Paid/Pending",'Form Details'!$N:$N,"Ganesh",'Form Details'!$J:$J,$C839,'Form Details'!$D:$D,'Adv. Filter'!$A$14,'Form Details'!$D:$D,'Adv. Filter'!$B$14)</f>
        <v>0</v>
      </c>
      <c r="CX839" s="238"/>
      <c r="CY839" s="238"/>
      <c r="CZ839" s="238"/>
      <c r="DA839" s="238"/>
      <c r="DB839" s="238"/>
      <c r="DC839" s="239"/>
      <c r="DD839" s="237">
        <f>COUNTIFS('Form Details'!$W:$W,"Pending",'Form Details'!$N:$N,"Ganesh",'Form Details'!$J:$J,$C839,'Form Details'!$D:$D,'Adv. Filter'!$A$14,'Form Details'!$D:$D,'Adv. Filter'!$B$14)</f>
        <v>0</v>
      </c>
      <c r="DE839" s="238"/>
      <c r="DF839" s="238"/>
      <c r="DG839" s="238"/>
      <c r="DH839" s="238"/>
      <c r="DI839" s="238"/>
      <c r="DJ839" s="239"/>
      <c r="DK839" s="237">
        <f>COUNTIFS('Form Details'!$W:$W,"Adv/Paid/NoStatus",'Form Details'!$N:$N,"Ganesh",'Form Details'!$J:$J,$C839,'Form Details'!$D:$D,'Adv. Filter'!$A$14,'Form Details'!$D:$D,'Adv. Filter'!$B$14)</f>
        <v>0</v>
      </c>
      <c r="DL839" s="238"/>
      <c r="DM839" s="238"/>
      <c r="DN839" s="238"/>
      <c r="DO839" s="238"/>
      <c r="DP839" s="238"/>
      <c r="DQ839" s="239"/>
      <c r="DR839" s="237">
        <f>COUNTIFS('Form Details'!$W:$W,"No Status",'Form Details'!$N:$N,"Ganesh",'Form Details'!$J:$J,$C839,'Form Details'!$D:$D,'Adv. Filter'!$A$14,'Form Details'!$D:$D,'Adv. Filter'!$B$14)</f>
        <v>0</v>
      </c>
      <c r="DS839" s="238"/>
      <c r="DT839" s="238"/>
      <c r="DU839" s="238"/>
      <c r="DV839" s="238"/>
      <c r="DW839" s="238"/>
      <c r="DX839" s="239"/>
      <c r="DY839" s="237">
        <f>SUM(COUNTIFS('Form Details'!$W:$W,{"Wrong Entry ","Double Entry"},'Form Details'!$N:$N,"Ganesh",'Form Details'!$J:$J,$C839,'Form Details'!$D:$D,'Adv. Filter'!$A$14,'Form Details'!$D:$D,'Adv. Filter'!$B$14))</f>
        <v>0</v>
      </c>
      <c r="DZ839" s="238"/>
      <c r="EA839" s="238"/>
      <c r="EB839" s="238"/>
      <c r="EC839" s="238"/>
      <c r="ED839" s="238"/>
      <c r="EE839" s="239"/>
    </row>
    <row r="840" spans="3:135" hidden="1">
      <c r="C840" s="248" t="s">
        <v>49</v>
      </c>
      <c r="D840" s="249"/>
      <c r="E840" s="249"/>
      <c r="F840" s="249"/>
      <c r="G840" s="249"/>
      <c r="H840" s="249"/>
      <c r="I840" s="249"/>
      <c r="J840" s="249"/>
      <c r="K840" s="249"/>
      <c r="L840" s="249"/>
      <c r="M840" s="249"/>
      <c r="N840" s="249"/>
      <c r="O840" s="237">
        <f>SUM(COUNTIFS('Form Details'!$AA:$AA,{"Yes","No","-"},'Form Details'!$N:$N,"Ganesh",'Form Details'!$J:$J,$C840,'Form Details'!$D:$D,'Adv. Filter'!$A$14,'Form Details'!$D:$D,'Adv. Filter'!$B$14))</f>
        <v>0</v>
      </c>
      <c r="P840" s="238"/>
      <c r="Q840" s="238"/>
      <c r="R840" s="238"/>
      <c r="S840" s="238"/>
      <c r="T840" s="238"/>
      <c r="U840" s="239"/>
      <c r="V840" s="100"/>
      <c r="W840" s="237">
        <f>COUNTIFS('Form Details'!$AA:$AA,"Yes",'Form Details'!$N:$N,"Ganesh",'Form Details'!$J:$J,$C840,'Form Details'!$D:$D,'Adv. Filter'!$A$14,'Form Details'!$D:$D,'Adv. Filter'!$B$14)</f>
        <v>0</v>
      </c>
      <c r="X840" s="238"/>
      <c r="Y840" s="238"/>
      <c r="Z840" s="238"/>
      <c r="AA840" s="238"/>
      <c r="AB840" s="238"/>
      <c r="AC840" s="239"/>
      <c r="AD840" s="237">
        <f>COUNTIFS('Form Details'!$W:$W,"Paid",'Form Details'!$N:$N,"Ganesh",'Form Details'!$J:$J,$C840,'Form Details'!$D:$D,'Adv. Filter'!$A$14,'Form Details'!$D:$D,'Adv. Filter'!$B$14)</f>
        <v>0</v>
      </c>
      <c r="AE840" s="238"/>
      <c r="AF840" s="238"/>
      <c r="AG840" s="238"/>
      <c r="AH840" s="238"/>
      <c r="AI840" s="238"/>
      <c r="AJ840" s="239"/>
      <c r="AK840" s="237">
        <f>COUNTIFS('Form Details'!$W:$W,"Due",'Form Details'!$N:$N,"Ganesh",'Form Details'!$J:$J,$C840,'Form Details'!$D:$D,'Adv. Filter'!$A$14,'Form Details'!$D:$D,'Adv. Filter'!$B$14)</f>
        <v>0</v>
      </c>
      <c r="AL840" s="238"/>
      <c r="AM840" s="238"/>
      <c r="AN840" s="238"/>
      <c r="AO840" s="238"/>
      <c r="AP840" s="238"/>
      <c r="AQ840" s="239"/>
      <c r="AR840" s="237">
        <f>COUNTIFS('Form Details'!$W:$W,"No Fee",'Form Details'!$N:$N,"Ganesh",'Form Details'!$J:$J,$C840,'Form Details'!$D:$D,'Adv. Filter'!$A$14,'Form Details'!$D:$D,'Adv. Filter'!$B$14)</f>
        <v>0</v>
      </c>
      <c r="AS840" s="238"/>
      <c r="AT840" s="238"/>
      <c r="AU840" s="238"/>
      <c r="AV840" s="238"/>
      <c r="AW840" s="238"/>
      <c r="AX840" s="239"/>
      <c r="AY840" s="237">
        <f>COUNTIFS('Form Details'!$W:$W,"Paid/Reject",'Form Details'!$N:$N,"Ganesh",'Form Details'!$J:$J,$C840,'Form Details'!$D:$D,'Adv. Filter'!$A$14,'Form Details'!$D:$D,'Adv. Filter'!$B$14)</f>
        <v>0</v>
      </c>
      <c r="AZ840" s="238"/>
      <c r="BA840" s="238"/>
      <c r="BB840" s="238"/>
      <c r="BC840" s="238"/>
      <c r="BD840" s="238"/>
      <c r="BE840" s="239"/>
      <c r="BF840" s="237">
        <f>COUNTIFS('Form Details'!$W:$W,"Staff",'Form Details'!$N:$N,"Ganesh",'Form Details'!$J:$J,$C840,'Form Details'!$D:$D,'Adv. Filter'!$A$14,'Form Details'!$D:$D,'Adv. Filter'!$B$14)</f>
        <v>0</v>
      </c>
      <c r="BG840" s="238"/>
      <c r="BH840" s="238"/>
      <c r="BI840" s="238"/>
      <c r="BJ840" s="238"/>
      <c r="BK840" s="238"/>
      <c r="BL840" s="239"/>
      <c r="BM840" s="237">
        <f>COUNTIFS('Form Details'!$W:$W,"File in Office",'Form Details'!$N:$N,"Ganesh",'Form Details'!$J:$J,$C840,'Form Details'!$D:$D,'Adv. Filter'!$A$14,'Form Details'!$D:$D,'Adv. Filter'!$B$14)</f>
        <v>0</v>
      </c>
      <c r="BN840" s="238"/>
      <c r="BO840" s="238"/>
      <c r="BP840" s="238"/>
      <c r="BQ840" s="238"/>
      <c r="BR840" s="238"/>
      <c r="BS840" s="239"/>
      <c r="BT840" s="100"/>
      <c r="BU840" s="237">
        <f>COUNTIFS('Form Details'!$AA:$AA,"No",'Form Details'!$N:$N,"Ganesh",'Form Details'!$J:$J,$C840,'Form Details'!$D:$D,'Adv. Filter'!$A$14,'Form Details'!$D:$D,'Adv. Filter'!$B$14)</f>
        <v>0</v>
      </c>
      <c r="BV840" s="238"/>
      <c r="BW840" s="238"/>
      <c r="BX840" s="238"/>
      <c r="BY840" s="238"/>
      <c r="BZ840" s="238"/>
      <c r="CA840" s="239"/>
      <c r="CB840" s="237">
        <f>COUNTIFS('Form Details'!$W:$W,"Adv/Paid",'Form Details'!$N:$N,"Ganesh",'Form Details'!$J:$J,$C840,'Form Details'!$D:$D,'Adv. Filter'!$A$14,'Form Details'!$D:$D,'Adv. Filter'!$B$14)</f>
        <v>0</v>
      </c>
      <c r="CC840" s="238"/>
      <c r="CD840" s="238"/>
      <c r="CE840" s="238"/>
      <c r="CF840" s="238"/>
      <c r="CG840" s="238"/>
      <c r="CH840" s="239"/>
      <c r="CI840" s="237">
        <f>COUNTIFS('Form Details'!$W:$W,"Adv/Paid/Reject",'Form Details'!$N:$N,"Ganesh",'Form Details'!$J:$J,$C840,'Form Details'!$D:$D,'Adv. Filter'!$A$14,'Form Details'!$D:$D,'Adv. Filter'!$B$14)</f>
        <v>0</v>
      </c>
      <c r="CJ840" s="238"/>
      <c r="CK840" s="238"/>
      <c r="CL840" s="238"/>
      <c r="CM840" s="238"/>
      <c r="CN840" s="238"/>
      <c r="CO840" s="239"/>
      <c r="CP840" s="237">
        <f>COUNTIFS('Form Details'!$W:$W,"Reject",'Form Details'!$N:$N,"Ganesh",'Form Details'!$J:$J,$C840,'Form Details'!$D:$D,'Adv. Filter'!$A$14,'Form Details'!$D:$D,'Adv. Filter'!$B$14)</f>
        <v>0</v>
      </c>
      <c r="CQ840" s="238"/>
      <c r="CR840" s="238"/>
      <c r="CS840" s="238"/>
      <c r="CT840" s="238"/>
      <c r="CU840" s="238"/>
      <c r="CV840" s="239"/>
      <c r="CW840" s="237">
        <f>COUNTIFS('Form Details'!$W:$W,"Adv/Paid/Pending",'Form Details'!$N:$N,"Ganesh",'Form Details'!$J:$J,$C840,'Form Details'!$D:$D,'Adv. Filter'!$A$14,'Form Details'!$D:$D,'Adv. Filter'!$B$14)</f>
        <v>0</v>
      </c>
      <c r="CX840" s="238"/>
      <c r="CY840" s="238"/>
      <c r="CZ840" s="238"/>
      <c r="DA840" s="238"/>
      <c r="DB840" s="238"/>
      <c r="DC840" s="239"/>
      <c r="DD840" s="237">
        <f>COUNTIFS('Form Details'!$W:$W,"Pending",'Form Details'!$N:$N,"Ganesh",'Form Details'!$J:$J,$C840,'Form Details'!$D:$D,'Adv. Filter'!$A$14,'Form Details'!$D:$D,'Adv. Filter'!$B$14)</f>
        <v>0</v>
      </c>
      <c r="DE840" s="238"/>
      <c r="DF840" s="238"/>
      <c r="DG840" s="238"/>
      <c r="DH840" s="238"/>
      <c r="DI840" s="238"/>
      <c r="DJ840" s="239"/>
      <c r="DK840" s="237">
        <f>COUNTIFS('Form Details'!$W:$W,"Adv/Paid/NoStatus",'Form Details'!$N:$N,"Ganesh",'Form Details'!$J:$J,$C840,'Form Details'!$D:$D,'Adv. Filter'!$A$14,'Form Details'!$D:$D,'Adv. Filter'!$B$14)</f>
        <v>0</v>
      </c>
      <c r="DL840" s="238"/>
      <c r="DM840" s="238"/>
      <c r="DN840" s="238"/>
      <c r="DO840" s="238"/>
      <c r="DP840" s="238"/>
      <c r="DQ840" s="239"/>
      <c r="DR840" s="237">
        <f>COUNTIFS('Form Details'!$W:$W,"No Status",'Form Details'!$N:$N,"Ganesh",'Form Details'!$J:$J,$C840,'Form Details'!$D:$D,'Adv. Filter'!$A$14,'Form Details'!$D:$D,'Adv. Filter'!$B$14)</f>
        <v>0</v>
      </c>
      <c r="DS840" s="238"/>
      <c r="DT840" s="238"/>
      <c r="DU840" s="238"/>
      <c r="DV840" s="238"/>
      <c r="DW840" s="238"/>
      <c r="DX840" s="239"/>
      <c r="DY840" s="237">
        <f>SUM(COUNTIFS('Form Details'!$W:$W,{"Wrong Entry ","Double Entry"},'Form Details'!$N:$N,"Ganesh",'Form Details'!$J:$J,$C840,'Form Details'!$D:$D,'Adv. Filter'!$A$14,'Form Details'!$D:$D,'Adv. Filter'!$B$14))</f>
        <v>0</v>
      </c>
      <c r="DZ840" s="238"/>
      <c r="EA840" s="238"/>
      <c r="EB840" s="238"/>
      <c r="EC840" s="238"/>
      <c r="ED840" s="238"/>
      <c r="EE840" s="239"/>
    </row>
    <row r="841" spans="3:135" hidden="1">
      <c r="C841" s="248" t="s">
        <v>59</v>
      </c>
      <c r="D841" s="249"/>
      <c r="E841" s="249"/>
      <c r="F841" s="249"/>
      <c r="G841" s="249"/>
      <c r="H841" s="249"/>
      <c r="I841" s="249"/>
      <c r="J841" s="249"/>
      <c r="K841" s="249"/>
      <c r="L841" s="249"/>
      <c r="M841" s="249"/>
      <c r="N841" s="249"/>
      <c r="O841" s="237">
        <f>SUM(COUNTIFS('Form Details'!$AA:$AA,{"Yes","No","-"},'Form Details'!$N:$N,"Ganesh",'Form Details'!$J:$J,$C841,'Form Details'!$D:$D,'Adv. Filter'!$A$14,'Form Details'!$D:$D,'Adv. Filter'!$B$14))</f>
        <v>0</v>
      </c>
      <c r="P841" s="238"/>
      <c r="Q841" s="238"/>
      <c r="R841" s="238"/>
      <c r="S841" s="238"/>
      <c r="T841" s="238"/>
      <c r="U841" s="239"/>
      <c r="V841" s="100"/>
      <c r="W841" s="237">
        <f>COUNTIFS('Form Details'!$AA:$AA,"Yes",'Form Details'!$N:$N,"Ganesh",'Form Details'!$J:$J,$C841,'Form Details'!$D:$D,'Adv. Filter'!$A$14,'Form Details'!$D:$D,'Adv. Filter'!$B$14)</f>
        <v>0</v>
      </c>
      <c r="X841" s="238"/>
      <c r="Y841" s="238"/>
      <c r="Z841" s="238"/>
      <c r="AA841" s="238"/>
      <c r="AB841" s="238"/>
      <c r="AC841" s="239"/>
      <c r="AD841" s="237">
        <f>COUNTIFS('Form Details'!$W:$W,"Paid",'Form Details'!$N:$N,"Ganesh",'Form Details'!$J:$J,$C841,'Form Details'!$D:$D,'Adv. Filter'!$A$14,'Form Details'!$D:$D,'Adv. Filter'!$B$14)</f>
        <v>0</v>
      </c>
      <c r="AE841" s="238"/>
      <c r="AF841" s="238"/>
      <c r="AG841" s="238"/>
      <c r="AH841" s="238"/>
      <c r="AI841" s="238"/>
      <c r="AJ841" s="239"/>
      <c r="AK841" s="237">
        <f>COUNTIFS('Form Details'!$W:$W,"Due",'Form Details'!$N:$N,"Ganesh",'Form Details'!$J:$J,$C841,'Form Details'!$D:$D,'Adv. Filter'!$A$14,'Form Details'!$D:$D,'Adv. Filter'!$B$14)</f>
        <v>0</v>
      </c>
      <c r="AL841" s="238"/>
      <c r="AM841" s="238"/>
      <c r="AN841" s="238"/>
      <c r="AO841" s="238"/>
      <c r="AP841" s="238"/>
      <c r="AQ841" s="239"/>
      <c r="AR841" s="237">
        <f>COUNTIFS('Form Details'!$W:$W,"No Fee",'Form Details'!$N:$N,"Ganesh",'Form Details'!$J:$J,$C841,'Form Details'!$D:$D,'Adv. Filter'!$A$14,'Form Details'!$D:$D,'Adv. Filter'!$B$14)</f>
        <v>0</v>
      </c>
      <c r="AS841" s="238"/>
      <c r="AT841" s="238"/>
      <c r="AU841" s="238"/>
      <c r="AV841" s="238"/>
      <c r="AW841" s="238"/>
      <c r="AX841" s="239"/>
      <c r="AY841" s="237">
        <f>COUNTIFS('Form Details'!$W:$W,"Paid/Reject",'Form Details'!$N:$N,"Ganesh",'Form Details'!$J:$J,$C841,'Form Details'!$D:$D,'Adv. Filter'!$A$14,'Form Details'!$D:$D,'Adv. Filter'!$B$14)</f>
        <v>0</v>
      </c>
      <c r="AZ841" s="238"/>
      <c r="BA841" s="238"/>
      <c r="BB841" s="238"/>
      <c r="BC841" s="238"/>
      <c r="BD841" s="238"/>
      <c r="BE841" s="239"/>
      <c r="BF841" s="237">
        <f>COUNTIFS('Form Details'!$W:$W,"Staff",'Form Details'!$N:$N,"Ganesh",'Form Details'!$J:$J,$C841,'Form Details'!$D:$D,'Adv. Filter'!$A$14,'Form Details'!$D:$D,'Adv. Filter'!$B$14)</f>
        <v>0</v>
      </c>
      <c r="BG841" s="238"/>
      <c r="BH841" s="238"/>
      <c r="BI841" s="238"/>
      <c r="BJ841" s="238"/>
      <c r="BK841" s="238"/>
      <c r="BL841" s="239"/>
      <c r="BM841" s="237">
        <f>COUNTIFS('Form Details'!$W:$W,"File in Office",'Form Details'!$N:$N,"Ganesh",'Form Details'!$J:$J,$C841,'Form Details'!$D:$D,'Adv. Filter'!$A$14,'Form Details'!$D:$D,'Adv. Filter'!$B$14)</f>
        <v>0</v>
      </c>
      <c r="BN841" s="238"/>
      <c r="BO841" s="238"/>
      <c r="BP841" s="238"/>
      <c r="BQ841" s="238"/>
      <c r="BR841" s="238"/>
      <c r="BS841" s="239"/>
      <c r="BT841" s="100"/>
      <c r="BU841" s="237">
        <f>COUNTIFS('Form Details'!$AA:$AA,"No",'Form Details'!$N:$N,"Ganesh",'Form Details'!$J:$J,$C841,'Form Details'!$D:$D,'Adv. Filter'!$A$14,'Form Details'!$D:$D,'Adv. Filter'!$B$14)</f>
        <v>0</v>
      </c>
      <c r="BV841" s="238"/>
      <c r="BW841" s="238"/>
      <c r="BX841" s="238"/>
      <c r="BY841" s="238"/>
      <c r="BZ841" s="238"/>
      <c r="CA841" s="239"/>
      <c r="CB841" s="237">
        <f>COUNTIFS('Form Details'!$W:$W,"Adv/Paid",'Form Details'!$N:$N,"Ganesh",'Form Details'!$J:$J,$C841,'Form Details'!$D:$D,'Adv. Filter'!$A$14,'Form Details'!$D:$D,'Adv. Filter'!$B$14)</f>
        <v>0</v>
      </c>
      <c r="CC841" s="238"/>
      <c r="CD841" s="238"/>
      <c r="CE841" s="238"/>
      <c r="CF841" s="238"/>
      <c r="CG841" s="238"/>
      <c r="CH841" s="239"/>
      <c r="CI841" s="237">
        <f>COUNTIFS('Form Details'!$W:$W,"Adv/Paid/Reject",'Form Details'!$N:$N,"Ganesh",'Form Details'!$J:$J,$C841,'Form Details'!$D:$D,'Adv. Filter'!$A$14,'Form Details'!$D:$D,'Adv. Filter'!$B$14)</f>
        <v>0</v>
      </c>
      <c r="CJ841" s="238"/>
      <c r="CK841" s="238"/>
      <c r="CL841" s="238"/>
      <c r="CM841" s="238"/>
      <c r="CN841" s="238"/>
      <c r="CO841" s="239"/>
      <c r="CP841" s="237">
        <f>COUNTIFS('Form Details'!$W:$W,"Reject",'Form Details'!$N:$N,"Ganesh",'Form Details'!$J:$J,$C841,'Form Details'!$D:$D,'Adv. Filter'!$A$14,'Form Details'!$D:$D,'Adv. Filter'!$B$14)</f>
        <v>0</v>
      </c>
      <c r="CQ841" s="238"/>
      <c r="CR841" s="238"/>
      <c r="CS841" s="238"/>
      <c r="CT841" s="238"/>
      <c r="CU841" s="238"/>
      <c r="CV841" s="239"/>
      <c r="CW841" s="237">
        <f>COUNTIFS('Form Details'!$W:$W,"Adv/Paid/Pending",'Form Details'!$N:$N,"Ganesh",'Form Details'!$J:$J,$C841,'Form Details'!$D:$D,'Adv. Filter'!$A$14,'Form Details'!$D:$D,'Adv. Filter'!$B$14)</f>
        <v>0</v>
      </c>
      <c r="CX841" s="238"/>
      <c r="CY841" s="238"/>
      <c r="CZ841" s="238"/>
      <c r="DA841" s="238"/>
      <c r="DB841" s="238"/>
      <c r="DC841" s="239"/>
      <c r="DD841" s="237">
        <f>COUNTIFS('Form Details'!$W:$W,"Pending",'Form Details'!$N:$N,"Ganesh",'Form Details'!$J:$J,$C841,'Form Details'!$D:$D,'Adv. Filter'!$A$14,'Form Details'!$D:$D,'Adv. Filter'!$B$14)</f>
        <v>0</v>
      </c>
      <c r="DE841" s="238"/>
      <c r="DF841" s="238"/>
      <c r="DG841" s="238"/>
      <c r="DH841" s="238"/>
      <c r="DI841" s="238"/>
      <c r="DJ841" s="239"/>
      <c r="DK841" s="237">
        <f>COUNTIFS('Form Details'!$W:$W,"Adv/Paid/NoStatus",'Form Details'!$N:$N,"Ganesh",'Form Details'!$J:$J,$C841,'Form Details'!$D:$D,'Adv. Filter'!$A$14,'Form Details'!$D:$D,'Adv. Filter'!$B$14)</f>
        <v>0</v>
      </c>
      <c r="DL841" s="238"/>
      <c r="DM841" s="238"/>
      <c r="DN841" s="238"/>
      <c r="DO841" s="238"/>
      <c r="DP841" s="238"/>
      <c r="DQ841" s="239"/>
      <c r="DR841" s="237">
        <f>COUNTIFS('Form Details'!$W:$W,"No Status",'Form Details'!$N:$N,"Ganesh",'Form Details'!$J:$J,$C841,'Form Details'!$D:$D,'Adv. Filter'!$A$14,'Form Details'!$D:$D,'Adv. Filter'!$B$14)</f>
        <v>0</v>
      </c>
      <c r="DS841" s="238"/>
      <c r="DT841" s="238"/>
      <c r="DU841" s="238"/>
      <c r="DV841" s="238"/>
      <c r="DW841" s="238"/>
      <c r="DX841" s="239"/>
      <c r="DY841" s="237">
        <f>SUM(COUNTIFS('Form Details'!$W:$W,{"Wrong Entry ","Double Entry"},'Form Details'!$N:$N,"Ganesh",'Form Details'!$J:$J,$C841,'Form Details'!$D:$D,'Adv. Filter'!$A$14,'Form Details'!$D:$D,'Adv. Filter'!$B$14))</f>
        <v>0</v>
      </c>
      <c r="DZ841" s="238"/>
      <c r="EA841" s="238"/>
      <c r="EB841" s="238"/>
      <c r="EC841" s="238"/>
      <c r="ED841" s="238"/>
      <c r="EE841" s="239"/>
    </row>
    <row r="842" spans="3:135" hidden="1">
      <c r="C842" s="248" t="s">
        <v>70</v>
      </c>
      <c r="D842" s="249"/>
      <c r="E842" s="249"/>
      <c r="F842" s="249"/>
      <c r="G842" s="249"/>
      <c r="H842" s="249"/>
      <c r="I842" s="249"/>
      <c r="J842" s="249"/>
      <c r="K842" s="249"/>
      <c r="L842" s="249"/>
      <c r="M842" s="249"/>
      <c r="N842" s="249"/>
      <c r="O842" s="237">
        <f>SUM(COUNTIFS('Form Details'!$AA:$AA,{"Yes","No","-"},'Form Details'!$N:$N,"Ganesh",'Form Details'!$J:$J,$C842,'Form Details'!$D:$D,'Adv. Filter'!$A$14,'Form Details'!$D:$D,'Adv. Filter'!$B$14))</f>
        <v>0</v>
      </c>
      <c r="P842" s="238"/>
      <c r="Q842" s="238"/>
      <c r="R842" s="238"/>
      <c r="S842" s="238"/>
      <c r="T842" s="238"/>
      <c r="U842" s="239"/>
      <c r="V842" s="100"/>
      <c r="W842" s="237">
        <f>COUNTIFS('Form Details'!$AA:$AA,"Yes",'Form Details'!$N:$N,"Ganesh",'Form Details'!$J:$J,$C842,'Form Details'!$D:$D,'Adv. Filter'!$A$14,'Form Details'!$D:$D,'Adv. Filter'!$B$14)</f>
        <v>0</v>
      </c>
      <c r="X842" s="238"/>
      <c r="Y842" s="238"/>
      <c r="Z842" s="238"/>
      <c r="AA842" s="238"/>
      <c r="AB842" s="238"/>
      <c r="AC842" s="239"/>
      <c r="AD842" s="237">
        <f>COUNTIFS('Form Details'!$W:$W,"Paid",'Form Details'!$N:$N,"Ganesh",'Form Details'!$J:$J,$C842,'Form Details'!$D:$D,'Adv. Filter'!$A$14,'Form Details'!$D:$D,'Adv. Filter'!$B$14)</f>
        <v>0</v>
      </c>
      <c r="AE842" s="238"/>
      <c r="AF842" s="238"/>
      <c r="AG842" s="238"/>
      <c r="AH842" s="238"/>
      <c r="AI842" s="238"/>
      <c r="AJ842" s="239"/>
      <c r="AK842" s="237">
        <f>COUNTIFS('Form Details'!$W:$W,"Due",'Form Details'!$N:$N,"Ganesh",'Form Details'!$J:$J,$C842,'Form Details'!$D:$D,'Adv. Filter'!$A$14,'Form Details'!$D:$D,'Adv. Filter'!$B$14)</f>
        <v>0</v>
      </c>
      <c r="AL842" s="238"/>
      <c r="AM842" s="238"/>
      <c r="AN842" s="238"/>
      <c r="AO842" s="238"/>
      <c r="AP842" s="238"/>
      <c r="AQ842" s="239"/>
      <c r="AR842" s="237">
        <f>COUNTIFS('Form Details'!$W:$W,"No Fee",'Form Details'!$N:$N,"Ganesh",'Form Details'!$J:$J,$C842,'Form Details'!$D:$D,'Adv. Filter'!$A$14,'Form Details'!$D:$D,'Adv. Filter'!$B$14)</f>
        <v>0</v>
      </c>
      <c r="AS842" s="238"/>
      <c r="AT842" s="238"/>
      <c r="AU842" s="238"/>
      <c r="AV842" s="238"/>
      <c r="AW842" s="238"/>
      <c r="AX842" s="239"/>
      <c r="AY842" s="237">
        <f>COUNTIFS('Form Details'!$W:$W,"Paid/Reject",'Form Details'!$N:$N,"Ganesh",'Form Details'!$J:$J,$C842,'Form Details'!$D:$D,'Adv. Filter'!$A$14,'Form Details'!$D:$D,'Adv. Filter'!$B$14)</f>
        <v>0</v>
      </c>
      <c r="AZ842" s="238"/>
      <c r="BA842" s="238"/>
      <c r="BB842" s="238"/>
      <c r="BC842" s="238"/>
      <c r="BD842" s="238"/>
      <c r="BE842" s="239"/>
      <c r="BF842" s="237">
        <f>COUNTIFS('Form Details'!$W:$W,"Staff",'Form Details'!$N:$N,"Ganesh",'Form Details'!$J:$J,$C842,'Form Details'!$D:$D,'Adv. Filter'!$A$14,'Form Details'!$D:$D,'Adv. Filter'!$B$14)</f>
        <v>0</v>
      </c>
      <c r="BG842" s="238"/>
      <c r="BH842" s="238"/>
      <c r="BI842" s="238"/>
      <c r="BJ842" s="238"/>
      <c r="BK842" s="238"/>
      <c r="BL842" s="239"/>
      <c r="BM842" s="237">
        <f>COUNTIFS('Form Details'!$W:$W,"File in Office",'Form Details'!$N:$N,"Ganesh",'Form Details'!$J:$J,$C842,'Form Details'!$D:$D,'Adv. Filter'!$A$14,'Form Details'!$D:$D,'Adv. Filter'!$B$14)</f>
        <v>0</v>
      </c>
      <c r="BN842" s="238"/>
      <c r="BO842" s="238"/>
      <c r="BP842" s="238"/>
      <c r="BQ842" s="238"/>
      <c r="BR842" s="238"/>
      <c r="BS842" s="239"/>
      <c r="BT842" s="100"/>
      <c r="BU842" s="237">
        <f>COUNTIFS('Form Details'!$AA:$AA,"No",'Form Details'!$N:$N,"Ganesh",'Form Details'!$J:$J,$C842,'Form Details'!$D:$D,'Adv. Filter'!$A$14,'Form Details'!$D:$D,'Adv. Filter'!$B$14)</f>
        <v>0</v>
      </c>
      <c r="BV842" s="238"/>
      <c r="BW842" s="238"/>
      <c r="BX842" s="238"/>
      <c r="BY842" s="238"/>
      <c r="BZ842" s="238"/>
      <c r="CA842" s="239"/>
      <c r="CB842" s="237">
        <f>COUNTIFS('Form Details'!$W:$W,"Adv/Paid",'Form Details'!$N:$N,"Ganesh",'Form Details'!$J:$J,$C842,'Form Details'!$D:$D,'Adv. Filter'!$A$14,'Form Details'!$D:$D,'Adv. Filter'!$B$14)</f>
        <v>0</v>
      </c>
      <c r="CC842" s="238"/>
      <c r="CD842" s="238"/>
      <c r="CE842" s="238"/>
      <c r="CF842" s="238"/>
      <c r="CG842" s="238"/>
      <c r="CH842" s="239"/>
      <c r="CI842" s="237">
        <f>COUNTIFS('Form Details'!$W:$W,"Adv/Paid/Reject",'Form Details'!$N:$N,"Ganesh",'Form Details'!$J:$J,$C842,'Form Details'!$D:$D,'Adv. Filter'!$A$14,'Form Details'!$D:$D,'Adv. Filter'!$B$14)</f>
        <v>0</v>
      </c>
      <c r="CJ842" s="238"/>
      <c r="CK842" s="238"/>
      <c r="CL842" s="238"/>
      <c r="CM842" s="238"/>
      <c r="CN842" s="238"/>
      <c r="CO842" s="239"/>
      <c r="CP842" s="237">
        <f>COUNTIFS('Form Details'!$W:$W,"Reject",'Form Details'!$N:$N,"Ganesh",'Form Details'!$J:$J,$C842,'Form Details'!$D:$D,'Adv. Filter'!$A$14,'Form Details'!$D:$D,'Adv. Filter'!$B$14)</f>
        <v>0</v>
      </c>
      <c r="CQ842" s="238"/>
      <c r="CR842" s="238"/>
      <c r="CS842" s="238"/>
      <c r="CT842" s="238"/>
      <c r="CU842" s="238"/>
      <c r="CV842" s="239"/>
      <c r="CW842" s="237">
        <f>COUNTIFS('Form Details'!$W:$W,"Adv/Paid/Pending",'Form Details'!$N:$N,"Ganesh",'Form Details'!$J:$J,$C842,'Form Details'!$D:$D,'Adv. Filter'!$A$14,'Form Details'!$D:$D,'Adv. Filter'!$B$14)</f>
        <v>0</v>
      </c>
      <c r="CX842" s="238"/>
      <c r="CY842" s="238"/>
      <c r="CZ842" s="238"/>
      <c r="DA842" s="238"/>
      <c r="DB842" s="238"/>
      <c r="DC842" s="239"/>
      <c r="DD842" s="237">
        <f>COUNTIFS('Form Details'!$W:$W,"Pending",'Form Details'!$N:$N,"Ganesh",'Form Details'!$J:$J,$C842,'Form Details'!$D:$D,'Adv. Filter'!$A$14,'Form Details'!$D:$D,'Adv. Filter'!$B$14)</f>
        <v>0</v>
      </c>
      <c r="DE842" s="238"/>
      <c r="DF842" s="238"/>
      <c r="DG842" s="238"/>
      <c r="DH842" s="238"/>
      <c r="DI842" s="238"/>
      <c r="DJ842" s="239"/>
      <c r="DK842" s="237">
        <f>COUNTIFS('Form Details'!$W:$W,"Adv/Paid/NoStatus",'Form Details'!$N:$N,"Ganesh",'Form Details'!$J:$J,$C842,'Form Details'!$D:$D,'Adv. Filter'!$A$14,'Form Details'!$D:$D,'Adv. Filter'!$B$14)</f>
        <v>0</v>
      </c>
      <c r="DL842" s="238"/>
      <c r="DM842" s="238"/>
      <c r="DN842" s="238"/>
      <c r="DO842" s="238"/>
      <c r="DP842" s="238"/>
      <c r="DQ842" s="239"/>
      <c r="DR842" s="237">
        <f>COUNTIFS('Form Details'!$W:$W,"No Status",'Form Details'!$N:$N,"Ganesh",'Form Details'!$J:$J,$C842,'Form Details'!$D:$D,'Adv. Filter'!$A$14,'Form Details'!$D:$D,'Adv. Filter'!$B$14)</f>
        <v>0</v>
      </c>
      <c r="DS842" s="238"/>
      <c r="DT842" s="238"/>
      <c r="DU842" s="238"/>
      <c r="DV842" s="238"/>
      <c r="DW842" s="238"/>
      <c r="DX842" s="239"/>
      <c r="DY842" s="237">
        <f>SUM(COUNTIFS('Form Details'!$W:$W,{"Wrong Entry ","Double Entry"},'Form Details'!$N:$N,"Ganesh",'Form Details'!$J:$J,$C842,'Form Details'!$D:$D,'Adv. Filter'!$A$14,'Form Details'!$D:$D,'Adv. Filter'!$B$14))</f>
        <v>0</v>
      </c>
      <c r="DZ842" s="238"/>
      <c r="EA842" s="238"/>
      <c r="EB842" s="238"/>
      <c r="EC842" s="238"/>
      <c r="ED842" s="238"/>
      <c r="EE842" s="239"/>
    </row>
    <row r="843" spans="3:135" hidden="1">
      <c r="C843" s="248" t="s">
        <v>77</v>
      </c>
      <c r="D843" s="249"/>
      <c r="E843" s="249"/>
      <c r="F843" s="249"/>
      <c r="G843" s="249"/>
      <c r="H843" s="249"/>
      <c r="I843" s="249"/>
      <c r="J843" s="249"/>
      <c r="K843" s="249"/>
      <c r="L843" s="249"/>
      <c r="M843" s="249"/>
      <c r="N843" s="249"/>
      <c r="O843" s="237">
        <f>SUM(COUNTIFS('Form Details'!$AA:$AA,{"Yes","No","-"},'Form Details'!$N:$N,"Ganesh",'Form Details'!$J:$J,$C843,'Form Details'!$D:$D,'Adv. Filter'!$A$14,'Form Details'!$D:$D,'Adv. Filter'!$B$14))</f>
        <v>0</v>
      </c>
      <c r="P843" s="238"/>
      <c r="Q843" s="238"/>
      <c r="R843" s="238"/>
      <c r="S843" s="238"/>
      <c r="T843" s="238"/>
      <c r="U843" s="239"/>
      <c r="V843" s="100"/>
      <c r="W843" s="237">
        <f>COUNTIFS('Form Details'!$AA:$AA,"Yes",'Form Details'!$N:$N,"Ganesh",'Form Details'!$J:$J,$C843,'Form Details'!$D:$D,'Adv. Filter'!$A$14,'Form Details'!$D:$D,'Adv. Filter'!$B$14)</f>
        <v>0</v>
      </c>
      <c r="X843" s="238"/>
      <c r="Y843" s="238"/>
      <c r="Z843" s="238"/>
      <c r="AA843" s="238"/>
      <c r="AB843" s="238"/>
      <c r="AC843" s="239"/>
      <c r="AD843" s="237">
        <f>COUNTIFS('Form Details'!$W:$W,"Paid",'Form Details'!$N:$N,"Ganesh",'Form Details'!$J:$J,$C843,'Form Details'!$D:$D,'Adv. Filter'!$A$14,'Form Details'!$D:$D,'Adv. Filter'!$B$14)</f>
        <v>0</v>
      </c>
      <c r="AE843" s="238"/>
      <c r="AF843" s="238"/>
      <c r="AG843" s="238"/>
      <c r="AH843" s="238"/>
      <c r="AI843" s="238"/>
      <c r="AJ843" s="239"/>
      <c r="AK843" s="237">
        <f>COUNTIFS('Form Details'!$W:$W,"Due",'Form Details'!$N:$N,"Ganesh",'Form Details'!$J:$J,$C843,'Form Details'!$D:$D,'Adv. Filter'!$A$14,'Form Details'!$D:$D,'Adv. Filter'!$B$14)</f>
        <v>0</v>
      </c>
      <c r="AL843" s="238"/>
      <c r="AM843" s="238"/>
      <c r="AN843" s="238"/>
      <c r="AO843" s="238"/>
      <c r="AP843" s="238"/>
      <c r="AQ843" s="239"/>
      <c r="AR843" s="237">
        <f>COUNTIFS('Form Details'!$W:$W,"No Fee",'Form Details'!$N:$N,"Ganesh",'Form Details'!$J:$J,$C843,'Form Details'!$D:$D,'Adv. Filter'!$A$14,'Form Details'!$D:$D,'Adv. Filter'!$B$14)</f>
        <v>0</v>
      </c>
      <c r="AS843" s="238"/>
      <c r="AT843" s="238"/>
      <c r="AU843" s="238"/>
      <c r="AV843" s="238"/>
      <c r="AW843" s="238"/>
      <c r="AX843" s="239"/>
      <c r="AY843" s="237">
        <f>COUNTIFS('Form Details'!$W:$W,"Paid/Reject",'Form Details'!$N:$N,"Ganesh",'Form Details'!$J:$J,$C843,'Form Details'!$D:$D,'Adv. Filter'!$A$14,'Form Details'!$D:$D,'Adv. Filter'!$B$14)</f>
        <v>0</v>
      </c>
      <c r="AZ843" s="238"/>
      <c r="BA843" s="238"/>
      <c r="BB843" s="238"/>
      <c r="BC843" s="238"/>
      <c r="BD843" s="238"/>
      <c r="BE843" s="239"/>
      <c r="BF843" s="237">
        <f>COUNTIFS('Form Details'!$W:$W,"Staff",'Form Details'!$N:$N,"Ganesh",'Form Details'!$J:$J,$C843,'Form Details'!$D:$D,'Adv. Filter'!$A$14,'Form Details'!$D:$D,'Adv. Filter'!$B$14)</f>
        <v>0</v>
      </c>
      <c r="BG843" s="238"/>
      <c r="BH843" s="238"/>
      <c r="BI843" s="238"/>
      <c r="BJ843" s="238"/>
      <c r="BK843" s="238"/>
      <c r="BL843" s="239"/>
      <c r="BM843" s="237">
        <f>COUNTIFS('Form Details'!$W:$W,"File in Office",'Form Details'!$N:$N,"Ganesh",'Form Details'!$J:$J,$C843,'Form Details'!$D:$D,'Adv. Filter'!$A$14,'Form Details'!$D:$D,'Adv. Filter'!$B$14)</f>
        <v>0</v>
      </c>
      <c r="BN843" s="238"/>
      <c r="BO843" s="238"/>
      <c r="BP843" s="238"/>
      <c r="BQ843" s="238"/>
      <c r="BR843" s="238"/>
      <c r="BS843" s="239"/>
      <c r="BT843" s="100"/>
      <c r="BU843" s="237">
        <f>COUNTIFS('Form Details'!$AA:$AA,"No",'Form Details'!$N:$N,"Ganesh",'Form Details'!$J:$J,$C843,'Form Details'!$D:$D,'Adv. Filter'!$A$14,'Form Details'!$D:$D,'Adv. Filter'!$B$14)</f>
        <v>0</v>
      </c>
      <c r="BV843" s="238"/>
      <c r="BW843" s="238"/>
      <c r="BX843" s="238"/>
      <c r="BY843" s="238"/>
      <c r="BZ843" s="238"/>
      <c r="CA843" s="239"/>
      <c r="CB843" s="237">
        <f>COUNTIFS('Form Details'!$W:$W,"Adv/Paid",'Form Details'!$N:$N,"Ganesh",'Form Details'!$J:$J,$C843,'Form Details'!$D:$D,'Adv. Filter'!$A$14,'Form Details'!$D:$D,'Adv. Filter'!$B$14)</f>
        <v>0</v>
      </c>
      <c r="CC843" s="238"/>
      <c r="CD843" s="238"/>
      <c r="CE843" s="238"/>
      <c r="CF843" s="238"/>
      <c r="CG843" s="238"/>
      <c r="CH843" s="239"/>
      <c r="CI843" s="237">
        <f>COUNTIFS('Form Details'!$W:$W,"Adv/Paid/Reject",'Form Details'!$N:$N,"Ganesh",'Form Details'!$J:$J,$C843,'Form Details'!$D:$D,'Adv. Filter'!$A$14,'Form Details'!$D:$D,'Adv. Filter'!$B$14)</f>
        <v>0</v>
      </c>
      <c r="CJ843" s="238"/>
      <c r="CK843" s="238"/>
      <c r="CL843" s="238"/>
      <c r="CM843" s="238"/>
      <c r="CN843" s="238"/>
      <c r="CO843" s="239"/>
      <c r="CP843" s="237">
        <f>COUNTIFS('Form Details'!$W:$W,"Reject",'Form Details'!$N:$N,"Ganesh",'Form Details'!$J:$J,$C843,'Form Details'!$D:$D,'Adv. Filter'!$A$14,'Form Details'!$D:$D,'Adv. Filter'!$B$14)</f>
        <v>0</v>
      </c>
      <c r="CQ843" s="238"/>
      <c r="CR843" s="238"/>
      <c r="CS843" s="238"/>
      <c r="CT843" s="238"/>
      <c r="CU843" s="238"/>
      <c r="CV843" s="239"/>
      <c r="CW843" s="237">
        <f>COUNTIFS('Form Details'!$W:$W,"Adv/Paid/Pending",'Form Details'!$N:$N,"Ganesh",'Form Details'!$J:$J,$C843,'Form Details'!$D:$D,'Adv. Filter'!$A$14,'Form Details'!$D:$D,'Adv. Filter'!$B$14)</f>
        <v>0</v>
      </c>
      <c r="CX843" s="238"/>
      <c r="CY843" s="238"/>
      <c r="CZ843" s="238"/>
      <c r="DA843" s="238"/>
      <c r="DB843" s="238"/>
      <c r="DC843" s="239"/>
      <c r="DD843" s="237">
        <f>COUNTIFS('Form Details'!$W:$W,"Pending",'Form Details'!$N:$N,"Ganesh",'Form Details'!$J:$J,$C843,'Form Details'!$D:$D,'Adv. Filter'!$A$14,'Form Details'!$D:$D,'Adv. Filter'!$B$14)</f>
        <v>0</v>
      </c>
      <c r="DE843" s="238"/>
      <c r="DF843" s="238"/>
      <c r="DG843" s="238"/>
      <c r="DH843" s="238"/>
      <c r="DI843" s="238"/>
      <c r="DJ843" s="239"/>
      <c r="DK843" s="237">
        <f>COUNTIFS('Form Details'!$W:$W,"Adv/Paid/NoStatus",'Form Details'!$N:$N,"Ganesh",'Form Details'!$J:$J,$C843,'Form Details'!$D:$D,'Adv. Filter'!$A$14,'Form Details'!$D:$D,'Adv. Filter'!$B$14)</f>
        <v>0</v>
      </c>
      <c r="DL843" s="238"/>
      <c r="DM843" s="238"/>
      <c r="DN843" s="238"/>
      <c r="DO843" s="238"/>
      <c r="DP843" s="238"/>
      <c r="DQ843" s="239"/>
      <c r="DR843" s="237">
        <f>COUNTIFS('Form Details'!$W:$W,"No Status",'Form Details'!$N:$N,"Ganesh",'Form Details'!$J:$J,$C843,'Form Details'!$D:$D,'Adv. Filter'!$A$14,'Form Details'!$D:$D,'Adv. Filter'!$B$14)</f>
        <v>0</v>
      </c>
      <c r="DS843" s="238"/>
      <c r="DT843" s="238"/>
      <c r="DU843" s="238"/>
      <c r="DV843" s="238"/>
      <c r="DW843" s="238"/>
      <c r="DX843" s="239"/>
      <c r="DY843" s="237">
        <f>SUM(COUNTIFS('Form Details'!$W:$W,{"Wrong Entry ","Double Entry"},'Form Details'!$N:$N,"Ganesh",'Form Details'!$J:$J,$C843,'Form Details'!$D:$D,'Adv. Filter'!$A$14,'Form Details'!$D:$D,'Adv. Filter'!$B$14))</f>
        <v>0</v>
      </c>
      <c r="DZ843" s="238"/>
      <c r="EA843" s="238"/>
      <c r="EB843" s="238"/>
      <c r="EC843" s="238"/>
      <c r="ED843" s="238"/>
      <c r="EE843" s="239"/>
    </row>
    <row r="844" spans="3:135" hidden="1">
      <c r="C844" s="248" t="s">
        <v>138</v>
      </c>
      <c r="D844" s="249"/>
      <c r="E844" s="249"/>
      <c r="F844" s="249"/>
      <c r="G844" s="249"/>
      <c r="H844" s="249"/>
      <c r="I844" s="249"/>
      <c r="J844" s="249"/>
      <c r="K844" s="249"/>
      <c r="L844" s="249"/>
      <c r="M844" s="249"/>
      <c r="N844" s="249"/>
      <c r="O844" s="237">
        <f>SUM(COUNTIFS('Form Details'!$AA:$AA,{"Yes","No","-"},'Form Details'!$N:$N,"Ganesh",'Form Details'!$J:$J,$C844,'Form Details'!$D:$D,'Adv. Filter'!$A$14,'Form Details'!$D:$D,'Adv. Filter'!$B$14))</f>
        <v>0</v>
      </c>
      <c r="P844" s="238"/>
      <c r="Q844" s="238"/>
      <c r="R844" s="238"/>
      <c r="S844" s="238"/>
      <c r="T844" s="238"/>
      <c r="U844" s="239"/>
      <c r="V844" s="100"/>
      <c r="W844" s="237">
        <f>COUNTIFS('Form Details'!$AA:$AA,"Yes",'Form Details'!$N:$N,"Ganesh",'Form Details'!$J:$J,$C844,'Form Details'!$D:$D,'Adv. Filter'!$A$14,'Form Details'!$D:$D,'Adv. Filter'!$B$14)</f>
        <v>0</v>
      </c>
      <c r="X844" s="238"/>
      <c r="Y844" s="238"/>
      <c r="Z844" s="238"/>
      <c r="AA844" s="238"/>
      <c r="AB844" s="238"/>
      <c r="AC844" s="239"/>
      <c r="AD844" s="237">
        <f>COUNTIFS('Form Details'!$W:$W,"Paid",'Form Details'!$N:$N,"Ganesh",'Form Details'!$J:$J,$C844,'Form Details'!$D:$D,'Adv. Filter'!$A$14,'Form Details'!$D:$D,'Adv. Filter'!$B$14)</f>
        <v>0</v>
      </c>
      <c r="AE844" s="238"/>
      <c r="AF844" s="238"/>
      <c r="AG844" s="238"/>
      <c r="AH844" s="238"/>
      <c r="AI844" s="238"/>
      <c r="AJ844" s="239"/>
      <c r="AK844" s="237">
        <f>COUNTIFS('Form Details'!$W:$W,"Due",'Form Details'!$N:$N,"Ganesh",'Form Details'!$J:$J,$C844,'Form Details'!$D:$D,'Adv. Filter'!$A$14,'Form Details'!$D:$D,'Adv. Filter'!$B$14)</f>
        <v>0</v>
      </c>
      <c r="AL844" s="238"/>
      <c r="AM844" s="238"/>
      <c r="AN844" s="238"/>
      <c r="AO844" s="238"/>
      <c r="AP844" s="238"/>
      <c r="AQ844" s="239"/>
      <c r="AR844" s="237">
        <f>COUNTIFS('Form Details'!$W:$W,"No Fee",'Form Details'!$N:$N,"Ganesh",'Form Details'!$J:$J,$C844,'Form Details'!$D:$D,'Adv. Filter'!$A$14,'Form Details'!$D:$D,'Adv. Filter'!$B$14)</f>
        <v>0</v>
      </c>
      <c r="AS844" s="238"/>
      <c r="AT844" s="238"/>
      <c r="AU844" s="238"/>
      <c r="AV844" s="238"/>
      <c r="AW844" s="238"/>
      <c r="AX844" s="239"/>
      <c r="AY844" s="237">
        <f>COUNTIFS('Form Details'!$W:$W,"Paid/Reject",'Form Details'!$N:$N,"Ganesh",'Form Details'!$J:$J,$C844,'Form Details'!$D:$D,'Adv. Filter'!$A$14,'Form Details'!$D:$D,'Adv. Filter'!$B$14)</f>
        <v>0</v>
      </c>
      <c r="AZ844" s="238"/>
      <c r="BA844" s="238"/>
      <c r="BB844" s="238"/>
      <c r="BC844" s="238"/>
      <c r="BD844" s="238"/>
      <c r="BE844" s="239"/>
      <c r="BF844" s="237">
        <f>COUNTIFS('Form Details'!$W:$W,"Staff",'Form Details'!$N:$N,"Ganesh",'Form Details'!$J:$J,$C844,'Form Details'!$D:$D,'Adv. Filter'!$A$14,'Form Details'!$D:$D,'Adv. Filter'!$B$14)</f>
        <v>0</v>
      </c>
      <c r="BG844" s="238"/>
      <c r="BH844" s="238"/>
      <c r="BI844" s="238"/>
      <c r="BJ844" s="238"/>
      <c r="BK844" s="238"/>
      <c r="BL844" s="239"/>
      <c r="BM844" s="237">
        <f>COUNTIFS('Form Details'!$W:$W,"File in Office",'Form Details'!$N:$N,"Ganesh",'Form Details'!$J:$J,$C844,'Form Details'!$D:$D,'Adv. Filter'!$A$14,'Form Details'!$D:$D,'Adv. Filter'!$B$14)</f>
        <v>0</v>
      </c>
      <c r="BN844" s="238"/>
      <c r="BO844" s="238"/>
      <c r="BP844" s="238"/>
      <c r="BQ844" s="238"/>
      <c r="BR844" s="238"/>
      <c r="BS844" s="239"/>
      <c r="BT844" s="100"/>
      <c r="BU844" s="237">
        <f>COUNTIFS('Form Details'!$AA:$AA,"No",'Form Details'!$N:$N,"Ganesh",'Form Details'!$J:$J,$C844,'Form Details'!$D:$D,'Adv. Filter'!$A$14,'Form Details'!$D:$D,'Adv. Filter'!$B$14)</f>
        <v>0</v>
      </c>
      <c r="BV844" s="238"/>
      <c r="BW844" s="238"/>
      <c r="BX844" s="238"/>
      <c r="BY844" s="238"/>
      <c r="BZ844" s="238"/>
      <c r="CA844" s="239"/>
      <c r="CB844" s="237">
        <f>COUNTIFS('Form Details'!$W:$W,"Adv/Paid",'Form Details'!$N:$N,"Ganesh",'Form Details'!$J:$J,$C844,'Form Details'!$D:$D,'Adv. Filter'!$A$14,'Form Details'!$D:$D,'Adv. Filter'!$B$14)</f>
        <v>0</v>
      </c>
      <c r="CC844" s="238"/>
      <c r="CD844" s="238"/>
      <c r="CE844" s="238"/>
      <c r="CF844" s="238"/>
      <c r="CG844" s="238"/>
      <c r="CH844" s="239"/>
      <c r="CI844" s="237">
        <f>COUNTIFS('Form Details'!$W:$W,"Adv/Paid/Reject",'Form Details'!$N:$N,"Ganesh",'Form Details'!$J:$J,$C844,'Form Details'!$D:$D,'Adv. Filter'!$A$14,'Form Details'!$D:$D,'Adv. Filter'!$B$14)</f>
        <v>0</v>
      </c>
      <c r="CJ844" s="238"/>
      <c r="CK844" s="238"/>
      <c r="CL844" s="238"/>
      <c r="CM844" s="238"/>
      <c r="CN844" s="238"/>
      <c r="CO844" s="239"/>
      <c r="CP844" s="237">
        <f>COUNTIFS('Form Details'!$W:$W,"Reject",'Form Details'!$N:$N,"Ganesh",'Form Details'!$J:$J,$C844,'Form Details'!$D:$D,'Adv. Filter'!$A$14,'Form Details'!$D:$D,'Adv. Filter'!$B$14)</f>
        <v>0</v>
      </c>
      <c r="CQ844" s="238"/>
      <c r="CR844" s="238"/>
      <c r="CS844" s="238"/>
      <c r="CT844" s="238"/>
      <c r="CU844" s="238"/>
      <c r="CV844" s="239"/>
      <c r="CW844" s="237">
        <f>COUNTIFS('Form Details'!$W:$W,"Adv/Paid/Pending",'Form Details'!$N:$N,"Ganesh",'Form Details'!$J:$J,$C844,'Form Details'!$D:$D,'Adv. Filter'!$A$14,'Form Details'!$D:$D,'Adv. Filter'!$B$14)</f>
        <v>0</v>
      </c>
      <c r="CX844" s="238"/>
      <c r="CY844" s="238"/>
      <c r="CZ844" s="238"/>
      <c r="DA844" s="238"/>
      <c r="DB844" s="238"/>
      <c r="DC844" s="239"/>
      <c r="DD844" s="237">
        <f>COUNTIFS('Form Details'!$W:$W,"Pending",'Form Details'!$N:$N,"Ganesh",'Form Details'!$J:$J,$C844,'Form Details'!$D:$D,'Adv. Filter'!$A$14,'Form Details'!$D:$D,'Adv. Filter'!$B$14)</f>
        <v>0</v>
      </c>
      <c r="DE844" s="238"/>
      <c r="DF844" s="238"/>
      <c r="DG844" s="238"/>
      <c r="DH844" s="238"/>
      <c r="DI844" s="238"/>
      <c r="DJ844" s="239"/>
      <c r="DK844" s="237">
        <f>COUNTIFS('Form Details'!$W:$W,"Adv/Paid/NoStatus",'Form Details'!$N:$N,"Ganesh",'Form Details'!$J:$J,$C844,'Form Details'!$D:$D,'Adv. Filter'!$A$14,'Form Details'!$D:$D,'Adv. Filter'!$B$14)</f>
        <v>0</v>
      </c>
      <c r="DL844" s="238"/>
      <c r="DM844" s="238"/>
      <c r="DN844" s="238"/>
      <c r="DO844" s="238"/>
      <c r="DP844" s="238"/>
      <c r="DQ844" s="239"/>
      <c r="DR844" s="237">
        <f>COUNTIFS('Form Details'!$W:$W,"No Status",'Form Details'!$N:$N,"Ganesh",'Form Details'!$J:$J,$C844,'Form Details'!$D:$D,'Adv. Filter'!$A$14,'Form Details'!$D:$D,'Adv. Filter'!$B$14)</f>
        <v>0</v>
      </c>
      <c r="DS844" s="238"/>
      <c r="DT844" s="238"/>
      <c r="DU844" s="238"/>
      <c r="DV844" s="238"/>
      <c r="DW844" s="238"/>
      <c r="DX844" s="239"/>
      <c r="DY844" s="237">
        <f>SUM(COUNTIFS('Form Details'!$W:$W,{"Wrong Entry ","Double Entry"},'Form Details'!$N:$N,"Ganesh",'Form Details'!$J:$J,$C844,'Form Details'!$D:$D,'Adv. Filter'!$A$14,'Form Details'!$D:$D,'Adv. Filter'!$B$14))</f>
        <v>0</v>
      </c>
      <c r="DZ844" s="238"/>
      <c r="EA844" s="238"/>
      <c r="EB844" s="238"/>
      <c r="EC844" s="238"/>
      <c r="ED844" s="238"/>
      <c r="EE844" s="239"/>
    </row>
    <row r="845" spans="3:135" hidden="1">
      <c r="C845" s="248" t="s">
        <v>84</v>
      </c>
      <c r="D845" s="249"/>
      <c r="E845" s="249"/>
      <c r="F845" s="249"/>
      <c r="G845" s="249"/>
      <c r="H845" s="249"/>
      <c r="I845" s="249"/>
      <c r="J845" s="249"/>
      <c r="K845" s="249"/>
      <c r="L845" s="249"/>
      <c r="M845" s="249"/>
      <c r="N845" s="249"/>
      <c r="O845" s="237">
        <f>SUM(COUNTIFS('Form Details'!$AA:$AA,{"Yes","No","-"},'Form Details'!$N:$N,"Ganesh",'Form Details'!$J:$J,$C845,'Form Details'!$D:$D,'Adv. Filter'!$A$14,'Form Details'!$D:$D,'Adv. Filter'!$B$14))</f>
        <v>0</v>
      </c>
      <c r="P845" s="238"/>
      <c r="Q845" s="238"/>
      <c r="R845" s="238"/>
      <c r="S845" s="238"/>
      <c r="T845" s="238"/>
      <c r="U845" s="239"/>
      <c r="V845" s="100"/>
      <c r="W845" s="237">
        <f>COUNTIFS('Form Details'!$AA:$AA,"Yes",'Form Details'!$N:$N,"Ganesh",'Form Details'!$J:$J,$C845,'Form Details'!$D:$D,'Adv. Filter'!$A$14,'Form Details'!$D:$D,'Adv. Filter'!$B$14)</f>
        <v>0</v>
      </c>
      <c r="X845" s="238"/>
      <c r="Y845" s="238"/>
      <c r="Z845" s="238"/>
      <c r="AA845" s="238"/>
      <c r="AB845" s="238"/>
      <c r="AC845" s="239"/>
      <c r="AD845" s="237">
        <f>COUNTIFS('Form Details'!$W:$W,"Paid",'Form Details'!$N:$N,"Ganesh",'Form Details'!$J:$J,$C845,'Form Details'!$D:$D,'Adv. Filter'!$A$14,'Form Details'!$D:$D,'Adv. Filter'!$B$14)</f>
        <v>0</v>
      </c>
      <c r="AE845" s="238"/>
      <c r="AF845" s="238"/>
      <c r="AG845" s="238"/>
      <c r="AH845" s="238"/>
      <c r="AI845" s="238"/>
      <c r="AJ845" s="239"/>
      <c r="AK845" s="237">
        <f>COUNTIFS('Form Details'!$W:$W,"Due",'Form Details'!$N:$N,"Ganesh",'Form Details'!$J:$J,$C845,'Form Details'!$D:$D,'Adv. Filter'!$A$14,'Form Details'!$D:$D,'Adv. Filter'!$B$14)</f>
        <v>0</v>
      </c>
      <c r="AL845" s="238"/>
      <c r="AM845" s="238"/>
      <c r="AN845" s="238"/>
      <c r="AO845" s="238"/>
      <c r="AP845" s="238"/>
      <c r="AQ845" s="239"/>
      <c r="AR845" s="237">
        <f>COUNTIFS('Form Details'!$W:$W,"No Fee",'Form Details'!$N:$N,"Ganesh",'Form Details'!$J:$J,$C845,'Form Details'!$D:$D,'Adv. Filter'!$A$14,'Form Details'!$D:$D,'Adv. Filter'!$B$14)</f>
        <v>0</v>
      </c>
      <c r="AS845" s="238"/>
      <c r="AT845" s="238"/>
      <c r="AU845" s="238"/>
      <c r="AV845" s="238"/>
      <c r="AW845" s="238"/>
      <c r="AX845" s="239"/>
      <c r="AY845" s="237">
        <f>COUNTIFS('Form Details'!$W:$W,"Paid/Reject",'Form Details'!$N:$N,"Ganesh",'Form Details'!$J:$J,$C845,'Form Details'!$D:$D,'Adv. Filter'!$A$14,'Form Details'!$D:$D,'Adv. Filter'!$B$14)</f>
        <v>0</v>
      </c>
      <c r="AZ845" s="238"/>
      <c r="BA845" s="238"/>
      <c r="BB845" s="238"/>
      <c r="BC845" s="238"/>
      <c r="BD845" s="238"/>
      <c r="BE845" s="239"/>
      <c r="BF845" s="237">
        <f>COUNTIFS('Form Details'!$W:$W,"Staff",'Form Details'!$N:$N,"Ganesh",'Form Details'!$J:$J,$C845,'Form Details'!$D:$D,'Adv. Filter'!$A$14,'Form Details'!$D:$D,'Adv. Filter'!$B$14)</f>
        <v>0</v>
      </c>
      <c r="BG845" s="238"/>
      <c r="BH845" s="238"/>
      <c r="BI845" s="238"/>
      <c r="BJ845" s="238"/>
      <c r="BK845" s="238"/>
      <c r="BL845" s="239"/>
      <c r="BM845" s="237">
        <f>COUNTIFS('Form Details'!$W:$W,"File in Office",'Form Details'!$N:$N,"Ganesh",'Form Details'!$J:$J,$C845,'Form Details'!$D:$D,'Adv. Filter'!$A$14,'Form Details'!$D:$D,'Adv. Filter'!$B$14)</f>
        <v>0</v>
      </c>
      <c r="BN845" s="238"/>
      <c r="BO845" s="238"/>
      <c r="BP845" s="238"/>
      <c r="BQ845" s="238"/>
      <c r="BR845" s="238"/>
      <c r="BS845" s="239"/>
      <c r="BT845" s="100"/>
      <c r="BU845" s="237">
        <f>COUNTIFS('Form Details'!$AA:$AA,"No",'Form Details'!$N:$N,"Ganesh",'Form Details'!$J:$J,$C845,'Form Details'!$D:$D,'Adv. Filter'!$A$14,'Form Details'!$D:$D,'Adv. Filter'!$B$14)</f>
        <v>0</v>
      </c>
      <c r="BV845" s="238"/>
      <c r="BW845" s="238"/>
      <c r="BX845" s="238"/>
      <c r="BY845" s="238"/>
      <c r="BZ845" s="238"/>
      <c r="CA845" s="239"/>
      <c r="CB845" s="237">
        <f>COUNTIFS('Form Details'!$W:$W,"Adv/Paid",'Form Details'!$N:$N,"Ganesh",'Form Details'!$J:$J,$C845,'Form Details'!$D:$D,'Adv. Filter'!$A$14,'Form Details'!$D:$D,'Adv. Filter'!$B$14)</f>
        <v>0</v>
      </c>
      <c r="CC845" s="238"/>
      <c r="CD845" s="238"/>
      <c r="CE845" s="238"/>
      <c r="CF845" s="238"/>
      <c r="CG845" s="238"/>
      <c r="CH845" s="239"/>
      <c r="CI845" s="237">
        <f>COUNTIFS('Form Details'!$W:$W,"Adv/Paid/Reject",'Form Details'!$N:$N,"Ganesh",'Form Details'!$J:$J,$C845,'Form Details'!$D:$D,'Adv. Filter'!$A$14,'Form Details'!$D:$D,'Adv. Filter'!$B$14)</f>
        <v>0</v>
      </c>
      <c r="CJ845" s="238"/>
      <c r="CK845" s="238"/>
      <c r="CL845" s="238"/>
      <c r="CM845" s="238"/>
      <c r="CN845" s="238"/>
      <c r="CO845" s="239"/>
      <c r="CP845" s="237">
        <f>COUNTIFS('Form Details'!$W:$W,"Reject",'Form Details'!$N:$N,"Ganesh",'Form Details'!$J:$J,$C845,'Form Details'!$D:$D,'Adv. Filter'!$A$14,'Form Details'!$D:$D,'Adv. Filter'!$B$14)</f>
        <v>0</v>
      </c>
      <c r="CQ845" s="238"/>
      <c r="CR845" s="238"/>
      <c r="CS845" s="238"/>
      <c r="CT845" s="238"/>
      <c r="CU845" s="238"/>
      <c r="CV845" s="239"/>
      <c r="CW845" s="237">
        <f>COUNTIFS('Form Details'!$W:$W,"Adv/Paid/Pending",'Form Details'!$N:$N,"Ganesh",'Form Details'!$J:$J,$C845,'Form Details'!$D:$D,'Adv. Filter'!$A$14,'Form Details'!$D:$D,'Adv. Filter'!$B$14)</f>
        <v>0</v>
      </c>
      <c r="CX845" s="238"/>
      <c r="CY845" s="238"/>
      <c r="CZ845" s="238"/>
      <c r="DA845" s="238"/>
      <c r="DB845" s="238"/>
      <c r="DC845" s="239"/>
      <c r="DD845" s="237">
        <f>COUNTIFS('Form Details'!$W:$W,"Pending",'Form Details'!$N:$N,"Ganesh",'Form Details'!$J:$J,$C845,'Form Details'!$D:$D,'Adv. Filter'!$A$14,'Form Details'!$D:$D,'Adv. Filter'!$B$14)</f>
        <v>0</v>
      </c>
      <c r="DE845" s="238"/>
      <c r="DF845" s="238"/>
      <c r="DG845" s="238"/>
      <c r="DH845" s="238"/>
      <c r="DI845" s="238"/>
      <c r="DJ845" s="239"/>
      <c r="DK845" s="237">
        <f>COUNTIFS('Form Details'!$W:$W,"Adv/Paid/NoStatus",'Form Details'!$N:$N,"Ganesh",'Form Details'!$J:$J,$C845,'Form Details'!$D:$D,'Adv. Filter'!$A$14,'Form Details'!$D:$D,'Adv. Filter'!$B$14)</f>
        <v>0</v>
      </c>
      <c r="DL845" s="238"/>
      <c r="DM845" s="238"/>
      <c r="DN845" s="238"/>
      <c r="DO845" s="238"/>
      <c r="DP845" s="238"/>
      <c r="DQ845" s="239"/>
      <c r="DR845" s="237">
        <f>COUNTIFS('Form Details'!$W:$W,"No Status",'Form Details'!$N:$N,"Ganesh",'Form Details'!$J:$J,$C845,'Form Details'!$D:$D,'Adv. Filter'!$A$14,'Form Details'!$D:$D,'Adv. Filter'!$B$14)</f>
        <v>0</v>
      </c>
      <c r="DS845" s="238"/>
      <c r="DT845" s="238"/>
      <c r="DU845" s="238"/>
      <c r="DV845" s="238"/>
      <c r="DW845" s="238"/>
      <c r="DX845" s="239"/>
      <c r="DY845" s="237">
        <f>SUM(COUNTIFS('Form Details'!$W:$W,{"Wrong Entry ","Double Entry"},'Form Details'!$N:$N,"Ganesh",'Form Details'!$J:$J,$C845,'Form Details'!$D:$D,'Adv. Filter'!$A$14,'Form Details'!$D:$D,'Adv. Filter'!$B$14))</f>
        <v>0</v>
      </c>
      <c r="DZ845" s="238"/>
      <c r="EA845" s="238"/>
      <c r="EB845" s="238"/>
      <c r="EC845" s="238"/>
      <c r="ED845" s="238"/>
      <c r="EE845" s="239"/>
    </row>
    <row r="846" spans="3:135" hidden="1">
      <c r="C846" s="248" t="s">
        <v>551</v>
      </c>
      <c r="D846" s="249"/>
      <c r="E846" s="249"/>
      <c r="F846" s="249"/>
      <c r="G846" s="249"/>
      <c r="H846" s="249"/>
      <c r="I846" s="249"/>
      <c r="J846" s="249"/>
      <c r="K846" s="249"/>
      <c r="L846" s="249"/>
      <c r="M846" s="249"/>
      <c r="N846" s="249"/>
      <c r="O846" s="237">
        <f>SUM(COUNTIFS('Form Details'!$AA:$AA,{"Yes","No","-"},'Form Details'!$N:$N,"Ganesh",'Form Details'!$J:$J,$C846,'Form Details'!$D:$D,'Adv. Filter'!$A$14,'Form Details'!$D:$D,'Adv. Filter'!$B$14))</f>
        <v>0</v>
      </c>
      <c r="P846" s="238"/>
      <c r="Q846" s="238"/>
      <c r="R846" s="238"/>
      <c r="S846" s="238"/>
      <c r="T846" s="238"/>
      <c r="U846" s="239"/>
      <c r="V846" s="100"/>
      <c r="W846" s="237">
        <f>COUNTIFS('Form Details'!$AA:$AA,"Yes",'Form Details'!$N:$N,"Ganesh",'Form Details'!$J:$J,$C846,'Form Details'!$D:$D,'Adv. Filter'!$A$14,'Form Details'!$D:$D,'Adv. Filter'!$B$14)</f>
        <v>0</v>
      </c>
      <c r="X846" s="238"/>
      <c r="Y846" s="238"/>
      <c r="Z846" s="238"/>
      <c r="AA846" s="238"/>
      <c r="AB846" s="238"/>
      <c r="AC846" s="239"/>
      <c r="AD846" s="237">
        <f>COUNTIFS('Form Details'!$W:$W,"Paid",'Form Details'!$N:$N,"Ganesh",'Form Details'!$J:$J,$C846,'Form Details'!$D:$D,'Adv. Filter'!$A$14,'Form Details'!$D:$D,'Adv. Filter'!$B$14)</f>
        <v>0</v>
      </c>
      <c r="AE846" s="238"/>
      <c r="AF846" s="238"/>
      <c r="AG846" s="238"/>
      <c r="AH846" s="238"/>
      <c r="AI846" s="238"/>
      <c r="AJ846" s="239"/>
      <c r="AK846" s="237">
        <f>COUNTIFS('Form Details'!$W:$W,"Due",'Form Details'!$N:$N,"Ganesh",'Form Details'!$J:$J,$C846,'Form Details'!$D:$D,'Adv. Filter'!$A$14,'Form Details'!$D:$D,'Adv. Filter'!$B$14)</f>
        <v>0</v>
      </c>
      <c r="AL846" s="238"/>
      <c r="AM846" s="238"/>
      <c r="AN846" s="238"/>
      <c r="AO846" s="238"/>
      <c r="AP846" s="238"/>
      <c r="AQ846" s="239"/>
      <c r="AR846" s="237">
        <f>COUNTIFS('Form Details'!$W:$W,"No Fee",'Form Details'!$N:$N,"Ganesh",'Form Details'!$J:$J,$C846,'Form Details'!$D:$D,'Adv. Filter'!$A$14,'Form Details'!$D:$D,'Adv. Filter'!$B$14)</f>
        <v>0</v>
      </c>
      <c r="AS846" s="238"/>
      <c r="AT846" s="238"/>
      <c r="AU846" s="238"/>
      <c r="AV846" s="238"/>
      <c r="AW846" s="238"/>
      <c r="AX846" s="239"/>
      <c r="AY846" s="237">
        <f>COUNTIFS('Form Details'!$W:$W,"Paid/Reject",'Form Details'!$N:$N,"Ganesh",'Form Details'!$J:$J,$C846,'Form Details'!$D:$D,'Adv. Filter'!$A$14,'Form Details'!$D:$D,'Adv. Filter'!$B$14)</f>
        <v>0</v>
      </c>
      <c r="AZ846" s="238"/>
      <c r="BA846" s="238"/>
      <c r="BB846" s="238"/>
      <c r="BC846" s="238"/>
      <c r="BD846" s="238"/>
      <c r="BE846" s="239"/>
      <c r="BF846" s="237">
        <f>COUNTIFS('Form Details'!$W:$W,"Staff",'Form Details'!$N:$N,"Ganesh",'Form Details'!$J:$J,$C846,'Form Details'!$D:$D,'Adv. Filter'!$A$14,'Form Details'!$D:$D,'Adv. Filter'!$B$14)</f>
        <v>0</v>
      </c>
      <c r="BG846" s="238"/>
      <c r="BH846" s="238"/>
      <c r="BI846" s="238"/>
      <c r="BJ846" s="238"/>
      <c r="BK846" s="238"/>
      <c r="BL846" s="239"/>
      <c r="BM846" s="237">
        <f>COUNTIFS('Form Details'!$W:$W,"File in Office",'Form Details'!$N:$N,"Ganesh",'Form Details'!$J:$J,$C846,'Form Details'!$D:$D,'Adv. Filter'!$A$14,'Form Details'!$D:$D,'Adv. Filter'!$B$14)</f>
        <v>0</v>
      </c>
      <c r="BN846" s="238"/>
      <c r="BO846" s="238"/>
      <c r="BP846" s="238"/>
      <c r="BQ846" s="238"/>
      <c r="BR846" s="238"/>
      <c r="BS846" s="239"/>
      <c r="BT846" s="100"/>
      <c r="BU846" s="237">
        <f>COUNTIFS('Form Details'!$AA:$AA,"No",'Form Details'!$N:$N,"Ganesh",'Form Details'!$J:$J,$C846,'Form Details'!$D:$D,'Adv. Filter'!$A$14,'Form Details'!$D:$D,'Adv. Filter'!$B$14)</f>
        <v>0</v>
      </c>
      <c r="BV846" s="238"/>
      <c r="BW846" s="238"/>
      <c r="BX846" s="238"/>
      <c r="BY846" s="238"/>
      <c r="BZ846" s="238"/>
      <c r="CA846" s="239"/>
      <c r="CB846" s="237">
        <f>COUNTIFS('Form Details'!$W:$W,"Adv/Paid",'Form Details'!$N:$N,"Ganesh",'Form Details'!$J:$J,$C846,'Form Details'!$D:$D,'Adv. Filter'!$A$14,'Form Details'!$D:$D,'Adv. Filter'!$B$14)</f>
        <v>0</v>
      </c>
      <c r="CC846" s="238"/>
      <c r="CD846" s="238"/>
      <c r="CE846" s="238"/>
      <c r="CF846" s="238"/>
      <c r="CG846" s="238"/>
      <c r="CH846" s="239"/>
      <c r="CI846" s="237">
        <f>COUNTIFS('Form Details'!$W:$W,"Adv/Paid/Reject",'Form Details'!$N:$N,"Ganesh",'Form Details'!$J:$J,$C846,'Form Details'!$D:$D,'Adv. Filter'!$A$14,'Form Details'!$D:$D,'Adv. Filter'!$B$14)</f>
        <v>0</v>
      </c>
      <c r="CJ846" s="238"/>
      <c r="CK846" s="238"/>
      <c r="CL846" s="238"/>
      <c r="CM846" s="238"/>
      <c r="CN846" s="238"/>
      <c r="CO846" s="239"/>
      <c r="CP846" s="237">
        <f>COUNTIFS('Form Details'!$W:$W,"Reject",'Form Details'!$N:$N,"Ganesh",'Form Details'!$J:$J,$C846,'Form Details'!$D:$D,'Adv. Filter'!$A$14,'Form Details'!$D:$D,'Adv. Filter'!$B$14)</f>
        <v>0</v>
      </c>
      <c r="CQ846" s="238"/>
      <c r="CR846" s="238"/>
      <c r="CS846" s="238"/>
      <c r="CT846" s="238"/>
      <c r="CU846" s="238"/>
      <c r="CV846" s="239"/>
      <c r="CW846" s="237">
        <f>COUNTIFS('Form Details'!$W:$W,"Adv/Paid/Pending",'Form Details'!$N:$N,"Ganesh",'Form Details'!$J:$J,$C846,'Form Details'!$D:$D,'Adv. Filter'!$A$14,'Form Details'!$D:$D,'Adv. Filter'!$B$14)</f>
        <v>0</v>
      </c>
      <c r="CX846" s="238"/>
      <c r="CY846" s="238"/>
      <c r="CZ846" s="238"/>
      <c r="DA846" s="238"/>
      <c r="DB846" s="238"/>
      <c r="DC846" s="239"/>
      <c r="DD846" s="237">
        <f>COUNTIFS('Form Details'!$W:$W,"Pending",'Form Details'!$N:$N,"Ganesh",'Form Details'!$J:$J,$C846,'Form Details'!$D:$D,'Adv. Filter'!$A$14,'Form Details'!$D:$D,'Adv. Filter'!$B$14)</f>
        <v>0</v>
      </c>
      <c r="DE846" s="238"/>
      <c r="DF846" s="238"/>
      <c r="DG846" s="238"/>
      <c r="DH846" s="238"/>
      <c r="DI846" s="238"/>
      <c r="DJ846" s="239"/>
      <c r="DK846" s="237">
        <f>COUNTIFS('Form Details'!$W:$W,"Adv/Paid/NoStatus",'Form Details'!$N:$N,"Ganesh",'Form Details'!$J:$J,$C846,'Form Details'!$D:$D,'Adv. Filter'!$A$14,'Form Details'!$D:$D,'Adv. Filter'!$B$14)</f>
        <v>0</v>
      </c>
      <c r="DL846" s="238"/>
      <c r="DM846" s="238"/>
      <c r="DN846" s="238"/>
      <c r="DO846" s="238"/>
      <c r="DP846" s="238"/>
      <c r="DQ846" s="239"/>
      <c r="DR846" s="237">
        <f>COUNTIFS('Form Details'!$W:$W,"No Status",'Form Details'!$N:$N,"Ganesh",'Form Details'!$J:$J,$C846,'Form Details'!$D:$D,'Adv. Filter'!$A$14,'Form Details'!$D:$D,'Adv. Filter'!$B$14)</f>
        <v>0</v>
      </c>
      <c r="DS846" s="238"/>
      <c r="DT846" s="238"/>
      <c r="DU846" s="238"/>
      <c r="DV846" s="238"/>
      <c r="DW846" s="238"/>
      <c r="DX846" s="239"/>
      <c r="DY846" s="237">
        <f>SUM(COUNTIFS('Form Details'!$W:$W,{"Wrong Entry ","Double Entry"},'Form Details'!$N:$N,"Ganesh",'Form Details'!$J:$J,$C846,'Form Details'!$D:$D,'Adv. Filter'!$A$14,'Form Details'!$D:$D,'Adv. Filter'!$B$14))</f>
        <v>0</v>
      </c>
      <c r="DZ846" s="238"/>
      <c r="EA846" s="238"/>
      <c r="EB846" s="238"/>
      <c r="EC846" s="238"/>
      <c r="ED846" s="238"/>
      <c r="EE846" s="239"/>
    </row>
    <row r="847" spans="3:135" hidden="1">
      <c r="C847" s="248" t="s">
        <v>121</v>
      </c>
      <c r="D847" s="249"/>
      <c r="E847" s="249"/>
      <c r="F847" s="249"/>
      <c r="G847" s="249"/>
      <c r="H847" s="249"/>
      <c r="I847" s="249"/>
      <c r="J847" s="249"/>
      <c r="K847" s="249"/>
      <c r="L847" s="249"/>
      <c r="M847" s="249"/>
      <c r="N847" s="249"/>
      <c r="O847" s="237">
        <f>SUM(COUNTIFS('Form Details'!$AA:$AA,{"Yes","No","-"},'Form Details'!$N:$N,"Ganesh",'Form Details'!$J:$J,$C847,'Form Details'!$D:$D,'Adv. Filter'!$A$14,'Form Details'!$D:$D,'Adv. Filter'!$B$14))</f>
        <v>0</v>
      </c>
      <c r="P847" s="238"/>
      <c r="Q847" s="238"/>
      <c r="R847" s="238"/>
      <c r="S847" s="238"/>
      <c r="T847" s="238"/>
      <c r="U847" s="239"/>
      <c r="V847" s="100"/>
      <c r="W847" s="237">
        <f>COUNTIFS('Form Details'!$AA:$AA,"Yes",'Form Details'!$N:$N,"Ganesh",'Form Details'!$J:$J,$C847,'Form Details'!$D:$D,'Adv. Filter'!$A$14,'Form Details'!$D:$D,'Adv. Filter'!$B$14)</f>
        <v>0</v>
      </c>
      <c r="X847" s="238"/>
      <c r="Y847" s="238"/>
      <c r="Z847" s="238"/>
      <c r="AA847" s="238"/>
      <c r="AB847" s="238"/>
      <c r="AC847" s="239"/>
      <c r="AD847" s="237">
        <f>COUNTIFS('Form Details'!$W:$W,"Paid",'Form Details'!$N:$N,"Ganesh",'Form Details'!$J:$J,$C847,'Form Details'!$D:$D,'Adv. Filter'!$A$14,'Form Details'!$D:$D,'Adv. Filter'!$B$14)</f>
        <v>0</v>
      </c>
      <c r="AE847" s="238"/>
      <c r="AF847" s="238"/>
      <c r="AG847" s="238"/>
      <c r="AH847" s="238"/>
      <c r="AI847" s="238"/>
      <c r="AJ847" s="239"/>
      <c r="AK847" s="237">
        <f>COUNTIFS('Form Details'!$W:$W,"Due",'Form Details'!$N:$N,"Ganesh",'Form Details'!$J:$J,$C847,'Form Details'!$D:$D,'Adv. Filter'!$A$14,'Form Details'!$D:$D,'Adv. Filter'!$B$14)</f>
        <v>0</v>
      </c>
      <c r="AL847" s="238"/>
      <c r="AM847" s="238"/>
      <c r="AN847" s="238"/>
      <c r="AO847" s="238"/>
      <c r="AP847" s="238"/>
      <c r="AQ847" s="239"/>
      <c r="AR847" s="237">
        <f>COUNTIFS('Form Details'!$W:$W,"No Fee",'Form Details'!$N:$N,"Ganesh",'Form Details'!$J:$J,$C847,'Form Details'!$D:$D,'Adv. Filter'!$A$14,'Form Details'!$D:$D,'Adv. Filter'!$B$14)</f>
        <v>0</v>
      </c>
      <c r="AS847" s="238"/>
      <c r="AT847" s="238"/>
      <c r="AU847" s="238"/>
      <c r="AV847" s="238"/>
      <c r="AW847" s="238"/>
      <c r="AX847" s="239"/>
      <c r="AY847" s="237">
        <f>COUNTIFS('Form Details'!$W:$W,"Paid/Reject",'Form Details'!$N:$N,"Ganesh",'Form Details'!$J:$J,$C847,'Form Details'!$D:$D,'Adv. Filter'!$A$14,'Form Details'!$D:$D,'Adv. Filter'!$B$14)</f>
        <v>0</v>
      </c>
      <c r="AZ847" s="238"/>
      <c r="BA847" s="238"/>
      <c r="BB847" s="238"/>
      <c r="BC847" s="238"/>
      <c r="BD847" s="238"/>
      <c r="BE847" s="239"/>
      <c r="BF847" s="237">
        <f>COUNTIFS('Form Details'!$W:$W,"Staff",'Form Details'!$N:$N,"Ganesh",'Form Details'!$J:$J,$C847,'Form Details'!$D:$D,'Adv. Filter'!$A$14,'Form Details'!$D:$D,'Adv. Filter'!$B$14)</f>
        <v>0</v>
      </c>
      <c r="BG847" s="238"/>
      <c r="BH847" s="238"/>
      <c r="BI847" s="238"/>
      <c r="BJ847" s="238"/>
      <c r="BK847" s="238"/>
      <c r="BL847" s="239"/>
      <c r="BM847" s="237">
        <f>COUNTIFS('Form Details'!$W:$W,"File in Office",'Form Details'!$N:$N,"Ganesh",'Form Details'!$J:$J,$C847,'Form Details'!$D:$D,'Adv. Filter'!$A$14,'Form Details'!$D:$D,'Adv. Filter'!$B$14)</f>
        <v>0</v>
      </c>
      <c r="BN847" s="238"/>
      <c r="BO847" s="238"/>
      <c r="BP847" s="238"/>
      <c r="BQ847" s="238"/>
      <c r="BR847" s="238"/>
      <c r="BS847" s="239"/>
      <c r="BT847" s="100"/>
      <c r="BU847" s="237">
        <f>COUNTIFS('Form Details'!$AA:$AA,"No",'Form Details'!$N:$N,"Ganesh",'Form Details'!$J:$J,$C847,'Form Details'!$D:$D,'Adv. Filter'!$A$14,'Form Details'!$D:$D,'Adv. Filter'!$B$14)</f>
        <v>0</v>
      </c>
      <c r="BV847" s="238"/>
      <c r="BW847" s="238"/>
      <c r="BX847" s="238"/>
      <c r="BY847" s="238"/>
      <c r="BZ847" s="238"/>
      <c r="CA847" s="239"/>
      <c r="CB847" s="237">
        <f>COUNTIFS('Form Details'!$W:$W,"Adv/Paid",'Form Details'!$N:$N,"Ganesh",'Form Details'!$J:$J,$C847,'Form Details'!$D:$D,'Adv. Filter'!$A$14,'Form Details'!$D:$D,'Adv. Filter'!$B$14)</f>
        <v>0</v>
      </c>
      <c r="CC847" s="238"/>
      <c r="CD847" s="238"/>
      <c r="CE847" s="238"/>
      <c r="CF847" s="238"/>
      <c r="CG847" s="238"/>
      <c r="CH847" s="239"/>
      <c r="CI847" s="237">
        <f>COUNTIFS('Form Details'!$W:$W,"Adv/Paid/Reject",'Form Details'!$N:$N,"Ganesh",'Form Details'!$J:$J,$C847,'Form Details'!$D:$D,'Adv. Filter'!$A$14,'Form Details'!$D:$D,'Adv. Filter'!$B$14)</f>
        <v>0</v>
      </c>
      <c r="CJ847" s="238"/>
      <c r="CK847" s="238"/>
      <c r="CL847" s="238"/>
      <c r="CM847" s="238"/>
      <c r="CN847" s="238"/>
      <c r="CO847" s="239"/>
      <c r="CP847" s="237">
        <f>COUNTIFS('Form Details'!$W:$W,"Reject",'Form Details'!$N:$N,"Ganesh",'Form Details'!$J:$J,$C847,'Form Details'!$D:$D,'Adv. Filter'!$A$14,'Form Details'!$D:$D,'Adv. Filter'!$B$14)</f>
        <v>0</v>
      </c>
      <c r="CQ847" s="238"/>
      <c r="CR847" s="238"/>
      <c r="CS847" s="238"/>
      <c r="CT847" s="238"/>
      <c r="CU847" s="238"/>
      <c r="CV847" s="239"/>
      <c r="CW847" s="237">
        <f>COUNTIFS('Form Details'!$W:$W,"Adv/Paid/Pending",'Form Details'!$N:$N,"Ganesh",'Form Details'!$J:$J,$C847,'Form Details'!$D:$D,'Adv. Filter'!$A$14,'Form Details'!$D:$D,'Adv. Filter'!$B$14)</f>
        <v>0</v>
      </c>
      <c r="CX847" s="238"/>
      <c r="CY847" s="238"/>
      <c r="CZ847" s="238"/>
      <c r="DA847" s="238"/>
      <c r="DB847" s="238"/>
      <c r="DC847" s="239"/>
      <c r="DD847" s="237">
        <f>COUNTIFS('Form Details'!$W:$W,"Pending",'Form Details'!$N:$N,"Ganesh",'Form Details'!$J:$J,$C847,'Form Details'!$D:$D,'Adv. Filter'!$A$14,'Form Details'!$D:$D,'Adv. Filter'!$B$14)</f>
        <v>0</v>
      </c>
      <c r="DE847" s="238"/>
      <c r="DF847" s="238"/>
      <c r="DG847" s="238"/>
      <c r="DH847" s="238"/>
      <c r="DI847" s="238"/>
      <c r="DJ847" s="239"/>
      <c r="DK847" s="237">
        <f>COUNTIFS('Form Details'!$W:$W,"Adv/Paid/NoStatus",'Form Details'!$N:$N,"Ganesh",'Form Details'!$J:$J,$C847,'Form Details'!$D:$D,'Adv. Filter'!$A$14,'Form Details'!$D:$D,'Adv. Filter'!$B$14)</f>
        <v>0</v>
      </c>
      <c r="DL847" s="238"/>
      <c r="DM847" s="238"/>
      <c r="DN847" s="238"/>
      <c r="DO847" s="238"/>
      <c r="DP847" s="238"/>
      <c r="DQ847" s="239"/>
      <c r="DR847" s="237">
        <f>COUNTIFS('Form Details'!$W:$W,"No Status",'Form Details'!$N:$N,"Ganesh",'Form Details'!$J:$J,$C847,'Form Details'!$D:$D,'Adv. Filter'!$A$14,'Form Details'!$D:$D,'Adv. Filter'!$B$14)</f>
        <v>0</v>
      </c>
      <c r="DS847" s="238"/>
      <c r="DT847" s="238"/>
      <c r="DU847" s="238"/>
      <c r="DV847" s="238"/>
      <c r="DW847" s="238"/>
      <c r="DX847" s="239"/>
      <c r="DY847" s="237">
        <f>SUM(COUNTIFS('Form Details'!$W:$W,{"Wrong Entry ","Double Entry"},'Form Details'!$N:$N,"Ganesh",'Form Details'!$J:$J,$C847,'Form Details'!$D:$D,'Adv. Filter'!$A$14,'Form Details'!$D:$D,'Adv. Filter'!$B$14))</f>
        <v>0</v>
      </c>
      <c r="DZ847" s="238"/>
      <c r="EA847" s="238"/>
      <c r="EB847" s="238"/>
      <c r="EC847" s="238"/>
      <c r="ED847" s="238"/>
      <c r="EE847" s="239"/>
    </row>
    <row r="848" spans="3:135" hidden="1">
      <c r="C848" s="248" t="s">
        <v>111</v>
      </c>
      <c r="D848" s="249"/>
      <c r="E848" s="249"/>
      <c r="F848" s="249"/>
      <c r="G848" s="249"/>
      <c r="H848" s="249"/>
      <c r="I848" s="249"/>
      <c r="J848" s="249"/>
      <c r="K848" s="249"/>
      <c r="L848" s="249"/>
      <c r="M848" s="249"/>
      <c r="N848" s="249"/>
      <c r="O848" s="237">
        <f>SUM(COUNTIFS('Form Details'!$AA:$AA,{"Yes","No","-"},'Form Details'!$N:$N,"Ganesh",'Form Details'!$J:$J,$C848,'Form Details'!$D:$D,'Adv. Filter'!$A$14,'Form Details'!$D:$D,'Adv. Filter'!$B$14))</f>
        <v>0</v>
      </c>
      <c r="P848" s="238"/>
      <c r="Q848" s="238"/>
      <c r="R848" s="238"/>
      <c r="S848" s="238"/>
      <c r="T848" s="238"/>
      <c r="U848" s="239"/>
      <c r="V848" s="100"/>
      <c r="W848" s="237">
        <f>COUNTIFS('Form Details'!$AA:$AA,"Yes",'Form Details'!$N:$N,"Ganesh",'Form Details'!$J:$J,$C848,'Form Details'!$D:$D,'Adv. Filter'!$A$14,'Form Details'!$D:$D,'Adv. Filter'!$B$14)</f>
        <v>0</v>
      </c>
      <c r="X848" s="238"/>
      <c r="Y848" s="238"/>
      <c r="Z848" s="238"/>
      <c r="AA848" s="238"/>
      <c r="AB848" s="238"/>
      <c r="AC848" s="239"/>
      <c r="AD848" s="237">
        <f>COUNTIFS('Form Details'!$W:$W,"Paid",'Form Details'!$N:$N,"Ganesh",'Form Details'!$J:$J,$C848,'Form Details'!$D:$D,'Adv. Filter'!$A$14,'Form Details'!$D:$D,'Adv. Filter'!$B$14)</f>
        <v>0</v>
      </c>
      <c r="AE848" s="238"/>
      <c r="AF848" s="238"/>
      <c r="AG848" s="238"/>
      <c r="AH848" s="238"/>
      <c r="AI848" s="238"/>
      <c r="AJ848" s="239"/>
      <c r="AK848" s="237">
        <f>COUNTIFS('Form Details'!$W:$W,"Due",'Form Details'!$N:$N,"Ganesh",'Form Details'!$J:$J,$C848,'Form Details'!$D:$D,'Adv. Filter'!$A$14,'Form Details'!$D:$D,'Adv. Filter'!$B$14)</f>
        <v>0</v>
      </c>
      <c r="AL848" s="238"/>
      <c r="AM848" s="238"/>
      <c r="AN848" s="238"/>
      <c r="AO848" s="238"/>
      <c r="AP848" s="238"/>
      <c r="AQ848" s="239"/>
      <c r="AR848" s="237">
        <f>COUNTIFS('Form Details'!$W:$W,"No Fee",'Form Details'!$N:$N,"Ganesh",'Form Details'!$J:$J,$C848,'Form Details'!$D:$D,'Adv. Filter'!$A$14,'Form Details'!$D:$D,'Adv. Filter'!$B$14)</f>
        <v>0</v>
      </c>
      <c r="AS848" s="238"/>
      <c r="AT848" s="238"/>
      <c r="AU848" s="238"/>
      <c r="AV848" s="238"/>
      <c r="AW848" s="238"/>
      <c r="AX848" s="239"/>
      <c r="AY848" s="237">
        <f>COUNTIFS('Form Details'!$W:$W,"Paid/Reject",'Form Details'!$N:$N,"Ganesh",'Form Details'!$J:$J,$C848,'Form Details'!$D:$D,'Adv. Filter'!$A$14,'Form Details'!$D:$D,'Adv. Filter'!$B$14)</f>
        <v>0</v>
      </c>
      <c r="AZ848" s="238"/>
      <c r="BA848" s="238"/>
      <c r="BB848" s="238"/>
      <c r="BC848" s="238"/>
      <c r="BD848" s="238"/>
      <c r="BE848" s="239"/>
      <c r="BF848" s="237">
        <f>COUNTIFS('Form Details'!$W:$W,"Staff",'Form Details'!$N:$N,"Ganesh",'Form Details'!$J:$J,$C848,'Form Details'!$D:$D,'Adv. Filter'!$A$14,'Form Details'!$D:$D,'Adv. Filter'!$B$14)</f>
        <v>0</v>
      </c>
      <c r="BG848" s="238"/>
      <c r="BH848" s="238"/>
      <c r="BI848" s="238"/>
      <c r="BJ848" s="238"/>
      <c r="BK848" s="238"/>
      <c r="BL848" s="239"/>
      <c r="BM848" s="237">
        <f>COUNTIFS('Form Details'!$W:$W,"File in Office",'Form Details'!$N:$N,"Ganesh",'Form Details'!$J:$J,$C848,'Form Details'!$D:$D,'Adv. Filter'!$A$14,'Form Details'!$D:$D,'Adv. Filter'!$B$14)</f>
        <v>0</v>
      </c>
      <c r="BN848" s="238"/>
      <c r="BO848" s="238"/>
      <c r="BP848" s="238"/>
      <c r="BQ848" s="238"/>
      <c r="BR848" s="238"/>
      <c r="BS848" s="239"/>
      <c r="BT848" s="100"/>
      <c r="BU848" s="237">
        <f>COUNTIFS('Form Details'!$AA:$AA,"No",'Form Details'!$N:$N,"Ganesh",'Form Details'!$J:$J,$C848,'Form Details'!$D:$D,'Adv. Filter'!$A$14,'Form Details'!$D:$D,'Adv. Filter'!$B$14)</f>
        <v>0</v>
      </c>
      <c r="BV848" s="238"/>
      <c r="BW848" s="238"/>
      <c r="BX848" s="238"/>
      <c r="BY848" s="238"/>
      <c r="BZ848" s="238"/>
      <c r="CA848" s="239"/>
      <c r="CB848" s="237">
        <f>COUNTIFS('Form Details'!$W:$W,"Adv/Paid",'Form Details'!$N:$N,"Ganesh",'Form Details'!$J:$J,$C848,'Form Details'!$D:$D,'Adv. Filter'!$A$14,'Form Details'!$D:$D,'Adv. Filter'!$B$14)</f>
        <v>0</v>
      </c>
      <c r="CC848" s="238"/>
      <c r="CD848" s="238"/>
      <c r="CE848" s="238"/>
      <c r="CF848" s="238"/>
      <c r="CG848" s="238"/>
      <c r="CH848" s="239"/>
      <c r="CI848" s="237">
        <f>COUNTIFS('Form Details'!$W:$W,"Adv/Paid/Reject",'Form Details'!$N:$N,"Ganesh",'Form Details'!$J:$J,$C848,'Form Details'!$D:$D,'Adv. Filter'!$A$14,'Form Details'!$D:$D,'Adv. Filter'!$B$14)</f>
        <v>0</v>
      </c>
      <c r="CJ848" s="238"/>
      <c r="CK848" s="238"/>
      <c r="CL848" s="238"/>
      <c r="CM848" s="238"/>
      <c r="CN848" s="238"/>
      <c r="CO848" s="239"/>
      <c r="CP848" s="237">
        <f>COUNTIFS('Form Details'!$W:$W,"Reject",'Form Details'!$N:$N,"Ganesh",'Form Details'!$J:$J,$C848,'Form Details'!$D:$D,'Adv. Filter'!$A$14,'Form Details'!$D:$D,'Adv. Filter'!$B$14)</f>
        <v>0</v>
      </c>
      <c r="CQ848" s="238"/>
      <c r="CR848" s="238"/>
      <c r="CS848" s="238"/>
      <c r="CT848" s="238"/>
      <c r="CU848" s="238"/>
      <c r="CV848" s="239"/>
      <c r="CW848" s="237">
        <f>COUNTIFS('Form Details'!$W:$W,"Adv/Paid/Pending",'Form Details'!$N:$N,"Ganesh",'Form Details'!$J:$J,$C848,'Form Details'!$D:$D,'Adv. Filter'!$A$14,'Form Details'!$D:$D,'Adv. Filter'!$B$14)</f>
        <v>0</v>
      </c>
      <c r="CX848" s="238"/>
      <c r="CY848" s="238"/>
      <c r="CZ848" s="238"/>
      <c r="DA848" s="238"/>
      <c r="DB848" s="238"/>
      <c r="DC848" s="239"/>
      <c r="DD848" s="237">
        <f>COUNTIFS('Form Details'!$W:$W,"Pending",'Form Details'!$N:$N,"Ganesh",'Form Details'!$J:$J,$C848,'Form Details'!$D:$D,'Adv. Filter'!$A$14,'Form Details'!$D:$D,'Adv. Filter'!$B$14)</f>
        <v>0</v>
      </c>
      <c r="DE848" s="238"/>
      <c r="DF848" s="238"/>
      <c r="DG848" s="238"/>
      <c r="DH848" s="238"/>
      <c r="DI848" s="238"/>
      <c r="DJ848" s="239"/>
      <c r="DK848" s="237">
        <f>COUNTIFS('Form Details'!$W:$W,"Adv/Paid/NoStatus",'Form Details'!$N:$N,"Ganesh",'Form Details'!$J:$J,$C848,'Form Details'!$D:$D,'Adv. Filter'!$A$14,'Form Details'!$D:$D,'Adv. Filter'!$B$14)</f>
        <v>0</v>
      </c>
      <c r="DL848" s="238"/>
      <c r="DM848" s="238"/>
      <c r="DN848" s="238"/>
      <c r="DO848" s="238"/>
      <c r="DP848" s="238"/>
      <c r="DQ848" s="239"/>
      <c r="DR848" s="237">
        <f>COUNTIFS('Form Details'!$W:$W,"No Status",'Form Details'!$N:$N,"Ganesh",'Form Details'!$J:$J,$C848,'Form Details'!$D:$D,'Adv. Filter'!$A$14,'Form Details'!$D:$D,'Adv. Filter'!$B$14)</f>
        <v>0</v>
      </c>
      <c r="DS848" s="238"/>
      <c r="DT848" s="238"/>
      <c r="DU848" s="238"/>
      <c r="DV848" s="238"/>
      <c r="DW848" s="238"/>
      <c r="DX848" s="239"/>
      <c r="DY848" s="237">
        <f>SUM(COUNTIFS('Form Details'!$W:$W,{"Wrong Entry ","Double Entry"},'Form Details'!$N:$N,"Ganesh",'Form Details'!$J:$J,$C848,'Form Details'!$D:$D,'Adv. Filter'!$A$14,'Form Details'!$D:$D,'Adv. Filter'!$B$14))</f>
        <v>0</v>
      </c>
      <c r="DZ848" s="238"/>
      <c r="EA848" s="238"/>
      <c r="EB848" s="238"/>
      <c r="EC848" s="238"/>
      <c r="ED848" s="238"/>
      <c r="EE848" s="239"/>
    </row>
    <row r="849" spans="3:135" ht="15" hidden="1" customHeight="1">
      <c r="C849" s="248" t="s">
        <v>116</v>
      </c>
      <c r="D849" s="249"/>
      <c r="E849" s="249"/>
      <c r="F849" s="249"/>
      <c r="G849" s="249"/>
      <c r="H849" s="249"/>
      <c r="I849" s="249"/>
      <c r="J849" s="249"/>
      <c r="K849" s="249"/>
      <c r="L849" s="249"/>
      <c r="M849" s="249"/>
      <c r="N849" s="249"/>
      <c r="O849" s="237">
        <f>SUM(COUNTIFS('Form Details'!$AA:$AA,{"Yes","No","-"},'Form Details'!$N:$N,"Ganesh",'Form Details'!$J:$J,$C849,'Form Details'!$D:$D,'Adv. Filter'!$A$14,'Form Details'!$D:$D,'Adv. Filter'!$B$14))</f>
        <v>0</v>
      </c>
      <c r="P849" s="238"/>
      <c r="Q849" s="238"/>
      <c r="R849" s="238"/>
      <c r="S849" s="238"/>
      <c r="T849" s="238"/>
      <c r="U849" s="239"/>
      <c r="V849" s="100"/>
      <c r="W849" s="237">
        <f>COUNTIFS('Form Details'!$AA:$AA,"Yes",'Form Details'!$N:$N,"Ganesh",'Form Details'!$J:$J,$C849,'Form Details'!$D:$D,'Adv. Filter'!$A$14,'Form Details'!$D:$D,'Adv. Filter'!$B$14)</f>
        <v>0</v>
      </c>
      <c r="X849" s="238"/>
      <c r="Y849" s="238"/>
      <c r="Z849" s="238"/>
      <c r="AA849" s="238"/>
      <c r="AB849" s="238"/>
      <c r="AC849" s="239"/>
      <c r="AD849" s="237">
        <f>COUNTIFS('Form Details'!$W:$W,"Paid",'Form Details'!$N:$N,"Ganesh",'Form Details'!$J:$J,$C849,'Form Details'!$D:$D,'Adv. Filter'!$A$14,'Form Details'!$D:$D,'Adv. Filter'!$B$14)</f>
        <v>0</v>
      </c>
      <c r="AE849" s="238"/>
      <c r="AF849" s="238"/>
      <c r="AG849" s="238"/>
      <c r="AH849" s="238"/>
      <c r="AI849" s="238"/>
      <c r="AJ849" s="239"/>
      <c r="AK849" s="237">
        <f>COUNTIFS('Form Details'!$W:$W,"Due",'Form Details'!$N:$N,"Ganesh",'Form Details'!$J:$J,$C849,'Form Details'!$D:$D,'Adv. Filter'!$A$14,'Form Details'!$D:$D,'Adv. Filter'!$B$14)</f>
        <v>0</v>
      </c>
      <c r="AL849" s="238"/>
      <c r="AM849" s="238"/>
      <c r="AN849" s="238"/>
      <c r="AO849" s="238"/>
      <c r="AP849" s="238"/>
      <c r="AQ849" s="239"/>
      <c r="AR849" s="237">
        <f>COUNTIFS('Form Details'!$W:$W,"No Fee",'Form Details'!$N:$N,"Ganesh",'Form Details'!$J:$J,$C849,'Form Details'!$D:$D,'Adv. Filter'!$A$14,'Form Details'!$D:$D,'Adv. Filter'!$B$14)</f>
        <v>0</v>
      </c>
      <c r="AS849" s="238"/>
      <c r="AT849" s="238"/>
      <c r="AU849" s="238"/>
      <c r="AV849" s="238"/>
      <c r="AW849" s="238"/>
      <c r="AX849" s="239"/>
      <c r="AY849" s="237">
        <f>COUNTIFS('Form Details'!$W:$W,"Paid/Reject",'Form Details'!$N:$N,"Ganesh",'Form Details'!$J:$J,$C849,'Form Details'!$D:$D,'Adv. Filter'!$A$14,'Form Details'!$D:$D,'Adv. Filter'!$B$14)</f>
        <v>0</v>
      </c>
      <c r="AZ849" s="238"/>
      <c r="BA849" s="238"/>
      <c r="BB849" s="238"/>
      <c r="BC849" s="238"/>
      <c r="BD849" s="238"/>
      <c r="BE849" s="239"/>
      <c r="BF849" s="237">
        <f>COUNTIFS('Form Details'!$W:$W,"Staff",'Form Details'!$N:$N,"Ganesh",'Form Details'!$J:$J,$C849,'Form Details'!$D:$D,'Adv. Filter'!$A$14,'Form Details'!$D:$D,'Adv. Filter'!$B$14)</f>
        <v>0</v>
      </c>
      <c r="BG849" s="238"/>
      <c r="BH849" s="238"/>
      <c r="BI849" s="238"/>
      <c r="BJ849" s="238"/>
      <c r="BK849" s="238"/>
      <c r="BL849" s="239"/>
      <c r="BM849" s="237">
        <f>COUNTIFS('Form Details'!$W:$W,"File in Office",'Form Details'!$N:$N,"Ganesh",'Form Details'!$J:$J,$C849,'Form Details'!$D:$D,'Adv. Filter'!$A$14,'Form Details'!$D:$D,'Adv. Filter'!$B$14)</f>
        <v>0</v>
      </c>
      <c r="BN849" s="238"/>
      <c r="BO849" s="238"/>
      <c r="BP849" s="238"/>
      <c r="BQ849" s="238"/>
      <c r="BR849" s="238"/>
      <c r="BS849" s="239"/>
      <c r="BT849" s="100"/>
      <c r="BU849" s="237">
        <f>COUNTIFS('Form Details'!$AA:$AA,"No",'Form Details'!$N:$N,"Ganesh",'Form Details'!$J:$J,$C849,'Form Details'!$D:$D,'Adv. Filter'!$A$14,'Form Details'!$D:$D,'Adv. Filter'!$B$14)</f>
        <v>0</v>
      </c>
      <c r="BV849" s="238"/>
      <c r="BW849" s="238"/>
      <c r="BX849" s="238"/>
      <c r="BY849" s="238"/>
      <c r="BZ849" s="238"/>
      <c r="CA849" s="239"/>
      <c r="CB849" s="237">
        <f>COUNTIFS('Form Details'!$W:$W,"Adv/Paid",'Form Details'!$N:$N,"Ganesh",'Form Details'!$J:$J,$C849,'Form Details'!$D:$D,'Adv. Filter'!$A$14,'Form Details'!$D:$D,'Adv. Filter'!$B$14)</f>
        <v>0</v>
      </c>
      <c r="CC849" s="238"/>
      <c r="CD849" s="238"/>
      <c r="CE849" s="238"/>
      <c r="CF849" s="238"/>
      <c r="CG849" s="238"/>
      <c r="CH849" s="239"/>
      <c r="CI849" s="237">
        <f>COUNTIFS('Form Details'!$W:$W,"Adv/Paid/Reject",'Form Details'!$N:$N,"Ganesh",'Form Details'!$J:$J,$C849,'Form Details'!$D:$D,'Adv. Filter'!$A$14,'Form Details'!$D:$D,'Adv. Filter'!$B$14)</f>
        <v>0</v>
      </c>
      <c r="CJ849" s="238"/>
      <c r="CK849" s="238"/>
      <c r="CL849" s="238"/>
      <c r="CM849" s="238"/>
      <c r="CN849" s="238"/>
      <c r="CO849" s="239"/>
      <c r="CP849" s="237">
        <f>COUNTIFS('Form Details'!$W:$W,"Reject",'Form Details'!$N:$N,"Ganesh",'Form Details'!$J:$J,$C849,'Form Details'!$D:$D,'Adv. Filter'!$A$14,'Form Details'!$D:$D,'Adv. Filter'!$B$14)</f>
        <v>0</v>
      </c>
      <c r="CQ849" s="238"/>
      <c r="CR849" s="238"/>
      <c r="CS849" s="238"/>
      <c r="CT849" s="238"/>
      <c r="CU849" s="238"/>
      <c r="CV849" s="239"/>
      <c r="CW849" s="237">
        <f>COUNTIFS('Form Details'!$W:$W,"Adv/Paid/Pending",'Form Details'!$N:$N,"Ganesh",'Form Details'!$J:$J,$C849,'Form Details'!$D:$D,'Adv. Filter'!$A$14,'Form Details'!$D:$D,'Adv. Filter'!$B$14)</f>
        <v>0</v>
      </c>
      <c r="CX849" s="238"/>
      <c r="CY849" s="238"/>
      <c r="CZ849" s="238"/>
      <c r="DA849" s="238"/>
      <c r="DB849" s="238"/>
      <c r="DC849" s="239"/>
      <c r="DD849" s="237">
        <f>COUNTIFS('Form Details'!$W:$W,"Pending",'Form Details'!$N:$N,"Ganesh",'Form Details'!$J:$J,$C849,'Form Details'!$D:$D,'Adv. Filter'!$A$14,'Form Details'!$D:$D,'Adv. Filter'!$B$14)</f>
        <v>0</v>
      </c>
      <c r="DE849" s="238"/>
      <c r="DF849" s="238"/>
      <c r="DG849" s="238"/>
      <c r="DH849" s="238"/>
      <c r="DI849" s="238"/>
      <c r="DJ849" s="239"/>
      <c r="DK849" s="237">
        <f>COUNTIFS('Form Details'!$W:$W,"Adv/Paid/NoStatus",'Form Details'!$N:$N,"Ganesh",'Form Details'!$J:$J,$C849,'Form Details'!$D:$D,'Adv. Filter'!$A$14,'Form Details'!$D:$D,'Adv. Filter'!$B$14)</f>
        <v>0</v>
      </c>
      <c r="DL849" s="238"/>
      <c r="DM849" s="238"/>
      <c r="DN849" s="238"/>
      <c r="DO849" s="238"/>
      <c r="DP849" s="238"/>
      <c r="DQ849" s="239"/>
      <c r="DR849" s="237">
        <f>COUNTIFS('Form Details'!$W:$W,"No Status",'Form Details'!$N:$N,"Ganesh",'Form Details'!$J:$J,$C849,'Form Details'!$D:$D,'Adv. Filter'!$A$14,'Form Details'!$D:$D,'Adv. Filter'!$B$14)</f>
        <v>0</v>
      </c>
      <c r="DS849" s="238"/>
      <c r="DT849" s="238"/>
      <c r="DU849" s="238"/>
      <c r="DV849" s="238"/>
      <c r="DW849" s="238"/>
      <c r="DX849" s="239"/>
      <c r="DY849" s="237">
        <f>SUM(COUNTIFS('Form Details'!$W:$W,{"Wrong Entry ","Double Entry"},'Form Details'!$N:$N,"Ganesh",'Form Details'!$J:$J,$C849,'Form Details'!$D:$D,'Adv. Filter'!$A$14,'Form Details'!$D:$D,'Adv. Filter'!$B$14))</f>
        <v>0</v>
      </c>
      <c r="DZ849" s="238"/>
      <c r="EA849" s="238"/>
      <c r="EB849" s="238"/>
      <c r="EC849" s="238"/>
      <c r="ED849" s="238"/>
      <c r="EE849" s="239"/>
    </row>
    <row r="850" spans="3:135" hidden="1">
      <c r="C850" s="248" t="s">
        <v>119</v>
      </c>
      <c r="D850" s="249"/>
      <c r="E850" s="249"/>
      <c r="F850" s="249"/>
      <c r="G850" s="249"/>
      <c r="H850" s="249"/>
      <c r="I850" s="249"/>
      <c r="J850" s="249"/>
      <c r="K850" s="249"/>
      <c r="L850" s="249"/>
      <c r="M850" s="249"/>
      <c r="N850" s="249"/>
      <c r="O850" s="237">
        <f>SUM(COUNTIFS('Form Details'!$AA:$AA,{"Yes","No","-"},'Form Details'!$N:$N,"Ganesh",'Form Details'!$J:$J,$C850,'Form Details'!$D:$D,'Adv. Filter'!$A$14,'Form Details'!$D:$D,'Adv. Filter'!$B$14))</f>
        <v>0</v>
      </c>
      <c r="P850" s="238"/>
      <c r="Q850" s="238"/>
      <c r="R850" s="238"/>
      <c r="S850" s="238"/>
      <c r="T850" s="238"/>
      <c r="U850" s="239"/>
      <c r="V850" s="100"/>
      <c r="W850" s="237">
        <f>COUNTIFS('Form Details'!$AA:$AA,"Yes",'Form Details'!$N:$N,"Ganesh",'Form Details'!$J:$J,$C850,'Form Details'!$D:$D,'Adv. Filter'!$A$14,'Form Details'!$D:$D,'Adv. Filter'!$B$14)</f>
        <v>0</v>
      </c>
      <c r="X850" s="238"/>
      <c r="Y850" s="238"/>
      <c r="Z850" s="238"/>
      <c r="AA850" s="238"/>
      <c r="AB850" s="238"/>
      <c r="AC850" s="239"/>
      <c r="AD850" s="237">
        <f>COUNTIFS('Form Details'!$W:$W,"Paid",'Form Details'!$N:$N,"Ganesh",'Form Details'!$J:$J,$C850,'Form Details'!$D:$D,'Adv. Filter'!$A$14,'Form Details'!$D:$D,'Adv. Filter'!$B$14)</f>
        <v>0</v>
      </c>
      <c r="AE850" s="238"/>
      <c r="AF850" s="238"/>
      <c r="AG850" s="238"/>
      <c r="AH850" s="238"/>
      <c r="AI850" s="238"/>
      <c r="AJ850" s="239"/>
      <c r="AK850" s="237">
        <f>COUNTIFS('Form Details'!$W:$W,"Due",'Form Details'!$N:$N,"Ganesh",'Form Details'!$J:$J,$C850,'Form Details'!$D:$D,'Adv. Filter'!$A$14,'Form Details'!$D:$D,'Adv. Filter'!$B$14)</f>
        <v>0</v>
      </c>
      <c r="AL850" s="238"/>
      <c r="AM850" s="238"/>
      <c r="AN850" s="238"/>
      <c r="AO850" s="238"/>
      <c r="AP850" s="238"/>
      <c r="AQ850" s="239"/>
      <c r="AR850" s="237">
        <f>COUNTIFS('Form Details'!$W:$W,"No Fee",'Form Details'!$N:$N,"Ganesh",'Form Details'!$J:$J,$C850,'Form Details'!$D:$D,'Adv. Filter'!$A$14,'Form Details'!$D:$D,'Adv. Filter'!$B$14)</f>
        <v>0</v>
      </c>
      <c r="AS850" s="238"/>
      <c r="AT850" s="238"/>
      <c r="AU850" s="238"/>
      <c r="AV850" s="238"/>
      <c r="AW850" s="238"/>
      <c r="AX850" s="239"/>
      <c r="AY850" s="237">
        <f>COUNTIFS('Form Details'!$W:$W,"Paid/Reject",'Form Details'!$N:$N,"Ganesh",'Form Details'!$J:$J,$C850,'Form Details'!$D:$D,'Adv. Filter'!$A$14,'Form Details'!$D:$D,'Adv. Filter'!$B$14)</f>
        <v>0</v>
      </c>
      <c r="AZ850" s="238"/>
      <c r="BA850" s="238"/>
      <c r="BB850" s="238"/>
      <c r="BC850" s="238"/>
      <c r="BD850" s="238"/>
      <c r="BE850" s="239"/>
      <c r="BF850" s="237">
        <f>COUNTIFS('Form Details'!$W:$W,"Staff",'Form Details'!$N:$N,"Ganesh",'Form Details'!$J:$J,$C850,'Form Details'!$D:$D,'Adv. Filter'!$A$14,'Form Details'!$D:$D,'Adv. Filter'!$B$14)</f>
        <v>0</v>
      </c>
      <c r="BG850" s="238"/>
      <c r="BH850" s="238"/>
      <c r="BI850" s="238"/>
      <c r="BJ850" s="238"/>
      <c r="BK850" s="238"/>
      <c r="BL850" s="239"/>
      <c r="BM850" s="237">
        <f>COUNTIFS('Form Details'!$W:$W,"File in Office",'Form Details'!$N:$N,"Ganesh",'Form Details'!$J:$J,$C850,'Form Details'!$D:$D,'Adv. Filter'!$A$14,'Form Details'!$D:$D,'Adv. Filter'!$B$14)</f>
        <v>0</v>
      </c>
      <c r="BN850" s="238"/>
      <c r="BO850" s="238"/>
      <c r="BP850" s="238"/>
      <c r="BQ850" s="238"/>
      <c r="BR850" s="238"/>
      <c r="BS850" s="239"/>
      <c r="BT850" s="100"/>
      <c r="BU850" s="237">
        <f>COUNTIFS('Form Details'!$AA:$AA,"No",'Form Details'!$N:$N,"Ganesh",'Form Details'!$J:$J,$C850,'Form Details'!$D:$D,'Adv. Filter'!$A$14,'Form Details'!$D:$D,'Adv. Filter'!$B$14)</f>
        <v>0</v>
      </c>
      <c r="BV850" s="238"/>
      <c r="BW850" s="238"/>
      <c r="BX850" s="238"/>
      <c r="BY850" s="238"/>
      <c r="BZ850" s="238"/>
      <c r="CA850" s="239"/>
      <c r="CB850" s="237">
        <f>COUNTIFS('Form Details'!$W:$W,"Adv/Paid",'Form Details'!$N:$N,"Ganesh",'Form Details'!$J:$J,$C850,'Form Details'!$D:$D,'Adv. Filter'!$A$14,'Form Details'!$D:$D,'Adv. Filter'!$B$14)</f>
        <v>0</v>
      </c>
      <c r="CC850" s="238"/>
      <c r="CD850" s="238"/>
      <c r="CE850" s="238"/>
      <c r="CF850" s="238"/>
      <c r="CG850" s="238"/>
      <c r="CH850" s="239"/>
      <c r="CI850" s="237">
        <f>COUNTIFS('Form Details'!$W:$W,"Adv/Paid/Reject",'Form Details'!$N:$N,"Ganesh",'Form Details'!$J:$J,$C850,'Form Details'!$D:$D,'Adv. Filter'!$A$14,'Form Details'!$D:$D,'Adv. Filter'!$B$14)</f>
        <v>0</v>
      </c>
      <c r="CJ850" s="238"/>
      <c r="CK850" s="238"/>
      <c r="CL850" s="238"/>
      <c r="CM850" s="238"/>
      <c r="CN850" s="238"/>
      <c r="CO850" s="239"/>
      <c r="CP850" s="237">
        <f>COUNTIFS('Form Details'!$W:$W,"Reject",'Form Details'!$N:$N,"Ganesh",'Form Details'!$J:$J,$C850,'Form Details'!$D:$D,'Adv. Filter'!$A$14,'Form Details'!$D:$D,'Adv. Filter'!$B$14)</f>
        <v>0</v>
      </c>
      <c r="CQ850" s="238"/>
      <c r="CR850" s="238"/>
      <c r="CS850" s="238"/>
      <c r="CT850" s="238"/>
      <c r="CU850" s="238"/>
      <c r="CV850" s="239"/>
      <c r="CW850" s="237">
        <f>COUNTIFS('Form Details'!$W:$W,"Adv/Paid/Pending",'Form Details'!$N:$N,"Ganesh",'Form Details'!$J:$J,$C850,'Form Details'!$D:$D,'Adv. Filter'!$A$14,'Form Details'!$D:$D,'Adv. Filter'!$B$14)</f>
        <v>0</v>
      </c>
      <c r="CX850" s="238"/>
      <c r="CY850" s="238"/>
      <c r="CZ850" s="238"/>
      <c r="DA850" s="238"/>
      <c r="DB850" s="238"/>
      <c r="DC850" s="239"/>
      <c r="DD850" s="237">
        <f>COUNTIFS('Form Details'!$W:$W,"Pending",'Form Details'!$N:$N,"Ganesh",'Form Details'!$J:$J,$C850,'Form Details'!$D:$D,'Adv. Filter'!$A$14,'Form Details'!$D:$D,'Adv. Filter'!$B$14)</f>
        <v>0</v>
      </c>
      <c r="DE850" s="238"/>
      <c r="DF850" s="238"/>
      <c r="DG850" s="238"/>
      <c r="DH850" s="238"/>
      <c r="DI850" s="238"/>
      <c r="DJ850" s="239"/>
      <c r="DK850" s="237">
        <f>COUNTIFS('Form Details'!$W:$W,"Adv/Paid/NoStatus",'Form Details'!$N:$N,"Ganesh",'Form Details'!$J:$J,$C850,'Form Details'!$D:$D,'Adv. Filter'!$A$14,'Form Details'!$D:$D,'Adv. Filter'!$B$14)</f>
        <v>0</v>
      </c>
      <c r="DL850" s="238"/>
      <c r="DM850" s="238"/>
      <c r="DN850" s="238"/>
      <c r="DO850" s="238"/>
      <c r="DP850" s="238"/>
      <c r="DQ850" s="239"/>
      <c r="DR850" s="237">
        <f>COUNTIFS('Form Details'!$W:$W,"No Status",'Form Details'!$N:$N,"Ganesh",'Form Details'!$J:$J,$C850,'Form Details'!$D:$D,'Adv. Filter'!$A$14,'Form Details'!$D:$D,'Adv. Filter'!$B$14)</f>
        <v>0</v>
      </c>
      <c r="DS850" s="238"/>
      <c r="DT850" s="238"/>
      <c r="DU850" s="238"/>
      <c r="DV850" s="238"/>
      <c r="DW850" s="238"/>
      <c r="DX850" s="239"/>
      <c r="DY850" s="237">
        <f>SUM(COUNTIFS('Form Details'!$W:$W,{"Wrong Entry ","Double Entry"},'Form Details'!$N:$N,"Ganesh",'Form Details'!$J:$J,$C850,'Form Details'!$D:$D,'Adv. Filter'!$A$14,'Form Details'!$D:$D,'Adv. Filter'!$B$14))</f>
        <v>0</v>
      </c>
      <c r="DZ850" s="238"/>
      <c r="EA850" s="238"/>
      <c r="EB850" s="238"/>
      <c r="EC850" s="238"/>
      <c r="ED850" s="238"/>
      <c r="EE850" s="239"/>
    </row>
    <row r="851" spans="3:135" hidden="1">
      <c r="C851" s="248" t="s">
        <v>92</v>
      </c>
      <c r="D851" s="249"/>
      <c r="E851" s="249"/>
      <c r="F851" s="249"/>
      <c r="G851" s="249"/>
      <c r="H851" s="249"/>
      <c r="I851" s="249"/>
      <c r="J851" s="249"/>
      <c r="K851" s="249"/>
      <c r="L851" s="249"/>
      <c r="M851" s="249"/>
      <c r="N851" s="249"/>
      <c r="O851" s="237">
        <f>SUM(COUNTIFS('Form Details'!$AA:$AA,{"Yes","No","-"},'Form Details'!$N:$N,"Ganesh",'Form Details'!$J:$J,$C851,'Form Details'!$D:$D,'Adv. Filter'!$A$14,'Form Details'!$D:$D,'Adv. Filter'!$B$14))</f>
        <v>0</v>
      </c>
      <c r="P851" s="238"/>
      <c r="Q851" s="238"/>
      <c r="R851" s="238"/>
      <c r="S851" s="238"/>
      <c r="T851" s="238"/>
      <c r="U851" s="239"/>
      <c r="V851" s="100"/>
      <c r="W851" s="237">
        <f>COUNTIFS('Form Details'!$AA:$AA,"Yes",'Form Details'!$N:$N,"Ganesh",'Form Details'!$J:$J,$C851,'Form Details'!$D:$D,'Adv. Filter'!$A$14,'Form Details'!$D:$D,'Adv. Filter'!$B$14)</f>
        <v>0</v>
      </c>
      <c r="X851" s="238"/>
      <c r="Y851" s="238"/>
      <c r="Z851" s="238"/>
      <c r="AA851" s="238"/>
      <c r="AB851" s="238"/>
      <c r="AC851" s="239"/>
      <c r="AD851" s="237">
        <f>COUNTIFS('Form Details'!$W:$W,"Paid",'Form Details'!$N:$N,"Ganesh",'Form Details'!$J:$J,$C851,'Form Details'!$D:$D,'Adv. Filter'!$A$14,'Form Details'!$D:$D,'Adv. Filter'!$B$14)</f>
        <v>0</v>
      </c>
      <c r="AE851" s="238"/>
      <c r="AF851" s="238"/>
      <c r="AG851" s="238"/>
      <c r="AH851" s="238"/>
      <c r="AI851" s="238"/>
      <c r="AJ851" s="239"/>
      <c r="AK851" s="237">
        <f>COUNTIFS('Form Details'!$W:$W,"Due",'Form Details'!$N:$N,"Ganesh",'Form Details'!$J:$J,$C851,'Form Details'!$D:$D,'Adv. Filter'!$A$14,'Form Details'!$D:$D,'Adv. Filter'!$B$14)</f>
        <v>0</v>
      </c>
      <c r="AL851" s="238"/>
      <c r="AM851" s="238"/>
      <c r="AN851" s="238"/>
      <c r="AO851" s="238"/>
      <c r="AP851" s="238"/>
      <c r="AQ851" s="239"/>
      <c r="AR851" s="237">
        <f>COUNTIFS('Form Details'!$W:$W,"No Fee",'Form Details'!$N:$N,"Ganesh",'Form Details'!$J:$J,$C851,'Form Details'!$D:$D,'Adv. Filter'!$A$14,'Form Details'!$D:$D,'Adv. Filter'!$B$14)</f>
        <v>0</v>
      </c>
      <c r="AS851" s="238"/>
      <c r="AT851" s="238"/>
      <c r="AU851" s="238"/>
      <c r="AV851" s="238"/>
      <c r="AW851" s="238"/>
      <c r="AX851" s="239"/>
      <c r="AY851" s="237">
        <f>COUNTIFS('Form Details'!$W:$W,"Paid/Reject",'Form Details'!$N:$N,"Ganesh",'Form Details'!$J:$J,$C851,'Form Details'!$D:$D,'Adv. Filter'!$A$14,'Form Details'!$D:$D,'Adv. Filter'!$B$14)</f>
        <v>0</v>
      </c>
      <c r="AZ851" s="238"/>
      <c r="BA851" s="238"/>
      <c r="BB851" s="238"/>
      <c r="BC851" s="238"/>
      <c r="BD851" s="238"/>
      <c r="BE851" s="239"/>
      <c r="BF851" s="237">
        <f>COUNTIFS('Form Details'!$W:$W,"Staff",'Form Details'!$N:$N,"Ganesh",'Form Details'!$J:$J,$C851,'Form Details'!$D:$D,'Adv. Filter'!$A$14,'Form Details'!$D:$D,'Adv. Filter'!$B$14)</f>
        <v>0</v>
      </c>
      <c r="BG851" s="238"/>
      <c r="BH851" s="238"/>
      <c r="BI851" s="238"/>
      <c r="BJ851" s="238"/>
      <c r="BK851" s="238"/>
      <c r="BL851" s="239"/>
      <c r="BM851" s="237">
        <f>COUNTIFS('Form Details'!$W:$W,"File in Office",'Form Details'!$N:$N,"Ganesh",'Form Details'!$J:$J,$C851,'Form Details'!$D:$D,'Adv. Filter'!$A$14,'Form Details'!$D:$D,'Adv. Filter'!$B$14)</f>
        <v>0</v>
      </c>
      <c r="BN851" s="238"/>
      <c r="BO851" s="238"/>
      <c r="BP851" s="238"/>
      <c r="BQ851" s="238"/>
      <c r="BR851" s="238"/>
      <c r="BS851" s="239"/>
      <c r="BT851" s="100"/>
      <c r="BU851" s="237">
        <f>COUNTIFS('Form Details'!$AA:$AA,"No",'Form Details'!$N:$N,"Ganesh",'Form Details'!$J:$J,$C851,'Form Details'!$D:$D,'Adv. Filter'!$A$14,'Form Details'!$D:$D,'Adv. Filter'!$B$14)</f>
        <v>0</v>
      </c>
      <c r="BV851" s="238"/>
      <c r="BW851" s="238"/>
      <c r="BX851" s="238"/>
      <c r="BY851" s="238"/>
      <c r="BZ851" s="238"/>
      <c r="CA851" s="239"/>
      <c r="CB851" s="237">
        <f>COUNTIFS('Form Details'!$W:$W,"Adv/Paid",'Form Details'!$N:$N,"Ganesh",'Form Details'!$J:$J,$C851,'Form Details'!$D:$D,'Adv. Filter'!$A$14,'Form Details'!$D:$D,'Adv. Filter'!$B$14)</f>
        <v>0</v>
      </c>
      <c r="CC851" s="238"/>
      <c r="CD851" s="238"/>
      <c r="CE851" s="238"/>
      <c r="CF851" s="238"/>
      <c r="CG851" s="238"/>
      <c r="CH851" s="239"/>
      <c r="CI851" s="237">
        <f>COUNTIFS('Form Details'!$W:$W,"Adv/Paid/Reject",'Form Details'!$N:$N,"Ganesh",'Form Details'!$J:$J,$C851,'Form Details'!$D:$D,'Adv. Filter'!$A$14,'Form Details'!$D:$D,'Adv. Filter'!$B$14)</f>
        <v>0</v>
      </c>
      <c r="CJ851" s="238"/>
      <c r="CK851" s="238"/>
      <c r="CL851" s="238"/>
      <c r="CM851" s="238"/>
      <c r="CN851" s="238"/>
      <c r="CO851" s="239"/>
      <c r="CP851" s="237">
        <f>COUNTIFS('Form Details'!$W:$W,"Reject",'Form Details'!$N:$N,"Ganesh",'Form Details'!$J:$J,$C851,'Form Details'!$D:$D,'Adv. Filter'!$A$14,'Form Details'!$D:$D,'Adv. Filter'!$B$14)</f>
        <v>0</v>
      </c>
      <c r="CQ851" s="238"/>
      <c r="CR851" s="238"/>
      <c r="CS851" s="238"/>
      <c r="CT851" s="238"/>
      <c r="CU851" s="238"/>
      <c r="CV851" s="239"/>
      <c r="CW851" s="237">
        <f>COUNTIFS('Form Details'!$W:$W,"Adv/Paid/Pending",'Form Details'!$N:$N,"Ganesh",'Form Details'!$J:$J,$C851,'Form Details'!$D:$D,'Adv. Filter'!$A$14,'Form Details'!$D:$D,'Adv. Filter'!$B$14)</f>
        <v>0</v>
      </c>
      <c r="CX851" s="238"/>
      <c r="CY851" s="238"/>
      <c r="CZ851" s="238"/>
      <c r="DA851" s="238"/>
      <c r="DB851" s="238"/>
      <c r="DC851" s="239"/>
      <c r="DD851" s="237">
        <f>COUNTIFS('Form Details'!$W:$W,"Pending",'Form Details'!$N:$N,"Ganesh",'Form Details'!$J:$J,$C851,'Form Details'!$D:$D,'Adv. Filter'!$A$14,'Form Details'!$D:$D,'Adv. Filter'!$B$14)</f>
        <v>0</v>
      </c>
      <c r="DE851" s="238"/>
      <c r="DF851" s="238"/>
      <c r="DG851" s="238"/>
      <c r="DH851" s="238"/>
      <c r="DI851" s="238"/>
      <c r="DJ851" s="239"/>
      <c r="DK851" s="237">
        <f>COUNTIFS('Form Details'!$W:$W,"Adv/Paid/NoStatus",'Form Details'!$N:$N,"Ganesh",'Form Details'!$J:$J,$C851,'Form Details'!$D:$D,'Adv. Filter'!$A$14,'Form Details'!$D:$D,'Adv. Filter'!$B$14)</f>
        <v>0</v>
      </c>
      <c r="DL851" s="238"/>
      <c r="DM851" s="238"/>
      <c r="DN851" s="238"/>
      <c r="DO851" s="238"/>
      <c r="DP851" s="238"/>
      <c r="DQ851" s="239"/>
      <c r="DR851" s="237">
        <f>COUNTIFS('Form Details'!$W:$W,"No Status",'Form Details'!$N:$N,"Ganesh",'Form Details'!$J:$J,$C851,'Form Details'!$D:$D,'Adv. Filter'!$A$14,'Form Details'!$D:$D,'Adv. Filter'!$B$14)</f>
        <v>0</v>
      </c>
      <c r="DS851" s="238"/>
      <c r="DT851" s="238"/>
      <c r="DU851" s="238"/>
      <c r="DV851" s="238"/>
      <c r="DW851" s="238"/>
      <c r="DX851" s="239"/>
      <c r="DY851" s="237">
        <f>SUM(COUNTIFS('Form Details'!$W:$W,{"Wrong Entry ","Double Entry"},'Form Details'!$N:$N,"Ganesh",'Form Details'!$J:$J,$C851,'Form Details'!$D:$D,'Adv. Filter'!$A$14,'Form Details'!$D:$D,'Adv. Filter'!$B$14))</f>
        <v>0</v>
      </c>
      <c r="DZ851" s="238"/>
      <c r="EA851" s="238"/>
      <c r="EB851" s="238"/>
      <c r="EC851" s="238"/>
      <c r="ED851" s="238"/>
      <c r="EE851" s="239"/>
    </row>
    <row r="852" spans="3:135" hidden="1">
      <c r="C852" s="248" t="s">
        <v>97</v>
      </c>
      <c r="D852" s="249"/>
      <c r="E852" s="249"/>
      <c r="F852" s="249"/>
      <c r="G852" s="249"/>
      <c r="H852" s="249"/>
      <c r="I852" s="249"/>
      <c r="J852" s="249"/>
      <c r="K852" s="249"/>
      <c r="L852" s="249"/>
      <c r="M852" s="249"/>
      <c r="N852" s="249"/>
      <c r="O852" s="237">
        <f>SUM(COUNTIFS('Form Details'!$AA:$AA,{"Yes","No","-"},'Form Details'!$N:$N,"Ganesh",'Form Details'!$J:$J,$C852,'Form Details'!$D:$D,'Adv. Filter'!$A$14,'Form Details'!$D:$D,'Adv. Filter'!$B$14))</f>
        <v>2</v>
      </c>
      <c r="P852" s="238"/>
      <c r="Q852" s="238"/>
      <c r="R852" s="238"/>
      <c r="S852" s="238"/>
      <c r="T852" s="238"/>
      <c r="U852" s="239"/>
      <c r="V852" s="100"/>
      <c r="W852" s="237">
        <f>COUNTIFS('Form Details'!$AA:$AA,"Yes",'Form Details'!$N:$N,"Ganesh",'Form Details'!$J:$J,$C852,'Form Details'!$D:$D,'Adv. Filter'!$A$14,'Form Details'!$D:$D,'Adv. Filter'!$B$14)</f>
        <v>2</v>
      </c>
      <c r="X852" s="238"/>
      <c r="Y852" s="238"/>
      <c r="Z852" s="238"/>
      <c r="AA852" s="238"/>
      <c r="AB852" s="238"/>
      <c r="AC852" s="239"/>
      <c r="AD852" s="237">
        <f>COUNTIFS('Form Details'!$W:$W,"Paid",'Form Details'!$N:$N,"Ganesh",'Form Details'!$J:$J,$C852,'Form Details'!$D:$D,'Adv. Filter'!$A$14,'Form Details'!$D:$D,'Adv. Filter'!$B$14)</f>
        <v>1</v>
      </c>
      <c r="AE852" s="238"/>
      <c r="AF852" s="238"/>
      <c r="AG852" s="238"/>
      <c r="AH852" s="238"/>
      <c r="AI852" s="238"/>
      <c r="AJ852" s="239"/>
      <c r="AK852" s="237">
        <f>COUNTIFS('Form Details'!$W:$W,"Due",'Form Details'!$N:$N,"Ganesh",'Form Details'!$J:$J,$C852,'Form Details'!$D:$D,'Adv. Filter'!$A$14,'Form Details'!$D:$D,'Adv. Filter'!$B$14)</f>
        <v>1</v>
      </c>
      <c r="AL852" s="238"/>
      <c r="AM852" s="238"/>
      <c r="AN852" s="238"/>
      <c r="AO852" s="238"/>
      <c r="AP852" s="238"/>
      <c r="AQ852" s="239"/>
      <c r="AR852" s="237">
        <f>COUNTIFS('Form Details'!$W:$W,"No Fee",'Form Details'!$N:$N,"Ganesh",'Form Details'!$J:$J,$C852,'Form Details'!$D:$D,'Adv. Filter'!$A$14,'Form Details'!$D:$D,'Adv. Filter'!$B$14)</f>
        <v>0</v>
      </c>
      <c r="AS852" s="238"/>
      <c r="AT852" s="238"/>
      <c r="AU852" s="238"/>
      <c r="AV852" s="238"/>
      <c r="AW852" s="238"/>
      <c r="AX852" s="239"/>
      <c r="AY852" s="237">
        <f>COUNTIFS('Form Details'!$W:$W,"Paid/Reject",'Form Details'!$N:$N,"Ganesh",'Form Details'!$J:$J,$C852,'Form Details'!$D:$D,'Adv. Filter'!$A$14,'Form Details'!$D:$D,'Adv. Filter'!$B$14)</f>
        <v>0</v>
      </c>
      <c r="AZ852" s="238"/>
      <c r="BA852" s="238"/>
      <c r="BB852" s="238"/>
      <c r="BC852" s="238"/>
      <c r="BD852" s="238"/>
      <c r="BE852" s="239"/>
      <c r="BF852" s="237">
        <f>COUNTIFS('Form Details'!$W:$W,"Staff",'Form Details'!$N:$N,"Ganesh",'Form Details'!$J:$J,$C852,'Form Details'!$D:$D,'Adv. Filter'!$A$14,'Form Details'!$D:$D,'Adv. Filter'!$B$14)</f>
        <v>0</v>
      </c>
      <c r="BG852" s="238"/>
      <c r="BH852" s="238"/>
      <c r="BI852" s="238"/>
      <c r="BJ852" s="238"/>
      <c r="BK852" s="238"/>
      <c r="BL852" s="239"/>
      <c r="BM852" s="237">
        <f>COUNTIFS('Form Details'!$W:$W,"File in Office",'Form Details'!$N:$N,"Ganesh",'Form Details'!$J:$J,$C852,'Form Details'!$D:$D,'Adv. Filter'!$A$14,'Form Details'!$D:$D,'Adv. Filter'!$B$14)</f>
        <v>0</v>
      </c>
      <c r="BN852" s="238"/>
      <c r="BO852" s="238"/>
      <c r="BP852" s="238"/>
      <c r="BQ852" s="238"/>
      <c r="BR852" s="238"/>
      <c r="BS852" s="239"/>
      <c r="BT852" s="100"/>
      <c r="BU852" s="237">
        <f>COUNTIFS('Form Details'!$AA:$AA,"No",'Form Details'!$N:$N,"Ganesh",'Form Details'!$J:$J,$C852,'Form Details'!$D:$D,'Adv. Filter'!$A$14,'Form Details'!$D:$D,'Adv. Filter'!$B$14)</f>
        <v>0</v>
      </c>
      <c r="BV852" s="238"/>
      <c r="BW852" s="238"/>
      <c r="BX852" s="238"/>
      <c r="BY852" s="238"/>
      <c r="BZ852" s="238"/>
      <c r="CA852" s="239"/>
      <c r="CB852" s="237">
        <f>COUNTIFS('Form Details'!$W:$W,"Adv/Paid",'Form Details'!$N:$N,"Ganesh",'Form Details'!$J:$J,$C852,'Form Details'!$D:$D,'Adv. Filter'!$A$14,'Form Details'!$D:$D,'Adv. Filter'!$B$14)</f>
        <v>0</v>
      </c>
      <c r="CC852" s="238"/>
      <c r="CD852" s="238"/>
      <c r="CE852" s="238"/>
      <c r="CF852" s="238"/>
      <c r="CG852" s="238"/>
      <c r="CH852" s="239"/>
      <c r="CI852" s="237">
        <f>COUNTIFS('Form Details'!$W:$W,"Adv/Paid/Reject",'Form Details'!$N:$N,"Ganesh",'Form Details'!$J:$J,$C852,'Form Details'!$D:$D,'Adv. Filter'!$A$14,'Form Details'!$D:$D,'Adv. Filter'!$B$14)</f>
        <v>0</v>
      </c>
      <c r="CJ852" s="238"/>
      <c r="CK852" s="238"/>
      <c r="CL852" s="238"/>
      <c r="CM852" s="238"/>
      <c r="CN852" s="238"/>
      <c r="CO852" s="239"/>
      <c r="CP852" s="237">
        <f>COUNTIFS('Form Details'!$W:$W,"Reject",'Form Details'!$N:$N,"Ganesh",'Form Details'!$J:$J,$C852,'Form Details'!$D:$D,'Adv. Filter'!$A$14,'Form Details'!$D:$D,'Adv. Filter'!$B$14)</f>
        <v>0</v>
      </c>
      <c r="CQ852" s="238"/>
      <c r="CR852" s="238"/>
      <c r="CS852" s="238"/>
      <c r="CT852" s="238"/>
      <c r="CU852" s="238"/>
      <c r="CV852" s="239"/>
      <c r="CW852" s="237">
        <f>COUNTIFS('Form Details'!$W:$W,"Adv/Paid/Pending",'Form Details'!$N:$N,"Ganesh",'Form Details'!$J:$J,$C852,'Form Details'!$D:$D,'Adv. Filter'!$A$14,'Form Details'!$D:$D,'Adv. Filter'!$B$14)</f>
        <v>0</v>
      </c>
      <c r="CX852" s="238"/>
      <c r="CY852" s="238"/>
      <c r="CZ852" s="238"/>
      <c r="DA852" s="238"/>
      <c r="DB852" s="238"/>
      <c r="DC852" s="239"/>
      <c r="DD852" s="237">
        <f>COUNTIFS('Form Details'!$W:$W,"Pending",'Form Details'!$N:$N,"Ganesh",'Form Details'!$J:$J,$C852,'Form Details'!$D:$D,'Adv. Filter'!$A$14,'Form Details'!$D:$D,'Adv. Filter'!$B$14)</f>
        <v>0</v>
      </c>
      <c r="DE852" s="238"/>
      <c r="DF852" s="238"/>
      <c r="DG852" s="238"/>
      <c r="DH852" s="238"/>
      <c r="DI852" s="238"/>
      <c r="DJ852" s="239"/>
      <c r="DK852" s="237">
        <f>COUNTIFS('Form Details'!$W:$W,"Adv/Paid/NoStatus",'Form Details'!$N:$N,"Ganesh",'Form Details'!$J:$J,$C852,'Form Details'!$D:$D,'Adv. Filter'!$A$14,'Form Details'!$D:$D,'Adv. Filter'!$B$14)</f>
        <v>0</v>
      </c>
      <c r="DL852" s="238"/>
      <c r="DM852" s="238"/>
      <c r="DN852" s="238"/>
      <c r="DO852" s="238"/>
      <c r="DP852" s="238"/>
      <c r="DQ852" s="239"/>
      <c r="DR852" s="237">
        <f>COUNTIFS('Form Details'!$W:$W,"No Status",'Form Details'!$N:$N,"Ganesh",'Form Details'!$J:$J,$C852,'Form Details'!$D:$D,'Adv. Filter'!$A$14,'Form Details'!$D:$D,'Adv. Filter'!$B$14)</f>
        <v>0</v>
      </c>
      <c r="DS852" s="238"/>
      <c r="DT852" s="238"/>
      <c r="DU852" s="238"/>
      <c r="DV852" s="238"/>
      <c r="DW852" s="238"/>
      <c r="DX852" s="239"/>
      <c r="DY852" s="237">
        <f>SUM(COUNTIFS('Form Details'!$W:$W,{"Wrong Entry ","Double Entry"},'Form Details'!$N:$N,"Ganesh",'Form Details'!$J:$J,$C852,'Form Details'!$D:$D,'Adv. Filter'!$A$14,'Form Details'!$D:$D,'Adv. Filter'!$B$14))</f>
        <v>0</v>
      </c>
      <c r="DZ852" s="238"/>
      <c r="EA852" s="238"/>
      <c r="EB852" s="238"/>
      <c r="EC852" s="238"/>
      <c r="ED852" s="238"/>
      <c r="EE852" s="239"/>
    </row>
    <row r="853" spans="3:135" hidden="1">
      <c r="C853" s="248" t="s">
        <v>102</v>
      </c>
      <c r="D853" s="249"/>
      <c r="E853" s="249"/>
      <c r="F853" s="249"/>
      <c r="G853" s="249"/>
      <c r="H853" s="249"/>
      <c r="I853" s="249"/>
      <c r="J853" s="249"/>
      <c r="K853" s="249"/>
      <c r="L853" s="249"/>
      <c r="M853" s="249"/>
      <c r="N853" s="249"/>
      <c r="O853" s="237">
        <f>SUM(COUNTIFS('Form Details'!$AA:$AA,{"Yes","No","-"},'Form Details'!$N:$N,"Ganesh",'Form Details'!$J:$J,$C853,'Form Details'!$D:$D,'Adv. Filter'!$A$14,'Form Details'!$D:$D,'Adv. Filter'!$B$14))</f>
        <v>0</v>
      </c>
      <c r="P853" s="238"/>
      <c r="Q853" s="238"/>
      <c r="R853" s="238"/>
      <c r="S853" s="238"/>
      <c r="T853" s="238"/>
      <c r="U853" s="239"/>
      <c r="V853" s="100"/>
      <c r="W853" s="237">
        <f>COUNTIFS('Form Details'!$AA:$AA,"Yes",'Form Details'!$N:$N,"Ganesh",'Form Details'!$J:$J,$C853,'Form Details'!$D:$D,'Adv. Filter'!$A$14,'Form Details'!$D:$D,'Adv. Filter'!$B$14)</f>
        <v>0</v>
      </c>
      <c r="X853" s="238"/>
      <c r="Y853" s="238"/>
      <c r="Z853" s="238"/>
      <c r="AA853" s="238"/>
      <c r="AB853" s="238"/>
      <c r="AC853" s="239"/>
      <c r="AD853" s="237">
        <f>COUNTIFS('Form Details'!$W:$W,"Paid",'Form Details'!$N:$N,"Ganesh",'Form Details'!$J:$J,$C853,'Form Details'!$D:$D,'Adv. Filter'!$A$14,'Form Details'!$D:$D,'Adv. Filter'!$B$14)</f>
        <v>0</v>
      </c>
      <c r="AE853" s="238"/>
      <c r="AF853" s="238"/>
      <c r="AG853" s="238"/>
      <c r="AH853" s="238"/>
      <c r="AI853" s="238"/>
      <c r="AJ853" s="239"/>
      <c r="AK853" s="237">
        <f>COUNTIFS('Form Details'!$W:$W,"Due",'Form Details'!$N:$N,"Ganesh",'Form Details'!$J:$J,$C853,'Form Details'!$D:$D,'Adv. Filter'!$A$14,'Form Details'!$D:$D,'Adv. Filter'!$B$14)</f>
        <v>0</v>
      </c>
      <c r="AL853" s="238"/>
      <c r="AM853" s="238"/>
      <c r="AN853" s="238"/>
      <c r="AO853" s="238"/>
      <c r="AP853" s="238"/>
      <c r="AQ853" s="239"/>
      <c r="AR853" s="237">
        <f>COUNTIFS('Form Details'!$W:$W,"No Fee",'Form Details'!$N:$N,"Ganesh",'Form Details'!$J:$J,$C853,'Form Details'!$D:$D,'Adv. Filter'!$A$14,'Form Details'!$D:$D,'Adv. Filter'!$B$14)</f>
        <v>0</v>
      </c>
      <c r="AS853" s="238"/>
      <c r="AT853" s="238"/>
      <c r="AU853" s="238"/>
      <c r="AV853" s="238"/>
      <c r="AW853" s="238"/>
      <c r="AX853" s="239"/>
      <c r="AY853" s="237">
        <f>COUNTIFS('Form Details'!$W:$W,"Paid/Reject",'Form Details'!$N:$N,"Ganesh",'Form Details'!$J:$J,$C853,'Form Details'!$D:$D,'Adv. Filter'!$A$14,'Form Details'!$D:$D,'Adv. Filter'!$B$14)</f>
        <v>0</v>
      </c>
      <c r="AZ853" s="238"/>
      <c r="BA853" s="238"/>
      <c r="BB853" s="238"/>
      <c r="BC853" s="238"/>
      <c r="BD853" s="238"/>
      <c r="BE853" s="239"/>
      <c r="BF853" s="237">
        <f>COUNTIFS('Form Details'!$W:$W,"Staff",'Form Details'!$N:$N,"Ganesh",'Form Details'!$J:$J,$C853,'Form Details'!$D:$D,'Adv. Filter'!$A$14,'Form Details'!$D:$D,'Adv. Filter'!$B$14)</f>
        <v>0</v>
      </c>
      <c r="BG853" s="238"/>
      <c r="BH853" s="238"/>
      <c r="BI853" s="238"/>
      <c r="BJ853" s="238"/>
      <c r="BK853" s="238"/>
      <c r="BL853" s="239"/>
      <c r="BM853" s="237">
        <f>COUNTIFS('Form Details'!$W:$W,"File in Office",'Form Details'!$N:$N,"Ganesh",'Form Details'!$J:$J,$C853,'Form Details'!$D:$D,'Adv. Filter'!$A$14,'Form Details'!$D:$D,'Adv. Filter'!$B$14)</f>
        <v>0</v>
      </c>
      <c r="BN853" s="238"/>
      <c r="BO853" s="238"/>
      <c r="BP853" s="238"/>
      <c r="BQ853" s="238"/>
      <c r="BR853" s="238"/>
      <c r="BS853" s="239"/>
      <c r="BT853" s="100"/>
      <c r="BU853" s="237">
        <f>COUNTIFS('Form Details'!$AA:$AA,"No",'Form Details'!$N:$N,"Ganesh",'Form Details'!$J:$J,$C853,'Form Details'!$D:$D,'Adv. Filter'!$A$14,'Form Details'!$D:$D,'Adv. Filter'!$B$14)</f>
        <v>0</v>
      </c>
      <c r="BV853" s="238"/>
      <c r="BW853" s="238"/>
      <c r="BX853" s="238"/>
      <c r="BY853" s="238"/>
      <c r="BZ853" s="238"/>
      <c r="CA853" s="239"/>
      <c r="CB853" s="237">
        <f>COUNTIFS('Form Details'!$W:$W,"Adv/Paid",'Form Details'!$N:$N,"Ganesh",'Form Details'!$J:$J,$C853,'Form Details'!$D:$D,'Adv. Filter'!$A$14,'Form Details'!$D:$D,'Adv. Filter'!$B$14)</f>
        <v>0</v>
      </c>
      <c r="CC853" s="238"/>
      <c r="CD853" s="238"/>
      <c r="CE853" s="238"/>
      <c r="CF853" s="238"/>
      <c r="CG853" s="238"/>
      <c r="CH853" s="239"/>
      <c r="CI853" s="237">
        <f>COUNTIFS('Form Details'!$W:$W,"Adv/Paid/Reject",'Form Details'!$N:$N,"Ganesh",'Form Details'!$J:$J,$C853,'Form Details'!$D:$D,'Adv. Filter'!$A$14,'Form Details'!$D:$D,'Adv. Filter'!$B$14)</f>
        <v>0</v>
      </c>
      <c r="CJ853" s="238"/>
      <c r="CK853" s="238"/>
      <c r="CL853" s="238"/>
      <c r="CM853" s="238"/>
      <c r="CN853" s="238"/>
      <c r="CO853" s="239"/>
      <c r="CP853" s="237">
        <f>COUNTIFS('Form Details'!$W:$W,"Reject",'Form Details'!$N:$N,"Ganesh",'Form Details'!$J:$J,$C853,'Form Details'!$D:$D,'Adv. Filter'!$A$14,'Form Details'!$D:$D,'Adv. Filter'!$B$14)</f>
        <v>0</v>
      </c>
      <c r="CQ853" s="238"/>
      <c r="CR853" s="238"/>
      <c r="CS853" s="238"/>
      <c r="CT853" s="238"/>
      <c r="CU853" s="238"/>
      <c r="CV853" s="239"/>
      <c r="CW853" s="237">
        <f>COUNTIFS('Form Details'!$W:$W,"Adv/Paid/Pending",'Form Details'!$N:$N,"Ganesh",'Form Details'!$J:$J,$C853,'Form Details'!$D:$D,'Adv. Filter'!$A$14,'Form Details'!$D:$D,'Adv. Filter'!$B$14)</f>
        <v>0</v>
      </c>
      <c r="CX853" s="238"/>
      <c r="CY853" s="238"/>
      <c r="CZ853" s="238"/>
      <c r="DA853" s="238"/>
      <c r="DB853" s="238"/>
      <c r="DC853" s="239"/>
      <c r="DD853" s="237">
        <f>COUNTIFS('Form Details'!$W:$W,"Pending",'Form Details'!$N:$N,"Ganesh",'Form Details'!$J:$J,$C853,'Form Details'!$D:$D,'Adv. Filter'!$A$14,'Form Details'!$D:$D,'Adv. Filter'!$B$14)</f>
        <v>0</v>
      </c>
      <c r="DE853" s="238"/>
      <c r="DF853" s="238"/>
      <c r="DG853" s="238"/>
      <c r="DH853" s="238"/>
      <c r="DI853" s="238"/>
      <c r="DJ853" s="239"/>
      <c r="DK853" s="237">
        <f>COUNTIFS('Form Details'!$W:$W,"Adv/Paid/NoStatus",'Form Details'!$N:$N,"Ganesh",'Form Details'!$J:$J,$C853,'Form Details'!$D:$D,'Adv. Filter'!$A$14,'Form Details'!$D:$D,'Adv. Filter'!$B$14)</f>
        <v>0</v>
      </c>
      <c r="DL853" s="238"/>
      <c r="DM853" s="238"/>
      <c r="DN853" s="238"/>
      <c r="DO853" s="238"/>
      <c r="DP853" s="238"/>
      <c r="DQ853" s="239"/>
      <c r="DR853" s="237">
        <f>COUNTIFS('Form Details'!$W:$W,"No Status",'Form Details'!$N:$N,"Ganesh",'Form Details'!$J:$J,$C853,'Form Details'!$D:$D,'Adv. Filter'!$A$14,'Form Details'!$D:$D,'Adv. Filter'!$B$14)</f>
        <v>0</v>
      </c>
      <c r="DS853" s="238"/>
      <c r="DT853" s="238"/>
      <c r="DU853" s="238"/>
      <c r="DV853" s="238"/>
      <c r="DW853" s="238"/>
      <c r="DX853" s="239"/>
      <c r="DY853" s="237">
        <f>SUM(COUNTIFS('Form Details'!$W:$W,{"Wrong Entry ","Double Entry"},'Form Details'!$N:$N,"Ganesh",'Form Details'!$J:$J,$C853,'Form Details'!$D:$D,'Adv. Filter'!$A$14,'Form Details'!$D:$D,'Adv. Filter'!$B$14))</f>
        <v>0</v>
      </c>
      <c r="DZ853" s="238"/>
      <c r="EA853" s="238"/>
      <c r="EB853" s="238"/>
      <c r="EC853" s="238"/>
      <c r="ED853" s="238"/>
      <c r="EE853" s="239"/>
    </row>
    <row r="854" spans="3:135" ht="15.75" hidden="1" thickBot="1">
      <c r="C854" s="248" t="s">
        <v>108</v>
      </c>
      <c r="D854" s="249"/>
      <c r="E854" s="249"/>
      <c r="F854" s="249"/>
      <c r="G854" s="249"/>
      <c r="H854" s="249"/>
      <c r="I854" s="249"/>
      <c r="J854" s="249"/>
      <c r="K854" s="249"/>
      <c r="L854" s="249"/>
      <c r="M854" s="249"/>
      <c r="N854" s="249"/>
      <c r="O854" s="240">
        <f>SUM(COUNTIFS('Form Details'!$AA:$AA,{"Yes","No","-"},'Form Details'!$N:$N,"Ganesh",'Form Details'!$J:$J,$C854,'Form Details'!$D:$D,'Adv. Filter'!$A$14,'Form Details'!$D:$D,'Adv. Filter'!$B$14))</f>
        <v>116</v>
      </c>
      <c r="P854" s="241"/>
      <c r="Q854" s="241"/>
      <c r="R854" s="241"/>
      <c r="S854" s="241"/>
      <c r="T854" s="241"/>
      <c r="U854" s="242"/>
      <c r="V854" s="100"/>
      <c r="W854" s="240">
        <f>COUNTIFS('Form Details'!$AA:$AA,"Yes",'Form Details'!$N:$N,"Ganesh",'Form Details'!$J:$J,$C854,'Form Details'!$D:$D,'Adv. Filter'!$A$14,'Form Details'!$D:$D,'Adv. Filter'!$B$14)</f>
        <v>90</v>
      </c>
      <c r="X854" s="241"/>
      <c r="Y854" s="241"/>
      <c r="Z854" s="241"/>
      <c r="AA854" s="241"/>
      <c r="AB854" s="241"/>
      <c r="AC854" s="242"/>
      <c r="AD854" s="240">
        <f>COUNTIFS('Form Details'!$W:$W,"Paid",'Form Details'!$N:$N,"Ganesh",'Form Details'!$J:$J,$C854,'Form Details'!$D:$D,'Adv. Filter'!$A$14,'Form Details'!$D:$D,'Adv. Filter'!$B$14)</f>
        <v>46</v>
      </c>
      <c r="AE854" s="241"/>
      <c r="AF854" s="241"/>
      <c r="AG854" s="241"/>
      <c r="AH854" s="241"/>
      <c r="AI854" s="241"/>
      <c r="AJ854" s="242"/>
      <c r="AK854" s="240">
        <f>COUNTIFS('Form Details'!$W:$W,"Due",'Form Details'!$N:$N,"Ganesh",'Form Details'!$J:$J,$C854,'Form Details'!$D:$D,'Adv. Filter'!$A$14,'Form Details'!$D:$D,'Adv. Filter'!$B$14)</f>
        <v>44</v>
      </c>
      <c r="AL854" s="241"/>
      <c r="AM854" s="241"/>
      <c r="AN854" s="241"/>
      <c r="AO854" s="241"/>
      <c r="AP854" s="241"/>
      <c r="AQ854" s="242"/>
      <c r="AR854" s="240">
        <f>COUNTIFS('Form Details'!$W:$W,"No Fee",'Form Details'!$N:$N,"Ganesh",'Form Details'!$J:$J,$C854,'Form Details'!$D:$D,'Adv. Filter'!$A$14,'Form Details'!$D:$D,'Adv. Filter'!$B$14)</f>
        <v>0</v>
      </c>
      <c r="AS854" s="241"/>
      <c r="AT854" s="241"/>
      <c r="AU854" s="241"/>
      <c r="AV854" s="241"/>
      <c r="AW854" s="241"/>
      <c r="AX854" s="242"/>
      <c r="AY854" s="240">
        <f>COUNTIFS('Form Details'!$W:$W,"Paid/Reject",'Form Details'!$N:$N,"Ganesh",'Form Details'!$J:$J,$C854,'Form Details'!$D:$D,'Adv. Filter'!$A$14,'Form Details'!$D:$D,'Adv. Filter'!$B$14)</f>
        <v>0</v>
      </c>
      <c r="AZ854" s="241"/>
      <c r="BA854" s="241"/>
      <c r="BB854" s="241"/>
      <c r="BC854" s="241"/>
      <c r="BD854" s="241"/>
      <c r="BE854" s="242"/>
      <c r="BF854" s="240">
        <f>COUNTIFS('Form Details'!$W:$W,"Staff",'Form Details'!$N:$N,"Ganesh",'Form Details'!$J:$J,$C854,'Form Details'!$D:$D,'Adv. Filter'!$A$14,'Form Details'!$D:$D,'Adv. Filter'!$B$14)</f>
        <v>0</v>
      </c>
      <c r="BG854" s="241"/>
      <c r="BH854" s="241"/>
      <c r="BI854" s="241"/>
      <c r="BJ854" s="241"/>
      <c r="BK854" s="241"/>
      <c r="BL854" s="242"/>
      <c r="BM854" s="240">
        <f>COUNTIFS('Form Details'!$W:$W,"File in Office",'Form Details'!$N:$N,"Ganesh",'Form Details'!$J:$J,$C854,'Form Details'!$D:$D,'Adv. Filter'!$A$14,'Form Details'!$D:$D,'Adv. Filter'!$B$14)</f>
        <v>0</v>
      </c>
      <c r="BN854" s="241"/>
      <c r="BO854" s="241"/>
      <c r="BP854" s="241"/>
      <c r="BQ854" s="241"/>
      <c r="BR854" s="241"/>
      <c r="BS854" s="242"/>
      <c r="BT854" s="100"/>
      <c r="BU854" s="240">
        <f>COUNTIFS('Form Details'!$AA:$AA,"No",'Form Details'!$N:$N,"Ganesh",'Form Details'!$J:$J,$C854,'Form Details'!$D:$D,'Adv. Filter'!$A$14,'Form Details'!$D:$D,'Adv. Filter'!$B$14)</f>
        <v>0</v>
      </c>
      <c r="BV854" s="241"/>
      <c r="BW854" s="241"/>
      <c r="BX854" s="241"/>
      <c r="BY854" s="241"/>
      <c r="BZ854" s="241"/>
      <c r="CA854" s="242"/>
      <c r="CB854" s="240">
        <f>COUNTIFS('Form Details'!$W:$W,"Adv/Paid",'Form Details'!$N:$N,"Ganesh",'Form Details'!$J:$J,$C854,'Form Details'!$D:$D,'Adv. Filter'!$A$14,'Form Details'!$D:$D,'Adv. Filter'!$B$14)</f>
        <v>0</v>
      </c>
      <c r="CC854" s="241"/>
      <c r="CD854" s="241"/>
      <c r="CE854" s="241"/>
      <c r="CF854" s="241"/>
      <c r="CG854" s="241"/>
      <c r="CH854" s="242"/>
      <c r="CI854" s="240">
        <f>COUNTIFS('Form Details'!$W:$W,"Adv/Paid/Reject",'Form Details'!$N:$N,"Ganesh",'Form Details'!$J:$J,$C854,'Form Details'!$D:$D,'Adv. Filter'!$A$14,'Form Details'!$D:$D,'Adv. Filter'!$B$14)</f>
        <v>0</v>
      </c>
      <c r="CJ854" s="241"/>
      <c r="CK854" s="241"/>
      <c r="CL854" s="241"/>
      <c r="CM854" s="241"/>
      <c r="CN854" s="241"/>
      <c r="CO854" s="242"/>
      <c r="CP854" s="240">
        <f>COUNTIFS('Form Details'!$W:$W,"Reject",'Form Details'!$N:$N,"Ganesh",'Form Details'!$J:$J,$C854,'Form Details'!$D:$D,'Adv. Filter'!$A$14,'Form Details'!$D:$D,'Adv. Filter'!$B$14)</f>
        <v>0</v>
      </c>
      <c r="CQ854" s="241"/>
      <c r="CR854" s="241"/>
      <c r="CS854" s="241"/>
      <c r="CT854" s="241"/>
      <c r="CU854" s="241"/>
      <c r="CV854" s="242"/>
      <c r="CW854" s="240">
        <f>COUNTIFS('Form Details'!$W:$W,"Adv/Paid/Pending",'Form Details'!$N:$N,"Ganesh",'Form Details'!$J:$J,$C854,'Form Details'!$D:$D,'Adv. Filter'!$A$14,'Form Details'!$D:$D,'Adv. Filter'!$B$14)</f>
        <v>0</v>
      </c>
      <c r="CX854" s="241"/>
      <c r="CY854" s="241"/>
      <c r="CZ854" s="241"/>
      <c r="DA854" s="241"/>
      <c r="DB854" s="241"/>
      <c r="DC854" s="242"/>
      <c r="DD854" s="240">
        <f>COUNTIFS('Form Details'!$W:$W,"Pending",'Form Details'!$N:$N,"Ganesh",'Form Details'!$J:$J,$C854,'Form Details'!$D:$D,'Adv. Filter'!$A$14,'Form Details'!$D:$D,'Adv. Filter'!$B$14)</f>
        <v>0</v>
      </c>
      <c r="DE854" s="241"/>
      <c r="DF854" s="241"/>
      <c r="DG854" s="241"/>
      <c r="DH854" s="241"/>
      <c r="DI854" s="241"/>
      <c r="DJ854" s="242"/>
      <c r="DK854" s="240">
        <f>COUNTIFS('Form Details'!$W:$W,"Adv/Paid/NoStatus",'Form Details'!$N:$N,"Ganesh",'Form Details'!$J:$J,$C854,'Form Details'!$D:$D,'Adv. Filter'!$A$14,'Form Details'!$D:$D,'Adv. Filter'!$B$14)</f>
        <v>0</v>
      </c>
      <c r="DL854" s="241"/>
      <c r="DM854" s="241"/>
      <c r="DN854" s="241"/>
      <c r="DO854" s="241"/>
      <c r="DP854" s="241"/>
      <c r="DQ854" s="242"/>
      <c r="DR854" s="240">
        <f>COUNTIFS('Form Details'!$W:$W,"No Status",'Form Details'!$N:$N,"Ganesh",'Form Details'!$J:$J,$C854,'Form Details'!$D:$D,'Adv. Filter'!$A$14,'Form Details'!$D:$D,'Adv. Filter'!$B$14)</f>
        <v>0</v>
      </c>
      <c r="DS854" s="241"/>
      <c r="DT854" s="241"/>
      <c r="DU854" s="241"/>
      <c r="DV854" s="241"/>
      <c r="DW854" s="241"/>
      <c r="DX854" s="242"/>
      <c r="DY854" s="240">
        <f>SUM(COUNTIFS('Form Details'!$W:$W,{"Wrong Entry ","Double Entry"},'Form Details'!$N:$N,"Ganesh",'Form Details'!$J:$J,$C854,'Form Details'!$D:$D,'Adv. Filter'!$A$14,'Form Details'!$D:$D,'Adv. Filter'!$B$14))</f>
        <v>0</v>
      </c>
      <c r="DZ854" s="241"/>
      <c r="EA854" s="241"/>
      <c r="EB854" s="241"/>
      <c r="EC854" s="241"/>
      <c r="ED854" s="241"/>
      <c r="EE854" s="242"/>
    </row>
    <row r="855" spans="3:135" ht="15.75" hidden="1" thickTop="1">
      <c r="C855" s="246" t="s">
        <v>503</v>
      </c>
      <c r="D855" s="247"/>
      <c r="E855" s="247"/>
      <c r="F855" s="247"/>
      <c r="G855" s="247"/>
      <c r="H855" s="247"/>
      <c r="I855" s="247"/>
      <c r="J855" s="247"/>
      <c r="K855" s="247"/>
      <c r="L855" s="247"/>
      <c r="M855" s="247"/>
      <c r="N855" s="247"/>
      <c r="O855" s="243">
        <f>SUM(O838:U854)</f>
        <v>118</v>
      </c>
      <c r="P855" s="244"/>
      <c r="Q855" s="244"/>
      <c r="R855" s="244"/>
      <c r="S855" s="244"/>
      <c r="T855" s="244"/>
      <c r="U855" s="244"/>
      <c r="V855" s="106"/>
      <c r="W855" s="243">
        <f>SUM(W838:AC854)</f>
        <v>92</v>
      </c>
      <c r="X855" s="244"/>
      <c r="Y855" s="244"/>
      <c r="Z855" s="244"/>
      <c r="AA855" s="244"/>
      <c r="AB855" s="244"/>
      <c r="AC855" s="244"/>
      <c r="AD855" s="243">
        <f>SUM(AD838:AJ854)</f>
        <v>47</v>
      </c>
      <c r="AE855" s="244"/>
      <c r="AF855" s="244"/>
      <c r="AG855" s="244"/>
      <c r="AH855" s="244"/>
      <c r="AI855" s="244"/>
      <c r="AJ855" s="244"/>
      <c r="AK855" s="243">
        <f>SUM(AK838:AQ854)</f>
        <v>45</v>
      </c>
      <c r="AL855" s="244"/>
      <c r="AM855" s="244"/>
      <c r="AN855" s="244"/>
      <c r="AO855" s="244"/>
      <c r="AP855" s="244"/>
      <c r="AQ855" s="244"/>
      <c r="AR855" s="243">
        <f>SUM(AR838:AX854)</f>
        <v>0</v>
      </c>
      <c r="AS855" s="244"/>
      <c r="AT855" s="244"/>
      <c r="AU855" s="244"/>
      <c r="AV855" s="244"/>
      <c r="AW855" s="244"/>
      <c r="AX855" s="244"/>
      <c r="AY855" s="243">
        <f>SUM(AY838:BE854)</f>
        <v>0</v>
      </c>
      <c r="AZ855" s="244"/>
      <c r="BA855" s="244"/>
      <c r="BB855" s="244"/>
      <c r="BC855" s="244"/>
      <c r="BD855" s="244"/>
      <c r="BE855" s="244"/>
      <c r="BF855" s="243">
        <f>SUM(BF838:BL854)</f>
        <v>0</v>
      </c>
      <c r="BG855" s="244"/>
      <c r="BH855" s="244"/>
      <c r="BI855" s="244"/>
      <c r="BJ855" s="244"/>
      <c r="BK855" s="244"/>
      <c r="BL855" s="244"/>
      <c r="BM855" s="243">
        <f>SUM(BM838:BS854)</f>
        <v>0</v>
      </c>
      <c r="BN855" s="244"/>
      <c r="BO855" s="244"/>
      <c r="BP855" s="244"/>
      <c r="BQ855" s="244"/>
      <c r="BR855" s="244"/>
      <c r="BS855" s="244"/>
      <c r="BT855" s="106"/>
      <c r="BU855" s="243">
        <f>SUM(BU838:CA854)</f>
        <v>0</v>
      </c>
      <c r="BV855" s="244"/>
      <c r="BW855" s="244"/>
      <c r="BX855" s="244"/>
      <c r="BY855" s="244"/>
      <c r="BZ855" s="244"/>
      <c r="CA855" s="244"/>
      <c r="CB855" s="243">
        <f>SUM(CB838:CH854)</f>
        <v>0</v>
      </c>
      <c r="CC855" s="244"/>
      <c r="CD855" s="244"/>
      <c r="CE855" s="244"/>
      <c r="CF855" s="244"/>
      <c r="CG855" s="244"/>
      <c r="CH855" s="244"/>
      <c r="CI855" s="243">
        <f>SUM(CI838:CO854)</f>
        <v>0</v>
      </c>
      <c r="CJ855" s="244"/>
      <c r="CK855" s="244"/>
      <c r="CL855" s="244"/>
      <c r="CM855" s="244"/>
      <c r="CN855" s="244"/>
      <c r="CO855" s="244"/>
      <c r="CP855" s="243">
        <f>SUM(CP838:CV854)</f>
        <v>0</v>
      </c>
      <c r="CQ855" s="244"/>
      <c r="CR855" s="244"/>
      <c r="CS855" s="244"/>
      <c r="CT855" s="244"/>
      <c r="CU855" s="244"/>
      <c r="CV855" s="244"/>
      <c r="CW855" s="243">
        <f>SUM(CW838:DC854)</f>
        <v>0</v>
      </c>
      <c r="CX855" s="244"/>
      <c r="CY855" s="244"/>
      <c r="CZ855" s="244"/>
      <c r="DA855" s="244"/>
      <c r="DB855" s="244"/>
      <c r="DC855" s="244"/>
      <c r="DD855" s="243">
        <f>SUM(DD838:DJ854)</f>
        <v>0</v>
      </c>
      <c r="DE855" s="244"/>
      <c r="DF855" s="244"/>
      <c r="DG855" s="244"/>
      <c r="DH855" s="244"/>
      <c r="DI855" s="244"/>
      <c r="DJ855" s="244"/>
      <c r="DK855" s="243">
        <f>SUM(DK838:DQ854)</f>
        <v>0</v>
      </c>
      <c r="DL855" s="244"/>
      <c r="DM855" s="244"/>
      <c r="DN855" s="244"/>
      <c r="DO855" s="244"/>
      <c r="DP855" s="244"/>
      <c r="DQ855" s="244"/>
      <c r="DR855" s="243">
        <f>SUM(DR838:DX854)</f>
        <v>0</v>
      </c>
      <c r="DS855" s="244"/>
      <c r="DT855" s="244"/>
      <c r="DU855" s="244"/>
      <c r="DV855" s="244"/>
      <c r="DW855" s="244"/>
      <c r="DX855" s="244"/>
      <c r="DY855" s="243">
        <f>SUM(DY838:EE854)</f>
        <v>0</v>
      </c>
      <c r="DZ855" s="244"/>
      <c r="EA855" s="244"/>
      <c r="EB855" s="244"/>
      <c r="EC855" s="244"/>
      <c r="ED855" s="244"/>
      <c r="EE855" s="244"/>
    </row>
    <row r="856" spans="3:135" hidden="1">
      <c r="C856" s="100"/>
      <c r="E856" s="100"/>
      <c r="F856" s="100"/>
      <c r="G856" s="100"/>
      <c r="H856" s="100"/>
      <c r="I856" s="100"/>
      <c r="J856" s="100"/>
      <c r="K856" s="100"/>
      <c r="L856" s="100"/>
      <c r="M856" s="100"/>
      <c r="N856" s="100"/>
      <c r="O856" s="100"/>
      <c r="P856" s="100"/>
      <c r="Q856" s="100"/>
      <c r="R856" s="100"/>
      <c r="S856" s="100"/>
      <c r="T856" s="100"/>
      <c r="U856" s="100"/>
      <c r="V856" s="100"/>
      <c r="W856" s="100"/>
      <c r="X856" s="100"/>
      <c r="Y856" s="100"/>
      <c r="Z856" s="100"/>
      <c r="AA856" s="100"/>
      <c r="AB856" s="100"/>
      <c r="AC856" s="100"/>
      <c r="AD856" s="100"/>
      <c r="AE856" s="100"/>
      <c r="AF856" s="100"/>
      <c r="AG856" s="100"/>
      <c r="AH856" s="100"/>
      <c r="AI856" s="100"/>
      <c r="AJ856" s="100"/>
      <c r="AK856" s="100"/>
      <c r="AL856" s="100"/>
      <c r="AM856" s="100"/>
      <c r="AN856" s="100"/>
      <c r="AO856" s="100"/>
      <c r="AP856" s="100"/>
      <c r="AQ856" s="100"/>
      <c r="AR856" s="100"/>
      <c r="AS856" s="100"/>
      <c r="AT856" s="100"/>
      <c r="AU856" s="100"/>
      <c r="AV856" s="100"/>
      <c r="AW856" s="100"/>
      <c r="AX856" s="100"/>
      <c r="AY856" s="100"/>
      <c r="AZ856" s="100"/>
      <c r="BA856" s="100"/>
      <c r="BB856" s="100"/>
      <c r="BC856" s="100"/>
      <c r="BD856" s="100"/>
      <c r="BE856" s="100"/>
      <c r="BF856" s="100"/>
      <c r="BG856" s="100"/>
      <c r="BH856" s="100"/>
      <c r="BI856" s="100"/>
      <c r="BJ856" s="100"/>
      <c r="BK856" s="100"/>
      <c r="BL856" s="100"/>
      <c r="BM856" s="100"/>
      <c r="BN856" s="100"/>
      <c r="BO856" s="100"/>
      <c r="BP856" s="100"/>
      <c r="BQ856" s="100"/>
      <c r="BR856" s="100"/>
      <c r="BS856" s="100"/>
      <c r="BT856" s="100"/>
      <c r="BU856" s="100"/>
      <c r="BV856" s="100"/>
      <c r="BW856" s="100"/>
      <c r="BX856" s="100"/>
      <c r="BY856" s="100"/>
      <c r="BZ856" s="100"/>
      <c r="CA856" s="100"/>
      <c r="CB856" s="100"/>
      <c r="CC856" s="100"/>
      <c r="CD856" s="100"/>
      <c r="CE856" s="100"/>
      <c r="CF856" s="100"/>
      <c r="CG856" s="100"/>
      <c r="CH856" s="100"/>
      <c r="CI856" s="100"/>
      <c r="CJ856" s="100"/>
      <c r="CK856" s="100"/>
      <c r="CL856" s="100"/>
      <c r="CM856" s="100"/>
      <c r="CN856" s="100"/>
      <c r="CO856" s="100"/>
      <c r="CP856" s="100"/>
      <c r="CQ856" s="100"/>
      <c r="CR856" s="100"/>
      <c r="CS856" s="100"/>
      <c r="CT856" s="100"/>
      <c r="CU856" s="100"/>
      <c r="CV856" s="100"/>
      <c r="CW856" s="100"/>
      <c r="CX856" s="100"/>
      <c r="CY856" s="100"/>
      <c r="CZ856" s="100"/>
      <c r="DA856" s="100"/>
      <c r="DB856" s="100"/>
      <c r="DC856" s="100"/>
      <c r="DD856" s="100"/>
      <c r="DE856" s="100"/>
      <c r="DF856" s="100"/>
      <c r="DG856" s="100"/>
      <c r="DH856" s="100"/>
      <c r="DI856" s="100"/>
      <c r="DJ856" s="100"/>
      <c r="DK856" s="100"/>
      <c r="DL856" s="100"/>
      <c r="DM856" s="100"/>
      <c r="DN856" s="100"/>
      <c r="DO856" s="100"/>
      <c r="DP856" s="100"/>
      <c r="DQ856" s="100"/>
      <c r="DR856" s="100"/>
      <c r="DS856" s="100"/>
      <c r="DT856" s="100"/>
      <c r="DU856" s="100"/>
      <c r="DV856" s="100"/>
      <c r="DW856" s="100"/>
      <c r="DX856" s="100"/>
      <c r="DY856" s="100"/>
      <c r="DZ856" s="100"/>
      <c r="EA856" s="100"/>
      <c r="EB856" s="100"/>
      <c r="EC856" s="100"/>
      <c r="ED856" s="100"/>
      <c r="EE856" s="100"/>
    </row>
    <row r="857" spans="3:135" ht="15.75" hidden="1">
      <c r="C857" s="452" t="str">
        <f>CONCATENATE("PREVIOUS FORMS   ",TEXT('Adv. Filter'!$A$15,"( up to  DD-MMM-YY )"))</f>
        <v>PREVIOUS FORMS   ( up to  01-Jan-17 )</v>
      </c>
      <c r="D857" s="452"/>
      <c r="E857" s="452"/>
      <c r="F857" s="452"/>
      <c r="G857" s="452"/>
      <c r="H857" s="452"/>
      <c r="I857" s="452"/>
      <c r="J857" s="452"/>
      <c r="K857" s="452"/>
      <c r="L857" s="452"/>
      <c r="M857" s="452"/>
      <c r="N857" s="452"/>
      <c r="O857" s="452"/>
      <c r="P857" s="452"/>
      <c r="Q857" s="452"/>
      <c r="R857" s="452"/>
      <c r="S857" s="452"/>
      <c r="T857" s="452"/>
      <c r="U857" s="452"/>
      <c r="V857" s="452"/>
      <c r="W857" s="452"/>
      <c r="X857" s="452"/>
      <c r="Y857" s="452"/>
      <c r="Z857" s="452"/>
      <c r="AA857" s="452"/>
      <c r="AB857" s="452"/>
      <c r="AC857" s="452"/>
      <c r="AD857" s="452"/>
      <c r="AE857" s="452"/>
      <c r="AF857" s="452"/>
      <c r="AG857" s="452"/>
      <c r="AH857" s="452"/>
      <c r="AI857" s="452"/>
      <c r="AJ857" s="452"/>
      <c r="AK857" s="452"/>
      <c r="AL857" s="452"/>
      <c r="AM857" s="452"/>
      <c r="AN857" s="452"/>
      <c r="AO857" s="452"/>
      <c r="AP857" s="452"/>
      <c r="AQ857" s="452"/>
      <c r="AR857" s="452"/>
      <c r="AS857" s="452"/>
      <c r="AT857" s="452"/>
      <c r="AU857" s="452"/>
      <c r="AV857" s="452"/>
      <c r="AW857" s="452"/>
      <c r="AX857" s="452"/>
      <c r="AY857" s="452"/>
      <c r="AZ857" s="452"/>
      <c r="BA857" s="452"/>
      <c r="BB857" s="452"/>
      <c r="BC857" s="452"/>
      <c r="BD857" s="452"/>
      <c r="BE857" s="452"/>
      <c r="BF857" s="452"/>
      <c r="BG857" s="452"/>
      <c r="BH857" s="452"/>
      <c r="BI857" s="452"/>
      <c r="BJ857" s="452"/>
      <c r="BK857" s="452"/>
      <c r="BL857" s="452"/>
      <c r="BM857" s="452"/>
      <c r="BN857" s="452"/>
      <c r="BO857" s="452"/>
      <c r="BP857" s="452"/>
      <c r="BQ857" s="452"/>
      <c r="BR857" s="452"/>
      <c r="BS857" s="452"/>
      <c r="BT857" s="452"/>
      <c r="BU857" s="452"/>
      <c r="BV857" s="452"/>
      <c r="BW857" s="452"/>
      <c r="BX857" s="452"/>
      <c r="BY857" s="452"/>
      <c r="BZ857" s="452"/>
      <c r="CA857" s="452"/>
      <c r="CB857" s="452"/>
      <c r="CC857" s="452"/>
      <c r="CD857" s="452"/>
      <c r="CE857" s="452"/>
      <c r="CF857" s="452"/>
      <c r="CG857" s="452"/>
      <c r="CH857" s="452"/>
      <c r="CI857" s="452"/>
      <c r="CJ857" s="452"/>
      <c r="CK857" s="452"/>
      <c r="CL857" s="452"/>
      <c r="CM857" s="452"/>
      <c r="CN857" s="452"/>
      <c r="CO857" s="452"/>
      <c r="CP857" s="452"/>
      <c r="CQ857" s="452"/>
      <c r="CR857" s="452"/>
      <c r="CS857" s="452"/>
      <c r="CT857" s="452"/>
      <c r="CU857" s="452"/>
      <c r="CV857" s="452"/>
      <c r="CW857" s="452"/>
      <c r="CX857" s="452"/>
      <c r="CY857" s="452"/>
      <c r="CZ857" s="452"/>
      <c r="DA857" s="452"/>
      <c r="DB857" s="452"/>
      <c r="DC857" s="452"/>
      <c r="DD857" s="452"/>
      <c r="DE857" s="452"/>
      <c r="DF857" s="452"/>
      <c r="DG857" s="452"/>
      <c r="DH857" s="452"/>
      <c r="DI857" s="452"/>
      <c r="DJ857" s="452"/>
      <c r="DK857" s="452"/>
      <c r="DL857" s="452"/>
      <c r="DM857" s="452"/>
      <c r="DN857" s="452"/>
      <c r="DO857" s="452"/>
      <c r="DP857" s="452"/>
      <c r="DQ857" s="452"/>
      <c r="DR857" s="452"/>
      <c r="DS857" s="452"/>
      <c r="DT857" s="452"/>
      <c r="DU857" s="452"/>
      <c r="DV857" s="452"/>
      <c r="DW857" s="452"/>
      <c r="DX857" s="452"/>
      <c r="DY857" s="452"/>
      <c r="DZ857" s="452"/>
      <c r="EA857" s="452"/>
      <c r="EB857" s="452"/>
      <c r="EC857" s="452"/>
      <c r="ED857" s="452"/>
      <c r="EE857" s="452"/>
    </row>
    <row r="858" spans="3:135" hidden="1">
      <c r="C858" s="478" t="s">
        <v>513</v>
      </c>
      <c r="D858" s="478"/>
      <c r="E858" s="478"/>
      <c r="F858" s="478"/>
      <c r="G858" s="478"/>
      <c r="H858" s="478"/>
      <c r="I858" s="478"/>
      <c r="J858" s="478"/>
      <c r="K858" s="478"/>
      <c r="L858" s="478"/>
      <c r="M858" s="478"/>
      <c r="N858" s="478"/>
      <c r="O858" s="209" t="s">
        <v>117</v>
      </c>
      <c r="P858" s="209"/>
      <c r="Q858" s="209"/>
      <c r="R858" s="209"/>
      <c r="S858" s="209"/>
      <c r="T858" s="209"/>
      <c r="U858" s="209"/>
      <c r="V858" s="100"/>
      <c r="W858" s="231" t="s">
        <v>511</v>
      </c>
      <c r="X858" s="232"/>
      <c r="Y858" s="232"/>
      <c r="Z858" s="232"/>
      <c r="AA858" s="232"/>
      <c r="AB858" s="232"/>
      <c r="AC858" s="232"/>
      <c r="AD858" s="232"/>
      <c r="AE858" s="232"/>
      <c r="AF858" s="232"/>
      <c r="AG858" s="232"/>
      <c r="AH858" s="232"/>
      <c r="AI858" s="232"/>
      <c r="AJ858" s="232"/>
      <c r="AK858" s="232"/>
      <c r="AL858" s="232"/>
      <c r="AM858" s="232"/>
      <c r="AN858" s="232"/>
      <c r="AO858" s="232"/>
      <c r="AP858" s="232"/>
      <c r="AQ858" s="232"/>
      <c r="AR858" s="232"/>
      <c r="AS858" s="232"/>
      <c r="AT858" s="232"/>
      <c r="AU858" s="232"/>
      <c r="AV858" s="232"/>
      <c r="AW858" s="232"/>
      <c r="AX858" s="232"/>
      <c r="AY858" s="232"/>
      <c r="AZ858" s="232"/>
      <c r="BA858" s="232"/>
      <c r="BB858" s="232"/>
      <c r="BC858" s="232"/>
      <c r="BD858" s="232"/>
      <c r="BE858" s="232"/>
      <c r="BF858" s="232"/>
      <c r="BG858" s="232"/>
      <c r="BH858" s="232"/>
      <c r="BI858" s="232"/>
      <c r="BJ858" s="232"/>
      <c r="BK858" s="232"/>
      <c r="BL858" s="232"/>
      <c r="BM858" s="232"/>
      <c r="BN858" s="232"/>
      <c r="BO858" s="232"/>
      <c r="BP858" s="232"/>
      <c r="BQ858" s="232"/>
      <c r="BR858" s="232"/>
      <c r="BS858" s="233"/>
      <c r="BT858" s="100"/>
      <c r="BU858" s="231" t="s">
        <v>571</v>
      </c>
      <c r="BV858" s="232"/>
      <c r="BW858" s="232"/>
      <c r="BX858" s="232"/>
      <c r="BY858" s="232"/>
      <c r="BZ858" s="232"/>
      <c r="CA858" s="232"/>
      <c r="CB858" s="232"/>
      <c r="CC858" s="232"/>
      <c r="CD858" s="232"/>
      <c r="CE858" s="232"/>
      <c r="CF858" s="232"/>
      <c r="CG858" s="232"/>
      <c r="CH858" s="232"/>
      <c r="CI858" s="232"/>
      <c r="CJ858" s="232"/>
      <c r="CK858" s="232"/>
      <c r="CL858" s="232"/>
      <c r="CM858" s="232"/>
      <c r="CN858" s="232"/>
      <c r="CO858" s="232"/>
      <c r="CP858" s="232"/>
      <c r="CQ858" s="232"/>
      <c r="CR858" s="232"/>
      <c r="CS858" s="232"/>
      <c r="CT858" s="232"/>
      <c r="CU858" s="232"/>
      <c r="CV858" s="232"/>
      <c r="CW858" s="232"/>
      <c r="CX858" s="232"/>
      <c r="CY858" s="232"/>
      <c r="CZ858" s="232"/>
      <c r="DA858" s="232"/>
      <c r="DB858" s="232"/>
      <c r="DC858" s="232"/>
      <c r="DD858" s="232"/>
      <c r="DE858" s="232"/>
      <c r="DF858" s="232"/>
      <c r="DG858" s="232"/>
      <c r="DH858" s="232"/>
      <c r="DI858" s="232"/>
      <c r="DJ858" s="232"/>
      <c r="DK858" s="232"/>
      <c r="DL858" s="232"/>
      <c r="DM858" s="232"/>
      <c r="DN858" s="232"/>
      <c r="DO858" s="232"/>
      <c r="DP858" s="232"/>
      <c r="DQ858" s="232"/>
      <c r="DR858" s="232"/>
      <c r="DS858" s="232"/>
      <c r="DT858" s="232"/>
      <c r="DU858" s="232"/>
      <c r="DV858" s="232"/>
      <c r="DW858" s="232"/>
      <c r="DX858" s="232"/>
      <c r="DY858" s="232"/>
      <c r="DZ858" s="232"/>
      <c r="EA858" s="232"/>
      <c r="EB858" s="232"/>
      <c r="EC858" s="232"/>
      <c r="ED858" s="232"/>
      <c r="EE858" s="233"/>
    </row>
    <row r="859" spans="3:135" ht="15.75" hidden="1" thickBot="1">
      <c r="C859" s="478"/>
      <c r="D859" s="478"/>
      <c r="E859" s="478"/>
      <c r="F859" s="478"/>
      <c r="G859" s="478"/>
      <c r="H859" s="478"/>
      <c r="I859" s="478"/>
      <c r="J859" s="478"/>
      <c r="K859" s="478"/>
      <c r="L859" s="478"/>
      <c r="M859" s="478"/>
      <c r="N859" s="478"/>
      <c r="O859" s="208" t="s">
        <v>569</v>
      </c>
      <c r="P859" s="208"/>
      <c r="Q859" s="208"/>
      <c r="R859" s="208"/>
      <c r="S859" s="208"/>
      <c r="T859" s="208"/>
      <c r="U859" s="208"/>
      <c r="V859" s="100"/>
      <c r="W859" s="208" t="s">
        <v>511</v>
      </c>
      <c r="X859" s="208"/>
      <c r="Y859" s="208"/>
      <c r="Z859" s="208"/>
      <c r="AA859" s="208"/>
      <c r="AB859" s="208"/>
      <c r="AC859" s="208"/>
      <c r="AD859" s="245" t="s">
        <v>493</v>
      </c>
      <c r="AE859" s="208"/>
      <c r="AF859" s="208"/>
      <c r="AG859" s="208"/>
      <c r="AH859" s="208"/>
      <c r="AI859" s="208"/>
      <c r="AJ859" s="208"/>
      <c r="AK859" s="208" t="s">
        <v>485</v>
      </c>
      <c r="AL859" s="208"/>
      <c r="AM859" s="208"/>
      <c r="AN859" s="208"/>
      <c r="AO859" s="208"/>
      <c r="AP859" s="208"/>
      <c r="AQ859" s="208"/>
      <c r="AR859" s="208" t="s">
        <v>575</v>
      </c>
      <c r="AS859" s="208"/>
      <c r="AT859" s="208"/>
      <c r="AU859" s="208"/>
      <c r="AV859" s="208"/>
      <c r="AW859" s="208"/>
      <c r="AX859" s="208"/>
      <c r="AY859" s="208" t="s">
        <v>568</v>
      </c>
      <c r="AZ859" s="208"/>
      <c r="BA859" s="208"/>
      <c r="BB859" s="208"/>
      <c r="BC859" s="208"/>
      <c r="BD859" s="208"/>
      <c r="BE859" s="208"/>
      <c r="BF859" s="208" t="s">
        <v>492</v>
      </c>
      <c r="BG859" s="208"/>
      <c r="BH859" s="208"/>
      <c r="BI859" s="208"/>
      <c r="BJ859" s="208"/>
      <c r="BK859" s="208"/>
      <c r="BL859" s="208"/>
      <c r="BM859" s="208" t="s">
        <v>567</v>
      </c>
      <c r="BN859" s="208"/>
      <c r="BO859" s="208"/>
      <c r="BP859" s="208"/>
      <c r="BQ859" s="208"/>
      <c r="BR859" s="208"/>
      <c r="BS859" s="208"/>
      <c r="BT859" s="100"/>
      <c r="BU859" s="208" t="s">
        <v>570</v>
      </c>
      <c r="BV859" s="208"/>
      <c r="BW859" s="208"/>
      <c r="BX859" s="208"/>
      <c r="BY859" s="208"/>
      <c r="BZ859" s="208"/>
      <c r="CA859" s="208"/>
      <c r="CB859" s="208" t="s">
        <v>559</v>
      </c>
      <c r="CC859" s="208"/>
      <c r="CD859" s="208"/>
      <c r="CE859" s="208"/>
      <c r="CF859" s="208"/>
      <c r="CG859" s="208"/>
      <c r="CH859" s="208"/>
      <c r="CI859" s="208" t="s">
        <v>560</v>
      </c>
      <c r="CJ859" s="208"/>
      <c r="CK859" s="208"/>
      <c r="CL859" s="208"/>
      <c r="CM859" s="208"/>
      <c r="CN859" s="208"/>
      <c r="CO859" s="208"/>
      <c r="CP859" s="208" t="s">
        <v>561</v>
      </c>
      <c r="CQ859" s="208"/>
      <c r="CR859" s="208"/>
      <c r="CS859" s="208"/>
      <c r="CT859" s="208"/>
      <c r="CU859" s="208"/>
      <c r="CV859" s="208"/>
      <c r="CW859" s="208" t="s">
        <v>562</v>
      </c>
      <c r="CX859" s="208"/>
      <c r="CY859" s="208"/>
      <c r="CZ859" s="208"/>
      <c r="DA859" s="208"/>
      <c r="DB859" s="208"/>
      <c r="DC859" s="208"/>
      <c r="DD859" s="208" t="s">
        <v>563</v>
      </c>
      <c r="DE859" s="208"/>
      <c r="DF859" s="208"/>
      <c r="DG859" s="208"/>
      <c r="DH859" s="208"/>
      <c r="DI859" s="208"/>
      <c r="DJ859" s="208"/>
      <c r="DK859" s="208" t="s">
        <v>564</v>
      </c>
      <c r="DL859" s="208"/>
      <c r="DM859" s="208"/>
      <c r="DN859" s="208"/>
      <c r="DO859" s="208"/>
      <c r="DP859" s="208"/>
      <c r="DQ859" s="208"/>
      <c r="DR859" s="208" t="s">
        <v>565</v>
      </c>
      <c r="DS859" s="208"/>
      <c r="DT859" s="208"/>
      <c r="DU859" s="208"/>
      <c r="DV859" s="208"/>
      <c r="DW859" s="208"/>
      <c r="DX859" s="208"/>
      <c r="DY859" s="208" t="s">
        <v>566</v>
      </c>
      <c r="DZ859" s="208"/>
      <c r="EA859" s="208"/>
      <c r="EB859" s="208"/>
      <c r="EC859" s="208"/>
      <c r="ED859" s="208"/>
      <c r="EE859" s="208"/>
    </row>
    <row r="860" spans="3:135" hidden="1">
      <c r="C860" s="248" t="s">
        <v>26</v>
      </c>
      <c r="D860" s="249"/>
      <c r="E860" s="249"/>
      <c r="F860" s="249"/>
      <c r="G860" s="249"/>
      <c r="H860" s="249"/>
      <c r="I860" s="249"/>
      <c r="J860" s="249"/>
      <c r="K860" s="249"/>
      <c r="L860" s="249"/>
      <c r="M860" s="249"/>
      <c r="N860" s="249"/>
      <c r="O860" s="237">
        <f>COUNTIFS('Form Details'!$D:$D,"&lt;"&amp;'Adv. Filter'!$A$15,'Form Details'!$N:$N,"Ganesh",'Form Details'!$J:$J,$C860)</f>
        <v>0</v>
      </c>
      <c r="P860" s="238"/>
      <c r="Q860" s="238"/>
      <c r="R860" s="238"/>
      <c r="S860" s="238"/>
      <c r="T860" s="238"/>
      <c r="U860" s="239"/>
      <c r="V860" s="100"/>
      <c r="W860" s="237">
        <f>COUNTIFS('Form Details'!$D:$D,"&lt;"&amp;'Adv. Filter'!$A$15,'Form Details'!$N:$N,"Ganesh",'Form Details'!$J:$J,$C860,'Form Details'!$AA:$AA,"Yes")</f>
        <v>0</v>
      </c>
      <c r="X860" s="238"/>
      <c r="Y860" s="238"/>
      <c r="Z860" s="238"/>
      <c r="AA860" s="238"/>
      <c r="AB860" s="238"/>
      <c r="AC860" s="239"/>
      <c r="AD860" s="237">
        <f>COUNTIFS('Form Details'!$D:$D,"&lt;"&amp;'Adv. Filter'!$A$15,'Form Details'!$N:$N,"Ganesh",'Form Details'!$J:$J,$C860,'Form Details'!$W:$W,"Paid",'Form Details'!$S:$S,'Adv. Filter'!$A$14,'Form Details'!$S:$S,'Adv. Filter'!$B$14)</f>
        <v>0</v>
      </c>
      <c r="AE860" s="238"/>
      <c r="AF860" s="238"/>
      <c r="AG860" s="238"/>
      <c r="AH860" s="238"/>
      <c r="AI860" s="238"/>
      <c r="AJ860" s="239"/>
      <c r="AK860" s="237">
        <f>COUNTIFS('Form Details'!$D:$D,"&lt;"&amp;'Adv. Filter'!$A$15,'Form Details'!$N:$N,"Ganesh",'Form Details'!$J:$J,$C860,'Form Details'!$W:$W,"Due")</f>
        <v>0</v>
      </c>
      <c r="AL860" s="238"/>
      <c r="AM860" s="238"/>
      <c r="AN860" s="238"/>
      <c r="AO860" s="238"/>
      <c r="AP860" s="238"/>
      <c r="AQ860" s="239"/>
      <c r="AR860" s="234">
        <f>COUNTIFS('Form Details'!$D:$D,"&lt;"&amp;'Adv. Filter'!$A$15,'Form Details'!$N:$N,"Ganesh",'Form Details'!$J:$J,$C860,'Form Details'!$W:$W,"No Fee")</f>
        <v>0</v>
      </c>
      <c r="AS860" s="235"/>
      <c r="AT860" s="235"/>
      <c r="AU860" s="235"/>
      <c r="AV860" s="235"/>
      <c r="AW860" s="235"/>
      <c r="AX860" s="236"/>
      <c r="AY860" s="234">
        <f>COUNTIFS('Form Details'!$D:$D,"&lt;"&amp;'Adv. Filter'!$A$15,'Form Details'!$N:$N,"Ganesh",'Form Details'!$J:$J,$C860,'Form Details'!$W:$W,"Paid/Reject")</f>
        <v>0</v>
      </c>
      <c r="AZ860" s="235"/>
      <c r="BA860" s="235"/>
      <c r="BB860" s="235"/>
      <c r="BC860" s="235"/>
      <c r="BD860" s="235"/>
      <c r="BE860" s="236"/>
      <c r="BF860" s="234">
        <f>COUNTIFS('Form Details'!$D:$D,"&lt;"&amp;'Adv. Filter'!$A$15,'Form Details'!$N:$N,"Ganesh",'Form Details'!$J:$J,$C860,'Form Details'!$W:$W,"Staff")</f>
        <v>0</v>
      </c>
      <c r="BG860" s="235"/>
      <c r="BH860" s="235"/>
      <c r="BI860" s="235"/>
      <c r="BJ860" s="235"/>
      <c r="BK860" s="235"/>
      <c r="BL860" s="236"/>
      <c r="BM860" s="234">
        <f>COUNTIFS('Form Details'!$D:$D,"&lt;"&amp;'Adv. Filter'!$A$15,'Form Details'!$N:$N,"Ganesh",'Form Details'!$J:$J,$C860,'Form Details'!$W:$W,"File In Office")</f>
        <v>0</v>
      </c>
      <c r="BN860" s="235"/>
      <c r="BO860" s="235"/>
      <c r="BP860" s="235"/>
      <c r="BQ860" s="235"/>
      <c r="BR860" s="235"/>
      <c r="BS860" s="236"/>
      <c r="BT860" s="100"/>
      <c r="BU860" s="234">
        <f>COUNTIFS('Form Details'!$D:$D,"&lt;"&amp;'Adv. Filter'!$A$15,'Form Details'!$N:$N,"Ganesh",'Form Details'!$J:$J,$C860,'Form Details'!$AA:$AA,"No")</f>
        <v>0</v>
      </c>
      <c r="BV860" s="235"/>
      <c r="BW860" s="235"/>
      <c r="BX860" s="235"/>
      <c r="BY860" s="235"/>
      <c r="BZ860" s="235"/>
      <c r="CA860" s="236"/>
      <c r="CB860" s="234">
        <f>COUNTIFS('Form Details'!$D:$D,"&lt;"&amp;'Adv. Filter'!$A$15,'Form Details'!$N:$N,"Ganesh",'Form Details'!$J:$J,$C860,'Form Details'!$W:$W,"Adv/Paid")</f>
        <v>0</v>
      </c>
      <c r="CC860" s="235"/>
      <c r="CD860" s="235"/>
      <c r="CE860" s="235"/>
      <c r="CF860" s="235"/>
      <c r="CG860" s="235"/>
      <c r="CH860" s="236"/>
      <c r="CI860" s="234">
        <f>COUNTIFS('Form Details'!$D:$D,"&lt;"&amp;'Adv. Filter'!$A$15,'Form Details'!$N:$N,"Ganesh",'Form Details'!$J:$J,$C860,'Form Details'!$W:$W,"Adv/Paid/Reject")</f>
        <v>0</v>
      </c>
      <c r="CJ860" s="235"/>
      <c r="CK860" s="235"/>
      <c r="CL860" s="235"/>
      <c r="CM860" s="235"/>
      <c r="CN860" s="235"/>
      <c r="CO860" s="236"/>
      <c r="CP860" s="234">
        <f>COUNTIFS('Form Details'!$D:$D,"&lt;"&amp;'Adv. Filter'!$A$15,'Form Details'!$N:$N,"Ganesh",'Form Details'!$J:$J,$C860,'Form Details'!$W:$W,"Reject")</f>
        <v>0</v>
      </c>
      <c r="CQ860" s="235"/>
      <c r="CR860" s="235"/>
      <c r="CS860" s="235"/>
      <c r="CT860" s="235"/>
      <c r="CU860" s="235"/>
      <c r="CV860" s="236"/>
      <c r="CW860" s="234">
        <f>COUNTIFS('Form Details'!$D:$D,"&lt;"&amp;'Adv. Filter'!$A$15,'Form Details'!$N:$N,"Ganesh",'Form Details'!$J:$J,$C860,'Form Details'!$W:$W,"Adv/Paid/Pending")</f>
        <v>0</v>
      </c>
      <c r="CX860" s="235"/>
      <c r="CY860" s="235"/>
      <c r="CZ860" s="235"/>
      <c r="DA860" s="235"/>
      <c r="DB860" s="235"/>
      <c r="DC860" s="236"/>
      <c r="DD860" s="234">
        <f>COUNTIFS('Form Details'!$D:$D,"&lt;"&amp;'Adv. Filter'!$A$15,'Form Details'!$N:$N,"Ganesh",'Form Details'!$J:$J,$C860,'Form Details'!$W:$W,"Pending")</f>
        <v>0</v>
      </c>
      <c r="DE860" s="235"/>
      <c r="DF860" s="235"/>
      <c r="DG860" s="235"/>
      <c r="DH860" s="235"/>
      <c r="DI860" s="235"/>
      <c r="DJ860" s="236"/>
      <c r="DK860" s="234">
        <f>COUNTIFS('Form Details'!$D:$D,"&lt;"&amp;'Adv. Filter'!$A$15,'Form Details'!$N:$N,"Ganesh",'Form Details'!$J:$J,$C860,'Form Details'!$W:$W,"Adv/Paid/NoStatus")</f>
        <v>0</v>
      </c>
      <c r="DL860" s="235"/>
      <c r="DM860" s="235"/>
      <c r="DN860" s="235"/>
      <c r="DO860" s="235"/>
      <c r="DP860" s="235"/>
      <c r="DQ860" s="236"/>
      <c r="DR860" s="234">
        <f>COUNTIFS('Form Details'!$D:$D,"&lt;"&amp;'Adv. Filter'!$A$15,'Form Details'!$N:$N,"Ganesh",'Form Details'!$J:$J,$C860,'Form Details'!$W:$W,"No Status")</f>
        <v>0</v>
      </c>
      <c r="DS860" s="235"/>
      <c r="DT860" s="235"/>
      <c r="DU860" s="235"/>
      <c r="DV860" s="235"/>
      <c r="DW860" s="235"/>
      <c r="DX860" s="236"/>
      <c r="DY860" s="234">
        <f>SUM(COUNTIFS('Form Details'!$D:$D,"&lt;"&amp;'Adv. Filter'!$A$15,'Form Details'!$N:$N,"Ganesh",'Form Details'!$J:$J,$C860,'Form Details'!$W:$W,{"Wrong Entry ","Double Entry"}))</f>
        <v>0</v>
      </c>
      <c r="DZ860" s="235"/>
      <c r="EA860" s="235"/>
      <c r="EB860" s="235"/>
      <c r="EC860" s="235"/>
      <c r="ED860" s="235"/>
      <c r="EE860" s="236"/>
    </row>
    <row r="861" spans="3:135" hidden="1">
      <c r="C861" s="248" t="s">
        <v>38</v>
      </c>
      <c r="D861" s="249"/>
      <c r="E861" s="249"/>
      <c r="F861" s="249"/>
      <c r="G861" s="249"/>
      <c r="H861" s="249"/>
      <c r="I861" s="249"/>
      <c r="J861" s="249"/>
      <c r="K861" s="249"/>
      <c r="L861" s="249"/>
      <c r="M861" s="249"/>
      <c r="N861" s="249"/>
      <c r="O861" s="237">
        <f>COUNTIFS('Form Details'!$D:$D,"&lt;"&amp;'Adv. Filter'!$A$15,'Form Details'!$N:$N,"Ganesh",'Form Details'!$J:$J,$C861)</f>
        <v>0</v>
      </c>
      <c r="P861" s="238"/>
      <c r="Q861" s="238"/>
      <c r="R861" s="238"/>
      <c r="S861" s="238"/>
      <c r="T861" s="238"/>
      <c r="U861" s="239"/>
      <c r="V861" s="100"/>
      <c r="W861" s="237">
        <f>COUNTIFS('Form Details'!$D:$D,"&lt;"&amp;'Adv. Filter'!$A$15,'Form Details'!$N:$N,"Ganesh",'Form Details'!$J:$J,$C861,'Form Details'!$AA:$AA,"Yes")</f>
        <v>0</v>
      </c>
      <c r="X861" s="238"/>
      <c r="Y861" s="238"/>
      <c r="Z861" s="238"/>
      <c r="AA861" s="238"/>
      <c r="AB861" s="238"/>
      <c r="AC861" s="239"/>
      <c r="AD861" s="237">
        <f>COUNTIFS('Form Details'!$D:$D,"&lt;"&amp;'Adv. Filter'!$A$15,'Form Details'!$N:$N,"Ganesh",'Form Details'!$J:$J,$C861,'Form Details'!$W:$W,"Paid",'Form Details'!$S:$S,'Adv. Filter'!$A$14,'Form Details'!$S:$S,'Adv. Filter'!$B$14)</f>
        <v>0</v>
      </c>
      <c r="AE861" s="238"/>
      <c r="AF861" s="238"/>
      <c r="AG861" s="238"/>
      <c r="AH861" s="238"/>
      <c r="AI861" s="238"/>
      <c r="AJ861" s="239"/>
      <c r="AK861" s="237">
        <f>COUNTIFS('Form Details'!$D:$D,"&lt;"&amp;'Adv. Filter'!$A$15,'Form Details'!$N:$N,"Ganesh",'Form Details'!$J:$J,$C861,'Form Details'!$W:$W,"Due")</f>
        <v>0</v>
      </c>
      <c r="AL861" s="238"/>
      <c r="AM861" s="238"/>
      <c r="AN861" s="238"/>
      <c r="AO861" s="238"/>
      <c r="AP861" s="238"/>
      <c r="AQ861" s="239"/>
      <c r="AR861" s="237">
        <f>COUNTIFS('Form Details'!$D:$D,"&lt;"&amp;'Adv. Filter'!$A$15,'Form Details'!$N:$N,"Ganesh",'Form Details'!$J:$J,$C861,'Form Details'!$W:$W,"No Fee")</f>
        <v>0</v>
      </c>
      <c r="AS861" s="238"/>
      <c r="AT861" s="238"/>
      <c r="AU861" s="238"/>
      <c r="AV861" s="238"/>
      <c r="AW861" s="238"/>
      <c r="AX861" s="239"/>
      <c r="AY861" s="237">
        <f>COUNTIFS('Form Details'!$D:$D,"&lt;"&amp;'Adv. Filter'!$A$15,'Form Details'!$N:$N,"Ganesh",'Form Details'!$J:$J,$C861,'Form Details'!$W:$W,"Paid/Reject")</f>
        <v>0</v>
      </c>
      <c r="AZ861" s="238"/>
      <c r="BA861" s="238"/>
      <c r="BB861" s="238"/>
      <c r="BC861" s="238"/>
      <c r="BD861" s="238"/>
      <c r="BE861" s="239"/>
      <c r="BF861" s="237">
        <f>COUNTIFS('Form Details'!$D:$D,"&lt;"&amp;'Adv. Filter'!$A$15,'Form Details'!$N:$N,"Ganesh",'Form Details'!$J:$J,$C861,'Form Details'!$W:$W,"Staff")</f>
        <v>0</v>
      </c>
      <c r="BG861" s="238"/>
      <c r="BH861" s="238"/>
      <c r="BI861" s="238"/>
      <c r="BJ861" s="238"/>
      <c r="BK861" s="238"/>
      <c r="BL861" s="239"/>
      <c r="BM861" s="237">
        <f>COUNTIFS('Form Details'!$D:$D,"&lt;"&amp;'Adv. Filter'!$A$15,'Form Details'!$N:$N,"Ganesh",'Form Details'!$J:$J,$C861,'Form Details'!$W:$W,"File In Office")</f>
        <v>0</v>
      </c>
      <c r="BN861" s="238"/>
      <c r="BO861" s="238"/>
      <c r="BP861" s="238"/>
      <c r="BQ861" s="238"/>
      <c r="BR861" s="238"/>
      <c r="BS861" s="239"/>
      <c r="BT861" s="100"/>
      <c r="BU861" s="237">
        <f>COUNTIFS('Form Details'!$D:$D,"&lt;"&amp;'Adv. Filter'!$A$15,'Form Details'!$N:$N,"Ganesh",'Form Details'!$J:$J,$C861,'Form Details'!$AA:$AA,"No")</f>
        <v>0</v>
      </c>
      <c r="BV861" s="238"/>
      <c r="BW861" s="238"/>
      <c r="BX861" s="238"/>
      <c r="BY861" s="238"/>
      <c r="BZ861" s="238"/>
      <c r="CA861" s="239"/>
      <c r="CB861" s="237">
        <f>COUNTIFS('Form Details'!$D:$D,"&lt;"&amp;'Adv. Filter'!$A$15,'Form Details'!$N:$N,"Ganesh",'Form Details'!$J:$J,$C861,'Form Details'!$W:$W,"Adv/Paid")</f>
        <v>0</v>
      </c>
      <c r="CC861" s="238"/>
      <c r="CD861" s="238"/>
      <c r="CE861" s="238"/>
      <c r="CF861" s="238"/>
      <c r="CG861" s="238"/>
      <c r="CH861" s="239"/>
      <c r="CI861" s="237">
        <f>COUNTIFS('Form Details'!$D:$D,"&lt;"&amp;'Adv. Filter'!$A$15,'Form Details'!$N:$N,"Ganesh",'Form Details'!$J:$J,$C861,'Form Details'!$W:$W,"Adv/Paid/Reject")</f>
        <v>0</v>
      </c>
      <c r="CJ861" s="238"/>
      <c r="CK861" s="238"/>
      <c r="CL861" s="238"/>
      <c r="CM861" s="238"/>
      <c r="CN861" s="238"/>
      <c r="CO861" s="239"/>
      <c r="CP861" s="237">
        <f>COUNTIFS('Form Details'!$D:$D,"&lt;"&amp;'Adv. Filter'!$A$15,'Form Details'!$N:$N,"Ganesh",'Form Details'!$J:$J,$C861,'Form Details'!$W:$W,"Reject")</f>
        <v>0</v>
      </c>
      <c r="CQ861" s="238"/>
      <c r="CR861" s="238"/>
      <c r="CS861" s="238"/>
      <c r="CT861" s="238"/>
      <c r="CU861" s="238"/>
      <c r="CV861" s="239"/>
      <c r="CW861" s="237">
        <f>COUNTIFS('Form Details'!$D:$D,"&lt;"&amp;'Adv. Filter'!$A$15,'Form Details'!$N:$N,"Ganesh",'Form Details'!$J:$J,$C861,'Form Details'!$W:$W,"Adv/Paid/Pending")</f>
        <v>0</v>
      </c>
      <c r="CX861" s="238"/>
      <c r="CY861" s="238"/>
      <c r="CZ861" s="238"/>
      <c r="DA861" s="238"/>
      <c r="DB861" s="238"/>
      <c r="DC861" s="239"/>
      <c r="DD861" s="237">
        <f>COUNTIFS('Form Details'!$D:$D,"&lt;"&amp;'Adv. Filter'!$A$15,'Form Details'!$N:$N,"Ganesh",'Form Details'!$J:$J,$C861,'Form Details'!$W:$W,"Pending")</f>
        <v>0</v>
      </c>
      <c r="DE861" s="238"/>
      <c r="DF861" s="238"/>
      <c r="DG861" s="238"/>
      <c r="DH861" s="238"/>
      <c r="DI861" s="238"/>
      <c r="DJ861" s="239"/>
      <c r="DK861" s="237">
        <f>COUNTIFS('Form Details'!$D:$D,"&lt;"&amp;'Adv. Filter'!$A$15,'Form Details'!$N:$N,"Ganesh",'Form Details'!$J:$J,$C861,'Form Details'!$W:$W,"Adv/Paid/NoStatus")</f>
        <v>0</v>
      </c>
      <c r="DL861" s="238"/>
      <c r="DM861" s="238"/>
      <c r="DN861" s="238"/>
      <c r="DO861" s="238"/>
      <c r="DP861" s="238"/>
      <c r="DQ861" s="239"/>
      <c r="DR861" s="237">
        <f>COUNTIFS('Form Details'!$D:$D,"&lt;"&amp;'Adv. Filter'!$A$15,'Form Details'!$N:$N,"Ganesh",'Form Details'!$J:$J,$C861,'Form Details'!$W:$W,"No Status")</f>
        <v>0</v>
      </c>
      <c r="DS861" s="238"/>
      <c r="DT861" s="238"/>
      <c r="DU861" s="238"/>
      <c r="DV861" s="238"/>
      <c r="DW861" s="238"/>
      <c r="DX861" s="239"/>
      <c r="DY861" s="237">
        <f>SUM(COUNTIFS('Form Details'!$D:$D,"&lt;"&amp;'Adv. Filter'!$A$15,'Form Details'!$N:$N,"Ganesh",'Form Details'!$J:$J,$C861,'Form Details'!$W:$W,{"Wrong Entry ","Double Entry"}))</f>
        <v>0</v>
      </c>
      <c r="DZ861" s="238"/>
      <c r="EA861" s="238"/>
      <c r="EB861" s="238"/>
      <c r="EC861" s="238"/>
      <c r="ED861" s="238"/>
      <c r="EE861" s="239"/>
    </row>
    <row r="862" spans="3:135" hidden="1">
      <c r="C862" s="248" t="s">
        <v>49</v>
      </c>
      <c r="D862" s="249"/>
      <c r="E862" s="249"/>
      <c r="F862" s="249"/>
      <c r="G862" s="249"/>
      <c r="H862" s="249"/>
      <c r="I862" s="249"/>
      <c r="J862" s="249"/>
      <c r="K862" s="249"/>
      <c r="L862" s="249"/>
      <c r="M862" s="249"/>
      <c r="N862" s="249"/>
      <c r="O862" s="237">
        <f>COUNTIFS('Form Details'!$D:$D,"&lt;"&amp;'Adv. Filter'!$A$15,'Form Details'!$N:$N,"Ganesh",'Form Details'!$J:$J,$C862)</f>
        <v>0</v>
      </c>
      <c r="P862" s="238"/>
      <c r="Q862" s="238"/>
      <c r="R862" s="238"/>
      <c r="S862" s="238"/>
      <c r="T862" s="238"/>
      <c r="U862" s="239"/>
      <c r="V862" s="100"/>
      <c r="W862" s="237">
        <f>COUNTIFS('Form Details'!$D:$D,"&lt;"&amp;'Adv. Filter'!$A$15,'Form Details'!$N:$N,"Ganesh",'Form Details'!$J:$J,$C862,'Form Details'!$AA:$AA,"Yes")</f>
        <v>0</v>
      </c>
      <c r="X862" s="238"/>
      <c r="Y862" s="238"/>
      <c r="Z862" s="238"/>
      <c r="AA862" s="238"/>
      <c r="AB862" s="238"/>
      <c r="AC862" s="239"/>
      <c r="AD862" s="237">
        <f>COUNTIFS('Form Details'!$D:$D,"&lt;"&amp;'Adv. Filter'!$A$15,'Form Details'!$N:$N,"Ganesh",'Form Details'!$J:$J,$C862,'Form Details'!$W:$W,"Paid",'Form Details'!$S:$S,'Adv. Filter'!$A$14,'Form Details'!$S:$S,'Adv. Filter'!$B$14)</f>
        <v>0</v>
      </c>
      <c r="AE862" s="238"/>
      <c r="AF862" s="238"/>
      <c r="AG862" s="238"/>
      <c r="AH862" s="238"/>
      <c r="AI862" s="238"/>
      <c r="AJ862" s="239"/>
      <c r="AK862" s="237">
        <f>COUNTIFS('Form Details'!$D:$D,"&lt;"&amp;'Adv. Filter'!$A$15,'Form Details'!$N:$N,"Ganesh",'Form Details'!$J:$J,$C862,'Form Details'!$W:$W,"Due")</f>
        <v>0</v>
      </c>
      <c r="AL862" s="238"/>
      <c r="AM862" s="238"/>
      <c r="AN862" s="238"/>
      <c r="AO862" s="238"/>
      <c r="AP862" s="238"/>
      <c r="AQ862" s="239"/>
      <c r="AR862" s="237">
        <f>COUNTIFS('Form Details'!$D:$D,"&lt;"&amp;'Adv. Filter'!$A$15,'Form Details'!$N:$N,"Ganesh",'Form Details'!$J:$J,$C862,'Form Details'!$W:$W,"No Fee")</f>
        <v>0</v>
      </c>
      <c r="AS862" s="238"/>
      <c r="AT862" s="238"/>
      <c r="AU862" s="238"/>
      <c r="AV862" s="238"/>
      <c r="AW862" s="238"/>
      <c r="AX862" s="239"/>
      <c r="AY862" s="237">
        <f>COUNTIFS('Form Details'!$D:$D,"&lt;"&amp;'Adv. Filter'!$A$15,'Form Details'!$N:$N,"Ganesh",'Form Details'!$J:$J,$C862,'Form Details'!$W:$W,"Paid/Reject")</f>
        <v>0</v>
      </c>
      <c r="AZ862" s="238"/>
      <c r="BA862" s="238"/>
      <c r="BB862" s="238"/>
      <c r="BC862" s="238"/>
      <c r="BD862" s="238"/>
      <c r="BE862" s="239"/>
      <c r="BF862" s="237">
        <f>COUNTIFS('Form Details'!$D:$D,"&lt;"&amp;'Adv. Filter'!$A$15,'Form Details'!$N:$N,"Ganesh",'Form Details'!$J:$J,$C862,'Form Details'!$W:$W,"Staff")</f>
        <v>0</v>
      </c>
      <c r="BG862" s="238"/>
      <c r="BH862" s="238"/>
      <c r="BI862" s="238"/>
      <c r="BJ862" s="238"/>
      <c r="BK862" s="238"/>
      <c r="BL862" s="239"/>
      <c r="BM862" s="237">
        <f>COUNTIFS('Form Details'!$D:$D,"&lt;"&amp;'Adv. Filter'!$A$15,'Form Details'!$N:$N,"Ganesh",'Form Details'!$J:$J,$C862,'Form Details'!$W:$W,"File In Office")</f>
        <v>0</v>
      </c>
      <c r="BN862" s="238"/>
      <c r="BO862" s="238"/>
      <c r="BP862" s="238"/>
      <c r="BQ862" s="238"/>
      <c r="BR862" s="238"/>
      <c r="BS862" s="239"/>
      <c r="BT862" s="100"/>
      <c r="BU862" s="237">
        <f>COUNTIFS('Form Details'!$D:$D,"&lt;"&amp;'Adv. Filter'!$A$15,'Form Details'!$N:$N,"Ganesh",'Form Details'!$J:$J,$C862,'Form Details'!$AA:$AA,"No")</f>
        <v>0</v>
      </c>
      <c r="BV862" s="238"/>
      <c r="BW862" s="238"/>
      <c r="BX862" s="238"/>
      <c r="BY862" s="238"/>
      <c r="BZ862" s="238"/>
      <c r="CA862" s="239"/>
      <c r="CB862" s="237">
        <f>COUNTIFS('Form Details'!$D:$D,"&lt;"&amp;'Adv. Filter'!$A$15,'Form Details'!$N:$N,"Ganesh",'Form Details'!$J:$J,$C862,'Form Details'!$W:$W,"Adv/Paid")</f>
        <v>0</v>
      </c>
      <c r="CC862" s="238"/>
      <c r="CD862" s="238"/>
      <c r="CE862" s="238"/>
      <c r="CF862" s="238"/>
      <c r="CG862" s="238"/>
      <c r="CH862" s="239"/>
      <c r="CI862" s="237">
        <f>COUNTIFS('Form Details'!$D:$D,"&lt;"&amp;'Adv. Filter'!$A$15,'Form Details'!$N:$N,"Ganesh",'Form Details'!$J:$J,$C862,'Form Details'!$W:$W,"Adv/Paid/Reject")</f>
        <v>0</v>
      </c>
      <c r="CJ862" s="238"/>
      <c r="CK862" s="238"/>
      <c r="CL862" s="238"/>
      <c r="CM862" s="238"/>
      <c r="CN862" s="238"/>
      <c r="CO862" s="239"/>
      <c r="CP862" s="237">
        <f>COUNTIFS('Form Details'!$D:$D,"&lt;"&amp;'Adv. Filter'!$A$15,'Form Details'!$N:$N,"Ganesh",'Form Details'!$J:$J,$C862,'Form Details'!$W:$W,"Reject")</f>
        <v>0</v>
      </c>
      <c r="CQ862" s="238"/>
      <c r="CR862" s="238"/>
      <c r="CS862" s="238"/>
      <c r="CT862" s="238"/>
      <c r="CU862" s="238"/>
      <c r="CV862" s="239"/>
      <c r="CW862" s="237">
        <f>COUNTIFS('Form Details'!$D:$D,"&lt;"&amp;'Adv. Filter'!$A$15,'Form Details'!$N:$N,"Ganesh",'Form Details'!$J:$J,$C862,'Form Details'!$W:$W,"Adv/Paid/Pending")</f>
        <v>0</v>
      </c>
      <c r="CX862" s="238"/>
      <c r="CY862" s="238"/>
      <c r="CZ862" s="238"/>
      <c r="DA862" s="238"/>
      <c r="DB862" s="238"/>
      <c r="DC862" s="239"/>
      <c r="DD862" s="237">
        <f>COUNTIFS('Form Details'!$D:$D,"&lt;"&amp;'Adv. Filter'!$A$15,'Form Details'!$N:$N,"Ganesh",'Form Details'!$J:$J,$C862,'Form Details'!$W:$W,"Pending")</f>
        <v>0</v>
      </c>
      <c r="DE862" s="238"/>
      <c r="DF862" s="238"/>
      <c r="DG862" s="238"/>
      <c r="DH862" s="238"/>
      <c r="DI862" s="238"/>
      <c r="DJ862" s="239"/>
      <c r="DK862" s="237">
        <f>COUNTIFS('Form Details'!$D:$D,"&lt;"&amp;'Adv. Filter'!$A$15,'Form Details'!$N:$N,"Ganesh",'Form Details'!$J:$J,$C862,'Form Details'!$W:$W,"Adv/Paid/NoStatus")</f>
        <v>0</v>
      </c>
      <c r="DL862" s="238"/>
      <c r="DM862" s="238"/>
      <c r="DN862" s="238"/>
      <c r="DO862" s="238"/>
      <c r="DP862" s="238"/>
      <c r="DQ862" s="239"/>
      <c r="DR862" s="237">
        <f>COUNTIFS('Form Details'!$D:$D,"&lt;"&amp;'Adv. Filter'!$A$15,'Form Details'!$N:$N,"Ganesh",'Form Details'!$J:$J,$C862,'Form Details'!$W:$W,"No Status")</f>
        <v>0</v>
      </c>
      <c r="DS862" s="238"/>
      <c r="DT862" s="238"/>
      <c r="DU862" s="238"/>
      <c r="DV862" s="238"/>
      <c r="DW862" s="238"/>
      <c r="DX862" s="239"/>
      <c r="DY862" s="237">
        <f>SUM(COUNTIFS('Form Details'!$D:$D,"&lt;"&amp;'Adv. Filter'!$A$15,'Form Details'!$N:$N,"Ganesh",'Form Details'!$J:$J,$C862,'Form Details'!$W:$W,{"Wrong Entry ","Double Entry"}))</f>
        <v>0</v>
      </c>
      <c r="DZ862" s="238"/>
      <c r="EA862" s="238"/>
      <c r="EB862" s="238"/>
      <c r="EC862" s="238"/>
      <c r="ED862" s="238"/>
      <c r="EE862" s="239"/>
    </row>
    <row r="863" spans="3:135" hidden="1">
      <c r="C863" s="248" t="s">
        <v>59</v>
      </c>
      <c r="D863" s="249"/>
      <c r="E863" s="249"/>
      <c r="F863" s="249"/>
      <c r="G863" s="249"/>
      <c r="H863" s="249"/>
      <c r="I863" s="249"/>
      <c r="J863" s="249"/>
      <c r="K863" s="249"/>
      <c r="L863" s="249"/>
      <c r="M863" s="249"/>
      <c r="N863" s="249"/>
      <c r="O863" s="237">
        <f>COUNTIFS('Form Details'!$D:$D,"&lt;"&amp;'Adv. Filter'!$A$15,'Form Details'!$N:$N,"Ganesh",'Form Details'!$J:$J,$C863)</f>
        <v>0</v>
      </c>
      <c r="P863" s="238"/>
      <c r="Q863" s="238"/>
      <c r="R863" s="238"/>
      <c r="S863" s="238"/>
      <c r="T863" s="238"/>
      <c r="U863" s="239"/>
      <c r="V863" s="100"/>
      <c r="W863" s="237">
        <f>COUNTIFS('Form Details'!$D:$D,"&lt;"&amp;'Adv. Filter'!$A$15,'Form Details'!$N:$N,"Ganesh",'Form Details'!$J:$J,$C863,'Form Details'!$AA:$AA,"Yes")</f>
        <v>0</v>
      </c>
      <c r="X863" s="238"/>
      <c r="Y863" s="238"/>
      <c r="Z863" s="238"/>
      <c r="AA863" s="238"/>
      <c r="AB863" s="238"/>
      <c r="AC863" s="239"/>
      <c r="AD863" s="237">
        <f>COUNTIFS('Form Details'!$D:$D,"&lt;"&amp;'Adv. Filter'!$A$15,'Form Details'!$N:$N,"Ganesh",'Form Details'!$J:$J,$C863,'Form Details'!$W:$W,"Paid",'Form Details'!$S:$S,'Adv. Filter'!$A$14,'Form Details'!$S:$S,'Adv. Filter'!$B$14)</f>
        <v>0</v>
      </c>
      <c r="AE863" s="238"/>
      <c r="AF863" s="238"/>
      <c r="AG863" s="238"/>
      <c r="AH863" s="238"/>
      <c r="AI863" s="238"/>
      <c r="AJ863" s="239"/>
      <c r="AK863" s="237">
        <f>COUNTIFS('Form Details'!$D:$D,"&lt;"&amp;'Adv. Filter'!$A$15,'Form Details'!$N:$N,"Ganesh",'Form Details'!$J:$J,$C863,'Form Details'!$W:$W,"Due")</f>
        <v>0</v>
      </c>
      <c r="AL863" s="238"/>
      <c r="AM863" s="238"/>
      <c r="AN863" s="238"/>
      <c r="AO863" s="238"/>
      <c r="AP863" s="238"/>
      <c r="AQ863" s="239"/>
      <c r="AR863" s="237">
        <f>COUNTIFS('Form Details'!$D:$D,"&lt;"&amp;'Adv. Filter'!$A$15,'Form Details'!$N:$N,"Ganesh",'Form Details'!$J:$J,$C863,'Form Details'!$W:$W,"No Fee")</f>
        <v>0</v>
      </c>
      <c r="AS863" s="238"/>
      <c r="AT863" s="238"/>
      <c r="AU863" s="238"/>
      <c r="AV863" s="238"/>
      <c r="AW863" s="238"/>
      <c r="AX863" s="239"/>
      <c r="AY863" s="237">
        <f>COUNTIFS('Form Details'!$D:$D,"&lt;"&amp;'Adv. Filter'!$A$15,'Form Details'!$N:$N,"Ganesh",'Form Details'!$J:$J,$C863,'Form Details'!$W:$W,"Paid/Reject")</f>
        <v>0</v>
      </c>
      <c r="AZ863" s="238"/>
      <c r="BA863" s="238"/>
      <c r="BB863" s="238"/>
      <c r="BC863" s="238"/>
      <c r="BD863" s="238"/>
      <c r="BE863" s="239"/>
      <c r="BF863" s="237">
        <f>COUNTIFS('Form Details'!$D:$D,"&lt;"&amp;'Adv. Filter'!$A$15,'Form Details'!$N:$N,"Ganesh",'Form Details'!$J:$J,$C863,'Form Details'!$W:$W,"Staff")</f>
        <v>0</v>
      </c>
      <c r="BG863" s="238"/>
      <c r="BH863" s="238"/>
      <c r="BI863" s="238"/>
      <c r="BJ863" s="238"/>
      <c r="BK863" s="238"/>
      <c r="BL863" s="239"/>
      <c r="BM863" s="237">
        <f>COUNTIFS('Form Details'!$D:$D,"&lt;"&amp;'Adv. Filter'!$A$15,'Form Details'!$N:$N,"Ganesh",'Form Details'!$J:$J,$C863,'Form Details'!$W:$W,"File In Office")</f>
        <v>0</v>
      </c>
      <c r="BN863" s="238"/>
      <c r="BO863" s="238"/>
      <c r="BP863" s="238"/>
      <c r="BQ863" s="238"/>
      <c r="BR863" s="238"/>
      <c r="BS863" s="239"/>
      <c r="BT863" s="100"/>
      <c r="BU863" s="237">
        <f>COUNTIFS('Form Details'!$D:$D,"&lt;"&amp;'Adv. Filter'!$A$15,'Form Details'!$N:$N,"Ganesh",'Form Details'!$J:$J,$C863,'Form Details'!$AA:$AA,"No")</f>
        <v>0</v>
      </c>
      <c r="BV863" s="238"/>
      <c r="BW863" s="238"/>
      <c r="BX863" s="238"/>
      <c r="BY863" s="238"/>
      <c r="BZ863" s="238"/>
      <c r="CA863" s="239"/>
      <c r="CB863" s="237">
        <f>COUNTIFS('Form Details'!$D:$D,"&lt;"&amp;'Adv. Filter'!$A$15,'Form Details'!$N:$N,"Ganesh",'Form Details'!$J:$J,$C863,'Form Details'!$W:$W,"Adv/Paid")</f>
        <v>0</v>
      </c>
      <c r="CC863" s="238"/>
      <c r="CD863" s="238"/>
      <c r="CE863" s="238"/>
      <c r="CF863" s="238"/>
      <c r="CG863" s="238"/>
      <c r="CH863" s="239"/>
      <c r="CI863" s="237">
        <f>COUNTIFS('Form Details'!$D:$D,"&lt;"&amp;'Adv. Filter'!$A$15,'Form Details'!$N:$N,"Ganesh",'Form Details'!$J:$J,$C863,'Form Details'!$W:$W,"Adv/Paid/Reject")</f>
        <v>0</v>
      </c>
      <c r="CJ863" s="238"/>
      <c r="CK863" s="238"/>
      <c r="CL863" s="238"/>
      <c r="CM863" s="238"/>
      <c r="CN863" s="238"/>
      <c r="CO863" s="239"/>
      <c r="CP863" s="237">
        <f>COUNTIFS('Form Details'!$D:$D,"&lt;"&amp;'Adv. Filter'!$A$15,'Form Details'!$N:$N,"Ganesh",'Form Details'!$J:$J,$C863,'Form Details'!$W:$W,"Reject")</f>
        <v>0</v>
      </c>
      <c r="CQ863" s="238"/>
      <c r="CR863" s="238"/>
      <c r="CS863" s="238"/>
      <c r="CT863" s="238"/>
      <c r="CU863" s="238"/>
      <c r="CV863" s="239"/>
      <c r="CW863" s="237">
        <f>COUNTIFS('Form Details'!$D:$D,"&lt;"&amp;'Adv. Filter'!$A$15,'Form Details'!$N:$N,"Ganesh",'Form Details'!$J:$J,$C863,'Form Details'!$W:$W,"Adv/Paid/Pending")</f>
        <v>0</v>
      </c>
      <c r="CX863" s="238"/>
      <c r="CY863" s="238"/>
      <c r="CZ863" s="238"/>
      <c r="DA863" s="238"/>
      <c r="DB863" s="238"/>
      <c r="DC863" s="239"/>
      <c r="DD863" s="237">
        <f>COUNTIFS('Form Details'!$D:$D,"&lt;"&amp;'Adv. Filter'!$A$15,'Form Details'!$N:$N,"Ganesh",'Form Details'!$J:$J,$C863,'Form Details'!$W:$W,"Pending")</f>
        <v>0</v>
      </c>
      <c r="DE863" s="238"/>
      <c r="DF863" s="238"/>
      <c r="DG863" s="238"/>
      <c r="DH863" s="238"/>
      <c r="DI863" s="238"/>
      <c r="DJ863" s="239"/>
      <c r="DK863" s="237">
        <f>COUNTIFS('Form Details'!$D:$D,"&lt;"&amp;'Adv. Filter'!$A$15,'Form Details'!$N:$N,"Ganesh",'Form Details'!$J:$J,$C863,'Form Details'!$W:$W,"Adv/Paid/NoStatus")</f>
        <v>0</v>
      </c>
      <c r="DL863" s="238"/>
      <c r="DM863" s="238"/>
      <c r="DN863" s="238"/>
      <c r="DO863" s="238"/>
      <c r="DP863" s="238"/>
      <c r="DQ863" s="239"/>
      <c r="DR863" s="237">
        <f>COUNTIFS('Form Details'!$D:$D,"&lt;"&amp;'Adv. Filter'!$A$15,'Form Details'!$N:$N,"Ganesh",'Form Details'!$J:$J,$C863,'Form Details'!$W:$W,"No Status")</f>
        <v>0</v>
      </c>
      <c r="DS863" s="238"/>
      <c r="DT863" s="238"/>
      <c r="DU863" s="238"/>
      <c r="DV863" s="238"/>
      <c r="DW863" s="238"/>
      <c r="DX863" s="239"/>
      <c r="DY863" s="237">
        <f>SUM(COUNTIFS('Form Details'!$D:$D,"&lt;"&amp;'Adv. Filter'!$A$15,'Form Details'!$N:$N,"Ganesh",'Form Details'!$J:$J,$C863,'Form Details'!$W:$W,{"Wrong Entry ","Double Entry"}))</f>
        <v>0</v>
      </c>
      <c r="DZ863" s="238"/>
      <c r="EA863" s="238"/>
      <c r="EB863" s="238"/>
      <c r="EC863" s="238"/>
      <c r="ED863" s="238"/>
      <c r="EE863" s="239"/>
    </row>
    <row r="864" spans="3:135" hidden="1">
      <c r="C864" s="248" t="s">
        <v>70</v>
      </c>
      <c r="D864" s="249"/>
      <c r="E864" s="249"/>
      <c r="F864" s="249"/>
      <c r="G864" s="249"/>
      <c r="H864" s="249"/>
      <c r="I864" s="249"/>
      <c r="J864" s="249"/>
      <c r="K864" s="249"/>
      <c r="L864" s="249"/>
      <c r="M864" s="249"/>
      <c r="N864" s="249"/>
      <c r="O864" s="237">
        <f>COUNTIFS('Form Details'!$D:$D,"&lt;"&amp;'Adv. Filter'!$A$15,'Form Details'!$N:$N,"Ganesh",'Form Details'!$J:$J,$C864)</f>
        <v>0</v>
      </c>
      <c r="P864" s="238"/>
      <c r="Q864" s="238"/>
      <c r="R864" s="238"/>
      <c r="S864" s="238"/>
      <c r="T864" s="238"/>
      <c r="U864" s="239"/>
      <c r="V864" s="100"/>
      <c r="W864" s="237">
        <f>COUNTIFS('Form Details'!$D:$D,"&lt;"&amp;'Adv. Filter'!$A$15,'Form Details'!$N:$N,"Ganesh",'Form Details'!$J:$J,$C864,'Form Details'!$AA:$AA,"Yes")</f>
        <v>0</v>
      </c>
      <c r="X864" s="238"/>
      <c r="Y864" s="238"/>
      <c r="Z864" s="238"/>
      <c r="AA864" s="238"/>
      <c r="AB864" s="238"/>
      <c r="AC864" s="239"/>
      <c r="AD864" s="237">
        <f>COUNTIFS('Form Details'!$D:$D,"&lt;"&amp;'Adv. Filter'!$A$15,'Form Details'!$N:$N,"Ganesh",'Form Details'!$J:$J,$C864,'Form Details'!$W:$W,"Paid",'Form Details'!$S:$S,'Adv. Filter'!$A$14,'Form Details'!$S:$S,'Adv. Filter'!$B$14)</f>
        <v>0</v>
      </c>
      <c r="AE864" s="238"/>
      <c r="AF864" s="238"/>
      <c r="AG864" s="238"/>
      <c r="AH864" s="238"/>
      <c r="AI864" s="238"/>
      <c r="AJ864" s="239"/>
      <c r="AK864" s="237">
        <f>COUNTIFS('Form Details'!$D:$D,"&lt;"&amp;'Adv. Filter'!$A$15,'Form Details'!$N:$N,"Ganesh",'Form Details'!$J:$J,$C864,'Form Details'!$W:$W,"Due")</f>
        <v>0</v>
      </c>
      <c r="AL864" s="238"/>
      <c r="AM864" s="238"/>
      <c r="AN864" s="238"/>
      <c r="AO864" s="238"/>
      <c r="AP864" s="238"/>
      <c r="AQ864" s="239"/>
      <c r="AR864" s="237">
        <f>COUNTIFS('Form Details'!$D:$D,"&lt;"&amp;'Adv. Filter'!$A$15,'Form Details'!$N:$N,"Ganesh",'Form Details'!$J:$J,$C864,'Form Details'!$W:$W,"No Fee")</f>
        <v>0</v>
      </c>
      <c r="AS864" s="238"/>
      <c r="AT864" s="238"/>
      <c r="AU864" s="238"/>
      <c r="AV864" s="238"/>
      <c r="AW864" s="238"/>
      <c r="AX864" s="239"/>
      <c r="AY864" s="237">
        <f>COUNTIFS('Form Details'!$D:$D,"&lt;"&amp;'Adv. Filter'!$A$15,'Form Details'!$N:$N,"Ganesh",'Form Details'!$J:$J,$C864,'Form Details'!$W:$W,"Paid/Reject")</f>
        <v>0</v>
      </c>
      <c r="AZ864" s="238"/>
      <c r="BA864" s="238"/>
      <c r="BB864" s="238"/>
      <c r="BC864" s="238"/>
      <c r="BD864" s="238"/>
      <c r="BE864" s="239"/>
      <c r="BF864" s="237">
        <f>COUNTIFS('Form Details'!$D:$D,"&lt;"&amp;'Adv. Filter'!$A$15,'Form Details'!$N:$N,"Ganesh",'Form Details'!$J:$J,$C864,'Form Details'!$W:$W,"Staff")</f>
        <v>0</v>
      </c>
      <c r="BG864" s="238"/>
      <c r="BH864" s="238"/>
      <c r="BI864" s="238"/>
      <c r="BJ864" s="238"/>
      <c r="BK864" s="238"/>
      <c r="BL864" s="239"/>
      <c r="BM864" s="237">
        <f>COUNTIFS('Form Details'!$D:$D,"&lt;"&amp;'Adv. Filter'!$A$15,'Form Details'!$N:$N,"Ganesh",'Form Details'!$J:$J,$C864,'Form Details'!$W:$W,"File In Office")</f>
        <v>0</v>
      </c>
      <c r="BN864" s="238"/>
      <c r="BO864" s="238"/>
      <c r="BP864" s="238"/>
      <c r="BQ864" s="238"/>
      <c r="BR864" s="238"/>
      <c r="BS864" s="239"/>
      <c r="BT864" s="100"/>
      <c r="BU864" s="237">
        <f>COUNTIFS('Form Details'!$D:$D,"&lt;"&amp;'Adv. Filter'!$A$15,'Form Details'!$N:$N,"Ganesh",'Form Details'!$J:$J,$C864,'Form Details'!$AA:$AA,"No")</f>
        <v>0</v>
      </c>
      <c r="BV864" s="238"/>
      <c r="BW864" s="238"/>
      <c r="BX864" s="238"/>
      <c r="BY864" s="238"/>
      <c r="BZ864" s="238"/>
      <c r="CA864" s="239"/>
      <c r="CB864" s="237">
        <f>COUNTIFS('Form Details'!$D:$D,"&lt;"&amp;'Adv. Filter'!$A$15,'Form Details'!$N:$N,"Ganesh",'Form Details'!$J:$J,$C864,'Form Details'!$W:$W,"Adv/Paid")</f>
        <v>0</v>
      </c>
      <c r="CC864" s="238"/>
      <c r="CD864" s="238"/>
      <c r="CE864" s="238"/>
      <c r="CF864" s="238"/>
      <c r="CG864" s="238"/>
      <c r="CH864" s="239"/>
      <c r="CI864" s="237">
        <f>COUNTIFS('Form Details'!$D:$D,"&lt;"&amp;'Adv. Filter'!$A$15,'Form Details'!$N:$N,"Ganesh",'Form Details'!$J:$J,$C864,'Form Details'!$W:$W,"Adv/Paid/Reject")</f>
        <v>0</v>
      </c>
      <c r="CJ864" s="238"/>
      <c r="CK864" s="238"/>
      <c r="CL864" s="238"/>
      <c r="CM864" s="238"/>
      <c r="CN864" s="238"/>
      <c r="CO864" s="239"/>
      <c r="CP864" s="237">
        <f>COUNTIFS('Form Details'!$D:$D,"&lt;"&amp;'Adv. Filter'!$A$15,'Form Details'!$N:$N,"Ganesh",'Form Details'!$J:$J,$C864,'Form Details'!$W:$W,"Reject")</f>
        <v>0</v>
      </c>
      <c r="CQ864" s="238"/>
      <c r="CR864" s="238"/>
      <c r="CS864" s="238"/>
      <c r="CT864" s="238"/>
      <c r="CU864" s="238"/>
      <c r="CV864" s="239"/>
      <c r="CW864" s="237">
        <f>COUNTIFS('Form Details'!$D:$D,"&lt;"&amp;'Adv. Filter'!$A$15,'Form Details'!$N:$N,"Ganesh",'Form Details'!$J:$J,$C864,'Form Details'!$W:$W,"Adv/Paid/Pending")</f>
        <v>0</v>
      </c>
      <c r="CX864" s="238"/>
      <c r="CY864" s="238"/>
      <c r="CZ864" s="238"/>
      <c r="DA864" s="238"/>
      <c r="DB864" s="238"/>
      <c r="DC864" s="239"/>
      <c r="DD864" s="237">
        <f>COUNTIFS('Form Details'!$D:$D,"&lt;"&amp;'Adv. Filter'!$A$15,'Form Details'!$N:$N,"Ganesh",'Form Details'!$J:$J,$C864,'Form Details'!$W:$W,"Pending")</f>
        <v>0</v>
      </c>
      <c r="DE864" s="238"/>
      <c r="DF864" s="238"/>
      <c r="DG864" s="238"/>
      <c r="DH864" s="238"/>
      <c r="DI864" s="238"/>
      <c r="DJ864" s="239"/>
      <c r="DK864" s="237">
        <f>COUNTIFS('Form Details'!$D:$D,"&lt;"&amp;'Adv. Filter'!$A$15,'Form Details'!$N:$N,"Ganesh",'Form Details'!$J:$J,$C864,'Form Details'!$W:$W,"Adv/Paid/NoStatus")</f>
        <v>0</v>
      </c>
      <c r="DL864" s="238"/>
      <c r="DM864" s="238"/>
      <c r="DN864" s="238"/>
      <c r="DO864" s="238"/>
      <c r="DP864" s="238"/>
      <c r="DQ864" s="239"/>
      <c r="DR864" s="237">
        <f>COUNTIFS('Form Details'!$D:$D,"&lt;"&amp;'Adv. Filter'!$A$15,'Form Details'!$N:$N,"Ganesh",'Form Details'!$J:$J,$C864,'Form Details'!$W:$W,"No Status")</f>
        <v>0</v>
      </c>
      <c r="DS864" s="238"/>
      <c r="DT864" s="238"/>
      <c r="DU864" s="238"/>
      <c r="DV864" s="238"/>
      <c r="DW864" s="238"/>
      <c r="DX864" s="239"/>
      <c r="DY864" s="237">
        <f>SUM(COUNTIFS('Form Details'!$D:$D,"&lt;"&amp;'Adv. Filter'!$A$15,'Form Details'!$N:$N,"Ganesh",'Form Details'!$J:$J,$C864,'Form Details'!$W:$W,{"Wrong Entry ","Double Entry"}))</f>
        <v>0</v>
      </c>
      <c r="DZ864" s="238"/>
      <c r="EA864" s="238"/>
      <c r="EB864" s="238"/>
      <c r="EC864" s="238"/>
      <c r="ED864" s="238"/>
      <c r="EE864" s="239"/>
    </row>
    <row r="865" spans="3:135" hidden="1">
      <c r="C865" s="248" t="s">
        <v>77</v>
      </c>
      <c r="D865" s="249"/>
      <c r="E865" s="249"/>
      <c r="F865" s="249"/>
      <c r="G865" s="249"/>
      <c r="H865" s="249"/>
      <c r="I865" s="249"/>
      <c r="J865" s="249"/>
      <c r="K865" s="249"/>
      <c r="L865" s="249"/>
      <c r="M865" s="249"/>
      <c r="N865" s="249"/>
      <c r="O865" s="237">
        <f>COUNTIFS('Form Details'!$D:$D,"&lt;"&amp;'Adv. Filter'!$A$15,'Form Details'!$N:$N,"Ganesh",'Form Details'!$J:$J,$C865)</f>
        <v>0</v>
      </c>
      <c r="P865" s="238"/>
      <c r="Q865" s="238"/>
      <c r="R865" s="238"/>
      <c r="S865" s="238"/>
      <c r="T865" s="238"/>
      <c r="U865" s="239"/>
      <c r="V865" s="100"/>
      <c r="W865" s="237">
        <f>COUNTIFS('Form Details'!$D:$D,"&lt;"&amp;'Adv. Filter'!$A$15,'Form Details'!$N:$N,"Ganesh",'Form Details'!$J:$J,$C865,'Form Details'!$AA:$AA,"Yes")</f>
        <v>0</v>
      </c>
      <c r="X865" s="238"/>
      <c r="Y865" s="238"/>
      <c r="Z865" s="238"/>
      <c r="AA865" s="238"/>
      <c r="AB865" s="238"/>
      <c r="AC865" s="239"/>
      <c r="AD865" s="237">
        <f>COUNTIFS('Form Details'!$D:$D,"&lt;"&amp;'Adv. Filter'!$A$15,'Form Details'!$N:$N,"Ganesh",'Form Details'!$J:$J,$C865,'Form Details'!$W:$W,"Paid",'Form Details'!$S:$S,'Adv. Filter'!$A$14,'Form Details'!$S:$S,'Adv. Filter'!$B$14)</f>
        <v>0</v>
      </c>
      <c r="AE865" s="238"/>
      <c r="AF865" s="238"/>
      <c r="AG865" s="238"/>
      <c r="AH865" s="238"/>
      <c r="AI865" s="238"/>
      <c r="AJ865" s="239"/>
      <c r="AK865" s="237">
        <f>COUNTIFS('Form Details'!$D:$D,"&lt;"&amp;'Adv. Filter'!$A$15,'Form Details'!$N:$N,"Ganesh",'Form Details'!$J:$J,$C865,'Form Details'!$W:$W,"Due")</f>
        <v>0</v>
      </c>
      <c r="AL865" s="238"/>
      <c r="AM865" s="238"/>
      <c r="AN865" s="238"/>
      <c r="AO865" s="238"/>
      <c r="AP865" s="238"/>
      <c r="AQ865" s="239"/>
      <c r="AR865" s="237">
        <f>COUNTIFS('Form Details'!$D:$D,"&lt;"&amp;'Adv. Filter'!$A$15,'Form Details'!$N:$N,"Ganesh",'Form Details'!$J:$J,$C865,'Form Details'!$W:$W,"No Fee")</f>
        <v>0</v>
      </c>
      <c r="AS865" s="238"/>
      <c r="AT865" s="238"/>
      <c r="AU865" s="238"/>
      <c r="AV865" s="238"/>
      <c r="AW865" s="238"/>
      <c r="AX865" s="239"/>
      <c r="AY865" s="237">
        <f>COUNTIFS('Form Details'!$D:$D,"&lt;"&amp;'Adv. Filter'!$A$15,'Form Details'!$N:$N,"Ganesh",'Form Details'!$J:$J,$C865,'Form Details'!$W:$W,"Paid/Reject")</f>
        <v>0</v>
      </c>
      <c r="AZ865" s="238"/>
      <c r="BA865" s="238"/>
      <c r="BB865" s="238"/>
      <c r="BC865" s="238"/>
      <c r="BD865" s="238"/>
      <c r="BE865" s="239"/>
      <c r="BF865" s="237">
        <f>COUNTIFS('Form Details'!$D:$D,"&lt;"&amp;'Adv. Filter'!$A$15,'Form Details'!$N:$N,"Ganesh",'Form Details'!$J:$J,$C865,'Form Details'!$W:$W,"Staff")</f>
        <v>0</v>
      </c>
      <c r="BG865" s="238"/>
      <c r="BH865" s="238"/>
      <c r="BI865" s="238"/>
      <c r="BJ865" s="238"/>
      <c r="BK865" s="238"/>
      <c r="BL865" s="239"/>
      <c r="BM865" s="237">
        <f>COUNTIFS('Form Details'!$D:$D,"&lt;"&amp;'Adv. Filter'!$A$15,'Form Details'!$N:$N,"Ganesh",'Form Details'!$J:$J,$C865,'Form Details'!$W:$W,"File In Office")</f>
        <v>0</v>
      </c>
      <c r="BN865" s="238"/>
      <c r="BO865" s="238"/>
      <c r="BP865" s="238"/>
      <c r="BQ865" s="238"/>
      <c r="BR865" s="238"/>
      <c r="BS865" s="239"/>
      <c r="BT865" s="100"/>
      <c r="BU865" s="237">
        <f>COUNTIFS('Form Details'!$D:$D,"&lt;"&amp;'Adv. Filter'!$A$15,'Form Details'!$N:$N,"Ganesh",'Form Details'!$J:$J,$C865,'Form Details'!$AA:$AA,"No")</f>
        <v>0</v>
      </c>
      <c r="BV865" s="238"/>
      <c r="BW865" s="238"/>
      <c r="BX865" s="238"/>
      <c r="BY865" s="238"/>
      <c r="BZ865" s="238"/>
      <c r="CA865" s="239"/>
      <c r="CB865" s="237">
        <f>COUNTIFS('Form Details'!$D:$D,"&lt;"&amp;'Adv. Filter'!$A$15,'Form Details'!$N:$N,"Ganesh",'Form Details'!$J:$J,$C865,'Form Details'!$W:$W,"Adv/Paid")</f>
        <v>0</v>
      </c>
      <c r="CC865" s="238"/>
      <c r="CD865" s="238"/>
      <c r="CE865" s="238"/>
      <c r="CF865" s="238"/>
      <c r="CG865" s="238"/>
      <c r="CH865" s="239"/>
      <c r="CI865" s="237">
        <f>COUNTIFS('Form Details'!$D:$D,"&lt;"&amp;'Adv. Filter'!$A$15,'Form Details'!$N:$N,"Ganesh",'Form Details'!$J:$J,$C865,'Form Details'!$W:$W,"Adv/Paid/Reject")</f>
        <v>0</v>
      </c>
      <c r="CJ865" s="238"/>
      <c r="CK865" s="238"/>
      <c r="CL865" s="238"/>
      <c r="CM865" s="238"/>
      <c r="CN865" s="238"/>
      <c r="CO865" s="239"/>
      <c r="CP865" s="237">
        <f>COUNTIFS('Form Details'!$D:$D,"&lt;"&amp;'Adv. Filter'!$A$15,'Form Details'!$N:$N,"Ganesh",'Form Details'!$J:$J,$C865,'Form Details'!$W:$W,"Reject")</f>
        <v>0</v>
      </c>
      <c r="CQ865" s="238"/>
      <c r="CR865" s="238"/>
      <c r="CS865" s="238"/>
      <c r="CT865" s="238"/>
      <c r="CU865" s="238"/>
      <c r="CV865" s="239"/>
      <c r="CW865" s="237">
        <f>COUNTIFS('Form Details'!$D:$D,"&lt;"&amp;'Adv. Filter'!$A$15,'Form Details'!$N:$N,"Ganesh",'Form Details'!$J:$J,$C865,'Form Details'!$W:$W,"Adv/Paid/Pending")</f>
        <v>0</v>
      </c>
      <c r="CX865" s="238"/>
      <c r="CY865" s="238"/>
      <c r="CZ865" s="238"/>
      <c r="DA865" s="238"/>
      <c r="DB865" s="238"/>
      <c r="DC865" s="239"/>
      <c r="DD865" s="237">
        <f>COUNTIFS('Form Details'!$D:$D,"&lt;"&amp;'Adv. Filter'!$A$15,'Form Details'!$N:$N,"Ganesh",'Form Details'!$J:$J,$C865,'Form Details'!$W:$W,"Pending")</f>
        <v>0</v>
      </c>
      <c r="DE865" s="238"/>
      <c r="DF865" s="238"/>
      <c r="DG865" s="238"/>
      <c r="DH865" s="238"/>
      <c r="DI865" s="238"/>
      <c r="DJ865" s="239"/>
      <c r="DK865" s="237">
        <f>COUNTIFS('Form Details'!$D:$D,"&lt;"&amp;'Adv. Filter'!$A$15,'Form Details'!$N:$N,"Ganesh",'Form Details'!$J:$J,$C865,'Form Details'!$W:$W,"Adv/Paid/NoStatus")</f>
        <v>0</v>
      </c>
      <c r="DL865" s="238"/>
      <c r="DM865" s="238"/>
      <c r="DN865" s="238"/>
      <c r="DO865" s="238"/>
      <c r="DP865" s="238"/>
      <c r="DQ865" s="239"/>
      <c r="DR865" s="237">
        <f>COUNTIFS('Form Details'!$D:$D,"&lt;"&amp;'Adv. Filter'!$A$15,'Form Details'!$N:$N,"Ganesh",'Form Details'!$J:$J,$C865,'Form Details'!$W:$W,"No Status")</f>
        <v>0</v>
      </c>
      <c r="DS865" s="238"/>
      <c r="DT865" s="238"/>
      <c r="DU865" s="238"/>
      <c r="DV865" s="238"/>
      <c r="DW865" s="238"/>
      <c r="DX865" s="239"/>
      <c r="DY865" s="237">
        <f>SUM(COUNTIFS('Form Details'!$D:$D,"&lt;"&amp;'Adv. Filter'!$A$15,'Form Details'!$N:$N,"Ganesh",'Form Details'!$J:$J,$C865,'Form Details'!$W:$W,{"Wrong Entry ","Double Entry"}))</f>
        <v>0</v>
      </c>
      <c r="DZ865" s="238"/>
      <c r="EA865" s="238"/>
      <c r="EB865" s="238"/>
      <c r="EC865" s="238"/>
      <c r="ED865" s="238"/>
      <c r="EE865" s="239"/>
    </row>
    <row r="866" spans="3:135" hidden="1">
      <c r="C866" s="248" t="s">
        <v>138</v>
      </c>
      <c r="D866" s="249"/>
      <c r="E866" s="249"/>
      <c r="F866" s="249"/>
      <c r="G866" s="249"/>
      <c r="H866" s="249"/>
      <c r="I866" s="249"/>
      <c r="J866" s="249"/>
      <c r="K866" s="249"/>
      <c r="L866" s="249"/>
      <c r="M866" s="249"/>
      <c r="N866" s="249"/>
      <c r="O866" s="237">
        <f>COUNTIFS('Form Details'!$D:$D,"&lt;"&amp;'Adv. Filter'!$A$15,'Form Details'!$N:$N,"Ganesh",'Form Details'!$J:$J,$C866)</f>
        <v>0</v>
      </c>
      <c r="P866" s="238"/>
      <c r="Q866" s="238"/>
      <c r="R866" s="238"/>
      <c r="S866" s="238"/>
      <c r="T866" s="238"/>
      <c r="U866" s="239"/>
      <c r="V866" s="100"/>
      <c r="W866" s="237">
        <f>COUNTIFS('Form Details'!$D:$D,"&lt;"&amp;'Adv. Filter'!$A$15,'Form Details'!$N:$N,"Ganesh",'Form Details'!$J:$J,$C866,'Form Details'!$AA:$AA,"Yes")</f>
        <v>0</v>
      </c>
      <c r="X866" s="238"/>
      <c r="Y866" s="238"/>
      <c r="Z866" s="238"/>
      <c r="AA866" s="238"/>
      <c r="AB866" s="238"/>
      <c r="AC866" s="239"/>
      <c r="AD866" s="237">
        <f>COUNTIFS('Form Details'!$D:$D,"&lt;"&amp;'Adv. Filter'!$A$15,'Form Details'!$N:$N,"Ganesh",'Form Details'!$J:$J,$C866,'Form Details'!$W:$W,"Paid",'Form Details'!$S:$S,'Adv. Filter'!$A$14,'Form Details'!$S:$S,'Adv. Filter'!$B$14)</f>
        <v>0</v>
      </c>
      <c r="AE866" s="238"/>
      <c r="AF866" s="238"/>
      <c r="AG866" s="238"/>
      <c r="AH866" s="238"/>
      <c r="AI866" s="238"/>
      <c r="AJ866" s="239"/>
      <c r="AK866" s="237">
        <f>COUNTIFS('Form Details'!$D:$D,"&lt;"&amp;'Adv. Filter'!$A$15,'Form Details'!$N:$N,"Ganesh",'Form Details'!$J:$J,$C866,'Form Details'!$W:$W,"Due")</f>
        <v>0</v>
      </c>
      <c r="AL866" s="238"/>
      <c r="AM866" s="238"/>
      <c r="AN866" s="238"/>
      <c r="AO866" s="238"/>
      <c r="AP866" s="238"/>
      <c r="AQ866" s="239"/>
      <c r="AR866" s="237">
        <f>COUNTIFS('Form Details'!$D:$D,"&lt;"&amp;'Adv. Filter'!$A$15,'Form Details'!$N:$N,"Ganesh",'Form Details'!$J:$J,$C866,'Form Details'!$W:$W,"No Fee")</f>
        <v>0</v>
      </c>
      <c r="AS866" s="238"/>
      <c r="AT866" s="238"/>
      <c r="AU866" s="238"/>
      <c r="AV866" s="238"/>
      <c r="AW866" s="238"/>
      <c r="AX866" s="239"/>
      <c r="AY866" s="237">
        <f>COUNTIFS('Form Details'!$D:$D,"&lt;"&amp;'Adv. Filter'!$A$15,'Form Details'!$N:$N,"Ganesh",'Form Details'!$J:$J,$C866,'Form Details'!$W:$W,"Paid/Reject")</f>
        <v>0</v>
      </c>
      <c r="AZ866" s="238"/>
      <c r="BA866" s="238"/>
      <c r="BB866" s="238"/>
      <c r="BC866" s="238"/>
      <c r="BD866" s="238"/>
      <c r="BE866" s="239"/>
      <c r="BF866" s="237">
        <f>COUNTIFS('Form Details'!$D:$D,"&lt;"&amp;'Adv. Filter'!$A$15,'Form Details'!$N:$N,"Ganesh",'Form Details'!$J:$J,$C866,'Form Details'!$W:$W,"Staff")</f>
        <v>0</v>
      </c>
      <c r="BG866" s="238"/>
      <c r="BH866" s="238"/>
      <c r="BI866" s="238"/>
      <c r="BJ866" s="238"/>
      <c r="BK866" s="238"/>
      <c r="BL866" s="239"/>
      <c r="BM866" s="237">
        <f>COUNTIFS('Form Details'!$D:$D,"&lt;"&amp;'Adv. Filter'!$A$15,'Form Details'!$N:$N,"Ganesh",'Form Details'!$J:$J,$C866,'Form Details'!$W:$W,"File In Office")</f>
        <v>0</v>
      </c>
      <c r="BN866" s="238"/>
      <c r="BO866" s="238"/>
      <c r="BP866" s="238"/>
      <c r="BQ866" s="238"/>
      <c r="BR866" s="238"/>
      <c r="BS866" s="239"/>
      <c r="BT866" s="100"/>
      <c r="BU866" s="237">
        <f>COUNTIFS('Form Details'!$D:$D,"&lt;"&amp;'Adv. Filter'!$A$15,'Form Details'!$N:$N,"Ganesh",'Form Details'!$J:$J,$C866,'Form Details'!$AA:$AA,"No")</f>
        <v>0</v>
      </c>
      <c r="BV866" s="238"/>
      <c r="BW866" s="238"/>
      <c r="BX866" s="238"/>
      <c r="BY866" s="238"/>
      <c r="BZ866" s="238"/>
      <c r="CA866" s="239"/>
      <c r="CB866" s="237">
        <f>COUNTIFS('Form Details'!$D:$D,"&lt;"&amp;'Adv. Filter'!$A$15,'Form Details'!$N:$N,"Ganesh",'Form Details'!$J:$J,$C866,'Form Details'!$W:$W,"Adv/Paid")</f>
        <v>0</v>
      </c>
      <c r="CC866" s="238"/>
      <c r="CD866" s="238"/>
      <c r="CE866" s="238"/>
      <c r="CF866" s="238"/>
      <c r="CG866" s="238"/>
      <c r="CH866" s="239"/>
      <c r="CI866" s="237">
        <f>COUNTIFS('Form Details'!$D:$D,"&lt;"&amp;'Adv. Filter'!$A$15,'Form Details'!$N:$N,"Ganesh",'Form Details'!$J:$J,$C866,'Form Details'!$W:$W,"Adv/Paid/Reject")</f>
        <v>0</v>
      </c>
      <c r="CJ866" s="238"/>
      <c r="CK866" s="238"/>
      <c r="CL866" s="238"/>
      <c r="CM866" s="238"/>
      <c r="CN866" s="238"/>
      <c r="CO866" s="239"/>
      <c r="CP866" s="237">
        <f>COUNTIFS('Form Details'!$D:$D,"&lt;"&amp;'Adv. Filter'!$A$15,'Form Details'!$N:$N,"Ganesh",'Form Details'!$J:$J,$C866,'Form Details'!$W:$W,"Reject")</f>
        <v>0</v>
      </c>
      <c r="CQ866" s="238"/>
      <c r="CR866" s="238"/>
      <c r="CS866" s="238"/>
      <c r="CT866" s="238"/>
      <c r="CU866" s="238"/>
      <c r="CV866" s="239"/>
      <c r="CW866" s="237">
        <f>COUNTIFS('Form Details'!$D:$D,"&lt;"&amp;'Adv. Filter'!$A$15,'Form Details'!$N:$N,"Ganesh",'Form Details'!$J:$J,$C866,'Form Details'!$W:$W,"Adv/Paid/Pending")</f>
        <v>0</v>
      </c>
      <c r="CX866" s="238"/>
      <c r="CY866" s="238"/>
      <c r="CZ866" s="238"/>
      <c r="DA866" s="238"/>
      <c r="DB866" s="238"/>
      <c r="DC866" s="239"/>
      <c r="DD866" s="237">
        <f>COUNTIFS('Form Details'!$D:$D,"&lt;"&amp;'Adv. Filter'!$A$15,'Form Details'!$N:$N,"Ganesh",'Form Details'!$J:$J,$C866,'Form Details'!$W:$W,"Pending")</f>
        <v>0</v>
      </c>
      <c r="DE866" s="238"/>
      <c r="DF866" s="238"/>
      <c r="DG866" s="238"/>
      <c r="DH866" s="238"/>
      <c r="DI866" s="238"/>
      <c r="DJ866" s="239"/>
      <c r="DK866" s="237">
        <f>COUNTIFS('Form Details'!$D:$D,"&lt;"&amp;'Adv. Filter'!$A$15,'Form Details'!$N:$N,"Ganesh",'Form Details'!$J:$J,$C866,'Form Details'!$W:$W,"Adv/Paid/NoStatus")</f>
        <v>0</v>
      </c>
      <c r="DL866" s="238"/>
      <c r="DM866" s="238"/>
      <c r="DN866" s="238"/>
      <c r="DO866" s="238"/>
      <c r="DP866" s="238"/>
      <c r="DQ866" s="239"/>
      <c r="DR866" s="237">
        <f>COUNTIFS('Form Details'!$D:$D,"&lt;"&amp;'Adv. Filter'!$A$15,'Form Details'!$N:$N,"Ganesh",'Form Details'!$J:$J,$C866,'Form Details'!$W:$W,"No Status")</f>
        <v>0</v>
      </c>
      <c r="DS866" s="238"/>
      <c r="DT866" s="238"/>
      <c r="DU866" s="238"/>
      <c r="DV866" s="238"/>
      <c r="DW866" s="238"/>
      <c r="DX866" s="239"/>
      <c r="DY866" s="237">
        <f>SUM(COUNTIFS('Form Details'!$D:$D,"&lt;"&amp;'Adv. Filter'!$A$15,'Form Details'!$N:$N,"Ganesh",'Form Details'!$J:$J,$C866,'Form Details'!$W:$W,{"Wrong Entry ","Double Entry"}))</f>
        <v>0</v>
      </c>
      <c r="DZ866" s="238"/>
      <c r="EA866" s="238"/>
      <c r="EB866" s="238"/>
      <c r="EC866" s="238"/>
      <c r="ED866" s="238"/>
      <c r="EE866" s="239"/>
    </row>
    <row r="867" spans="3:135" hidden="1">
      <c r="C867" s="248" t="s">
        <v>84</v>
      </c>
      <c r="D867" s="249"/>
      <c r="E867" s="249"/>
      <c r="F867" s="249"/>
      <c r="G867" s="249"/>
      <c r="H867" s="249"/>
      <c r="I867" s="249"/>
      <c r="J867" s="249"/>
      <c r="K867" s="249"/>
      <c r="L867" s="249"/>
      <c r="M867" s="249"/>
      <c r="N867" s="249"/>
      <c r="O867" s="237">
        <f>COUNTIFS('Form Details'!$D:$D,"&lt;"&amp;'Adv. Filter'!$A$15,'Form Details'!$N:$N,"Ganesh",'Form Details'!$J:$J,$C867)</f>
        <v>0</v>
      </c>
      <c r="P867" s="238"/>
      <c r="Q867" s="238"/>
      <c r="R867" s="238"/>
      <c r="S867" s="238"/>
      <c r="T867" s="238"/>
      <c r="U867" s="239"/>
      <c r="V867" s="100"/>
      <c r="W867" s="237">
        <f>COUNTIFS('Form Details'!$D:$D,"&lt;"&amp;'Adv. Filter'!$A$15,'Form Details'!$N:$N,"Ganesh",'Form Details'!$J:$J,$C867,'Form Details'!$AA:$AA,"Yes")</f>
        <v>0</v>
      </c>
      <c r="X867" s="238"/>
      <c r="Y867" s="238"/>
      <c r="Z867" s="238"/>
      <c r="AA867" s="238"/>
      <c r="AB867" s="238"/>
      <c r="AC867" s="239"/>
      <c r="AD867" s="237">
        <f>COUNTIFS('Form Details'!$D:$D,"&lt;"&amp;'Adv. Filter'!$A$15,'Form Details'!$N:$N,"Ganesh",'Form Details'!$J:$J,$C867,'Form Details'!$W:$W,"Paid",'Form Details'!$S:$S,'Adv. Filter'!$A$14,'Form Details'!$S:$S,'Adv. Filter'!$B$14)</f>
        <v>0</v>
      </c>
      <c r="AE867" s="238"/>
      <c r="AF867" s="238"/>
      <c r="AG867" s="238"/>
      <c r="AH867" s="238"/>
      <c r="AI867" s="238"/>
      <c r="AJ867" s="239"/>
      <c r="AK867" s="237">
        <f>COUNTIFS('Form Details'!$D:$D,"&lt;"&amp;'Adv. Filter'!$A$15,'Form Details'!$N:$N,"Ganesh",'Form Details'!$J:$J,$C867,'Form Details'!$W:$W,"Due")</f>
        <v>0</v>
      </c>
      <c r="AL867" s="238"/>
      <c r="AM867" s="238"/>
      <c r="AN867" s="238"/>
      <c r="AO867" s="238"/>
      <c r="AP867" s="238"/>
      <c r="AQ867" s="239"/>
      <c r="AR867" s="237">
        <f>COUNTIFS('Form Details'!$D:$D,"&lt;"&amp;'Adv. Filter'!$A$15,'Form Details'!$N:$N,"Ganesh",'Form Details'!$J:$J,$C867,'Form Details'!$W:$W,"No Fee")</f>
        <v>0</v>
      </c>
      <c r="AS867" s="238"/>
      <c r="AT867" s="238"/>
      <c r="AU867" s="238"/>
      <c r="AV867" s="238"/>
      <c r="AW867" s="238"/>
      <c r="AX867" s="239"/>
      <c r="AY867" s="237">
        <f>COUNTIFS('Form Details'!$D:$D,"&lt;"&amp;'Adv. Filter'!$A$15,'Form Details'!$N:$N,"Ganesh",'Form Details'!$J:$J,$C867,'Form Details'!$W:$W,"Paid/Reject")</f>
        <v>0</v>
      </c>
      <c r="AZ867" s="238"/>
      <c r="BA867" s="238"/>
      <c r="BB867" s="238"/>
      <c r="BC867" s="238"/>
      <c r="BD867" s="238"/>
      <c r="BE867" s="239"/>
      <c r="BF867" s="237">
        <f>COUNTIFS('Form Details'!$D:$D,"&lt;"&amp;'Adv. Filter'!$A$15,'Form Details'!$N:$N,"Ganesh",'Form Details'!$J:$J,$C867,'Form Details'!$W:$W,"Staff")</f>
        <v>0</v>
      </c>
      <c r="BG867" s="238"/>
      <c r="BH867" s="238"/>
      <c r="BI867" s="238"/>
      <c r="BJ867" s="238"/>
      <c r="BK867" s="238"/>
      <c r="BL867" s="239"/>
      <c r="BM867" s="237">
        <f>COUNTIFS('Form Details'!$D:$D,"&lt;"&amp;'Adv. Filter'!$A$15,'Form Details'!$N:$N,"Ganesh",'Form Details'!$J:$J,$C867,'Form Details'!$W:$W,"File In Office")</f>
        <v>0</v>
      </c>
      <c r="BN867" s="238"/>
      <c r="BO867" s="238"/>
      <c r="BP867" s="238"/>
      <c r="BQ867" s="238"/>
      <c r="BR867" s="238"/>
      <c r="BS867" s="239"/>
      <c r="BT867" s="100"/>
      <c r="BU867" s="237">
        <f>COUNTIFS('Form Details'!$D:$D,"&lt;"&amp;'Adv. Filter'!$A$15,'Form Details'!$N:$N,"Ganesh",'Form Details'!$J:$J,$C867,'Form Details'!$AA:$AA,"No")</f>
        <v>0</v>
      </c>
      <c r="BV867" s="238"/>
      <c r="BW867" s="238"/>
      <c r="BX867" s="238"/>
      <c r="BY867" s="238"/>
      <c r="BZ867" s="238"/>
      <c r="CA867" s="239"/>
      <c r="CB867" s="237">
        <f>COUNTIFS('Form Details'!$D:$D,"&lt;"&amp;'Adv. Filter'!$A$15,'Form Details'!$N:$N,"Ganesh",'Form Details'!$J:$J,$C867,'Form Details'!$W:$W,"Adv/Paid")</f>
        <v>0</v>
      </c>
      <c r="CC867" s="238"/>
      <c r="CD867" s="238"/>
      <c r="CE867" s="238"/>
      <c r="CF867" s="238"/>
      <c r="CG867" s="238"/>
      <c r="CH867" s="239"/>
      <c r="CI867" s="237">
        <f>COUNTIFS('Form Details'!$D:$D,"&lt;"&amp;'Adv. Filter'!$A$15,'Form Details'!$N:$N,"Ganesh",'Form Details'!$J:$J,$C867,'Form Details'!$W:$W,"Adv/Paid/Reject")</f>
        <v>0</v>
      </c>
      <c r="CJ867" s="238"/>
      <c r="CK867" s="238"/>
      <c r="CL867" s="238"/>
      <c r="CM867" s="238"/>
      <c r="CN867" s="238"/>
      <c r="CO867" s="239"/>
      <c r="CP867" s="237">
        <f>COUNTIFS('Form Details'!$D:$D,"&lt;"&amp;'Adv. Filter'!$A$15,'Form Details'!$N:$N,"Ganesh",'Form Details'!$J:$J,$C867,'Form Details'!$W:$W,"Reject")</f>
        <v>0</v>
      </c>
      <c r="CQ867" s="238"/>
      <c r="CR867" s="238"/>
      <c r="CS867" s="238"/>
      <c r="CT867" s="238"/>
      <c r="CU867" s="238"/>
      <c r="CV867" s="239"/>
      <c r="CW867" s="237">
        <f>COUNTIFS('Form Details'!$D:$D,"&lt;"&amp;'Adv. Filter'!$A$15,'Form Details'!$N:$N,"Ganesh",'Form Details'!$J:$J,$C867,'Form Details'!$W:$W,"Adv/Paid/Pending")</f>
        <v>0</v>
      </c>
      <c r="CX867" s="238"/>
      <c r="CY867" s="238"/>
      <c r="CZ867" s="238"/>
      <c r="DA867" s="238"/>
      <c r="DB867" s="238"/>
      <c r="DC867" s="239"/>
      <c r="DD867" s="237">
        <f>COUNTIFS('Form Details'!$D:$D,"&lt;"&amp;'Adv. Filter'!$A$15,'Form Details'!$N:$N,"Ganesh",'Form Details'!$J:$J,$C867,'Form Details'!$W:$W,"Pending")</f>
        <v>0</v>
      </c>
      <c r="DE867" s="238"/>
      <c r="DF867" s="238"/>
      <c r="DG867" s="238"/>
      <c r="DH867" s="238"/>
      <c r="DI867" s="238"/>
      <c r="DJ867" s="239"/>
      <c r="DK867" s="237">
        <f>COUNTIFS('Form Details'!$D:$D,"&lt;"&amp;'Adv. Filter'!$A$15,'Form Details'!$N:$N,"Ganesh",'Form Details'!$J:$J,$C867,'Form Details'!$W:$W,"Adv/Paid/NoStatus")</f>
        <v>0</v>
      </c>
      <c r="DL867" s="238"/>
      <c r="DM867" s="238"/>
      <c r="DN867" s="238"/>
      <c r="DO867" s="238"/>
      <c r="DP867" s="238"/>
      <c r="DQ867" s="239"/>
      <c r="DR867" s="237">
        <f>COUNTIFS('Form Details'!$D:$D,"&lt;"&amp;'Adv. Filter'!$A$15,'Form Details'!$N:$N,"Ganesh",'Form Details'!$J:$J,$C867,'Form Details'!$W:$W,"No Status")</f>
        <v>0</v>
      </c>
      <c r="DS867" s="238"/>
      <c r="DT867" s="238"/>
      <c r="DU867" s="238"/>
      <c r="DV867" s="238"/>
      <c r="DW867" s="238"/>
      <c r="DX867" s="239"/>
      <c r="DY867" s="237">
        <f>SUM(COUNTIFS('Form Details'!$D:$D,"&lt;"&amp;'Adv. Filter'!$A$15,'Form Details'!$N:$N,"Ganesh",'Form Details'!$J:$J,$C867,'Form Details'!$W:$W,{"Wrong Entry ","Double Entry"}))</f>
        <v>0</v>
      </c>
      <c r="DZ867" s="238"/>
      <c r="EA867" s="238"/>
      <c r="EB867" s="238"/>
      <c r="EC867" s="238"/>
      <c r="ED867" s="238"/>
      <c r="EE867" s="239"/>
    </row>
    <row r="868" spans="3:135" hidden="1">
      <c r="C868" s="248" t="s">
        <v>551</v>
      </c>
      <c r="D868" s="249"/>
      <c r="E868" s="249"/>
      <c r="F868" s="249"/>
      <c r="G868" s="249"/>
      <c r="H868" s="249"/>
      <c r="I868" s="249"/>
      <c r="J868" s="249"/>
      <c r="K868" s="249"/>
      <c r="L868" s="249"/>
      <c r="M868" s="249"/>
      <c r="N868" s="249"/>
      <c r="O868" s="237">
        <f>COUNTIFS('Form Details'!$D:$D,"&lt;"&amp;'Adv. Filter'!$A$15,'Form Details'!$N:$N,"Ganesh",'Form Details'!$J:$J,$C868)</f>
        <v>0</v>
      </c>
      <c r="P868" s="238"/>
      <c r="Q868" s="238"/>
      <c r="R868" s="238"/>
      <c r="S868" s="238"/>
      <c r="T868" s="238"/>
      <c r="U868" s="239"/>
      <c r="V868" s="100"/>
      <c r="W868" s="237">
        <f>COUNTIFS('Form Details'!$D:$D,"&lt;"&amp;'Adv. Filter'!$A$15,'Form Details'!$N:$N,"Ganesh",'Form Details'!$J:$J,$C868,'Form Details'!$AA:$AA,"Yes")</f>
        <v>0</v>
      </c>
      <c r="X868" s="238"/>
      <c r="Y868" s="238"/>
      <c r="Z868" s="238"/>
      <c r="AA868" s="238"/>
      <c r="AB868" s="238"/>
      <c r="AC868" s="239"/>
      <c r="AD868" s="237">
        <f>COUNTIFS('Form Details'!$D:$D,"&lt;"&amp;'Adv. Filter'!$A$15,'Form Details'!$N:$N,"Ganesh",'Form Details'!$J:$J,$C868,'Form Details'!$W:$W,"Paid",'Form Details'!$S:$S,'Adv. Filter'!$A$14,'Form Details'!$S:$S,'Adv. Filter'!$B$14)</f>
        <v>0</v>
      </c>
      <c r="AE868" s="238"/>
      <c r="AF868" s="238"/>
      <c r="AG868" s="238"/>
      <c r="AH868" s="238"/>
      <c r="AI868" s="238"/>
      <c r="AJ868" s="239"/>
      <c r="AK868" s="237">
        <f>COUNTIFS('Form Details'!$D:$D,"&lt;"&amp;'Adv. Filter'!$A$15,'Form Details'!$N:$N,"Ganesh",'Form Details'!$J:$J,$C868,'Form Details'!$W:$W,"Due")</f>
        <v>0</v>
      </c>
      <c r="AL868" s="238"/>
      <c r="AM868" s="238"/>
      <c r="AN868" s="238"/>
      <c r="AO868" s="238"/>
      <c r="AP868" s="238"/>
      <c r="AQ868" s="239"/>
      <c r="AR868" s="237">
        <f>COUNTIFS('Form Details'!$D:$D,"&lt;"&amp;'Adv. Filter'!$A$15,'Form Details'!$N:$N,"Ganesh",'Form Details'!$J:$J,$C868,'Form Details'!$W:$W,"No Fee")</f>
        <v>0</v>
      </c>
      <c r="AS868" s="238"/>
      <c r="AT868" s="238"/>
      <c r="AU868" s="238"/>
      <c r="AV868" s="238"/>
      <c r="AW868" s="238"/>
      <c r="AX868" s="239"/>
      <c r="AY868" s="237">
        <f>COUNTIFS('Form Details'!$D:$D,"&lt;"&amp;'Adv. Filter'!$A$15,'Form Details'!$N:$N,"Ganesh",'Form Details'!$J:$J,$C868,'Form Details'!$W:$W,"Paid/Reject")</f>
        <v>0</v>
      </c>
      <c r="AZ868" s="238"/>
      <c r="BA868" s="238"/>
      <c r="BB868" s="238"/>
      <c r="BC868" s="238"/>
      <c r="BD868" s="238"/>
      <c r="BE868" s="239"/>
      <c r="BF868" s="237">
        <f>COUNTIFS('Form Details'!$D:$D,"&lt;"&amp;'Adv. Filter'!$A$15,'Form Details'!$N:$N,"Ganesh",'Form Details'!$J:$J,$C868,'Form Details'!$W:$W,"Staff")</f>
        <v>0</v>
      </c>
      <c r="BG868" s="238"/>
      <c r="BH868" s="238"/>
      <c r="BI868" s="238"/>
      <c r="BJ868" s="238"/>
      <c r="BK868" s="238"/>
      <c r="BL868" s="239"/>
      <c r="BM868" s="237">
        <f>COUNTIFS('Form Details'!$D:$D,"&lt;"&amp;'Adv. Filter'!$A$15,'Form Details'!$N:$N,"Ganesh",'Form Details'!$J:$J,$C868,'Form Details'!$W:$W,"File In Office")</f>
        <v>0</v>
      </c>
      <c r="BN868" s="238"/>
      <c r="BO868" s="238"/>
      <c r="BP868" s="238"/>
      <c r="BQ868" s="238"/>
      <c r="BR868" s="238"/>
      <c r="BS868" s="239"/>
      <c r="BT868" s="100"/>
      <c r="BU868" s="237">
        <f>COUNTIFS('Form Details'!$D:$D,"&lt;"&amp;'Adv. Filter'!$A$15,'Form Details'!$N:$N,"Ganesh",'Form Details'!$J:$J,$C868,'Form Details'!$AA:$AA,"No")</f>
        <v>0</v>
      </c>
      <c r="BV868" s="238"/>
      <c r="BW868" s="238"/>
      <c r="BX868" s="238"/>
      <c r="BY868" s="238"/>
      <c r="BZ868" s="238"/>
      <c r="CA868" s="239"/>
      <c r="CB868" s="237">
        <f>COUNTIFS('Form Details'!$D:$D,"&lt;"&amp;'Adv. Filter'!$A$15,'Form Details'!$N:$N,"Ganesh",'Form Details'!$J:$J,$C868,'Form Details'!$W:$W,"Adv/Paid")</f>
        <v>0</v>
      </c>
      <c r="CC868" s="238"/>
      <c r="CD868" s="238"/>
      <c r="CE868" s="238"/>
      <c r="CF868" s="238"/>
      <c r="CG868" s="238"/>
      <c r="CH868" s="239"/>
      <c r="CI868" s="237">
        <f>COUNTIFS('Form Details'!$D:$D,"&lt;"&amp;'Adv. Filter'!$A$15,'Form Details'!$N:$N,"Ganesh",'Form Details'!$J:$J,$C868,'Form Details'!$W:$W,"Adv/Paid/Reject")</f>
        <v>0</v>
      </c>
      <c r="CJ868" s="238"/>
      <c r="CK868" s="238"/>
      <c r="CL868" s="238"/>
      <c r="CM868" s="238"/>
      <c r="CN868" s="238"/>
      <c r="CO868" s="239"/>
      <c r="CP868" s="237">
        <f>COUNTIFS('Form Details'!$D:$D,"&lt;"&amp;'Adv. Filter'!$A$15,'Form Details'!$N:$N,"Ganesh",'Form Details'!$J:$J,$C868,'Form Details'!$W:$W,"Reject")</f>
        <v>0</v>
      </c>
      <c r="CQ868" s="238"/>
      <c r="CR868" s="238"/>
      <c r="CS868" s="238"/>
      <c r="CT868" s="238"/>
      <c r="CU868" s="238"/>
      <c r="CV868" s="239"/>
      <c r="CW868" s="237">
        <f>COUNTIFS('Form Details'!$D:$D,"&lt;"&amp;'Adv. Filter'!$A$15,'Form Details'!$N:$N,"Ganesh",'Form Details'!$J:$J,$C868,'Form Details'!$W:$W,"Adv/Paid/Pending")</f>
        <v>0</v>
      </c>
      <c r="CX868" s="238"/>
      <c r="CY868" s="238"/>
      <c r="CZ868" s="238"/>
      <c r="DA868" s="238"/>
      <c r="DB868" s="238"/>
      <c r="DC868" s="239"/>
      <c r="DD868" s="237">
        <f>COUNTIFS('Form Details'!$D:$D,"&lt;"&amp;'Adv. Filter'!$A$15,'Form Details'!$N:$N,"Ganesh",'Form Details'!$J:$J,$C868,'Form Details'!$W:$W,"Pending")</f>
        <v>0</v>
      </c>
      <c r="DE868" s="238"/>
      <c r="DF868" s="238"/>
      <c r="DG868" s="238"/>
      <c r="DH868" s="238"/>
      <c r="DI868" s="238"/>
      <c r="DJ868" s="239"/>
      <c r="DK868" s="237">
        <f>COUNTIFS('Form Details'!$D:$D,"&lt;"&amp;'Adv. Filter'!$A$15,'Form Details'!$N:$N,"Ganesh",'Form Details'!$J:$J,$C868,'Form Details'!$W:$W,"Adv/Paid/NoStatus")</f>
        <v>0</v>
      </c>
      <c r="DL868" s="238"/>
      <c r="DM868" s="238"/>
      <c r="DN868" s="238"/>
      <c r="DO868" s="238"/>
      <c r="DP868" s="238"/>
      <c r="DQ868" s="239"/>
      <c r="DR868" s="237">
        <f>COUNTIFS('Form Details'!$D:$D,"&lt;"&amp;'Adv. Filter'!$A$15,'Form Details'!$N:$N,"Ganesh",'Form Details'!$J:$J,$C868,'Form Details'!$W:$W,"No Status")</f>
        <v>0</v>
      </c>
      <c r="DS868" s="238"/>
      <c r="DT868" s="238"/>
      <c r="DU868" s="238"/>
      <c r="DV868" s="238"/>
      <c r="DW868" s="238"/>
      <c r="DX868" s="239"/>
      <c r="DY868" s="237">
        <f>SUM(COUNTIFS('Form Details'!$D:$D,"&lt;"&amp;'Adv. Filter'!$A$15,'Form Details'!$N:$N,"Ganesh",'Form Details'!$J:$J,$C868,'Form Details'!$W:$W,{"Wrong Entry ","Double Entry"}))</f>
        <v>0</v>
      </c>
      <c r="DZ868" s="238"/>
      <c r="EA868" s="238"/>
      <c r="EB868" s="238"/>
      <c r="EC868" s="238"/>
      <c r="ED868" s="238"/>
      <c r="EE868" s="239"/>
    </row>
    <row r="869" spans="3:135" hidden="1">
      <c r="C869" s="248" t="s">
        <v>121</v>
      </c>
      <c r="D869" s="249"/>
      <c r="E869" s="249"/>
      <c r="F869" s="249"/>
      <c r="G869" s="249"/>
      <c r="H869" s="249"/>
      <c r="I869" s="249"/>
      <c r="J869" s="249"/>
      <c r="K869" s="249"/>
      <c r="L869" s="249"/>
      <c r="M869" s="249"/>
      <c r="N869" s="249"/>
      <c r="O869" s="237">
        <f>COUNTIFS('Form Details'!$D:$D,"&lt;"&amp;'Adv. Filter'!$A$15,'Form Details'!$N:$N,"Ganesh",'Form Details'!$J:$J,$C869)</f>
        <v>0</v>
      </c>
      <c r="P869" s="238"/>
      <c r="Q869" s="238"/>
      <c r="R869" s="238"/>
      <c r="S869" s="238"/>
      <c r="T869" s="238"/>
      <c r="U869" s="239"/>
      <c r="V869" s="100"/>
      <c r="W869" s="237">
        <f>COUNTIFS('Form Details'!$D:$D,"&lt;"&amp;'Adv. Filter'!$A$15,'Form Details'!$N:$N,"Ganesh",'Form Details'!$J:$J,$C869,'Form Details'!$AA:$AA,"Yes")</f>
        <v>0</v>
      </c>
      <c r="X869" s="238"/>
      <c r="Y869" s="238"/>
      <c r="Z869" s="238"/>
      <c r="AA869" s="238"/>
      <c r="AB869" s="238"/>
      <c r="AC869" s="239"/>
      <c r="AD869" s="237">
        <f>COUNTIFS('Form Details'!$D:$D,"&lt;"&amp;'Adv. Filter'!$A$15,'Form Details'!$N:$N,"Ganesh",'Form Details'!$J:$J,$C869,'Form Details'!$W:$W,"Paid",'Form Details'!$S:$S,'Adv. Filter'!$A$14,'Form Details'!$S:$S,'Adv. Filter'!$B$14)</f>
        <v>0</v>
      </c>
      <c r="AE869" s="238"/>
      <c r="AF869" s="238"/>
      <c r="AG869" s="238"/>
      <c r="AH869" s="238"/>
      <c r="AI869" s="238"/>
      <c r="AJ869" s="239"/>
      <c r="AK869" s="237">
        <f>COUNTIFS('Form Details'!$D:$D,"&lt;"&amp;'Adv. Filter'!$A$15,'Form Details'!$N:$N,"Ganesh",'Form Details'!$J:$J,$C869,'Form Details'!$W:$W,"Due")</f>
        <v>0</v>
      </c>
      <c r="AL869" s="238"/>
      <c r="AM869" s="238"/>
      <c r="AN869" s="238"/>
      <c r="AO869" s="238"/>
      <c r="AP869" s="238"/>
      <c r="AQ869" s="239"/>
      <c r="AR869" s="237">
        <f>COUNTIFS('Form Details'!$D:$D,"&lt;"&amp;'Adv. Filter'!$A$15,'Form Details'!$N:$N,"Ganesh",'Form Details'!$J:$J,$C869,'Form Details'!$W:$W,"No Fee")</f>
        <v>0</v>
      </c>
      <c r="AS869" s="238"/>
      <c r="AT869" s="238"/>
      <c r="AU869" s="238"/>
      <c r="AV869" s="238"/>
      <c r="AW869" s="238"/>
      <c r="AX869" s="239"/>
      <c r="AY869" s="237">
        <f>COUNTIFS('Form Details'!$D:$D,"&lt;"&amp;'Adv. Filter'!$A$15,'Form Details'!$N:$N,"Ganesh",'Form Details'!$J:$J,$C869,'Form Details'!$W:$W,"Paid/Reject")</f>
        <v>0</v>
      </c>
      <c r="AZ869" s="238"/>
      <c r="BA869" s="238"/>
      <c r="BB869" s="238"/>
      <c r="BC869" s="238"/>
      <c r="BD869" s="238"/>
      <c r="BE869" s="239"/>
      <c r="BF869" s="237">
        <f>COUNTIFS('Form Details'!$D:$D,"&lt;"&amp;'Adv. Filter'!$A$15,'Form Details'!$N:$N,"Ganesh",'Form Details'!$J:$J,$C869,'Form Details'!$W:$W,"Staff")</f>
        <v>0</v>
      </c>
      <c r="BG869" s="238"/>
      <c r="BH869" s="238"/>
      <c r="BI869" s="238"/>
      <c r="BJ869" s="238"/>
      <c r="BK869" s="238"/>
      <c r="BL869" s="239"/>
      <c r="BM869" s="237">
        <f>COUNTIFS('Form Details'!$D:$D,"&lt;"&amp;'Adv. Filter'!$A$15,'Form Details'!$N:$N,"Ganesh",'Form Details'!$J:$J,$C869,'Form Details'!$W:$W,"File In Office")</f>
        <v>0</v>
      </c>
      <c r="BN869" s="238"/>
      <c r="BO869" s="238"/>
      <c r="BP869" s="238"/>
      <c r="BQ869" s="238"/>
      <c r="BR869" s="238"/>
      <c r="BS869" s="239"/>
      <c r="BT869" s="100"/>
      <c r="BU869" s="237">
        <f>COUNTIFS('Form Details'!$D:$D,"&lt;"&amp;'Adv. Filter'!$A$15,'Form Details'!$N:$N,"Ganesh",'Form Details'!$J:$J,$C869,'Form Details'!$AA:$AA,"No")</f>
        <v>0</v>
      </c>
      <c r="BV869" s="238"/>
      <c r="BW869" s="238"/>
      <c r="BX869" s="238"/>
      <c r="BY869" s="238"/>
      <c r="BZ869" s="238"/>
      <c r="CA869" s="239"/>
      <c r="CB869" s="237">
        <f>COUNTIFS('Form Details'!$D:$D,"&lt;"&amp;'Adv. Filter'!$A$15,'Form Details'!$N:$N,"Ganesh",'Form Details'!$J:$J,$C869,'Form Details'!$W:$W,"Adv/Paid")</f>
        <v>0</v>
      </c>
      <c r="CC869" s="238"/>
      <c r="CD869" s="238"/>
      <c r="CE869" s="238"/>
      <c r="CF869" s="238"/>
      <c r="CG869" s="238"/>
      <c r="CH869" s="239"/>
      <c r="CI869" s="237">
        <f>COUNTIFS('Form Details'!$D:$D,"&lt;"&amp;'Adv. Filter'!$A$15,'Form Details'!$N:$N,"Ganesh",'Form Details'!$J:$J,$C869,'Form Details'!$W:$W,"Adv/Paid/Reject")</f>
        <v>0</v>
      </c>
      <c r="CJ869" s="238"/>
      <c r="CK869" s="238"/>
      <c r="CL869" s="238"/>
      <c r="CM869" s="238"/>
      <c r="CN869" s="238"/>
      <c r="CO869" s="239"/>
      <c r="CP869" s="237">
        <f>COUNTIFS('Form Details'!$D:$D,"&lt;"&amp;'Adv. Filter'!$A$15,'Form Details'!$N:$N,"Ganesh",'Form Details'!$J:$J,$C869,'Form Details'!$W:$W,"Reject")</f>
        <v>0</v>
      </c>
      <c r="CQ869" s="238"/>
      <c r="CR869" s="238"/>
      <c r="CS869" s="238"/>
      <c r="CT869" s="238"/>
      <c r="CU869" s="238"/>
      <c r="CV869" s="239"/>
      <c r="CW869" s="237">
        <f>COUNTIFS('Form Details'!$D:$D,"&lt;"&amp;'Adv. Filter'!$A$15,'Form Details'!$N:$N,"Ganesh",'Form Details'!$J:$J,$C869,'Form Details'!$W:$W,"Adv/Paid/Pending")</f>
        <v>0</v>
      </c>
      <c r="CX869" s="238"/>
      <c r="CY869" s="238"/>
      <c r="CZ869" s="238"/>
      <c r="DA869" s="238"/>
      <c r="DB869" s="238"/>
      <c r="DC869" s="239"/>
      <c r="DD869" s="237">
        <f>COUNTIFS('Form Details'!$D:$D,"&lt;"&amp;'Adv. Filter'!$A$15,'Form Details'!$N:$N,"Ganesh",'Form Details'!$J:$J,$C869,'Form Details'!$W:$W,"Pending")</f>
        <v>0</v>
      </c>
      <c r="DE869" s="238"/>
      <c r="DF869" s="238"/>
      <c r="DG869" s="238"/>
      <c r="DH869" s="238"/>
      <c r="DI869" s="238"/>
      <c r="DJ869" s="239"/>
      <c r="DK869" s="237">
        <f>COUNTIFS('Form Details'!$D:$D,"&lt;"&amp;'Adv. Filter'!$A$15,'Form Details'!$N:$N,"Ganesh",'Form Details'!$J:$J,$C869,'Form Details'!$W:$W,"Adv/Paid/NoStatus")</f>
        <v>0</v>
      </c>
      <c r="DL869" s="238"/>
      <c r="DM869" s="238"/>
      <c r="DN869" s="238"/>
      <c r="DO869" s="238"/>
      <c r="DP869" s="238"/>
      <c r="DQ869" s="239"/>
      <c r="DR869" s="237">
        <f>COUNTIFS('Form Details'!$D:$D,"&lt;"&amp;'Adv. Filter'!$A$15,'Form Details'!$N:$N,"Ganesh",'Form Details'!$J:$J,$C869,'Form Details'!$W:$W,"No Status")</f>
        <v>0</v>
      </c>
      <c r="DS869" s="238"/>
      <c r="DT869" s="238"/>
      <c r="DU869" s="238"/>
      <c r="DV869" s="238"/>
      <c r="DW869" s="238"/>
      <c r="DX869" s="239"/>
      <c r="DY869" s="237">
        <f>SUM(COUNTIFS('Form Details'!$D:$D,"&lt;"&amp;'Adv. Filter'!$A$15,'Form Details'!$N:$N,"Ganesh",'Form Details'!$J:$J,$C869,'Form Details'!$W:$W,{"Wrong Entry ","Double Entry"}))</f>
        <v>0</v>
      </c>
      <c r="DZ869" s="238"/>
      <c r="EA869" s="238"/>
      <c r="EB869" s="238"/>
      <c r="EC869" s="238"/>
      <c r="ED869" s="238"/>
      <c r="EE869" s="239"/>
    </row>
    <row r="870" spans="3:135" hidden="1">
      <c r="C870" s="248" t="s">
        <v>111</v>
      </c>
      <c r="D870" s="249"/>
      <c r="E870" s="249"/>
      <c r="F870" s="249"/>
      <c r="G870" s="249"/>
      <c r="H870" s="249"/>
      <c r="I870" s="249"/>
      <c r="J870" s="249"/>
      <c r="K870" s="249"/>
      <c r="L870" s="249"/>
      <c r="M870" s="249"/>
      <c r="N870" s="249"/>
      <c r="O870" s="237">
        <f>COUNTIFS('Form Details'!$D:$D,"&lt;"&amp;'Adv. Filter'!$A$15,'Form Details'!$N:$N,"Ganesh",'Form Details'!$J:$J,$C870)</f>
        <v>0</v>
      </c>
      <c r="P870" s="238"/>
      <c r="Q870" s="238"/>
      <c r="R870" s="238"/>
      <c r="S870" s="238"/>
      <c r="T870" s="238"/>
      <c r="U870" s="239"/>
      <c r="V870" s="100"/>
      <c r="W870" s="237">
        <f>COUNTIFS('Form Details'!$D:$D,"&lt;"&amp;'Adv. Filter'!$A$15,'Form Details'!$N:$N,"Ganesh",'Form Details'!$J:$J,$C870,'Form Details'!$AA:$AA,"Yes")</f>
        <v>0</v>
      </c>
      <c r="X870" s="238"/>
      <c r="Y870" s="238"/>
      <c r="Z870" s="238"/>
      <c r="AA870" s="238"/>
      <c r="AB870" s="238"/>
      <c r="AC870" s="239"/>
      <c r="AD870" s="237">
        <f>COUNTIFS('Form Details'!$D:$D,"&lt;"&amp;'Adv. Filter'!$A$15,'Form Details'!$N:$N,"Ganesh",'Form Details'!$J:$J,$C870,'Form Details'!$W:$W,"Paid",'Form Details'!$S:$S,'Adv. Filter'!$A$14,'Form Details'!$S:$S,'Adv. Filter'!$B$14)</f>
        <v>0</v>
      </c>
      <c r="AE870" s="238"/>
      <c r="AF870" s="238"/>
      <c r="AG870" s="238"/>
      <c r="AH870" s="238"/>
      <c r="AI870" s="238"/>
      <c r="AJ870" s="239"/>
      <c r="AK870" s="237">
        <f>COUNTIFS('Form Details'!$D:$D,"&lt;"&amp;'Adv. Filter'!$A$15,'Form Details'!$N:$N,"Ganesh",'Form Details'!$J:$J,$C870,'Form Details'!$W:$W,"Due")</f>
        <v>0</v>
      </c>
      <c r="AL870" s="238"/>
      <c r="AM870" s="238"/>
      <c r="AN870" s="238"/>
      <c r="AO870" s="238"/>
      <c r="AP870" s="238"/>
      <c r="AQ870" s="239"/>
      <c r="AR870" s="237">
        <f>COUNTIFS('Form Details'!$D:$D,"&lt;"&amp;'Adv. Filter'!$A$15,'Form Details'!$N:$N,"Ganesh",'Form Details'!$J:$J,$C870,'Form Details'!$W:$W,"No Fee")</f>
        <v>0</v>
      </c>
      <c r="AS870" s="238"/>
      <c r="AT870" s="238"/>
      <c r="AU870" s="238"/>
      <c r="AV870" s="238"/>
      <c r="AW870" s="238"/>
      <c r="AX870" s="239"/>
      <c r="AY870" s="237">
        <f>COUNTIFS('Form Details'!$D:$D,"&lt;"&amp;'Adv. Filter'!$A$15,'Form Details'!$N:$N,"Ganesh",'Form Details'!$J:$J,$C870,'Form Details'!$W:$W,"Paid/Reject")</f>
        <v>0</v>
      </c>
      <c r="AZ870" s="238"/>
      <c r="BA870" s="238"/>
      <c r="BB870" s="238"/>
      <c r="BC870" s="238"/>
      <c r="BD870" s="238"/>
      <c r="BE870" s="239"/>
      <c r="BF870" s="237">
        <f>COUNTIFS('Form Details'!$D:$D,"&lt;"&amp;'Adv. Filter'!$A$15,'Form Details'!$N:$N,"Ganesh",'Form Details'!$J:$J,$C870,'Form Details'!$W:$W,"Staff")</f>
        <v>0</v>
      </c>
      <c r="BG870" s="238"/>
      <c r="BH870" s="238"/>
      <c r="BI870" s="238"/>
      <c r="BJ870" s="238"/>
      <c r="BK870" s="238"/>
      <c r="BL870" s="239"/>
      <c r="BM870" s="237">
        <f>COUNTIFS('Form Details'!$D:$D,"&lt;"&amp;'Adv. Filter'!$A$15,'Form Details'!$N:$N,"Ganesh",'Form Details'!$J:$J,$C870,'Form Details'!$W:$W,"File In Office")</f>
        <v>0</v>
      </c>
      <c r="BN870" s="238"/>
      <c r="BO870" s="238"/>
      <c r="BP870" s="238"/>
      <c r="BQ870" s="238"/>
      <c r="BR870" s="238"/>
      <c r="BS870" s="239"/>
      <c r="BT870" s="100"/>
      <c r="BU870" s="237">
        <f>COUNTIFS('Form Details'!$D:$D,"&lt;"&amp;'Adv. Filter'!$A$15,'Form Details'!$N:$N,"Ganesh",'Form Details'!$J:$J,$C870,'Form Details'!$AA:$AA,"No")</f>
        <v>0</v>
      </c>
      <c r="BV870" s="238"/>
      <c r="BW870" s="238"/>
      <c r="BX870" s="238"/>
      <c r="BY870" s="238"/>
      <c r="BZ870" s="238"/>
      <c r="CA870" s="239"/>
      <c r="CB870" s="237">
        <f>COUNTIFS('Form Details'!$D:$D,"&lt;"&amp;'Adv. Filter'!$A$15,'Form Details'!$N:$N,"Ganesh",'Form Details'!$J:$J,$C870,'Form Details'!$W:$W,"Adv/Paid")</f>
        <v>0</v>
      </c>
      <c r="CC870" s="238"/>
      <c r="CD870" s="238"/>
      <c r="CE870" s="238"/>
      <c r="CF870" s="238"/>
      <c r="CG870" s="238"/>
      <c r="CH870" s="239"/>
      <c r="CI870" s="237">
        <f>COUNTIFS('Form Details'!$D:$D,"&lt;"&amp;'Adv. Filter'!$A$15,'Form Details'!$N:$N,"Ganesh",'Form Details'!$J:$J,$C870,'Form Details'!$W:$W,"Adv/Paid/Reject")</f>
        <v>0</v>
      </c>
      <c r="CJ870" s="238"/>
      <c r="CK870" s="238"/>
      <c r="CL870" s="238"/>
      <c r="CM870" s="238"/>
      <c r="CN870" s="238"/>
      <c r="CO870" s="239"/>
      <c r="CP870" s="237">
        <f>COUNTIFS('Form Details'!$D:$D,"&lt;"&amp;'Adv. Filter'!$A$15,'Form Details'!$N:$N,"Ganesh",'Form Details'!$J:$J,$C870,'Form Details'!$W:$W,"Reject")</f>
        <v>0</v>
      </c>
      <c r="CQ870" s="238"/>
      <c r="CR870" s="238"/>
      <c r="CS870" s="238"/>
      <c r="CT870" s="238"/>
      <c r="CU870" s="238"/>
      <c r="CV870" s="239"/>
      <c r="CW870" s="237">
        <f>COUNTIFS('Form Details'!$D:$D,"&lt;"&amp;'Adv. Filter'!$A$15,'Form Details'!$N:$N,"Ganesh",'Form Details'!$J:$J,$C870,'Form Details'!$W:$W,"Adv/Paid/Pending")</f>
        <v>0</v>
      </c>
      <c r="CX870" s="238"/>
      <c r="CY870" s="238"/>
      <c r="CZ870" s="238"/>
      <c r="DA870" s="238"/>
      <c r="DB870" s="238"/>
      <c r="DC870" s="239"/>
      <c r="DD870" s="237">
        <f>COUNTIFS('Form Details'!$D:$D,"&lt;"&amp;'Adv. Filter'!$A$15,'Form Details'!$N:$N,"Ganesh",'Form Details'!$J:$J,$C870,'Form Details'!$W:$W,"Pending")</f>
        <v>0</v>
      </c>
      <c r="DE870" s="238"/>
      <c r="DF870" s="238"/>
      <c r="DG870" s="238"/>
      <c r="DH870" s="238"/>
      <c r="DI870" s="238"/>
      <c r="DJ870" s="239"/>
      <c r="DK870" s="237">
        <f>COUNTIFS('Form Details'!$D:$D,"&lt;"&amp;'Adv. Filter'!$A$15,'Form Details'!$N:$N,"Ganesh",'Form Details'!$J:$J,$C870,'Form Details'!$W:$W,"Adv/Paid/NoStatus")</f>
        <v>0</v>
      </c>
      <c r="DL870" s="238"/>
      <c r="DM870" s="238"/>
      <c r="DN870" s="238"/>
      <c r="DO870" s="238"/>
      <c r="DP870" s="238"/>
      <c r="DQ870" s="239"/>
      <c r="DR870" s="237">
        <f>COUNTIFS('Form Details'!$D:$D,"&lt;"&amp;'Adv. Filter'!$A$15,'Form Details'!$N:$N,"Ganesh",'Form Details'!$J:$J,$C870,'Form Details'!$W:$W,"No Status")</f>
        <v>0</v>
      </c>
      <c r="DS870" s="238"/>
      <c r="DT870" s="238"/>
      <c r="DU870" s="238"/>
      <c r="DV870" s="238"/>
      <c r="DW870" s="238"/>
      <c r="DX870" s="239"/>
      <c r="DY870" s="237">
        <f>SUM(COUNTIFS('Form Details'!$D:$D,"&lt;"&amp;'Adv. Filter'!$A$15,'Form Details'!$N:$N,"Ganesh",'Form Details'!$J:$J,$C870,'Form Details'!$W:$W,{"Wrong Entry ","Double Entry"}))</f>
        <v>0</v>
      </c>
      <c r="DZ870" s="238"/>
      <c r="EA870" s="238"/>
      <c r="EB870" s="238"/>
      <c r="EC870" s="238"/>
      <c r="ED870" s="238"/>
      <c r="EE870" s="239"/>
    </row>
    <row r="871" spans="3:135" hidden="1">
      <c r="C871" s="248" t="s">
        <v>116</v>
      </c>
      <c r="D871" s="249"/>
      <c r="E871" s="249"/>
      <c r="F871" s="249"/>
      <c r="G871" s="249"/>
      <c r="H871" s="249"/>
      <c r="I871" s="249"/>
      <c r="J871" s="249"/>
      <c r="K871" s="249"/>
      <c r="L871" s="249"/>
      <c r="M871" s="249"/>
      <c r="N871" s="249"/>
      <c r="O871" s="237">
        <f>COUNTIFS('Form Details'!$D:$D,"&lt;"&amp;'Adv. Filter'!$A$15,'Form Details'!$N:$N,"Ganesh",'Form Details'!$J:$J,$C871)</f>
        <v>0</v>
      </c>
      <c r="P871" s="238"/>
      <c r="Q871" s="238"/>
      <c r="R871" s="238"/>
      <c r="S871" s="238"/>
      <c r="T871" s="238"/>
      <c r="U871" s="239"/>
      <c r="V871" s="100"/>
      <c r="W871" s="237">
        <f>COUNTIFS('Form Details'!$D:$D,"&lt;"&amp;'Adv. Filter'!$A$15,'Form Details'!$N:$N,"Ganesh",'Form Details'!$J:$J,$C871,'Form Details'!$AA:$AA,"Yes")</f>
        <v>0</v>
      </c>
      <c r="X871" s="238"/>
      <c r="Y871" s="238"/>
      <c r="Z871" s="238"/>
      <c r="AA871" s="238"/>
      <c r="AB871" s="238"/>
      <c r="AC871" s="239"/>
      <c r="AD871" s="237">
        <f>COUNTIFS('Form Details'!$D:$D,"&lt;"&amp;'Adv. Filter'!$A$15,'Form Details'!$N:$N,"Ganesh",'Form Details'!$J:$J,$C871,'Form Details'!$W:$W,"Paid",'Form Details'!$S:$S,'Adv. Filter'!$A$14,'Form Details'!$S:$S,'Adv. Filter'!$B$14)</f>
        <v>0</v>
      </c>
      <c r="AE871" s="238"/>
      <c r="AF871" s="238"/>
      <c r="AG871" s="238"/>
      <c r="AH871" s="238"/>
      <c r="AI871" s="238"/>
      <c r="AJ871" s="239"/>
      <c r="AK871" s="237">
        <f>COUNTIFS('Form Details'!$D:$D,"&lt;"&amp;'Adv. Filter'!$A$15,'Form Details'!$N:$N,"Ganesh",'Form Details'!$J:$J,$C871,'Form Details'!$W:$W,"Due")</f>
        <v>0</v>
      </c>
      <c r="AL871" s="238"/>
      <c r="AM871" s="238"/>
      <c r="AN871" s="238"/>
      <c r="AO871" s="238"/>
      <c r="AP871" s="238"/>
      <c r="AQ871" s="239"/>
      <c r="AR871" s="237">
        <f>COUNTIFS('Form Details'!$D:$D,"&lt;"&amp;'Adv. Filter'!$A$15,'Form Details'!$N:$N,"Ganesh",'Form Details'!$J:$J,$C871,'Form Details'!$W:$W,"No Fee")</f>
        <v>0</v>
      </c>
      <c r="AS871" s="238"/>
      <c r="AT871" s="238"/>
      <c r="AU871" s="238"/>
      <c r="AV871" s="238"/>
      <c r="AW871" s="238"/>
      <c r="AX871" s="239"/>
      <c r="AY871" s="237">
        <f>COUNTIFS('Form Details'!$D:$D,"&lt;"&amp;'Adv. Filter'!$A$15,'Form Details'!$N:$N,"Ganesh",'Form Details'!$J:$J,$C871,'Form Details'!$W:$W,"Paid/Reject")</f>
        <v>0</v>
      </c>
      <c r="AZ871" s="238"/>
      <c r="BA871" s="238"/>
      <c r="BB871" s="238"/>
      <c r="BC871" s="238"/>
      <c r="BD871" s="238"/>
      <c r="BE871" s="239"/>
      <c r="BF871" s="237">
        <f>COUNTIFS('Form Details'!$D:$D,"&lt;"&amp;'Adv. Filter'!$A$15,'Form Details'!$N:$N,"Ganesh",'Form Details'!$J:$J,$C871,'Form Details'!$W:$W,"Staff")</f>
        <v>0</v>
      </c>
      <c r="BG871" s="238"/>
      <c r="BH871" s="238"/>
      <c r="BI871" s="238"/>
      <c r="BJ871" s="238"/>
      <c r="BK871" s="238"/>
      <c r="BL871" s="239"/>
      <c r="BM871" s="237">
        <f>COUNTIFS('Form Details'!$D:$D,"&lt;"&amp;'Adv. Filter'!$A$15,'Form Details'!$N:$N,"Ganesh",'Form Details'!$J:$J,$C871,'Form Details'!$W:$W,"File In Office")</f>
        <v>0</v>
      </c>
      <c r="BN871" s="238"/>
      <c r="BO871" s="238"/>
      <c r="BP871" s="238"/>
      <c r="BQ871" s="238"/>
      <c r="BR871" s="238"/>
      <c r="BS871" s="239"/>
      <c r="BT871" s="100"/>
      <c r="BU871" s="237">
        <f>COUNTIFS('Form Details'!$D:$D,"&lt;"&amp;'Adv. Filter'!$A$15,'Form Details'!$N:$N,"Ganesh",'Form Details'!$J:$J,$C871,'Form Details'!$AA:$AA,"No")</f>
        <v>0</v>
      </c>
      <c r="BV871" s="238"/>
      <c r="BW871" s="238"/>
      <c r="BX871" s="238"/>
      <c r="BY871" s="238"/>
      <c r="BZ871" s="238"/>
      <c r="CA871" s="239"/>
      <c r="CB871" s="237">
        <f>COUNTIFS('Form Details'!$D:$D,"&lt;"&amp;'Adv. Filter'!$A$15,'Form Details'!$N:$N,"Ganesh",'Form Details'!$J:$J,$C871,'Form Details'!$W:$W,"Adv/Paid")</f>
        <v>0</v>
      </c>
      <c r="CC871" s="238"/>
      <c r="CD871" s="238"/>
      <c r="CE871" s="238"/>
      <c r="CF871" s="238"/>
      <c r="CG871" s="238"/>
      <c r="CH871" s="239"/>
      <c r="CI871" s="237">
        <f>COUNTIFS('Form Details'!$D:$D,"&lt;"&amp;'Adv. Filter'!$A$15,'Form Details'!$N:$N,"Ganesh",'Form Details'!$J:$J,$C871,'Form Details'!$W:$W,"Adv/Paid/Reject")</f>
        <v>0</v>
      </c>
      <c r="CJ871" s="238"/>
      <c r="CK871" s="238"/>
      <c r="CL871" s="238"/>
      <c r="CM871" s="238"/>
      <c r="CN871" s="238"/>
      <c r="CO871" s="239"/>
      <c r="CP871" s="237">
        <f>COUNTIFS('Form Details'!$D:$D,"&lt;"&amp;'Adv. Filter'!$A$15,'Form Details'!$N:$N,"Ganesh",'Form Details'!$J:$J,$C871,'Form Details'!$W:$W,"Reject")</f>
        <v>0</v>
      </c>
      <c r="CQ871" s="238"/>
      <c r="CR871" s="238"/>
      <c r="CS871" s="238"/>
      <c r="CT871" s="238"/>
      <c r="CU871" s="238"/>
      <c r="CV871" s="239"/>
      <c r="CW871" s="237">
        <f>COUNTIFS('Form Details'!$D:$D,"&lt;"&amp;'Adv. Filter'!$A$15,'Form Details'!$N:$N,"Ganesh",'Form Details'!$J:$J,$C871,'Form Details'!$W:$W,"Adv/Paid/Pending")</f>
        <v>0</v>
      </c>
      <c r="CX871" s="238"/>
      <c r="CY871" s="238"/>
      <c r="CZ871" s="238"/>
      <c r="DA871" s="238"/>
      <c r="DB871" s="238"/>
      <c r="DC871" s="239"/>
      <c r="DD871" s="237">
        <f>COUNTIFS('Form Details'!$D:$D,"&lt;"&amp;'Adv. Filter'!$A$15,'Form Details'!$N:$N,"Ganesh",'Form Details'!$J:$J,$C871,'Form Details'!$W:$W,"Pending")</f>
        <v>0</v>
      </c>
      <c r="DE871" s="238"/>
      <c r="DF871" s="238"/>
      <c r="DG871" s="238"/>
      <c r="DH871" s="238"/>
      <c r="DI871" s="238"/>
      <c r="DJ871" s="239"/>
      <c r="DK871" s="237">
        <f>COUNTIFS('Form Details'!$D:$D,"&lt;"&amp;'Adv. Filter'!$A$15,'Form Details'!$N:$N,"Ganesh",'Form Details'!$J:$J,$C871,'Form Details'!$W:$W,"Adv/Paid/NoStatus")</f>
        <v>0</v>
      </c>
      <c r="DL871" s="238"/>
      <c r="DM871" s="238"/>
      <c r="DN871" s="238"/>
      <c r="DO871" s="238"/>
      <c r="DP871" s="238"/>
      <c r="DQ871" s="239"/>
      <c r="DR871" s="237">
        <f>COUNTIFS('Form Details'!$D:$D,"&lt;"&amp;'Adv. Filter'!$A$15,'Form Details'!$N:$N,"Ganesh",'Form Details'!$J:$J,$C871,'Form Details'!$W:$W,"No Status")</f>
        <v>0</v>
      </c>
      <c r="DS871" s="238"/>
      <c r="DT871" s="238"/>
      <c r="DU871" s="238"/>
      <c r="DV871" s="238"/>
      <c r="DW871" s="238"/>
      <c r="DX871" s="239"/>
      <c r="DY871" s="237">
        <f>SUM(COUNTIFS('Form Details'!$D:$D,"&lt;"&amp;'Adv. Filter'!$A$15,'Form Details'!$N:$N,"Ganesh",'Form Details'!$J:$J,$C871,'Form Details'!$W:$W,{"Wrong Entry ","Double Entry"}))</f>
        <v>0</v>
      </c>
      <c r="DZ871" s="238"/>
      <c r="EA871" s="238"/>
      <c r="EB871" s="238"/>
      <c r="EC871" s="238"/>
      <c r="ED871" s="238"/>
      <c r="EE871" s="239"/>
    </row>
    <row r="872" spans="3:135" hidden="1">
      <c r="C872" s="248" t="s">
        <v>119</v>
      </c>
      <c r="D872" s="249"/>
      <c r="E872" s="249"/>
      <c r="F872" s="249"/>
      <c r="G872" s="249"/>
      <c r="H872" s="249"/>
      <c r="I872" s="249"/>
      <c r="J872" s="249"/>
      <c r="K872" s="249"/>
      <c r="L872" s="249"/>
      <c r="M872" s="249"/>
      <c r="N872" s="249"/>
      <c r="O872" s="237">
        <f>COUNTIFS('Form Details'!$D:$D,"&lt;"&amp;'Adv. Filter'!$A$15,'Form Details'!$N:$N,"Ganesh",'Form Details'!$J:$J,$C872)</f>
        <v>0</v>
      </c>
      <c r="P872" s="238"/>
      <c r="Q872" s="238"/>
      <c r="R872" s="238"/>
      <c r="S872" s="238"/>
      <c r="T872" s="238"/>
      <c r="U872" s="239"/>
      <c r="V872" s="100"/>
      <c r="W872" s="237">
        <f>COUNTIFS('Form Details'!$D:$D,"&lt;"&amp;'Adv. Filter'!$A$15,'Form Details'!$N:$N,"Ganesh",'Form Details'!$J:$J,$C872,'Form Details'!$AA:$AA,"Yes")</f>
        <v>0</v>
      </c>
      <c r="X872" s="238"/>
      <c r="Y872" s="238"/>
      <c r="Z872" s="238"/>
      <c r="AA872" s="238"/>
      <c r="AB872" s="238"/>
      <c r="AC872" s="239"/>
      <c r="AD872" s="237">
        <f>COUNTIFS('Form Details'!$D:$D,"&lt;"&amp;'Adv. Filter'!$A$15,'Form Details'!$N:$N,"Ganesh",'Form Details'!$J:$J,$C872,'Form Details'!$W:$W,"Paid",'Form Details'!$S:$S,'Adv. Filter'!$A$14,'Form Details'!$S:$S,'Adv. Filter'!$B$14)</f>
        <v>0</v>
      </c>
      <c r="AE872" s="238"/>
      <c r="AF872" s="238"/>
      <c r="AG872" s="238"/>
      <c r="AH872" s="238"/>
      <c r="AI872" s="238"/>
      <c r="AJ872" s="239"/>
      <c r="AK872" s="237">
        <f>COUNTIFS('Form Details'!$D:$D,"&lt;"&amp;'Adv. Filter'!$A$15,'Form Details'!$N:$N,"Ganesh",'Form Details'!$J:$J,$C872,'Form Details'!$W:$W,"Due")</f>
        <v>0</v>
      </c>
      <c r="AL872" s="238"/>
      <c r="AM872" s="238"/>
      <c r="AN872" s="238"/>
      <c r="AO872" s="238"/>
      <c r="AP872" s="238"/>
      <c r="AQ872" s="239"/>
      <c r="AR872" s="237">
        <f>COUNTIFS('Form Details'!$D:$D,"&lt;"&amp;'Adv. Filter'!$A$15,'Form Details'!$N:$N,"Ganesh",'Form Details'!$J:$J,$C872,'Form Details'!$W:$W,"No Fee")</f>
        <v>0</v>
      </c>
      <c r="AS872" s="238"/>
      <c r="AT872" s="238"/>
      <c r="AU872" s="238"/>
      <c r="AV872" s="238"/>
      <c r="AW872" s="238"/>
      <c r="AX872" s="239"/>
      <c r="AY872" s="237">
        <f>COUNTIFS('Form Details'!$D:$D,"&lt;"&amp;'Adv. Filter'!$A$15,'Form Details'!$N:$N,"Ganesh",'Form Details'!$J:$J,$C872,'Form Details'!$W:$W,"Paid/Reject")</f>
        <v>0</v>
      </c>
      <c r="AZ872" s="238"/>
      <c r="BA872" s="238"/>
      <c r="BB872" s="238"/>
      <c r="BC872" s="238"/>
      <c r="BD872" s="238"/>
      <c r="BE872" s="239"/>
      <c r="BF872" s="237">
        <f>COUNTIFS('Form Details'!$D:$D,"&lt;"&amp;'Adv. Filter'!$A$15,'Form Details'!$N:$N,"Ganesh",'Form Details'!$J:$J,$C872,'Form Details'!$W:$W,"Staff")</f>
        <v>0</v>
      </c>
      <c r="BG872" s="238"/>
      <c r="BH872" s="238"/>
      <c r="BI872" s="238"/>
      <c r="BJ872" s="238"/>
      <c r="BK872" s="238"/>
      <c r="BL872" s="239"/>
      <c r="BM872" s="237">
        <f>COUNTIFS('Form Details'!$D:$D,"&lt;"&amp;'Adv. Filter'!$A$15,'Form Details'!$N:$N,"Ganesh",'Form Details'!$J:$J,$C872,'Form Details'!$W:$W,"File In Office")</f>
        <v>0</v>
      </c>
      <c r="BN872" s="238"/>
      <c r="BO872" s="238"/>
      <c r="BP872" s="238"/>
      <c r="BQ872" s="238"/>
      <c r="BR872" s="238"/>
      <c r="BS872" s="239"/>
      <c r="BT872" s="100"/>
      <c r="BU872" s="237">
        <f>COUNTIFS('Form Details'!$D:$D,"&lt;"&amp;'Adv. Filter'!$A$15,'Form Details'!$N:$N,"Ganesh",'Form Details'!$J:$J,$C872,'Form Details'!$AA:$AA,"No")</f>
        <v>0</v>
      </c>
      <c r="BV872" s="238"/>
      <c r="BW872" s="238"/>
      <c r="BX872" s="238"/>
      <c r="BY872" s="238"/>
      <c r="BZ872" s="238"/>
      <c r="CA872" s="239"/>
      <c r="CB872" s="237">
        <f>COUNTIFS('Form Details'!$D:$D,"&lt;"&amp;'Adv. Filter'!$A$15,'Form Details'!$N:$N,"Ganesh",'Form Details'!$J:$J,$C872,'Form Details'!$W:$W,"Adv/Paid")</f>
        <v>0</v>
      </c>
      <c r="CC872" s="238"/>
      <c r="CD872" s="238"/>
      <c r="CE872" s="238"/>
      <c r="CF872" s="238"/>
      <c r="CG872" s="238"/>
      <c r="CH872" s="239"/>
      <c r="CI872" s="237">
        <f>COUNTIFS('Form Details'!$D:$D,"&lt;"&amp;'Adv. Filter'!$A$15,'Form Details'!$N:$N,"Ganesh",'Form Details'!$J:$J,$C872,'Form Details'!$W:$W,"Adv/Paid/Reject")</f>
        <v>0</v>
      </c>
      <c r="CJ872" s="238"/>
      <c r="CK872" s="238"/>
      <c r="CL872" s="238"/>
      <c r="CM872" s="238"/>
      <c r="CN872" s="238"/>
      <c r="CO872" s="239"/>
      <c r="CP872" s="237">
        <f>COUNTIFS('Form Details'!$D:$D,"&lt;"&amp;'Adv. Filter'!$A$15,'Form Details'!$N:$N,"Ganesh",'Form Details'!$J:$J,$C872,'Form Details'!$W:$W,"Reject")</f>
        <v>0</v>
      </c>
      <c r="CQ872" s="238"/>
      <c r="CR872" s="238"/>
      <c r="CS872" s="238"/>
      <c r="CT872" s="238"/>
      <c r="CU872" s="238"/>
      <c r="CV872" s="239"/>
      <c r="CW872" s="237">
        <f>COUNTIFS('Form Details'!$D:$D,"&lt;"&amp;'Adv. Filter'!$A$15,'Form Details'!$N:$N,"Ganesh",'Form Details'!$J:$J,$C872,'Form Details'!$W:$W,"Adv/Paid/Pending")</f>
        <v>0</v>
      </c>
      <c r="CX872" s="238"/>
      <c r="CY872" s="238"/>
      <c r="CZ872" s="238"/>
      <c r="DA872" s="238"/>
      <c r="DB872" s="238"/>
      <c r="DC872" s="239"/>
      <c r="DD872" s="237">
        <f>COUNTIFS('Form Details'!$D:$D,"&lt;"&amp;'Adv. Filter'!$A$15,'Form Details'!$N:$N,"Ganesh",'Form Details'!$J:$J,$C872,'Form Details'!$W:$W,"Pending")</f>
        <v>0</v>
      </c>
      <c r="DE872" s="238"/>
      <c r="DF872" s="238"/>
      <c r="DG872" s="238"/>
      <c r="DH872" s="238"/>
      <c r="DI872" s="238"/>
      <c r="DJ872" s="239"/>
      <c r="DK872" s="237">
        <f>COUNTIFS('Form Details'!$D:$D,"&lt;"&amp;'Adv. Filter'!$A$15,'Form Details'!$N:$N,"Ganesh",'Form Details'!$J:$J,$C872,'Form Details'!$W:$W,"Adv/Paid/NoStatus")</f>
        <v>0</v>
      </c>
      <c r="DL872" s="238"/>
      <c r="DM872" s="238"/>
      <c r="DN872" s="238"/>
      <c r="DO872" s="238"/>
      <c r="DP872" s="238"/>
      <c r="DQ872" s="239"/>
      <c r="DR872" s="237">
        <f>COUNTIFS('Form Details'!$D:$D,"&lt;"&amp;'Adv. Filter'!$A$15,'Form Details'!$N:$N,"Ganesh",'Form Details'!$J:$J,$C872,'Form Details'!$W:$W,"No Status")</f>
        <v>0</v>
      </c>
      <c r="DS872" s="238"/>
      <c r="DT872" s="238"/>
      <c r="DU872" s="238"/>
      <c r="DV872" s="238"/>
      <c r="DW872" s="238"/>
      <c r="DX872" s="239"/>
      <c r="DY872" s="237">
        <f>SUM(COUNTIFS('Form Details'!$D:$D,"&lt;"&amp;'Adv. Filter'!$A$15,'Form Details'!$N:$N,"Ganesh",'Form Details'!$J:$J,$C872,'Form Details'!$W:$W,{"Wrong Entry ","Double Entry"}))</f>
        <v>0</v>
      </c>
      <c r="DZ872" s="238"/>
      <c r="EA872" s="238"/>
      <c r="EB872" s="238"/>
      <c r="EC872" s="238"/>
      <c r="ED872" s="238"/>
      <c r="EE872" s="239"/>
    </row>
    <row r="873" spans="3:135" hidden="1">
      <c r="C873" s="248" t="s">
        <v>92</v>
      </c>
      <c r="D873" s="249"/>
      <c r="E873" s="249"/>
      <c r="F873" s="249"/>
      <c r="G873" s="249"/>
      <c r="H873" s="249"/>
      <c r="I873" s="249"/>
      <c r="J873" s="249"/>
      <c r="K873" s="249"/>
      <c r="L873" s="249"/>
      <c r="M873" s="249"/>
      <c r="N873" s="249"/>
      <c r="O873" s="237">
        <f>COUNTIFS('Form Details'!$D:$D,"&lt;"&amp;'Adv. Filter'!$A$15,'Form Details'!$N:$N,"Ganesh",'Form Details'!$J:$J,$C873)</f>
        <v>0</v>
      </c>
      <c r="P873" s="238"/>
      <c r="Q873" s="238"/>
      <c r="R873" s="238"/>
      <c r="S873" s="238"/>
      <c r="T873" s="238"/>
      <c r="U873" s="239"/>
      <c r="V873" s="100"/>
      <c r="W873" s="237">
        <f>COUNTIFS('Form Details'!$D:$D,"&lt;"&amp;'Adv. Filter'!$A$15,'Form Details'!$N:$N,"Ganesh",'Form Details'!$J:$J,$C873,'Form Details'!$AA:$AA,"Yes")</f>
        <v>0</v>
      </c>
      <c r="X873" s="238"/>
      <c r="Y873" s="238"/>
      <c r="Z873" s="238"/>
      <c r="AA873" s="238"/>
      <c r="AB873" s="238"/>
      <c r="AC873" s="239"/>
      <c r="AD873" s="237">
        <f>COUNTIFS('Form Details'!$D:$D,"&lt;"&amp;'Adv. Filter'!$A$15,'Form Details'!$N:$N,"Ganesh",'Form Details'!$J:$J,$C873,'Form Details'!$W:$W,"Paid",'Form Details'!$S:$S,'Adv. Filter'!$A$14,'Form Details'!$S:$S,'Adv. Filter'!$B$14)</f>
        <v>0</v>
      </c>
      <c r="AE873" s="238"/>
      <c r="AF873" s="238"/>
      <c r="AG873" s="238"/>
      <c r="AH873" s="238"/>
      <c r="AI873" s="238"/>
      <c r="AJ873" s="239"/>
      <c r="AK873" s="237">
        <f>COUNTIFS('Form Details'!$D:$D,"&lt;"&amp;'Adv. Filter'!$A$15,'Form Details'!$N:$N,"Ganesh",'Form Details'!$J:$J,$C873,'Form Details'!$W:$W,"Due")</f>
        <v>0</v>
      </c>
      <c r="AL873" s="238"/>
      <c r="AM873" s="238"/>
      <c r="AN873" s="238"/>
      <c r="AO873" s="238"/>
      <c r="AP873" s="238"/>
      <c r="AQ873" s="239"/>
      <c r="AR873" s="237">
        <f>COUNTIFS('Form Details'!$D:$D,"&lt;"&amp;'Adv. Filter'!$A$15,'Form Details'!$N:$N,"Ganesh",'Form Details'!$J:$J,$C873,'Form Details'!$W:$W,"No Fee")</f>
        <v>0</v>
      </c>
      <c r="AS873" s="238"/>
      <c r="AT873" s="238"/>
      <c r="AU873" s="238"/>
      <c r="AV873" s="238"/>
      <c r="AW873" s="238"/>
      <c r="AX873" s="239"/>
      <c r="AY873" s="237">
        <f>COUNTIFS('Form Details'!$D:$D,"&lt;"&amp;'Adv. Filter'!$A$15,'Form Details'!$N:$N,"Ganesh",'Form Details'!$J:$J,$C873,'Form Details'!$W:$W,"Paid/Reject")</f>
        <v>0</v>
      </c>
      <c r="AZ873" s="238"/>
      <c r="BA873" s="238"/>
      <c r="BB873" s="238"/>
      <c r="BC873" s="238"/>
      <c r="BD873" s="238"/>
      <c r="BE873" s="239"/>
      <c r="BF873" s="237">
        <f>COUNTIFS('Form Details'!$D:$D,"&lt;"&amp;'Adv. Filter'!$A$15,'Form Details'!$N:$N,"Ganesh",'Form Details'!$J:$J,$C873,'Form Details'!$W:$W,"Staff")</f>
        <v>0</v>
      </c>
      <c r="BG873" s="238"/>
      <c r="BH873" s="238"/>
      <c r="BI873" s="238"/>
      <c r="BJ873" s="238"/>
      <c r="BK873" s="238"/>
      <c r="BL873" s="239"/>
      <c r="BM873" s="237">
        <f>COUNTIFS('Form Details'!$D:$D,"&lt;"&amp;'Adv. Filter'!$A$15,'Form Details'!$N:$N,"Ganesh",'Form Details'!$J:$J,$C873,'Form Details'!$W:$W,"File In Office")</f>
        <v>0</v>
      </c>
      <c r="BN873" s="238"/>
      <c r="BO873" s="238"/>
      <c r="BP873" s="238"/>
      <c r="BQ873" s="238"/>
      <c r="BR873" s="238"/>
      <c r="BS873" s="239"/>
      <c r="BT873" s="100"/>
      <c r="BU873" s="237">
        <f>COUNTIFS('Form Details'!$D:$D,"&lt;"&amp;'Adv. Filter'!$A$15,'Form Details'!$N:$N,"Ganesh",'Form Details'!$J:$J,$C873,'Form Details'!$AA:$AA,"No")</f>
        <v>0</v>
      </c>
      <c r="BV873" s="238"/>
      <c r="BW873" s="238"/>
      <c r="BX873" s="238"/>
      <c r="BY873" s="238"/>
      <c r="BZ873" s="238"/>
      <c r="CA873" s="239"/>
      <c r="CB873" s="237">
        <f>COUNTIFS('Form Details'!$D:$D,"&lt;"&amp;'Adv. Filter'!$A$15,'Form Details'!$N:$N,"Ganesh",'Form Details'!$J:$J,$C873,'Form Details'!$W:$W,"Adv/Paid")</f>
        <v>0</v>
      </c>
      <c r="CC873" s="238"/>
      <c r="CD873" s="238"/>
      <c r="CE873" s="238"/>
      <c r="CF873" s="238"/>
      <c r="CG873" s="238"/>
      <c r="CH873" s="239"/>
      <c r="CI873" s="237">
        <f>COUNTIFS('Form Details'!$D:$D,"&lt;"&amp;'Adv. Filter'!$A$15,'Form Details'!$N:$N,"Ganesh",'Form Details'!$J:$J,$C873,'Form Details'!$W:$W,"Adv/Paid/Reject")</f>
        <v>0</v>
      </c>
      <c r="CJ873" s="238"/>
      <c r="CK873" s="238"/>
      <c r="CL873" s="238"/>
      <c r="CM873" s="238"/>
      <c r="CN873" s="238"/>
      <c r="CO873" s="239"/>
      <c r="CP873" s="237">
        <f>COUNTIFS('Form Details'!$D:$D,"&lt;"&amp;'Adv. Filter'!$A$15,'Form Details'!$N:$N,"Ganesh",'Form Details'!$J:$J,$C873,'Form Details'!$W:$W,"Reject")</f>
        <v>0</v>
      </c>
      <c r="CQ873" s="238"/>
      <c r="CR873" s="238"/>
      <c r="CS873" s="238"/>
      <c r="CT873" s="238"/>
      <c r="CU873" s="238"/>
      <c r="CV873" s="239"/>
      <c r="CW873" s="237">
        <f>COUNTIFS('Form Details'!$D:$D,"&lt;"&amp;'Adv. Filter'!$A$15,'Form Details'!$N:$N,"Ganesh",'Form Details'!$J:$J,$C873,'Form Details'!$W:$W,"Adv/Paid/Pending")</f>
        <v>0</v>
      </c>
      <c r="CX873" s="238"/>
      <c r="CY873" s="238"/>
      <c r="CZ873" s="238"/>
      <c r="DA873" s="238"/>
      <c r="DB873" s="238"/>
      <c r="DC873" s="239"/>
      <c r="DD873" s="237">
        <f>COUNTIFS('Form Details'!$D:$D,"&lt;"&amp;'Adv. Filter'!$A$15,'Form Details'!$N:$N,"Ganesh",'Form Details'!$J:$J,$C873,'Form Details'!$W:$W,"Pending")</f>
        <v>0</v>
      </c>
      <c r="DE873" s="238"/>
      <c r="DF873" s="238"/>
      <c r="DG873" s="238"/>
      <c r="DH873" s="238"/>
      <c r="DI873" s="238"/>
      <c r="DJ873" s="239"/>
      <c r="DK873" s="237">
        <f>COUNTIFS('Form Details'!$D:$D,"&lt;"&amp;'Adv. Filter'!$A$15,'Form Details'!$N:$N,"Ganesh",'Form Details'!$J:$J,$C873,'Form Details'!$W:$W,"Adv/Paid/NoStatus")</f>
        <v>0</v>
      </c>
      <c r="DL873" s="238"/>
      <c r="DM873" s="238"/>
      <c r="DN873" s="238"/>
      <c r="DO873" s="238"/>
      <c r="DP873" s="238"/>
      <c r="DQ873" s="239"/>
      <c r="DR873" s="237">
        <f>COUNTIFS('Form Details'!$D:$D,"&lt;"&amp;'Adv. Filter'!$A$15,'Form Details'!$N:$N,"Ganesh",'Form Details'!$J:$J,$C873,'Form Details'!$W:$W,"No Status")</f>
        <v>0</v>
      </c>
      <c r="DS873" s="238"/>
      <c r="DT873" s="238"/>
      <c r="DU873" s="238"/>
      <c r="DV873" s="238"/>
      <c r="DW873" s="238"/>
      <c r="DX873" s="239"/>
      <c r="DY873" s="237">
        <f>SUM(COUNTIFS('Form Details'!$D:$D,"&lt;"&amp;'Adv. Filter'!$A$15,'Form Details'!$N:$N,"Ganesh",'Form Details'!$J:$J,$C873,'Form Details'!$W:$W,{"Wrong Entry ","Double Entry"}))</f>
        <v>0</v>
      </c>
      <c r="DZ873" s="238"/>
      <c r="EA873" s="238"/>
      <c r="EB873" s="238"/>
      <c r="EC873" s="238"/>
      <c r="ED873" s="238"/>
      <c r="EE873" s="239"/>
    </row>
    <row r="874" spans="3:135" hidden="1">
      <c r="C874" s="248" t="s">
        <v>97</v>
      </c>
      <c r="D874" s="249"/>
      <c r="E874" s="249"/>
      <c r="F874" s="249"/>
      <c r="G874" s="249"/>
      <c r="H874" s="249"/>
      <c r="I874" s="249"/>
      <c r="J874" s="249"/>
      <c r="K874" s="249"/>
      <c r="L874" s="249"/>
      <c r="M874" s="249"/>
      <c r="N874" s="249"/>
      <c r="O874" s="237">
        <f>COUNTIFS('Form Details'!$D:$D,"&lt;"&amp;'Adv. Filter'!$A$15,'Form Details'!$N:$N,"Ganesh",'Form Details'!$J:$J,$C874)</f>
        <v>0</v>
      </c>
      <c r="P874" s="238"/>
      <c r="Q874" s="238"/>
      <c r="R874" s="238"/>
      <c r="S874" s="238"/>
      <c r="T874" s="238"/>
      <c r="U874" s="239"/>
      <c r="V874" s="100"/>
      <c r="W874" s="237">
        <f>COUNTIFS('Form Details'!$D:$D,"&lt;"&amp;'Adv. Filter'!$A$15,'Form Details'!$N:$N,"Ganesh",'Form Details'!$J:$J,$C874,'Form Details'!$AA:$AA,"Yes")</f>
        <v>0</v>
      </c>
      <c r="X874" s="238"/>
      <c r="Y874" s="238"/>
      <c r="Z874" s="238"/>
      <c r="AA874" s="238"/>
      <c r="AB874" s="238"/>
      <c r="AC874" s="239"/>
      <c r="AD874" s="237">
        <f>COUNTIFS('Form Details'!$D:$D,"&lt;"&amp;'Adv. Filter'!$A$15,'Form Details'!$N:$N,"Ganesh",'Form Details'!$J:$J,$C874,'Form Details'!$W:$W,"Paid",'Form Details'!$S:$S,'Adv. Filter'!$A$14,'Form Details'!$S:$S,'Adv. Filter'!$B$14)</f>
        <v>0</v>
      </c>
      <c r="AE874" s="238"/>
      <c r="AF874" s="238"/>
      <c r="AG874" s="238"/>
      <c r="AH874" s="238"/>
      <c r="AI874" s="238"/>
      <c r="AJ874" s="239"/>
      <c r="AK874" s="237">
        <f>COUNTIFS('Form Details'!$D:$D,"&lt;"&amp;'Adv. Filter'!$A$15,'Form Details'!$N:$N,"Ganesh",'Form Details'!$J:$J,$C874,'Form Details'!$W:$W,"Due")</f>
        <v>0</v>
      </c>
      <c r="AL874" s="238"/>
      <c r="AM874" s="238"/>
      <c r="AN874" s="238"/>
      <c r="AO874" s="238"/>
      <c r="AP874" s="238"/>
      <c r="AQ874" s="239"/>
      <c r="AR874" s="237">
        <f>COUNTIFS('Form Details'!$D:$D,"&lt;"&amp;'Adv. Filter'!$A$15,'Form Details'!$N:$N,"Ganesh",'Form Details'!$J:$J,$C874,'Form Details'!$W:$W,"No Fee")</f>
        <v>0</v>
      </c>
      <c r="AS874" s="238"/>
      <c r="AT874" s="238"/>
      <c r="AU874" s="238"/>
      <c r="AV874" s="238"/>
      <c r="AW874" s="238"/>
      <c r="AX874" s="239"/>
      <c r="AY874" s="237">
        <f>COUNTIFS('Form Details'!$D:$D,"&lt;"&amp;'Adv. Filter'!$A$15,'Form Details'!$N:$N,"Ganesh",'Form Details'!$J:$J,$C874,'Form Details'!$W:$W,"Paid/Reject")</f>
        <v>0</v>
      </c>
      <c r="AZ874" s="238"/>
      <c r="BA874" s="238"/>
      <c r="BB874" s="238"/>
      <c r="BC874" s="238"/>
      <c r="BD874" s="238"/>
      <c r="BE874" s="239"/>
      <c r="BF874" s="237">
        <f>COUNTIFS('Form Details'!$D:$D,"&lt;"&amp;'Adv. Filter'!$A$15,'Form Details'!$N:$N,"Ganesh",'Form Details'!$J:$J,$C874,'Form Details'!$W:$W,"Staff")</f>
        <v>0</v>
      </c>
      <c r="BG874" s="238"/>
      <c r="BH874" s="238"/>
      <c r="BI874" s="238"/>
      <c r="BJ874" s="238"/>
      <c r="BK874" s="238"/>
      <c r="BL874" s="239"/>
      <c r="BM874" s="237">
        <f>COUNTIFS('Form Details'!$D:$D,"&lt;"&amp;'Adv. Filter'!$A$15,'Form Details'!$N:$N,"Ganesh",'Form Details'!$J:$J,$C874,'Form Details'!$W:$W,"File In Office")</f>
        <v>0</v>
      </c>
      <c r="BN874" s="238"/>
      <c r="BO874" s="238"/>
      <c r="BP874" s="238"/>
      <c r="BQ874" s="238"/>
      <c r="BR874" s="238"/>
      <c r="BS874" s="239"/>
      <c r="BT874" s="100"/>
      <c r="BU874" s="237">
        <f>COUNTIFS('Form Details'!$D:$D,"&lt;"&amp;'Adv. Filter'!$A$15,'Form Details'!$N:$N,"Ganesh",'Form Details'!$J:$J,$C874,'Form Details'!$AA:$AA,"No")</f>
        <v>0</v>
      </c>
      <c r="BV874" s="238"/>
      <c r="BW874" s="238"/>
      <c r="BX874" s="238"/>
      <c r="BY874" s="238"/>
      <c r="BZ874" s="238"/>
      <c r="CA874" s="239"/>
      <c r="CB874" s="237">
        <f>COUNTIFS('Form Details'!$D:$D,"&lt;"&amp;'Adv. Filter'!$A$15,'Form Details'!$N:$N,"Ganesh",'Form Details'!$J:$J,$C874,'Form Details'!$W:$W,"Adv/Paid")</f>
        <v>0</v>
      </c>
      <c r="CC874" s="238"/>
      <c r="CD874" s="238"/>
      <c r="CE874" s="238"/>
      <c r="CF874" s="238"/>
      <c r="CG874" s="238"/>
      <c r="CH874" s="239"/>
      <c r="CI874" s="237">
        <f>COUNTIFS('Form Details'!$D:$D,"&lt;"&amp;'Adv. Filter'!$A$15,'Form Details'!$N:$N,"Ganesh",'Form Details'!$J:$J,$C874,'Form Details'!$W:$W,"Adv/Paid/Reject")</f>
        <v>0</v>
      </c>
      <c r="CJ874" s="238"/>
      <c r="CK874" s="238"/>
      <c r="CL874" s="238"/>
      <c r="CM874" s="238"/>
      <c r="CN874" s="238"/>
      <c r="CO874" s="239"/>
      <c r="CP874" s="237">
        <f>COUNTIFS('Form Details'!$D:$D,"&lt;"&amp;'Adv. Filter'!$A$15,'Form Details'!$N:$N,"Ganesh",'Form Details'!$J:$J,$C874,'Form Details'!$W:$W,"Reject")</f>
        <v>0</v>
      </c>
      <c r="CQ874" s="238"/>
      <c r="CR874" s="238"/>
      <c r="CS874" s="238"/>
      <c r="CT874" s="238"/>
      <c r="CU874" s="238"/>
      <c r="CV874" s="239"/>
      <c r="CW874" s="237">
        <f>COUNTIFS('Form Details'!$D:$D,"&lt;"&amp;'Adv. Filter'!$A$15,'Form Details'!$N:$N,"Ganesh",'Form Details'!$J:$J,$C874,'Form Details'!$W:$W,"Adv/Paid/Pending")</f>
        <v>0</v>
      </c>
      <c r="CX874" s="238"/>
      <c r="CY874" s="238"/>
      <c r="CZ874" s="238"/>
      <c r="DA874" s="238"/>
      <c r="DB874" s="238"/>
      <c r="DC874" s="239"/>
      <c r="DD874" s="237">
        <f>COUNTIFS('Form Details'!$D:$D,"&lt;"&amp;'Adv. Filter'!$A$15,'Form Details'!$N:$N,"Ganesh",'Form Details'!$J:$J,$C874,'Form Details'!$W:$W,"Pending")</f>
        <v>0</v>
      </c>
      <c r="DE874" s="238"/>
      <c r="DF874" s="238"/>
      <c r="DG874" s="238"/>
      <c r="DH874" s="238"/>
      <c r="DI874" s="238"/>
      <c r="DJ874" s="239"/>
      <c r="DK874" s="237">
        <f>COUNTIFS('Form Details'!$D:$D,"&lt;"&amp;'Adv. Filter'!$A$15,'Form Details'!$N:$N,"Ganesh",'Form Details'!$J:$J,$C874,'Form Details'!$W:$W,"Adv/Paid/NoStatus")</f>
        <v>0</v>
      </c>
      <c r="DL874" s="238"/>
      <c r="DM874" s="238"/>
      <c r="DN874" s="238"/>
      <c r="DO874" s="238"/>
      <c r="DP874" s="238"/>
      <c r="DQ874" s="239"/>
      <c r="DR874" s="237">
        <f>COUNTIFS('Form Details'!$D:$D,"&lt;"&amp;'Adv. Filter'!$A$15,'Form Details'!$N:$N,"Ganesh",'Form Details'!$J:$J,$C874,'Form Details'!$W:$W,"No Status")</f>
        <v>0</v>
      </c>
      <c r="DS874" s="238"/>
      <c r="DT874" s="238"/>
      <c r="DU874" s="238"/>
      <c r="DV874" s="238"/>
      <c r="DW874" s="238"/>
      <c r="DX874" s="239"/>
      <c r="DY874" s="237">
        <f>SUM(COUNTIFS('Form Details'!$D:$D,"&lt;"&amp;'Adv. Filter'!$A$15,'Form Details'!$N:$N,"Ganesh",'Form Details'!$J:$J,$C874,'Form Details'!$W:$W,{"Wrong Entry ","Double Entry"}))</f>
        <v>0</v>
      </c>
      <c r="DZ874" s="238"/>
      <c r="EA874" s="238"/>
      <c r="EB874" s="238"/>
      <c r="EC874" s="238"/>
      <c r="ED874" s="238"/>
      <c r="EE874" s="239"/>
    </row>
    <row r="875" spans="3:135" hidden="1">
      <c r="C875" s="248" t="s">
        <v>102</v>
      </c>
      <c r="D875" s="249"/>
      <c r="E875" s="249"/>
      <c r="F875" s="249"/>
      <c r="G875" s="249"/>
      <c r="H875" s="249"/>
      <c r="I875" s="249"/>
      <c r="J875" s="249"/>
      <c r="K875" s="249"/>
      <c r="L875" s="249"/>
      <c r="M875" s="249"/>
      <c r="N875" s="249"/>
      <c r="O875" s="237">
        <f>COUNTIFS('Form Details'!$D:$D,"&lt;"&amp;'Adv. Filter'!$A$15,'Form Details'!$N:$N,"Ganesh",'Form Details'!$J:$J,$C875)</f>
        <v>0</v>
      </c>
      <c r="P875" s="238"/>
      <c r="Q875" s="238"/>
      <c r="R875" s="238"/>
      <c r="S875" s="238"/>
      <c r="T875" s="238"/>
      <c r="U875" s="239"/>
      <c r="V875" s="100"/>
      <c r="W875" s="237">
        <f>COUNTIFS('Form Details'!$D:$D,"&lt;"&amp;'Adv. Filter'!$A$15,'Form Details'!$N:$N,"Ganesh",'Form Details'!$J:$J,$C875,'Form Details'!$AA:$AA,"Yes")</f>
        <v>0</v>
      </c>
      <c r="X875" s="238"/>
      <c r="Y875" s="238"/>
      <c r="Z875" s="238"/>
      <c r="AA875" s="238"/>
      <c r="AB875" s="238"/>
      <c r="AC875" s="239"/>
      <c r="AD875" s="237">
        <f>COUNTIFS('Form Details'!$D:$D,"&lt;"&amp;'Adv. Filter'!$A$15,'Form Details'!$N:$N,"Ganesh",'Form Details'!$J:$J,$C875,'Form Details'!$W:$W,"Paid",'Form Details'!$S:$S,'Adv. Filter'!$A$14,'Form Details'!$S:$S,'Adv. Filter'!$B$14)</f>
        <v>0</v>
      </c>
      <c r="AE875" s="238"/>
      <c r="AF875" s="238"/>
      <c r="AG875" s="238"/>
      <c r="AH875" s="238"/>
      <c r="AI875" s="238"/>
      <c r="AJ875" s="239"/>
      <c r="AK875" s="237">
        <f>COUNTIFS('Form Details'!$D:$D,"&lt;"&amp;'Adv. Filter'!$A$15,'Form Details'!$N:$N,"Ganesh",'Form Details'!$J:$J,$C875,'Form Details'!$W:$W,"Due")</f>
        <v>0</v>
      </c>
      <c r="AL875" s="238"/>
      <c r="AM875" s="238"/>
      <c r="AN875" s="238"/>
      <c r="AO875" s="238"/>
      <c r="AP875" s="238"/>
      <c r="AQ875" s="239"/>
      <c r="AR875" s="237">
        <f>COUNTIFS('Form Details'!$D:$D,"&lt;"&amp;'Adv. Filter'!$A$15,'Form Details'!$N:$N,"Ganesh",'Form Details'!$J:$J,$C875,'Form Details'!$W:$W,"No Fee")</f>
        <v>0</v>
      </c>
      <c r="AS875" s="238"/>
      <c r="AT875" s="238"/>
      <c r="AU875" s="238"/>
      <c r="AV875" s="238"/>
      <c r="AW875" s="238"/>
      <c r="AX875" s="239"/>
      <c r="AY875" s="237">
        <f>COUNTIFS('Form Details'!$D:$D,"&lt;"&amp;'Adv. Filter'!$A$15,'Form Details'!$N:$N,"Ganesh",'Form Details'!$J:$J,$C875,'Form Details'!$W:$W,"Paid/Reject")</f>
        <v>0</v>
      </c>
      <c r="AZ875" s="238"/>
      <c r="BA875" s="238"/>
      <c r="BB875" s="238"/>
      <c r="BC875" s="238"/>
      <c r="BD875" s="238"/>
      <c r="BE875" s="239"/>
      <c r="BF875" s="237">
        <f>COUNTIFS('Form Details'!$D:$D,"&lt;"&amp;'Adv. Filter'!$A$15,'Form Details'!$N:$N,"Ganesh",'Form Details'!$J:$J,$C875,'Form Details'!$W:$W,"Staff")</f>
        <v>0</v>
      </c>
      <c r="BG875" s="238"/>
      <c r="BH875" s="238"/>
      <c r="BI875" s="238"/>
      <c r="BJ875" s="238"/>
      <c r="BK875" s="238"/>
      <c r="BL875" s="239"/>
      <c r="BM875" s="237">
        <f>COUNTIFS('Form Details'!$D:$D,"&lt;"&amp;'Adv. Filter'!$A$15,'Form Details'!$N:$N,"Ganesh",'Form Details'!$J:$J,$C875,'Form Details'!$W:$W,"File In Office")</f>
        <v>0</v>
      </c>
      <c r="BN875" s="238"/>
      <c r="BO875" s="238"/>
      <c r="BP875" s="238"/>
      <c r="BQ875" s="238"/>
      <c r="BR875" s="238"/>
      <c r="BS875" s="239"/>
      <c r="BT875" s="100"/>
      <c r="BU875" s="237">
        <f>COUNTIFS('Form Details'!$D:$D,"&lt;"&amp;'Adv. Filter'!$A$15,'Form Details'!$N:$N,"Ganesh",'Form Details'!$J:$J,$C875,'Form Details'!$AA:$AA,"No")</f>
        <v>0</v>
      </c>
      <c r="BV875" s="238"/>
      <c r="BW875" s="238"/>
      <c r="BX875" s="238"/>
      <c r="BY875" s="238"/>
      <c r="BZ875" s="238"/>
      <c r="CA875" s="239"/>
      <c r="CB875" s="237">
        <f>COUNTIFS('Form Details'!$D:$D,"&lt;"&amp;'Adv. Filter'!$A$15,'Form Details'!$N:$N,"Ganesh",'Form Details'!$J:$J,$C875,'Form Details'!$W:$W,"Adv/Paid")</f>
        <v>0</v>
      </c>
      <c r="CC875" s="238"/>
      <c r="CD875" s="238"/>
      <c r="CE875" s="238"/>
      <c r="CF875" s="238"/>
      <c r="CG875" s="238"/>
      <c r="CH875" s="239"/>
      <c r="CI875" s="237">
        <f>COUNTIFS('Form Details'!$D:$D,"&lt;"&amp;'Adv. Filter'!$A$15,'Form Details'!$N:$N,"Ganesh",'Form Details'!$J:$J,$C875,'Form Details'!$W:$W,"Adv/Paid/Reject")</f>
        <v>0</v>
      </c>
      <c r="CJ875" s="238"/>
      <c r="CK875" s="238"/>
      <c r="CL875" s="238"/>
      <c r="CM875" s="238"/>
      <c r="CN875" s="238"/>
      <c r="CO875" s="239"/>
      <c r="CP875" s="237">
        <f>COUNTIFS('Form Details'!$D:$D,"&lt;"&amp;'Adv. Filter'!$A$15,'Form Details'!$N:$N,"Ganesh",'Form Details'!$J:$J,$C875,'Form Details'!$W:$W,"Reject")</f>
        <v>0</v>
      </c>
      <c r="CQ875" s="238"/>
      <c r="CR875" s="238"/>
      <c r="CS875" s="238"/>
      <c r="CT875" s="238"/>
      <c r="CU875" s="238"/>
      <c r="CV875" s="239"/>
      <c r="CW875" s="237">
        <f>COUNTIFS('Form Details'!$D:$D,"&lt;"&amp;'Adv. Filter'!$A$15,'Form Details'!$N:$N,"Ganesh",'Form Details'!$J:$J,$C875,'Form Details'!$W:$W,"Adv/Paid/Pending")</f>
        <v>0</v>
      </c>
      <c r="CX875" s="238"/>
      <c r="CY875" s="238"/>
      <c r="CZ875" s="238"/>
      <c r="DA875" s="238"/>
      <c r="DB875" s="238"/>
      <c r="DC875" s="239"/>
      <c r="DD875" s="237">
        <f>COUNTIFS('Form Details'!$D:$D,"&lt;"&amp;'Adv. Filter'!$A$15,'Form Details'!$N:$N,"Ganesh",'Form Details'!$J:$J,$C875,'Form Details'!$W:$W,"Pending")</f>
        <v>0</v>
      </c>
      <c r="DE875" s="238"/>
      <c r="DF875" s="238"/>
      <c r="DG875" s="238"/>
      <c r="DH875" s="238"/>
      <c r="DI875" s="238"/>
      <c r="DJ875" s="239"/>
      <c r="DK875" s="237">
        <f>COUNTIFS('Form Details'!$D:$D,"&lt;"&amp;'Adv. Filter'!$A$15,'Form Details'!$N:$N,"Ganesh",'Form Details'!$J:$J,$C875,'Form Details'!$W:$W,"Adv/Paid/NoStatus")</f>
        <v>0</v>
      </c>
      <c r="DL875" s="238"/>
      <c r="DM875" s="238"/>
      <c r="DN875" s="238"/>
      <c r="DO875" s="238"/>
      <c r="DP875" s="238"/>
      <c r="DQ875" s="239"/>
      <c r="DR875" s="237">
        <f>COUNTIFS('Form Details'!$D:$D,"&lt;"&amp;'Adv. Filter'!$A$15,'Form Details'!$N:$N,"Ganesh",'Form Details'!$J:$J,$C875,'Form Details'!$W:$W,"No Status")</f>
        <v>0</v>
      </c>
      <c r="DS875" s="238"/>
      <c r="DT875" s="238"/>
      <c r="DU875" s="238"/>
      <c r="DV875" s="238"/>
      <c r="DW875" s="238"/>
      <c r="DX875" s="239"/>
      <c r="DY875" s="237">
        <f>SUM(COUNTIFS('Form Details'!$D:$D,"&lt;"&amp;'Adv. Filter'!$A$15,'Form Details'!$N:$N,"Ganesh",'Form Details'!$J:$J,$C875,'Form Details'!$W:$W,{"Wrong Entry ","Double Entry"}))</f>
        <v>0</v>
      </c>
      <c r="DZ875" s="238"/>
      <c r="EA875" s="238"/>
      <c r="EB875" s="238"/>
      <c r="EC875" s="238"/>
      <c r="ED875" s="238"/>
      <c r="EE875" s="239"/>
    </row>
    <row r="876" spans="3:135" ht="15.75" hidden="1" thickBot="1">
      <c r="C876" s="248" t="s">
        <v>108</v>
      </c>
      <c r="D876" s="249"/>
      <c r="E876" s="249"/>
      <c r="F876" s="249"/>
      <c r="G876" s="249"/>
      <c r="H876" s="249"/>
      <c r="I876" s="249"/>
      <c r="J876" s="249"/>
      <c r="K876" s="249"/>
      <c r="L876" s="249"/>
      <c r="M876" s="249"/>
      <c r="N876" s="249"/>
      <c r="O876" s="237">
        <f>COUNTIFS('Form Details'!$D:$D,"&lt;"&amp;'Adv. Filter'!$A$15,'Form Details'!$N:$N,"Ganesh",'Form Details'!$J:$J,$C876)</f>
        <v>0</v>
      </c>
      <c r="P876" s="238"/>
      <c r="Q876" s="238"/>
      <c r="R876" s="238"/>
      <c r="S876" s="238"/>
      <c r="T876" s="238"/>
      <c r="U876" s="239"/>
      <c r="V876" s="100"/>
      <c r="W876" s="237">
        <f>COUNTIFS('Form Details'!$D:$D,"&lt;"&amp;'Adv. Filter'!$A$15,'Form Details'!$N:$N,"Ganesh",'Form Details'!$J:$J,$C876,'Form Details'!$AA:$AA,"Yes")</f>
        <v>0</v>
      </c>
      <c r="X876" s="238"/>
      <c r="Y876" s="238"/>
      <c r="Z876" s="238"/>
      <c r="AA876" s="238"/>
      <c r="AB876" s="238"/>
      <c r="AC876" s="239"/>
      <c r="AD876" s="237">
        <f>COUNTIFS('Form Details'!$D:$D,"&lt;"&amp;'Adv. Filter'!$A$15,'Form Details'!$N:$N,"Ganesh",'Form Details'!$J:$J,$C876,'Form Details'!$W:$W,"Paid",'Form Details'!$S:$S,'Adv. Filter'!$A$14,'Form Details'!$S:$S,'Adv. Filter'!$B$14)</f>
        <v>0</v>
      </c>
      <c r="AE876" s="238"/>
      <c r="AF876" s="238"/>
      <c r="AG876" s="238"/>
      <c r="AH876" s="238"/>
      <c r="AI876" s="238"/>
      <c r="AJ876" s="239"/>
      <c r="AK876" s="237">
        <f>COUNTIFS('Form Details'!$D:$D,"&lt;"&amp;'Adv. Filter'!$A$15,'Form Details'!$N:$N,"Ganesh",'Form Details'!$J:$J,$C876,'Form Details'!$W:$W,"Due")</f>
        <v>0</v>
      </c>
      <c r="AL876" s="238"/>
      <c r="AM876" s="238"/>
      <c r="AN876" s="238"/>
      <c r="AO876" s="238"/>
      <c r="AP876" s="238"/>
      <c r="AQ876" s="239"/>
      <c r="AR876" s="240">
        <f>COUNTIFS('Form Details'!$D:$D,"&lt;"&amp;'Adv. Filter'!$A$15,'Form Details'!$N:$N,"Ganesh",'Form Details'!$J:$J,$C876,'Form Details'!$W:$W,"No Fee")</f>
        <v>0</v>
      </c>
      <c r="AS876" s="241"/>
      <c r="AT876" s="241"/>
      <c r="AU876" s="241"/>
      <c r="AV876" s="241"/>
      <c r="AW876" s="241"/>
      <c r="AX876" s="242"/>
      <c r="AY876" s="240">
        <f>COUNTIFS('Form Details'!$D:$D,"&lt;"&amp;'Adv. Filter'!$A$15,'Form Details'!$N:$N,"Ganesh",'Form Details'!$J:$J,$C876,'Form Details'!$W:$W,"Paid/Reject")</f>
        <v>0</v>
      </c>
      <c r="AZ876" s="241"/>
      <c r="BA876" s="241"/>
      <c r="BB876" s="241"/>
      <c r="BC876" s="241"/>
      <c r="BD876" s="241"/>
      <c r="BE876" s="242"/>
      <c r="BF876" s="240">
        <f>COUNTIFS('Form Details'!$D:$D,"&lt;"&amp;'Adv. Filter'!$A$15,'Form Details'!$N:$N,"Ganesh",'Form Details'!$J:$J,$C876,'Form Details'!$W:$W,"Staff")</f>
        <v>0</v>
      </c>
      <c r="BG876" s="241"/>
      <c r="BH876" s="241"/>
      <c r="BI876" s="241"/>
      <c r="BJ876" s="241"/>
      <c r="BK876" s="241"/>
      <c r="BL876" s="242"/>
      <c r="BM876" s="240">
        <f>COUNTIFS('Form Details'!$D:$D,"&lt;"&amp;'Adv. Filter'!$A$15,'Form Details'!$N:$N,"Ganesh",'Form Details'!$J:$J,$C876,'Form Details'!$W:$W,"File In Office")</f>
        <v>0</v>
      </c>
      <c r="BN876" s="241"/>
      <c r="BO876" s="241"/>
      <c r="BP876" s="241"/>
      <c r="BQ876" s="241"/>
      <c r="BR876" s="241"/>
      <c r="BS876" s="242"/>
      <c r="BT876" s="100"/>
      <c r="BU876" s="240">
        <f>COUNTIFS('Form Details'!$D:$D,"&lt;"&amp;'Adv. Filter'!$A$15,'Form Details'!$N:$N,"Ganesh",'Form Details'!$J:$J,$C876,'Form Details'!$AA:$AA,"No")</f>
        <v>0</v>
      </c>
      <c r="BV876" s="241"/>
      <c r="BW876" s="241"/>
      <c r="BX876" s="241"/>
      <c r="BY876" s="241"/>
      <c r="BZ876" s="241"/>
      <c r="CA876" s="242"/>
      <c r="CB876" s="240">
        <f>COUNTIFS('Form Details'!$D:$D,"&lt;"&amp;'Adv. Filter'!$A$15,'Form Details'!$N:$N,"Ganesh",'Form Details'!$J:$J,$C876,'Form Details'!$W:$W,"Adv/Paid")</f>
        <v>0</v>
      </c>
      <c r="CC876" s="241"/>
      <c r="CD876" s="241"/>
      <c r="CE876" s="241"/>
      <c r="CF876" s="241"/>
      <c r="CG876" s="241"/>
      <c r="CH876" s="242"/>
      <c r="CI876" s="240">
        <f>COUNTIFS('Form Details'!$D:$D,"&lt;"&amp;'Adv. Filter'!$A$15,'Form Details'!$N:$N,"Ganesh",'Form Details'!$J:$J,$C876,'Form Details'!$W:$W,"Adv/Paid/Reject")</f>
        <v>0</v>
      </c>
      <c r="CJ876" s="241"/>
      <c r="CK876" s="241"/>
      <c r="CL876" s="241"/>
      <c r="CM876" s="241"/>
      <c r="CN876" s="241"/>
      <c r="CO876" s="242"/>
      <c r="CP876" s="240">
        <f>COUNTIFS('Form Details'!$D:$D,"&lt;"&amp;'Adv. Filter'!$A$15,'Form Details'!$N:$N,"Ganesh",'Form Details'!$J:$J,$C876,'Form Details'!$W:$W,"Reject")</f>
        <v>0</v>
      </c>
      <c r="CQ876" s="241"/>
      <c r="CR876" s="241"/>
      <c r="CS876" s="241"/>
      <c r="CT876" s="241"/>
      <c r="CU876" s="241"/>
      <c r="CV876" s="242"/>
      <c r="CW876" s="240">
        <f>COUNTIFS('Form Details'!$D:$D,"&lt;"&amp;'Adv. Filter'!$A$15,'Form Details'!$N:$N,"Ganesh",'Form Details'!$J:$J,$C876,'Form Details'!$W:$W,"Adv/Paid/Pending")</f>
        <v>0</v>
      </c>
      <c r="CX876" s="241"/>
      <c r="CY876" s="241"/>
      <c r="CZ876" s="241"/>
      <c r="DA876" s="241"/>
      <c r="DB876" s="241"/>
      <c r="DC876" s="242"/>
      <c r="DD876" s="240">
        <f>COUNTIFS('Form Details'!$D:$D,"&lt;"&amp;'Adv. Filter'!$A$15,'Form Details'!$N:$N,"Ganesh",'Form Details'!$J:$J,$C876,'Form Details'!$W:$W,"Pending")</f>
        <v>0</v>
      </c>
      <c r="DE876" s="241"/>
      <c r="DF876" s="241"/>
      <c r="DG876" s="241"/>
      <c r="DH876" s="241"/>
      <c r="DI876" s="241"/>
      <c r="DJ876" s="242"/>
      <c r="DK876" s="240">
        <f>COUNTIFS('Form Details'!$D:$D,"&lt;"&amp;'Adv. Filter'!$A$15,'Form Details'!$N:$N,"Ganesh",'Form Details'!$J:$J,$C876,'Form Details'!$W:$W,"Adv/Paid/NoStatus")</f>
        <v>0</v>
      </c>
      <c r="DL876" s="241"/>
      <c r="DM876" s="241"/>
      <c r="DN876" s="241"/>
      <c r="DO876" s="241"/>
      <c r="DP876" s="241"/>
      <c r="DQ876" s="242"/>
      <c r="DR876" s="240">
        <f>COUNTIFS('Form Details'!$D:$D,"&lt;"&amp;'Adv. Filter'!$A$15,'Form Details'!$N:$N,"Ganesh",'Form Details'!$J:$J,$C876,'Form Details'!$W:$W,"No Status")</f>
        <v>0</v>
      </c>
      <c r="DS876" s="241"/>
      <c r="DT876" s="241"/>
      <c r="DU876" s="241"/>
      <c r="DV876" s="241"/>
      <c r="DW876" s="241"/>
      <c r="DX876" s="242"/>
      <c r="DY876" s="240">
        <f>SUM(COUNTIFS('Form Details'!$D:$D,"&lt;"&amp;'Adv. Filter'!$A$15,'Form Details'!$N:$N,"Ganesh",'Form Details'!$J:$J,$C876,'Form Details'!$W:$W,{"Wrong Entry ","Double Entry"}))</f>
        <v>0</v>
      </c>
      <c r="DZ876" s="241"/>
      <c r="EA876" s="241"/>
      <c r="EB876" s="241"/>
      <c r="EC876" s="241"/>
      <c r="ED876" s="241"/>
      <c r="EE876" s="242"/>
    </row>
    <row r="877" spans="3:135" ht="15.75" hidden="1" thickTop="1">
      <c r="C877" s="246" t="s">
        <v>503</v>
      </c>
      <c r="D877" s="247"/>
      <c r="E877" s="247"/>
      <c r="F877" s="247"/>
      <c r="G877" s="247"/>
      <c r="H877" s="247"/>
      <c r="I877" s="247"/>
      <c r="J877" s="247"/>
      <c r="K877" s="247"/>
      <c r="L877" s="247"/>
      <c r="M877" s="247"/>
      <c r="N877" s="247"/>
      <c r="O877" s="243">
        <f>SUM(O860:U876)</f>
        <v>0</v>
      </c>
      <c r="P877" s="244"/>
      <c r="Q877" s="244"/>
      <c r="R877" s="244"/>
      <c r="S877" s="244"/>
      <c r="T877" s="244"/>
      <c r="U877" s="244"/>
      <c r="V877" s="106"/>
      <c r="W877" s="243">
        <f>SUM(W860:AC876)</f>
        <v>0</v>
      </c>
      <c r="X877" s="244"/>
      <c r="Y877" s="244"/>
      <c r="Z877" s="244"/>
      <c r="AA877" s="244"/>
      <c r="AB877" s="244"/>
      <c r="AC877" s="244"/>
      <c r="AD877" s="243">
        <f>SUM(AD860:AJ876)</f>
        <v>0</v>
      </c>
      <c r="AE877" s="244"/>
      <c r="AF877" s="244"/>
      <c r="AG877" s="244"/>
      <c r="AH877" s="244"/>
      <c r="AI877" s="244"/>
      <c r="AJ877" s="244"/>
      <c r="AK877" s="243">
        <f>SUM(AK860:AQ876)</f>
        <v>0</v>
      </c>
      <c r="AL877" s="244"/>
      <c r="AM877" s="244"/>
      <c r="AN877" s="244"/>
      <c r="AO877" s="244"/>
      <c r="AP877" s="244"/>
      <c r="AQ877" s="244"/>
      <c r="AR877" s="243">
        <f>SUM(AR860:AX876)</f>
        <v>0</v>
      </c>
      <c r="AS877" s="244"/>
      <c r="AT877" s="244"/>
      <c r="AU877" s="244"/>
      <c r="AV877" s="244"/>
      <c r="AW877" s="244"/>
      <c r="AX877" s="244"/>
      <c r="AY877" s="243">
        <f>SUM(AY860:BE876)</f>
        <v>0</v>
      </c>
      <c r="AZ877" s="244"/>
      <c r="BA877" s="244"/>
      <c r="BB877" s="244"/>
      <c r="BC877" s="244"/>
      <c r="BD877" s="244"/>
      <c r="BE877" s="244"/>
      <c r="BF877" s="243">
        <f>SUM(BF860:BL876)</f>
        <v>0</v>
      </c>
      <c r="BG877" s="244"/>
      <c r="BH877" s="244"/>
      <c r="BI877" s="244"/>
      <c r="BJ877" s="244"/>
      <c r="BK877" s="244"/>
      <c r="BL877" s="244"/>
      <c r="BM877" s="243">
        <f>SUM(BM860:BS876)</f>
        <v>0</v>
      </c>
      <c r="BN877" s="244"/>
      <c r="BO877" s="244"/>
      <c r="BP877" s="244"/>
      <c r="BQ877" s="244"/>
      <c r="BR877" s="244"/>
      <c r="BS877" s="244"/>
      <c r="BT877" s="106"/>
      <c r="BU877" s="243">
        <f>SUM(BU860:CA876)</f>
        <v>0</v>
      </c>
      <c r="BV877" s="244"/>
      <c r="BW877" s="244"/>
      <c r="BX877" s="244"/>
      <c r="BY877" s="244"/>
      <c r="BZ877" s="244"/>
      <c r="CA877" s="244"/>
      <c r="CB877" s="243">
        <f>SUM(CB860:CH876)</f>
        <v>0</v>
      </c>
      <c r="CC877" s="244"/>
      <c r="CD877" s="244"/>
      <c r="CE877" s="244"/>
      <c r="CF877" s="244"/>
      <c r="CG877" s="244"/>
      <c r="CH877" s="244"/>
      <c r="CI877" s="243">
        <f>SUM(CI860:CO876)</f>
        <v>0</v>
      </c>
      <c r="CJ877" s="244"/>
      <c r="CK877" s="244"/>
      <c r="CL877" s="244"/>
      <c r="CM877" s="244"/>
      <c r="CN877" s="244"/>
      <c r="CO877" s="244"/>
      <c r="CP877" s="243">
        <f>SUM(CP860:CV876)</f>
        <v>0</v>
      </c>
      <c r="CQ877" s="244"/>
      <c r="CR877" s="244"/>
      <c r="CS877" s="244"/>
      <c r="CT877" s="244"/>
      <c r="CU877" s="244"/>
      <c r="CV877" s="244"/>
      <c r="CW877" s="243">
        <f>SUM(CW860:DC876)</f>
        <v>0</v>
      </c>
      <c r="CX877" s="244"/>
      <c r="CY877" s="244"/>
      <c r="CZ877" s="244"/>
      <c r="DA877" s="244"/>
      <c r="DB877" s="244"/>
      <c r="DC877" s="244"/>
      <c r="DD877" s="243">
        <f>SUM(DD860:DJ876)</f>
        <v>0</v>
      </c>
      <c r="DE877" s="244"/>
      <c r="DF877" s="244"/>
      <c r="DG877" s="244"/>
      <c r="DH877" s="244"/>
      <c r="DI877" s="244"/>
      <c r="DJ877" s="244"/>
      <c r="DK877" s="243">
        <f>SUM(DK860:DQ876)</f>
        <v>0</v>
      </c>
      <c r="DL877" s="244"/>
      <c r="DM877" s="244"/>
      <c r="DN877" s="244"/>
      <c r="DO877" s="244"/>
      <c r="DP877" s="244"/>
      <c r="DQ877" s="244"/>
      <c r="DR877" s="243">
        <f>SUM(DR860:DX876)</f>
        <v>0</v>
      </c>
      <c r="DS877" s="244"/>
      <c r="DT877" s="244"/>
      <c r="DU877" s="244"/>
      <c r="DV877" s="244"/>
      <c r="DW877" s="244"/>
      <c r="DX877" s="244"/>
      <c r="DY877" s="243">
        <f>SUM(DY860:EE876)</f>
        <v>0</v>
      </c>
      <c r="DZ877" s="244"/>
      <c r="EA877" s="244"/>
      <c r="EB877" s="244"/>
      <c r="EC877" s="244"/>
      <c r="ED877" s="244"/>
      <c r="EE877" s="244"/>
    </row>
    <row r="878" spans="3:135" hidden="1"/>
    <row r="879" spans="3:135" hidden="1"/>
    <row r="880" spans="3:135" hidden="1"/>
    <row r="881" hidden="1"/>
    <row r="882" hidden="1"/>
    <row r="883" hidden="1"/>
    <row r="884" hidden="1"/>
    <row r="885" hidden="1"/>
    <row r="886" hidden="1"/>
    <row r="887" hidden="1"/>
    <row r="888" hidden="1"/>
    <row r="889" hidden="1"/>
    <row r="890" hidden="1"/>
    <row r="891" hidden="1"/>
    <row r="892" hidden="1"/>
    <row r="893" hidden="1"/>
    <row r="894" hidden="1"/>
    <row r="895" hidden="1"/>
    <row r="896" hidden="1"/>
    <row r="897" spans="1:112" hidden="1"/>
    <row r="898" spans="1:112" hidden="1"/>
    <row r="899" spans="1:112" hidden="1"/>
    <row r="900" spans="1:112" hidden="1">
      <c r="A900" s="303"/>
      <c r="B900" s="303"/>
      <c r="C900" s="303"/>
      <c r="D900" s="303"/>
      <c r="E900" s="303"/>
      <c r="F900" s="303"/>
      <c r="G900" s="303"/>
      <c r="H900" s="303"/>
      <c r="I900" s="303"/>
      <c r="J900" s="303"/>
      <c r="K900" s="303"/>
      <c r="L900" s="303"/>
      <c r="M900" s="303"/>
      <c r="N900" s="303"/>
      <c r="O900" s="303"/>
      <c r="P900" s="303"/>
      <c r="Q900" s="303"/>
      <c r="R900" s="303"/>
      <c r="S900" s="303"/>
      <c r="T900" s="303"/>
      <c r="U900" s="303"/>
      <c r="V900" s="303"/>
      <c r="W900" s="303"/>
      <c r="X900" s="303"/>
      <c r="Y900" s="303"/>
      <c r="Z900" s="303"/>
      <c r="AA900" s="303"/>
      <c r="AB900" s="303"/>
      <c r="AC900" s="303"/>
      <c r="AD900" s="303"/>
      <c r="AE900" s="303"/>
      <c r="AF900" s="303"/>
      <c r="AG900" s="303"/>
      <c r="AH900" s="303"/>
      <c r="AI900" s="303"/>
      <c r="AJ900" s="303"/>
      <c r="AK900" s="303"/>
      <c r="AL900" s="303"/>
      <c r="AM900" s="303"/>
      <c r="AN900" s="303"/>
      <c r="AO900" s="303"/>
      <c r="AP900" s="303"/>
      <c r="AQ900" s="303"/>
      <c r="AR900" s="303"/>
      <c r="AS900" s="303"/>
      <c r="AT900" s="303"/>
      <c r="AU900" s="303"/>
      <c r="AV900" s="303"/>
      <c r="AW900" s="303"/>
      <c r="AX900" s="303"/>
      <c r="AY900" s="303"/>
      <c r="AZ900" s="303"/>
      <c r="BA900" s="303"/>
      <c r="BB900" s="303"/>
      <c r="BC900" s="303"/>
      <c r="BD900" s="303"/>
      <c r="BE900" s="303"/>
      <c r="BF900" s="303"/>
      <c r="BG900" s="303"/>
      <c r="BH900" s="303"/>
      <c r="BI900" s="303"/>
      <c r="BJ900" s="303"/>
      <c r="BK900" s="303"/>
      <c r="BL900" s="303"/>
      <c r="BM900" s="303"/>
      <c r="BN900" s="303"/>
      <c r="BO900" s="303"/>
      <c r="BP900" s="303"/>
      <c r="BQ900" s="303"/>
      <c r="BR900" s="303"/>
      <c r="BS900" s="303"/>
      <c r="BT900" s="303"/>
      <c r="BU900" s="303"/>
      <c r="BV900" s="303"/>
      <c r="BW900" s="303"/>
      <c r="BX900" s="303"/>
      <c r="BY900" s="303"/>
      <c r="BZ900" s="303"/>
      <c r="CA900" s="303"/>
      <c r="CB900" s="303"/>
      <c r="CC900" s="303"/>
      <c r="CD900" s="303"/>
      <c r="CE900" s="303"/>
      <c r="CF900" s="303"/>
      <c r="CG900" s="303"/>
      <c r="CH900" s="303"/>
      <c r="CI900" s="303"/>
      <c r="CJ900" s="303"/>
      <c r="CK900" s="303"/>
      <c r="CL900" s="303"/>
      <c r="CM900" s="303"/>
      <c r="CN900" s="303"/>
      <c r="CO900" s="303"/>
      <c r="CP900" s="303"/>
      <c r="CQ900" s="303"/>
      <c r="CR900" s="303"/>
      <c r="CS900" s="303"/>
      <c r="CT900" s="303"/>
      <c r="CU900" s="303"/>
      <c r="CV900" s="303"/>
      <c r="CW900" s="303"/>
      <c r="CX900" s="303"/>
      <c r="CY900" s="303"/>
      <c r="CZ900" s="303"/>
    </row>
    <row r="901" spans="1:112" hidden="1"/>
    <row r="902" spans="1:112" hidden="1"/>
    <row r="903" spans="1:112" ht="15" hidden="1" customHeight="1">
      <c r="AR903" s="441" t="s">
        <v>514</v>
      </c>
      <c r="AS903" s="441"/>
      <c r="AT903" s="441"/>
      <c r="AU903" s="441"/>
      <c r="AV903" s="441"/>
      <c r="AW903" s="441"/>
      <c r="AX903" s="441"/>
      <c r="AY903" s="441"/>
      <c r="AZ903" s="441"/>
      <c r="BA903" s="441"/>
      <c r="BB903" s="441"/>
      <c r="BC903" s="441"/>
      <c r="BD903" s="441"/>
      <c r="BE903" s="441"/>
      <c r="BF903" s="441"/>
      <c r="BG903" s="441"/>
      <c r="BH903" s="441"/>
      <c r="BI903" s="441"/>
      <c r="BJ903" s="441"/>
      <c r="BK903" s="441"/>
      <c r="BL903" s="441"/>
      <c r="BM903" s="441"/>
      <c r="BN903" s="441"/>
      <c r="BO903" s="441"/>
      <c r="BP903" s="441"/>
      <c r="BQ903" s="441"/>
      <c r="BR903" s="441"/>
      <c r="BS903" s="441"/>
      <c r="BT903" s="441"/>
      <c r="BU903" s="441"/>
      <c r="BV903" s="441"/>
      <c r="BW903" s="441"/>
      <c r="BX903" s="441"/>
      <c r="BY903" s="441"/>
      <c r="BZ903" s="441"/>
      <c r="CA903" s="441"/>
      <c r="CB903" s="441"/>
      <c r="CC903" s="441"/>
      <c r="CD903" s="441"/>
      <c r="CE903" s="441"/>
      <c r="CF903" s="441"/>
      <c r="CG903" s="441"/>
      <c r="CH903" s="441"/>
      <c r="CI903" s="441"/>
      <c r="CJ903" s="441"/>
      <c r="CK903" s="441"/>
      <c r="CL903" s="441"/>
      <c r="CM903" s="50"/>
      <c r="CN903" s="50"/>
      <c r="CO903" s="50"/>
      <c r="CP903" s="50"/>
      <c r="CQ903" s="50"/>
      <c r="CR903" s="50"/>
      <c r="CS903" s="50"/>
      <c r="CT903" s="50"/>
      <c r="CU903" s="50"/>
      <c r="CV903" s="50"/>
      <c r="CW903" s="50"/>
    </row>
    <row r="904" spans="1:112" ht="15" hidden="1" customHeight="1">
      <c r="AR904" s="451" t="str">
        <f>CONCATENATE("Statement As of  ",TEXT('Adv. Filter'!$A$15,"DD-MMM-YYYY"), " TO ",TEXT('Adv. Filter'!$B$15,"DD-MMM-YYYY"))</f>
        <v>Statement As of  01-Jan-2017 TO 13-Oct-2017</v>
      </c>
      <c r="AS904" s="451"/>
      <c r="AT904" s="451"/>
      <c r="AU904" s="451"/>
      <c r="AV904" s="451"/>
      <c r="AW904" s="451"/>
      <c r="AX904" s="451"/>
      <c r="AY904" s="451"/>
      <c r="AZ904" s="451"/>
      <c r="BA904" s="451"/>
      <c r="BB904" s="451"/>
      <c r="BC904" s="451"/>
      <c r="BD904" s="451"/>
      <c r="BE904" s="451"/>
      <c r="BF904" s="451"/>
      <c r="BG904" s="451"/>
      <c r="BH904" s="451"/>
      <c r="BI904" s="451"/>
      <c r="BJ904" s="451"/>
      <c r="BK904" s="451"/>
      <c r="BL904" s="451"/>
      <c r="BM904" s="451"/>
      <c r="BN904" s="451"/>
      <c r="BO904" s="451"/>
      <c r="BP904" s="451"/>
      <c r="BQ904" s="451"/>
      <c r="BR904" s="451"/>
      <c r="BS904" s="451"/>
      <c r="BT904" s="451"/>
      <c r="BU904" s="451"/>
      <c r="BV904" s="451"/>
      <c r="BW904" s="451"/>
      <c r="BX904" s="451"/>
      <c r="BY904" s="451"/>
      <c r="BZ904" s="451"/>
      <c r="CA904" s="451"/>
      <c r="CB904" s="451"/>
      <c r="CC904" s="451"/>
      <c r="CD904" s="451"/>
      <c r="CE904" s="451"/>
      <c r="CF904" s="451"/>
      <c r="CG904" s="451"/>
      <c r="CH904" s="451"/>
      <c r="CI904" s="451"/>
      <c r="CJ904" s="451"/>
      <c r="CK904" s="451"/>
      <c r="CL904" s="451"/>
      <c r="CM904" s="50"/>
      <c r="CN904" s="50"/>
      <c r="CO904" s="50"/>
      <c r="CP904" s="50"/>
      <c r="CQ904" s="50"/>
      <c r="CR904" s="50"/>
    </row>
    <row r="905" spans="1:112" hidden="1"/>
    <row r="906" spans="1:112" ht="15.75" hidden="1">
      <c r="C906" s="452" t="s">
        <v>513</v>
      </c>
      <c r="D906" s="452"/>
      <c r="E906" s="452"/>
      <c r="F906" s="452"/>
      <c r="G906" s="452"/>
      <c r="H906" s="452"/>
      <c r="I906" s="452"/>
      <c r="J906" s="452"/>
      <c r="K906" s="452"/>
      <c r="L906" s="452"/>
      <c r="M906" s="452"/>
      <c r="N906" s="452"/>
      <c r="O906" s="452"/>
      <c r="P906" s="452"/>
      <c r="Q906" s="452"/>
      <c r="R906" s="452"/>
      <c r="S906" s="452"/>
      <c r="T906" s="453" t="str">
        <f>CONCATENATE("PRESENT   ",TEXT('Adv. Filter'!$A$15,"( DD-MMM-YY"), " TO ",TEXT('Adv. Filter'!$B$15,"DD-MMM-YY )"))</f>
        <v>PRESENT   ( 01-Jan-17 TO 13-Oct-17 )</v>
      </c>
      <c r="U906" s="454"/>
      <c r="V906" s="454"/>
      <c r="W906" s="454"/>
      <c r="X906" s="454"/>
      <c r="Y906" s="454"/>
      <c r="Z906" s="454"/>
      <c r="AA906" s="454"/>
      <c r="AB906" s="454"/>
      <c r="AC906" s="454"/>
      <c r="AD906" s="454"/>
      <c r="AE906" s="454"/>
      <c r="AF906" s="454"/>
      <c r="AG906" s="454"/>
      <c r="AH906" s="454"/>
      <c r="AI906" s="454"/>
      <c r="AJ906" s="454"/>
      <c r="AK906" s="454"/>
      <c r="AL906" s="454"/>
      <c r="AM906" s="454"/>
      <c r="AN906" s="454"/>
      <c r="AO906" s="454"/>
      <c r="AP906" s="454"/>
      <c r="AQ906" s="454"/>
      <c r="AR906" s="454"/>
      <c r="AS906" s="454"/>
      <c r="AT906" s="454"/>
      <c r="AU906" s="454"/>
      <c r="AV906" s="454"/>
      <c r="AW906" s="455"/>
      <c r="AX906" s="49"/>
      <c r="AY906" s="452" t="s">
        <v>513</v>
      </c>
      <c r="AZ906" s="452"/>
      <c r="BA906" s="452"/>
      <c r="BB906" s="452"/>
      <c r="BC906" s="452"/>
      <c r="BD906" s="452"/>
      <c r="BE906" s="452"/>
      <c r="BF906" s="452"/>
      <c r="BG906" s="452"/>
      <c r="BH906" s="452"/>
      <c r="BI906" s="452"/>
      <c r="BJ906" s="452"/>
      <c r="BK906" s="452"/>
      <c r="BL906" s="452"/>
      <c r="BM906" s="452"/>
      <c r="BN906" s="452"/>
      <c r="BO906" s="452"/>
      <c r="BP906" s="453" t="str">
        <f>CONCATENATE("PREVIOUS   ",TEXT('Adv. Filter'!$A$15,"( up to  DD-MMM-YY )"))</f>
        <v>PREVIOUS   ( up to  01-Jan-17 )</v>
      </c>
      <c r="BQ906" s="454"/>
      <c r="BR906" s="454"/>
      <c r="BS906" s="454"/>
      <c r="BT906" s="454"/>
      <c r="BU906" s="454"/>
      <c r="BV906" s="454"/>
      <c r="BW906" s="454"/>
      <c r="BX906" s="454"/>
      <c r="BY906" s="454"/>
      <c r="BZ906" s="454"/>
      <c r="CA906" s="454"/>
      <c r="CB906" s="454"/>
      <c r="CC906" s="454"/>
      <c r="CD906" s="454"/>
      <c r="CE906" s="454"/>
      <c r="CF906" s="454"/>
      <c r="CG906" s="454"/>
      <c r="CH906" s="454"/>
      <c r="CI906" s="454"/>
      <c r="CJ906" s="454"/>
      <c r="CK906" s="454"/>
      <c r="CL906" s="454"/>
      <c r="CM906" s="454"/>
      <c r="CN906" s="454"/>
      <c r="CO906" s="454"/>
      <c r="CP906" s="454"/>
      <c r="CQ906" s="454"/>
      <c r="CR906" s="454"/>
      <c r="CS906" s="455"/>
      <c r="DA906" s="162"/>
      <c r="DH906" s="24" t="s">
        <v>73</v>
      </c>
    </row>
    <row r="907" spans="1:112" ht="15" hidden="1" customHeight="1" thickBot="1">
      <c r="C907" s="452"/>
      <c r="D907" s="452"/>
      <c r="E907" s="452"/>
      <c r="F907" s="452"/>
      <c r="G907" s="452"/>
      <c r="H907" s="452"/>
      <c r="I907" s="452"/>
      <c r="J907" s="452"/>
      <c r="K907" s="452"/>
      <c r="L907" s="452"/>
      <c r="M907" s="452"/>
      <c r="N907" s="452"/>
      <c r="O907" s="452"/>
      <c r="P907" s="452"/>
      <c r="Q907" s="452"/>
      <c r="R907" s="452"/>
      <c r="S907" s="452"/>
      <c r="T907" s="442" t="s">
        <v>34</v>
      </c>
      <c r="U907" s="443"/>
      <c r="V907" s="443"/>
      <c r="W907" s="443"/>
      <c r="X907" s="443"/>
      <c r="Y907" s="443"/>
      <c r="Z907" s="443"/>
      <c r="AA907" s="443"/>
      <c r="AB907" s="443"/>
      <c r="AC907" s="444"/>
      <c r="AD907" s="442" t="s">
        <v>10</v>
      </c>
      <c r="AE907" s="443"/>
      <c r="AF907" s="443"/>
      <c r="AG907" s="443"/>
      <c r="AH907" s="443"/>
      <c r="AI907" s="443"/>
      <c r="AJ907" s="443"/>
      <c r="AK907" s="443"/>
      <c r="AL907" s="443"/>
      <c r="AM907" s="444"/>
      <c r="AN907" s="445" t="s">
        <v>503</v>
      </c>
      <c r="AO907" s="446"/>
      <c r="AP907" s="446"/>
      <c r="AQ907" s="446"/>
      <c r="AR907" s="446"/>
      <c r="AS907" s="446"/>
      <c r="AT907" s="446"/>
      <c r="AU907" s="446"/>
      <c r="AV907" s="446"/>
      <c r="AW907" s="447"/>
      <c r="AY907" s="452"/>
      <c r="AZ907" s="452"/>
      <c r="BA907" s="452"/>
      <c r="BB907" s="452"/>
      <c r="BC907" s="452"/>
      <c r="BD907" s="452"/>
      <c r="BE907" s="452"/>
      <c r="BF907" s="452"/>
      <c r="BG907" s="452"/>
      <c r="BH907" s="452"/>
      <c r="BI907" s="452"/>
      <c r="BJ907" s="452"/>
      <c r="BK907" s="452"/>
      <c r="BL907" s="452"/>
      <c r="BM907" s="452"/>
      <c r="BN907" s="452"/>
      <c r="BO907" s="452"/>
      <c r="BP907" s="442" t="s">
        <v>34</v>
      </c>
      <c r="BQ907" s="443"/>
      <c r="BR907" s="443"/>
      <c r="BS907" s="443"/>
      <c r="BT907" s="443"/>
      <c r="BU907" s="443"/>
      <c r="BV907" s="443"/>
      <c r="BW907" s="443"/>
      <c r="BX907" s="443"/>
      <c r="BY907" s="444"/>
      <c r="BZ907" s="442" t="s">
        <v>10</v>
      </c>
      <c r="CA907" s="443"/>
      <c r="CB907" s="443"/>
      <c r="CC907" s="443"/>
      <c r="CD907" s="443"/>
      <c r="CE907" s="443"/>
      <c r="CF907" s="443"/>
      <c r="CG907" s="443"/>
      <c r="CH907" s="443"/>
      <c r="CI907" s="444"/>
      <c r="CJ907" s="445" t="s">
        <v>503</v>
      </c>
      <c r="CK907" s="446"/>
      <c r="CL907" s="446"/>
      <c r="CM907" s="446"/>
      <c r="CN907" s="446"/>
      <c r="CO907" s="446"/>
      <c r="CP907" s="446"/>
      <c r="CQ907" s="446"/>
      <c r="CR907" s="446"/>
      <c r="CS907" s="447"/>
      <c r="DG907" s="131" t="s">
        <v>583</v>
      </c>
      <c r="DH907" s="123">
        <f>COUNTIFS('Form Details'!$W:$W,"Due",'Form Details'!$AB:$AB,"R",'Form Details'!$N:$N,DH906)</f>
        <v>0</v>
      </c>
    </row>
    <row r="908" spans="1:112" hidden="1">
      <c r="A908" s="44"/>
      <c r="B908" s="44"/>
      <c r="C908" s="299" t="s">
        <v>26</v>
      </c>
      <c r="D908" s="300"/>
      <c r="E908" s="300"/>
      <c r="F908" s="300"/>
      <c r="G908" s="300"/>
      <c r="H908" s="300"/>
      <c r="I908" s="300"/>
      <c r="J908" s="300"/>
      <c r="K908" s="300"/>
      <c r="L908" s="300"/>
      <c r="M908" s="300"/>
      <c r="N908" s="300"/>
      <c r="O908" s="300"/>
      <c r="P908" s="300"/>
      <c r="Q908" s="300"/>
      <c r="R908" s="300"/>
      <c r="S908" s="301"/>
      <c r="T908" s="276">
        <f>SUMIFS('Adv. Filter'!$BJ$1:$BJ$50000,'Adv. Filter'!$BT$1:$BT$50000,"Madhu",'Adv. Filter'!$BQ$1:$BQ$50000,$C908,'Adv. Filter'!$BH$1:$BH$50000,"Cash",'Adv. Filter'!$BO$1:$BO$50000,'Adv. Filter'!$A$14,'Adv. Filter'!$BO$1:$BO$50000,'Adv. Filter'!$B$14)</f>
        <v>0</v>
      </c>
      <c r="U908" s="277"/>
      <c r="V908" s="277"/>
      <c r="W908" s="277"/>
      <c r="X908" s="277"/>
      <c r="Y908" s="277"/>
      <c r="Z908" s="277"/>
      <c r="AA908" s="277"/>
      <c r="AB908" s="277"/>
      <c r="AC908" s="278"/>
      <c r="AD908" s="276">
        <f>SUMIFS('Adv. Filter'!$BJ$1:$BJ$50000,'Adv. Filter'!$BT$1:$BT$50000,"Madhu",'Adv. Filter'!$BQ$1:$BQ$50000,$C908,'Adv. Filter'!$BH$1:$BH$50000,"Bank",'Adv. Filter'!$BO$1:$BO$50000,'Adv. Filter'!$A$14,'Adv. Filter'!$BO$1:$BO$50000,'Adv. Filter'!$B$14)</f>
        <v>0</v>
      </c>
      <c r="AE908" s="277"/>
      <c r="AF908" s="277"/>
      <c r="AG908" s="277"/>
      <c r="AH908" s="277"/>
      <c r="AI908" s="277"/>
      <c r="AJ908" s="277"/>
      <c r="AK908" s="277"/>
      <c r="AL908" s="277"/>
      <c r="AM908" s="278"/>
      <c r="AN908" s="448">
        <f t="shared" ref="AN908:AN939" si="30">T908+AD908</f>
        <v>0</v>
      </c>
      <c r="AO908" s="449"/>
      <c r="AP908" s="449"/>
      <c r="AQ908" s="449"/>
      <c r="AR908" s="449"/>
      <c r="AS908" s="449"/>
      <c r="AT908" s="449"/>
      <c r="AU908" s="449"/>
      <c r="AV908" s="449"/>
      <c r="AW908" s="450"/>
      <c r="AX908" s="45"/>
      <c r="AY908" s="299" t="s">
        <v>26</v>
      </c>
      <c r="AZ908" s="300"/>
      <c r="BA908" s="300"/>
      <c r="BB908" s="300"/>
      <c r="BC908" s="300"/>
      <c r="BD908" s="300"/>
      <c r="BE908" s="300"/>
      <c r="BF908" s="300"/>
      <c r="BG908" s="300"/>
      <c r="BH908" s="300"/>
      <c r="BI908" s="300"/>
      <c r="BJ908" s="300"/>
      <c r="BK908" s="300"/>
      <c r="BL908" s="300"/>
      <c r="BM908" s="300"/>
      <c r="BN908" s="300"/>
      <c r="BO908" s="301"/>
      <c r="BP908" s="276">
        <f>SUMIFS('Adv. Filter'!$BJ$1:$BJ$50000,'Adv. Filter'!$BT$1:$BT$50000,"Madhu",'Adv. Filter'!$BQ$1:$BQ$50000,$AY908,'Adv. Filter'!$BH$1:$BH$50000,"Cash",'Adv. Filter'!$BO$1:$BO$50000,"&lt;"&amp;'Adv. Filter'!$A$15)</f>
        <v>0</v>
      </c>
      <c r="BQ908" s="277"/>
      <c r="BR908" s="277"/>
      <c r="BS908" s="277"/>
      <c r="BT908" s="277"/>
      <c r="BU908" s="277"/>
      <c r="BV908" s="277"/>
      <c r="BW908" s="277"/>
      <c r="BX908" s="277"/>
      <c r="BY908" s="278"/>
      <c r="BZ908" s="276">
        <f>SUMIFS('Adv. Filter'!$BJ$1:$BJ$50000,'Adv. Filter'!$BT$1:$BT$50000,"Madhu",'Adv. Filter'!$BQ$1:$BQ$50000,$AY908,'Adv. Filter'!$BH$1:$BH$50000,"Bank",'Adv. Filter'!$BO$1:$BO$50000,"&lt;"&amp;'Adv. Filter'!$A$15)</f>
        <v>0</v>
      </c>
      <c r="CA908" s="277"/>
      <c r="CB908" s="277"/>
      <c r="CC908" s="277"/>
      <c r="CD908" s="277"/>
      <c r="CE908" s="277"/>
      <c r="CF908" s="277"/>
      <c r="CG908" s="277"/>
      <c r="CH908" s="277"/>
      <c r="CI908" s="278"/>
      <c r="CJ908" s="448">
        <f t="shared" ref="CJ908:CJ939" si="31">BP908+BZ908</f>
        <v>0</v>
      </c>
      <c r="CK908" s="449"/>
      <c r="CL908" s="449"/>
      <c r="CM908" s="449"/>
      <c r="CN908" s="449"/>
      <c r="CO908" s="449"/>
      <c r="CP908" s="449"/>
      <c r="CQ908" s="449"/>
      <c r="CR908" s="449"/>
      <c r="CS908" s="450"/>
      <c r="CT908" s="44"/>
      <c r="CU908" s="44"/>
      <c r="CV908" s="44"/>
      <c r="CW908" s="44"/>
      <c r="CX908" s="44"/>
      <c r="CY908" s="44"/>
      <c r="CZ908" s="44"/>
      <c r="DG908" s="131" t="s">
        <v>584</v>
      </c>
      <c r="DH908" s="123">
        <f>COUNTIFS('Form Details'!$W:$W,"Due",'Form Details'!$AB:$AB,"Y",'Form Details'!$N:$N,DH906)</f>
        <v>0</v>
      </c>
    </row>
    <row r="909" spans="1:112" hidden="1">
      <c r="C909" s="308" t="s">
        <v>115</v>
      </c>
      <c r="D909" s="309"/>
      <c r="E909" s="309"/>
      <c r="F909" s="309"/>
      <c r="G909" s="309"/>
      <c r="H909" s="309"/>
      <c r="I909" s="309"/>
      <c r="J909" s="309"/>
      <c r="K909" s="309"/>
      <c r="L909" s="309"/>
      <c r="M909" s="309"/>
      <c r="N909" s="309"/>
      <c r="O909" s="309"/>
      <c r="P909" s="309"/>
      <c r="Q909" s="309"/>
      <c r="R909" s="309"/>
      <c r="S909" s="310"/>
      <c r="T909" s="267">
        <f>SUMIFS('Adv. Filter'!$BJ$1:$BJ$50000,'Adv. Filter'!$BT$1:$BT$50000,"Madhu",'Adv. Filter'!$BQ$1:$BQ$50000,$C908,'Adv. Filter'!$BH$1:$BH$50000,"Cash",'Adv. Filter'!$BO$1:$BO$50000,'Adv. Filter'!$A$14,'Adv. Filter'!$BO$1:$BO$50000,'Adv. Filter'!$B$14,'Adv. Filter'!$BP$1:$BP$50000,"Project")</f>
        <v>0</v>
      </c>
      <c r="U909" s="268"/>
      <c r="V909" s="268"/>
      <c r="W909" s="268"/>
      <c r="X909" s="268"/>
      <c r="Y909" s="268"/>
      <c r="Z909" s="268"/>
      <c r="AA909" s="268"/>
      <c r="AB909" s="268"/>
      <c r="AC909" s="269"/>
      <c r="AD909" s="267">
        <f>SUMIFS('Adv. Filter'!$BJ$1:$BJ$50000,'Adv. Filter'!$BT$1:$BT$50000,"Madhu",'Adv. Filter'!$BQ$1:$BQ$50000,$C908,'Adv. Filter'!$BH$1:$BH$50000,"Bank",'Adv. Filter'!$BO$1:$BO$50000,'Adv. Filter'!$A$14,'Adv. Filter'!$BO$1:$BO$50000,'Adv. Filter'!$B$14,'Adv. Filter'!$BP$1:$BP$50000,"Project")</f>
        <v>0</v>
      </c>
      <c r="AE909" s="268"/>
      <c r="AF909" s="268"/>
      <c r="AG909" s="268"/>
      <c r="AH909" s="268"/>
      <c r="AI909" s="268"/>
      <c r="AJ909" s="268"/>
      <c r="AK909" s="268"/>
      <c r="AL909" s="268"/>
      <c r="AM909" s="269"/>
      <c r="AN909" s="267">
        <f t="shared" si="30"/>
        <v>0</v>
      </c>
      <c r="AO909" s="268"/>
      <c r="AP909" s="268"/>
      <c r="AQ909" s="268"/>
      <c r="AR909" s="268"/>
      <c r="AS909" s="268"/>
      <c r="AT909" s="268"/>
      <c r="AU909" s="268"/>
      <c r="AV909" s="268"/>
      <c r="AW909" s="269"/>
      <c r="AX909" s="22"/>
      <c r="AY909" s="308" t="s">
        <v>115</v>
      </c>
      <c r="AZ909" s="309"/>
      <c r="BA909" s="309"/>
      <c r="BB909" s="309"/>
      <c r="BC909" s="309"/>
      <c r="BD909" s="309"/>
      <c r="BE909" s="309"/>
      <c r="BF909" s="309"/>
      <c r="BG909" s="309"/>
      <c r="BH909" s="309"/>
      <c r="BI909" s="309"/>
      <c r="BJ909" s="309"/>
      <c r="BK909" s="309"/>
      <c r="BL909" s="309"/>
      <c r="BM909" s="309"/>
      <c r="BN909" s="309"/>
      <c r="BO909" s="310"/>
      <c r="BP909" s="267">
        <f>SUMIFS('Adv. Filter'!$BJ$1:$BJ$50000,'Adv. Filter'!$BT$1:$BT$50000,"Madhu",'Adv. Filter'!$BQ$1:$BQ$50000,$AY908,'Adv. Filter'!$BH$1:$BH$50000,"Cash",'Adv. Filter'!$BO$1:$BO$50000,"&lt;"&amp;'Adv. Filter'!$A$15,'Adv. Filter'!$BP$1:$BP$50000,"Project")</f>
        <v>0</v>
      </c>
      <c r="BQ909" s="268"/>
      <c r="BR909" s="268"/>
      <c r="BS909" s="268"/>
      <c r="BT909" s="268"/>
      <c r="BU909" s="268"/>
      <c r="BV909" s="268"/>
      <c r="BW909" s="268"/>
      <c r="BX909" s="268"/>
      <c r="BY909" s="269"/>
      <c r="BZ909" s="267">
        <f>SUMIFS('Adv. Filter'!$BJ$1:$BJ$50000,'Adv. Filter'!$BT$1:$BT$50000,"Madhu",'Adv. Filter'!$BQ$1:$BQ$50000,$AY908,'Adv. Filter'!$BH$1:$BH$50000,"Bank",'Adv. Filter'!$BO$1:$BO$50000,"&lt;"&amp;'Adv. Filter'!$A$15,'Adv. Filter'!$BP$1:$BP$50000,"Project")</f>
        <v>0</v>
      </c>
      <c r="CA909" s="268"/>
      <c r="CB909" s="268"/>
      <c r="CC909" s="268"/>
      <c r="CD909" s="268"/>
      <c r="CE909" s="268"/>
      <c r="CF909" s="268"/>
      <c r="CG909" s="268"/>
      <c r="CH909" s="268"/>
      <c r="CI909" s="269"/>
      <c r="CJ909" s="267">
        <f t="shared" si="31"/>
        <v>0</v>
      </c>
      <c r="CK909" s="268"/>
      <c r="CL909" s="268"/>
      <c r="CM909" s="268"/>
      <c r="CN909" s="268"/>
      <c r="CO909" s="268"/>
      <c r="CP909" s="268"/>
      <c r="CQ909" s="268"/>
      <c r="CR909" s="268"/>
      <c r="CS909" s="269"/>
      <c r="DG909" s="131" t="s">
        <v>585</v>
      </c>
      <c r="DH909" s="123">
        <f>COUNTIFS('Form Details'!$W:$W,"Due",'Form Details'!$AB:$AB,"G",'Form Details'!$N:$N,DH906)</f>
        <v>0</v>
      </c>
    </row>
    <row r="910" spans="1:112" hidden="1">
      <c r="C910" s="308" t="s">
        <v>510</v>
      </c>
      <c r="D910" s="309"/>
      <c r="E910" s="309"/>
      <c r="F910" s="309"/>
      <c r="G910" s="309"/>
      <c r="H910" s="309"/>
      <c r="I910" s="309"/>
      <c r="J910" s="309"/>
      <c r="K910" s="309"/>
      <c r="L910" s="309"/>
      <c r="M910" s="309"/>
      <c r="N910" s="309"/>
      <c r="O910" s="309"/>
      <c r="P910" s="309"/>
      <c r="Q910" s="309"/>
      <c r="R910" s="309"/>
      <c r="S910" s="310"/>
      <c r="T910" s="267">
        <v>0</v>
      </c>
      <c r="U910" s="268"/>
      <c r="V910" s="268"/>
      <c r="W910" s="268"/>
      <c r="X910" s="268"/>
      <c r="Y910" s="268"/>
      <c r="Z910" s="268"/>
      <c r="AA910" s="268"/>
      <c r="AB910" s="268"/>
      <c r="AC910" s="269"/>
      <c r="AD910" s="267">
        <v>0</v>
      </c>
      <c r="AE910" s="268"/>
      <c r="AF910" s="268"/>
      <c r="AG910" s="268"/>
      <c r="AH910" s="268"/>
      <c r="AI910" s="268"/>
      <c r="AJ910" s="268"/>
      <c r="AK910" s="268"/>
      <c r="AL910" s="268"/>
      <c r="AM910" s="269"/>
      <c r="AN910" s="267">
        <f t="shared" si="30"/>
        <v>0</v>
      </c>
      <c r="AO910" s="268"/>
      <c r="AP910" s="268"/>
      <c r="AQ910" s="268"/>
      <c r="AR910" s="268"/>
      <c r="AS910" s="268"/>
      <c r="AT910" s="268"/>
      <c r="AU910" s="268"/>
      <c r="AV910" s="268"/>
      <c r="AW910" s="269"/>
      <c r="AX910" s="22"/>
      <c r="AY910" s="308" t="s">
        <v>510</v>
      </c>
      <c r="AZ910" s="309"/>
      <c r="BA910" s="309"/>
      <c r="BB910" s="309"/>
      <c r="BC910" s="309"/>
      <c r="BD910" s="309"/>
      <c r="BE910" s="309"/>
      <c r="BF910" s="309"/>
      <c r="BG910" s="309"/>
      <c r="BH910" s="309"/>
      <c r="BI910" s="309"/>
      <c r="BJ910" s="309"/>
      <c r="BK910" s="309"/>
      <c r="BL910" s="309"/>
      <c r="BM910" s="309"/>
      <c r="BN910" s="309"/>
      <c r="BO910" s="310"/>
      <c r="BP910" s="267"/>
      <c r="BQ910" s="268"/>
      <c r="BR910" s="268"/>
      <c r="BS910" s="268"/>
      <c r="BT910" s="268"/>
      <c r="BU910" s="268"/>
      <c r="BV910" s="268"/>
      <c r="BW910" s="268"/>
      <c r="BX910" s="268"/>
      <c r="BY910" s="269"/>
      <c r="BZ910" s="267"/>
      <c r="CA910" s="268"/>
      <c r="CB910" s="268"/>
      <c r="CC910" s="268"/>
      <c r="CD910" s="268"/>
      <c r="CE910" s="268"/>
      <c r="CF910" s="268"/>
      <c r="CG910" s="268"/>
      <c r="CH910" s="268"/>
      <c r="CI910" s="269"/>
      <c r="CJ910" s="267">
        <f t="shared" si="31"/>
        <v>0</v>
      </c>
      <c r="CK910" s="268"/>
      <c r="CL910" s="268"/>
      <c r="CM910" s="268"/>
      <c r="CN910" s="268"/>
      <c r="CO910" s="268"/>
      <c r="CP910" s="268"/>
      <c r="CQ910" s="268"/>
      <c r="CR910" s="268"/>
      <c r="CS910" s="269"/>
    </row>
    <row r="911" spans="1:112" hidden="1">
      <c r="C911" s="43"/>
      <c r="D911" s="36" t="str">
        <f>IF(AN908=0,C908&amp;" -","")</f>
        <v>Avanse -</v>
      </c>
      <c r="E911" s="42"/>
      <c r="F911" s="42"/>
      <c r="G911" s="42"/>
      <c r="H911" s="42"/>
      <c r="I911" s="42"/>
      <c r="J911" s="42"/>
      <c r="K911" s="42"/>
      <c r="L911" s="42"/>
      <c r="M911" s="42"/>
      <c r="N911" s="42"/>
      <c r="O911" s="42"/>
      <c r="P911" s="1"/>
      <c r="Q911" s="42"/>
      <c r="R911" s="41" t="s">
        <v>275</v>
      </c>
      <c r="S911" s="40"/>
      <c r="T911" s="267">
        <f>SUMIFS('Adv. Filter'!$CH$1:$CH$50000,'Adv. Filter'!$CD$1:$CD$50000,"Madhu",'Adv. Filter'!$CE$1:$CE$50000,$C908,'Adv. Filter'!$CC$1:$CC$50000,"Suspense",'Adv. Filter'!$CF$1:$CF$50000,"Cash")</f>
        <v>0</v>
      </c>
      <c r="U911" s="268"/>
      <c r="V911" s="268"/>
      <c r="W911" s="268"/>
      <c r="X911" s="268"/>
      <c r="Y911" s="268"/>
      <c r="Z911" s="268"/>
      <c r="AA911" s="268"/>
      <c r="AB911" s="268"/>
      <c r="AC911" s="269"/>
      <c r="AD911" s="267">
        <f>SUMIFS('Adv. Filter'!$CH$1:$CH$50000,'Adv. Filter'!$CD$1:$CD$50000,"Madhu",'Adv. Filter'!$CE$1:$CE$50000,$C908,'Adv. Filter'!$CC$1:$CC$50000,"Suspense",'Adv. Filter'!$CF$1:$CF$50000,"Bank")</f>
        <v>0</v>
      </c>
      <c r="AE911" s="268"/>
      <c r="AF911" s="268"/>
      <c r="AG911" s="268"/>
      <c r="AH911" s="268"/>
      <c r="AI911" s="268"/>
      <c r="AJ911" s="268"/>
      <c r="AK911" s="268"/>
      <c r="AL911" s="268"/>
      <c r="AM911" s="269"/>
      <c r="AN911" s="267">
        <f t="shared" si="30"/>
        <v>0</v>
      </c>
      <c r="AO911" s="268"/>
      <c r="AP911" s="268"/>
      <c r="AQ911" s="268"/>
      <c r="AR911" s="268"/>
      <c r="AS911" s="268"/>
      <c r="AT911" s="268"/>
      <c r="AU911" s="268"/>
      <c r="AV911" s="268"/>
      <c r="AW911" s="269"/>
      <c r="AX911" s="22"/>
      <c r="AY911" s="43"/>
      <c r="AZ911" s="36" t="str">
        <f>IF(CJ908=0,AY908&amp;" -","")</f>
        <v>Avanse -</v>
      </c>
      <c r="BA911" s="42"/>
      <c r="BB911" s="42"/>
      <c r="BC911" s="42"/>
      <c r="BD911" s="42"/>
      <c r="BE911" s="42"/>
      <c r="BF911" s="42"/>
      <c r="BG911" s="42"/>
      <c r="BH911" s="42"/>
      <c r="BI911" s="42"/>
      <c r="BJ911" s="42"/>
      <c r="BK911" s="42"/>
      <c r="BL911" s="1"/>
      <c r="BM911" s="42"/>
      <c r="BN911" s="41" t="s">
        <v>275</v>
      </c>
      <c r="BO911" s="40"/>
      <c r="BP911" s="267"/>
      <c r="BQ911" s="268"/>
      <c r="BR911" s="268"/>
      <c r="BS911" s="268"/>
      <c r="BT911" s="268"/>
      <c r="BU911" s="268"/>
      <c r="BV911" s="268"/>
      <c r="BW911" s="268"/>
      <c r="BX911" s="268"/>
      <c r="BY911" s="269"/>
      <c r="BZ911" s="267"/>
      <c r="CA911" s="268"/>
      <c r="CB911" s="268"/>
      <c r="CC911" s="268"/>
      <c r="CD911" s="268"/>
      <c r="CE911" s="268"/>
      <c r="CF911" s="268"/>
      <c r="CG911" s="268"/>
      <c r="CH911" s="268"/>
      <c r="CI911" s="269"/>
      <c r="CJ911" s="267">
        <f t="shared" si="31"/>
        <v>0</v>
      </c>
      <c r="CK911" s="268"/>
      <c r="CL911" s="268"/>
      <c r="CM911" s="268"/>
      <c r="CN911" s="268"/>
      <c r="CO911" s="268"/>
      <c r="CP911" s="268"/>
      <c r="CQ911" s="268"/>
      <c r="CR911" s="268"/>
      <c r="CS911" s="269"/>
    </row>
    <row r="912" spans="1:112" hidden="1">
      <c r="A912" s="44"/>
      <c r="B912" s="44"/>
      <c r="C912" s="293" t="s">
        <v>38</v>
      </c>
      <c r="D912" s="294"/>
      <c r="E912" s="294"/>
      <c r="F912" s="294"/>
      <c r="G912" s="294"/>
      <c r="H912" s="294"/>
      <c r="I912" s="294"/>
      <c r="J912" s="294"/>
      <c r="K912" s="294"/>
      <c r="L912" s="294"/>
      <c r="M912" s="294"/>
      <c r="N912" s="294"/>
      <c r="O912" s="294"/>
      <c r="P912" s="294"/>
      <c r="Q912" s="294"/>
      <c r="R912" s="294"/>
      <c r="S912" s="295"/>
      <c r="T912" s="276">
        <f>SUMIFS('Adv. Filter'!$BJ$1:$BJ$50000,'Adv. Filter'!$BT$1:$BT$50000,"Madhu",'Adv. Filter'!$BQ$1:$BQ$50000,$C912,'Adv. Filter'!$BH$1:$BH$50000,"Cash",'Adv. Filter'!$BO$1:$BO$50000,'Adv. Filter'!$A$14,'Adv. Filter'!$BO$1:$BO$50000,'Adv. Filter'!$B$14)</f>
        <v>0</v>
      </c>
      <c r="U912" s="277"/>
      <c r="V912" s="277"/>
      <c r="W912" s="277"/>
      <c r="X912" s="277"/>
      <c r="Y912" s="277"/>
      <c r="Z912" s="277"/>
      <c r="AA912" s="277"/>
      <c r="AB912" s="277"/>
      <c r="AC912" s="278"/>
      <c r="AD912" s="276">
        <f>SUMIFS('Adv. Filter'!$BJ$1:$BJ$50000,'Adv. Filter'!$BT$1:$BT$50000,"Madhu",'Adv. Filter'!$BQ$1:$BQ$50000,$C912,'Adv. Filter'!$BH$1:$BH$50000,"Bank",'Adv. Filter'!$BO$1:$BO$50000,'Adv. Filter'!$A$14,'Adv. Filter'!$BO$1:$BO$50000,'Adv. Filter'!$B$14)</f>
        <v>0</v>
      </c>
      <c r="AE912" s="277"/>
      <c r="AF912" s="277"/>
      <c r="AG912" s="277"/>
      <c r="AH912" s="277"/>
      <c r="AI912" s="277"/>
      <c r="AJ912" s="277"/>
      <c r="AK912" s="277"/>
      <c r="AL912" s="277"/>
      <c r="AM912" s="278"/>
      <c r="AN912" s="276">
        <f t="shared" si="30"/>
        <v>0</v>
      </c>
      <c r="AO912" s="277"/>
      <c r="AP912" s="277"/>
      <c r="AQ912" s="277"/>
      <c r="AR912" s="277"/>
      <c r="AS912" s="277"/>
      <c r="AT912" s="277"/>
      <c r="AU912" s="277"/>
      <c r="AV912" s="277"/>
      <c r="AW912" s="278"/>
      <c r="AX912" s="45"/>
      <c r="AY912" s="293" t="s">
        <v>38</v>
      </c>
      <c r="AZ912" s="294"/>
      <c r="BA912" s="294"/>
      <c r="BB912" s="294"/>
      <c r="BC912" s="294"/>
      <c r="BD912" s="294"/>
      <c r="BE912" s="294"/>
      <c r="BF912" s="294"/>
      <c r="BG912" s="294"/>
      <c r="BH912" s="294"/>
      <c r="BI912" s="294"/>
      <c r="BJ912" s="294"/>
      <c r="BK912" s="294"/>
      <c r="BL912" s="294"/>
      <c r="BM912" s="294"/>
      <c r="BN912" s="294"/>
      <c r="BO912" s="295"/>
      <c r="BP912" s="276">
        <f>SUMIFS('Adv. Filter'!$BJ$1:$BJ$50000,'Adv. Filter'!$BT$1:$BT$50000,"Madhu",'Adv. Filter'!$BQ$1:$BQ$50000,$AY912,'Adv. Filter'!$BH$1:$BH$50000,"Cash",'Adv. Filter'!$BO$1:$BO$50000,"&lt;"&amp;'Adv. Filter'!$A$15)</f>
        <v>0</v>
      </c>
      <c r="BQ912" s="277"/>
      <c r="BR912" s="277"/>
      <c r="BS912" s="277"/>
      <c r="BT912" s="277"/>
      <c r="BU912" s="277"/>
      <c r="BV912" s="277"/>
      <c r="BW912" s="277"/>
      <c r="BX912" s="277"/>
      <c r="BY912" s="278"/>
      <c r="BZ912" s="276">
        <f>SUMIFS('Adv. Filter'!$BJ$1:$BJ$50000,'Adv. Filter'!$BT$1:$BT$50000,"Madhu",'Adv. Filter'!$BQ$1:$BQ$50000,$AY912,'Adv. Filter'!$BH$1:$BH$50000,"Bank",'Adv. Filter'!$BO$1:$BO$50000,"&lt;"&amp;'Adv. Filter'!$A$15)</f>
        <v>0</v>
      </c>
      <c r="CA912" s="277"/>
      <c r="CB912" s="277"/>
      <c r="CC912" s="277"/>
      <c r="CD912" s="277"/>
      <c r="CE912" s="277"/>
      <c r="CF912" s="277"/>
      <c r="CG912" s="277"/>
      <c r="CH912" s="277"/>
      <c r="CI912" s="278"/>
      <c r="CJ912" s="276">
        <f t="shared" si="31"/>
        <v>0</v>
      </c>
      <c r="CK912" s="277"/>
      <c r="CL912" s="277"/>
      <c r="CM912" s="277"/>
      <c r="CN912" s="277"/>
      <c r="CO912" s="277"/>
      <c r="CP912" s="277"/>
      <c r="CQ912" s="277"/>
      <c r="CR912" s="277"/>
      <c r="CS912" s="278"/>
      <c r="CT912" s="44"/>
      <c r="CU912" s="44"/>
      <c r="CV912" s="44"/>
      <c r="CW912" s="44"/>
      <c r="CX912" s="44"/>
      <c r="CY912" s="44"/>
      <c r="CZ912" s="44"/>
    </row>
    <row r="913" spans="1:104" hidden="1">
      <c r="C913" s="308" t="s">
        <v>115</v>
      </c>
      <c r="D913" s="309"/>
      <c r="E913" s="309"/>
      <c r="F913" s="309"/>
      <c r="G913" s="309"/>
      <c r="H913" s="309"/>
      <c r="I913" s="309"/>
      <c r="J913" s="309"/>
      <c r="K913" s="309"/>
      <c r="L913" s="309"/>
      <c r="M913" s="309"/>
      <c r="N913" s="309"/>
      <c r="O913" s="309"/>
      <c r="P913" s="309"/>
      <c r="Q913" s="309"/>
      <c r="R913" s="309"/>
      <c r="S913" s="310"/>
      <c r="T913" s="267">
        <f>SUMIFS('Adv. Filter'!$BJ$1:$BJ$50000,'Adv. Filter'!$BT$1:$BT$50000,"Madhu",'Adv. Filter'!$BQ$1:$BQ$50000,$C912,'Adv. Filter'!$BH$1:$BH$50000,"Cash",'Adv. Filter'!$BO$1:$BO$50000,'Adv. Filter'!$A$14,'Adv. Filter'!$BO$1:$BO$50000,'Adv. Filter'!$B$14,'Adv. Filter'!$BP$1:$BP$50000,"Project")</f>
        <v>0</v>
      </c>
      <c r="U913" s="268"/>
      <c r="V913" s="268"/>
      <c r="W913" s="268"/>
      <c r="X913" s="268"/>
      <c r="Y913" s="268"/>
      <c r="Z913" s="268"/>
      <c r="AA913" s="268"/>
      <c r="AB913" s="268"/>
      <c r="AC913" s="269"/>
      <c r="AD913" s="267">
        <f>SUMIFS('Adv. Filter'!$BJ$1:$BJ$50000,'Adv. Filter'!$BT$1:$BT$50000,"Madhu",'Adv. Filter'!$BQ$1:$BQ$50000,$C912,'Adv. Filter'!$BH$1:$BH$50000,"Bank",'Adv. Filter'!$BO$1:$BO$50000,'Adv. Filter'!$A$14,'Adv. Filter'!$BO$1:$BO$50000,'Adv. Filter'!$B$14,'Adv. Filter'!$BP$1:$BP$50000,"Project")</f>
        <v>0</v>
      </c>
      <c r="AE913" s="268"/>
      <c r="AF913" s="268"/>
      <c r="AG913" s="268"/>
      <c r="AH913" s="268"/>
      <c r="AI913" s="268"/>
      <c r="AJ913" s="268"/>
      <c r="AK913" s="268"/>
      <c r="AL913" s="268"/>
      <c r="AM913" s="269"/>
      <c r="AN913" s="267">
        <f t="shared" si="30"/>
        <v>0</v>
      </c>
      <c r="AO913" s="268"/>
      <c r="AP913" s="268"/>
      <c r="AQ913" s="268"/>
      <c r="AR913" s="268"/>
      <c r="AS913" s="268"/>
      <c r="AT913" s="268"/>
      <c r="AU913" s="268"/>
      <c r="AV913" s="268"/>
      <c r="AW913" s="269"/>
      <c r="AX913" s="22"/>
      <c r="AY913" s="308" t="s">
        <v>115</v>
      </c>
      <c r="AZ913" s="309"/>
      <c r="BA913" s="309"/>
      <c r="BB913" s="309"/>
      <c r="BC913" s="309"/>
      <c r="BD913" s="309"/>
      <c r="BE913" s="309"/>
      <c r="BF913" s="309"/>
      <c r="BG913" s="309"/>
      <c r="BH913" s="309"/>
      <c r="BI913" s="309"/>
      <c r="BJ913" s="309"/>
      <c r="BK913" s="309"/>
      <c r="BL913" s="309"/>
      <c r="BM913" s="309"/>
      <c r="BN913" s="309"/>
      <c r="BO913" s="310"/>
      <c r="BP913" s="267">
        <f>SUMIFS('Adv. Filter'!$BJ$1:$BJ$50000,'Adv. Filter'!$BT$1:$BT$50000,"Madhu",'Adv. Filter'!$BQ$1:$BQ$50000,$AY912,'Adv. Filter'!$BH$1:$BH$50000,"Cash",'Adv. Filter'!$BO$1:$BO$50000,"&lt;"&amp;'Adv. Filter'!$A$15,'Adv. Filter'!$BP$1:$BP$50000,"Project")</f>
        <v>0</v>
      </c>
      <c r="BQ913" s="268"/>
      <c r="BR913" s="268"/>
      <c r="BS913" s="268"/>
      <c r="BT913" s="268"/>
      <c r="BU913" s="268"/>
      <c r="BV913" s="268"/>
      <c r="BW913" s="268"/>
      <c r="BX913" s="268"/>
      <c r="BY913" s="269"/>
      <c r="BZ913" s="267">
        <f>SUMIFS('Adv. Filter'!$BJ$1:$BJ$50000,'Adv. Filter'!$BT$1:$BT$50000,"Madhu",'Adv. Filter'!$BQ$1:$BQ$50000,$AY912,'Adv. Filter'!$BH$1:$BH$50000,"Bank",'Adv. Filter'!$BO$1:$BO$50000,"&lt;"&amp;'Adv. Filter'!$A$15,'Adv. Filter'!$BP$1:$BP$50000,"Project")</f>
        <v>0</v>
      </c>
      <c r="CA913" s="268"/>
      <c r="CB913" s="268"/>
      <c r="CC913" s="268"/>
      <c r="CD913" s="268"/>
      <c r="CE913" s="268"/>
      <c r="CF913" s="268"/>
      <c r="CG913" s="268"/>
      <c r="CH913" s="268"/>
      <c r="CI913" s="269"/>
      <c r="CJ913" s="267">
        <f t="shared" si="31"/>
        <v>0</v>
      </c>
      <c r="CK913" s="268"/>
      <c r="CL913" s="268"/>
      <c r="CM913" s="268"/>
      <c r="CN913" s="268"/>
      <c r="CO913" s="268"/>
      <c r="CP913" s="268"/>
      <c r="CQ913" s="268"/>
      <c r="CR913" s="268"/>
      <c r="CS913" s="269"/>
    </row>
    <row r="914" spans="1:104" hidden="1">
      <c r="C914" s="308" t="s">
        <v>510</v>
      </c>
      <c r="D914" s="309"/>
      <c r="E914" s="309"/>
      <c r="F914" s="309"/>
      <c r="G914" s="309"/>
      <c r="H914" s="309"/>
      <c r="I914" s="309"/>
      <c r="J914" s="309"/>
      <c r="K914" s="309"/>
      <c r="L914" s="309"/>
      <c r="M914" s="309"/>
      <c r="N914" s="309"/>
      <c r="O914" s="309"/>
      <c r="P914" s="309"/>
      <c r="Q914" s="309"/>
      <c r="R914" s="309"/>
      <c r="S914" s="310"/>
      <c r="T914" s="267">
        <v>0</v>
      </c>
      <c r="U914" s="268"/>
      <c r="V914" s="268"/>
      <c r="W914" s="268"/>
      <c r="X914" s="268"/>
      <c r="Y914" s="268"/>
      <c r="Z914" s="268"/>
      <c r="AA914" s="268"/>
      <c r="AB914" s="268"/>
      <c r="AC914" s="269"/>
      <c r="AD914" s="267">
        <v>0</v>
      </c>
      <c r="AE914" s="268"/>
      <c r="AF914" s="268"/>
      <c r="AG914" s="268"/>
      <c r="AH914" s="268"/>
      <c r="AI914" s="268"/>
      <c r="AJ914" s="268"/>
      <c r="AK914" s="268"/>
      <c r="AL914" s="268"/>
      <c r="AM914" s="269"/>
      <c r="AN914" s="267">
        <f t="shared" si="30"/>
        <v>0</v>
      </c>
      <c r="AO914" s="268"/>
      <c r="AP914" s="268"/>
      <c r="AQ914" s="268"/>
      <c r="AR914" s="268"/>
      <c r="AS914" s="268"/>
      <c r="AT914" s="268"/>
      <c r="AU914" s="268"/>
      <c r="AV914" s="268"/>
      <c r="AW914" s="269"/>
      <c r="AX914" s="22"/>
      <c r="AY914" s="308" t="s">
        <v>510</v>
      </c>
      <c r="AZ914" s="309"/>
      <c r="BA914" s="309"/>
      <c r="BB914" s="309"/>
      <c r="BC914" s="309"/>
      <c r="BD914" s="309"/>
      <c r="BE914" s="309"/>
      <c r="BF914" s="309"/>
      <c r="BG914" s="309"/>
      <c r="BH914" s="309"/>
      <c r="BI914" s="309"/>
      <c r="BJ914" s="309"/>
      <c r="BK914" s="309"/>
      <c r="BL914" s="309"/>
      <c r="BM914" s="309"/>
      <c r="BN914" s="309"/>
      <c r="BO914" s="310"/>
      <c r="BP914" s="267"/>
      <c r="BQ914" s="268"/>
      <c r="BR914" s="268"/>
      <c r="BS914" s="268"/>
      <c r="BT914" s="268"/>
      <c r="BU914" s="268"/>
      <c r="BV914" s="268"/>
      <c r="BW914" s="268"/>
      <c r="BX914" s="268"/>
      <c r="BY914" s="269"/>
      <c r="BZ914" s="267"/>
      <c r="CA914" s="268"/>
      <c r="CB914" s="268"/>
      <c r="CC914" s="268"/>
      <c r="CD914" s="268"/>
      <c r="CE914" s="268"/>
      <c r="CF914" s="268"/>
      <c r="CG914" s="268"/>
      <c r="CH914" s="268"/>
      <c r="CI914" s="269"/>
      <c r="CJ914" s="267">
        <f t="shared" si="31"/>
        <v>0</v>
      </c>
      <c r="CK914" s="268"/>
      <c r="CL914" s="268"/>
      <c r="CM914" s="268"/>
      <c r="CN914" s="268"/>
      <c r="CO914" s="268"/>
      <c r="CP914" s="268"/>
      <c r="CQ914" s="268"/>
      <c r="CR914" s="268"/>
      <c r="CS914" s="269"/>
    </row>
    <row r="915" spans="1:104" hidden="1">
      <c r="A915" s="44"/>
      <c r="B915" s="44"/>
      <c r="C915" s="48"/>
      <c r="D915" s="36" t="str">
        <f>IF(AN912=0,C912&amp;" -","")</f>
        <v>Axis -</v>
      </c>
      <c r="E915" s="42"/>
      <c r="F915" s="42"/>
      <c r="G915" s="42"/>
      <c r="H915" s="42"/>
      <c r="I915" s="42"/>
      <c r="J915" s="42"/>
      <c r="K915" s="42"/>
      <c r="L915" s="42"/>
      <c r="M915" s="42"/>
      <c r="N915" s="42"/>
      <c r="O915" s="42"/>
      <c r="P915" s="47"/>
      <c r="Q915" s="42"/>
      <c r="R915" s="41" t="s">
        <v>275</v>
      </c>
      <c r="S915" s="46"/>
      <c r="T915" s="267">
        <f>SUMIFS('Adv. Filter'!$CH$1:$CH$50000,'Adv. Filter'!$CD$1:$CD$50000,"Madhu",'Adv. Filter'!$CE$1:$CE$50000,$C912,'Adv. Filter'!$CC$1:$CC$50000,"Suspense",'Adv. Filter'!$CF$1:$CF$50000,"Cash")</f>
        <v>0</v>
      </c>
      <c r="U915" s="268"/>
      <c r="V915" s="268"/>
      <c r="W915" s="268"/>
      <c r="X915" s="268"/>
      <c r="Y915" s="268"/>
      <c r="Z915" s="268"/>
      <c r="AA915" s="268"/>
      <c r="AB915" s="268"/>
      <c r="AC915" s="269"/>
      <c r="AD915" s="267">
        <f>SUMIFS('Adv. Filter'!$CH$1:$CH$50000,'Adv. Filter'!$CD$1:$CD$50000,"Madhu",'Adv. Filter'!$CE$1:$CE$50000,$C912,'Adv. Filter'!$CC$1:$CC$50000,"Suspense",'Adv. Filter'!$CF$1:$CF$50000,"Bank")</f>
        <v>0</v>
      </c>
      <c r="AE915" s="268"/>
      <c r="AF915" s="268"/>
      <c r="AG915" s="268"/>
      <c r="AH915" s="268"/>
      <c r="AI915" s="268"/>
      <c r="AJ915" s="268"/>
      <c r="AK915" s="268"/>
      <c r="AL915" s="268"/>
      <c r="AM915" s="269"/>
      <c r="AN915" s="276">
        <f t="shared" si="30"/>
        <v>0</v>
      </c>
      <c r="AO915" s="277"/>
      <c r="AP915" s="277"/>
      <c r="AQ915" s="277"/>
      <c r="AR915" s="277"/>
      <c r="AS915" s="277"/>
      <c r="AT915" s="277"/>
      <c r="AU915" s="277"/>
      <c r="AV915" s="277"/>
      <c r="AW915" s="278"/>
      <c r="AX915" s="45"/>
      <c r="AY915" s="48"/>
      <c r="AZ915" s="36" t="str">
        <f>IF(CJ912=0,AY912&amp;" -","")</f>
        <v>Axis -</v>
      </c>
      <c r="BA915" s="42"/>
      <c r="BB915" s="42"/>
      <c r="BC915" s="42"/>
      <c r="BD915" s="42"/>
      <c r="BE915" s="42"/>
      <c r="BF915" s="42"/>
      <c r="BG915" s="42"/>
      <c r="BH915" s="42"/>
      <c r="BI915" s="42"/>
      <c r="BJ915" s="42"/>
      <c r="BK915" s="42"/>
      <c r="BL915" s="47"/>
      <c r="BM915" s="42"/>
      <c r="BN915" s="41" t="s">
        <v>275</v>
      </c>
      <c r="BO915" s="46"/>
      <c r="BP915" s="276"/>
      <c r="BQ915" s="277"/>
      <c r="BR915" s="277"/>
      <c r="BS915" s="277"/>
      <c r="BT915" s="277"/>
      <c r="BU915" s="277"/>
      <c r="BV915" s="277"/>
      <c r="BW915" s="277"/>
      <c r="BX915" s="277"/>
      <c r="BY915" s="278"/>
      <c r="BZ915" s="276"/>
      <c r="CA915" s="277"/>
      <c r="CB915" s="277"/>
      <c r="CC915" s="277"/>
      <c r="CD915" s="277"/>
      <c r="CE915" s="277"/>
      <c r="CF915" s="277"/>
      <c r="CG915" s="277"/>
      <c r="CH915" s="277"/>
      <c r="CI915" s="278"/>
      <c r="CJ915" s="276">
        <f t="shared" si="31"/>
        <v>0</v>
      </c>
      <c r="CK915" s="277"/>
      <c r="CL915" s="277"/>
      <c r="CM915" s="277"/>
      <c r="CN915" s="277"/>
      <c r="CO915" s="277"/>
      <c r="CP915" s="277"/>
      <c r="CQ915" s="277"/>
      <c r="CR915" s="277"/>
      <c r="CS915" s="278"/>
      <c r="CT915" s="44"/>
      <c r="CU915" s="44"/>
      <c r="CV915" s="44"/>
      <c r="CW915" s="44"/>
      <c r="CX915" s="44"/>
      <c r="CY915" s="44"/>
      <c r="CZ915" s="44"/>
    </row>
    <row r="916" spans="1:104" hidden="1">
      <c r="A916" s="44"/>
      <c r="B916" s="44"/>
      <c r="C916" s="293" t="s">
        <v>49</v>
      </c>
      <c r="D916" s="294"/>
      <c r="E916" s="294"/>
      <c r="F916" s="294"/>
      <c r="G916" s="294"/>
      <c r="H916" s="294"/>
      <c r="I916" s="294"/>
      <c r="J916" s="294"/>
      <c r="K916" s="294"/>
      <c r="L916" s="294"/>
      <c r="M916" s="294"/>
      <c r="N916" s="294"/>
      <c r="O916" s="294"/>
      <c r="P916" s="294"/>
      <c r="Q916" s="294"/>
      <c r="R916" s="294"/>
      <c r="S916" s="295"/>
      <c r="T916" s="276">
        <f>SUMIFS('Adv. Filter'!$BJ$1:$BJ$50000,'Adv. Filter'!$BT$1:$BT$50000,"Madhu",'Adv. Filter'!$BQ$1:$BQ$50000,$C916,'Adv. Filter'!$BH$1:$BH$50000,"Cash",'Adv. Filter'!$BO$1:$BO$50000,'Adv. Filter'!$A$14,'Adv. Filter'!$BO$1:$BO$50000,'Adv. Filter'!$B$14)</f>
        <v>0</v>
      </c>
      <c r="U916" s="277"/>
      <c r="V916" s="277"/>
      <c r="W916" s="277"/>
      <c r="X916" s="277"/>
      <c r="Y916" s="277"/>
      <c r="Z916" s="277"/>
      <c r="AA916" s="277"/>
      <c r="AB916" s="277"/>
      <c r="AC916" s="278"/>
      <c r="AD916" s="276">
        <f>SUMIFS('Adv. Filter'!$BJ$1:$BJ$50000,'Adv. Filter'!$BT$1:$BT$50000,"Madhu",'Adv. Filter'!$BQ$1:$BQ$50000,$C916,'Adv. Filter'!$BH$1:$BH$50000,"Bank",'Adv. Filter'!$BO$1:$BO$50000,'Adv. Filter'!$A$14,'Adv. Filter'!$BO$1:$BO$50000,'Adv. Filter'!$B$14)</f>
        <v>0</v>
      </c>
      <c r="AE916" s="277"/>
      <c r="AF916" s="277"/>
      <c r="AG916" s="277"/>
      <c r="AH916" s="277"/>
      <c r="AI916" s="277"/>
      <c r="AJ916" s="277"/>
      <c r="AK916" s="277"/>
      <c r="AL916" s="277"/>
      <c r="AM916" s="278"/>
      <c r="AN916" s="276">
        <f t="shared" si="30"/>
        <v>0</v>
      </c>
      <c r="AO916" s="277"/>
      <c r="AP916" s="277"/>
      <c r="AQ916" s="277"/>
      <c r="AR916" s="277"/>
      <c r="AS916" s="277"/>
      <c r="AT916" s="277"/>
      <c r="AU916" s="277"/>
      <c r="AV916" s="277"/>
      <c r="AW916" s="278"/>
      <c r="AX916" s="45"/>
      <c r="AY916" s="293" t="s">
        <v>49</v>
      </c>
      <c r="AZ916" s="294"/>
      <c r="BA916" s="294"/>
      <c r="BB916" s="294"/>
      <c r="BC916" s="294"/>
      <c r="BD916" s="294"/>
      <c r="BE916" s="294"/>
      <c r="BF916" s="294"/>
      <c r="BG916" s="294"/>
      <c r="BH916" s="294"/>
      <c r="BI916" s="294"/>
      <c r="BJ916" s="294"/>
      <c r="BK916" s="294"/>
      <c r="BL916" s="294"/>
      <c r="BM916" s="294"/>
      <c r="BN916" s="294"/>
      <c r="BO916" s="295"/>
      <c r="BP916" s="276">
        <f>SUMIFS('Adv. Filter'!$BJ$1:$BJ$50000,'Adv. Filter'!$BT$1:$BT$50000,"Madhu",'Adv. Filter'!$BQ$1:$BQ$50000,$AY916,'Adv. Filter'!$BH$1:$BH$50000,"Cash",'Adv. Filter'!$BO$1:$BO$50000,"&lt;"&amp;'Adv. Filter'!$A$15)</f>
        <v>0</v>
      </c>
      <c r="BQ916" s="277"/>
      <c r="BR916" s="277"/>
      <c r="BS916" s="277"/>
      <c r="BT916" s="277"/>
      <c r="BU916" s="277"/>
      <c r="BV916" s="277"/>
      <c r="BW916" s="277"/>
      <c r="BX916" s="277"/>
      <c r="BY916" s="278"/>
      <c r="BZ916" s="276">
        <f>SUMIFS('Adv. Filter'!$BJ$1:$BJ$50000,'Adv. Filter'!$BT$1:$BT$50000,"Madhu",'Adv. Filter'!$BQ$1:$BQ$50000,$AY916,'Adv. Filter'!$BH$1:$BH$50000,"Bank",'Adv. Filter'!$BO$1:$BO$50000,"&lt;"&amp;'Adv. Filter'!$A$15)</f>
        <v>0</v>
      </c>
      <c r="CA916" s="277"/>
      <c r="CB916" s="277"/>
      <c r="CC916" s="277"/>
      <c r="CD916" s="277"/>
      <c r="CE916" s="277"/>
      <c r="CF916" s="277"/>
      <c r="CG916" s="277"/>
      <c r="CH916" s="277"/>
      <c r="CI916" s="278"/>
      <c r="CJ916" s="276">
        <f t="shared" si="31"/>
        <v>0</v>
      </c>
      <c r="CK916" s="277"/>
      <c r="CL916" s="277"/>
      <c r="CM916" s="277"/>
      <c r="CN916" s="277"/>
      <c r="CO916" s="277"/>
      <c r="CP916" s="277"/>
      <c r="CQ916" s="277"/>
      <c r="CR916" s="277"/>
      <c r="CS916" s="278"/>
      <c r="CT916" s="44"/>
      <c r="CU916" s="44"/>
      <c r="CV916" s="44"/>
      <c r="CW916" s="44"/>
      <c r="CX916" s="44"/>
      <c r="CY916" s="44"/>
      <c r="CZ916" s="44"/>
    </row>
    <row r="917" spans="1:104" hidden="1">
      <c r="C917" s="308" t="s">
        <v>115</v>
      </c>
      <c r="D917" s="309"/>
      <c r="E917" s="309"/>
      <c r="F917" s="309"/>
      <c r="G917" s="309"/>
      <c r="H917" s="309"/>
      <c r="I917" s="309"/>
      <c r="J917" s="309"/>
      <c r="K917" s="309"/>
      <c r="L917" s="309"/>
      <c r="M917" s="309"/>
      <c r="N917" s="309"/>
      <c r="O917" s="309"/>
      <c r="P917" s="309"/>
      <c r="Q917" s="309"/>
      <c r="R917" s="309"/>
      <c r="S917" s="310"/>
      <c r="T917" s="267">
        <f>SUMIFS('Adv. Filter'!$BJ$1:$BJ$50000,'Adv. Filter'!$BT$1:$BT$50000,"Madhu",'Adv. Filter'!$BQ$1:$BQ$50000,$C916,'Adv. Filter'!$BH$1:$BH$50000,"Cash",'Adv. Filter'!$BO$1:$BO$50000,'Adv. Filter'!$A$14,'Adv. Filter'!$BO$1:$BO$50000,'Adv. Filter'!$B$14,'Adv. Filter'!$BP$1:$BP$50000,"Project")</f>
        <v>0</v>
      </c>
      <c r="U917" s="268"/>
      <c r="V917" s="268"/>
      <c r="W917" s="268"/>
      <c r="X917" s="268"/>
      <c r="Y917" s="268"/>
      <c r="Z917" s="268"/>
      <c r="AA917" s="268"/>
      <c r="AB917" s="268"/>
      <c r="AC917" s="269"/>
      <c r="AD917" s="267">
        <f>SUMIFS('Adv. Filter'!$BJ$1:$BJ$50000,'Adv. Filter'!$BT$1:$BT$50000,"Madhu",'Adv. Filter'!$BQ$1:$BQ$50000,$C916,'Adv. Filter'!$BH$1:$BH$50000,"Bank",'Adv. Filter'!$BO$1:$BO$50000,'Adv. Filter'!$A$14,'Adv. Filter'!$BO$1:$BO$50000,'Adv. Filter'!$B$14,'Adv. Filter'!$BP$1:$BP$50000,"Project")</f>
        <v>0</v>
      </c>
      <c r="AE917" s="268"/>
      <c r="AF917" s="268"/>
      <c r="AG917" s="268"/>
      <c r="AH917" s="268"/>
      <c r="AI917" s="268"/>
      <c r="AJ917" s="268"/>
      <c r="AK917" s="268"/>
      <c r="AL917" s="268"/>
      <c r="AM917" s="269"/>
      <c r="AN917" s="267">
        <f t="shared" si="30"/>
        <v>0</v>
      </c>
      <c r="AO917" s="268"/>
      <c r="AP917" s="268"/>
      <c r="AQ917" s="268"/>
      <c r="AR917" s="268"/>
      <c r="AS917" s="268"/>
      <c r="AT917" s="268"/>
      <c r="AU917" s="268"/>
      <c r="AV917" s="268"/>
      <c r="AW917" s="269"/>
      <c r="AX917" s="22"/>
      <c r="AY917" s="308" t="s">
        <v>115</v>
      </c>
      <c r="AZ917" s="309"/>
      <c r="BA917" s="309"/>
      <c r="BB917" s="309"/>
      <c r="BC917" s="309"/>
      <c r="BD917" s="309"/>
      <c r="BE917" s="309"/>
      <c r="BF917" s="309"/>
      <c r="BG917" s="309"/>
      <c r="BH917" s="309"/>
      <c r="BI917" s="309"/>
      <c r="BJ917" s="309"/>
      <c r="BK917" s="309"/>
      <c r="BL917" s="309"/>
      <c r="BM917" s="309"/>
      <c r="BN917" s="309"/>
      <c r="BO917" s="310"/>
      <c r="BP917" s="267">
        <f>SUMIFS('Adv. Filter'!$BJ$1:$BJ$50000,'Adv. Filter'!$BT$1:$BT$50000,"Madhu",'Adv. Filter'!$BQ$1:$BQ$50000,$AY916,'Adv. Filter'!$BH$1:$BH$50000,"Cash",'Adv. Filter'!$BO$1:$BO$50000,"&lt;"&amp;'Adv. Filter'!$A$15,'Adv. Filter'!$BP$1:$BP$50000,"Project")</f>
        <v>0</v>
      </c>
      <c r="BQ917" s="268"/>
      <c r="BR917" s="268"/>
      <c r="BS917" s="268"/>
      <c r="BT917" s="268"/>
      <c r="BU917" s="268"/>
      <c r="BV917" s="268"/>
      <c r="BW917" s="268"/>
      <c r="BX917" s="268"/>
      <c r="BY917" s="269"/>
      <c r="BZ917" s="267">
        <f>SUMIFS('Adv. Filter'!$BJ$1:$BJ$50000,'Adv. Filter'!$BT$1:$BT$50000,"Madhu",'Adv. Filter'!$BQ$1:$BQ$50000,$AY916,'Adv. Filter'!$BH$1:$BH$50000,"Bank",'Adv. Filter'!$BO$1:$BO$50000,"&lt;"&amp;'Adv. Filter'!$A$15,'Adv. Filter'!$BP$1:$BP$50000,"Project")</f>
        <v>0</v>
      </c>
      <c r="CA917" s="268"/>
      <c r="CB917" s="268"/>
      <c r="CC917" s="268"/>
      <c r="CD917" s="268"/>
      <c r="CE917" s="268"/>
      <c r="CF917" s="268"/>
      <c r="CG917" s="268"/>
      <c r="CH917" s="268"/>
      <c r="CI917" s="269"/>
      <c r="CJ917" s="267">
        <f t="shared" si="31"/>
        <v>0</v>
      </c>
      <c r="CK917" s="268"/>
      <c r="CL917" s="268"/>
      <c r="CM917" s="268"/>
      <c r="CN917" s="268"/>
      <c r="CO917" s="268"/>
      <c r="CP917" s="268"/>
      <c r="CQ917" s="268"/>
      <c r="CR917" s="268"/>
      <c r="CS917" s="269"/>
    </row>
    <row r="918" spans="1:104" hidden="1">
      <c r="C918" s="308" t="s">
        <v>510</v>
      </c>
      <c r="D918" s="309"/>
      <c r="E918" s="309"/>
      <c r="F918" s="309"/>
      <c r="G918" s="309"/>
      <c r="H918" s="309"/>
      <c r="I918" s="309"/>
      <c r="J918" s="309"/>
      <c r="K918" s="309"/>
      <c r="L918" s="309"/>
      <c r="M918" s="309"/>
      <c r="N918" s="309"/>
      <c r="O918" s="309"/>
      <c r="P918" s="309"/>
      <c r="Q918" s="309"/>
      <c r="R918" s="309"/>
      <c r="S918" s="310"/>
      <c r="T918" s="267">
        <v>0</v>
      </c>
      <c r="U918" s="268"/>
      <c r="V918" s="268"/>
      <c r="W918" s="268"/>
      <c r="X918" s="268"/>
      <c r="Y918" s="268"/>
      <c r="Z918" s="268"/>
      <c r="AA918" s="268"/>
      <c r="AB918" s="268"/>
      <c r="AC918" s="269"/>
      <c r="AD918" s="267">
        <v>0</v>
      </c>
      <c r="AE918" s="268"/>
      <c r="AF918" s="268"/>
      <c r="AG918" s="268"/>
      <c r="AH918" s="268"/>
      <c r="AI918" s="268"/>
      <c r="AJ918" s="268"/>
      <c r="AK918" s="268"/>
      <c r="AL918" s="268"/>
      <c r="AM918" s="269"/>
      <c r="AN918" s="267">
        <f t="shared" si="30"/>
        <v>0</v>
      </c>
      <c r="AO918" s="268"/>
      <c r="AP918" s="268"/>
      <c r="AQ918" s="268"/>
      <c r="AR918" s="268"/>
      <c r="AS918" s="268"/>
      <c r="AT918" s="268"/>
      <c r="AU918" s="268"/>
      <c r="AV918" s="268"/>
      <c r="AW918" s="269"/>
      <c r="AX918" s="22"/>
      <c r="AY918" s="308" t="s">
        <v>510</v>
      </c>
      <c r="AZ918" s="309"/>
      <c r="BA918" s="309"/>
      <c r="BB918" s="309"/>
      <c r="BC918" s="309"/>
      <c r="BD918" s="309"/>
      <c r="BE918" s="309"/>
      <c r="BF918" s="309"/>
      <c r="BG918" s="309"/>
      <c r="BH918" s="309"/>
      <c r="BI918" s="309"/>
      <c r="BJ918" s="309"/>
      <c r="BK918" s="309"/>
      <c r="BL918" s="309"/>
      <c r="BM918" s="309"/>
      <c r="BN918" s="309"/>
      <c r="BO918" s="310"/>
      <c r="BP918" s="267"/>
      <c r="BQ918" s="268"/>
      <c r="BR918" s="268"/>
      <c r="BS918" s="268"/>
      <c r="BT918" s="268"/>
      <c r="BU918" s="268"/>
      <c r="BV918" s="268"/>
      <c r="BW918" s="268"/>
      <c r="BX918" s="268"/>
      <c r="BY918" s="269"/>
      <c r="BZ918" s="267"/>
      <c r="CA918" s="268"/>
      <c r="CB918" s="268"/>
      <c r="CC918" s="268"/>
      <c r="CD918" s="268"/>
      <c r="CE918" s="268"/>
      <c r="CF918" s="268"/>
      <c r="CG918" s="268"/>
      <c r="CH918" s="268"/>
      <c r="CI918" s="269"/>
      <c r="CJ918" s="267">
        <f t="shared" si="31"/>
        <v>0</v>
      </c>
      <c r="CK918" s="268"/>
      <c r="CL918" s="268"/>
      <c r="CM918" s="268"/>
      <c r="CN918" s="268"/>
      <c r="CO918" s="268"/>
      <c r="CP918" s="268"/>
      <c r="CQ918" s="268"/>
      <c r="CR918" s="268"/>
      <c r="CS918" s="269"/>
    </row>
    <row r="919" spans="1:104" hidden="1">
      <c r="C919" s="43"/>
      <c r="D919" s="36" t="str">
        <f>IF(AN916=0,C916&amp;" -","")</f>
        <v>BOI -</v>
      </c>
      <c r="E919" s="42"/>
      <c r="F919" s="42"/>
      <c r="G919" s="42"/>
      <c r="H919" s="42"/>
      <c r="I919" s="42"/>
      <c r="J919" s="42"/>
      <c r="K919" s="42"/>
      <c r="L919" s="42"/>
      <c r="M919" s="42"/>
      <c r="N919" s="42"/>
      <c r="O919" s="42"/>
      <c r="P919" s="1"/>
      <c r="Q919" s="42"/>
      <c r="R919" s="41" t="s">
        <v>275</v>
      </c>
      <c r="S919" s="40"/>
      <c r="T919" s="267">
        <f>SUMIFS('Adv. Filter'!$CH$1:$CH$50000,'Adv. Filter'!$CD$1:$CD$50000,"Madhu",'Adv. Filter'!$CE$1:$CE$50000,$C916,'Adv. Filter'!$CC$1:$CC$50000,"Suspense",'Adv. Filter'!$CF$1:$CF$50000,"Cash")</f>
        <v>0</v>
      </c>
      <c r="U919" s="268"/>
      <c r="V919" s="268"/>
      <c r="W919" s="268"/>
      <c r="X919" s="268"/>
      <c r="Y919" s="268"/>
      <c r="Z919" s="268"/>
      <c r="AA919" s="268"/>
      <c r="AB919" s="268"/>
      <c r="AC919" s="269"/>
      <c r="AD919" s="267">
        <f>SUMIFS('Adv. Filter'!$CH$1:$CH$50000,'Adv. Filter'!$CD$1:$CD$50000,"Madhu",'Adv. Filter'!$CE$1:$CE$50000,$C916,'Adv. Filter'!$CC$1:$CC$50000,"Suspense",'Adv. Filter'!$CF$1:$CF$50000,"Bank")</f>
        <v>0</v>
      </c>
      <c r="AE919" s="268"/>
      <c r="AF919" s="268"/>
      <c r="AG919" s="268"/>
      <c r="AH919" s="268"/>
      <c r="AI919" s="268"/>
      <c r="AJ919" s="268"/>
      <c r="AK919" s="268"/>
      <c r="AL919" s="268"/>
      <c r="AM919" s="269"/>
      <c r="AN919" s="267">
        <f t="shared" si="30"/>
        <v>0</v>
      </c>
      <c r="AO919" s="268"/>
      <c r="AP919" s="268"/>
      <c r="AQ919" s="268"/>
      <c r="AR919" s="268"/>
      <c r="AS919" s="268"/>
      <c r="AT919" s="268"/>
      <c r="AU919" s="268"/>
      <c r="AV919" s="268"/>
      <c r="AW919" s="269"/>
      <c r="AX919" s="22"/>
      <c r="AY919" s="43"/>
      <c r="AZ919" s="36" t="str">
        <f>IF(CJ916=0,AY916&amp;" -","")</f>
        <v>BOI -</v>
      </c>
      <c r="BA919" s="42"/>
      <c r="BB919" s="42"/>
      <c r="BC919" s="42"/>
      <c r="BD919" s="42"/>
      <c r="BE919" s="42"/>
      <c r="BF919" s="42"/>
      <c r="BG919" s="42"/>
      <c r="BH919" s="42"/>
      <c r="BI919" s="42"/>
      <c r="BJ919" s="42"/>
      <c r="BK919" s="42"/>
      <c r="BL919" s="1"/>
      <c r="BM919" s="42"/>
      <c r="BN919" s="41" t="s">
        <v>275</v>
      </c>
      <c r="BO919" s="40"/>
      <c r="BP919" s="267"/>
      <c r="BQ919" s="268"/>
      <c r="BR919" s="268"/>
      <c r="BS919" s="268"/>
      <c r="BT919" s="268"/>
      <c r="BU919" s="268"/>
      <c r="BV919" s="268"/>
      <c r="BW919" s="268"/>
      <c r="BX919" s="268"/>
      <c r="BY919" s="269"/>
      <c r="BZ919" s="267"/>
      <c r="CA919" s="268"/>
      <c r="CB919" s="268"/>
      <c r="CC919" s="268"/>
      <c r="CD919" s="268"/>
      <c r="CE919" s="268"/>
      <c r="CF919" s="268"/>
      <c r="CG919" s="268"/>
      <c r="CH919" s="268"/>
      <c r="CI919" s="269"/>
      <c r="CJ919" s="267">
        <f t="shared" si="31"/>
        <v>0</v>
      </c>
      <c r="CK919" s="268"/>
      <c r="CL919" s="268"/>
      <c r="CM919" s="268"/>
      <c r="CN919" s="268"/>
      <c r="CO919" s="268"/>
      <c r="CP919" s="268"/>
      <c r="CQ919" s="268"/>
      <c r="CR919" s="268"/>
      <c r="CS919" s="269"/>
    </row>
    <row r="920" spans="1:104" hidden="1">
      <c r="A920" s="44"/>
      <c r="B920" s="44"/>
      <c r="C920" s="293" t="s">
        <v>59</v>
      </c>
      <c r="D920" s="294"/>
      <c r="E920" s="294"/>
      <c r="F920" s="294"/>
      <c r="G920" s="294"/>
      <c r="H920" s="294"/>
      <c r="I920" s="294"/>
      <c r="J920" s="294"/>
      <c r="K920" s="294"/>
      <c r="L920" s="294"/>
      <c r="M920" s="294"/>
      <c r="N920" s="294"/>
      <c r="O920" s="294"/>
      <c r="P920" s="294"/>
      <c r="Q920" s="294"/>
      <c r="R920" s="294"/>
      <c r="S920" s="295"/>
      <c r="T920" s="276">
        <f>SUMIFS('Adv. Filter'!$BJ$1:$BJ$50000,'Adv. Filter'!$BT$1:$BT$50000,"Madhu",'Adv. Filter'!$BQ$1:$BQ$50000,$C920,'Adv. Filter'!$BH$1:$BH$50000,"Cash",'Adv. Filter'!$BO$1:$BO$50000,'Adv. Filter'!$A$14,'Adv. Filter'!$BO$1:$BO$50000,'Adv. Filter'!$B$14)</f>
        <v>0</v>
      </c>
      <c r="U920" s="277"/>
      <c r="V920" s="277"/>
      <c r="W920" s="277"/>
      <c r="X920" s="277"/>
      <c r="Y920" s="277"/>
      <c r="Z920" s="277"/>
      <c r="AA920" s="277"/>
      <c r="AB920" s="277"/>
      <c r="AC920" s="278"/>
      <c r="AD920" s="276">
        <f>SUMIFS('Adv. Filter'!$BJ$1:$BJ$50000,'Adv. Filter'!$BT$1:$BT$50000,"Madhu",'Adv. Filter'!$BQ$1:$BQ$50000,$C920,'Adv. Filter'!$BH$1:$BH$50000,"Bank",'Adv. Filter'!$BO$1:$BO$50000,'Adv. Filter'!$A$14,'Adv. Filter'!$BO$1:$BO$50000,'Adv. Filter'!$B$14)</f>
        <v>0</v>
      </c>
      <c r="AE920" s="277"/>
      <c r="AF920" s="277"/>
      <c r="AG920" s="277"/>
      <c r="AH920" s="277"/>
      <c r="AI920" s="277"/>
      <c r="AJ920" s="277"/>
      <c r="AK920" s="277"/>
      <c r="AL920" s="277"/>
      <c r="AM920" s="278"/>
      <c r="AN920" s="276">
        <f t="shared" si="30"/>
        <v>0</v>
      </c>
      <c r="AO920" s="277"/>
      <c r="AP920" s="277"/>
      <c r="AQ920" s="277"/>
      <c r="AR920" s="277"/>
      <c r="AS920" s="277"/>
      <c r="AT920" s="277"/>
      <c r="AU920" s="277"/>
      <c r="AV920" s="277"/>
      <c r="AW920" s="278"/>
      <c r="AX920" s="45"/>
      <c r="AY920" s="293" t="s">
        <v>59</v>
      </c>
      <c r="AZ920" s="294"/>
      <c r="BA920" s="294"/>
      <c r="BB920" s="294"/>
      <c r="BC920" s="294"/>
      <c r="BD920" s="294"/>
      <c r="BE920" s="294"/>
      <c r="BF920" s="294"/>
      <c r="BG920" s="294"/>
      <c r="BH920" s="294"/>
      <c r="BI920" s="294"/>
      <c r="BJ920" s="294"/>
      <c r="BK920" s="294"/>
      <c r="BL920" s="294"/>
      <c r="BM920" s="294"/>
      <c r="BN920" s="294"/>
      <c r="BO920" s="295"/>
      <c r="BP920" s="276">
        <f>SUMIFS('Adv. Filter'!$BJ$1:$BJ$50000,'Adv. Filter'!$BT$1:$BT$50000,"Madhu",'Adv. Filter'!$BQ$1:$BQ$50000,$AY920,'Adv. Filter'!$BH$1:$BH$50000,"Cash",'Adv. Filter'!$BO$1:$BO$50000,"&lt;"&amp;'Adv. Filter'!$A$15)</f>
        <v>0</v>
      </c>
      <c r="BQ920" s="277"/>
      <c r="BR920" s="277"/>
      <c r="BS920" s="277"/>
      <c r="BT920" s="277"/>
      <c r="BU920" s="277"/>
      <c r="BV920" s="277"/>
      <c r="BW920" s="277"/>
      <c r="BX920" s="277"/>
      <c r="BY920" s="278"/>
      <c r="BZ920" s="276">
        <f>SUMIFS('Adv. Filter'!$BJ$1:$BJ$50000,'Adv. Filter'!$BT$1:$BT$50000,"Madhu",'Adv. Filter'!$BQ$1:$BQ$50000,$AY920,'Adv. Filter'!$BH$1:$BH$50000,"Bank",'Adv. Filter'!$BO$1:$BO$50000,"&lt;"&amp;'Adv. Filter'!$A$15)</f>
        <v>0</v>
      </c>
      <c r="CA920" s="277"/>
      <c r="CB920" s="277"/>
      <c r="CC920" s="277"/>
      <c r="CD920" s="277"/>
      <c r="CE920" s="277"/>
      <c r="CF920" s="277"/>
      <c r="CG920" s="277"/>
      <c r="CH920" s="277"/>
      <c r="CI920" s="278"/>
      <c r="CJ920" s="276">
        <f t="shared" si="31"/>
        <v>0</v>
      </c>
      <c r="CK920" s="277"/>
      <c r="CL920" s="277"/>
      <c r="CM920" s="277"/>
      <c r="CN920" s="277"/>
      <c r="CO920" s="277"/>
      <c r="CP920" s="277"/>
      <c r="CQ920" s="277"/>
      <c r="CR920" s="277"/>
      <c r="CS920" s="278"/>
      <c r="CT920" s="44"/>
      <c r="CU920" s="44"/>
      <c r="CV920" s="44"/>
      <c r="CW920" s="44"/>
      <c r="CX920" s="44"/>
      <c r="CY920" s="44"/>
      <c r="CZ920" s="44"/>
    </row>
    <row r="921" spans="1:104" hidden="1">
      <c r="C921" s="308" t="s">
        <v>115</v>
      </c>
      <c r="D921" s="309"/>
      <c r="E921" s="309"/>
      <c r="F921" s="309"/>
      <c r="G921" s="309"/>
      <c r="H921" s="309"/>
      <c r="I921" s="309"/>
      <c r="J921" s="309"/>
      <c r="K921" s="309"/>
      <c r="L921" s="309"/>
      <c r="M921" s="309"/>
      <c r="N921" s="309"/>
      <c r="O921" s="309"/>
      <c r="P921" s="309"/>
      <c r="Q921" s="309"/>
      <c r="R921" s="309"/>
      <c r="S921" s="310"/>
      <c r="T921" s="267">
        <f>SUMIFS('Adv. Filter'!$BJ$1:$BJ$50000,'Adv. Filter'!$BT$1:$BT$50000,"Madhu",'Adv. Filter'!$BQ$1:$BQ$50000,$C920,'Adv. Filter'!$BH$1:$BH$50000,"Cash",'Adv. Filter'!$BO$1:$BO$50000,'Adv. Filter'!$A$14,'Adv. Filter'!$BO$1:$BO$50000,'Adv. Filter'!$B$14,'Adv. Filter'!$BP$1:$BP$50000,"Project")</f>
        <v>0</v>
      </c>
      <c r="U921" s="268"/>
      <c r="V921" s="268"/>
      <c r="W921" s="268"/>
      <c r="X921" s="268"/>
      <c r="Y921" s="268"/>
      <c r="Z921" s="268"/>
      <c r="AA921" s="268"/>
      <c r="AB921" s="268"/>
      <c r="AC921" s="269"/>
      <c r="AD921" s="267">
        <f>SUMIFS('Adv. Filter'!$BJ$1:$BJ$50000,'Adv. Filter'!$BT$1:$BT$50000,"Madhu",'Adv. Filter'!$BQ$1:$BQ$50000,$C920,'Adv. Filter'!$BH$1:$BH$50000,"Bank",'Adv. Filter'!$BO$1:$BO$50000,'Adv. Filter'!$A$14,'Adv. Filter'!$BO$1:$BO$50000,'Adv. Filter'!$B$14,'Adv. Filter'!$BP$1:$BP$50000,"Project")</f>
        <v>0</v>
      </c>
      <c r="AE921" s="268"/>
      <c r="AF921" s="268"/>
      <c r="AG921" s="268"/>
      <c r="AH921" s="268"/>
      <c r="AI921" s="268"/>
      <c r="AJ921" s="268"/>
      <c r="AK921" s="268"/>
      <c r="AL921" s="268"/>
      <c r="AM921" s="269"/>
      <c r="AN921" s="267">
        <f t="shared" si="30"/>
        <v>0</v>
      </c>
      <c r="AO921" s="268"/>
      <c r="AP921" s="268"/>
      <c r="AQ921" s="268"/>
      <c r="AR921" s="268"/>
      <c r="AS921" s="268"/>
      <c r="AT921" s="268"/>
      <c r="AU921" s="268"/>
      <c r="AV921" s="268"/>
      <c r="AW921" s="269"/>
      <c r="AX921" s="22"/>
      <c r="AY921" s="308" t="s">
        <v>115</v>
      </c>
      <c r="AZ921" s="309"/>
      <c r="BA921" s="309"/>
      <c r="BB921" s="309"/>
      <c r="BC921" s="309"/>
      <c r="BD921" s="309"/>
      <c r="BE921" s="309"/>
      <c r="BF921" s="309"/>
      <c r="BG921" s="309"/>
      <c r="BH921" s="309"/>
      <c r="BI921" s="309"/>
      <c r="BJ921" s="309"/>
      <c r="BK921" s="309"/>
      <c r="BL921" s="309"/>
      <c r="BM921" s="309"/>
      <c r="BN921" s="309"/>
      <c r="BO921" s="310"/>
      <c r="BP921" s="267">
        <f>SUMIFS('Adv. Filter'!$BJ$1:$BJ$50000,'Adv. Filter'!$BT$1:$BT$50000,"Madhu",'Adv. Filter'!$BQ$1:$BQ$50000,$AY920,'Adv. Filter'!$BH$1:$BH$50000,"Cash",'Adv. Filter'!$BO$1:$BO$50000,"&lt;"&amp;'Adv. Filter'!$A$15,'Adv. Filter'!$BP$1:$BP$50000,"Project")</f>
        <v>0</v>
      </c>
      <c r="BQ921" s="268"/>
      <c r="BR921" s="268"/>
      <c r="BS921" s="268"/>
      <c r="BT921" s="268"/>
      <c r="BU921" s="268"/>
      <c r="BV921" s="268"/>
      <c r="BW921" s="268"/>
      <c r="BX921" s="268"/>
      <c r="BY921" s="269"/>
      <c r="BZ921" s="267">
        <f>SUMIFS('Adv. Filter'!$BJ$1:$BJ$50000,'Adv. Filter'!$BT$1:$BT$50000,"Madhu",'Adv. Filter'!$BQ$1:$BQ$50000,$AY920,'Adv. Filter'!$BH$1:$BH$50000,"Bank",'Adv. Filter'!$BO$1:$BO$50000,"&lt;"&amp;'Adv. Filter'!$A$15,'Adv. Filter'!$BP$1:$BP$50000,"Project")</f>
        <v>0</v>
      </c>
      <c r="CA921" s="268"/>
      <c r="CB921" s="268"/>
      <c r="CC921" s="268"/>
      <c r="CD921" s="268"/>
      <c r="CE921" s="268"/>
      <c r="CF921" s="268"/>
      <c r="CG921" s="268"/>
      <c r="CH921" s="268"/>
      <c r="CI921" s="269"/>
      <c r="CJ921" s="267">
        <f t="shared" si="31"/>
        <v>0</v>
      </c>
      <c r="CK921" s="268"/>
      <c r="CL921" s="268"/>
      <c r="CM921" s="268"/>
      <c r="CN921" s="268"/>
      <c r="CO921" s="268"/>
      <c r="CP921" s="268"/>
      <c r="CQ921" s="268"/>
      <c r="CR921" s="268"/>
      <c r="CS921" s="269"/>
    </row>
    <row r="922" spans="1:104" hidden="1">
      <c r="C922" s="308" t="s">
        <v>510</v>
      </c>
      <c r="D922" s="309"/>
      <c r="E922" s="309"/>
      <c r="F922" s="309"/>
      <c r="G922" s="309"/>
      <c r="H922" s="309"/>
      <c r="I922" s="309"/>
      <c r="J922" s="309"/>
      <c r="K922" s="309"/>
      <c r="L922" s="309"/>
      <c r="M922" s="309"/>
      <c r="N922" s="309"/>
      <c r="O922" s="309"/>
      <c r="P922" s="309"/>
      <c r="Q922" s="309"/>
      <c r="R922" s="309"/>
      <c r="S922" s="310"/>
      <c r="T922" s="267">
        <v>0</v>
      </c>
      <c r="U922" s="268"/>
      <c r="V922" s="268"/>
      <c r="W922" s="268"/>
      <c r="X922" s="268"/>
      <c r="Y922" s="268"/>
      <c r="Z922" s="268"/>
      <c r="AA922" s="268"/>
      <c r="AB922" s="268"/>
      <c r="AC922" s="269"/>
      <c r="AD922" s="267">
        <v>0</v>
      </c>
      <c r="AE922" s="268"/>
      <c r="AF922" s="268"/>
      <c r="AG922" s="268"/>
      <c r="AH922" s="268"/>
      <c r="AI922" s="268"/>
      <c r="AJ922" s="268"/>
      <c r="AK922" s="268"/>
      <c r="AL922" s="268"/>
      <c r="AM922" s="269"/>
      <c r="AN922" s="267">
        <f t="shared" si="30"/>
        <v>0</v>
      </c>
      <c r="AO922" s="268"/>
      <c r="AP922" s="268"/>
      <c r="AQ922" s="268"/>
      <c r="AR922" s="268"/>
      <c r="AS922" s="268"/>
      <c r="AT922" s="268"/>
      <c r="AU922" s="268"/>
      <c r="AV922" s="268"/>
      <c r="AW922" s="269"/>
      <c r="AX922" s="22"/>
      <c r="AY922" s="308" t="s">
        <v>510</v>
      </c>
      <c r="AZ922" s="309"/>
      <c r="BA922" s="309"/>
      <c r="BB922" s="309"/>
      <c r="BC922" s="309"/>
      <c r="BD922" s="309"/>
      <c r="BE922" s="309"/>
      <c r="BF922" s="309"/>
      <c r="BG922" s="309"/>
      <c r="BH922" s="309"/>
      <c r="BI922" s="309"/>
      <c r="BJ922" s="309"/>
      <c r="BK922" s="309"/>
      <c r="BL922" s="309"/>
      <c r="BM922" s="309"/>
      <c r="BN922" s="309"/>
      <c r="BO922" s="310"/>
      <c r="BP922" s="267"/>
      <c r="BQ922" s="268"/>
      <c r="BR922" s="268"/>
      <c r="BS922" s="268"/>
      <c r="BT922" s="268"/>
      <c r="BU922" s="268"/>
      <c r="BV922" s="268"/>
      <c r="BW922" s="268"/>
      <c r="BX922" s="268"/>
      <c r="BY922" s="269"/>
      <c r="BZ922" s="267"/>
      <c r="CA922" s="268"/>
      <c r="CB922" s="268"/>
      <c r="CC922" s="268"/>
      <c r="CD922" s="268"/>
      <c r="CE922" s="268"/>
      <c r="CF922" s="268"/>
      <c r="CG922" s="268"/>
      <c r="CH922" s="268"/>
      <c r="CI922" s="269"/>
      <c r="CJ922" s="267">
        <f t="shared" si="31"/>
        <v>0</v>
      </c>
      <c r="CK922" s="268"/>
      <c r="CL922" s="268"/>
      <c r="CM922" s="268"/>
      <c r="CN922" s="268"/>
      <c r="CO922" s="268"/>
      <c r="CP922" s="268"/>
      <c r="CQ922" s="268"/>
      <c r="CR922" s="268"/>
      <c r="CS922" s="269"/>
    </row>
    <row r="923" spans="1:104" hidden="1">
      <c r="C923" s="43"/>
      <c r="D923" s="36" t="str">
        <f>IF(AN920=0,C920&amp;" -","")</f>
        <v>Canara -</v>
      </c>
      <c r="E923" s="42"/>
      <c r="F923" s="42"/>
      <c r="G923" s="42"/>
      <c r="H923" s="42"/>
      <c r="I923" s="42"/>
      <c r="J923" s="42"/>
      <c r="K923" s="42"/>
      <c r="L923" s="42"/>
      <c r="M923" s="42"/>
      <c r="N923" s="42"/>
      <c r="O923" s="42"/>
      <c r="P923" s="1"/>
      <c r="Q923" s="42"/>
      <c r="R923" s="41" t="s">
        <v>275</v>
      </c>
      <c r="S923" s="40"/>
      <c r="T923" s="267">
        <f>SUMIFS('Adv. Filter'!$CH$1:$CH$50000,'Adv. Filter'!$CD$1:$CD$50000,"Madhu",'Adv. Filter'!$CE$1:$CE$50000,$C920,'Adv. Filter'!$CC$1:$CC$50000,"Suspense",'Adv. Filter'!$CF$1:$CF$50000,"Cash")</f>
        <v>0</v>
      </c>
      <c r="U923" s="268"/>
      <c r="V923" s="268"/>
      <c r="W923" s="268"/>
      <c r="X923" s="268"/>
      <c r="Y923" s="268"/>
      <c r="Z923" s="268"/>
      <c r="AA923" s="268"/>
      <c r="AB923" s="268"/>
      <c r="AC923" s="269"/>
      <c r="AD923" s="267">
        <f>SUMIFS('Adv. Filter'!$CH$1:$CH$50000,'Adv. Filter'!$CD$1:$CD$50000,"Madhu",'Adv. Filter'!$CE$1:$CE$50000,$C920,'Adv. Filter'!$CC$1:$CC$50000,"Suspense",'Adv. Filter'!$CF$1:$CF$50000,"Bank")</f>
        <v>0</v>
      </c>
      <c r="AE923" s="268"/>
      <c r="AF923" s="268"/>
      <c r="AG923" s="268"/>
      <c r="AH923" s="268"/>
      <c r="AI923" s="268"/>
      <c r="AJ923" s="268"/>
      <c r="AK923" s="268"/>
      <c r="AL923" s="268"/>
      <c r="AM923" s="269"/>
      <c r="AN923" s="267">
        <f t="shared" si="30"/>
        <v>0</v>
      </c>
      <c r="AO923" s="268"/>
      <c r="AP923" s="268"/>
      <c r="AQ923" s="268"/>
      <c r="AR923" s="268"/>
      <c r="AS923" s="268"/>
      <c r="AT923" s="268"/>
      <c r="AU923" s="268"/>
      <c r="AV923" s="268"/>
      <c r="AW923" s="269"/>
      <c r="AX923" s="22"/>
      <c r="AY923" s="43"/>
      <c r="AZ923" s="36" t="str">
        <f>IF(CJ920=0,AY920&amp;" -","")</f>
        <v>Canara -</v>
      </c>
      <c r="BA923" s="42"/>
      <c r="BB923" s="42"/>
      <c r="BC923" s="42"/>
      <c r="BD923" s="42"/>
      <c r="BE923" s="42"/>
      <c r="BF923" s="42"/>
      <c r="BG923" s="42"/>
      <c r="BH923" s="42"/>
      <c r="BI923" s="42"/>
      <c r="BJ923" s="42"/>
      <c r="BK923" s="42"/>
      <c r="BL923" s="1"/>
      <c r="BM923" s="42"/>
      <c r="BN923" s="41" t="s">
        <v>275</v>
      </c>
      <c r="BO923" s="40"/>
      <c r="BP923" s="267"/>
      <c r="BQ923" s="268"/>
      <c r="BR923" s="268"/>
      <c r="BS923" s="268"/>
      <c r="BT923" s="268"/>
      <c r="BU923" s="268"/>
      <c r="BV923" s="268"/>
      <c r="BW923" s="268"/>
      <c r="BX923" s="268"/>
      <c r="BY923" s="269"/>
      <c r="BZ923" s="267"/>
      <c r="CA923" s="268"/>
      <c r="CB923" s="268"/>
      <c r="CC923" s="268"/>
      <c r="CD923" s="268"/>
      <c r="CE923" s="268"/>
      <c r="CF923" s="268"/>
      <c r="CG923" s="268"/>
      <c r="CH923" s="268"/>
      <c r="CI923" s="269"/>
      <c r="CJ923" s="267">
        <f t="shared" si="31"/>
        <v>0</v>
      </c>
      <c r="CK923" s="268"/>
      <c r="CL923" s="268"/>
      <c r="CM923" s="268"/>
      <c r="CN923" s="268"/>
      <c r="CO923" s="268"/>
      <c r="CP923" s="268"/>
      <c r="CQ923" s="268"/>
      <c r="CR923" s="268"/>
      <c r="CS923" s="269"/>
    </row>
    <row r="924" spans="1:104" hidden="1">
      <c r="A924" s="44"/>
      <c r="B924" s="44"/>
      <c r="C924" s="293" t="s">
        <v>70</v>
      </c>
      <c r="D924" s="294"/>
      <c r="E924" s="294"/>
      <c r="F924" s="294"/>
      <c r="G924" s="294"/>
      <c r="H924" s="294"/>
      <c r="I924" s="294"/>
      <c r="J924" s="294"/>
      <c r="K924" s="294"/>
      <c r="L924" s="294"/>
      <c r="M924" s="294"/>
      <c r="N924" s="294"/>
      <c r="O924" s="294"/>
      <c r="P924" s="294"/>
      <c r="Q924" s="294"/>
      <c r="R924" s="294"/>
      <c r="S924" s="295"/>
      <c r="T924" s="276">
        <f>SUMIFS('Adv. Filter'!$BJ$1:$BJ$50000,'Adv. Filter'!$BT$1:$BT$50000,"Madhu",'Adv. Filter'!$BQ$1:$BQ$50000,$C924,'Adv. Filter'!$BH$1:$BH$50000,"Cash",'Adv. Filter'!$BO$1:$BO$50000,'Adv. Filter'!$A$14,'Adv. Filter'!$BO$1:$BO$50000,'Adv. Filter'!$B$14)</f>
        <v>0</v>
      </c>
      <c r="U924" s="277"/>
      <c r="V924" s="277"/>
      <c r="W924" s="277"/>
      <c r="X924" s="277"/>
      <c r="Y924" s="277"/>
      <c r="Z924" s="277"/>
      <c r="AA924" s="277"/>
      <c r="AB924" s="277"/>
      <c r="AC924" s="278"/>
      <c r="AD924" s="276">
        <f>SUMIFS('Adv. Filter'!$BJ$1:$BJ$50000,'Adv. Filter'!$BT$1:$BT$50000,"Madhu",'Adv. Filter'!$BQ$1:$BQ$50000,$C924,'Adv. Filter'!$BH$1:$BH$50000,"Bank",'Adv. Filter'!$BO$1:$BO$50000,'Adv. Filter'!$A$14,'Adv. Filter'!$BO$1:$BO$50000,'Adv. Filter'!$B$14)</f>
        <v>0</v>
      </c>
      <c r="AE924" s="277"/>
      <c r="AF924" s="277"/>
      <c r="AG924" s="277"/>
      <c r="AH924" s="277"/>
      <c r="AI924" s="277"/>
      <c r="AJ924" s="277"/>
      <c r="AK924" s="277"/>
      <c r="AL924" s="277"/>
      <c r="AM924" s="278"/>
      <c r="AN924" s="276">
        <f t="shared" si="30"/>
        <v>0</v>
      </c>
      <c r="AO924" s="277"/>
      <c r="AP924" s="277"/>
      <c r="AQ924" s="277"/>
      <c r="AR924" s="277"/>
      <c r="AS924" s="277"/>
      <c r="AT924" s="277"/>
      <c r="AU924" s="277"/>
      <c r="AV924" s="277"/>
      <c r="AW924" s="278"/>
      <c r="AX924" s="45"/>
      <c r="AY924" s="293" t="s">
        <v>70</v>
      </c>
      <c r="AZ924" s="294"/>
      <c r="BA924" s="294"/>
      <c r="BB924" s="294"/>
      <c r="BC924" s="294"/>
      <c r="BD924" s="294"/>
      <c r="BE924" s="294"/>
      <c r="BF924" s="294"/>
      <c r="BG924" s="294"/>
      <c r="BH924" s="294"/>
      <c r="BI924" s="294"/>
      <c r="BJ924" s="294"/>
      <c r="BK924" s="294"/>
      <c r="BL924" s="294"/>
      <c r="BM924" s="294"/>
      <c r="BN924" s="294"/>
      <c r="BO924" s="295"/>
      <c r="BP924" s="276">
        <f>SUMIFS('Adv. Filter'!$BJ$1:$BJ$50000,'Adv. Filter'!$BT$1:$BT$50000,"Madhu",'Adv. Filter'!$BQ$1:$BQ$50000,$AY924,'Adv. Filter'!$BH$1:$BH$50000,"Cash",'Adv. Filter'!$BO$1:$BO$50000,"&lt;"&amp;'Adv. Filter'!$A$15)</f>
        <v>0</v>
      </c>
      <c r="BQ924" s="277"/>
      <c r="BR924" s="277"/>
      <c r="BS924" s="277"/>
      <c r="BT924" s="277"/>
      <c r="BU924" s="277"/>
      <c r="BV924" s="277"/>
      <c r="BW924" s="277"/>
      <c r="BX924" s="277"/>
      <c r="BY924" s="278"/>
      <c r="BZ924" s="276">
        <f>SUMIFS('Adv. Filter'!$BJ$1:$BJ$50000,'Adv. Filter'!$BT$1:$BT$50000,"Madhu",'Adv. Filter'!$BQ$1:$BQ$50000,$AY924,'Adv. Filter'!$BH$1:$BH$50000,"Bank",'Adv. Filter'!$BO$1:$BO$50000,"&lt;"&amp;'Adv. Filter'!$A$15)</f>
        <v>0</v>
      </c>
      <c r="CA924" s="277"/>
      <c r="CB924" s="277"/>
      <c r="CC924" s="277"/>
      <c r="CD924" s="277"/>
      <c r="CE924" s="277"/>
      <c r="CF924" s="277"/>
      <c r="CG924" s="277"/>
      <c r="CH924" s="277"/>
      <c r="CI924" s="278"/>
      <c r="CJ924" s="276">
        <f t="shared" si="31"/>
        <v>0</v>
      </c>
      <c r="CK924" s="277"/>
      <c r="CL924" s="277"/>
      <c r="CM924" s="277"/>
      <c r="CN924" s="277"/>
      <c r="CO924" s="277"/>
      <c r="CP924" s="277"/>
      <c r="CQ924" s="277"/>
      <c r="CR924" s="277"/>
      <c r="CS924" s="278"/>
      <c r="CT924" s="44"/>
      <c r="CU924" s="44"/>
      <c r="CV924" s="44"/>
      <c r="CW924" s="44"/>
      <c r="CX924" s="44"/>
      <c r="CY924" s="44"/>
      <c r="CZ924" s="44"/>
    </row>
    <row r="925" spans="1:104" hidden="1">
      <c r="C925" s="308" t="s">
        <v>115</v>
      </c>
      <c r="D925" s="309"/>
      <c r="E925" s="309"/>
      <c r="F925" s="309"/>
      <c r="G925" s="309"/>
      <c r="H925" s="309"/>
      <c r="I925" s="309"/>
      <c r="J925" s="309"/>
      <c r="K925" s="309"/>
      <c r="L925" s="309"/>
      <c r="M925" s="309"/>
      <c r="N925" s="309"/>
      <c r="O925" s="309"/>
      <c r="P925" s="309"/>
      <c r="Q925" s="309"/>
      <c r="R925" s="309"/>
      <c r="S925" s="310"/>
      <c r="T925" s="267">
        <f>SUMIFS('Adv. Filter'!$BJ$1:$BJ$50000,'Adv. Filter'!$BT$1:$BT$50000,"Madhu",'Adv. Filter'!$BQ$1:$BQ$50000,$C924,'Adv. Filter'!$BH$1:$BH$50000,"Cash",'Adv. Filter'!$BO$1:$BO$50000,'Adv. Filter'!$A$14,'Adv. Filter'!$BO$1:$BO$50000,'Adv. Filter'!$B$14,'Adv. Filter'!$BP$1:$BP$50000,"Project")</f>
        <v>0</v>
      </c>
      <c r="U925" s="268"/>
      <c r="V925" s="268"/>
      <c r="W925" s="268"/>
      <c r="X925" s="268"/>
      <c r="Y925" s="268"/>
      <c r="Z925" s="268"/>
      <c r="AA925" s="268"/>
      <c r="AB925" s="268"/>
      <c r="AC925" s="269"/>
      <c r="AD925" s="267">
        <f>SUMIFS('Adv. Filter'!$BJ$1:$BJ$50000,'Adv. Filter'!$BT$1:$BT$50000,"Madhu",'Adv. Filter'!$BQ$1:$BQ$50000,$C924,'Adv. Filter'!$BH$1:$BH$50000,"Bank",'Adv. Filter'!$BO$1:$BO$50000,'Adv. Filter'!$A$14,'Adv. Filter'!$BO$1:$BO$50000,'Adv. Filter'!$B$14,'Adv. Filter'!$BP$1:$BP$50000,"Project")</f>
        <v>0</v>
      </c>
      <c r="AE925" s="268"/>
      <c r="AF925" s="268"/>
      <c r="AG925" s="268"/>
      <c r="AH925" s="268"/>
      <c r="AI925" s="268"/>
      <c r="AJ925" s="268"/>
      <c r="AK925" s="268"/>
      <c r="AL925" s="268"/>
      <c r="AM925" s="269"/>
      <c r="AN925" s="267">
        <f t="shared" si="30"/>
        <v>0</v>
      </c>
      <c r="AO925" s="268"/>
      <c r="AP925" s="268"/>
      <c r="AQ925" s="268"/>
      <c r="AR925" s="268"/>
      <c r="AS925" s="268"/>
      <c r="AT925" s="268"/>
      <c r="AU925" s="268"/>
      <c r="AV925" s="268"/>
      <c r="AW925" s="269"/>
      <c r="AX925" s="22"/>
      <c r="AY925" s="308" t="s">
        <v>115</v>
      </c>
      <c r="AZ925" s="309"/>
      <c r="BA925" s="309"/>
      <c r="BB925" s="309"/>
      <c r="BC925" s="309"/>
      <c r="BD925" s="309"/>
      <c r="BE925" s="309"/>
      <c r="BF925" s="309"/>
      <c r="BG925" s="309"/>
      <c r="BH925" s="309"/>
      <c r="BI925" s="309"/>
      <c r="BJ925" s="309"/>
      <c r="BK925" s="309"/>
      <c r="BL925" s="309"/>
      <c r="BM925" s="309"/>
      <c r="BN925" s="309"/>
      <c r="BO925" s="310"/>
      <c r="BP925" s="267">
        <f>SUMIFS('Adv. Filter'!$BJ$1:$BJ$50000,'Adv. Filter'!$BT$1:$BT$50000,"Madhu",'Adv. Filter'!$BQ$1:$BQ$50000,$AY924,'Adv. Filter'!$BH$1:$BH$50000,"Cash",'Adv. Filter'!$BO$1:$BO$50000,"&lt;"&amp;'Adv. Filter'!$A$15,'Adv. Filter'!$BP$1:$BP$50000,"Project")</f>
        <v>0</v>
      </c>
      <c r="BQ925" s="268"/>
      <c r="BR925" s="268"/>
      <c r="BS925" s="268"/>
      <c r="BT925" s="268"/>
      <c r="BU925" s="268"/>
      <c r="BV925" s="268"/>
      <c r="BW925" s="268"/>
      <c r="BX925" s="268"/>
      <c r="BY925" s="269"/>
      <c r="BZ925" s="267">
        <f>SUMIFS('Adv. Filter'!$BJ$1:$BJ$50000,'Adv. Filter'!$BT$1:$BT$50000,"Madhu",'Adv. Filter'!$BQ$1:$BQ$50000,$AY924,'Adv. Filter'!$BH$1:$BH$50000,"Bank",'Adv. Filter'!$BO$1:$BO$50000,"&lt;"&amp;'Adv. Filter'!$A$15,'Adv. Filter'!$BP$1:$BP$50000,"Project")</f>
        <v>0</v>
      </c>
      <c r="CA925" s="268"/>
      <c r="CB925" s="268"/>
      <c r="CC925" s="268"/>
      <c r="CD925" s="268"/>
      <c r="CE925" s="268"/>
      <c r="CF925" s="268"/>
      <c r="CG925" s="268"/>
      <c r="CH925" s="268"/>
      <c r="CI925" s="269"/>
      <c r="CJ925" s="267">
        <f t="shared" si="31"/>
        <v>0</v>
      </c>
      <c r="CK925" s="268"/>
      <c r="CL925" s="268"/>
      <c r="CM925" s="268"/>
      <c r="CN925" s="268"/>
      <c r="CO925" s="268"/>
      <c r="CP925" s="268"/>
      <c r="CQ925" s="268"/>
      <c r="CR925" s="268"/>
      <c r="CS925" s="269"/>
    </row>
    <row r="926" spans="1:104" hidden="1">
      <c r="C926" s="308" t="s">
        <v>510</v>
      </c>
      <c r="D926" s="309"/>
      <c r="E926" s="309"/>
      <c r="F926" s="309"/>
      <c r="G926" s="309"/>
      <c r="H926" s="309"/>
      <c r="I926" s="309"/>
      <c r="J926" s="309"/>
      <c r="K926" s="309"/>
      <c r="L926" s="309"/>
      <c r="M926" s="309"/>
      <c r="N926" s="309"/>
      <c r="O926" s="309"/>
      <c r="P926" s="309"/>
      <c r="Q926" s="309"/>
      <c r="R926" s="309"/>
      <c r="S926" s="310"/>
      <c r="T926" s="267">
        <v>0</v>
      </c>
      <c r="U926" s="268"/>
      <c r="V926" s="268"/>
      <c r="W926" s="268"/>
      <c r="X926" s="268"/>
      <c r="Y926" s="268"/>
      <c r="Z926" s="268"/>
      <c r="AA926" s="268"/>
      <c r="AB926" s="268"/>
      <c r="AC926" s="269"/>
      <c r="AD926" s="267">
        <v>0</v>
      </c>
      <c r="AE926" s="268"/>
      <c r="AF926" s="268"/>
      <c r="AG926" s="268"/>
      <c r="AH926" s="268"/>
      <c r="AI926" s="268"/>
      <c r="AJ926" s="268"/>
      <c r="AK926" s="268"/>
      <c r="AL926" s="268"/>
      <c r="AM926" s="269"/>
      <c r="AN926" s="267">
        <f t="shared" si="30"/>
        <v>0</v>
      </c>
      <c r="AO926" s="268"/>
      <c r="AP926" s="268"/>
      <c r="AQ926" s="268"/>
      <c r="AR926" s="268"/>
      <c r="AS926" s="268"/>
      <c r="AT926" s="268"/>
      <c r="AU926" s="268"/>
      <c r="AV926" s="268"/>
      <c r="AW926" s="269"/>
      <c r="AX926" s="22"/>
      <c r="AY926" s="308" t="s">
        <v>510</v>
      </c>
      <c r="AZ926" s="309"/>
      <c r="BA926" s="309"/>
      <c r="BB926" s="309"/>
      <c r="BC926" s="309"/>
      <c r="BD926" s="309"/>
      <c r="BE926" s="309"/>
      <c r="BF926" s="309"/>
      <c r="BG926" s="309"/>
      <c r="BH926" s="309"/>
      <c r="BI926" s="309"/>
      <c r="BJ926" s="309"/>
      <c r="BK926" s="309"/>
      <c r="BL926" s="309"/>
      <c r="BM926" s="309"/>
      <c r="BN926" s="309"/>
      <c r="BO926" s="310"/>
      <c r="BP926" s="267"/>
      <c r="BQ926" s="268"/>
      <c r="BR926" s="268"/>
      <c r="BS926" s="268"/>
      <c r="BT926" s="268"/>
      <c r="BU926" s="268"/>
      <c r="BV926" s="268"/>
      <c r="BW926" s="268"/>
      <c r="BX926" s="268"/>
      <c r="BY926" s="269"/>
      <c r="BZ926" s="267"/>
      <c r="CA926" s="268"/>
      <c r="CB926" s="268"/>
      <c r="CC926" s="268"/>
      <c r="CD926" s="268"/>
      <c r="CE926" s="268"/>
      <c r="CF926" s="268"/>
      <c r="CG926" s="268"/>
      <c r="CH926" s="268"/>
      <c r="CI926" s="269"/>
      <c r="CJ926" s="267">
        <f t="shared" si="31"/>
        <v>0</v>
      </c>
      <c r="CK926" s="268"/>
      <c r="CL926" s="268"/>
      <c r="CM926" s="268"/>
      <c r="CN926" s="268"/>
      <c r="CO926" s="268"/>
      <c r="CP926" s="268"/>
      <c r="CQ926" s="268"/>
      <c r="CR926" s="268"/>
      <c r="CS926" s="269"/>
    </row>
    <row r="927" spans="1:104" hidden="1">
      <c r="C927" s="43"/>
      <c r="D927" s="36" t="str">
        <f>IF(AN924=0,C924&amp;" -","")</f>
        <v>Cosmos -</v>
      </c>
      <c r="E927" s="42"/>
      <c r="F927" s="42"/>
      <c r="G927" s="42"/>
      <c r="H927" s="42"/>
      <c r="I927" s="42"/>
      <c r="J927" s="42"/>
      <c r="K927" s="42"/>
      <c r="L927" s="42"/>
      <c r="M927" s="42"/>
      <c r="N927" s="42"/>
      <c r="O927" s="42"/>
      <c r="P927" s="1"/>
      <c r="Q927" s="42"/>
      <c r="R927" s="41" t="s">
        <v>275</v>
      </c>
      <c r="S927" s="40"/>
      <c r="T927" s="267">
        <f>SUMIFS('Adv. Filter'!$CH$1:$CH$50000,'Adv. Filter'!$CD$1:$CD$50000,"Madhu",'Adv. Filter'!$CE$1:$CE$50000,$C924,'Adv. Filter'!$CC$1:$CC$50000,"Suspense",'Adv. Filter'!$CF$1:$CF$50000,"Cash")</f>
        <v>0</v>
      </c>
      <c r="U927" s="268"/>
      <c r="V927" s="268"/>
      <c r="W927" s="268"/>
      <c r="X927" s="268"/>
      <c r="Y927" s="268"/>
      <c r="Z927" s="268"/>
      <c r="AA927" s="268"/>
      <c r="AB927" s="268"/>
      <c r="AC927" s="269"/>
      <c r="AD927" s="267">
        <f>SUMIFS('Adv. Filter'!$CH$1:$CH$50000,'Adv. Filter'!$CD$1:$CD$50000,"Madhu",'Adv. Filter'!$CE$1:$CE$50000,$C924,'Adv. Filter'!$CC$1:$CC$50000,"Suspense",'Adv. Filter'!$CF$1:$CF$50000,"Bank")</f>
        <v>0</v>
      </c>
      <c r="AE927" s="268"/>
      <c r="AF927" s="268"/>
      <c r="AG927" s="268"/>
      <c r="AH927" s="268"/>
      <c r="AI927" s="268"/>
      <c r="AJ927" s="268"/>
      <c r="AK927" s="268"/>
      <c r="AL927" s="268"/>
      <c r="AM927" s="269"/>
      <c r="AN927" s="267">
        <f t="shared" si="30"/>
        <v>0</v>
      </c>
      <c r="AO927" s="268"/>
      <c r="AP927" s="268"/>
      <c r="AQ927" s="268"/>
      <c r="AR927" s="268"/>
      <c r="AS927" s="268"/>
      <c r="AT927" s="268"/>
      <c r="AU927" s="268"/>
      <c r="AV927" s="268"/>
      <c r="AW927" s="269"/>
      <c r="AX927" s="22"/>
      <c r="AY927" s="43"/>
      <c r="AZ927" s="36" t="str">
        <f>IF(CJ924=0,AY924&amp;" -","")</f>
        <v>Cosmos -</v>
      </c>
      <c r="BA927" s="42"/>
      <c r="BB927" s="42"/>
      <c r="BC927" s="42"/>
      <c r="BD927" s="42"/>
      <c r="BE927" s="42"/>
      <c r="BF927" s="42"/>
      <c r="BG927" s="42"/>
      <c r="BH927" s="42"/>
      <c r="BI927" s="42"/>
      <c r="BJ927" s="42"/>
      <c r="BK927" s="42"/>
      <c r="BL927" s="1"/>
      <c r="BM927" s="42"/>
      <c r="BN927" s="41" t="s">
        <v>275</v>
      </c>
      <c r="BO927" s="40"/>
      <c r="BP927" s="267"/>
      <c r="BQ927" s="268"/>
      <c r="BR927" s="268"/>
      <c r="BS927" s="268"/>
      <c r="BT927" s="268"/>
      <c r="BU927" s="268"/>
      <c r="BV927" s="268"/>
      <c r="BW927" s="268"/>
      <c r="BX927" s="268"/>
      <c r="BY927" s="269"/>
      <c r="BZ927" s="267"/>
      <c r="CA927" s="268"/>
      <c r="CB927" s="268"/>
      <c r="CC927" s="268"/>
      <c r="CD927" s="268"/>
      <c r="CE927" s="268"/>
      <c r="CF927" s="268"/>
      <c r="CG927" s="268"/>
      <c r="CH927" s="268"/>
      <c r="CI927" s="269"/>
      <c r="CJ927" s="267">
        <f t="shared" si="31"/>
        <v>0</v>
      </c>
      <c r="CK927" s="268"/>
      <c r="CL927" s="268"/>
      <c r="CM927" s="268"/>
      <c r="CN927" s="268"/>
      <c r="CO927" s="268"/>
      <c r="CP927" s="268"/>
      <c r="CQ927" s="268"/>
      <c r="CR927" s="268"/>
      <c r="CS927" s="269"/>
    </row>
    <row r="928" spans="1:104" hidden="1">
      <c r="A928" s="44"/>
      <c r="B928" s="44"/>
      <c r="C928" s="293" t="s">
        <v>77</v>
      </c>
      <c r="D928" s="294"/>
      <c r="E928" s="294"/>
      <c r="F928" s="294"/>
      <c r="G928" s="294"/>
      <c r="H928" s="294"/>
      <c r="I928" s="294"/>
      <c r="J928" s="294"/>
      <c r="K928" s="294"/>
      <c r="L928" s="294"/>
      <c r="M928" s="294"/>
      <c r="N928" s="294"/>
      <c r="O928" s="294"/>
      <c r="P928" s="294"/>
      <c r="Q928" s="294"/>
      <c r="R928" s="294"/>
      <c r="S928" s="295"/>
      <c r="T928" s="276">
        <f>SUMIFS('Adv. Filter'!$BJ$1:$BJ$50000,'Adv. Filter'!$BT$1:$BT$50000,"Madhu",'Adv. Filter'!$BQ$1:$BQ$50000,$C928,'Adv. Filter'!$BH$1:$BH$50000,"Cash",'Adv. Filter'!$BO$1:$BO$50000,'Adv. Filter'!$A$14,'Adv. Filter'!$BO$1:$BO$50000,'Adv. Filter'!$B$14)</f>
        <v>0</v>
      </c>
      <c r="U928" s="277"/>
      <c r="V928" s="277"/>
      <c r="W928" s="277"/>
      <c r="X928" s="277"/>
      <c r="Y928" s="277"/>
      <c r="Z928" s="277"/>
      <c r="AA928" s="277"/>
      <c r="AB928" s="277"/>
      <c r="AC928" s="278"/>
      <c r="AD928" s="276">
        <f>SUMIFS('Adv. Filter'!$BJ$1:$BJ$50000,'Adv. Filter'!$BT$1:$BT$50000,"Madhu",'Adv. Filter'!$BQ$1:$BQ$50000,$C928,'Adv. Filter'!$BH$1:$BH$50000,"Bank",'Adv. Filter'!$BO$1:$BO$50000,'Adv. Filter'!$A$14,'Adv. Filter'!$BO$1:$BO$50000,'Adv. Filter'!$B$14)</f>
        <v>0</v>
      </c>
      <c r="AE928" s="277"/>
      <c r="AF928" s="277"/>
      <c r="AG928" s="277"/>
      <c r="AH928" s="277"/>
      <c r="AI928" s="277"/>
      <c r="AJ928" s="277"/>
      <c r="AK928" s="277"/>
      <c r="AL928" s="277"/>
      <c r="AM928" s="278"/>
      <c r="AN928" s="276">
        <f t="shared" si="30"/>
        <v>0</v>
      </c>
      <c r="AO928" s="277"/>
      <c r="AP928" s="277"/>
      <c r="AQ928" s="277"/>
      <c r="AR928" s="277"/>
      <c r="AS928" s="277"/>
      <c r="AT928" s="277"/>
      <c r="AU928" s="277"/>
      <c r="AV928" s="277"/>
      <c r="AW928" s="278"/>
      <c r="AX928" s="45"/>
      <c r="AY928" s="293" t="s">
        <v>77</v>
      </c>
      <c r="AZ928" s="294"/>
      <c r="BA928" s="294"/>
      <c r="BB928" s="294"/>
      <c r="BC928" s="294"/>
      <c r="BD928" s="294"/>
      <c r="BE928" s="294"/>
      <c r="BF928" s="294"/>
      <c r="BG928" s="294"/>
      <c r="BH928" s="294"/>
      <c r="BI928" s="294"/>
      <c r="BJ928" s="294"/>
      <c r="BK928" s="294"/>
      <c r="BL928" s="294"/>
      <c r="BM928" s="294"/>
      <c r="BN928" s="294"/>
      <c r="BO928" s="295"/>
      <c r="BP928" s="276">
        <f>SUMIFS('Adv. Filter'!$BJ$1:$BJ$50000,'Adv. Filter'!$BT$1:$BT$50000,"Madhu",'Adv. Filter'!$BQ$1:$BQ$50000,$AY928,'Adv. Filter'!$BH$1:$BH$50000,"Cash",'Adv. Filter'!$BO$1:$BO$50000,"&lt;"&amp;'Adv. Filter'!$A$15)</f>
        <v>0</v>
      </c>
      <c r="BQ928" s="277"/>
      <c r="BR928" s="277"/>
      <c r="BS928" s="277"/>
      <c r="BT928" s="277"/>
      <c r="BU928" s="277"/>
      <c r="BV928" s="277"/>
      <c r="BW928" s="277"/>
      <c r="BX928" s="277"/>
      <c r="BY928" s="278"/>
      <c r="BZ928" s="276">
        <f>SUMIFS('Adv. Filter'!$BJ$1:$BJ$50000,'Adv. Filter'!$BT$1:$BT$50000,"Madhu",'Adv. Filter'!$BQ$1:$BQ$50000,$AY928,'Adv. Filter'!$BH$1:$BH$50000,"Bank",'Adv. Filter'!$BO$1:$BO$50000,"&lt;"&amp;'Adv. Filter'!$A$15)</f>
        <v>0</v>
      </c>
      <c r="CA928" s="277"/>
      <c r="CB928" s="277"/>
      <c r="CC928" s="277"/>
      <c r="CD928" s="277"/>
      <c r="CE928" s="277"/>
      <c r="CF928" s="277"/>
      <c r="CG928" s="277"/>
      <c r="CH928" s="277"/>
      <c r="CI928" s="278"/>
      <c r="CJ928" s="276">
        <f t="shared" si="31"/>
        <v>0</v>
      </c>
      <c r="CK928" s="277"/>
      <c r="CL928" s="277"/>
      <c r="CM928" s="277"/>
      <c r="CN928" s="277"/>
      <c r="CO928" s="277"/>
      <c r="CP928" s="277"/>
      <c r="CQ928" s="277"/>
      <c r="CR928" s="277"/>
      <c r="CS928" s="278"/>
      <c r="CT928" s="44"/>
      <c r="CU928" s="44"/>
      <c r="CV928" s="44"/>
      <c r="CW928" s="44"/>
      <c r="CX928" s="44"/>
      <c r="CY928" s="44"/>
      <c r="CZ928" s="44"/>
    </row>
    <row r="929" spans="1:104" hidden="1">
      <c r="C929" s="308" t="s">
        <v>115</v>
      </c>
      <c r="D929" s="309"/>
      <c r="E929" s="309"/>
      <c r="F929" s="309"/>
      <c r="G929" s="309"/>
      <c r="H929" s="309"/>
      <c r="I929" s="309"/>
      <c r="J929" s="309"/>
      <c r="K929" s="309"/>
      <c r="L929" s="309"/>
      <c r="M929" s="309"/>
      <c r="N929" s="309"/>
      <c r="O929" s="309"/>
      <c r="P929" s="309"/>
      <c r="Q929" s="309"/>
      <c r="R929" s="309"/>
      <c r="S929" s="310"/>
      <c r="T929" s="267">
        <f>SUMIFS('Adv. Filter'!$BJ$1:$BJ$50000,'Adv. Filter'!$BT$1:$BT$50000,"Madhu",'Adv. Filter'!$BQ$1:$BQ$50000,$C928,'Adv. Filter'!$BH$1:$BH$50000,"Cash",'Adv. Filter'!$BO$1:$BO$50000,'Adv. Filter'!$A$14,'Adv. Filter'!$BO$1:$BO$50000,'Adv. Filter'!$B$14,'Adv. Filter'!$BP$1:$BP$50000,"Project")</f>
        <v>0</v>
      </c>
      <c r="U929" s="268"/>
      <c r="V929" s="268"/>
      <c r="W929" s="268"/>
      <c r="X929" s="268"/>
      <c r="Y929" s="268"/>
      <c r="Z929" s="268"/>
      <c r="AA929" s="268"/>
      <c r="AB929" s="268"/>
      <c r="AC929" s="269"/>
      <c r="AD929" s="267">
        <f>SUMIFS('Adv. Filter'!$BJ$1:$BJ$50000,'Adv. Filter'!$BT$1:$BT$50000,"Madhu",'Adv. Filter'!$BQ$1:$BQ$50000,$C928,'Adv. Filter'!$BH$1:$BH$50000,"Bank",'Adv. Filter'!$BO$1:$BO$50000,'Adv. Filter'!$A$14,'Adv. Filter'!$BO$1:$BO$50000,'Adv. Filter'!$B$14,'Adv. Filter'!$BP$1:$BP$50000,"Project")</f>
        <v>0</v>
      </c>
      <c r="AE929" s="268"/>
      <c r="AF929" s="268"/>
      <c r="AG929" s="268"/>
      <c r="AH929" s="268"/>
      <c r="AI929" s="268"/>
      <c r="AJ929" s="268"/>
      <c r="AK929" s="268"/>
      <c r="AL929" s="268"/>
      <c r="AM929" s="269"/>
      <c r="AN929" s="267">
        <f t="shared" si="30"/>
        <v>0</v>
      </c>
      <c r="AO929" s="268"/>
      <c r="AP929" s="268"/>
      <c r="AQ929" s="268"/>
      <c r="AR929" s="268"/>
      <c r="AS929" s="268"/>
      <c r="AT929" s="268"/>
      <c r="AU929" s="268"/>
      <c r="AV929" s="268"/>
      <c r="AW929" s="269"/>
      <c r="AX929" s="22"/>
      <c r="AY929" s="308" t="s">
        <v>115</v>
      </c>
      <c r="AZ929" s="309"/>
      <c r="BA929" s="309"/>
      <c r="BB929" s="309"/>
      <c r="BC929" s="309"/>
      <c r="BD929" s="309"/>
      <c r="BE929" s="309"/>
      <c r="BF929" s="309"/>
      <c r="BG929" s="309"/>
      <c r="BH929" s="309"/>
      <c r="BI929" s="309"/>
      <c r="BJ929" s="309"/>
      <c r="BK929" s="309"/>
      <c r="BL929" s="309"/>
      <c r="BM929" s="309"/>
      <c r="BN929" s="309"/>
      <c r="BO929" s="310"/>
      <c r="BP929" s="267">
        <f>SUMIFS('Adv. Filter'!$BJ$1:$BJ$50000,'Adv. Filter'!$BT$1:$BT$50000,"Madhu",'Adv. Filter'!$BQ$1:$BQ$50000,$AY928,'Adv. Filter'!$BH$1:$BH$50000,"Cash",'Adv. Filter'!$BO$1:$BO$50000,"&lt;"&amp;'Adv. Filter'!$A$15,'Adv. Filter'!$BP$1:$BP$50000,"Project")</f>
        <v>0</v>
      </c>
      <c r="BQ929" s="268"/>
      <c r="BR929" s="268"/>
      <c r="BS929" s="268"/>
      <c r="BT929" s="268"/>
      <c r="BU929" s="268"/>
      <c r="BV929" s="268"/>
      <c r="BW929" s="268"/>
      <c r="BX929" s="268"/>
      <c r="BY929" s="269"/>
      <c r="BZ929" s="267">
        <f>SUMIFS('Adv. Filter'!$BJ$1:$BJ$50000,'Adv. Filter'!$BT$1:$BT$50000,"Madhu",'Adv. Filter'!$BQ$1:$BQ$50000,$AY928,'Adv. Filter'!$BH$1:$BH$50000,"Bank",'Adv. Filter'!$BO$1:$BO$50000,"&lt;"&amp;'Adv. Filter'!$A$15,'Adv. Filter'!$BP$1:$BP$50000,"Project")</f>
        <v>0</v>
      </c>
      <c r="CA929" s="268"/>
      <c r="CB929" s="268"/>
      <c r="CC929" s="268"/>
      <c r="CD929" s="268"/>
      <c r="CE929" s="268"/>
      <c r="CF929" s="268"/>
      <c r="CG929" s="268"/>
      <c r="CH929" s="268"/>
      <c r="CI929" s="269"/>
      <c r="CJ929" s="267">
        <f t="shared" si="31"/>
        <v>0</v>
      </c>
      <c r="CK929" s="268"/>
      <c r="CL929" s="268"/>
      <c r="CM929" s="268"/>
      <c r="CN929" s="268"/>
      <c r="CO929" s="268"/>
      <c r="CP929" s="268"/>
      <c r="CQ929" s="268"/>
      <c r="CR929" s="268"/>
      <c r="CS929" s="269"/>
    </row>
    <row r="930" spans="1:104" hidden="1">
      <c r="C930" s="308" t="s">
        <v>510</v>
      </c>
      <c r="D930" s="309"/>
      <c r="E930" s="309"/>
      <c r="F930" s="309"/>
      <c r="G930" s="309"/>
      <c r="H930" s="309"/>
      <c r="I930" s="309"/>
      <c r="J930" s="309"/>
      <c r="K930" s="309"/>
      <c r="L930" s="309"/>
      <c r="M930" s="309"/>
      <c r="N930" s="309"/>
      <c r="O930" s="309"/>
      <c r="P930" s="309"/>
      <c r="Q930" s="309"/>
      <c r="R930" s="309"/>
      <c r="S930" s="310"/>
      <c r="T930" s="267">
        <v>0</v>
      </c>
      <c r="U930" s="268"/>
      <c r="V930" s="268"/>
      <c r="W930" s="268"/>
      <c r="X930" s="268"/>
      <c r="Y930" s="268"/>
      <c r="Z930" s="268"/>
      <c r="AA930" s="268"/>
      <c r="AB930" s="268"/>
      <c r="AC930" s="269"/>
      <c r="AD930" s="267">
        <v>0</v>
      </c>
      <c r="AE930" s="268"/>
      <c r="AF930" s="268"/>
      <c r="AG930" s="268"/>
      <c r="AH930" s="268"/>
      <c r="AI930" s="268"/>
      <c r="AJ930" s="268"/>
      <c r="AK930" s="268"/>
      <c r="AL930" s="268"/>
      <c r="AM930" s="269"/>
      <c r="AN930" s="267">
        <f t="shared" si="30"/>
        <v>0</v>
      </c>
      <c r="AO930" s="268"/>
      <c r="AP930" s="268"/>
      <c r="AQ930" s="268"/>
      <c r="AR930" s="268"/>
      <c r="AS930" s="268"/>
      <c r="AT930" s="268"/>
      <c r="AU930" s="268"/>
      <c r="AV930" s="268"/>
      <c r="AW930" s="269"/>
      <c r="AX930" s="22"/>
      <c r="AY930" s="308" t="s">
        <v>510</v>
      </c>
      <c r="AZ930" s="309"/>
      <c r="BA930" s="309"/>
      <c r="BB930" s="309"/>
      <c r="BC930" s="309"/>
      <c r="BD930" s="309"/>
      <c r="BE930" s="309"/>
      <c r="BF930" s="309"/>
      <c r="BG930" s="309"/>
      <c r="BH930" s="309"/>
      <c r="BI930" s="309"/>
      <c r="BJ930" s="309"/>
      <c r="BK930" s="309"/>
      <c r="BL930" s="309"/>
      <c r="BM930" s="309"/>
      <c r="BN930" s="309"/>
      <c r="BO930" s="310"/>
      <c r="BP930" s="267"/>
      <c r="BQ930" s="268"/>
      <c r="BR930" s="268"/>
      <c r="BS930" s="268"/>
      <c r="BT930" s="268"/>
      <c r="BU930" s="268"/>
      <c r="BV930" s="268"/>
      <c r="BW930" s="268"/>
      <c r="BX930" s="268"/>
      <c r="BY930" s="269"/>
      <c r="BZ930" s="267"/>
      <c r="CA930" s="268"/>
      <c r="CB930" s="268"/>
      <c r="CC930" s="268"/>
      <c r="CD930" s="268"/>
      <c r="CE930" s="268"/>
      <c r="CF930" s="268"/>
      <c r="CG930" s="268"/>
      <c r="CH930" s="268"/>
      <c r="CI930" s="269"/>
      <c r="CJ930" s="267">
        <f t="shared" si="31"/>
        <v>0</v>
      </c>
      <c r="CK930" s="268"/>
      <c r="CL930" s="268"/>
      <c r="CM930" s="268"/>
      <c r="CN930" s="268"/>
      <c r="CO930" s="268"/>
      <c r="CP930" s="268"/>
      <c r="CQ930" s="268"/>
      <c r="CR930" s="268"/>
      <c r="CS930" s="269"/>
    </row>
    <row r="931" spans="1:104" hidden="1">
      <c r="C931" s="43"/>
      <c r="D931" s="36" t="str">
        <f>IF(AN928=0,C928&amp;" -","")</f>
        <v>Indian -</v>
      </c>
      <c r="E931" s="42"/>
      <c r="F931" s="42"/>
      <c r="G931" s="42"/>
      <c r="H931" s="42"/>
      <c r="I931" s="42"/>
      <c r="J931" s="42"/>
      <c r="K931" s="42"/>
      <c r="L931" s="42"/>
      <c r="M931" s="42"/>
      <c r="N931" s="42"/>
      <c r="O931" s="42"/>
      <c r="P931" s="1"/>
      <c r="Q931" s="42"/>
      <c r="R931" s="41" t="s">
        <v>275</v>
      </c>
      <c r="S931" s="40"/>
      <c r="T931" s="267">
        <f>SUMIFS('Adv. Filter'!$CH$1:$CH$50000,'Adv. Filter'!$CD$1:$CD$50000,"Madhu",'Adv. Filter'!$CE$1:$CE$50000,$C928,'Adv. Filter'!$CC$1:$CC$50000,"Suspense",'Adv. Filter'!$CF$1:$CF$50000,"Cash")</f>
        <v>0</v>
      </c>
      <c r="U931" s="268"/>
      <c r="V931" s="268"/>
      <c r="W931" s="268"/>
      <c r="X931" s="268"/>
      <c r="Y931" s="268"/>
      <c r="Z931" s="268"/>
      <c r="AA931" s="268"/>
      <c r="AB931" s="268"/>
      <c r="AC931" s="269"/>
      <c r="AD931" s="267">
        <f>SUMIFS('Adv. Filter'!$CH$1:$CH$50000,'Adv. Filter'!$CD$1:$CD$50000,"Madhu",'Adv. Filter'!$CE$1:$CE$50000,$C928,'Adv. Filter'!$CC$1:$CC$50000,"Suspense",'Adv. Filter'!$CF$1:$CF$50000,"Bank")</f>
        <v>0</v>
      </c>
      <c r="AE931" s="268"/>
      <c r="AF931" s="268"/>
      <c r="AG931" s="268"/>
      <c r="AH931" s="268"/>
      <c r="AI931" s="268"/>
      <c r="AJ931" s="268"/>
      <c r="AK931" s="268"/>
      <c r="AL931" s="268"/>
      <c r="AM931" s="269"/>
      <c r="AN931" s="267">
        <f t="shared" si="30"/>
        <v>0</v>
      </c>
      <c r="AO931" s="268"/>
      <c r="AP931" s="268"/>
      <c r="AQ931" s="268"/>
      <c r="AR931" s="268"/>
      <c r="AS931" s="268"/>
      <c r="AT931" s="268"/>
      <c r="AU931" s="268"/>
      <c r="AV931" s="268"/>
      <c r="AW931" s="269"/>
      <c r="AX931" s="22"/>
      <c r="AY931" s="43"/>
      <c r="AZ931" s="36" t="str">
        <f>IF(CJ928=0,AY928&amp;" -","")</f>
        <v>Indian -</v>
      </c>
      <c r="BA931" s="42"/>
      <c r="BB931" s="42"/>
      <c r="BC931" s="42"/>
      <c r="BD931" s="42"/>
      <c r="BE931" s="42"/>
      <c r="BF931" s="42"/>
      <c r="BG931" s="42"/>
      <c r="BH931" s="42"/>
      <c r="BI931" s="42"/>
      <c r="BJ931" s="42"/>
      <c r="BK931" s="42"/>
      <c r="BL931" s="1"/>
      <c r="BM931" s="42"/>
      <c r="BN931" s="41" t="s">
        <v>275</v>
      </c>
      <c r="BO931" s="40"/>
      <c r="BP931" s="267"/>
      <c r="BQ931" s="268"/>
      <c r="BR931" s="268"/>
      <c r="BS931" s="268"/>
      <c r="BT931" s="268"/>
      <c r="BU931" s="268"/>
      <c r="BV931" s="268"/>
      <c r="BW931" s="268"/>
      <c r="BX931" s="268"/>
      <c r="BY931" s="269"/>
      <c r="BZ931" s="267"/>
      <c r="CA931" s="268"/>
      <c r="CB931" s="268"/>
      <c r="CC931" s="268"/>
      <c r="CD931" s="268"/>
      <c r="CE931" s="268"/>
      <c r="CF931" s="268"/>
      <c r="CG931" s="268"/>
      <c r="CH931" s="268"/>
      <c r="CI931" s="269"/>
      <c r="CJ931" s="267">
        <f t="shared" si="31"/>
        <v>0</v>
      </c>
      <c r="CK931" s="268"/>
      <c r="CL931" s="268"/>
      <c r="CM931" s="268"/>
      <c r="CN931" s="268"/>
      <c r="CO931" s="268"/>
      <c r="CP931" s="268"/>
      <c r="CQ931" s="268"/>
      <c r="CR931" s="268"/>
      <c r="CS931" s="269"/>
    </row>
    <row r="932" spans="1:104" hidden="1">
      <c r="A932" s="44"/>
      <c r="B932" s="44"/>
      <c r="C932" s="293" t="s">
        <v>138</v>
      </c>
      <c r="D932" s="294"/>
      <c r="E932" s="294"/>
      <c r="F932" s="294"/>
      <c r="G932" s="294"/>
      <c r="H932" s="294"/>
      <c r="I932" s="294"/>
      <c r="J932" s="294"/>
      <c r="K932" s="294"/>
      <c r="L932" s="294"/>
      <c r="M932" s="294"/>
      <c r="N932" s="294"/>
      <c r="O932" s="294"/>
      <c r="P932" s="294"/>
      <c r="Q932" s="294"/>
      <c r="R932" s="294"/>
      <c r="S932" s="295"/>
      <c r="T932" s="276">
        <f>SUMIFS('Adv. Filter'!$BJ$1:$BJ$50000,'Adv. Filter'!$BT$1:$BT$50000,"Madhu",'Adv. Filter'!$BQ$1:$BQ$50000,$C932,'Adv. Filter'!$BH$1:$BH$50000,"Cash",'Adv. Filter'!$BO$1:$BO$50000,'Adv. Filter'!$A$14,'Adv. Filter'!$BO$1:$BO$50000,'Adv. Filter'!$B$14)</f>
        <v>0</v>
      </c>
      <c r="U932" s="277"/>
      <c r="V932" s="277"/>
      <c r="W932" s="277"/>
      <c r="X932" s="277"/>
      <c r="Y932" s="277"/>
      <c r="Z932" s="277"/>
      <c r="AA932" s="277"/>
      <c r="AB932" s="277"/>
      <c r="AC932" s="278"/>
      <c r="AD932" s="276">
        <f>SUMIFS('Adv. Filter'!$BJ$1:$BJ$50000,'Adv. Filter'!$BT$1:$BT$50000,"Madhu",'Adv. Filter'!$BQ$1:$BQ$50000,$C932,'Adv. Filter'!$BH$1:$BH$50000,"Bank",'Adv. Filter'!$BO$1:$BO$50000,'Adv. Filter'!$A$14,'Adv. Filter'!$BO$1:$BO$50000,'Adv. Filter'!$B$14)</f>
        <v>0</v>
      </c>
      <c r="AE932" s="277"/>
      <c r="AF932" s="277"/>
      <c r="AG932" s="277"/>
      <c r="AH932" s="277"/>
      <c r="AI932" s="277"/>
      <c r="AJ932" s="277"/>
      <c r="AK932" s="277"/>
      <c r="AL932" s="277"/>
      <c r="AM932" s="278"/>
      <c r="AN932" s="276">
        <f t="shared" si="30"/>
        <v>0</v>
      </c>
      <c r="AO932" s="277"/>
      <c r="AP932" s="277"/>
      <c r="AQ932" s="277"/>
      <c r="AR932" s="277"/>
      <c r="AS932" s="277"/>
      <c r="AT932" s="277"/>
      <c r="AU932" s="277"/>
      <c r="AV932" s="277"/>
      <c r="AW932" s="278"/>
      <c r="AX932" s="45"/>
      <c r="AY932" s="293" t="s">
        <v>138</v>
      </c>
      <c r="AZ932" s="294"/>
      <c r="BA932" s="294"/>
      <c r="BB932" s="294"/>
      <c r="BC932" s="294"/>
      <c r="BD932" s="294"/>
      <c r="BE932" s="294"/>
      <c r="BF932" s="294"/>
      <c r="BG932" s="294"/>
      <c r="BH932" s="294"/>
      <c r="BI932" s="294"/>
      <c r="BJ932" s="294"/>
      <c r="BK932" s="294"/>
      <c r="BL932" s="294"/>
      <c r="BM932" s="294"/>
      <c r="BN932" s="294"/>
      <c r="BO932" s="295"/>
      <c r="BP932" s="276">
        <f>SUMIFS('Adv. Filter'!$BJ$1:$BJ$50000,'Adv. Filter'!$BT$1:$BT$50000,"Madhu",'Adv. Filter'!$BQ$1:$BQ$50000,$AY932,'Adv. Filter'!$BH$1:$BH$50000,"Cash",'Adv. Filter'!$BO$1:$BO$50000,"&lt;"&amp;'Adv. Filter'!$A$15)</f>
        <v>0</v>
      </c>
      <c r="BQ932" s="277"/>
      <c r="BR932" s="277"/>
      <c r="BS932" s="277"/>
      <c r="BT932" s="277"/>
      <c r="BU932" s="277"/>
      <c r="BV932" s="277"/>
      <c r="BW932" s="277"/>
      <c r="BX932" s="277"/>
      <c r="BY932" s="278"/>
      <c r="BZ932" s="276">
        <f>SUMIFS('Adv. Filter'!$BJ$1:$BJ$50000,'Adv. Filter'!$BT$1:$BT$50000,"Madhu",'Adv. Filter'!$BQ$1:$BQ$50000,$AY932,'Adv. Filter'!$BH$1:$BH$50000,"Bank",'Adv. Filter'!$BO$1:$BO$50000,"&lt;"&amp;'Adv. Filter'!$A$15)</f>
        <v>0</v>
      </c>
      <c r="CA932" s="277"/>
      <c r="CB932" s="277"/>
      <c r="CC932" s="277"/>
      <c r="CD932" s="277"/>
      <c r="CE932" s="277"/>
      <c r="CF932" s="277"/>
      <c r="CG932" s="277"/>
      <c r="CH932" s="277"/>
      <c r="CI932" s="278"/>
      <c r="CJ932" s="276">
        <f t="shared" si="31"/>
        <v>0</v>
      </c>
      <c r="CK932" s="277"/>
      <c r="CL932" s="277"/>
      <c r="CM932" s="277"/>
      <c r="CN932" s="277"/>
      <c r="CO932" s="277"/>
      <c r="CP932" s="277"/>
      <c r="CQ932" s="277"/>
      <c r="CR932" s="277"/>
      <c r="CS932" s="278"/>
      <c r="CT932" s="44"/>
      <c r="CU932" s="44"/>
      <c r="CV932" s="44"/>
      <c r="CW932" s="44"/>
      <c r="CX932" s="44"/>
      <c r="CY932" s="44"/>
      <c r="CZ932" s="44"/>
    </row>
    <row r="933" spans="1:104" hidden="1">
      <c r="C933" s="308" t="s">
        <v>115</v>
      </c>
      <c r="D933" s="309"/>
      <c r="E933" s="309"/>
      <c r="F933" s="309"/>
      <c r="G933" s="309"/>
      <c r="H933" s="309"/>
      <c r="I933" s="309"/>
      <c r="J933" s="309"/>
      <c r="K933" s="309"/>
      <c r="L933" s="309"/>
      <c r="M933" s="309"/>
      <c r="N933" s="309"/>
      <c r="O933" s="309"/>
      <c r="P933" s="309"/>
      <c r="Q933" s="309"/>
      <c r="R933" s="309"/>
      <c r="S933" s="310"/>
      <c r="T933" s="267">
        <f>SUMIFS('Adv. Filter'!$BJ$1:$BJ$50000,'Adv. Filter'!$BT$1:$BT$50000,"Madhu",'Adv. Filter'!$BQ$1:$BQ$50000,$C932,'Adv. Filter'!$BH$1:$BH$50000,"Cash",'Adv. Filter'!$BO$1:$BO$50000,'Adv. Filter'!$A$14,'Adv. Filter'!$BO$1:$BO$50000,'Adv. Filter'!$B$14,'Adv. Filter'!$BP$1:$BP$50000,"Project")</f>
        <v>0</v>
      </c>
      <c r="U933" s="268"/>
      <c r="V933" s="268"/>
      <c r="W933" s="268"/>
      <c r="X933" s="268"/>
      <c r="Y933" s="268"/>
      <c r="Z933" s="268"/>
      <c r="AA933" s="268"/>
      <c r="AB933" s="268"/>
      <c r="AC933" s="269"/>
      <c r="AD933" s="267">
        <f>SUMIFS('Adv. Filter'!$BJ$1:$BJ$50000,'Adv. Filter'!$BT$1:$BT$50000,"Madhu",'Adv. Filter'!$BQ$1:$BQ$50000,$C932,'Adv. Filter'!$BH$1:$BH$50000,"Bank",'Adv. Filter'!$BO$1:$BO$50000,'Adv. Filter'!$A$14,'Adv. Filter'!$BO$1:$BO$50000,'Adv. Filter'!$B$14,'Adv. Filter'!$BP$1:$BP$50000,"Project")</f>
        <v>0</v>
      </c>
      <c r="AE933" s="268"/>
      <c r="AF933" s="268"/>
      <c r="AG933" s="268"/>
      <c r="AH933" s="268"/>
      <c r="AI933" s="268"/>
      <c r="AJ933" s="268"/>
      <c r="AK933" s="268"/>
      <c r="AL933" s="268"/>
      <c r="AM933" s="269"/>
      <c r="AN933" s="267">
        <f t="shared" si="30"/>
        <v>0</v>
      </c>
      <c r="AO933" s="268"/>
      <c r="AP933" s="268"/>
      <c r="AQ933" s="268"/>
      <c r="AR933" s="268"/>
      <c r="AS933" s="268"/>
      <c r="AT933" s="268"/>
      <c r="AU933" s="268"/>
      <c r="AV933" s="268"/>
      <c r="AW933" s="269"/>
      <c r="AX933" s="22"/>
      <c r="AY933" s="308" t="s">
        <v>115</v>
      </c>
      <c r="AZ933" s="309"/>
      <c r="BA933" s="309"/>
      <c r="BB933" s="309"/>
      <c r="BC933" s="309"/>
      <c r="BD933" s="309"/>
      <c r="BE933" s="309"/>
      <c r="BF933" s="309"/>
      <c r="BG933" s="309"/>
      <c r="BH933" s="309"/>
      <c r="BI933" s="309"/>
      <c r="BJ933" s="309"/>
      <c r="BK933" s="309"/>
      <c r="BL933" s="309"/>
      <c r="BM933" s="309"/>
      <c r="BN933" s="309"/>
      <c r="BO933" s="310"/>
      <c r="BP933" s="267">
        <f>SUMIFS('Adv. Filter'!$BJ$1:$BJ$50000,'Adv. Filter'!$BT$1:$BT$50000,"Madhu",'Adv. Filter'!$BQ$1:$BQ$50000,$AY932,'Adv. Filter'!$BH$1:$BH$50000,"Cash",'Adv. Filter'!$BO$1:$BO$50000,"&lt;"&amp;'Adv. Filter'!$A$15,'Adv. Filter'!$BP$1:$BP$50000,"Project")</f>
        <v>0</v>
      </c>
      <c r="BQ933" s="268"/>
      <c r="BR933" s="268"/>
      <c r="BS933" s="268"/>
      <c r="BT933" s="268"/>
      <c r="BU933" s="268"/>
      <c r="BV933" s="268"/>
      <c r="BW933" s="268"/>
      <c r="BX933" s="268"/>
      <c r="BY933" s="269"/>
      <c r="BZ933" s="267">
        <f>SUMIFS('Adv. Filter'!$BJ$1:$BJ$50000,'Adv. Filter'!$BT$1:$BT$50000,"Madhu",'Adv. Filter'!$BQ$1:$BQ$50000,$AY932,'Adv. Filter'!$BH$1:$BH$50000,"Bank",'Adv. Filter'!$BO$1:$BO$50000,"&lt;"&amp;'Adv. Filter'!$A$15,'Adv. Filter'!$BP$1:$BP$50000,"Project")</f>
        <v>0</v>
      </c>
      <c r="CA933" s="268"/>
      <c r="CB933" s="268"/>
      <c r="CC933" s="268"/>
      <c r="CD933" s="268"/>
      <c r="CE933" s="268"/>
      <c r="CF933" s="268"/>
      <c r="CG933" s="268"/>
      <c r="CH933" s="268"/>
      <c r="CI933" s="269"/>
      <c r="CJ933" s="267">
        <f t="shared" si="31"/>
        <v>0</v>
      </c>
      <c r="CK933" s="268"/>
      <c r="CL933" s="268"/>
      <c r="CM933" s="268"/>
      <c r="CN933" s="268"/>
      <c r="CO933" s="268"/>
      <c r="CP933" s="268"/>
      <c r="CQ933" s="268"/>
      <c r="CR933" s="268"/>
      <c r="CS933" s="269"/>
    </row>
    <row r="934" spans="1:104" hidden="1">
      <c r="C934" s="308" t="s">
        <v>510</v>
      </c>
      <c r="D934" s="309"/>
      <c r="E934" s="309"/>
      <c r="F934" s="309"/>
      <c r="G934" s="309"/>
      <c r="H934" s="309"/>
      <c r="I934" s="309"/>
      <c r="J934" s="309"/>
      <c r="K934" s="309"/>
      <c r="L934" s="309"/>
      <c r="M934" s="309"/>
      <c r="N934" s="309"/>
      <c r="O934" s="309"/>
      <c r="P934" s="309"/>
      <c r="Q934" s="309"/>
      <c r="R934" s="309"/>
      <c r="S934" s="310"/>
      <c r="T934" s="267">
        <v>0</v>
      </c>
      <c r="U934" s="268"/>
      <c r="V934" s="268"/>
      <c r="W934" s="268"/>
      <c r="X934" s="268"/>
      <c r="Y934" s="268"/>
      <c r="Z934" s="268"/>
      <c r="AA934" s="268"/>
      <c r="AB934" s="268"/>
      <c r="AC934" s="269"/>
      <c r="AD934" s="267">
        <v>0</v>
      </c>
      <c r="AE934" s="268"/>
      <c r="AF934" s="268"/>
      <c r="AG934" s="268"/>
      <c r="AH934" s="268"/>
      <c r="AI934" s="268"/>
      <c r="AJ934" s="268"/>
      <c r="AK934" s="268"/>
      <c r="AL934" s="268"/>
      <c r="AM934" s="269"/>
      <c r="AN934" s="267">
        <f t="shared" si="30"/>
        <v>0</v>
      </c>
      <c r="AO934" s="268"/>
      <c r="AP934" s="268"/>
      <c r="AQ934" s="268"/>
      <c r="AR934" s="268"/>
      <c r="AS934" s="268"/>
      <c r="AT934" s="268"/>
      <c r="AU934" s="268"/>
      <c r="AV934" s="268"/>
      <c r="AW934" s="269"/>
      <c r="AX934" s="22"/>
      <c r="AY934" s="308" t="s">
        <v>510</v>
      </c>
      <c r="AZ934" s="309"/>
      <c r="BA934" s="309"/>
      <c r="BB934" s="309"/>
      <c r="BC934" s="309"/>
      <c r="BD934" s="309"/>
      <c r="BE934" s="309"/>
      <c r="BF934" s="309"/>
      <c r="BG934" s="309"/>
      <c r="BH934" s="309"/>
      <c r="BI934" s="309"/>
      <c r="BJ934" s="309"/>
      <c r="BK934" s="309"/>
      <c r="BL934" s="309"/>
      <c r="BM934" s="309"/>
      <c r="BN934" s="309"/>
      <c r="BO934" s="310"/>
      <c r="BP934" s="267"/>
      <c r="BQ934" s="268"/>
      <c r="BR934" s="268"/>
      <c r="BS934" s="268"/>
      <c r="BT934" s="268"/>
      <c r="BU934" s="268"/>
      <c r="BV934" s="268"/>
      <c r="BW934" s="268"/>
      <c r="BX934" s="268"/>
      <c r="BY934" s="269"/>
      <c r="BZ934" s="267"/>
      <c r="CA934" s="268"/>
      <c r="CB934" s="268"/>
      <c r="CC934" s="268"/>
      <c r="CD934" s="268"/>
      <c r="CE934" s="268"/>
      <c r="CF934" s="268"/>
      <c r="CG934" s="268"/>
      <c r="CH934" s="268"/>
      <c r="CI934" s="269"/>
      <c r="CJ934" s="267">
        <f t="shared" si="31"/>
        <v>0</v>
      </c>
      <c r="CK934" s="268"/>
      <c r="CL934" s="268"/>
      <c r="CM934" s="268"/>
      <c r="CN934" s="268"/>
      <c r="CO934" s="268"/>
      <c r="CP934" s="268"/>
      <c r="CQ934" s="268"/>
      <c r="CR934" s="268"/>
      <c r="CS934" s="269"/>
    </row>
    <row r="935" spans="1:104" hidden="1">
      <c r="C935" s="43"/>
      <c r="D935" s="36" t="str">
        <f>IF(AN932=0,C932&amp;" -","")</f>
        <v>Indus Ind -</v>
      </c>
      <c r="E935" s="42"/>
      <c r="F935" s="42"/>
      <c r="G935" s="42"/>
      <c r="H935" s="42"/>
      <c r="I935" s="42"/>
      <c r="J935" s="42"/>
      <c r="K935" s="42"/>
      <c r="L935" s="42"/>
      <c r="M935" s="42"/>
      <c r="N935" s="42"/>
      <c r="O935" s="42"/>
      <c r="P935" s="1"/>
      <c r="Q935" s="42"/>
      <c r="R935" s="41" t="s">
        <v>275</v>
      </c>
      <c r="S935" s="40"/>
      <c r="T935" s="267">
        <f>SUMIFS('Adv. Filter'!$CH$1:$CH$50000,'Adv. Filter'!$CD$1:$CD$50000,"Madhu",'Adv. Filter'!$CE$1:$CE$50000,$C932,'Adv. Filter'!$CC$1:$CC$50000,"Suspense",'Adv. Filter'!$CF$1:$CF$50000,"Cash")</f>
        <v>0</v>
      </c>
      <c r="U935" s="268"/>
      <c r="V935" s="268"/>
      <c r="W935" s="268"/>
      <c r="X935" s="268"/>
      <c r="Y935" s="268"/>
      <c r="Z935" s="268"/>
      <c r="AA935" s="268"/>
      <c r="AB935" s="268"/>
      <c r="AC935" s="269"/>
      <c r="AD935" s="267">
        <f>SUMIFS('Adv. Filter'!$CH$1:$CH$50000,'Adv. Filter'!$CD$1:$CD$50000,"Madhu",'Adv. Filter'!$CE$1:$CE$50000,$C932,'Adv. Filter'!$CC$1:$CC$50000,"Suspense",'Adv. Filter'!$CF$1:$CF$50000,"Bank")</f>
        <v>0</v>
      </c>
      <c r="AE935" s="268"/>
      <c r="AF935" s="268"/>
      <c r="AG935" s="268"/>
      <c r="AH935" s="268"/>
      <c r="AI935" s="268"/>
      <c r="AJ935" s="268"/>
      <c r="AK935" s="268"/>
      <c r="AL935" s="268"/>
      <c r="AM935" s="269"/>
      <c r="AN935" s="267">
        <f t="shared" si="30"/>
        <v>0</v>
      </c>
      <c r="AO935" s="268"/>
      <c r="AP935" s="268"/>
      <c r="AQ935" s="268"/>
      <c r="AR935" s="268"/>
      <c r="AS935" s="268"/>
      <c r="AT935" s="268"/>
      <c r="AU935" s="268"/>
      <c r="AV935" s="268"/>
      <c r="AW935" s="269"/>
      <c r="AX935" s="22"/>
      <c r="AY935" s="43"/>
      <c r="AZ935" s="36" t="str">
        <f>IF(CJ932=0,AY932&amp;" -","")</f>
        <v>Indus Ind -</v>
      </c>
      <c r="BA935" s="42"/>
      <c r="BB935" s="42"/>
      <c r="BC935" s="42"/>
      <c r="BD935" s="42"/>
      <c r="BE935" s="42"/>
      <c r="BF935" s="42"/>
      <c r="BG935" s="42"/>
      <c r="BH935" s="42"/>
      <c r="BI935" s="42"/>
      <c r="BJ935" s="42"/>
      <c r="BK935" s="42"/>
      <c r="BL935" s="1"/>
      <c r="BM935" s="42"/>
      <c r="BN935" s="41" t="s">
        <v>275</v>
      </c>
      <c r="BO935" s="40"/>
      <c r="BP935" s="267"/>
      <c r="BQ935" s="268"/>
      <c r="BR935" s="268"/>
      <c r="BS935" s="268"/>
      <c r="BT935" s="268"/>
      <c r="BU935" s="268"/>
      <c r="BV935" s="268"/>
      <c r="BW935" s="268"/>
      <c r="BX935" s="268"/>
      <c r="BY935" s="269"/>
      <c r="BZ935" s="267"/>
      <c r="CA935" s="268"/>
      <c r="CB935" s="268"/>
      <c r="CC935" s="268"/>
      <c r="CD935" s="268"/>
      <c r="CE935" s="268"/>
      <c r="CF935" s="268"/>
      <c r="CG935" s="268"/>
      <c r="CH935" s="268"/>
      <c r="CI935" s="269"/>
      <c r="CJ935" s="267">
        <f t="shared" si="31"/>
        <v>0</v>
      </c>
      <c r="CK935" s="268"/>
      <c r="CL935" s="268"/>
      <c r="CM935" s="268"/>
      <c r="CN935" s="268"/>
      <c r="CO935" s="268"/>
      <c r="CP935" s="268"/>
      <c r="CQ935" s="268"/>
      <c r="CR935" s="268"/>
      <c r="CS935" s="269"/>
    </row>
    <row r="936" spans="1:104" hidden="1">
      <c r="A936" s="44"/>
      <c r="B936" s="44"/>
      <c r="C936" s="293" t="s">
        <v>84</v>
      </c>
      <c r="D936" s="294"/>
      <c r="E936" s="294"/>
      <c r="F936" s="294"/>
      <c r="G936" s="294"/>
      <c r="H936" s="294"/>
      <c r="I936" s="294"/>
      <c r="J936" s="294"/>
      <c r="K936" s="294"/>
      <c r="L936" s="294"/>
      <c r="M936" s="294"/>
      <c r="N936" s="294"/>
      <c r="O936" s="294"/>
      <c r="P936" s="294"/>
      <c r="Q936" s="294"/>
      <c r="R936" s="294"/>
      <c r="S936" s="295"/>
      <c r="T936" s="276">
        <f>SUMIFS('Adv. Filter'!$BJ$1:$BJ$50000,'Adv. Filter'!$BT$1:$BT$50000,"Madhu",'Adv. Filter'!$BQ$1:$BQ$50000,$C936,'Adv. Filter'!$BH$1:$BH$50000,"Cash",'Adv. Filter'!$BO$1:$BO$50000,'Adv. Filter'!$A$14,'Adv. Filter'!$BO$1:$BO$50000,'Adv. Filter'!$B$14)</f>
        <v>0</v>
      </c>
      <c r="U936" s="277"/>
      <c r="V936" s="277"/>
      <c r="W936" s="277"/>
      <c r="X936" s="277"/>
      <c r="Y936" s="277"/>
      <c r="Z936" s="277"/>
      <c r="AA936" s="277"/>
      <c r="AB936" s="277"/>
      <c r="AC936" s="278"/>
      <c r="AD936" s="276">
        <f>SUMIFS('Adv. Filter'!$BJ$1:$BJ$50000,'Adv. Filter'!$BT$1:$BT$50000,"Madhu",'Adv. Filter'!$BQ$1:$BQ$50000,$C936,'Adv. Filter'!$BH$1:$BH$50000,"Bank",'Adv. Filter'!$BO$1:$BO$50000,'Adv. Filter'!$A$14,'Adv. Filter'!$BO$1:$BO$50000,'Adv. Filter'!$B$14)</f>
        <v>0</v>
      </c>
      <c r="AE936" s="277"/>
      <c r="AF936" s="277"/>
      <c r="AG936" s="277"/>
      <c r="AH936" s="277"/>
      <c r="AI936" s="277"/>
      <c r="AJ936" s="277"/>
      <c r="AK936" s="277"/>
      <c r="AL936" s="277"/>
      <c r="AM936" s="278"/>
      <c r="AN936" s="276">
        <f t="shared" si="30"/>
        <v>0</v>
      </c>
      <c r="AO936" s="277"/>
      <c r="AP936" s="277"/>
      <c r="AQ936" s="277"/>
      <c r="AR936" s="277"/>
      <c r="AS936" s="277"/>
      <c r="AT936" s="277"/>
      <c r="AU936" s="277"/>
      <c r="AV936" s="277"/>
      <c r="AW936" s="278"/>
      <c r="AX936" s="45"/>
      <c r="AY936" s="293" t="s">
        <v>84</v>
      </c>
      <c r="AZ936" s="294"/>
      <c r="BA936" s="294"/>
      <c r="BB936" s="294"/>
      <c r="BC936" s="294"/>
      <c r="BD936" s="294"/>
      <c r="BE936" s="294"/>
      <c r="BF936" s="294"/>
      <c r="BG936" s="294"/>
      <c r="BH936" s="294"/>
      <c r="BI936" s="294"/>
      <c r="BJ936" s="294"/>
      <c r="BK936" s="294"/>
      <c r="BL936" s="294"/>
      <c r="BM936" s="294"/>
      <c r="BN936" s="294"/>
      <c r="BO936" s="295"/>
      <c r="BP936" s="276">
        <f>SUMIFS('Adv. Filter'!$BJ$1:$BJ$50000,'Adv. Filter'!$BT$1:$BT$50000,"Madhu",'Adv. Filter'!$BQ$1:$BQ$50000,$AY936,'Adv. Filter'!$BH$1:$BH$50000,"Cash",'Adv. Filter'!$BO$1:$BO$50000,"&lt;"&amp;'Adv. Filter'!$A$15)</f>
        <v>0</v>
      </c>
      <c r="BQ936" s="277"/>
      <c r="BR936" s="277"/>
      <c r="BS936" s="277"/>
      <c r="BT936" s="277"/>
      <c r="BU936" s="277"/>
      <c r="BV936" s="277"/>
      <c r="BW936" s="277"/>
      <c r="BX936" s="277"/>
      <c r="BY936" s="278"/>
      <c r="BZ936" s="276">
        <f>SUMIFS('Adv. Filter'!$BJ$1:$BJ$50000,'Adv. Filter'!$BT$1:$BT$50000,"Madhu",'Adv. Filter'!$BQ$1:$BQ$50000,$AY936,'Adv. Filter'!$BH$1:$BH$50000,"Bank",'Adv. Filter'!$BO$1:$BO$50000,"&lt;"&amp;'Adv. Filter'!$A$15)</f>
        <v>0</v>
      </c>
      <c r="CA936" s="277"/>
      <c r="CB936" s="277"/>
      <c r="CC936" s="277"/>
      <c r="CD936" s="277"/>
      <c r="CE936" s="277"/>
      <c r="CF936" s="277"/>
      <c r="CG936" s="277"/>
      <c r="CH936" s="277"/>
      <c r="CI936" s="278"/>
      <c r="CJ936" s="276">
        <f t="shared" si="31"/>
        <v>0</v>
      </c>
      <c r="CK936" s="277"/>
      <c r="CL936" s="277"/>
      <c r="CM936" s="277"/>
      <c r="CN936" s="277"/>
      <c r="CO936" s="277"/>
      <c r="CP936" s="277"/>
      <c r="CQ936" s="277"/>
      <c r="CR936" s="277"/>
      <c r="CS936" s="278"/>
      <c r="CT936" s="44"/>
      <c r="CU936" s="44"/>
      <c r="CV936" s="44"/>
      <c r="CW936" s="44"/>
      <c r="CX936" s="44"/>
      <c r="CY936" s="44"/>
      <c r="CZ936" s="44"/>
    </row>
    <row r="937" spans="1:104" hidden="1">
      <c r="C937" s="308" t="s">
        <v>115</v>
      </c>
      <c r="D937" s="309"/>
      <c r="E937" s="309"/>
      <c r="F937" s="309"/>
      <c r="G937" s="309"/>
      <c r="H937" s="309"/>
      <c r="I937" s="309"/>
      <c r="J937" s="309"/>
      <c r="K937" s="309"/>
      <c r="L937" s="309"/>
      <c r="M937" s="309"/>
      <c r="N937" s="309"/>
      <c r="O937" s="309"/>
      <c r="P937" s="309"/>
      <c r="Q937" s="309"/>
      <c r="R937" s="309"/>
      <c r="S937" s="310"/>
      <c r="T937" s="267">
        <f>SUMIFS('Adv. Filter'!$BJ$1:$BJ$50000,'Adv. Filter'!$BT$1:$BT$50000,"Madhu",'Adv. Filter'!$BQ$1:$BQ$50000,$C936,'Adv. Filter'!$BH$1:$BH$50000,"Cash",'Adv. Filter'!$BO$1:$BO$50000,'Adv. Filter'!$A$14,'Adv. Filter'!$BO$1:$BO$50000,'Adv. Filter'!$B$14,'Adv. Filter'!$BP$1:$BP$50000,"Project")</f>
        <v>0</v>
      </c>
      <c r="U937" s="268"/>
      <c r="V937" s="268"/>
      <c r="W937" s="268"/>
      <c r="X937" s="268"/>
      <c r="Y937" s="268"/>
      <c r="Z937" s="268"/>
      <c r="AA937" s="268"/>
      <c r="AB937" s="268"/>
      <c r="AC937" s="269"/>
      <c r="AD937" s="267">
        <f>SUMIFS('Adv. Filter'!$BJ$1:$BJ$50000,'Adv. Filter'!$BT$1:$BT$50000,"Madhu",'Adv. Filter'!$BQ$1:$BQ$50000,$C936,'Adv. Filter'!$BH$1:$BH$50000,"Bank",'Adv. Filter'!$BO$1:$BO$50000,'Adv. Filter'!$A$14,'Adv. Filter'!$BO$1:$BO$50000,'Adv. Filter'!$B$14,'Adv. Filter'!$BP$1:$BP$50000,"Project")</f>
        <v>0</v>
      </c>
      <c r="AE937" s="268"/>
      <c r="AF937" s="268"/>
      <c r="AG937" s="268"/>
      <c r="AH937" s="268"/>
      <c r="AI937" s="268"/>
      <c r="AJ937" s="268"/>
      <c r="AK937" s="268"/>
      <c r="AL937" s="268"/>
      <c r="AM937" s="269"/>
      <c r="AN937" s="267">
        <f t="shared" si="30"/>
        <v>0</v>
      </c>
      <c r="AO937" s="268"/>
      <c r="AP937" s="268"/>
      <c r="AQ937" s="268"/>
      <c r="AR937" s="268"/>
      <c r="AS937" s="268"/>
      <c r="AT937" s="268"/>
      <c r="AU937" s="268"/>
      <c r="AV937" s="268"/>
      <c r="AW937" s="269"/>
      <c r="AX937" s="22"/>
      <c r="AY937" s="308" t="s">
        <v>115</v>
      </c>
      <c r="AZ937" s="309"/>
      <c r="BA937" s="309"/>
      <c r="BB937" s="309"/>
      <c r="BC937" s="309"/>
      <c r="BD937" s="309"/>
      <c r="BE937" s="309"/>
      <c r="BF937" s="309"/>
      <c r="BG937" s="309"/>
      <c r="BH937" s="309"/>
      <c r="BI937" s="309"/>
      <c r="BJ937" s="309"/>
      <c r="BK937" s="309"/>
      <c r="BL937" s="309"/>
      <c r="BM937" s="309"/>
      <c r="BN937" s="309"/>
      <c r="BO937" s="310"/>
      <c r="BP937" s="267">
        <f>SUMIFS('Adv. Filter'!$BJ$1:$BJ$50000,'Adv. Filter'!$BT$1:$BT$50000,"Madhu",'Adv. Filter'!$BQ$1:$BQ$50000,$AY936,'Adv. Filter'!$BH$1:$BH$50000,"Cash",'Adv. Filter'!$BO$1:$BO$50000,"&lt;"&amp;'Adv. Filter'!$A$15,'Adv. Filter'!$BP$1:$BP$50000,"Project")</f>
        <v>0</v>
      </c>
      <c r="BQ937" s="268"/>
      <c r="BR937" s="268"/>
      <c r="BS937" s="268"/>
      <c r="BT937" s="268"/>
      <c r="BU937" s="268"/>
      <c r="BV937" s="268"/>
      <c r="BW937" s="268"/>
      <c r="BX937" s="268"/>
      <c r="BY937" s="269"/>
      <c r="BZ937" s="267">
        <f>SUMIFS('Adv. Filter'!$BJ$1:$BJ$50000,'Adv. Filter'!$BT$1:$BT$50000,"Madhu",'Adv. Filter'!$BQ$1:$BQ$50000,$AY936,'Adv. Filter'!$BH$1:$BH$50000,"Bank",'Adv. Filter'!$BO$1:$BO$50000,"&lt;"&amp;'Adv. Filter'!$A$15,'Adv. Filter'!$BP$1:$BP$50000,"Project")</f>
        <v>0</v>
      </c>
      <c r="CA937" s="268"/>
      <c r="CB937" s="268"/>
      <c r="CC937" s="268"/>
      <c r="CD937" s="268"/>
      <c r="CE937" s="268"/>
      <c r="CF937" s="268"/>
      <c r="CG937" s="268"/>
      <c r="CH937" s="268"/>
      <c r="CI937" s="269"/>
      <c r="CJ937" s="267">
        <f t="shared" si="31"/>
        <v>0</v>
      </c>
      <c r="CK937" s="268"/>
      <c r="CL937" s="268"/>
      <c r="CM937" s="268"/>
      <c r="CN937" s="268"/>
      <c r="CO937" s="268"/>
      <c r="CP937" s="268"/>
      <c r="CQ937" s="268"/>
      <c r="CR937" s="268"/>
      <c r="CS937" s="269"/>
    </row>
    <row r="938" spans="1:104" hidden="1">
      <c r="C938" s="308" t="s">
        <v>510</v>
      </c>
      <c r="D938" s="309"/>
      <c r="E938" s="309"/>
      <c r="F938" s="309"/>
      <c r="G938" s="309"/>
      <c r="H938" s="309"/>
      <c r="I938" s="309"/>
      <c r="J938" s="309"/>
      <c r="K938" s="309"/>
      <c r="L938" s="309"/>
      <c r="M938" s="309"/>
      <c r="N938" s="309"/>
      <c r="O938" s="309"/>
      <c r="P938" s="309"/>
      <c r="Q938" s="309"/>
      <c r="R938" s="309"/>
      <c r="S938" s="310"/>
      <c r="T938" s="267">
        <v>0</v>
      </c>
      <c r="U938" s="268"/>
      <c r="V938" s="268"/>
      <c r="W938" s="268"/>
      <c r="X938" s="268"/>
      <c r="Y938" s="268"/>
      <c r="Z938" s="268"/>
      <c r="AA938" s="268"/>
      <c r="AB938" s="268"/>
      <c r="AC938" s="269"/>
      <c r="AD938" s="267">
        <v>0</v>
      </c>
      <c r="AE938" s="268"/>
      <c r="AF938" s="268"/>
      <c r="AG938" s="268"/>
      <c r="AH938" s="268"/>
      <c r="AI938" s="268"/>
      <c r="AJ938" s="268"/>
      <c r="AK938" s="268"/>
      <c r="AL938" s="268"/>
      <c r="AM938" s="269"/>
      <c r="AN938" s="267">
        <f t="shared" si="30"/>
        <v>0</v>
      </c>
      <c r="AO938" s="268"/>
      <c r="AP938" s="268"/>
      <c r="AQ938" s="268"/>
      <c r="AR938" s="268"/>
      <c r="AS938" s="268"/>
      <c r="AT938" s="268"/>
      <c r="AU938" s="268"/>
      <c r="AV938" s="268"/>
      <c r="AW938" s="269"/>
      <c r="AX938" s="22"/>
      <c r="AY938" s="308" t="s">
        <v>510</v>
      </c>
      <c r="AZ938" s="309"/>
      <c r="BA938" s="309"/>
      <c r="BB938" s="309"/>
      <c r="BC938" s="309"/>
      <c r="BD938" s="309"/>
      <c r="BE938" s="309"/>
      <c r="BF938" s="309"/>
      <c r="BG938" s="309"/>
      <c r="BH938" s="309"/>
      <c r="BI938" s="309"/>
      <c r="BJ938" s="309"/>
      <c r="BK938" s="309"/>
      <c r="BL938" s="309"/>
      <c r="BM938" s="309"/>
      <c r="BN938" s="309"/>
      <c r="BO938" s="310"/>
      <c r="BP938" s="267"/>
      <c r="BQ938" s="268"/>
      <c r="BR938" s="268"/>
      <c r="BS938" s="268"/>
      <c r="BT938" s="268"/>
      <c r="BU938" s="268"/>
      <c r="BV938" s="268"/>
      <c r="BW938" s="268"/>
      <c r="BX938" s="268"/>
      <c r="BY938" s="269"/>
      <c r="BZ938" s="267"/>
      <c r="CA938" s="268"/>
      <c r="CB938" s="268"/>
      <c r="CC938" s="268"/>
      <c r="CD938" s="268"/>
      <c r="CE938" s="268"/>
      <c r="CF938" s="268"/>
      <c r="CG938" s="268"/>
      <c r="CH938" s="268"/>
      <c r="CI938" s="269"/>
      <c r="CJ938" s="267">
        <f t="shared" si="31"/>
        <v>0</v>
      </c>
      <c r="CK938" s="268"/>
      <c r="CL938" s="268"/>
      <c r="CM938" s="268"/>
      <c r="CN938" s="268"/>
      <c r="CO938" s="268"/>
      <c r="CP938" s="268"/>
      <c r="CQ938" s="268"/>
      <c r="CR938" s="268"/>
      <c r="CS938" s="269"/>
    </row>
    <row r="939" spans="1:104" hidden="1">
      <c r="C939" s="43"/>
      <c r="D939" s="36" t="str">
        <f>IF(AN936=0,C936&amp;" -","")</f>
        <v>SBI -</v>
      </c>
      <c r="E939" s="42"/>
      <c r="F939" s="42"/>
      <c r="G939" s="42"/>
      <c r="H939" s="42"/>
      <c r="I939" s="42"/>
      <c r="J939" s="42"/>
      <c r="K939" s="42"/>
      <c r="L939" s="42"/>
      <c r="M939" s="42"/>
      <c r="N939" s="42"/>
      <c r="O939" s="42"/>
      <c r="P939" s="1"/>
      <c r="Q939" s="42"/>
      <c r="R939" s="41" t="s">
        <v>275</v>
      </c>
      <c r="S939" s="40"/>
      <c r="T939" s="267">
        <f>SUMIFS('Adv. Filter'!$CH$1:$CH$50000,'Adv. Filter'!$CD$1:$CD$50000,"Madhu",'Adv. Filter'!$CE$1:$CE$50000,$C936,'Adv. Filter'!$CC$1:$CC$50000,"Suspense",'Adv. Filter'!$CF$1:$CF$50000,"Cash")</f>
        <v>0</v>
      </c>
      <c r="U939" s="268"/>
      <c r="V939" s="268"/>
      <c r="W939" s="268"/>
      <c r="X939" s="268"/>
      <c r="Y939" s="268"/>
      <c r="Z939" s="268"/>
      <c r="AA939" s="268"/>
      <c r="AB939" s="268"/>
      <c r="AC939" s="269"/>
      <c r="AD939" s="267">
        <f>SUMIFS('Adv. Filter'!$CH$1:$CH$50000,'Adv. Filter'!$CD$1:$CD$50000,"Madhu",'Adv. Filter'!$CE$1:$CE$50000,$C936,'Adv. Filter'!$CC$1:$CC$50000,"Suspense",'Adv. Filter'!$CF$1:$CF$50000,"Bank")</f>
        <v>0</v>
      </c>
      <c r="AE939" s="268"/>
      <c r="AF939" s="268"/>
      <c r="AG939" s="268"/>
      <c r="AH939" s="268"/>
      <c r="AI939" s="268"/>
      <c r="AJ939" s="268"/>
      <c r="AK939" s="268"/>
      <c r="AL939" s="268"/>
      <c r="AM939" s="269"/>
      <c r="AN939" s="267">
        <f t="shared" si="30"/>
        <v>0</v>
      </c>
      <c r="AO939" s="268"/>
      <c r="AP939" s="268"/>
      <c r="AQ939" s="268"/>
      <c r="AR939" s="268"/>
      <c r="AS939" s="268"/>
      <c r="AT939" s="268"/>
      <c r="AU939" s="268"/>
      <c r="AV939" s="268"/>
      <c r="AW939" s="269"/>
      <c r="AX939" s="22"/>
      <c r="AY939" s="43"/>
      <c r="AZ939" s="36" t="str">
        <f>IF(CJ936=0,AY936&amp;" -","")</f>
        <v>SBI -</v>
      </c>
      <c r="BA939" s="42"/>
      <c r="BB939" s="42"/>
      <c r="BC939" s="42"/>
      <c r="BD939" s="42"/>
      <c r="BE939" s="42"/>
      <c r="BF939" s="42"/>
      <c r="BG939" s="42"/>
      <c r="BH939" s="42"/>
      <c r="BI939" s="42"/>
      <c r="BJ939" s="42"/>
      <c r="BK939" s="42"/>
      <c r="BL939" s="1"/>
      <c r="BM939" s="42"/>
      <c r="BN939" s="41" t="s">
        <v>275</v>
      </c>
      <c r="BO939" s="40"/>
      <c r="BP939" s="267"/>
      <c r="BQ939" s="268"/>
      <c r="BR939" s="268"/>
      <c r="BS939" s="268"/>
      <c r="BT939" s="268"/>
      <c r="BU939" s="268"/>
      <c r="BV939" s="268"/>
      <c r="BW939" s="268"/>
      <c r="BX939" s="268"/>
      <c r="BY939" s="269"/>
      <c r="BZ939" s="267"/>
      <c r="CA939" s="268"/>
      <c r="CB939" s="268"/>
      <c r="CC939" s="268"/>
      <c r="CD939" s="268"/>
      <c r="CE939" s="268"/>
      <c r="CF939" s="268"/>
      <c r="CG939" s="268"/>
      <c r="CH939" s="268"/>
      <c r="CI939" s="269"/>
      <c r="CJ939" s="267">
        <f t="shared" si="31"/>
        <v>0</v>
      </c>
      <c r="CK939" s="268"/>
      <c r="CL939" s="268"/>
      <c r="CM939" s="268"/>
      <c r="CN939" s="268"/>
      <c r="CO939" s="268"/>
      <c r="CP939" s="268"/>
      <c r="CQ939" s="268"/>
      <c r="CR939" s="268"/>
      <c r="CS939" s="269"/>
    </row>
    <row r="940" spans="1:104" hidden="1">
      <c r="A940" s="44"/>
      <c r="B940" s="44"/>
      <c r="C940" s="293" t="s">
        <v>551</v>
      </c>
      <c r="D940" s="294"/>
      <c r="E940" s="294"/>
      <c r="F940" s="294"/>
      <c r="G940" s="294"/>
      <c r="H940" s="294"/>
      <c r="I940" s="294"/>
      <c r="J940" s="294"/>
      <c r="K940" s="294"/>
      <c r="L940" s="294"/>
      <c r="M940" s="294"/>
      <c r="N940" s="294"/>
      <c r="O940" s="294"/>
      <c r="P940" s="294"/>
      <c r="Q940" s="294"/>
      <c r="R940" s="294"/>
      <c r="S940" s="295"/>
      <c r="T940" s="276">
        <f>SUMIFS('Adv. Filter'!$BJ$1:$BJ$50000,'Adv. Filter'!$BT$1:$BT$50000,"Madhu",'Adv. Filter'!$BQ$1:$BQ$50000,$C940,'Adv. Filter'!$BH$1:$BH$50000,"Cash",'Adv. Filter'!$BO$1:$BO$50000,'Adv. Filter'!$A$14,'Adv. Filter'!$BO$1:$BO$50000,'Adv. Filter'!$B$14)</f>
        <v>0</v>
      </c>
      <c r="U940" s="277"/>
      <c r="V940" s="277"/>
      <c r="W940" s="277"/>
      <c r="X940" s="277"/>
      <c r="Y940" s="277"/>
      <c r="Z940" s="277"/>
      <c r="AA940" s="277"/>
      <c r="AB940" s="277"/>
      <c r="AC940" s="278"/>
      <c r="AD940" s="276">
        <f>SUMIFS('Adv. Filter'!$BJ$1:$BJ$50000,'Adv. Filter'!$BT$1:$BT$50000,"Madhu",'Adv. Filter'!$BQ$1:$BQ$50000,$C940,'Adv. Filter'!$BH$1:$BH$50000,"Bank",'Adv. Filter'!$BO$1:$BO$50000,'Adv. Filter'!$A$14,'Adv. Filter'!$BO$1:$BO$50000,'Adv. Filter'!$B$14)</f>
        <v>0</v>
      </c>
      <c r="AE940" s="277"/>
      <c r="AF940" s="277"/>
      <c r="AG940" s="277"/>
      <c r="AH940" s="277"/>
      <c r="AI940" s="277"/>
      <c r="AJ940" s="277"/>
      <c r="AK940" s="277"/>
      <c r="AL940" s="277"/>
      <c r="AM940" s="278"/>
      <c r="AN940" s="276">
        <f t="shared" ref="AN940:AN975" si="32">T940+AD940</f>
        <v>0</v>
      </c>
      <c r="AO940" s="277"/>
      <c r="AP940" s="277"/>
      <c r="AQ940" s="277"/>
      <c r="AR940" s="277"/>
      <c r="AS940" s="277"/>
      <c r="AT940" s="277"/>
      <c r="AU940" s="277"/>
      <c r="AV940" s="277"/>
      <c r="AW940" s="278"/>
      <c r="AX940" s="45"/>
      <c r="AY940" s="293" t="s">
        <v>551</v>
      </c>
      <c r="AZ940" s="294"/>
      <c r="BA940" s="294"/>
      <c r="BB940" s="294"/>
      <c r="BC940" s="294"/>
      <c r="BD940" s="294"/>
      <c r="BE940" s="294"/>
      <c r="BF940" s="294"/>
      <c r="BG940" s="294"/>
      <c r="BH940" s="294"/>
      <c r="BI940" s="294"/>
      <c r="BJ940" s="294"/>
      <c r="BK940" s="294"/>
      <c r="BL940" s="294"/>
      <c r="BM940" s="294"/>
      <c r="BN940" s="294"/>
      <c r="BO940" s="295"/>
      <c r="BP940" s="276">
        <f>SUMIFS('Adv. Filter'!$BJ$1:$BJ$50000,'Adv. Filter'!$BT$1:$BT$50000,"Madhu",'Adv. Filter'!$BQ$1:$BQ$50000,$AY940,'Adv. Filter'!$BH$1:$BH$50000,"Cash",'Adv. Filter'!$BO$1:$BO$50000,"&lt;"&amp;'Adv. Filter'!$A$15)</f>
        <v>0</v>
      </c>
      <c r="BQ940" s="277"/>
      <c r="BR940" s="277"/>
      <c r="BS940" s="277"/>
      <c r="BT940" s="277"/>
      <c r="BU940" s="277"/>
      <c r="BV940" s="277"/>
      <c r="BW940" s="277"/>
      <c r="BX940" s="277"/>
      <c r="BY940" s="278"/>
      <c r="BZ940" s="276">
        <f>SUMIFS('Adv. Filter'!$BJ$1:$BJ$50000,'Adv. Filter'!$BT$1:$BT$50000,"Madhu",'Adv. Filter'!$BQ$1:$BQ$50000,$AY940,'Adv. Filter'!$BH$1:$BH$50000,"Bank",'Adv. Filter'!$BO$1:$BO$50000,"&lt;"&amp;'Adv. Filter'!$A$15)</f>
        <v>0</v>
      </c>
      <c r="CA940" s="277"/>
      <c r="CB940" s="277"/>
      <c r="CC940" s="277"/>
      <c r="CD940" s="277"/>
      <c r="CE940" s="277"/>
      <c r="CF940" s="277"/>
      <c r="CG940" s="277"/>
      <c r="CH940" s="277"/>
      <c r="CI940" s="278"/>
      <c r="CJ940" s="276">
        <f t="shared" ref="CJ940:CJ975" si="33">BP940+BZ940</f>
        <v>0</v>
      </c>
      <c r="CK940" s="277"/>
      <c r="CL940" s="277"/>
      <c r="CM940" s="277"/>
      <c r="CN940" s="277"/>
      <c r="CO940" s="277"/>
      <c r="CP940" s="277"/>
      <c r="CQ940" s="277"/>
      <c r="CR940" s="277"/>
      <c r="CS940" s="278"/>
      <c r="CT940" s="44"/>
      <c r="CU940" s="44"/>
      <c r="CV940" s="44"/>
      <c r="CW940" s="44"/>
      <c r="CX940" s="44"/>
      <c r="CY940" s="44"/>
      <c r="CZ940" s="44"/>
    </row>
    <row r="941" spans="1:104" hidden="1">
      <c r="C941" s="308" t="s">
        <v>115</v>
      </c>
      <c r="D941" s="309"/>
      <c r="E941" s="309"/>
      <c r="F941" s="309"/>
      <c r="G941" s="309"/>
      <c r="H941" s="309"/>
      <c r="I941" s="309"/>
      <c r="J941" s="309"/>
      <c r="K941" s="309"/>
      <c r="L941" s="309"/>
      <c r="M941" s="309"/>
      <c r="N941" s="309"/>
      <c r="O941" s="309"/>
      <c r="P941" s="309"/>
      <c r="Q941" s="309"/>
      <c r="R941" s="309"/>
      <c r="S941" s="310"/>
      <c r="T941" s="267">
        <f>SUMIFS('Adv. Filter'!$BJ$1:$BJ$50000,'Adv. Filter'!$BT$1:$BT$50000,"Madhu",'Adv. Filter'!$BQ$1:$BQ$50000,$C940,'Adv. Filter'!$BH$1:$BH$50000,"Cash",'Adv. Filter'!$BO$1:$BO$50000,'Adv. Filter'!$A$14,'Adv. Filter'!$BO$1:$BO$50000,'Adv. Filter'!$B$14,'Adv. Filter'!$BP$1:$BP$50000,"Project")</f>
        <v>0</v>
      </c>
      <c r="U941" s="268"/>
      <c r="V941" s="268"/>
      <c r="W941" s="268"/>
      <c r="X941" s="268"/>
      <c r="Y941" s="268"/>
      <c r="Z941" s="268"/>
      <c r="AA941" s="268"/>
      <c r="AB941" s="268"/>
      <c r="AC941" s="269"/>
      <c r="AD941" s="267">
        <f>SUMIFS('Adv. Filter'!$BJ$1:$BJ$50000,'Adv. Filter'!$BT$1:$BT$50000,"Madhu",'Adv. Filter'!$BQ$1:$BQ$50000,$C940,'Adv. Filter'!$BH$1:$BH$50000,"Bank",'Adv. Filter'!$BO$1:$BO$50000,'Adv. Filter'!$A$14,'Adv. Filter'!$BO$1:$BO$50000,'Adv. Filter'!$B$14,'Adv. Filter'!$BP$1:$BP$50000,"Project")</f>
        <v>0</v>
      </c>
      <c r="AE941" s="268"/>
      <c r="AF941" s="268"/>
      <c r="AG941" s="268"/>
      <c r="AH941" s="268"/>
      <c r="AI941" s="268"/>
      <c r="AJ941" s="268"/>
      <c r="AK941" s="268"/>
      <c r="AL941" s="268"/>
      <c r="AM941" s="269"/>
      <c r="AN941" s="267">
        <f t="shared" si="32"/>
        <v>0</v>
      </c>
      <c r="AO941" s="268"/>
      <c r="AP941" s="268"/>
      <c r="AQ941" s="268"/>
      <c r="AR941" s="268"/>
      <c r="AS941" s="268"/>
      <c r="AT941" s="268"/>
      <c r="AU941" s="268"/>
      <c r="AV941" s="268"/>
      <c r="AW941" s="269"/>
      <c r="AX941" s="22"/>
      <c r="AY941" s="308" t="s">
        <v>115</v>
      </c>
      <c r="AZ941" s="309"/>
      <c r="BA941" s="309"/>
      <c r="BB941" s="309"/>
      <c r="BC941" s="309"/>
      <c r="BD941" s="309"/>
      <c r="BE941" s="309"/>
      <c r="BF941" s="309"/>
      <c r="BG941" s="309"/>
      <c r="BH941" s="309"/>
      <c r="BI941" s="309"/>
      <c r="BJ941" s="309"/>
      <c r="BK941" s="309"/>
      <c r="BL941" s="309"/>
      <c r="BM941" s="309"/>
      <c r="BN941" s="309"/>
      <c r="BO941" s="310"/>
      <c r="BP941" s="267">
        <f>SUMIFS('Adv. Filter'!$BJ$1:$BJ$50000,'Adv. Filter'!$BT$1:$BT$50000,"Madhu",'Adv. Filter'!$BQ$1:$BQ$50000,$AY940,'Adv. Filter'!$BH$1:$BH$50000,"Cash",'Adv. Filter'!$BO$1:$BO$50000,"&lt;"&amp;'Adv. Filter'!$A$15,'Adv. Filter'!$BP$1:$BP$50000,"Project")</f>
        <v>0</v>
      </c>
      <c r="BQ941" s="268"/>
      <c r="BR941" s="268"/>
      <c r="BS941" s="268"/>
      <c r="BT941" s="268"/>
      <c r="BU941" s="268"/>
      <c r="BV941" s="268"/>
      <c r="BW941" s="268"/>
      <c r="BX941" s="268"/>
      <c r="BY941" s="269"/>
      <c r="BZ941" s="267">
        <f>SUMIFS('Adv. Filter'!$BJ$1:$BJ$50000,'Adv. Filter'!$BT$1:$BT$50000,"Madhu",'Adv. Filter'!$BQ$1:$BQ$50000,$AY940,'Adv. Filter'!$BH$1:$BH$50000,"Bank",'Adv. Filter'!$BO$1:$BO$50000,"&lt;"&amp;'Adv. Filter'!$A$15,'Adv. Filter'!$BP$1:$BP$50000,"Project")</f>
        <v>0</v>
      </c>
      <c r="CA941" s="268"/>
      <c r="CB941" s="268"/>
      <c r="CC941" s="268"/>
      <c r="CD941" s="268"/>
      <c r="CE941" s="268"/>
      <c r="CF941" s="268"/>
      <c r="CG941" s="268"/>
      <c r="CH941" s="268"/>
      <c r="CI941" s="269"/>
      <c r="CJ941" s="267">
        <f t="shared" si="33"/>
        <v>0</v>
      </c>
      <c r="CK941" s="268"/>
      <c r="CL941" s="268"/>
      <c r="CM941" s="268"/>
      <c r="CN941" s="268"/>
      <c r="CO941" s="268"/>
      <c r="CP941" s="268"/>
      <c r="CQ941" s="268"/>
      <c r="CR941" s="268"/>
      <c r="CS941" s="269"/>
    </row>
    <row r="942" spans="1:104" hidden="1">
      <c r="C942" s="308" t="s">
        <v>510</v>
      </c>
      <c r="D942" s="309"/>
      <c r="E942" s="309"/>
      <c r="F942" s="309"/>
      <c r="G942" s="309"/>
      <c r="H942" s="309"/>
      <c r="I942" s="309"/>
      <c r="J942" s="309"/>
      <c r="K942" s="309"/>
      <c r="L942" s="309"/>
      <c r="M942" s="309"/>
      <c r="N942" s="309"/>
      <c r="O942" s="309"/>
      <c r="P942" s="309"/>
      <c r="Q942" s="309"/>
      <c r="R942" s="309"/>
      <c r="S942" s="310"/>
      <c r="T942" s="267">
        <v>0</v>
      </c>
      <c r="U942" s="268"/>
      <c r="V942" s="268"/>
      <c r="W942" s="268"/>
      <c r="X942" s="268"/>
      <c r="Y942" s="268"/>
      <c r="Z942" s="268"/>
      <c r="AA942" s="268"/>
      <c r="AB942" s="268"/>
      <c r="AC942" s="269"/>
      <c r="AD942" s="267">
        <v>0</v>
      </c>
      <c r="AE942" s="268"/>
      <c r="AF942" s="268"/>
      <c r="AG942" s="268"/>
      <c r="AH942" s="268"/>
      <c r="AI942" s="268"/>
      <c r="AJ942" s="268"/>
      <c r="AK942" s="268"/>
      <c r="AL942" s="268"/>
      <c r="AM942" s="269"/>
      <c r="AN942" s="267">
        <f t="shared" si="32"/>
        <v>0</v>
      </c>
      <c r="AO942" s="268"/>
      <c r="AP942" s="268"/>
      <c r="AQ942" s="268"/>
      <c r="AR942" s="268"/>
      <c r="AS942" s="268"/>
      <c r="AT942" s="268"/>
      <c r="AU942" s="268"/>
      <c r="AV942" s="268"/>
      <c r="AW942" s="269"/>
      <c r="AX942" s="22"/>
      <c r="AY942" s="308" t="s">
        <v>510</v>
      </c>
      <c r="AZ942" s="309"/>
      <c r="BA942" s="309"/>
      <c r="BB942" s="309"/>
      <c r="BC942" s="309"/>
      <c r="BD942" s="309"/>
      <c r="BE942" s="309"/>
      <c r="BF942" s="309"/>
      <c r="BG942" s="309"/>
      <c r="BH942" s="309"/>
      <c r="BI942" s="309"/>
      <c r="BJ942" s="309"/>
      <c r="BK942" s="309"/>
      <c r="BL942" s="309"/>
      <c r="BM942" s="309"/>
      <c r="BN942" s="309"/>
      <c r="BO942" s="310"/>
      <c r="BP942" s="267"/>
      <c r="BQ942" s="268"/>
      <c r="BR942" s="268"/>
      <c r="BS942" s="268"/>
      <c r="BT942" s="268"/>
      <c r="BU942" s="268"/>
      <c r="BV942" s="268"/>
      <c r="BW942" s="268"/>
      <c r="BX942" s="268"/>
      <c r="BY942" s="269"/>
      <c r="BZ942" s="267"/>
      <c r="CA942" s="268"/>
      <c r="CB942" s="268"/>
      <c r="CC942" s="268"/>
      <c r="CD942" s="268"/>
      <c r="CE942" s="268"/>
      <c r="CF942" s="268"/>
      <c r="CG942" s="268"/>
      <c r="CH942" s="268"/>
      <c r="CI942" s="269"/>
      <c r="CJ942" s="267">
        <f t="shared" si="33"/>
        <v>0</v>
      </c>
      <c r="CK942" s="268"/>
      <c r="CL942" s="268"/>
      <c r="CM942" s="268"/>
      <c r="CN942" s="268"/>
      <c r="CO942" s="268"/>
      <c r="CP942" s="268"/>
      <c r="CQ942" s="268"/>
      <c r="CR942" s="268"/>
      <c r="CS942" s="269"/>
    </row>
    <row r="943" spans="1:104" hidden="1">
      <c r="A943" s="44"/>
      <c r="B943" s="44"/>
      <c r="C943" s="293" t="s">
        <v>121</v>
      </c>
      <c r="D943" s="294"/>
      <c r="E943" s="294"/>
      <c r="F943" s="294"/>
      <c r="G943" s="294"/>
      <c r="H943" s="294"/>
      <c r="I943" s="294"/>
      <c r="J943" s="294"/>
      <c r="K943" s="294"/>
      <c r="L943" s="294"/>
      <c r="M943" s="294"/>
      <c r="N943" s="294"/>
      <c r="O943" s="294"/>
      <c r="P943" s="294"/>
      <c r="Q943" s="294"/>
      <c r="R943" s="294"/>
      <c r="S943" s="295"/>
      <c r="T943" s="276">
        <f>SUMIFS('Adv. Filter'!$BJ$1:$BJ$50000,'Adv. Filter'!$BT$1:$BT$50000,"Madhu",'Adv. Filter'!$BQ$1:$BQ$50000,$C943,'Adv. Filter'!$BH$1:$BH$50000,"Cash",'Adv. Filter'!$BO$1:$BO$50000,'Adv. Filter'!$A$14,'Adv. Filter'!$BO$1:$BO$50000,'Adv. Filter'!$B$14)</f>
        <v>0</v>
      </c>
      <c r="U943" s="277"/>
      <c r="V943" s="277"/>
      <c r="W943" s="277"/>
      <c r="X943" s="277"/>
      <c r="Y943" s="277"/>
      <c r="Z943" s="277"/>
      <c r="AA943" s="277"/>
      <c r="AB943" s="277"/>
      <c r="AC943" s="278"/>
      <c r="AD943" s="276">
        <f>SUMIFS('Adv. Filter'!$BJ$1:$BJ$50000,'Adv. Filter'!$BT$1:$BT$50000,"Madhu",'Adv. Filter'!$BQ$1:$BQ$50000,$C943,'Adv. Filter'!$BH$1:$BH$50000,"Bank",'Adv. Filter'!$BO$1:$BO$50000,'Adv. Filter'!$A$14,'Adv. Filter'!$BO$1:$BO$50000,'Adv. Filter'!$B$14)</f>
        <v>0</v>
      </c>
      <c r="AE943" s="277"/>
      <c r="AF943" s="277"/>
      <c r="AG943" s="277"/>
      <c r="AH943" s="277"/>
      <c r="AI943" s="277"/>
      <c r="AJ943" s="277"/>
      <c r="AK943" s="277"/>
      <c r="AL943" s="277"/>
      <c r="AM943" s="278"/>
      <c r="AN943" s="276">
        <f t="shared" si="32"/>
        <v>0</v>
      </c>
      <c r="AO943" s="277"/>
      <c r="AP943" s="277"/>
      <c r="AQ943" s="277"/>
      <c r="AR943" s="277"/>
      <c r="AS943" s="277"/>
      <c r="AT943" s="277"/>
      <c r="AU943" s="277"/>
      <c r="AV943" s="277"/>
      <c r="AW943" s="278"/>
      <c r="AX943" s="45"/>
      <c r="AY943" s="293" t="s">
        <v>121</v>
      </c>
      <c r="AZ943" s="294"/>
      <c r="BA943" s="294"/>
      <c r="BB943" s="294"/>
      <c r="BC943" s="294"/>
      <c r="BD943" s="294"/>
      <c r="BE943" s="294"/>
      <c r="BF943" s="294"/>
      <c r="BG943" s="294"/>
      <c r="BH943" s="294"/>
      <c r="BI943" s="294"/>
      <c r="BJ943" s="294"/>
      <c r="BK943" s="294"/>
      <c r="BL943" s="294"/>
      <c r="BM943" s="294"/>
      <c r="BN943" s="294"/>
      <c r="BO943" s="295"/>
      <c r="BP943" s="276">
        <f>SUMIFS('Adv. Filter'!$BJ$1:$BJ$50000,'Adv. Filter'!$BT$1:$BT$50000,"Madhu",'Adv. Filter'!$BQ$1:$BQ$50000,$AY943,'Adv. Filter'!$BH$1:$BH$50000,"Cash",'Adv. Filter'!$BO$1:$BO$50000,"&lt;"&amp;'Adv. Filter'!$A$15)</f>
        <v>0</v>
      </c>
      <c r="BQ943" s="277"/>
      <c r="BR943" s="277"/>
      <c r="BS943" s="277"/>
      <c r="BT943" s="277"/>
      <c r="BU943" s="277"/>
      <c r="BV943" s="277"/>
      <c r="BW943" s="277"/>
      <c r="BX943" s="277"/>
      <c r="BY943" s="278"/>
      <c r="BZ943" s="276">
        <f>SUMIFS('Adv. Filter'!$BJ$1:$BJ$50000,'Adv. Filter'!$BT$1:$BT$50000,"Madhu",'Adv. Filter'!$BQ$1:$BQ$50000,$AY943,'Adv. Filter'!$BH$1:$BH$50000,"Bank",'Adv. Filter'!$BO$1:$BO$50000,"&lt;"&amp;'Adv. Filter'!$A$15)</f>
        <v>0</v>
      </c>
      <c r="CA943" s="277"/>
      <c r="CB943" s="277"/>
      <c r="CC943" s="277"/>
      <c r="CD943" s="277"/>
      <c r="CE943" s="277"/>
      <c r="CF943" s="277"/>
      <c r="CG943" s="277"/>
      <c r="CH943" s="277"/>
      <c r="CI943" s="278"/>
      <c r="CJ943" s="276">
        <f t="shared" si="33"/>
        <v>0</v>
      </c>
      <c r="CK943" s="277"/>
      <c r="CL943" s="277"/>
      <c r="CM943" s="277"/>
      <c r="CN943" s="277"/>
      <c r="CO943" s="277"/>
      <c r="CP943" s="277"/>
      <c r="CQ943" s="277"/>
      <c r="CR943" s="277"/>
      <c r="CS943" s="278"/>
      <c r="CT943" s="44"/>
      <c r="CU943" s="44"/>
      <c r="CV943" s="44"/>
      <c r="CW943" s="44"/>
      <c r="CX943" s="44"/>
      <c r="CY943" s="44"/>
      <c r="CZ943" s="44"/>
    </row>
    <row r="944" spans="1:104" hidden="1">
      <c r="C944" s="308" t="s">
        <v>115</v>
      </c>
      <c r="D944" s="309"/>
      <c r="E944" s="309"/>
      <c r="F944" s="309"/>
      <c r="G944" s="309"/>
      <c r="H944" s="309"/>
      <c r="I944" s="309"/>
      <c r="J944" s="309"/>
      <c r="K944" s="309"/>
      <c r="L944" s="309"/>
      <c r="M944" s="309"/>
      <c r="N944" s="309"/>
      <c r="O944" s="309"/>
      <c r="P944" s="309"/>
      <c r="Q944" s="309"/>
      <c r="R944" s="309"/>
      <c r="S944" s="310"/>
      <c r="T944" s="267">
        <f>SUMIFS('Adv. Filter'!$BJ$1:$BJ$50000,'Adv. Filter'!$BT$1:$BT$50000,"Madhu",'Adv. Filter'!$BQ$1:$BQ$50000,$C943,'Adv. Filter'!$BH$1:$BH$50000,"Cash",'Adv. Filter'!$BO$1:$BO$50000,'Adv. Filter'!$A$14,'Adv. Filter'!$BO$1:$BO$50000,'Adv. Filter'!$B$14,'Adv. Filter'!$BP$1:$BP$50000,"Project")</f>
        <v>0</v>
      </c>
      <c r="U944" s="268"/>
      <c r="V944" s="268"/>
      <c r="W944" s="268"/>
      <c r="X944" s="268"/>
      <c r="Y944" s="268"/>
      <c r="Z944" s="268"/>
      <c r="AA944" s="268"/>
      <c r="AB944" s="268"/>
      <c r="AC944" s="269"/>
      <c r="AD944" s="267">
        <f>SUMIFS('Adv. Filter'!$BJ$1:$BJ$50000,'Adv. Filter'!$BT$1:$BT$50000,"Madhu",'Adv. Filter'!$BQ$1:$BQ$50000,$C943,'Adv. Filter'!$BH$1:$BH$50000,"Bank",'Adv. Filter'!$BO$1:$BO$50000,'Adv. Filter'!$A$14,'Adv. Filter'!$BO$1:$BO$50000,'Adv. Filter'!$B$14,'Adv. Filter'!$BP$1:$BP$50000,"Project")</f>
        <v>0</v>
      </c>
      <c r="AE944" s="268"/>
      <c r="AF944" s="268"/>
      <c r="AG944" s="268"/>
      <c r="AH944" s="268"/>
      <c r="AI944" s="268"/>
      <c r="AJ944" s="268"/>
      <c r="AK944" s="268"/>
      <c r="AL944" s="268"/>
      <c r="AM944" s="269"/>
      <c r="AN944" s="267">
        <f t="shared" si="32"/>
        <v>0</v>
      </c>
      <c r="AO944" s="268"/>
      <c r="AP944" s="268"/>
      <c r="AQ944" s="268"/>
      <c r="AR944" s="268"/>
      <c r="AS944" s="268"/>
      <c r="AT944" s="268"/>
      <c r="AU944" s="268"/>
      <c r="AV944" s="268"/>
      <c r="AW944" s="269"/>
      <c r="AX944" s="22"/>
      <c r="AY944" s="308" t="s">
        <v>115</v>
      </c>
      <c r="AZ944" s="309"/>
      <c r="BA944" s="309"/>
      <c r="BB944" s="309"/>
      <c r="BC944" s="309"/>
      <c r="BD944" s="309"/>
      <c r="BE944" s="309"/>
      <c r="BF944" s="309"/>
      <c r="BG944" s="309"/>
      <c r="BH944" s="309"/>
      <c r="BI944" s="309"/>
      <c r="BJ944" s="309"/>
      <c r="BK944" s="309"/>
      <c r="BL944" s="309"/>
      <c r="BM944" s="309"/>
      <c r="BN944" s="309"/>
      <c r="BO944" s="310"/>
      <c r="BP944" s="267">
        <f>SUMIFS('Adv. Filter'!$BJ$1:$BJ$50000,'Adv. Filter'!$BT$1:$BT$50000,"Madhu",'Adv. Filter'!$BQ$1:$BQ$50000,$AY943,'Adv. Filter'!$BH$1:$BH$50000,"Cash",'Adv. Filter'!$BO$1:$BO$50000,"&lt;"&amp;'Adv. Filter'!$A$15,'Adv. Filter'!$BP$1:$BP$50000,"Project")</f>
        <v>0</v>
      </c>
      <c r="BQ944" s="268"/>
      <c r="BR944" s="268"/>
      <c r="BS944" s="268"/>
      <c r="BT944" s="268"/>
      <c r="BU944" s="268"/>
      <c r="BV944" s="268"/>
      <c r="BW944" s="268"/>
      <c r="BX944" s="268"/>
      <c r="BY944" s="269"/>
      <c r="BZ944" s="267">
        <f>SUMIFS('Adv. Filter'!$BJ$1:$BJ$50000,'Adv. Filter'!$BT$1:$BT$50000,"Madhu",'Adv. Filter'!$BQ$1:$BQ$50000,$AY943,'Adv. Filter'!$BH$1:$BH$50000,"Bank",'Adv. Filter'!$BO$1:$BO$50000,"&lt;"&amp;'Adv. Filter'!$A$15,'Adv. Filter'!$BP$1:$BP$50000,"Project")</f>
        <v>0</v>
      </c>
      <c r="CA944" s="268"/>
      <c r="CB944" s="268"/>
      <c r="CC944" s="268"/>
      <c r="CD944" s="268"/>
      <c r="CE944" s="268"/>
      <c r="CF944" s="268"/>
      <c r="CG944" s="268"/>
      <c r="CH944" s="268"/>
      <c r="CI944" s="269"/>
      <c r="CJ944" s="267">
        <f t="shared" si="33"/>
        <v>0</v>
      </c>
      <c r="CK944" s="268"/>
      <c r="CL944" s="268"/>
      <c r="CM944" s="268"/>
      <c r="CN944" s="268"/>
      <c r="CO944" s="268"/>
      <c r="CP944" s="268"/>
      <c r="CQ944" s="268"/>
      <c r="CR944" s="268"/>
      <c r="CS944" s="269"/>
    </row>
    <row r="945" spans="1:104" hidden="1">
      <c r="C945" s="308" t="s">
        <v>510</v>
      </c>
      <c r="D945" s="309"/>
      <c r="E945" s="309"/>
      <c r="F945" s="309"/>
      <c r="G945" s="309"/>
      <c r="H945" s="309"/>
      <c r="I945" s="309"/>
      <c r="J945" s="309"/>
      <c r="K945" s="309"/>
      <c r="L945" s="309"/>
      <c r="M945" s="309"/>
      <c r="N945" s="309"/>
      <c r="O945" s="309"/>
      <c r="P945" s="309"/>
      <c r="Q945" s="309"/>
      <c r="R945" s="309"/>
      <c r="S945" s="310"/>
      <c r="T945" s="267">
        <v>0</v>
      </c>
      <c r="U945" s="268"/>
      <c r="V945" s="268"/>
      <c r="W945" s="268"/>
      <c r="X945" s="268"/>
      <c r="Y945" s="268"/>
      <c r="Z945" s="268"/>
      <c r="AA945" s="268"/>
      <c r="AB945" s="268"/>
      <c r="AC945" s="269"/>
      <c r="AD945" s="267">
        <v>0</v>
      </c>
      <c r="AE945" s="268"/>
      <c r="AF945" s="268"/>
      <c r="AG945" s="268"/>
      <c r="AH945" s="268"/>
      <c r="AI945" s="268"/>
      <c r="AJ945" s="268"/>
      <c r="AK945" s="268"/>
      <c r="AL945" s="268"/>
      <c r="AM945" s="269"/>
      <c r="AN945" s="267">
        <f t="shared" si="32"/>
        <v>0</v>
      </c>
      <c r="AO945" s="268"/>
      <c r="AP945" s="268"/>
      <c r="AQ945" s="268"/>
      <c r="AR945" s="268"/>
      <c r="AS945" s="268"/>
      <c r="AT945" s="268"/>
      <c r="AU945" s="268"/>
      <c r="AV945" s="268"/>
      <c r="AW945" s="269"/>
      <c r="AX945" s="22"/>
      <c r="AY945" s="308" t="s">
        <v>510</v>
      </c>
      <c r="AZ945" s="309"/>
      <c r="BA945" s="309"/>
      <c r="BB945" s="309"/>
      <c r="BC945" s="309"/>
      <c r="BD945" s="309"/>
      <c r="BE945" s="309"/>
      <c r="BF945" s="309"/>
      <c r="BG945" s="309"/>
      <c r="BH945" s="309"/>
      <c r="BI945" s="309"/>
      <c r="BJ945" s="309"/>
      <c r="BK945" s="309"/>
      <c r="BL945" s="309"/>
      <c r="BM945" s="309"/>
      <c r="BN945" s="309"/>
      <c r="BO945" s="310"/>
      <c r="BP945" s="267"/>
      <c r="BQ945" s="268"/>
      <c r="BR945" s="268"/>
      <c r="BS945" s="268"/>
      <c r="BT945" s="268"/>
      <c r="BU945" s="268"/>
      <c r="BV945" s="268"/>
      <c r="BW945" s="268"/>
      <c r="BX945" s="268"/>
      <c r="BY945" s="269"/>
      <c r="BZ945" s="267"/>
      <c r="CA945" s="268"/>
      <c r="CB945" s="268"/>
      <c r="CC945" s="268"/>
      <c r="CD945" s="268"/>
      <c r="CE945" s="268"/>
      <c r="CF945" s="268"/>
      <c r="CG945" s="268"/>
      <c r="CH945" s="268"/>
      <c r="CI945" s="269"/>
      <c r="CJ945" s="267">
        <f t="shared" si="33"/>
        <v>0</v>
      </c>
      <c r="CK945" s="268"/>
      <c r="CL945" s="268"/>
      <c r="CM945" s="268"/>
      <c r="CN945" s="268"/>
      <c r="CO945" s="268"/>
      <c r="CP945" s="268"/>
      <c r="CQ945" s="268"/>
      <c r="CR945" s="268"/>
      <c r="CS945" s="269"/>
    </row>
    <row r="946" spans="1:104" hidden="1">
      <c r="C946" s="43"/>
      <c r="D946" s="36" t="str">
        <f>IF(AN943=0,C943&amp;" -","")</f>
        <v>SBH -</v>
      </c>
      <c r="E946" s="42"/>
      <c r="F946" s="42"/>
      <c r="G946" s="42"/>
      <c r="H946" s="42"/>
      <c r="I946" s="42"/>
      <c r="J946" s="42"/>
      <c r="K946" s="42"/>
      <c r="L946" s="42"/>
      <c r="M946" s="42"/>
      <c r="N946" s="42"/>
      <c r="O946" s="42"/>
      <c r="P946" s="1"/>
      <c r="Q946" s="42"/>
      <c r="R946" s="41" t="s">
        <v>275</v>
      </c>
      <c r="S946" s="40"/>
      <c r="T946" s="267">
        <f>SUMIFS('Adv. Filter'!$CH$1:$CH$50000,'Adv. Filter'!$CD$1:$CD$50000,"Madhu",'Adv. Filter'!$CE$1:$CE$50000,$C943,'Adv. Filter'!$CC$1:$CC$50000,"Suspense",'Adv. Filter'!$CF$1:$CF$50000,"Cash")</f>
        <v>0</v>
      </c>
      <c r="U946" s="268"/>
      <c r="V946" s="268"/>
      <c r="W946" s="268"/>
      <c r="X946" s="268"/>
      <c r="Y946" s="268"/>
      <c r="Z946" s="268"/>
      <c r="AA946" s="268"/>
      <c r="AB946" s="268"/>
      <c r="AC946" s="269"/>
      <c r="AD946" s="267">
        <f>SUMIFS('Adv. Filter'!$CH$1:$CH$50000,'Adv. Filter'!$CD$1:$CD$50000,"Madhu",'Adv. Filter'!$CE$1:$CE$50000,$C943,'Adv. Filter'!$CC$1:$CC$50000,"Suspense",'Adv. Filter'!$CF$1:$CF$50000,"Bank")</f>
        <v>0</v>
      </c>
      <c r="AE946" s="268"/>
      <c r="AF946" s="268"/>
      <c r="AG946" s="268"/>
      <c r="AH946" s="268"/>
      <c r="AI946" s="268"/>
      <c r="AJ946" s="268"/>
      <c r="AK946" s="268"/>
      <c r="AL946" s="268"/>
      <c r="AM946" s="269"/>
      <c r="AN946" s="267">
        <f t="shared" si="32"/>
        <v>0</v>
      </c>
      <c r="AO946" s="268"/>
      <c r="AP946" s="268"/>
      <c r="AQ946" s="268"/>
      <c r="AR946" s="268"/>
      <c r="AS946" s="268"/>
      <c r="AT946" s="268"/>
      <c r="AU946" s="268"/>
      <c r="AV946" s="268"/>
      <c r="AW946" s="269"/>
      <c r="AX946" s="22"/>
      <c r="AY946" s="43"/>
      <c r="AZ946" s="36" t="str">
        <f>IF(CJ943=0,AY943&amp;" -","")</f>
        <v>SBH -</v>
      </c>
      <c r="BA946" s="42"/>
      <c r="BB946" s="42"/>
      <c r="BC946" s="42"/>
      <c r="BD946" s="42"/>
      <c r="BE946" s="42"/>
      <c r="BF946" s="42"/>
      <c r="BG946" s="42"/>
      <c r="BH946" s="42"/>
      <c r="BI946" s="42"/>
      <c r="BJ946" s="42"/>
      <c r="BK946" s="42"/>
      <c r="BL946" s="1"/>
      <c r="BM946" s="42"/>
      <c r="BN946" s="41" t="s">
        <v>275</v>
      </c>
      <c r="BO946" s="40"/>
      <c r="BP946" s="267"/>
      <c r="BQ946" s="268"/>
      <c r="BR946" s="268"/>
      <c r="BS946" s="268"/>
      <c r="BT946" s="268"/>
      <c r="BU946" s="268"/>
      <c r="BV946" s="268"/>
      <c r="BW946" s="268"/>
      <c r="BX946" s="268"/>
      <c r="BY946" s="269"/>
      <c r="BZ946" s="267"/>
      <c r="CA946" s="268"/>
      <c r="CB946" s="268"/>
      <c r="CC946" s="268"/>
      <c r="CD946" s="268"/>
      <c r="CE946" s="268"/>
      <c r="CF946" s="268"/>
      <c r="CG946" s="268"/>
      <c r="CH946" s="268"/>
      <c r="CI946" s="269"/>
      <c r="CJ946" s="267">
        <f t="shared" si="33"/>
        <v>0</v>
      </c>
      <c r="CK946" s="268"/>
      <c r="CL946" s="268"/>
      <c r="CM946" s="268"/>
      <c r="CN946" s="268"/>
      <c r="CO946" s="268"/>
      <c r="CP946" s="268"/>
      <c r="CQ946" s="268"/>
      <c r="CR946" s="268"/>
      <c r="CS946" s="269"/>
    </row>
    <row r="947" spans="1:104" hidden="1">
      <c r="A947" s="44"/>
      <c r="B947" s="44"/>
      <c r="C947" s="293" t="s">
        <v>111</v>
      </c>
      <c r="D947" s="294"/>
      <c r="E947" s="294"/>
      <c r="F947" s="294"/>
      <c r="G947" s="294"/>
      <c r="H947" s="294"/>
      <c r="I947" s="294"/>
      <c r="J947" s="294"/>
      <c r="K947" s="294"/>
      <c r="L947" s="294"/>
      <c r="M947" s="294"/>
      <c r="N947" s="294"/>
      <c r="O947" s="294"/>
      <c r="P947" s="294"/>
      <c r="Q947" s="294"/>
      <c r="R947" s="294"/>
      <c r="S947" s="295"/>
      <c r="T947" s="276">
        <f>SUMIFS('Adv. Filter'!$BJ$1:$BJ$50000,'Adv. Filter'!$BT$1:$BT$50000,"Madhu",'Adv. Filter'!$BQ$1:$BQ$50000,$C947,'Adv. Filter'!$BH$1:$BH$50000,"Cash",'Adv. Filter'!$BO$1:$BO$50000,'Adv. Filter'!$A$14,'Adv. Filter'!$BO$1:$BO$50000,'Adv. Filter'!$B$14)</f>
        <v>0</v>
      </c>
      <c r="U947" s="277"/>
      <c r="V947" s="277"/>
      <c r="W947" s="277"/>
      <c r="X947" s="277"/>
      <c r="Y947" s="277"/>
      <c r="Z947" s="277"/>
      <c r="AA947" s="277"/>
      <c r="AB947" s="277"/>
      <c r="AC947" s="278"/>
      <c r="AD947" s="276">
        <f>SUMIFS('Adv. Filter'!$BJ$1:$BJ$50000,'Adv. Filter'!$BT$1:$BT$50000,"Madhu",'Adv. Filter'!$BQ$1:$BQ$50000,$C947,'Adv. Filter'!$BH$1:$BH$50000,"Bank",'Adv. Filter'!$BO$1:$BO$50000,'Adv. Filter'!$A$14,'Adv. Filter'!$BO$1:$BO$50000,'Adv. Filter'!$B$14)</f>
        <v>0</v>
      </c>
      <c r="AE947" s="277"/>
      <c r="AF947" s="277"/>
      <c r="AG947" s="277"/>
      <c r="AH947" s="277"/>
      <c r="AI947" s="277"/>
      <c r="AJ947" s="277"/>
      <c r="AK947" s="277"/>
      <c r="AL947" s="277"/>
      <c r="AM947" s="278"/>
      <c r="AN947" s="276">
        <f t="shared" si="32"/>
        <v>0</v>
      </c>
      <c r="AO947" s="277"/>
      <c r="AP947" s="277"/>
      <c r="AQ947" s="277"/>
      <c r="AR947" s="277"/>
      <c r="AS947" s="277"/>
      <c r="AT947" s="277"/>
      <c r="AU947" s="277"/>
      <c r="AV947" s="277"/>
      <c r="AW947" s="278"/>
      <c r="AX947" s="45"/>
      <c r="AY947" s="293" t="s">
        <v>111</v>
      </c>
      <c r="AZ947" s="294"/>
      <c r="BA947" s="294"/>
      <c r="BB947" s="294"/>
      <c r="BC947" s="294"/>
      <c r="BD947" s="294"/>
      <c r="BE947" s="294"/>
      <c r="BF947" s="294"/>
      <c r="BG947" s="294"/>
      <c r="BH947" s="294"/>
      <c r="BI947" s="294"/>
      <c r="BJ947" s="294"/>
      <c r="BK947" s="294"/>
      <c r="BL947" s="294"/>
      <c r="BM947" s="294"/>
      <c r="BN947" s="294"/>
      <c r="BO947" s="295"/>
      <c r="BP947" s="276">
        <f>SUMIFS('Adv. Filter'!$BJ$1:$BJ$50000,'Adv. Filter'!$BT$1:$BT$50000,"Madhu",'Adv. Filter'!$BQ$1:$BQ$50000,$AY947,'Adv. Filter'!$BH$1:$BH$50000,"Cash",'Adv. Filter'!$BO$1:$BO$50000,"&lt;"&amp;'Adv. Filter'!$A$15)</f>
        <v>0</v>
      </c>
      <c r="BQ947" s="277"/>
      <c r="BR947" s="277"/>
      <c r="BS947" s="277"/>
      <c r="BT947" s="277"/>
      <c r="BU947" s="277"/>
      <c r="BV947" s="277"/>
      <c r="BW947" s="277"/>
      <c r="BX947" s="277"/>
      <c r="BY947" s="278"/>
      <c r="BZ947" s="276">
        <f>SUMIFS('Adv. Filter'!$BJ$1:$BJ$50000,'Adv. Filter'!$BT$1:$BT$50000,"Madhu",'Adv. Filter'!$BQ$1:$BQ$50000,$AY947,'Adv. Filter'!$BH$1:$BH$50000,"Bank",'Adv. Filter'!$BO$1:$BO$50000,"&lt;"&amp;'Adv. Filter'!$A$15)</f>
        <v>0</v>
      </c>
      <c r="CA947" s="277"/>
      <c r="CB947" s="277"/>
      <c r="CC947" s="277"/>
      <c r="CD947" s="277"/>
      <c r="CE947" s="277"/>
      <c r="CF947" s="277"/>
      <c r="CG947" s="277"/>
      <c r="CH947" s="277"/>
      <c r="CI947" s="278"/>
      <c r="CJ947" s="276">
        <f t="shared" si="33"/>
        <v>0</v>
      </c>
      <c r="CK947" s="277"/>
      <c r="CL947" s="277"/>
      <c r="CM947" s="277"/>
      <c r="CN947" s="277"/>
      <c r="CO947" s="277"/>
      <c r="CP947" s="277"/>
      <c r="CQ947" s="277"/>
      <c r="CR947" s="277"/>
      <c r="CS947" s="278"/>
      <c r="CT947" s="44"/>
      <c r="CU947" s="44"/>
      <c r="CV947" s="44"/>
      <c r="CW947" s="44"/>
      <c r="CX947" s="44"/>
      <c r="CY947" s="44"/>
      <c r="CZ947" s="44"/>
    </row>
    <row r="948" spans="1:104" hidden="1">
      <c r="C948" s="308" t="s">
        <v>115</v>
      </c>
      <c r="D948" s="309"/>
      <c r="E948" s="309"/>
      <c r="F948" s="309"/>
      <c r="G948" s="309"/>
      <c r="H948" s="309"/>
      <c r="I948" s="309"/>
      <c r="J948" s="309"/>
      <c r="K948" s="309"/>
      <c r="L948" s="309"/>
      <c r="M948" s="309"/>
      <c r="N948" s="309"/>
      <c r="O948" s="309"/>
      <c r="P948" s="309"/>
      <c r="Q948" s="309"/>
      <c r="R948" s="309"/>
      <c r="S948" s="310"/>
      <c r="T948" s="267">
        <f>SUMIFS('Adv. Filter'!$BJ$1:$BJ$50000,'Adv. Filter'!$BT$1:$BT$50000,"Madhu",'Adv. Filter'!$BQ$1:$BQ$50000,$C947,'Adv. Filter'!$BH$1:$BH$50000,"Cash",'Adv. Filter'!$BO$1:$BO$50000,'Adv. Filter'!$A$14,'Adv. Filter'!$BO$1:$BO$50000,'Adv. Filter'!$B$14,'Adv. Filter'!$BP$1:$BP$50000,"Project")</f>
        <v>0</v>
      </c>
      <c r="U948" s="268"/>
      <c r="V948" s="268"/>
      <c r="W948" s="268"/>
      <c r="X948" s="268"/>
      <c r="Y948" s="268"/>
      <c r="Z948" s="268"/>
      <c r="AA948" s="268"/>
      <c r="AB948" s="268"/>
      <c r="AC948" s="269"/>
      <c r="AD948" s="267">
        <f>SUMIFS('Adv. Filter'!$BJ$1:$BJ$50000,'Adv. Filter'!$BT$1:$BT$50000,"Madhu",'Adv. Filter'!$BQ$1:$BQ$50000,$C947,'Adv. Filter'!$BH$1:$BH$50000,"Bank",'Adv. Filter'!$BO$1:$BO$50000,'Adv. Filter'!$A$14,'Adv. Filter'!$BO$1:$BO$50000,'Adv. Filter'!$B$14,'Adv. Filter'!$BP$1:$BP$50000,"Project")</f>
        <v>0</v>
      </c>
      <c r="AE948" s="268"/>
      <c r="AF948" s="268"/>
      <c r="AG948" s="268"/>
      <c r="AH948" s="268"/>
      <c r="AI948" s="268"/>
      <c r="AJ948" s="268"/>
      <c r="AK948" s="268"/>
      <c r="AL948" s="268"/>
      <c r="AM948" s="269"/>
      <c r="AN948" s="267">
        <f t="shared" si="32"/>
        <v>0</v>
      </c>
      <c r="AO948" s="268"/>
      <c r="AP948" s="268"/>
      <c r="AQ948" s="268"/>
      <c r="AR948" s="268"/>
      <c r="AS948" s="268"/>
      <c r="AT948" s="268"/>
      <c r="AU948" s="268"/>
      <c r="AV948" s="268"/>
      <c r="AW948" s="269"/>
      <c r="AX948" s="22"/>
      <c r="AY948" s="308" t="s">
        <v>115</v>
      </c>
      <c r="AZ948" s="309"/>
      <c r="BA948" s="309"/>
      <c r="BB948" s="309"/>
      <c r="BC948" s="309"/>
      <c r="BD948" s="309"/>
      <c r="BE948" s="309"/>
      <c r="BF948" s="309"/>
      <c r="BG948" s="309"/>
      <c r="BH948" s="309"/>
      <c r="BI948" s="309"/>
      <c r="BJ948" s="309"/>
      <c r="BK948" s="309"/>
      <c r="BL948" s="309"/>
      <c r="BM948" s="309"/>
      <c r="BN948" s="309"/>
      <c r="BO948" s="310"/>
      <c r="BP948" s="267">
        <f>SUMIFS('Adv. Filter'!$BJ$1:$BJ$50000,'Adv. Filter'!$BT$1:$BT$50000,"Madhu",'Adv. Filter'!$BQ$1:$BQ$50000,$AY947,'Adv. Filter'!$BH$1:$BH$50000,"Cash",'Adv. Filter'!$BO$1:$BO$50000,"&lt;"&amp;'Adv. Filter'!$A$15,'Adv. Filter'!$BP$1:$BP$50000,"Project")</f>
        <v>0</v>
      </c>
      <c r="BQ948" s="268"/>
      <c r="BR948" s="268"/>
      <c r="BS948" s="268"/>
      <c r="BT948" s="268"/>
      <c r="BU948" s="268"/>
      <c r="BV948" s="268"/>
      <c r="BW948" s="268"/>
      <c r="BX948" s="268"/>
      <c r="BY948" s="269"/>
      <c r="BZ948" s="267">
        <f>SUMIFS('Adv. Filter'!$BJ$1:$BJ$50000,'Adv. Filter'!$BT$1:$BT$50000,"Madhu",'Adv. Filter'!$BQ$1:$BQ$50000,$AY947,'Adv. Filter'!$BH$1:$BH$50000,"Bank",'Adv. Filter'!$BO$1:$BO$50000,"&lt;"&amp;'Adv. Filter'!$A$15,'Adv. Filter'!$BP$1:$BP$50000,"Project")</f>
        <v>0</v>
      </c>
      <c r="CA948" s="268"/>
      <c r="CB948" s="268"/>
      <c r="CC948" s="268"/>
      <c r="CD948" s="268"/>
      <c r="CE948" s="268"/>
      <c r="CF948" s="268"/>
      <c r="CG948" s="268"/>
      <c r="CH948" s="268"/>
      <c r="CI948" s="269"/>
      <c r="CJ948" s="267">
        <f t="shared" si="33"/>
        <v>0</v>
      </c>
      <c r="CK948" s="268"/>
      <c r="CL948" s="268"/>
      <c r="CM948" s="268"/>
      <c r="CN948" s="268"/>
      <c r="CO948" s="268"/>
      <c r="CP948" s="268"/>
      <c r="CQ948" s="268"/>
      <c r="CR948" s="268"/>
      <c r="CS948" s="269"/>
    </row>
    <row r="949" spans="1:104" hidden="1">
      <c r="C949" s="308" t="s">
        <v>510</v>
      </c>
      <c r="D949" s="309"/>
      <c r="E949" s="309"/>
      <c r="F949" s="309"/>
      <c r="G949" s="309"/>
      <c r="H949" s="309"/>
      <c r="I949" s="309"/>
      <c r="J949" s="309"/>
      <c r="K949" s="309"/>
      <c r="L949" s="309"/>
      <c r="M949" s="309"/>
      <c r="N949" s="309"/>
      <c r="O949" s="309"/>
      <c r="P949" s="309"/>
      <c r="Q949" s="309"/>
      <c r="R949" s="309"/>
      <c r="S949" s="310"/>
      <c r="T949" s="267">
        <v>0</v>
      </c>
      <c r="U949" s="268"/>
      <c r="V949" s="268"/>
      <c r="W949" s="268"/>
      <c r="X949" s="268"/>
      <c r="Y949" s="268"/>
      <c r="Z949" s="268"/>
      <c r="AA949" s="268"/>
      <c r="AB949" s="268"/>
      <c r="AC949" s="269"/>
      <c r="AD949" s="267">
        <v>0</v>
      </c>
      <c r="AE949" s="268"/>
      <c r="AF949" s="268"/>
      <c r="AG949" s="268"/>
      <c r="AH949" s="268"/>
      <c r="AI949" s="268"/>
      <c r="AJ949" s="268"/>
      <c r="AK949" s="268"/>
      <c r="AL949" s="268"/>
      <c r="AM949" s="269"/>
      <c r="AN949" s="267">
        <f t="shared" si="32"/>
        <v>0</v>
      </c>
      <c r="AO949" s="268"/>
      <c r="AP949" s="268"/>
      <c r="AQ949" s="268"/>
      <c r="AR949" s="268"/>
      <c r="AS949" s="268"/>
      <c r="AT949" s="268"/>
      <c r="AU949" s="268"/>
      <c r="AV949" s="268"/>
      <c r="AW949" s="269"/>
      <c r="AX949" s="22"/>
      <c r="AY949" s="308" t="s">
        <v>510</v>
      </c>
      <c r="AZ949" s="309"/>
      <c r="BA949" s="309"/>
      <c r="BB949" s="309"/>
      <c r="BC949" s="309"/>
      <c r="BD949" s="309"/>
      <c r="BE949" s="309"/>
      <c r="BF949" s="309"/>
      <c r="BG949" s="309"/>
      <c r="BH949" s="309"/>
      <c r="BI949" s="309"/>
      <c r="BJ949" s="309"/>
      <c r="BK949" s="309"/>
      <c r="BL949" s="309"/>
      <c r="BM949" s="309"/>
      <c r="BN949" s="309"/>
      <c r="BO949" s="310"/>
      <c r="BP949" s="267"/>
      <c r="BQ949" s="268"/>
      <c r="BR949" s="268"/>
      <c r="BS949" s="268"/>
      <c r="BT949" s="268"/>
      <c r="BU949" s="268"/>
      <c r="BV949" s="268"/>
      <c r="BW949" s="268"/>
      <c r="BX949" s="268"/>
      <c r="BY949" s="269"/>
      <c r="BZ949" s="267"/>
      <c r="CA949" s="268"/>
      <c r="CB949" s="268"/>
      <c r="CC949" s="268"/>
      <c r="CD949" s="268"/>
      <c r="CE949" s="268"/>
      <c r="CF949" s="268"/>
      <c r="CG949" s="268"/>
      <c r="CH949" s="268"/>
      <c r="CI949" s="269"/>
      <c r="CJ949" s="267">
        <f t="shared" si="33"/>
        <v>0</v>
      </c>
      <c r="CK949" s="268"/>
      <c r="CL949" s="268"/>
      <c r="CM949" s="268"/>
      <c r="CN949" s="268"/>
      <c r="CO949" s="268"/>
      <c r="CP949" s="268"/>
      <c r="CQ949" s="268"/>
      <c r="CR949" s="268"/>
      <c r="CS949" s="269"/>
    </row>
    <row r="950" spans="1:104" hidden="1">
      <c r="C950" s="43"/>
      <c r="D950" s="36" t="str">
        <f>IF(AN947=0,C947&amp;" -","")</f>
        <v>SBM -</v>
      </c>
      <c r="E950" s="42"/>
      <c r="F950" s="42"/>
      <c r="G950" s="42"/>
      <c r="H950" s="42"/>
      <c r="I950" s="42"/>
      <c r="J950" s="42"/>
      <c r="K950" s="42"/>
      <c r="L950" s="42"/>
      <c r="M950" s="42"/>
      <c r="N950" s="42"/>
      <c r="O950" s="42"/>
      <c r="P950" s="1"/>
      <c r="Q950" s="42"/>
      <c r="R950" s="41" t="s">
        <v>275</v>
      </c>
      <c r="S950" s="40"/>
      <c r="T950" s="267">
        <f>SUMIFS('Adv. Filter'!$CH$1:$CH$50000,'Adv. Filter'!$CD$1:$CD$50000,"Madhu",'Adv. Filter'!$CE$1:$CE$50000,$C947,'Adv. Filter'!$CC$1:$CC$50000,"Suspense",'Adv. Filter'!$CF$1:$CF$50000,"Cash")</f>
        <v>0</v>
      </c>
      <c r="U950" s="268"/>
      <c r="V950" s="268"/>
      <c r="W950" s="268"/>
      <c r="X950" s="268"/>
      <c r="Y950" s="268"/>
      <c r="Z950" s="268"/>
      <c r="AA950" s="268"/>
      <c r="AB950" s="268"/>
      <c r="AC950" s="269"/>
      <c r="AD950" s="267">
        <f>SUMIFS('Adv. Filter'!$CH$1:$CH$50000,'Adv. Filter'!$CD$1:$CD$50000,"Madhu",'Adv. Filter'!$CE$1:$CE$50000,$C947,'Adv. Filter'!$CC$1:$CC$50000,"Suspense",'Adv. Filter'!$CF$1:$CF$50000,"Bank")</f>
        <v>0</v>
      </c>
      <c r="AE950" s="268"/>
      <c r="AF950" s="268"/>
      <c r="AG950" s="268"/>
      <c r="AH950" s="268"/>
      <c r="AI950" s="268"/>
      <c r="AJ950" s="268"/>
      <c r="AK950" s="268"/>
      <c r="AL950" s="268"/>
      <c r="AM950" s="269"/>
      <c r="AN950" s="267">
        <f t="shared" si="32"/>
        <v>0</v>
      </c>
      <c r="AO950" s="268"/>
      <c r="AP950" s="268"/>
      <c r="AQ950" s="268"/>
      <c r="AR950" s="268"/>
      <c r="AS950" s="268"/>
      <c r="AT950" s="268"/>
      <c r="AU950" s="268"/>
      <c r="AV950" s="268"/>
      <c r="AW950" s="269"/>
      <c r="AX950" s="22"/>
      <c r="AY950" s="43"/>
      <c r="AZ950" s="36" t="str">
        <f>IF(CJ947=0,AY947&amp;" -","")</f>
        <v>SBM -</v>
      </c>
      <c r="BA950" s="42"/>
      <c r="BB950" s="42"/>
      <c r="BC950" s="42"/>
      <c r="BD950" s="42"/>
      <c r="BE950" s="42"/>
      <c r="BF950" s="42"/>
      <c r="BG950" s="42"/>
      <c r="BH950" s="42"/>
      <c r="BI950" s="42"/>
      <c r="BJ950" s="42"/>
      <c r="BK950" s="42"/>
      <c r="BL950" s="1"/>
      <c r="BM950" s="42"/>
      <c r="BN950" s="41" t="s">
        <v>275</v>
      </c>
      <c r="BO950" s="40"/>
      <c r="BP950" s="267"/>
      <c r="BQ950" s="268"/>
      <c r="BR950" s="268"/>
      <c r="BS950" s="268"/>
      <c r="BT950" s="268"/>
      <c r="BU950" s="268"/>
      <c r="BV950" s="268"/>
      <c r="BW950" s="268"/>
      <c r="BX950" s="268"/>
      <c r="BY950" s="269"/>
      <c r="BZ950" s="267"/>
      <c r="CA950" s="268"/>
      <c r="CB950" s="268"/>
      <c r="CC950" s="268"/>
      <c r="CD950" s="268"/>
      <c r="CE950" s="268"/>
      <c r="CF950" s="268"/>
      <c r="CG950" s="268"/>
      <c r="CH950" s="268"/>
      <c r="CI950" s="269"/>
      <c r="CJ950" s="267">
        <f t="shared" si="33"/>
        <v>0</v>
      </c>
      <c r="CK950" s="268"/>
      <c r="CL950" s="268"/>
      <c r="CM950" s="268"/>
      <c r="CN950" s="268"/>
      <c r="CO950" s="268"/>
      <c r="CP950" s="268"/>
      <c r="CQ950" s="268"/>
      <c r="CR950" s="268"/>
      <c r="CS950" s="269"/>
    </row>
    <row r="951" spans="1:104" hidden="1">
      <c r="A951" s="44"/>
      <c r="B951" s="44"/>
      <c r="C951" s="293" t="s">
        <v>116</v>
      </c>
      <c r="D951" s="294"/>
      <c r="E951" s="294"/>
      <c r="F951" s="294"/>
      <c r="G951" s="294"/>
      <c r="H951" s="294"/>
      <c r="I951" s="294"/>
      <c r="J951" s="294"/>
      <c r="K951" s="294"/>
      <c r="L951" s="294"/>
      <c r="M951" s="294"/>
      <c r="N951" s="294"/>
      <c r="O951" s="294"/>
      <c r="P951" s="294"/>
      <c r="Q951" s="294"/>
      <c r="R951" s="294"/>
      <c r="S951" s="295"/>
      <c r="T951" s="276">
        <f>SUMIFS('Adv. Filter'!$BJ$1:$BJ$50000,'Adv. Filter'!$BT$1:$BT$50000,"Madhu",'Adv. Filter'!$BQ$1:$BQ$50000,$C951,'Adv. Filter'!$BH$1:$BH$50000,"Cash",'Adv. Filter'!$BO$1:$BO$50000,'Adv. Filter'!$A$14,'Adv. Filter'!$BO$1:$BO$50000,'Adv. Filter'!$B$14)</f>
        <v>0</v>
      </c>
      <c r="U951" s="277"/>
      <c r="V951" s="277"/>
      <c r="W951" s="277"/>
      <c r="X951" s="277"/>
      <c r="Y951" s="277"/>
      <c r="Z951" s="277"/>
      <c r="AA951" s="277"/>
      <c r="AB951" s="277"/>
      <c r="AC951" s="278"/>
      <c r="AD951" s="276">
        <f>SUMIFS('Adv. Filter'!$BJ$1:$BJ$50000,'Adv. Filter'!$BT$1:$BT$50000,"Madhu",'Adv. Filter'!$BQ$1:$BQ$50000,$C951,'Adv. Filter'!$BH$1:$BH$50000,"Bank",'Adv. Filter'!$BO$1:$BO$50000,'Adv. Filter'!$A$14,'Adv. Filter'!$BO$1:$BO$50000,'Adv. Filter'!$B$14)</f>
        <v>0</v>
      </c>
      <c r="AE951" s="277"/>
      <c r="AF951" s="277"/>
      <c r="AG951" s="277"/>
      <c r="AH951" s="277"/>
      <c r="AI951" s="277"/>
      <c r="AJ951" s="277"/>
      <c r="AK951" s="277"/>
      <c r="AL951" s="277"/>
      <c r="AM951" s="278"/>
      <c r="AN951" s="276">
        <f t="shared" si="32"/>
        <v>0</v>
      </c>
      <c r="AO951" s="277"/>
      <c r="AP951" s="277"/>
      <c r="AQ951" s="277"/>
      <c r="AR951" s="277"/>
      <c r="AS951" s="277"/>
      <c r="AT951" s="277"/>
      <c r="AU951" s="277"/>
      <c r="AV951" s="277"/>
      <c r="AW951" s="278"/>
      <c r="AX951" s="45"/>
      <c r="AY951" s="293" t="s">
        <v>116</v>
      </c>
      <c r="AZ951" s="294"/>
      <c r="BA951" s="294"/>
      <c r="BB951" s="294"/>
      <c r="BC951" s="294"/>
      <c r="BD951" s="294"/>
      <c r="BE951" s="294"/>
      <c r="BF951" s="294"/>
      <c r="BG951" s="294"/>
      <c r="BH951" s="294"/>
      <c r="BI951" s="294"/>
      <c r="BJ951" s="294"/>
      <c r="BK951" s="294"/>
      <c r="BL951" s="294"/>
      <c r="BM951" s="294"/>
      <c r="BN951" s="294"/>
      <c r="BO951" s="295"/>
      <c r="BP951" s="276">
        <f>SUMIFS('Adv. Filter'!$BJ$1:$BJ$50000,'Adv. Filter'!$BT$1:$BT$50000,"Madhu",'Adv. Filter'!$BQ$1:$BQ$50000,$AY951,'Adv. Filter'!$BH$1:$BH$50000,"Cash",'Adv. Filter'!$BO$1:$BO$50000,"&lt;"&amp;'Adv. Filter'!$A$15)</f>
        <v>0</v>
      </c>
      <c r="BQ951" s="277"/>
      <c r="BR951" s="277"/>
      <c r="BS951" s="277"/>
      <c r="BT951" s="277"/>
      <c r="BU951" s="277"/>
      <c r="BV951" s="277"/>
      <c r="BW951" s="277"/>
      <c r="BX951" s="277"/>
      <c r="BY951" s="278"/>
      <c r="BZ951" s="276">
        <f>SUMIFS('Adv. Filter'!$BJ$1:$BJ$50000,'Adv. Filter'!$BT$1:$BT$50000,"Madhu",'Adv. Filter'!$BQ$1:$BQ$50000,$AY951,'Adv. Filter'!$BH$1:$BH$50000,"Bank",'Adv. Filter'!$BO$1:$BO$50000,"&lt;"&amp;'Adv. Filter'!$A$15)</f>
        <v>0</v>
      </c>
      <c r="CA951" s="277"/>
      <c r="CB951" s="277"/>
      <c r="CC951" s="277"/>
      <c r="CD951" s="277"/>
      <c r="CE951" s="277"/>
      <c r="CF951" s="277"/>
      <c r="CG951" s="277"/>
      <c r="CH951" s="277"/>
      <c r="CI951" s="278"/>
      <c r="CJ951" s="276">
        <f t="shared" si="33"/>
        <v>0</v>
      </c>
      <c r="CK951" s="277"/>
      <c r="CL951" s="277"/>
      <c r="CM951" s="277"/>
      <c r="CN951" s="277"/>
      <c r="CO951" s="277"/>
      <c r="CP951" s="277"/>
      <c r="CQ951" s="277"/>
      <c r="CR951" s="277"/>
      <c r="CS951" s="278"/>
      <c r="CT951" s="44"/>
      <c r="CU951" s="44"/>
      <c r="CV951" s="44"/>
      <c r="CW951" s="44"/>
      <c r="CX951" s="44"/>
      <c r="CY951" s="44"/>
      <c r="CZ951" s="44"/>
    </row>
    <row r="952" spans="1:104" hidden="1">
      <c r="C952" s="308" t="s">
        <v>115</v>
      </c>
      <c r="D952" s="309"/>
      <c r="E952" s="309"/>
      <c r="F952" s="309"/>
      <c r="G952" s="309"/>
      <c r="H952" s="309"/>
      <c r="I952" s="309"/>
      <c r="J952" s="309"/>
      <c r="K952" s="309"/>
      <c r="L952" s="309"/>
      <c r="M952" s="309"/>
      <c r="N952" s="309"/>
      <c r="O952" s="309"/>
      <c r="P952" s="309"/>
      <c r="Q952" s="309"/>
      <c r="R952" s="309"/>
      <c r="S952" s="310"/>
      <c r="T952" s="267">
        <f>SUMIFS('Adv. Filter'!$BJ$1:$BJ$50000,'Adv. Filter'!$BT$1:$BT$50000,"Madhu",'Adv. Filter'!$BQ$1:$BQ$50000,$C951,'Adv. Filter'!$BH$1:$BH$50000,"Cash",'Adv. Filter'!$BO$1:$BO$50000,'Adv. Filter'!$A$14,'Adv. Filter'!$BO$1:$BO$50000,'Adv. Filter'!$B$14,'Adv. Filter'!$BP$1:$BP$50000,"Project")</f>
        <v>0</v>
      </c>
      <c r="U952" s="268"/>
      <c r="V952" s="268"/>
      <c r="W952" s="268"/>
      <c r="X952" s="268"/>
      <c r="Y952" s="268"/>
      <c r="Z952" s="268"/>
      <c r="AA952" s="268"/>
      <c r="AB952" s="268"/>
      <c r="AC952" s="269"/>
      <c r="AD952" s="267">
        <f>SUMIFS('Adv. Filter'!$BJ$1:$BJ$50000,'Adv. Filter'!$BT$1:$BT$50000,"Madhu",'Adv. Filter'!$BQ$1:$BQ$50000,$C951,'Adv. Filter'!$BH$1:$BH$50000,"Bank",'Adv. Filter'!$BO$1:$BO$50000,'Adv. Filter'!$A$14,'Adv. Filter'!$BO$1:$BO$50000,'Adv. Filter'!$B$14,'Adv. Filter'!$BP$1:$BP$50000,"Project")</f>
        <v>0</v>
      </c>
      <c r="AE952" s="268"/>
      <c r="AF952" s="268"/>
      <c r="AG952" s="268"/>
      <c r="AH952" s="268"/>
      <c r="AI952" s="268"/>
      <c r="AJ952" s="268"/>
      <c r="AK952" s="268"/>
      <c r="AL952" s="268"/>
      <c r="AM952" s="269"/>
      <c r="AN952" s="267">
        <f t="shared" si="32"/>
        <v>0</v>
      </c>
      <c r="AO952" s="268"/>
      <c r="AP952" s="268"/>
      <c r="AQ952" s="268"/>
      <c r="AR952" s="268"/>
      <c r="AS952" s="268"/>
      <c r="AT952" s="268"/>
      <c r="AU952" s="268"/>
      <c r="AV952" s="268"/>
      <c r="AW952" s="269"/>
      <c r="AX952" s="22"/>
      <c r="AY952" s="308" t="s">
        <v>115</v>
      </c>
      <c r="AZ952" s="309"/>
      <c r="BA952" s="309"/>
      <c r="BB952" s="309"/>
      <c r="BC952" s="309"/>
      <c r="BD952" s="309"/>
      <c r="BE952" s="309"/>
      <c r="BF952" s="309"/>
      <c r="BG952" s="309"/>
      <c r="BH952" s="309"/>
      <c r="BI952" s="309"/>
      <c r="BJ952" s="309"/>
      <c r="BK952" s="309"/>
      <c r="BL952" s="309"/>
      <c r="BM952" s="309"/>
      <c r="BN952" s="309"/>
      <c r="BO952" s="310"/>
      <c r="BP952" s="267">
        <f>SUMIFS('Adv. Filter'!$BJ$1:$BJ$50000,'Adv. Filter'!$BT$1:$BT$50000,"Madhu",'Adv. Filter'!$BQ$1:$BQ$50000,$AY951,'Adv. Filter'!$BH$1:$BH$50000,"Cash",'Adv. Filter'!$BO$1:$BO$50000,"&lt;"&amp;'Adv. Filter'!$A$15,'Adv. Filter'!$BP$1:$BP$50000,"Project")</f>
        <v>0</v>
      </c>
      <c r="BQ952" s="268"/>
      <c r="BR952" s="268"/>
      <c r="BS952" s="268"/>
      <c r="BT952" s="268"/>
      <c r="BU952" s="268"/>
      <c r="BV952" s="268"/>
      <c r="BW952" s="268"/>
      <c r="BX952" s="268"/>
      <c r="BY952" s="269"/>
      <c r="BZ952" s="267">
        <f>SUMIFS('Adv. Filter'!$BJ$1:$BJ$50000,'Adv. Filter'!$BT$1:$BT$50000,"Madhu",'Adv. Filter'!$BQ$1:$BQ$50000,$AY951,'Adv. Filter'!$BH$1:$BH$50000,"Bank",'Adv. Filter'!$BO$1:$BO$50000,"&lt;"&amp;'Adv. Filter'!$A$15,'Adv. Filter'!$BP$1:$BP$50000,"Project")</f>
        <v>0</v>
      </c>
      <c r="CA952" s="268"/>
      <c r="CB952" s="268"/>
      <c r="CC952" s="268"/>
      <c r="CD952" s="268"/>
      <c r="CE952" s="268"/>
      <c r="CF952" s="268"/>
      <c r="CG952" s="268"/>
      <c r="CH952" s="268"/>
      <c r="CI952" s="269"/>
      <c r="CJ952" s="267">
        <f t="shared" si="33"/>
        <v>0</v>
      </c>
      <c r="CK952" s="268"/>
      <c r="CL952" s="268"/>
      <c r="CM952" s="268"/>
      <c r="CN952" s="268"/>
      <c r="CO952" s="268"/>
      <c r="CP952" s="268"/>
      <c r="CQ952" s="268"/>
      <c r="CR952" s="268"/>
      <c r="CS952" s="269"/>
    </row>
    <row r="953" spans="1:104" hidden="1">
      <c r="C953" s="308" t="s">
        <v>510</v>
      </c>
      <c r="D953" s="309"/>
      <c r="E953" s="309"/>
      <c r="F953" s="309"/>
      <c r="G953" s="309"/>
      <c r="H953" s="309"/>
      <c r="I953" s="309"/>
      <c r="J953" s="309"/>
      <c r="K953" s="309"/>
      <c r="L953" s="309"/>
      <c r="M953" s="309"/>
      <c r="N953" s="309"/>
      <c r="O953" s="309"/>
      <c r="P953" s="309"/>
      <c r="Q953" s="309"/>
      <c r="R953" s="309"/>
      <c r="S953" s="310"/>
      <c r="T953" s="267">
        <v>0</v>
      </c>
      <c r="U953" s="268"/>
      <c r="V953" s="268"/>
      <c r="W953" s="268"/>
      <c r="X953" s="268"/>
      <c r="Y953" s="268"/>
      <c r="Z953" s="268"/>
      <c r="AA953" s="268"/>
      <c r="AB953" s="268"/>
      <c r="AC953" s="269"/>
      <c r="AD953" s="267">
        <v>0</v>
      </c>
      <c r="AE953" s="268"/>
      <c r="AF953" s="268"/>
      <c r="AG953" s="268"/>
      <c r="AH953" s="268"/>
      <c r="AI953" s="268"/>
      <c r="AJ953" s="268"/>
      <c r="AK953" s="268"/>
      <c r="AL953" s="268"/>
      <c r="AM953" s="269"/>
      <c r="AN953" s="267">
        <f t="shared" si="32"/>
        <v>0</v>
      </c>
      <c r="AO953" s="268"/>
      <c r="AP953" s="268"/>
      <c r="AQ953" s="268"/>
      <c r="AR953" s="268"/>
      <c r="AS953" s="268"/>
      <c r="AT953" s="268"/>
      <c r="AU953" s="268"/>
      <c r="AV953" s="268"/>
      <c r="AW953" s="269"/>
      <c r="AX953" s="22"/>
      <c r="AY953" s="308" t="s">
        <v>510</v>
      </c>
      <c r="AZ953" s="309"/>
      <c r="BA953" s="309"/>
      <c r="BB953" s="309"/>
      <c r="BC953" s="309"/>
      <c r="BD953" s="309"/>
      <c r="BE953" s="309"/>
      <c r="BF953" s="309"/>
      <c r="BG953" s="309"/>
      <c r="BH953" s="309"/>
      <c r="BI953" s="309"/>
      <c r="BJ953" s="309"/>
      <c r="BK953" s="309"/>
      <c r="BL953" s="309"/>
      <c r="BM953" s="309"/>
      <c r="BN953" s="309"/>
      <c r="BO953" s="310"/>
      <c r="BP953" s="267"/>
      <c r="BQ953" s="268"/>
      <c r="BR953" s="268"/>
      <c r="BS953" s="268"/>
      <c r="BT953" s="268"/>
      <c r="BU953" s="268"/>
      <c r="BV953" s="268"/>
      <c r="BW953" s="268"/>
      <c r="BX953" s="268"/>
      <c r="BY953" s="269"/>
      <c r="BZ953" s="267"/>
      <c r="CA953" s="268"/>
      <c r="CB953" s="268"/>
      <c r="CC953" s="268"/>
      <c r="CD953" s="268"/>
      <c r="CE953" s="268"/>
      <c r="CF953" s="268"/>
      <c r="CG953" s="268"/>
      <c r="CH953" s="268"/>
      <c r="CI953" s="269"/>
      <c r="CJ953" s="267">
        <f t="shared" si="33"/>
        <v>0</v>
      </c>
      <c r="CK953" s="268"/>
      <c r="CL953" s="268"/>
      <c r="CM953" s="268"/>
      <c r="CN953" s="268"/>
      <c r="CO953" s="268"/>
      <c r="CP953" s="268"/>
      <c r="CQ953" s="268"/>
      <c r="CR953" s="268"/>
      <c r="CS953" s="269"/>
    </row>
    <row r="954" spans="1:104" hidden="1">
      <c r="C954" s="43"/>
      <c r="D954" s="36" t="str">
        <f>IF(AN951=0,C951&amp;" -","")</f>
        <v>SBP -</v>
      </c>
      <c r="E954" s="42"/>
      <c r="F954" s="42"/>
      <c r="G954" s="42"/>
      <c r="H954" s="42"/>
      <c r="I954" s="42"/>
      <c r="J954" s="42"/>
      <c r="K954" s="42"/>
      <c r="L954" s="42"/>
      <c r="M954" s="42"/>
      <c r="N954" s="42"/>
      <c r="O954" s="42"/>
      <c r="P954" s="1"/>
      <c r="Q954" s="42"/>
      <c r="R954" s="41" t="s">
        <v>275</v>
      </c>
      <c r="S954" s="40"/>
      <c r="T954" s="267">
        <f>SUMIFS('Adv. Filter'!$CH$1:$CH$50000,'Adv. Filter'!$CD$1:$CD$50000,"Madhu",'Adv. Filter'!$CE$1:$CE$50000,$C951,'Adv. Filter'!$CC$1:$CC$50000,"Suspense",'Adv. Filter'!$CF$1:$CF$50000,"Cash")</f>
        <v>0</v>
      </c>
      <c r="U954" s="268"/>
      <c r="V954" s="268"/>
      <c r="W954" s="268"/>
      <c r="X954" s="268"/>
      <c r="Y954" s="268"/>
      <c r="Z954" s="268"/>
      <c r="AA954" s="268"/>
      <c r="AB954" s="268"/>
      <c r="AC954" s="269"/>
      <c r="AD954" s="267">
        <f>SUMIFS('Adv. Filter'!$CH$1:$CH$50000,'Adv. Filter'!$CD$1:$CD$50000,"Madhu",'Adv. Filter'!$CE$1:$CE$50000,$C951,'Adv. Filter'!$CC$1:$CC$50000,"Suspense",'Adv. Filter'!$CF$1:$CF$50000,"Bank")</f>
        <v>0</v>
      </c>
      <c r="AE954" s="268"/>
      <c r="AF954" s="268"/>
      <c r="AG954" s="268"/>
      <c r="AH954" s="268"/>
      <c r="AI954" s="268"/>
      <c r="AJ954" s="268"/>
      <c r="AK954" s="268"/>
      <c r="AL954" s="268"/>
      <c r="AM954" s="269"/>
      <c r="AN954" s="267">
        <f t="shared" si="32"/>
        <v>0</v>
      </c>
      <c r="AO954" s="268"/>
      <c r="AP954" s="268"/>
      <c r="AQ954" s="268"/>
      <c r="AR954" s="268"/>
      <c r="AS954" s="268"/>
      <c r="AT954" s="268"/>
      <c r="AU954" s="268"/>
      <c r="AV954" s="268"/>
      <c r="AW954" s="269"/>
      <c r="AX954" s="22"/>
      <c r="AY954" s="43"/>
      <c r="AZ954" s="36" t="str">
        <f>IF(CJ951=0,AY951&amp;" -","")</f>
        <v>SBP -</v>
      </c>
      <c r="BA954" s="42"/>
      <c r="BB954" s="42"/>
      <c r="BC954" s="42"/>
      <c r="BD954" s="42"/>
      <c r="BE954" s="42"/>
      <c r="BF954" s="42"/>
      <c r="BG954" s="42"/>
      <c r="BH954" s="42"/>
      <c r="BI954" s="42"/>
      <c r="BJ954" s="42"/>
      <c r="BK954" s="42"/>
      <c r="BL954" s="1"/>
      <c r="BM954" s="42"/>
      <c r="BN954" s="41" t="s">
        <v>275</v>
      </c>
      <c r="BO954" s="40"/>
      <c r="BP954" s="267"/>
      <c r="BQ954" s="268"/>
      <c r="BR954" s="268"/>
      <c r="BS954" s="268"/>
      <c r="BT954" s="268"/>
      <c r="BU954" s="268"/>
      <c r="BV954" s="268"/>
      <c r="BW954" s="268"/>
      <c r="BX954" s="268"/>
      <c r="BY954" s="269"/>
      <c r="BZ954" s="267"/>
      <c r="CA954" s="268"/>
      <c r="CB954" s="268"/>
      <c r="CC954" s="268"/>
      <c r="CD954" s="268"/>
      <c r="CE954" s="268"/>
      <c r="CF954" s="268"/>
      <c r="CG954" s="268"/>
      <c r="CH954" s="268"/>
      <c r="CI954" s="269"/>
      <c r="CJ954" s="267">
        <f t="shared" si="33"/>
        <v>0</v>
      </c>
      <c r="CK954" s="268"/>
      <c r="CL954" s="268"/>
      <c r="CM954" s="268"/>
      <c r="CN954" s="268"/>
      <c r="CO954" s="268"/>
      <c r="CP954" s="268"/>
      <c r="CQ954" s="268"/>
      <c r="CR954" s="268"/>
      <c r="CS954" s="269"/>
    </row>
    <row r="955" spans="1:104" hidden="1">
      <c r="A955" s="44"/>
      <c r="B955" s="44"/>
      <c r="C955" s="293" t="s">
        <v>119</v>
      </c>
      <c r="D955" s="294"/>
      <c r="E955" s="294"/>
      <c r="F955" s="294"/>
      <c r="G955" s="294"/>
      <c r="H955" s="294"/>
      <c r="I955" s="294"/>
      <c r="J955" s="294"/>
      <c r="K955" s="294"/>
      <c r="L955" s="294"/>
      <c r="M955" s="294"/>
      <c r="N955" s="294"/>
      <c r="O955" s="294"/>
      <c r="P955" s="294"/>
      <c r="Q955" s="294"/>
      <c r="R955" s="294"/>
      <c r="S955" s="295"/>
      <c r="T955" s="276">
        <f>SUMIFS('Adv. Filter'!$BJ$1:$BJ$50000,'Adv. Filter'!$BT$1:$BT$50000,"Madhu",'Adv. Filter'!$BQ$1:$BQ$50000,$C955,'Adv. Filter'!$BH$1:$BH$50000,"Cash",'Adv. Filter'!$BO$1:$BO$50000,'Adv. Filter'!$A$14,'Adv. Filter'!$BO$1:$BO$50000,'Adv. Filter'!$B$14)</f>
        <v>0</v>
      </c>
      <c r="U955" s="277"/>
      <c r="V955" s="277"/>
      <c r="W955" s="277"/>
      <c r="X955" s="277"/>
      <c r="Y955" s="277"/>
      <c r="Z955" s="277"/>
      <c r="AA955" s="277"/>
      <c r="AB955" s="277"/>
      <c r="AC955" s="278"/>
      <c r="AD955" s="276">
        <f>SUMIFS('Adv. Filter'!$BJ$1:$BJ$50000,'Adv. Filter'!$BT$1:$BT$50000,"Madhu",'Adv. Filter'!$BQ$1:$BQ$50000,$C955,'Adv. Filter'!$BH$1:$BH$50000,"Bank",'Adv. Filter'!$BO$1:$BO$50000,'Adv. Filter'!$A$14,'Adv. Filter'!$BO$1:$BO$50000,'Adv. Filter'!$B$14)</f>
        <v>0</v>
      </c>
      <c r="AE955" s="277"/>
      <c r="AF955" s="277"/>
      <c r="AG955" s="277"/>
      <c r="AH955" s="277"/>
      <c r="AI955" s="277"/>
      <c r="AJ955" s="277"/>
      <c r="AK955" s="277"/>
      <c r="AL955" s="277"/>
      <c r="AM955" s="278"/>
      <c r="AN955" s="276">
        <f t="shared" si="32"/>
        <v>0</v>
      </c>
      <c r="AO955" s="277"/>
      <c r="AP955" s="277"/>
      <c r="AQ955" s="277"/>
      <c r="AR955" s="277"/>
      <c r="AS955" s="277"/>
      <c r="AT955" s="277"/>
      <c r="AU955" s="277"/>
      <c r="AV955" s="277"/>
      <c r="AW955" s="278"/>
      <c r="AX955" s="45"/>
      <c r="AY955" s="293" t="s">
        <v>119</v>
      </c>
      <c r="AZ955" s="294"/>
      <c r="BA955" s="294"/>
      <c r="BB955" s="294"/>
      <c r="BC955" s="294"/>
      <c r="BD955" s="294"/>
      <c r="BE955" s="294"/>
      <c r="BF955" s="294"/>
      <c r="BG955" s="294"/>
      <c r="BH955" s="294"/>
      <c r="BI955" s="294"/>
      <c r="BJ955" s="294"/>
      <c r="BK955" s="294"/>
      <c r="BL955" s="294"/>
      <c r="BM955" s="294"/>
      <c r="BN955" s="294"/>
      <c r="BO955" s="295"/>
      <c r="BP955" s="276">
        <f>SUMIFS('Adv. Filter'!$BJ$1:$BJ$50000,'Adv. Filter'!$BT$1:$BT$50000,"Madhu",'Adv. Filter'!$BQ$1:$BQ$50000,$AY955,'Adv. Filter'!$BH$1:$BH$50000,"Cash",'Adv. Filter'!$BO$1:$BO$50000,"&lt;"&amp;'Adv. Filter'!$A$15)</f>
        <v>0</v>
      </c>
      <c r="BQ955" s="277"/>
      <c r="BR955" s="277"/>
      <c r="BS955" s="277"/>
      <c r="BT955" s="277"/>
      <c r="BU955" s="277"/>
      <c r="BV955" s="277"/>
      <c r="BW955" s="277"/>
      <c r="BX955" s="277"/>
      <c r="BY955" s="278"/>
      <c r="BZ955" s="276">
        <f>SUMIFS('Adv. Filter'!$BJ$1:$BJ$50000,'Adv. Filter'!$BT$1:$BT$50000,"Madhu",'Adv. Filter'!$BQ$1:$BQ$50000,$AY955,'Adv. Filter'!$BH$1:$BH$50000,"Bank",'Adv. Filter'!$BO$1:$BO$50000,"&lt;"&amp;'Adv. Filter'!$A$15)</f>
        <v>0</v>
      </c>
      <c r="CA955" s="277"/>
      <c r="CB955" s="277"/>
      <c r="CC955" s="277"/>
      <c r="CD955" s="277"/>
      <c r="CE955" s="277"/>
      <c r="CF955" s="277"/>
      <c r="CG955" s="277"/>
      <c r="CH955" s="277"/>
      <c r="CI955" s="278"/>
      <c r="CJ955" s="276">
        <f t="shared" si="33"/>
        <v>0</v>
      </c>
      <c r="CK955" s="277"/>
      <c r="CL955" s="277"/>
      <c r="CM955" s="277"/>
      <c r="CN955" s="277"/>
      <c r="CO955" s="277"/>
      <c r="CP955" s="277"/>
      <c r="CQ955" s="277"/>
      <c r="CR955" s="277"/>
      <c r="CS955" s="278"/>
      <c r="CT955" s="44"/>
      <c r="CU955" s="44"/>
      <c r="CV955" s="44"/>
      <c r="CW955" s="44"/>
      <c r="CX955" s="44"/>
      <c r="CY955" s="44"/>
      <c r="CZ955" s="44"/>
    </row>
    <row r="956" spans="1:104" hidden="1">
      <c r="C956" s="308" t="s">
        <v>115</v>
      </c>
      <c r="D956" s="309"/>
      <c r="E956" s="309"/>
      <c r="F956" s="309"/>
      <c r="G956" s="309"/>
      <c r="H956" s="309"/>
      <c r="I956" s="309"/>
      <c r="J956" s="309"/>
      <c r="K956" s="309"/>
      <c r="L956" s="309"/>
      <c r="M956" s="309"/>
      <c r="N956" s="309"/>
      <c r="O956" s="309"/>
      <c r="P956" s="309"/>
      <c r="Q956" s="309"/>
      <c r="R956" s="309"/>
      <c r="S956" s="310"/>
      <c r="T956" s="267">
        <f>SUMIFS('Adv. Filter'!$BJ$1:$BJ$50000,'Adv. Filter'!$BT$1:$BT$50000,"Madhu",'Adv. Filter'!$BQ$1:$BQ$50000,$C955,'Adv. Filter'!$BH$1:$BH$50000,"Cash",'Adv. Filter'!$BO$1:$BO$50000,'Adv. Filter'!$A$14,'Adv. Filter'!$BO$1:$BO$50000,'Adv. Filter'!$B$14,'Adv. Filter'!$BP$1:$BP$50000,"Project")</f>
        <v>0</v>
      </c>
      <c r="U956" s="268"/>
      <c r="V956" s="268"/>
      <c r="W956" s="268"/>
      <c r="X956" s="268"/>
      <c r="Y956" s="268"/>
      <c r="Z956" s="268"/>
      <c r="AA956" s="268"/>
      <c r="AB956" s="268"/>
      <c r="AC956" s="269"/>
      <c r="AD956" s="267">
        <f>SUMIFS('Adv. Filter'!$BJ$1:$BJ$50000,'Adv. Filter'!$BT$1:$BT$50000,"Madhu",'Adv. Filter'!$BQ$1:$BQ$50000,$C955,'Adv. Filter'!$BH$1:$BH$50000,"Bank",'Adv. Filter'!$BO$1:$BO$50000,'Adv. Filter'!$A$14,'Adv. Filter'!$BO$1:$BO$50000,'Adv. Filter'!$B$14,'Adv. Filter'!$BP$1:$BP$50000,"Project")</f>
        <v>0</v>
      </c>
      <c r="AE956" s="268"/>
      <c r="AF956" s="268"/>
      <c r="AG956" s="268"/>
      <c r="AH956" s="268"/>
      <c r="AI956" s="268"/>
      <c r="AJ956" s="268"/>
      <c r="AK956" s="268"/>
      <c r="AL956" s="268"/>
      <c r="AM956" s="269"/>
      <c r="AN956" s="267">
        <f t="shared" si="32"/>
        <v>0</v>
      </c>
      <c r="AO956" s="268"/>
      <c r="AP956" s="268"/>
      <c r="AQ956" s="268"/>
      <c r="AR956" s="268"/>
      <c r="AS956" s="268"/>
      <c r="AT956" s="268"/>
      <c r="AU956" s="268"/>
      <c r="AV956" s="268"/>
      <c r="AW956" s="269"/>
      <c r="AX956" s="22"/>
      <c r="AY956" s="308" t="s">
        <v>115</v>
      </c>
      <c r="AZ956" s="309"/>
      <c r="BA956" s="309"/>
      <c r="BB956" s="309"/>
      <c r="BC956" s="309"/>
      <c r="BD956" s="309"/>
      <c r="BE956" s="309"/>
      <c r="BF956" s="309"/>
      <c r="BG956" s="309"/>
      <c r="BH956" s="309"/>
      <c r="BI956" s="309"/>
      <c r="BJ956" s="309"/>
      <c r="BK956" s="309"/>
      <c r="BL956" s="309"/>
      <c r="BM956" s="309"/>
      <c r="BN956" s="309"/>
      <c r="BO956" s="310"/>
      <c r="BP956" s="267">
        <f>SUMIFS('Adv. Filter'!$BJ$1:$BJ$50000,'Adv. Filter'!$BT$1:$BT$50000,"Madhu",'Adv. Filter'!$BQ$1:$BQ$50000,$AY955,'Adv. Filter'!$BH$1:$BH$50000,"Cash",'Adv. Filter'!$BO$1:$BO$50000,"&lt;"&amp;'Adv. Filter'!$A$15,'Adv. Filter'!$BP$1:$BP$50000,"Project")</f>
        <v>0</v>
      </c>
      <c r="BQ956" s="268"/>
      <c r="BR956" s="268"/>
      <c r="BS956" s="268"/>
      <c r="BT956" s="268"/>
      <c r="BU956" s="268"/>
      <c r="BV956" s="268"/>
      <c r="BW956" s="268"/>
      <c r="BX956" s="268"/>
      <c r="BY956" s="269"/>
      <c r="BZ956" s="267">
        <f>SUMIFS('Adv. Filter'!$BJ$1:$BJ$50000,'Adv. Filter'!$BT$1:$BT$50000,"Madhu",'Adv. Filter'!$BQ$1:$BQ$50000,$AY955,'Adv. Filter'!$BH$1:$BH$50000,"Bank",'Adv. Filter'!$BO$1:$BO$50000,"&lt;"&amp;'Adv. Filter'!$A$15,'Adv. Filter'!$BP$1:$BP$50000,"Project")</f>
        <v>0</v>
      </c>
      <c r="CA956" s="268"/>
      <c r="CB956" s="268"/>
      <c r="CC956" s="268"/>
      <c r="CD956" s="268"/>
      <c r="CE956" s="268"/>
      <c r="CF956" s="268"/>
      <c r="CG956" s="268"/>
      <c r="CH956" s="268"/>
      <c r="CI956" s="269"/>
      <c r="CJ956" s="267">
        <f t="shared" si="33"/>
        <v>0</v>
      </c>
      <c r="CK956" s="268"/>
      <c r="CL956" s="268"/>
      <c r="CM956" s="268"/>
      <c r="CN956" s="268"/>
      <c r="CO956" s="268"/>
      <c r="CP956" s="268"/>
      <c r="CQ956" s="268"/>
      <c r="CR956" s="268"/>
      <c r="CS956" s="269"/>
    </row>
    <row r="957" spans="1:104" hidden="1">
      <c r="C957" s="308" t="s">
        <v>510</v>
      </c>
      <c r="D957" s="309"/>
      <c r="E957" s="309"/>
      <c r="F957" s="309"/>
      <c r="G957" s="309"/>
      <c r="H957" s="309"/>
      <c r="I957" s="309"/>
      <c r="J957" s="309"/>
      <c r="K957" s="309"/>
      <c r="L957" s="309"/>
      <c r="M957" s="309"/>
      <c r="N957" s="309"/>
      <c r="O957" s="309"/>
      <c r="P957" s="309"/>
      <c r="Q957" s="309"/>
      <c r="R957" s="309"/>
      <c r="S957" s="310"/>
      <c r="T957" s="267">
        <v>0</v>
      </c>
      <c r="U957" s="268"/>
      <c r="V957" s="268"/>
      <c r="W957" s="268"/>
      <c r="X957" s="268"/>
      <c r="Y957" s="268"/>
      <c r="Z957" s="268"/>
      <c r="AA957" s="268"/>
      <c r="AB957" s="268"/>
      <c r="AC957" s="269"/>
      <c r="AD957" s="267">
        <v>0</v>
      </c>
      <c r="AE957" s="268"/>
      <c r="AF957" s="268"/>
      <c r="AG957" s="268"/>
      <c r="AH957" s="268"/>
      <c r="AI957" s="268"/>
      <c r="AJ957" s="268"/>
      <c r="AK957" s="268"/>
      <c r="AL957" s="268"/>
      <c r="AM957" s="269"/>
      <c r="AN957" s="267">
        <f t="shared" si="32"/>
        <v>0</v>
      </c>
      <c r="AO957" s="268"/>
      <c r="AP957" s="268"/>
      <c r="AQ957" s="268"/>
      <c r="AR957" s="268"/>
      <c r="AS957" s="268"/>
      <c r="AT957" s="268"/>
      <c r="AU957" s="268"/>
      <c r="AV957" s="268"/>
      <c r="AW957" s="269"/>
      <c r="AX957" s="22"/>
      <c r="AY957" s="308" t="s">
        <v>510</v>
      </c>
      <c r="AZ957" s="309"/>
      <c r="BA957" s="309"/>
      <c r="BB957" s="309"/>
      <c r="BC957" s="309"/>
      <c r="BD957" s="309"/>
      <c r="BE957" s="309"/>
      <c r="BF957" s="309"/>
      <c r="BG957" s="309"/>
      <c r="BH957" s="309"/>
      <c r="BI957" s="309"/>
      <c r="BJ957" s="309"/>
      <c r="BK957" s="309"/>
      <c r="BL957" s="309"/>
      <c r="BM957" s="309"/>
      <c r="BN957" s="309"/>
      <c r="BO957" s="310"/>
      <c r="BP957" s="267"/>
      <c r="BQ957" s="268"/>
      <c r="BR957" s="268"/>
      <c r="BS957" s="268"/>
      <c r="BT957" s="268"/>
      <c r="BU957" s="268"/>
      <c r="BV957" s="268"/>
      <c r="BW957" s="268"/>
      <c r="BX957" s="268"/>
      <c r="BY957" s="269"/>
      <c r="BZ957" s="267"/>
      <c r="CA957" s="268"/>
      <c r="CB957" s="268"/>
      <c r="CC957" s="268"/>
      <c r="CD957" s="268"/>
      <c r="CE957" s="268"/>
      <c r="CF957" s="268"/>
      <c r="CG957" s="268"/>
      <c r="CH957" s="268"/>
      <c r="CI957" s="269"/>
      <c r="CJ957" s="267">
        <f t="shared" si="33"/>
        <v>0</v>
      </c>
      <c r="CK957" s="268"/>
      <c r="CL957" s="268"/>
      <c r="CM957" s="268"/>
      <c r="CN957" s="268"/>
      <c r="CO957" s="268"/>
      <c r="CP957" s="268"/>
      <c r="CQ957" s="268"/>
      <c r="CR957" s="268"/>
      <c r="CS957" s="269"/>
    </row>
    <row r="958" spans="1:104" hidden="1">
      <c r="C958" s="43"/>
      <c r="D958" s="36" t="str">
        <f>IF(AN955=0,C955&amp;" -","")</f>
        <v>SBT -</v>
      </c>
      <c r="E958" s="42"/>
      <c r="F958" s="42"/>
      <c r="G958" s="42"/>
      <c r="H958" s="42"/>
      <c r="I958" s="42"/>
      <c r="J958" s="42"/>
      <c r="K958" s="42"/>
      <c r="L958" s="42"/>
      <c r="M958" s="42"/>
      <c r="N958" s="42"/>
      <c r="O958" s="42"/>
      <c r="P958" s="1"/>
      <c r="Q958" s="42"/>
      <c r="R958" s="41" t="s">
        <v>275</v>
      </c>
      <c r="S958" s="40"/>
      <c r="T958" s="267">
        <f>SUMIFS('Adv. Filter'!$CH$1:$CH$50000,'Adv. Filter'!$CD$1:$CD$50000,"Madhu",'Adv. Filter'!$CE$1:$CE$50000,$C955,'Adv. Filter'!$CC$1:$CC$50000,"Suspense",'Adv. Filter'!$CF$1:$CF$50000,"Cash")</f>
        <v>0</v>
      </c>
      <c r="U958" s="268"/>
      <c r="V958" s="268"/>
      <c r="W958" s="268"/>
      <c r="X958" s="268"/>
      <c r="Y958" s="268"/>
      <c r="Z958" s="268"/>
      <c r="AA958" s="268"/>
      <c r="AB958" s="268"/>
      <c r="AC958" s="269"/>
      <c r="AD958" s="267">
        <f>SUMIFS('Adv. Filter'!$CH$1:$CH$50000,'Adv. Filter'!$CD$1:$CD$50000,"Madhu",'Adv. Filter'!$CE$1:$CE$50000,$C955,'Adv. Filter'!$CC$1:$CC$50000,"Suspense",'Adv. Filter'!$CF$1:$CF$50000,"Bank")</f>
        <v>0</v>
      </c>
      <c r="AE958" s="268"/>
      <c r="AF958" s="268"/>
      <c r="AG958" s="268"/>
      <c r="AH958" s="268"/>
      <c r="AI958" s="268"/>
      <c r="AJ958" s="268"/>
      <c r="AK958" s="268"/>
      <c r="AL958" s="268"/>
      <c r="AM958" s="269"/>
      <c r="AN958" s="267">
        <f t="shared" si="32"/>
        <v>0</v>
      </c>
      <c r="AO958" s="268"/>
      <c r="AP958" s="268"/>
      <c r="AQ958" s="268"/>
      <c r="AR958" s="268"/>
      <c r="AS958" s="268"/>
      <c r="AT958" s="268"/>
      <c r="AU958" s="268"/>
      <c r="AV958" s="268"/>
      <c r="AW958" s="269"/>
      <c r="AX958" s="22"/>
      <c r="AY958" s="43"/>
      <c r="AZ958" s="36" t="str">
        <f>IF(CJ955=0,AY955&amp;" -","")</f>
        <v>SBT -</v>
      </c>
      <c r="BA958" s="42"/>
      <c r="BB958" s="42"/>
      <c r="BC958" s="42"/>
      <c r="BD958" s="42"/>
      <c r="BE958" s="42"/>
      <c r="BF958" s="42"/>
      <c r="BG958" s="42"/>
      <c r="BH958" s="42"/>
      <c r="BI958" s="42"/>
      <c r="BJ958" s="42"/>
      <c r="BK958" s="42"/>
      <c r="BL958" s="1"/>
      <c r="BM958" s="42"/>
      <c r="BN958" s="41" t="s">
        <v>275</v>
      </c>
      <c r="BO958" s="40"/>
      <c r="BP958" s="267"/>
      <c r="BQ958" s="268"/>
      <c r="BR958" s="268"/>
      <c r="BS958" s="268"/>
      <c r="BT958" s="268"/>
      <c r="BU958" s="268"/>
      <c r="BV958" s="268"/>
      <c r="BW958" s="268"/>
      <c r="BX958" s="268"/>
      <c r="BY958" s="269"/>
      <c r="BZ958" s="267"/>
      <c r="CA958" s="268"/>
      <c r="CB958" s="268"/>
      <c r="CC958" s="268"/>
      <c r="CD958" s="268"/>
      <c r="CE958" s="268"/>
      <c r="CF958" s="268"/>
      <c r="CG958" s="268"/>
      <c r="CH958" s="268"/>
      <c r="CI958" s="269"/>
      <c r="CJ958" s="267">
        <f t="shared" si="33"/>
        <v>0</v>
      </c>
      <c r="CK958" s="268"/>
      <c r="CL958" s="268"/>
      <c r="CM958" s="268"/>
      <c r="CN958" s="268"/>
      <c r="CO958" s="268"/>
      <c r="CP958" s="268"/>
      <c r="CQ958" s="268"/>
      <c r="CR958" s="268"/>
      <c r="CS958" s="269"/>
    </row>
    <row r="959" spans="1:104" hidden="1">
      <c r="A959" s="44"/>
      <c r="B959" s="44"/>
      <c r="C959" s="293" t="s">
        <v>92</v>
      </c>
      <c r="D959" s="294"/>
      <c r="E959" s="294"/>
      <c r="F959" s="294"/>
      <c r="G959" s="294"/>
      <c r="H959" s="294"/>
      <c r="I959" s="294"/>
      <c r="J959" s="294"/>
      <c r="K959" s="294"/>
      <c r="L959" s="294"/>
      <c r="M959" s="294"/>
      <c r="N959" s="294"/>
      <c r="O959" s="294"/>
      <c r="P959" s="294"/>
      <c r="Q959" s="294"/>
      <c r="R959" s="294"/>
      <c r="S959" s="295"/>
      <c r="T959" s="276">
        <f>SUMIFS('Adv. Filter'!$BJ$1:$BJ$50000,'Adv. Filter'!$BT$1:$BT$50000,"Madhu",'Adv. Filter'!$BQ$1:$BQ$50000,$C959,'Adv. Filter'!$BH$1:$BH$50000,"Cash",'Adv. Filter'!$BO$1:$BO$50000,'Adv. Filter'!$A$14,'Adv. Filter'!$BO$1:$BO$50000,'Adv. Filter'!$B$14)</f>
        <v>0</v>
      </c>
      <c r="U959" s="277"/>
      <c r="V959" s="277"/>
      <c r="W959" s="277"/>
      <c r="X959" s="277"/>
      <c r="Y959" s="277"/>
      <c r="Z959" s="277"/>
      <c r="AA959" s="277"/>
      <c r="AB959" s="277"/>
      <c r="AC959" s="278"/>
      <c r="AD959" s="276">
        <f>SUMIFS('Adv. Filter'!$BJ$1:$BJ$50000,'Adv. Filter'!$BT$1:$BT$50000,"Madhu",'Adv. Filter'!$BQ$1:$BQ$50000,$C959,'Adv. Filter'!$BH$1:$BH$50000,"Bank",'Adv. Filter'!$BO$1:$BO$50000,'Adv. Filter'!$A$14,'Adv. Filter'!$BO$1:$BO$50000,'Adv. Filter'!$B$14)</f>
        <v>0</v>
      </c>
      <c r="AE959" s="277"/>
      <c r="AF959" s="277"/>
      <c r="AG959" s="277"/>
      <c r="AH959" s="277"/>
      <c r="AI959" s="277"/>
      <c r="AJ959" s="277"/>
      <c r="AK959" s="277"/>
      <c r="AL959" s="277"/>
      <c r="AM959" s="278"/>
      <c r="AN959" s="276">
        <f t="shared" si="32"/>
        <v>0</v>
      </c>
      <c r="AO959" s="277"/>
      <c r="AP959" s="277"/>
      <c r="AQ959" s="277"/>
      <c r="AR959" s="277"/>
      <c r="AS959" s="277"/>
      <c r="AT959" s="277"/>
      <c r="AU959" s="277"/>
      <c r="AV959" s="277"/>
      <c r="AW959" s="278"/>
      <c r="AX959" s="45"/>
      <c r="AY959" s="293" t="s">
        <v>92</v>
      </c>
      <c r="AZ959" s="294"/>
      <c r="BA959" s="294"/>
      <c r="BB959" s="294"/>
      <c r="BC959" s="294"/>
      <c r="BD959" s="294"/>
      <c r="BE959" s="294"/>
      <c r="BF959" s="294"/>
      <c r="BG959" s="294"/>
      <c r="BH959" s="294"/>
      <c r="BI959" s="294"/>
      <c r="BJ959" s="294"/>
      <c r="BK959" s="294"/>
      <c r="BL959" s="294"/>
      <c r="BM959" s="294"/>
      <c r="BN959" s="294"/>
      <c r="BO959" s="295"/>
      <c r="BP959" s="276">
        <f>SUMIFS('Adv. Filter'!$BJ$1:$BJ$50000,'Adv. Filter'!$BT$1:$BT$50000,"Madhu",'Adv. Filter'!$BQ$1:$BQ$50000,$AY959,'Adv. Filter'!$BH$1:$BH$50000,"Cash",'Adv. Filter'!$BO$1:$BO$50000,"&lt;"&amp;'Adv. Filter'!$A$15)</f>
        <v>0</v>
      </c>
      <c r="BQ959" s="277"/>
      <c r="BR959" s="277"/>
      <c r="BS959" s="277"/>
      <c r="BT959" s="277"/>
      <c r="BU959" s="277"/>
      <c r="BV959" s="277"/>
      <c r="BW959" s="277"/>
      <c r="BX959" s="277"/>
      <c r="BY959" s="278"/>
      <c r="BZ959" s="276">
        <f>SUMIFS('Adv. Filter'!$BJ$1:$BJ$50000,'Adv. Filter'!$BT$1:$BT$50000,"Madhu",'Adv. Filter'!$BQ$1:$BQ$50000,$AY959,'Adv. Filter'!$BH$1:$BH$50000,"Bank",'Adv. Filter'!$BO$1:$BO$50000,"&lt;"&amp;'Adv. Filter'!$A$15)</f>
        <v>0</v>
      </c>
      <c r="CA959" s="277"/>
      <c r="CB959" s="277"/>
      <c r="CC959" s="277"/>
      <c r="CD959" s="277"/>
      <c r="CE959" s="277"/>
      <c r="CF959" s="277"/>
      <c r="CG959" s="277"/>
      <c r="CH959" s="277"/>
      <c r="CI959" s="278"/>
      <c r="CJ959" s="276">
        <f t="shared" si="33"/>
        <v>0</v>
      </c>
      <c r="CK959" s="277"/>
      <c r="CL959" s="277"/>
      <c r="CM959" s="277"/>
      <c r="CN959" s="277"/>
      <c r="CO959" s="277"/>
      <c r="CP959" s="277"/>
      <c r="CQ959" s="277"/>
      <c r="CR959" s="277"/>
      <c r="CS959" s="278"/>
      <c r="CT959" s="44"/>
      <c r="CU959" s="44"/>
      <c r="CV959" s="44"/>
      <c r="CW959" s="44"/>
      <c r="CX959" s="44"/>
      <c r="CY959" s="44"/>
      <c r="CZ959" s="44"/>
    </row>
    <row r="960" spans="1:104" hidden="1">
      <c r="C960" s="308" t="s">
        <v>115</v>
      </c>
      <c r="D960" s="309"/>
      <c r="E960" s="309"/>
      <c r="F960" s="309"/>
      <c r="G960" s="309"/>
      <c r="H960" s="309"/>
      <c r="I960" s="309"/>
      <c r="J960" s="309"/>
      <c r="K960" s="309"/>
      <c r="L960" s="309"/>
      <c r="M960" s="309"/>
      <c r="N960" s="309"/>
      <c r="O960" s="309"/>
      <c r="P960" s="309"/>
      <c r="Q960" s="309"/>
      <c r="R960" s="309"/>
      <c r="S960" s="310"/>
      <c r="T960" s="267">
        <f>SUMIFS('Adv. Filter'!$BJ$1:$BJ$50000,'Adv. Filter'!$BT$1:$BT$50000,"Madhu",'Adv. Filter'!$BQ$1:$BQ$50000,$C959,'Adv. Filter'!$BH$1:$BH$50000,"Cash",'Adv. Filter'!$BO$1:$BO$50000,'Adv. Filter'!$A$14,'Adv. Filter'!$BO$1:$BO$50000,'Adv. Filter'!$B$14,'Adv. Filter'!$BP$1:$BP$50000,"Project")</f>
        <v>0</v>
      </c>
      <c r="U960" s="268"/>
      <c r="V960" s="268"/>
      <c r="W960" s="268"/>
      <c r="X960" s="268"/>
      <c r="Y960" s="268"/>
      <c r="Z960" s="268"/>
      <c r="AA960" s="268"/>
      <c r="AB960" s="268"/>
      <c r="AC960" s="269"/>
      <c r="AD960" s="267">
        <f>SUMIFS('Adv. Filter'!$BJ$1:$BJ$50000,'Adv. Filter'!$BT$1:$BT$50000,"Madhu",'Adv. Filter'!$BQ$1:$BQ$50000,$C959,'Adv. Filter'!$BH$1:$BH$50000,"Bank",'Adv. Filter'!$BO$1:$BO$50000,'Adv. Filter'!$A$14,'Adv. Filter'!$BO$1:$BO$50000,'Adv. Filter'!$B$14,'Adv. Filter'!$BP$1:$BP$50000,"Project")</f>
        <v>0</v>
      </c>
      <c r="AE960" s="268"/>
      <c r="AF960" s="268"/>
      <c r="AG960" s="268"/>
      <c r="AH960" s="268"/>
      <c r="AI960" s="268"/>
      <c r="AJ960" s="268"/>
      <c r="AK960" s="268"/>
      <c r="AL960" s="268"/>
      <c r="AM960" s="269"/>
      <c r="AN960" s="267">
        <f t="shared" si="32"/>
        <v>0</v>
      </c>
      <c r="AO960" s="268"/>
      <c r="AP960" s="268"/>
      <c r="AQ960" s="268"/>
      <c r="AR960" s="268"/>
      <c r="AS960" s="268"/>
      <c r="AT960" s="268"/>
      <c r="AU960" s="268"/>
      <c r="AV960" s="268"/>
      <c r="AW960" s="269"/>
      <c r="AX960" s="22"/>
      <c r="AY960" s="308" t="s">
        <v>115</v>
      </c>
      <c r="AZ960" s="309"/>
      <c r="BA960" s="309"/>
      <c r="BB960" s="309"/>
      <c r="BC960" s="309"/>
      <c r="BD960" s="309"/>
      <c r="BE960" s="309"/>
      <c r="BF960" s="309"/>
      <c r="BG960" s="309"/>
      <c r="BH960" s="309"/>
      <c r="BI960" s="309"/>
      <c r="BJ960" s="309"/>
      <c r="BK960" s="309"/>
      <c r="BL960" s="309"/>
      <c r="BM960" s="309"/>
      <c r="BN960" s="309"/>
      <c r="BO960" s="310"/>
      <c r="BP960" s="267">
        <f>SUMIFS('Adv. Filter'!$BJ$1:$BJ$50000,'Adv. Filter'!$BT$1:$BT$50000,"Madhu",'Adv. Filter'!$BQ$1:$BQ$50000,$AY959,'Adv. Filter'!$BH$1:$BH$50000,"Cash",'Adv. Filter'!$BO$1:$BO$50000,"&lt;"&amp;'Adv. Filter'!$A$15,'Adv. Filter'!$BP$1:$BP$50000,"Project")</f>
        <v>0</v>
      </c>
      <c r="BQ960" s="268"/>
      <c r="BR960" s="268"/>
      <c r="BS960" s="268"/>
      <c r="BT960" s="268"/>
      <c r="BU960" s="268"/>
      <c r="BV960" s="268"/>
      <c r="BW960" s="268"/>
      <c r="BX960" s="268"/>
      <c r="BY960" s="269"/>
      <c r="BZ960" s="267">
        <f>SUMIFS('Adv. Filter'!$BJ$1:$BJ$50000,'Adv. Filter'!$BT$1:$BT$50000,"Madhu",'Adv. Filter'!$BQ$1:$BQ$50000,$AY959,'Adv. Filter'!$BH$1:$BH$50000,"Bank",'Adv. Filter'!$BO$1:$BO$50000,"&lt;"&amp;'Adv. Filter'!$A$15,'Adv. Filter'!$BP$1:$BP$50000,"Project")</f>
        <v>0</v>
      </c>
      <c r="CA960" s="268"/>
      <c r="CB960" s="268"/>
      <c r="CC960" s="268"/>
      <c r="CD960" s="268"/>
      <c r="CE960" s="268"/>
      <c r="CF960" s="268"/>
      <c r="CG960" s="268"/>
      <c r="CH960" s="268"/>
      <c r="CI960" s="269"/>
      <c r="CJ960" s="267">
        <f t="shared" si="33"/>
        <v>0</v>
      </c>
      <c r="CK960" s="268"/>
      <c r="CL960" s="268"/>
      <c r="CM960" s="268"/>
      <c r="CN960" s="268"/>
      <c r="CO960" s="268"/>
      <c r="CP960" s="268"/>
      <c r="CQ960" s="268"/>
      <c r="CR960" s="268"/>
      <c r="CS960" s="269"/>
    </row>
    <row r="961" spans="1:104" hidden="1">
      <c r="C961" s="308" t="s">
        <v>510</v>
      </c>
      <c r="D961" s="309"/>
      <c r="E961" s="309"/>
      <c r="F961" s="309"/>
      <c r="G961" s="309"/>
      <c r="H961" s="309"/>
      <c r="I961" s="309"/>
      <c r="J961" s="309"/>
      <c r="K961" s="309"/>
      <c r="L961" s="309"/>
      <c r="M961" s="309"/>
      <c r="N961" s="309"/>
      <c r="O961" s="309"/>
      <c r="P961" s="309"/>
      <c r="Q961" s="309"/>
      <c r="R961" s="309"/>
      <c r="S961" s="310"/>
      <c r="T961" s="267">
        <v>0</v>
      </c>
      <c r="U961" s="268"/>
      <c r="V961" s="268"/>
      <c r="W961" s="268"/>
      <c r="X961" s="268"/>
      <c r="Y961" s="268"/>
      <c r="Z961" s="268"/>
      <c r="AA961" s="268"/>
      <c r="AB961" s="268"/>
      <c r="AC961" s="269"/>
      <c r="AD961" s="267">
        <v>0</v>
      </c>
      <c r="AE961" s="268"/>
      <c r="AF961" s="268"/>
      <c r="AG961" s="268"/>
      <c r="AH961" s="268"/>
      <c r="AI961" s="268"/>
      <c r="AJ961" s="268"/>
      <c r="AK961" s="268"/>
      <c r="AL961" s="268"/>
      <c r="AM961" s="269"/>
      <c r="AN961" s="267">
        <f t="shared" si="32"/>
        <v>0</v>
      </c>
      <c r="AO961" s="268"/>
      <c r="AP961" s="268"/>
      <c r="AQ961" s="268"/>
      <c r="AR961" s="268"/>
      <c r="AS961" s="268"/>
      <c r="AT961" s="268"/>
      <c r="AU961" s="268"/>
      <c r="AV961" s="268"/>
      <c r="AW961" s="269"/>
      <c r="AX961" s="22"/>
      <c r="AY961" s="308" t="s">
        <v>510</v>
      </c>
      <c r="AZ961" s="309"/>
      <c r="BA961" s="309"/>
      <c r="BB961" s="309"/>
      <c r="BC961" s="309"/>
      <c r="BD961" s="309"/>
      <c r="BE961" s="309"/>
      <c r="BF961" s="309"/>
      <c r="BG961" s="309"/>
      <c r="BH961" s="309"/>
      <c r="BI961" s="309"/>
      <c r="BJ961" s="309"/>
      <c r="BK961" s="309"/>
      <c r="BL961" s="309"/>
      <c r="BM961" s="309"/>
      <c r="BN961" s="309"/>
      <c r="BO961" s="310"/>
      <c r="BP961" s="267"/>
      <c r="BQ961" s="268"/>
      <c r="BR961" s="268"/>
      <c r="BS961" s="268"/>
      <c r="BT961" s="268"/>
      <c r="BU961" s="268"/>
      <c r="BV961" s="268"/>
      <c r="BW961" s="268"/>
      <c r="BX961" s="268"/>
      <c r="BY961" s="269"/>
      <c r="BZ961" s="267"/>
      <c r="CA961" s="268"/>
      <c r="CB961" s="268"/>
      <c r="CC961" s="268"/>
      <c r="CD961" s="268"/>
      <c r="CE961" s="268"/>
      <c r="CF961" s="268"/>
      <c r="CG961" s="268"/>
      <c r="CH961" s="268"/>
      <c r="CI961" s="269"/>
      <c r="CJ961" s="267">
        <f t="shared" si="33"/>
        <v>0</v>
      </c>
      <c r="CK961" s="268"/>
      <c r="CL961" s="268"/>
      <c r="CM961" s="268"/>
      <c r="CN961" s="268"/>
      <c r="CO961" s="268"/>
      <c r="CP961" s="268"/>
      <c r="CQ961" s="268"/>
      <c r="CR961" s="268"/>
      <c r="CS961" s="269"/>
    </row>
    <row r="962" spans="1:104" hidden="1">
      <c r="C962" s="43"/>
      <c r="D962" s="36" t="str">
        <f>IF(AN959=0,C959&amp;" -","")</f>
        <v>Syndicate -</v>
      </c>
      <c r="E962" s="42"/>
      <c r="F962" s="42"/>
      <c r="G962" s="42"/>
      <c r="H962" s="42"/>
      <c r="I962" s="42"/>
      <c r="J962" s="42"/>
      <c r="K962" s="42"/>
      <c r="L962" s="42"/>
      <c r="M962" s="42"/>
      <c r="N962" s="42"/>
      <c r="O962" s="42"/>
      <c r="P962" s="1"/>
      <c r="Q962" s="42"/>
      <c r="R962" s="41" t="s">
        <v>275</v>
      </c>
      <c r="S962" s="40"/>
      <c r="T962" s="267">
        <f>SUMIFS('Adv. Filter'!$CH$1:$CH$50000,'Adv. Filter'!$CD$1:$CD$50000,"Madhu",'Adv. Filter'!$CE$1:$CE$50000,$C959,'Adv. Filter'!$CC$1:$CC$50000,"Suspense",'Adv. Filter'!$CF$1:$CF$50000,"Cash")</f>
        <v>0</v>
      </c>
      <c r="U962" s="268"/>
      <c r="V962" s="268"/>
      <c r="W962" s="268"/>
      <c r="X962" s="268"/>
      <c r="Y962" s="268"/>
      <c r="Z962" s="268"/>
      <c r="AA962" s="268"/>
      <c r="AB962" s="268"/>
      <c r="AC962" s="269"/>
      <c r="AD962" s="267">
        <f>SUMIFS('Adv. Filter'!$CH$1:$CH$50000,'Adv. Filter'!$CD$1:$CD$50000,"Madhu",'Adv. Filter'!$CE$1:$CE$50000,$C959,'Adv. Filter'!$CC$1:$CC$50000,"Suspense",'Adv. Filter'!$CF$1:$CF$50000,"Bank")</f>
        <v>0</v>
      </c>
      <c r="AE962" s="268"/>
      <c r="AF962" s="268"/>
      <c r="AG962" s="268"/>
      <c r="AH962" s="268"/>
      <c r="AI962" s="268"/>
      <c r="AJ962" s="268"/>
      <c r="AK962" s="268"/>
      <c r="AL962" s="268"/>
      <c r="AM962" s="269"/>
      <c r="AN962" s="267">
        <f t="shared" si="32"/>
        <v>0</v>
      </c>
      <c r="AO962" s="268"/>
      <c r="AP962" s="268"/>
      <c r="AQ962" s="268"/>
      <c r="AR962" s="268"/>
      <c r="AS962" s="268"/>
      <c r="AT962" s="268"/>
      <c r="AU962" s="268"/>
      <c r="AV962" s="268"/>
      <c r="AW962" s="269"/>
      <c r="AX962" s="22"/>
      <c r="AY962" s="43"/>
      <c r="AZ962" s="36" t="str">
        <f>IF(CJ959=0,AY959&amp;" -","")</f>
        <v>Syndicate -</v>
      </c>
      <c r="BA962" s="42"/>
      <c r="BB962" s="42"/>
      <c r="BC962" s="42"/>
      <c r="BD962" s="42"/>
      <c r="BE962" s="42"/>
      <c r="BF962" s="42"/>
      <c r="BG962" s="42"/>
      <c r="BH962" s="42"/>
      <c r="BI962" s="42"/>
      <c r="BJ962" s="42"/>
      <c r="BK962" s="42"/>
      <c r="BL962" s="1"/>
      <c r="BM962" s="42"/>
      <c r="BN962" s="41" t="s">
        <v>275</v>
      </c>
      <c r="BO962" s="40"/>
      <c r="BP962" s="267"/>
      <c r="BQ962" s="268"/>
      <c r="BR962" s="268"/>
      <c r="BS962" s="268"/>
      <c r="BT962" s="268"/>
      <c r="BU962" s="268"/>
      <c r="BV962" s="268"/>
      <c r="BW962" s="268"/>
      <c r="BX962" s="268"/>
      <c r="BY962" s="269"/>
      <c r="BZ962" s="267"/>
      <c r="CA962" s="268"/>
      <c r="CB962" s="268"/>
      <c r="CC962" s="268"/>
      <c r="CD962" s="268"/>
      <c r="CE962" s="268"/>
      <c r="CF962" s="268"/>
      <c r="CG962" s="268"/>
      <c r="CH962" s="268"/>
      <c r="CI962" s="269"/>
      <c r="CJ962" s="267">
        <f t="shared" si="33"/>
        <v>0</v>
      </c>
      <c r="CK962" s="268"/>
      <c r="CL962" s="268"/>
      <c r="CM962" s="268"/>
      <c r="CN962" s="268"/>
      <c r="CO962" s="268"/>
      <c r="CP962" s="268"/>
      <c r="CQ962" s="268"/>
      <c r="CR962" s="268"/>
      <c r="CS962" s="269"/>
    </row>
    <row r="963" spans="1:104" hidden="1">
      <c r="A963" s="44"/>
      <c r="B963" s="44"/>
      <c r="C963" s="293" t="s">
        <v>97</v>
      </c>
      <c r="D963" s="294"/>
      <c r="E963" s="294"/>
      <c r="F963" s="294"/>
      <c r="G963" s="294"/>
      <c r="H963" s="294"/>
      <c r="I963" s="294"/>
      <c r="J963" s="294"/>
      <c r="K963" s="294"/>
      <c r="L963" s="294"/>
      <c r="M963" s="294"/>
      <c r="N963" s="294"/>
      <c r="O963" s="294"/>
      <c r="P963" s="294"/>
      <c r="Q963" s="294"/>
      <c r="R963" s="294"/>
      <c r="S963" s="295"/>
      <c r="T963" s="276">
        <f>SUMIFS('Adv. Filter'!$BJ$1:$BJ$50000,'Adv. Filter'!$BT$1:$BT$50000,"Madhu",'Adv. Filter'!$BQ$1:$BQ$50000,$C963,'Adv. Filter'!$BH$1:$BH$50000,"Cash",'Adv. Filter'!$BO$1:$BO$50000,'Adv. Filter'!$A$14,'Adv. Filter'!$BO$1:$BO$50000,'Adv. Filter'!$B$14)</f>
        <v>0</v>
      </c>
      <c r="U963" s="277"/>
      <c r="V963" s="277"/>
      <c r="W963" s="277"/>
      <c r="X963" s="277"/>
      <c r="Y963" s="277"/>
      <c r="Z963" s="277"/>
      <c r="AA963" s="277"/>
      <c r="AB963" s="277"/>
      <c r="AC963" s="278"/>
      <c r="AD963" s="276">
        <f>SUMIFS('Adv. Filter'!$BJ$1:$BJ$50000,'Adv. Filter'!$BT$1:$BT$50000,"Madhu",'Adv. Filter'!$BQ$1:$BQ$50000,$C963,'Adv. Filter'!$BH$1:$BH$50000,"Bank",'Adv. Filter'!$BO$1:$BO$50000,'Adv. Filter'!$A$14,'Adv. Filter'!$BO$1:$BO$50000,'Adv. Filter'!$B$14)</f>
        <v>0</v>
      </c>
      <c r="AE963" s="277"/>
      <c r="AF963" s="277"/>
      <c r="AG963" s="277"/>
      <c r="AH963" s="277"/>
      <c r="AI963" s="277"/>
      <c r="AJ963" s="277"/>
      <c r="AK963" s="277"/>
      <c r="AL963" s="277"/>
      <c r="AM963" s="278"/>
      <c r="AN963" s="276">
        <f t="shared" si="32"/>
        <v>0</v>
      </c>
      <c r="AO963" s="277"/>
      <c r="AP963" s="277"/>
      <c r="AQ963" s="277"/>
      <c r="AR963" s="277"/>
      <c r="AS963" s="277"/>
      <c r="AT963" s="277"/>
      <c r="AU963" s="277"/>
      <c r="AV963" s="277"/>
      <c r="AW963" s="278"/>
      <c r="AX963" s="45"/>
      <c r="AY963" s="293" t="s">
        <v>97</v>
      </c>
      <c r="AZ963" s="294"/>
      <c r="BA963" s="294"/>
      <c r="BB963" s="294"/>
      <c r="BC963" s="294"/>
      <c r="BD963" s="294"/>
      <c r="BE963" s="294"/>
      <c r="BF963" s="294"/>
      <c r="BG963" s="294"/>
      <c r="BH963" s="294"/>
      <c r="BI963" s="294"/>
      <c r="BJ963" s="294"/>
      <c r="BK963" s="294"/>
      <c r="BL963" s="294"/>
      <c r="BM963" s="294"/>
      <c r="BN963" s="294"/>
      <c r="BO963" s="295"/>
      <c r="BP963" s="276">
        <f>SUMIFS('Adv. Filter'!$BJ$1:$BJ$50000,'Adv. Filter'!$BT$1:$BT$50000,"Madhu",'Adv. Filter'!$BQ$1:$BQ$50000,$AY963,'Adv. Filter'!$BH$1:$BH$50000,"Cash",'Adv. Filter'!$BO$1:$BO$50000,"&lt;"&amp;'Adv. Filter'!$A$15)</f>
        <v>0</v>
      </c>
      <c r="BQ963" s="277"/>
      <c r="BR963" s="277"/>
      <c r="BS963" s="277"/>
      <c r="BT963" s="277"/>
      <c r="BU963" s="277"/>
      <c r="BV963" s="277"/>
      <c r="BW963" s="277"/>
      <c r="BX963" s="277"/>
      <c r="BY963" s="278"/>
      <c r="BZ963" s="276">
        <f>SUMIFS('Adv. Filter'!$BJ$1:$BJ$50000,'Adv. Filter'!$BT$1:$BT$50000,"Madhu",'Adv. Filter'!$BQ$1:$BQ$50000,$AY963,'Adv. Filter'!$BH$1:$BH$50000,"Bank",'Adv. Filter'!$BO$1:$BO$50000,"&lt;"&amp;'Adv. Filter'!$A$15)</f>
        <v>0</v>
      </c>
      <c r="CA963" s="277"/>
      <c r="CB963" s="277"/>
      <c r="CC963" s="277"/>
      <c r="CD963" s="277"/>
      <c r="CE963" s="277"/>
      <c r="CF963" s="277"/>
      <c r="CG963" s="277"/>
      <c r="CH963" s="277"/>
      <c r="CI963" s="278"/>
      <c r="CJ963" s="276">
        <f t="shared" si="33"/>
        <v>0</v>
      </c>
      <c r="CK963" s="277"/>
      <c r="CL963" s="277"/>
      <c r="CM963" s="277"/>
      <c r="CN963" s="277"/>
      <c r="CO963" s="277"/>
      <c r="CP963" s="277"/>
      <c r="CQ963" s="277"/>
      <c r="CR963" s="277"/>
      <c r="CS963" s="278"/>
      <c r="CT963" s="44"/>
      <c r="CU963" s="44"/>
      <c r="CV963" s="44"/>
      <c r="CW963" s="44"/>
      <c r="CX963" s="44"/>
      <c r="CY963" s="44"/>
      <c r="CZ963" s="44"/>
    </row>
    <row r="964" spans="1:104" hidden="1">
      <c r="C964" s="308" t="s">
        <v>115</v>
      </c>
      <c r="D964" s="309"/>
      <c r="E964" s="309"/>
      <c r="F964" s="309"/>
      <c r="G964" s="309"/>
      <c r="H964" s="309"/>
      <c r="I964" s="309"/>
      <c r="J964" s="309"/>
      <c r="K964" s="309"/>
      <c r="L964" s="309"/>
      <c r="M964" s="309"/>
      <c r="N964" s="309"/>
      <c r="O964" s="309"/>
      <c r="P964" s="309"/>
      <c r="Q964" s="309"/>
      <c r="R964" s="309"/>
      <c r="S964" s="310"/>
      <c r="T964" s="267">
        <f>SUMIFS('Adv. Filter'!$BJ$1:$BJ$50000,'Adv. Filter'!$BT$1:$BT$50000,"Madhu",'Adv. Filter'!$BQ$1:$BQ$50000,$C963,'Adv. Filter'!$BH$1:$BH$50000,"Cash",'Adv. Filter'!$BO$1:$BO$50000,'Adv. Filter'!$A$14,'Adv. Filter'!$BO$1:$BO$50000,'Adv. Filter'!$B$14,'Adv. Filter'!$BP$1:$BP$50000,"Project")</f>
        <v>0</v>
      </c>
      <c r="U964" s="268"/>
      <c r="V964" s="268"/>
      <c r="W964" s="268"/>
      <c r="X964" s="268"/>
      <c r="Y964" s="268"/>
      <c r="Z964" s="268"/>
      <c r="AA964" s="268"/>
      <c r="AB964" s="268"/>
      <c r="AC964" s="269"/>
      <c r="AD964" s="267">
        <f>SUMIFS('Adv. Filter'!$BJ$1:$BJ$50000,'Adv. Filter'!$BT$1:$BT$50000,"Madhu",'Adv. Filter'!$BQ$1:$BQ$50000,$C963,'Adv. Filter'!$BH$1:$BH$50000,"Bank",'Adv. Filter'!$BO$1:$BO$50000,'Adv. Filter'!$A$14,'Adv. Filter'!$BO$1:$BO$50000,'Adv. Filter'!$B$14,'Adv. Filter'!$BP$1:$BP$50000,"Project")</f>
        <v>0</v>
      </c>
      <c r="AE964" s="268"/>
      <c r="AF964" s="268"/>
      <c r="AG964" s="268"/>
      <c r="AH964" s="268"/>
      <c r="AI964" s="268"/>
      <c r="AJ964" s="268"/>
      <c r="AK964" s="268"/>
      <c r="AL964" s="268"/>
      <c r="AM964" s="269"/>
      <c r="AN964" s="267">
        <f t="shared" si="32"/>
        <v>0</v>
      </c>
      <c r="AO964" s="268"/>
      <c r="AP964" s="268"/>
      <c r="AQ964" s="268"/>
      <c r="AR964" s="268"/>
      <c r="AS964" s="268"/>
      <c r="AT964" s="268"/>
      <c r="AU964" s="268"/>
      <c r="AV964" s="268"/>
      <c r="AW964" s="269"/>
      <c r="AX964" s="22"/>
      <c r="AY964" s="308" t="s">
        <v>115</v>
      </c>
      <c r="AZ964" s="309"/>
      <c r="BA964" s="309"/>
      <c r="BB964" s="309"/>
      <c r="BC964" s="309"/>
      <c r="BD964" s="309"/>
      <c r="BE964" s="309"/>
      <c r="BF964" s="309"/>
      <c r="BG964" s="309"/>
      <c r="BH964" s="309"/>
      <c r="BI964" s="309"/>
      <c r="BJ964" s="309"/>
      <c r="BK964" s="309"/>
      <c r="BL964" s="309"/>
      <c r="BM964" s="309"/>
      <c r="BN964" s="309"/>
      <c r="BO964" s="310"/>
      <c r="BP964" s="267">
        <f>SUMIFS('Adv. Filter'!$BJ$1:$BJ$50000,'Adv. Filter'!$BT$1:$BT$50000,"Madhu",'Adv. Filter'!$BQ$1:$BQ$50000,$AY963,'Adv. Filter'!$BH$1:$BH$50000,"Cash",'Adv. Filter'!$BO$1:$BO$50000,"&lt;"&amp;'Adv. Filter'!$A$15,'Adv. Filter'!$BP$1:$BP$50000,"Project")</f>
        <v>0</v>
      </c>
      <c r="BQ964" s="268"/>
      <c r="BR964" s="268"/>
      <c r="BS964" s="268"/>
      <c r="BT964" s="268"/>
      <c r="BU964" s="268"/>
      <c r="BV964" s="268"/>
      <c r="BW964" s="268"/>
      <c r="BX964" s="268"/>
      <c r="BY964" s="269"/>
      <c r="BZ964" s="267">
        <f>SUMIFS('Adv. Filter'!$BJ$1:$BJ$50000,'Adv. Filter'!$BT$1:$BT$50000,"Madhu",'Adv. Filter'!$BQ$1:$BQ$50000,$AY963,'Adv. Filter'!$BH$1:$BH$50000,"Bank",'Adv. Filter'!$BO$1:$BO$50000,"&lt;"&amp;'Adv. Filter'!$A$15,'Adv. Filter'!$BP$1:$BP$50000,"Project")</f>
        <v>0</v>
      </c>
      <c r="CA964" s="268"/>
      <c r="CB964" s="268"/>
      <c r="CC964" s="268"/>
      <c r="CD964" s="268"/>
      <c r="CE964" s="268"/>
      <c r="CF964" s="268"/>
      <c r="CG964" s="268"/>
      <c r="CH964" s="268"/>
      <c r="CI964" s="269"/>
      <c r="CJ964" s="267">
        <f t="shared" si="33"/>
        <v>0</v>
      </c>
      <c r="CK964" s="268"/>
      <c r="CL964" s="268"/>
      <c r="CM964" s="268"/>
      <c r="CN964" s="268"/>
      <c r="CO964" s="268"/>
      <c r="CP964" s="268"/>
      <c r="CQ964" s="268"/>
      <c r="CR964" s="268"/>
      <c r="CS964" s="269"/>
    </row>
    <row r="965" spans="1:104" hidden="1">
      <c r="C965" s="308" t="s">
        <v>510</v>
      </c>
      <c r="D965" s="309"/>
      <c r="E965" s="309"/>
      <c r="F965" s="309"/>
      <c r="G965" s="309"/>
      <c r="H965" s="309"/>
      <c r="I965" s="309"/>
      <c r="J965" s="309"/>
      <c r="K965" s="309"/>
      <c r="L965" s="309"/>
      <c r="M965" s="309"/>
      <c r="N965" s="309"/>
      <c r="O965" s="309"/>
      <c r="P965" s="309"/>
      <c r="Q965" s="309"/>
      <c r="R965" s="309"/>
      <c r="S965" s="310"/>
      <c r="T965" s="267">
        <v>0</v>
      </c>
      <c r="U965" s="268"/>
      <c r="V965" s="268"/>
      <c r="W965" s="268"/>
      <c r="X965" s="268"/>
      <c r="Y965" s="268"/>
      <c r="Z965" s="268"/>
      <c r="AA965" s="268"/>
      <c r="AB965" s="268"/>
      <c r="AC965" s="269"/>
      <c r="AD965" s="267">
        <v>0</v>
      </c>
      <c r="AE965" s="268"/>
      <c r="AF965" s="268"/>
      <c r="AG965" s="268"/>
      <c r="AH965" s="268"/>
      <c r="AI965" s="268"/>
      <c r="AJ965" s="268"/>
      <c r="AK965" s="268"/>
      <c r="AL965" s="268"/>
      <c r="AM965" s="269"/>
      <c r="AN965" s="267">
        <f t="shared" si="32"/>
        <v>0</v>
      </c>
      <c r="AO965" s="268"/>
      <c r="AP965" s="268"/>
      <c r="AQ965" s="268"/>
      <c r="AR965" s="268"/>
      <c r="AS965" s="268"/>
      <c r="AT965" s="268"/>
      <c r="AU965" s="268"/>
      <c r="AV965" s="268"/>
      <c r="AW965" s="269"/>
      <c r="AX965" s="22"/>
      <c r="AY965" s="308" t="s">
        <v>510</v>
      </c>
      <c r="AZ965" s="309"/>
      <c r="BA965" s="309"/>
      <c r="BB965" s="309"/>
      <c r="BC965" s="309"/>
      <c r="BD965" s="309"/>
      <c r="BE965" s="309"/>
      <c r="BF965" s="309"/>
      <c r="BG965" s="309"/>
      <c r="BH965" s="309"/>
      <c r="BI965" s="309"/>
      <c r="BJ965" s="309"/>
      <c r="BK965" s="309"/>
      <c r="BL965" s="309"/>
      <c r="BM965" s="309"/>
      <c r="BN965" s="309"/>
      <c r="BO965" s="310"/>
      <c r="BP965" s="267"/>
      <c r="BQ965" s="268"/>
      <c r="BR965" s="268"/>
      <c r="BS965" s="268"/>
      <c r="BT965" s="268"/>
      <c r="BU965" s="268"/>
      <c r="BV965" s="268"/>
      <c r="BW965" s="268"/>
      <c r="BX965" s="268"/>
      <c r="BY965" s="269"/>
      <c r="BZ965" s="267"/>
      <c r="CA965" s="268"/>
      <c r="CB965" s="268"/>
      <c r="CC965" s="268"/>
      <c r="CD965" s="268"/>
      <c r="CE965" s="268"/>
      <c r="CF965" s="268"/>
      <c r="CG965" s="268"/>
      <c r="CH965" s="268"/>
      <c r="CI965" s="269"/>
      <c r="CJ965" s="267">
        <f t="shared" si="33"/>
        <v>0</v>
      </c>
      <c r="CK965" s="268"/>
      <c r="CL965" s="268"/>
      <c r="CM965" s="268"/>
      <c r="CN965" s="268"/>
      <c r="CO965" s="268"/>
      <c r="CP965" s="268"/>
      <c r="CQ965" s="268"/>
      <c r="CR965" s="268"/>
      <c r="CS965" s="269"/>
    </row>
    <row r="966" spans="1:104" hidden="1">
      <c r="C966" s="43"/>
      <c r="D966" s="36" t="str">
        <f>IF(AN963=0,C963&amp;" -","")</f>
        <v>TGB -</v>
      </c>
      <c r="E966" s="42"/>
      <c r="F966" s="42"/>
      <c r="G966" s="42"/>
      <c r="H966" s="42"/>
      <c r="I966" s="42"/>
      <c r="J966" s="42"/>
      <c r="K966" s="42"/>
      <c r="L966" s="42"/>
      <c r="M966" s="42"/>
      <c r="N966" s="42"/>
      <c r="O966" s="42"/>
      <c r="P966" s="1"/>
      <c r="Q966" s="42"/>
      <c r="R966" s="41" t="s">
        <v>275</v>
      </c>
      <c r="S966" s="40"/>
      <c r="T966" s="267">
        <f>SUMIFS('Adv. Filter'!$CH$1:$CH$50000,'Adv. Filter'!$CD$1:$CD$50000,"Madhu",'Adv. Filter'!$CE$1:$CE$50000,$C963,'Adv. Filter'!$CC$1:$CC$50000,"Suspense",'Adv. Filter'!$CF$1:$CF$50000,"Cash")</f>
        <v>0</v>
      </c>
      <c r="U966" s="268"/>
      <c r="V966" s="268"/>
      <c r="W966" s="268"/>
      <c r="X966" s="268"/>
      <c r="Y966" s="268"/>
      <c r="Z966" s="268"/>
      <c r="AA966" s="268"/>
      <c r="AB966" s="268"/>
      <c r="AC966" s="269"/>
      <c r="AD966" s="267">
        <f>SUMIFS('Adv. Filter'!$CH$1:$CH$50000,'Adv. Filter'!$CD$1:$CD$50000,"Madhu",'Adv. Filter'!$CE$1:$CE$50000,$C963,'Adv. Filter'!$CC$1:$CC$50000,"Suspense",'Adv. Filter'!$CF$1:$CF$50000,"Bank")</f>
        <v>0</v>
      </c>
      <c r="AE966" s="268"/>
      <c r="AF966" s="268"/>
      <c r="AG966" s="268"/>
      <c r="AH966" s="268"/>
      <c r="AI966" s="268"/>
      <c r="AJ966" s="268"/>
      <c r="AK966" s="268"/>
      <c r="AL966" s="268"/>
      <c r="AM966" s="269"/>
      <c r="AN966" s="267">
        <f t="shared" si="32"/>
        <v>0</v>
      </c>
      <c r="AO966" s="268"/>
      <c r="AP966" s="268"/>
      <c r="AQ966" s="268"/>
      <c r="AR966" s="268"/>
      <c r="AS966" s="268"/>
      <c r="AT966" s="268"/>
      <c r="AU966" s="268"/>
      <c r="AV966" s="268"/>
      <c r="AW966" s="269"/>
      <c r="AX966" s="22"/>
      <c r="AY966" s="43"/>
      <c r="AZ966" s="36" t="str">
        <f>IF(CJ963=0,AY963&amp;" -","")</f>
        <v>TGB -</v>
      </c>
      <c r="BA966" s="42"/>
      <c r="BB966" s="42"/>
      <c r="BC966" s="42"/>
      <c r="BD966" s="42"/>
      <c r="BE966" s="42"/>
      <c r="BF966" s="42"/>
      <c r="BG966" s="42"/>
      <c r="BH966" s="42"/>
      <c r="BI966" s="42"/>
      <c r="BJ966" s="42"/>
      <c r="BK966" s="42"/>
      <c r="BL966" s="1"/>
      <c r="BM966" s="42"/>
      <c r="BN966" s="41" t="s">
        <v>275</v>
      </c>
      <c r="BO966" s="40"/>
      <c r="BP966" s="267"/>
      <c r="BQ966" s="268"/>
      <c r="BR966" s="268"/>
      <c r="BS966" s="268"/>
      <c r="BT966" s="268"/>
      <c r="BU966" s="268"/>
      <c r="BV966" s="268"/>
      <c r="BW966" s="268"/>
      <c r="BX966" s="268"/>
      <c r="BY966" s="269"/>
      <c r="BZ966" s="267"/>
      <c r="CA966" s="268"/>
      <c r="CB966" s="268"/>
      <c r="CC966" s="268"/>
      <c r="CD966" s="268"/>
      <c r="CE966" s="268"/>
      <c r="CF966" s="268"/>
      <c r="CG966" s="268"/>
      <c r="CH966" s="268"/>
      <c r="CI966" s="269"/>
      <c r="CJ966" s="267">
        <f t="shared" si="33"/>
        <v>0</v>
      </c>
      <c r="CK966" s="268"/>
      <c r="CL966" s="268"/>
      <c r="CM966" s="268"/>
      <c r="CN966" s="268"/>
      <c r="CO966" s="268"/>
      <c r="CP966" s="268"/>
      <c r="CQ966" s="268"/>
      <c r="CR966" s="268"/>
      <c r="CS966" s="269"/>
    </row>
    <row r="967" spans="1:104" hidden="1">
      <c r="A967" s="44"/>
      <c r="B967" s="44"/>
      <c r="C967" s="293" t="s">
        <v>102</v>
      </c>
      <c r="D967" s="294"/>
      <c r="E967" s="294"/>
      <c r="F967" s="294"/>
      <c r="G967" s="294"/>
      <c r="H967" s="294"/>
      <c r="I967" s="294"/>
      <c r="J967" s="294"/>
      <c r="K967" s="294"/>
      <c r="L967" s="294"/>
      <c r="M967" s="294"/>
      <c r="N967" s="294"/>
      <c r="O967" s="294"/>
      <c r="P967" s="294"/>
      <c r="Q967" s="294"/>
      <c r="R967" s="294"/>
      <c r="S967" s="295"/>
      <c r="T967" s="276">
        <f>SUMIFS('Adv. Filter'!$BJ$1:$BJ$50000,'Adv. Filter'!$BT$1:$BT$50000,"Madhu",'Adv. Filter'!$BQ$1:$BQ$50000,$C967,'Adv. Filter'!$BH$1:$BH$50000,"Cash",'Adv. Filter'!$BO$1:$BO$50000,'Adv. Filter'!$A$14,'Adv. Filter'!$BO$1:$BO$50000,'Adv. Filter'!$B$14)</f>
        <v>0</v>
      </c>
      <c r="U967" s="277"/>
      <c r="V967" s="277"/>
      <c r="W967" s="277"/>
      <c r="X967" s="277"/>
      <c r="Y967" s="277"/>
      <c r="Z967" s="277"/>
      <c r="AA967" s="277"/>
      <c r="AB967" s="277"/>
      <c r="AC967" s="278"/>
      <c r="AD967" s="276">
        <f>SUMIFS('Adv. Filter'!$BJ$1:$BJ$50000,'Adv. Filter'!$BT$1:$BT$50000,"Madhu",'Adv. Filter'!$BQ$1:$BQ$50000,$C967,'Adv. Filter'!$BH$1:$BH$50000,"Bank",'Adv. Filter'!$BO$1:$BO$50000,'Adv. Filter'!$A$14,'Adv. Filter'!$BO$1:$BO$50000,'Adv. Filter'!$B$14)</f>
        <v>0</v>
      </c>
      <c r="AE967" s="277"/>
      <c r="AF967" s="277"/>
      <c r="AG967" s="277"/>
      <c r="AH967" s="277"/>
      <c r="AI967" s="277"/>
      <c r="AJ967" s="277"/>
      <c r="AK967" s="277"/>
      <c r="AL967" s="277"/>
      <c r="AM967" s="278"/>
      <c r="AN967" s="276">
        <f t="shared" si="32"/>
        <v>0</v>
      </c>
      <c r="AO967" s="277"/>
      <c r="AP967" s="277"/>
      <c r="AQ967" s="277"/>
      <c r="AR967" s="277"/>
      <c r="AS967" s="277"/>
      <c r="AT967" s="277"/>
      <c r="AU967" s="277"/>
      <c r="AV967" s="277"/>
      <c r="AW967" s="278"/>
      <c r="AX967" s="45"/>
      <c r="AY967" s="293" t="s">
        <v>102</v>
      </c>
      <c r="AZ967" s="294"/>
      <c r="BA967" s="294"/>
      <c r="BB967" s="294"/>
      <c r="BC967" s="294"/>
      <c r="BD967" s="294"/>
      <c r="BE967" s="294"/>
      <c r="BF967" s="294"/>
      <c r="BG967" s="294"/>
      <c r="BH967" s="294"/>
      <c r="BI967" s="294"/>
      <c r="BJ967" s="294"/>
      <c r="BK967" s="294"/>
      <c r="BL967" s="294"/>
      <c r="BM967" s="294"/>
      <c r="BN967" s="294"/>
      <c r="BO967" s="295"/>
      <c r="BP967" s="276">
        <f>SUMIFS('Adv. Filter'!$BJ$1:$BJ$50000,'Adv. Filter'!$BT$1:$BT$50000,"Madhu",'Adv. Filter'!$BQ$1:$BQ$50000,$AY967,'Adv. Filter'!$BH$1:$BH$50000,"Cash",'Adv. Filter'!$BO$1:$BO$50000,"&lt;"&amp;'Adv. Filter'!$A$15)</f>
        <v>0</v>
      </c>
      <c r="BQ967" s="277"/>
      <c r="BR967" s="277"/>
      <c r="BS967" s="277"/>
      <c r="BT967" s="277"/>
      <c r="BU967" s="277"/>
      <c r="BV967" s="277"/>
      <c r="BW967" s="277"/>
      <c r="BX967" s="277"/>
      <c r="BY967" s="278"/>
      <c r="BZ967" s="276">
        <f>SUMIFS('Adv. Filter'!$BJ$1:$BJ$50000,'Adv. Filter'!$BT$1:$BT$50000,"Madhu",'Adv. Filter'!$BQ$1:$BQ$50000,$AY967,'Adv. Filter'!$BH$1:$BH$50000,"Bank",'Adv. Filter'!$BO$1:$BO$50000,"&lt;"&amp;'Adv. Filter'!$A$15)</f>
        <v>0</v>
      </c>
      <c r="CA967" s="277"/>
      <c r="CB967" s="277"/>
      <c r="CC967" s="277"/>
      <c r="CD967" s="277"/>
      <c r="CE967" s="277"/>
      <c r="CF967" s="277"/>
      <c r="CG967" s="277"/>
      <c r="CH967" s="277"/>
      <c r="CI967" s="278"/>
      <c r="CJ967" s="276">
        <f t="shared" si="33"/>
        <v>0</v>
      </c>
      <c r="CK967" s="277"/>
      <c r="CL967" s="277"/>
      <c r="CM967" s="277"/>
      <c r="CN967" s="277"/>
      <c r="CO967" s="277"/>
      <c r="CP967" s="277"/>
      <c r="CQ967" s="277"/>
      <c r="CR967" s="277"/>
      <c r="CS967" s="278"/>
      <c r="CT967" s="44"/>
      <c r="CU967" s="44"/>
      <c r="CV967" s="44"/>
      <c r="CW967" s="44"/>
      <c r="CX967" s="44"/>
      <c r="CY967" s="44"/>
      <c r="CZ967" s="44"/>
    </row>
    <row r="968" spans="1:104" hidden="1">
      <c r="C968" s="308" t="s">
        <v>115</v>
      </c>
      <c r="D968" s="309"/>
      <c r="E968" s="309"/>
      <c r="F968" s="309"/>
      <c r="G968" s="309"/>
      <c r="H968" s="309"/>
      <c r="I968" s="309"/>
      <c r="J968" s="309"/>
      <c r="K968" s="309"/>
      <c r="L968" s="309"/>
      <c r="M968" s="309"/>
      <c r="N968" s="309"/>
      <c r="O968" s="309"/>
      <c r="P968" s="309"/>
      <c r="Q968" s="309"/>
      <c r="R968" s="309"/>
      <c r="S968" s="310"/>
      <c r="T968" s="267">
        <f>SUMIFS('Adv. Filter'!$BJ$1:$BJ$50000,'Adv. Filter'!$BT$1:$BT$50000,"Madhu",'Adv. Filter'!$BQ$1:$BQ$50000,$C967,'Adv. Filter'!$BH$1:$BH$50000,"Cash",'Adv. Filter'!$BO$1:$BO$50000,'Adv. Filter'!$A$14,'Adv. Filter'!$BO$1:$BO$50000,'Adv. Filter'!$B$14,'Adv. Filter'!$BP$1:$BP$50000,"Project")</f>
        <v>0</v>
      </c>
      <c r="U968" s="268"/>
      <c r="V968" s="268"/>
      <c r="W968" s="268"/>
      <c r="X968" s="268"/>
      <c r="Y968" s="268"/>
      <c r="Z968" s="268"/>
      <c r="AA968" s="268"/>
      <c r="AB968" s="268"/>
      <c r="AC968" s="269"/>
      <c r="AD968" s="267">
        <f>SUMIFS('Adv. Filter'!$BJ$1:$BJ$50000,'Adv. Filter'!$BT$1:$BT$50000,"Madhu",'Adv. Filter'!$BQ$1:$BQ$50000,$C967,'Adv. Filter'!$BH$1:$BH$50000,"Bank",'Adv. Filter'!$BO$1:$BO$50000,'Adv. Filter'!$A$14,'Adv. Filter'!$BO$1:$BO$50000,'Adv. Filter'!$B$14,'Adv. Filter'!$BP$1:$BP$50000,"Project")</f>
        <v>0</v>
      </c>
      <c r="AE968" s="268"/>
      <c r="AF968" s="268"/>
      <c r="AG968" s="268"/>
      <c r="AH968" s="268"/>
      <c r="AI968" s="268"/>
      <c r="AJ968" s="268"/>
      <c r="AK968" s="268"/>
      <c r="AL968" s="268"/>
      <c r="AM968" s="269"/>
      <c r="AN968" s="267">
        <f t="shared" si="32"/>
        <v>0</v>
      </c>
      <c r="AO968" s="268"/>
      <c r="AP968" s="268"/>
      <c r="AQ968" s="268"/>
      <c r="AR968" s="268"/>
      <c r="AS968" s="268"/>
      <c r="AT968" s="268"/>
      <c r="AU968" s="268"/>
      <c r="AV968" s="268"/>
      <c r="AW968" s="269"/>
      <c r="AX968" s="22"/>
      <c r="AY968" s="308" t="s">
        <v>115</v>
      </c>
      <c r="AZ968" s="309"/>
      <c r="BA968" s="309"/>
      <c r="BB968" s="309"/>
      <c r="BC968" s="309"/>
      <c r="BD968" s="309"/>
      <c r="BE968" s="309"/>
      <c r="BF968" s="309"/>
      <c r="BG968" s="309"/>
      <c r="BH968" s="309"/>
      <c r="BI968" s="309"/>
      <c r="BJ968" s="309"/>
      <c r="BK968" s="309"/>
      <c r="BL968" s="309"/>
      <c r="BM968" s="309"/>
      <c r="BN968" s="309"/>
      <c r="BO968" s="310"/>
      <c r="BP968" s="267">
        <f>SUMIFS('Adv. Filter'!$BJ$1:$BJ$50000,'Adv. Filter'!$BT$1:$BT$50000,"Madhu",'Adv. Filter'!$BQ$1:$BQ$50000,$AY967,'Adv. Filter'!$BH$1:$BH$50000,"Cash",'Adv. Filter'!$BO$1:$BO$50000,"&lt;"&amp;'Adv. Filter'!$A$15,'Adv. Filter'!$BP$1:$BP$50000,"Project")</f>
        <v>0</v>
      </c>
      <c r="BQ968" s="268"/>
      <c r="BR968" s="268"/>
      <c r="BS968" s="268"/>
      <c r="BT968" s="268"/>
      <c r="BU968" s="268"/>
      <c r="BV968" s="268"/>
      <c r="BW968" s="268"/>
      <c r="BX968" s="268"/>
      <c r="BY968" s="269"/>
      <c r="BZ968" s="267">
        <f>SUMIFS('Adv. Filter'!$BJ$1:$BJ$50000,'Adv. Filter'!$BT$1:$BT$50000,"Madhu",'Adv. Filter'!$BQ$1:$BQ$50000,$AY967,'Adv. Filter'!$BH$1:$BH$50000,"Bank",'Adv. Filter'!$BO$1:$BO$50000,"&lt;"&amp;'Adv. Filter'!$A$15,'Adv. Filter'!$BP$1:$BP$50000,"Project")</f>
        <v>0</v>
      </c>
      <c r="CA968" s="268"/>
      <c r="CB968" s="268"/>
      <c r="CC968" s="268"/>
      <c r="CD968" s="268"/>
      <c r="CE968" s="268"/>
      <c r="CF968" s="268"/>
      <c r="CG968" s="268"/>
      <c r="CH968" s="268"/>
      <c r="CI968" s="269"/>
      <c r="CJ968" s="267">
        <f t="shared" si="33"/>
        <v>0</v>
      </c>
      <c r="CK968" s="268"/>
      <c r="CL968" s="268"/>
      <c r="CM968" s="268"/>
      <c r="CN968" s="268"/>
      <c r="CO968" s="268"/>
      <c r="CP968" s="268"/>
      <c r="CQ968" s="268"/>
      <c r="CR968" s="268"/>
      <c r="CS968" s="269"/>
    </row>
    <row r="969" spans="1:104" hidden="1">
      <c r="C969" s="308" t="s">
        <v>510</v>
      </c>
      <c r="D969" s="309"/>
      <c r="E969" s="309"/>
      <c r="F969" s="309"/>
      <c r="G969" s="309"/>
      <c r="H969" s="309"/>
      <c r="I969" s="309"/>
      <c r="J969" s="309"/>
      <c r="K969" s="309"/>
      <c r="L969" s="309"/>
      <c r="M969" s="309"/>
      <c r="N969" s="309"/>
      <c r="O969" s="309"/>
      <c r="P969" s="309"/>
      <c r="Q969" s="309"/>
      <c r="R969" s="309"/>
      <c r="S969" s="310"/>
      <c r="T969" s="267">
        <v>0</v>
      </c>
      <c r="U969" s="268"/>
      <c r="V969" s="268"/>
      <c r="W969" s="268"/>
      <c r="X969" s="268"/>
      <c r="Y969" s="268"/>
      <c r="Z969" s="268"/>
      <c r="AA969" s="268"/>
      <c r="AB969" s="268"/>
      <c r="AC969" s="269"/>
      <c r="AD969" s="267">
        <v>0</v>
      </c>
      <c r="AE969" s="268"/>
      <c r="AF969" s="268"/>
      <c r="AG969" s="268"/>
      <c r="AH969" s="268"/>
      <c r="AI969" s="268"/>
      <c r="AJ969" s="268"/>
      <c r="AK969" s="268"/>
      <c r="AL969" s="268"/>
      <c r="AM969" s="269"/>
      <c r="AN969" s="267">
        <f t="shared" si="32"/>
        <v>0</v>
      </c>
      <c r="AO969" s="268"/>
      <c r="AP969" s="268"/>
      <c r="AQ969" s="268"/>
      <c r="AR969" s="268"/>
      <c r="AS969" s="268"/>
      <c r="AT969" s="268"/>
      <c r="AU969" s="268"/>
      <c r="AV969" s="268"/>
      <c r="AW969" s="269"/>
      <c r="AX969" s="22"/>
      <c r="AY969" s="308" t="s">
        <v>510</v>
      </c>
      <c r="AZ969" s="309"/>
      <c r="BA969" s="309"/>
      <c r="BB969" s="309"/>
      <c r="BC969" s="309"/>
      <c r="BD969" s="309"/>
      <c r="BE969" s="309"/>
      <c r="BF969" s="309"/>
      <c r="BG969" s="309"/>
      <c r="BH969" s="309"/>
      <c r="BI969" s="309"/>
      <c r="BJ969" s="309"/>
      <c r="BK969" s="309"/>
      <c r="BL969" s="309"/>
      <c r="BM969" s="309"/>
      <c r="BN969" s="309"/>
      <c r="BO969" s="310"/>
      <c r="BP969" s="267"/>
      <c r="BQ969" s="268"/>
      <c r="BR969" s="268"/>
      <c r="BS969" s="268"/>
      <c r="BT969" s="268"/>
      <c r="BU969" s="268"/>
      <c r="BV969" s="268"/>
      <c r="BW969" s="268"/>
      <c r="BX969" s="268"/>
      <c r="BY969" s="269"/>
      <c r="BZ969" s="267"/>
      <c r="CA969" s="268"/>
      <c r="CB969" s="268"/>
      <c r="CC969" s="268"/>
      <c r="CD969" s="268"/>
      <c r="CE969" s="268"/>
      <c r="CF969" s="268"/>
      <c r="CG969" s="268"/>
      <c r="CH969" s="268"/>
      <c r="CI969" s="269"/>
      <c r="CJ969" s="267">
        <f t="shared" si="33"/>
        <v>0</v>
      </c>
      <c r="CK969" s="268"/>
      <c r="CL969" s="268"/>
      <c r="CM969" s="268"/>
      <c r="CN969" s="268"/>
      <c r="CO969" s="268"/>
      <c r="CP969" s="268"/>
      <c r="CQ969" s="268"/>
      <c r="CR969" s="268"/>
      <c r="CS969" s="269"/>
    </row>
    <row r="970" spans="1:104" hidden="1">
      <c r="C970" s="43"/>
      <c r="D970" s="36" t="str">
        <f>IF(AN967=0,C967&amp;" -","")</f>
        <v>UBI -</v>
      </c>
      <c r="E970" s="42"/>
      <c r="F970" s="42"/>
      <c r="G970" s="42"/>
      <c r="H970" s="42"/>
      <c r="I970" s="42"/>
      <c r="J970" s="42"/>
      <c r="K970" s="42"/>
      <c r="L970" s="42"/>
      <c r="M970" s="42"/>
      <c r="N970" s="42"/>
      <c r="O970" s="42"/>
      <c r="P970" s="1"/>
      <c r="Q970" s="42"/>
      <c r="R970" s="41" t="s">
        <v>275</v>
      </c>
      <c r="S970" s="40"/>
      <c r="T970" s="267">
        <f>SUMIFS('Adv. Filter'!$CH$1:$CH$50000,'Adv. Filter'!$CD$1:$CD$50000,"Madhu",'Adv. Filter'!$CE$1:$CE$50000,$C967,'Adv. Filter'!$CC$1:$CC$50000,"Suspense",'Adv. Filter'!$CF$1:$CF$50000,"Cash")</f>
        <v>0</v>
      </c>
      <c r="U970" s="268"/>
      <c r="V970" s="268"/>
      <c r="W970" s="268"/>
      <c r="X970" s="268"/>
      <c r="Y970" s="268"/>
      <c r="Z970" s="268"/>
      <c r="AA970" s="268"/>
      <c r="AB970" s="268"/>
      <c r="AC970" s="269"/>
      <c r="AD970" s="267">
        <f>SUMIFS('Adv. Filter'!$CH$1:$CH$50000,'Adv. Filter'!$CD$1:$CD$50000,"Madhu",'Adv. Filter'!$CE$1:$CE$50000,$C967,'Adv. Filter'!$CC$1:$CC$50000,"Suspense",'Adv. Filter'!$CF$1:$CF$50000,"Bank")</f>
        <v>0</v>
      </c>
      <c r="AE970" s="268"/>
      <c r="AF970" s="268"/>
      <c r="AG970" s="268"/>
      <c r="AH970" s="268"/>
      <c r="AI970" s="268"/>
      <c r="AJ970" s="268"/>
      <c r="AK970" s="268"/>
      <c r="AL970" s="268"/>
      <c r="AM970" s="269"/>
      <c r="AN970" s="267">
        <f t="shared" si="32"/>
        <v>0</v>
      </c>
      <c r="AO970" s="268"/>
      <c r="AP970" s="268"/>
      <c r="AQ970" s="268"/>
      <c r="AR970" s="268"/>
      <c r="AS970" s="268"/>
      <c r="AT970" s="268"/>
      <c r="AU970" s="268"/>
      <c r="AV970" s="268"/>
      <c r="AW970" s="269"/>
      <c r="AX970" s="22"/>
      <c r="AY970" s="43"/>
      <c r="AZ970" s="36" t="str">
        <f>IF(CJ967=0,AY967&amp;" -","")</f>
        <v>UBI -</v>
      </c>
      <c r="BA970" s="42"/>
      <c r="BB970" s="42"/>
      <c r="BC970" s="42"/>
      <c r="BD970" s="42"/>
      <c r="BE970" s="42"/>
      <c r="BF970" s="42"/>
      <c r="BG970" s="42"/>
      <c r="BH970" s="42"/>
      <c r="BI970" s="42"/>
      <c r="BJ970" s="42"/>
      <c r="BK970" s="42"/>
      <c r="BL970" s="1"/>
      <c r="BM970" s="42"/>
      <c r="BN970" s="41" t="s">
        <v>275</v>
      </c>
      <c r="BO970" s="40"/>
      <c r="BP970" s="267"/>
      <c r="BQ970" s="268"/>
      <c r="BR970" s="268"/>
      <c r="BS970" s="268"/>
      <c r="BT970" s="268"/>
      <c r="BU970" s="268"/>
      <c r="BV970" s="268"/>
      <c r="BW970" s="268"/>
      <c r="BX970" s="268"/>
      <c r="BY970" s="269"/>
      <c r="BZ970" s="267"/>
      <c r="CA970" s="268"/>
      <c r="CB970" s="268"/>
      <c r="CC970" s="268"/>
      <c r="CD970" s="268"/>
      <c r="CE970" s="268"/>
      <c r="CF970" s="268"/>
      <c r="CG970" s="268"/>
      <c r="CH970" s="268"/>
      <c r="CI970" s="269"/>
      <c r="CJ970" s="267">
        <f t="shared" si="33"/>
        <v>0</v>
      </c>
      <c r="CK970" s="268"/>
      <c r="CL970" s="268"/>
      <c r="CM970" s="268"/>
      <c r="CN970" s="268"/>
      <c r="CO970" s="268"/>
      <c r="CP970" s="268"/>
      <c r="CQ970" s="268"/>
      <c r="CR970" s="268"/>
      <c r="CS970" s="269"/>
    </row>
    <row r="971" spans="1:104" hidden="1">
      <c r="A971" s="44"/>
      <c r="B971" s="44"/>
      <c r="C971" s="293" t="s">
        <v>108</v>
      </c>
      <c r="D971" s="294"/>
      <c r="E971" s="294"/>
      <c r="F971" s="294"/>
      <c r="G971" s="294"/>
      <c r="H971" s="294"/>
      <c r="I971" s="294"/>
      <c r="J971" s="294"/>
      <c r="K971" s="294"/>
      <c r="L971" s="294"/>
      <c r="M971" s="294"/>
      <c r="N971" s="294"/>
      <c r="O971" s="294"/>
      <c r="P971" s="294"/>
      <c r="Q971" s="294"/>
      <c r="R971" s="294"/>
      <c r="S971" s="295"/>
      <c r="T971" s="276">
        <f>SUMIFS('Adv. Filter'!$BJ$1:$BJ$50000,'Adv. Filter'!$BT$1:$BT$50000,"Madhu",'Adv. Filter'!$BQ$1:$BQ$50000,$C971,'Adv. Filter'!$BH$1:$BH$50000,"Cash",'Adv. Filter'!$BO$1:$BO$50000,'Adv. Filter'!$A$14,'Adv. Filter'!$BO$1:$BO$50000,'Adv. Filter'!$B$14)</f>
        <v>0</v>
      </c>
      <c r="U971" s="277"/>
      <c r="V971" s="277"/>
      <c r="W971" s="277"/>
      <c r="X971" s="277"/>
      <c r="Y971" s="277"/>
      <c r="Z971" s="277"/>
      <c r="AA971" s="277"/>
      <c r="AB971" s="277"/>
      <c r="AC971" s="278"/>
      <c r="AD971" s="276">
        <f>SUMIFS('Adv. Filter'!$BJ$1:$BJ$50000,'Adv. Filter'!$BT$1:$BT$50000,"Madhu",'Adv. Filter'!$BQ$1:$BQ$50000,$C971,'Adv. Filter'!$BH$1:$BH$50000,"Bank",'Adv. Filter'!$BO$1:$BO$50000,'Adv. Filter'!$A$14,'Adv. Filter'!$BO$1:$BO$50000,'Adv. Filter'!$B$14)</f>
        <v>0</v>
      </c>
      <c r="AE971" s="277"/>
      <c r="AF971" s="277"/>
      <c r="AG971" s="277"/>
      <c r="AH971" s="277"/>
      <c r="AI971" s="277"/>
      <c r="AJ971" s="277"/>
      <c r="AK971" s="277"/>
      <c r="AL971" s="277"/>
      <c r="AM971" s="278"/>
      <c r="AN971" s="276">
        <f t="shared" si="32"/>
        <v>0</v>
      </c>
      <c r="AO971" s="277"/>
      <c r="AP971" s="277"/>
      <c r="AQ971" s="277"/>
      <c r="AR971" s="277"/>
      <c r="AS971" s="277"/>
      <c r="AT971" s="277"/>
      <c r="AU971" s="277"/>
      <c r="AV971" s="277"/>
      <c r="AW971" s="278"/>
      <c r="AX971" s="45"/>
      <c r="AY971" s="293" t="s">
        <v>108</v>
      </c>
      <c r="AZ971" s="294"/>
      <c r="BA971" s="294"/>
      <c r="BB971" s="294"/>
      <c r="BC971" s="294"/>
      <c r="BD971" s="294"/>
      <c r="BE971" s="294"/>
      <c r="BF971" s="294"/>
      <c r="BG971" s="294"/>
      <c r="BH971" s="294"/>
      <c r="BI971" s="294"/>
      <c r="BJ971" s="294"/>
      <c r="BK971" s="294"/>
      <c r="BL971" s="294"/>
      <c r="BM971" s="294"/>
      <c r="BN971" s="294"/>
      <c r="BO971" s="295"/>
      <c r="BP971" s="276">
        <f>SUMIFS('Adv. Filter'!$BJ$1:$BJ$50000,'Adv. Filter'!$BT$1:$BT$50000,"Madhu",'Adv. Filter'!$BQ$1:$BQ$50000,$AY971,'Adv. Filter'!$BH$1:$BH$50000,"Cash",'Adv. Filter'!$BO$1:$BO$50000,"&lt;"&amp;'Adv. Filter'!$A$15)</f>
        <v>0</v>
      </c>
      <c r="BQ971" s="277"/>
      <c r="BR971" s="277"/>
      <c r="BS971" s="277"/>
      <c r="BT971" s="277"/>
      <c r="BU971" s="277"/>
      <c r="BV971" s="277"/>
      <c r="BW971" s="277"/>
      <c r="BX971" s="277"/>
      <c r="BY971" s="278"/>
      <c r="BZ971" s="276">
        <f>SUMIFS('Adv. Filter'!$BJ$1:$BJ$50000,'Adv. Filter'!$BT$1:$BT$50000,"Madhu",'Adv. Filter'!$BQ$1:$BQ$50000,$AY971,'Adv. Filter'!$BH$1:$BH$50000,"Bank",'Adv. Filter'!$BO$1:$BO$50000,"&lt;"&amp;'Adv. Filter'!$A$15)</f>
        <v>0</v>
      </c>
      <c r="CA971" s="277"/>
      <c r="CB971" s="277"/>
      <c r="CC971" s="277"/>
      <c r="CD971" s="277"/>
      <c r="CE971" s="277"/>
      <c r="CF971" s="277"/>
      <c r="CG971" s="277"/>
      <c r="CH971" s="277"/>
      <c r="CI971" s="278"/>
      <c r="CJ971" s="276">
        <f t="shared" si="33"/>
        <v>0</v>
      </c>
      <c r="CK971" s="277"/>
      <c r="CL971" s="277"/>
      <c r="CM971" s="277"/>
      <c r="CN971" s="277"/>
      <c r="CO971" s="277"/>
      <c r="CP971" s="277"/>
      <c r="CQ971" s="277"/>
      <c r="CR971" s="277"/>
      <c r="CS971" s="278"/>
      <c r="CT971" s="44"/>
      <c r="CU971" s="44"/>
      <c r="CV971" s="44"/>
      <c r="CW971" s="44"/>
      <c r="CX971" s="44"/>
      <c r="CY971" s="44"/>
      <c r="CZ971" s="44"/>
    </row>
    <row r="972" spans="1:104" hidden="1">
      <c r="C972" s="308" t="s">
        <v>115</v>
      </c>
      <c r="D972" s="309"/>
      <c r="E972" s="309"/>
      <c r="F972" s="309"/>
      <c r="G972" s="309"/>
      <c r="H972" s="309"/>
      <c r="I972" s="309"/>
      <c r="J972" s="309"/>
      <c r="K972" s="309"/>
      <c r="L972" s="309"/>
      <c r="M972" s="309"/>
      <c r="N972" s="309"/>
      <c r="O972" s="309"/>
      <c r="P972" s="309"/>
      <c r="Q972" s="309"/>
      <c r="R972" s="309"/>
      <c r="S972" s="310"/>
      <c r="T972" s="267">
        <f>SUMIFS('Adv. Filter'!$BJ$1:$BJ$50000,'Adv. Filter'!$BT$1:$BT$50000,"Madhu",'Adv. Filter'!$BQ$1:$BQ$50000,$C971,'Adv. Filter'!$BH$1:$BH$50000,"Cash",'Adv. Filter'!$BO$1:$BO$50000,'Adv. Filter'!$A$14,'Adv. Filter'!$BO$1:$BO$50000,'Adv. Filter'!$B$14,'Adv. Filter'!$BP$1:$BP$50000,"Project")</f>
        <v>0</v>
      </c>
      <c r="U972" s="268"/>
      <c r="V972" s="268"/>
      <c r="W972" s="268"/>
      <c r="X972" s="268"/>
      <c r="Y972" s="268"/>
      <c r="Z972" s="268"/>
      <c r="AA972" s="268"/>
      <c r="AB972" s="268"/>
      <c r="AC972" s="269"/>
      <c r="AD972" s="267">
        <f>SUMIFS('Adv. Filter'!$BJ$1:$BJ$50000,'Adv. Filter'!$BT$1:$BT$50000,"Madhu",'Adv. Filter'!$BQ$1:$BQ$50000,$C971,'Adv. Filter'!$BH$1:$BH$50000,"Bank",'Adv. Filter'!$BO$1:$BO$50000,'Adv. Filter'!$A$14,'Adv. Filter'!$BO$1:$BO$50000,'Adv. Filter'!$B$14,'Adv. Filter'!$BP$1:$BP$50000,"Project")</f>
        <v>0</v>
      </c>
      <c r="AE972" s="268"/>
      <c r="AF972" s="268"/>
      <c r="AG972" s="268"/>
      <c r="AH972" s="268"/>
      <c r="AI972" s="268"/>
      <c r="AJ972" s="268"/>
      <c r="AK972" s="268"/>
      <c r="AL972" s="268"/>
      <c r="AM972" s="269"/>
      <c r="AN972" s="267">
        <f t="shared" si="32"/>
        <v>0</v>
      </c>
      <c r="AO972" s="268"/>
      <c r="AP972" s="268"/>
      <c r="AQ972" s="268"/>
      <c r="AR972" s="268"/>
      <c r="AS972" s="268"/>
      <c r="AT972" s="268"/>
      <c r="AU972" s="268"/>
      <c r="AV972" s="268"/>
      <c r="AW972" s="269"/>
      <c r="AX972" s="22"/>
      <c r="AY972" s="308" t="s">
        <v>115</v>
      </c>
      <c r="AZ972" s="309"/>
      <c r="BA972" s="309"/>
      <c r="BB972" s="309"/>
      <c r="BC972" s="309"/>
      <c r="BD972" s="309"/>
      <c r="BE972" s="309"/>
      <c r="BF972" s="309"/>
      <c r="BG972" s="309"/>
      <c r="BH972" s="309"/>
      <c r="BI972" s="309"/>
      <c r="BJ972" s="309"/>
      <c r="BK972" s="309"/>
      <c r="BL972" s="309"/>
      <c r="BM972" s="309"/>
      <c r="BN972" s="309"/>
      <c r="BO972" s="310"/>
      <c r="BP972" s="267">
        <f>SUMIFS('Adv. Filter'!$BJ$1:$BJ$50000,'Adv. Filter'!$BT$1:$BT$50000,"Madhu",'Adv. Filter'!$BQ$1:$BQ$50000,$AY971,'Adv. Filter'!$BH$1:$BH$50000,"Cash",'Adv. Filter'!$BO$1:$BO$50000,"&lt;"&amp;'Adv. Filter'!$A$15,'Adv. Filter'!$BP$1:$BP$50000,"Project")</f>
        <v>0</v>
      </c>
      <c r="BQ972" s="268"/>
      <c r="BR972" s="268"/>
      <c r="BS972" s="268"/>
      <c r="BT972" s="268"/>
      <c r="BU972" s="268"/>
      <c r="BV972" s="268"/>
      <c r="BW972" s="268"/>
      <c r="BX972" s="268"/>
      <c r="BY972" s="269"/>
      <c r="BZ972" s="267">
        <f>SUMIFS('Adv. Filter'!$BJ$1:$BJ$50000,'Adv. Filter'!$BT$1:$BT$50000,"Madhu",'Adv. Filter'!$BQ$1:$BQ$50000,$AY971,'Adv. Filter'!$BH$1:$BH$50000,"Bank",'Adv. Filter'!$BO$1:$BO$50000,"&lt;"&amp;'Adv. Filter'!$A$15,'Adv. Filter'!$BP$1:$BP$50000,"Project")</f>
        <v>0</v>
      </c>
      <c r="CA972" s="268"/>
      <c r="CB972" s="268"/>
      <c r="CC972" s="268"/>
      <c r="CD972" s="268"/>
      <c r="CE972" s="268"/>
      <c r="CF972" s="268"/>
      <c r="CG972" s="268"/>
      <c r="CH972" s="268"/>
      <c r="CI972" s="269"/>
      <c r="CJ972" s="267">
        <f t="shared" si="33"/>
        <v>0</v>
      </c>
      <c r="CK972" s="268"/>
      <c r="CL972" s="268"/>
      <c r="CM972" s="268"/>
      <c r="CN972" s="268"/>
      <c r="CO972" s="268"/>
      <c r="CP972" s="268"/>
      <c r="CQ972" s="268"/>
      <c r="CR972" s="268"/>
      <c r="CS972" s="269"/>
    </row>
    <row r="973" spans="1:104" hidden="1">
      <c r="C973" s="308" t="s">
        <v>510</v>
      </c>
      <c r="D973" s="309"/>
      <c r="E973" s="309"/>
      <c r="F973" s="309"/>
      <c r="G973" s="309"/>
      <c r="H973" s="309"/>
      <c r="I973" s="309"/>
      <c r="J973" s="309"/>
      <c r="K973" s="309"/>
      <c r="L973" s="309"/>
      <c r="M973" s="309"/>
      <c r="N973" s="309"/>
      <c r="O973" s="309"/>
      <c r="P973" s="309"/>
      <c r="Q973" s="309"/>
      <c r="R973" s="309"/>
      <c r="S973" s="310"/>
      <c r="T973" s="267">
        <v>0</v>
      </c>
      <c r="U973" s="268"/>
      <c r="V973" s="268"/>
      <c r="W973" s="268"/>
      <c r="X973" s="268"/>
      <c r="Y973" s="268"/>
      <c r="Z973" s="268"/>
      <c r="AA973" s="268"/>
      <c r="AB973" s="268"/>
      <c r="AC973" s="269"/>
      <c r="AD973" s="267">
        <v>0</v>
      </c>
      <c r="AE973" s="268"/>
      <c r="AF973" s="268"/>
      <c r="AG973" s="268"/>
      <c r="AH973" s="268"/>
      <c r="AI973" s="268"/>
      <c r="AJ973" s="268"/>
      <c r="AK973" s="268"/>
      <c r="AL973" s="268"/>
      <c r="AM973" s="269"/>
      <c r="AN973" s="267">
        <f t="shared" si="32"/>
        <v>0</v>
      </c>
      <c r="AO973" s="268"/>
      <c r="AP973" s="268"/>
      <c r="AQ973" s="268"/>
      <c r="AR973" s="268"/>
      <c r="AS973" s="268"/>
      <c r="AT973" s="268"/>
      <c r="AU973" s="268"/>
      <c r="AV973" s="268"/>
      <c r="AW973" s="269"/>
      <c r="AX973" s="22"/>
      <c r="AY973" s="308" t="s">
        <v>510</v>
      </c>
      <c r="AZ973" s="309"/>
      <c r="BA973" s="309"/>
      <c r="BB973" s="309"/>
      <c r="BC973" s="309"/>
      <c r="BD973" s="309"/>
      <c r="BE973" s="309"/>
      <c r="BF973" s="309"/>
      <c r="BG973" s="309"/>
      <c r="BH973" s="309"/>
      <c r="BI973" s="309"/>
      <c r="BJ973" s="309"/>
      <c r="BK973" s="309"/>
      <c r="BL973" s="309"/>
      <c r="BM973" s="309"/>
      <c r="BN973" s="309"/>
      <c r="BO973" s="310"/>
      <c r="BP973" s="267"/>
      <c r="BQ973" s="268"/>
      <c r="BR973" s="268"/>
      <c r="BS973" s="268"/>
      <c r="BT973" s="268"/>
      <c r="BU973" s="268"/>
      <c r="BV973" s="268"/>
      <c r="BW973" s="268"/>
      <c r="BX973" s="268"/>
      <c r="BY973" s="269"/>
      <c r="BZ973" s="267"/>
      <c r="CA973" s="268"/>
      <c r="CB973" s="268"/>
      <c r="CC973" s="268"/>
      <c r="CD973" s="268"/>
      <c r="CE973" s="268"/>
      <c r="CF973" s="268"/>
      <c r="CG973" s="268"/>
      <c r="CH973" s="268"/>
      <c r="CI973" s="269"/>
      <c r="CJ973" s="267">
        <f t="shared" si="33"/>
        <v>0</v>
      </c>
      <c r="CK973" s="268"/>
      <c r="CL973" s="268"/>
      <c r="CM973" s="268"/>
      <c r="CN973" s="268"/>
      <c r="CO973" s="268"/>
      <c r="CP973" s="268"/>
      <c r="CQ973" s="268"/>
      <c r="CR973" s="268"/>
      <c r="CS973" s="269"/>
    </row>
    <row r="974" spans="1:104" ht="15.75" hidden="1" thickBot="1">
      <c r="C974" s="43"/>
      <c r="D974" s="36" t="str">
        <f>IF(AN971=0,C971&amp;" -","")</f>
        <v>Vijaya -</v>
      </c>
      <c r="E974" s="42"/>
      <c r="F974" s="42"/>
      <c r="G974" s="42"/>
      <c r="H974" s="42"/>
      <c r="I974" s="42"/>
      <c r="J974" s="42"/>
      <c r="K974" s="42"/>
      <c r="L974" s="42"/>
      <c r="M974" s="42"/>
      <c r="N974" s="42"/>
      <c r="O974" s="42"/>
      <c r="P974" s="1"/>
      <c r="Q974" s="42"/>
      <c r="R974" s="41" t="s">
        <v>275</v>
      </c>
      <c r="S974" s="40"/>
      <c r="T974" s="267">
        <f>SUMIFS('Adv. Filter'!$CH$1:$CH$50000,'Adv. Filter'!$CD$1:$CD$50000,"Madhu",'Adv. Filter'!$CE$1:$CE$50000,$C971,'Adv. Filter'!$CC$1:$CC$50000,"Suspense",'Adv. Filter'!$CF$1:$CF$50000,"Cash")</f>
        <v>0</v>
      </c>
      <c r="U974" s="268"/>
      <c r="V974" s="268"/>
      <c r="W974" s="268"/>
      <c r="X974" s="268"/>
      <c r="Y974" s="268"/>
      <c r="Z974" s="268"/>
      <c r="AA974" s="268"/>
      <c r="AB974" s="268"/>
      <c r="AC974" s="269"/>
      <c r="AD974" s="267">
        <f>SUMIFS('Adv. Filter'!$CH$1:$CH$50000,'Adv. Filter'!$CD$1:$CD$50000,"Madhu",'Adv. Filter'!$CE$1:$CE$50000,$C971,'Adv. Filter'!$CC$1:$CC$50000,"Suspense",'Adv. Filter'!$CF$1:$CF$50000,"Bank")</f>
        <v>0</v>
      </c>
      <c r="AE974" s="268"/>
      <c r="AF974" s="268"/>
      <c r="AG974" s="268"/>
      <c r="AH974" s="268"/>
      <c r="AI974" s="268"/>
      <c r="AJ974" s="268"/>
      <c r="AK974" s="268"/>
      <c r="AL974" s="268"/>
      <c r="AM974" s="269"/>
      <c r="AN974" s="267">
        <f t="shared" si="32"/>
        <v>0</v>
      </c>
      <c r="AO974" s="268"/>
      <c r="AP974" s="268"/>
      <c r="AQ974" s="268"/>
      <c r="AR974" s="268"/>
      <c r="AS974" s="268"/>
      <c r="AT974" s="268"/>
      <c r="AU974" s="268"/>
      <c r="AV974" s="268"/>
      <c r="AW974" s="269"/>
      <c r="AX974" s="22"/>
      <c r="AY974" s="43"/>
      <c r="AZ974" s="36" t="str">
        <f>IF(CJ971=0,AY971&amp;" -","")</f>
        <v>Vijaya -</v>
      </c>
      <c r="BA974" s="42"/>
      <c r="BB974" s="42"/>
      <c r="BC974" s="42"/>
      <c r="BD974" s="42"/>
      <c r="BE974" s="42"/>
      <c r="BF974" s="42"/>
      <c r="BG974" s="42"/>
      <c r="BH974" s="42"/>
      <c r="BI974" s="42"/>
      <c r="BJ974" s="42"/>
      <c r="BK974" s="42"/>
      <c r="BL974" s="1"/>
      <c r="BM974" s="42"/>
      <c r="BN974" s="41" t="s">
        <v>275</v>
      </c>
      <c r="BO974" s="40"/>
      <c r="BP974" s="267"/>
      <c r="BQ974" s="268"/>
      <c r="BR974" s="268"/>
      <c r="BS974" s="268"/>
      <c r="BT974" s="268"/>
      <c r="BU974" s="268"/>
      <c r="BV974" s="268"/>
      <c r="BW974" s="268"/>
      <c r="BX974" s="268"/>
      <c r="BY974" s="269"/>
      <c r="BZ974" s="267"/>
      <c r="CA974" s="268"/>
      <c r="CB974" s="268"/>
      <c r="CC974" s="268"/>
      <c r="CD974" s="268"/>
      <c r="CE974" s="268"/>
      <c r="CF974" s="268"/>
      <c r="CG974" s="268"/>
      <c r="CH974" s="268"/>
      <c r="CI974" s="269"/>
      <c r="CJ974" s="267">
        <f t="shared" si="33"/>
        <v>0</v>
      </c>
      <c r="CK974" s="268"/>
      <c r="CL974" s="268"/>
      <c r="CM974" s="268"/>
      <c r="CN974" s="268"/>
      <c r="CO974" s="268"/>
      <c r="CP974" s="268"/>
      <c r="CQ974" s="268"/>
      <c r="CR974" s="268"/>
      <c r="CS974" s="269"/>
    </row>
    <row r="975" spans="1:104" ht="16.5" hidden="1" thickTop="1">
      <c r="C975" s="459" t="s">
        <v>503</v>
      </c>
      <c r="D975" s="459"/>
      <c r="E975" s="459"/>
      <c r="F975" s="459"/>
      <c r="G975" s="459"/>
      <c r="H975" s="459"/>
      <c r="I975" s="459"/>
      <c r="J975" s="459"/>
      <c r="K975" s="459"/>
      <c r="L975" s="459"/>
      <c r="M975" s="459"/>
      <c r="N975" s="459"/>
      <c r="O975" s="459"/>
      <c r="P975" s="459"/>
      <c r="Q975" s="459"/>
      <c r="R975" s="459"/>
      <c r="S975" s="459"/>
      <c r="T975" s="273">
        <f>T908+T912+T916+T920+T924+T928+T932+T936+T940+T943+T947+T951+T955+T959+T963+T967+T971+T911+T915+T919+T923+T927+T931+T935+T939+T946+T950+T954+T958+T962+T966+T970+T974</f>
        <v>0</v>
      </c>
      <c r="U975" s="274"/>
      <c r="V975" s="274"/>
      <c r="W975" s="274"/>
      <c r="X975" s="274"/>
      <c r="Y975" s="274"/>
      <c r="Z975" s="274"/>
      <c r="AA975" s="274"/>
      <c r="AB975" s="274"/>
      <c r="AC975" s="275"/>
      <c r="AD975" s="273">
        <f>AD908+AD912+AD916+AD920+AD924+AD928+AD932+AD936+AD940+AD943+AD947+AD951+AD955+AD959+AD963+AD967+AD971+AD911+AD915+AD919+AD923+AD927+AD931+AD935+AD939+AD946+AD950+AD954+AD958+AD962+AD966+AD970+AD974</f>
        <v>0</v>
      </c>
      <c r="AE975" s="274"/>
      <c r="AF975" s="274"/>
      <c r="AG975" s="274"/>
      <c r="AH975" s="274"/>
      <c r="AI975" s="274"/>
      <c r="AJ975" s="274"/>
      <c r="AK975" s="274"/>
      <c r="AL975" s="274"/>
      <c r="AM975" s="275"/>
      <c r="AN975" s="273">
        <f t="shared" si="32"/>
        <v>0</v>
      </c>
      <c r="AO975" s="274"/>
      <c r="AP975" s="274"/>
      <c r="AQ975" s="274"/>
      <c r="AR975" s="274"/>
      <c r="AS975" s="274"/>
      <c r="AT975" s="274"/>
      <c r="AU975" s="274"/>
      <c r="AV975" s="274"/>
      <c r="AW975" s="275"/>
      <c r="AX975" s="39"/>
      <c r="AY975" s="459" t="s">
        <v>503</v>
      </c>
      <c r="AZ975" s="459"/>
      <c r="BA975" s="459"/>
      <c r="BB975" s="459"/>
      <c r="BC975" s="459"/>
      <c r="BD975" s="459"/>
      <c r="BE975" s="459"/>
      <c r="BF975" s="459"/>
      <c r="BG975" s="459"/>
      <c r="BH975" s="459"/>
      <c r="BI975" s="459"/>
      <c r="BJ975" s="459"/>
      <c r="BK975" s="459"/>
      <c r="BL975" s="459"/>
      <c r="BM975" s="459"/>
      <c r="BN975" s="459"/>
      <c r="BO975" s="459"/>
      <c r="BP975" s="273">
        <f>BP908+BP912+BP916+BP920+BP924+BP928+BP932+BP936+BP940+BP943+BP947+BP951+BP955+BP959+BP963+BP967+BP971</f>
        <v>0</v>
      </c>
      <c r="BQ975" s="274"/>
      <c r="BR975" s="274"/>
      <c r="BS975" s="274"/>
      <c r="BT975" s="274"/>
      <c r="BU975" s="274"/>
      <c r="BV975" s="274"/>
      <c r="BW975" s="274"/>
      <c r="BX975" s="274"/>
      <c r="BY975" s="275"/>
      <c r="BZ975" s="273">
        <f>BZ908+BZ912+BZ916+BZ920+BZ924+BZ928+BZ932+BZ936+BZ940+BZ943+BZ947+BZ951+BZ955+BZ959+BZ963+BZ967+BZ971</f>
        <v>0</v>
      </c>
      <c r="CA975" s="274"/>
      <c r="CB975" s="274"/>
      <c r="CC975" s="274"/>
      <c r="CD975" s="274"/>
      <c r="CE975" s="274"/>
      <c r="CF975" s="274"/>
      <c r="CG975" s="274"/>
      <c r="CH975" s="274"/>
      <c r="CI975" s="275"/>
      <c r="CJ975" s="273">
        <f t="shared" si="33"/>
        <v>0</v>
      </c>
      <c r="CK975" s="274"/>
      <c r="CL975" s="274"/>
      <c r="CM975" s="274"/>
      <c r="CN975" s="274"/>
      <c r="CO975" s="274"/>
      <c r="CP975" s="274"/>
      <c r="CQ975" s="274"/>
      <c r="CR975" s="274"/>
      <c r="CS975" s="275"/>
    </row>
    <row r="976" spans="1:104" hidden="1"/>
    <row r="977" spans="3:135" hidden="1">
      <c r="D977"/>
      <c r="E977" s="261" t="s">
        <v>509</v>
      </c>
      <c r="F977" s="262"/>
      <c r="G977" s="262"/>
      <c r="H977" s="262"/>
      <c r="I977" s="262"/>
      <c r="J977" s="262"/>
      <c r="K977" s="262"/>
      <c r="L977" s="262"/>
      <c r="M977" s="262"/>
      <c r="N977" s="262"/>
      <c r="O977" s="262"/>
      <c r="P977" s="262"/>
      <c r="Q977" s="262"/>
      <c r="R977" s="262"/>
      <c r="S977" s="262"/>
      <c r="T977" s="262"/>
      <c r="U977" s="262"/>
      <c r="V977" s="262"/>
      <c r="W977" s="262"/>
      <c r="X977" s="262"/>
      <c r="Y977" s="262"/>
      <c r="Z977" s="262"/>
      <c r="AA977" s="262"/>
      <c r="AB977" s="262"/>
      <c r="AC977" s="262"/>
      <c r="AD977" s="262"/>
      <c r="AE977" s="262"/>
      <c r="AF977" s="262"/>
      <c r="AG977" s="262"/>
      <c r="AH977" s="262"/>
      <c r="AI977" s="262"/>
      <c r="AJ977" s="262"/>
      <c r="AK977" s="262"/>
      <c r="AL977" s="262"/>
      <c r="AM977" s="262"/>
      <c r="AN977" s="262"/>
      <c r="AO977" s="262"/>
      <c r="AP977" s="262"/>
      <c r="AQ977" s="262"/>
      <c r="AR977" s="262"/>
      <c r="AS977" s="262"/>
      <c r="AT977" s="262"/>
      <c r="AU977" s="262"/>
      <c r="AV977" s="262"/>
      <c r="AW977" s="263"/>
      <c r="AY977" s="261" t="s">
        <v>508</v>
      </c>
      <c r="AZ977" s="262"/>
      <c r="BA977" s="262"/>
      <c r="BB977" s="262"/>
      <c r="BC977" s="262"/>
      <c r="BD977" s="262"/>
      <c r="BE977" s="262"/>
      <c r="BF977" s="262"/>
      <c r="BG977" s="262"/>
      <c r="BH977" s="262"/>
      <c r="BI977" s="262"/>
      <c r="BJ977" s="262"/>
      <c r="BK977" s="262"/>
      <c r="BL977" s="262"/>
      <c r="BM977" s="262"/>
      <c r="BN977" s="262"/>
      <c r="BO977" s="262"/>
      <c r="BP977" s="262"/>
      <c r="BQ977" s="262"/>
      <c r="BR977" s="262"/>
      <c r="BS977" s="262"/>
      <c r="BT977" s="262"/>
      <c r="BU977" s="262"/>
      <c r="BV977" s="262"/>
      <c r="BW977" s="262"/>
      <c r="BX977" s="262"/>
      <c r="BY977" s="262"/>
      <c r="BZ977" s="262"/>
      <c r="CA977" s="262"/>
      <c r="CB977" s="262"/>
      <c r="CC977" s="262"/>
      <c r="CD977" s="262"/>
      <c r="CE977" s="262"/>
      <c r="CF977" s="262"/>
      <c r="CG977" s="262"/>
      <c r="CH977" s="262"/>
      <c r="CI977" s="262"/>
      <c r="CJ977" s="262"/>
      <c r="CK977" s="262"/>
      <c r="CL977" s="262"/>
      <c r="CM977" s="262"/>
      <c r="CN977" s="262"/>
      <c r="CO977" s="262"/>
      <c r="CP977" s="262"/>
      <c r="CQ977" s="263"/>
    </row>
    <row r="978" spans="3:135" ht="15" hidden="1" customHeight="1">
      <c r="D978"/>
      <c r="E978" s="231" t="s">
        <v>317</v>
      </c>
      <c r="F978" s="232"/>
      <c r="G978" s="232"/>
      <c r="H978" s="232"/>
      <c r="I978" s="232"/>
      <c r="J978" s="232"/>
      <c r="K978" s="232"/>
      <c r="L978" s="232"/>
      <c r="M978" s="232"/>
      <c r="N978" s="232"/>
      <c r="O978" s="232"/>
      <c r="P978" s="232"/>
      <c r="Q978" s="232"/>
      <c r="R978" s="232"/>
      <c r="S978" s="233"/>
      <c r="T978" s="445" t="s">
        <v>34</v>
      </c>
      <c r="U978" s="446"/>
      <c r="V978" s="446"/>
      <c r="W978" s="446"/>
      <c r="X978" s="446"/>
      <c r="Y978" s="446"/>
      <c r="Z978" s="446"/>
      <c r="AA978" s="446"/>
      <c r="AB978" s="446"/>
      <c r="AC978" s="447"/>
      <c r="AD978" s="445" t="s">
        <v>10</v>
      </c>
      <c r="AE978" s="446"/>
      <c r="AF978" s="446"/>
      <c r="AG978" s="446"/>
      <c r="AH978" s="446"/>
      <c r="AI978" s="446"/>
      <c r="AJ978" s="446"/>
      <c r="AK978" s="446"/>
      <c r="AL978" s="446"/>
      <c r="AM978" s="447"/>
      <c r="AN978" s="445" t="s">
        <v>503</v>
      </c>
      <c r="AO978" s="446"/>
      <c r="AP978" s="446"/>
      <c r="AQ978" s="446"/>
      <c r="AR978" s="446"/>
      <c r="AS978" s="446"/>
      <c r="AT978" s="446"/>
      <c r="AU978" s="446"/>
      <c r="AV978" s="446"/>
      <c r="AW978" s="447"/>
      <c r="AY978" s="231" t="s">
        <v>317</v>
      </c>
      <c r="AZ978" s="232"/>
      <c r="BA978" s="232"/>
      <c r="BB978" s="232"/>
      <c r="BC978" s="232"/>
      <c r="BD978" s="232"/>
      <c r="BE978" s="232"/>
      <c r="BF978" s="232"/>
      <c r="BG978" s="232"/>
      <c r="BH978" s="232"/>
      <c r="BI978" s="232"/>
      <c r="BJ978" s="232"/>
      <c r="BK978" s="232"/>
      <c r="BL978" s="232"/>
      <c r="BM978" s="233"/>
      <c r="BN978" s="445" t="s">
        <v>34</v>
      </c>
      <c r="BO978" s="446"/>
      <c r="BP978" s="446"/>
      <c r="BQ978" s="446"/>
      <c r="BR978" s="446"/>
      <c r="BS978" s="446"/>
      <c r="BT978" s="446"/>
      <c r="BU978" s="446"/>
      <c r="BV978" s="446"/>
      <c r="BW978" s="447"/>
      <c r="BX978" s="445" t="s">
        <v>10</v>
      </c>
      <c r="BY978" s="446"/>
      <c r="BZ978" s="446"/>
      <c r="CA978" s="446"/>
      <c r="CB978" s="446"/>
      <c r="CC978" s="446"/>
      <c r="CD978" s="446"/>
      <c r="CE978" s="446"/>
      <c r="CF978" s="446"/>
      <c r="CG978" s="447"/>
      <c r="CH978" s="445" t="s">
        <v>503</v>
      </c>
      <c r="CI978" s="446"/>
      <c r="CJ978" s="446"/>
      <c r="CK978" s="446"/>
      <c r="CL978" s="446"/>
      <c r="CM978" s="446"/>
      <c r="CN978" s="446"/>
      <c r="CO978" s="446"/>
      <c r="CP978" s="446"/>
      <c r="CQ978" s="447"/>
    </row>
    <row r="979" spans="3:135" hidden="1">
      <c r="D979"/>
      <c r="E979" s="460" t="s">
        <v>495</v>
      </c>
      <c r="F979" s="461"/>
      <c r="G979" s="461"/>
      <c r="H979" s="461"/>
      <c r="I979" s="461"/>
      <c r="J979" s="461"/>
      <c r="K979" s="461"/>
      <c r="L979" s="461"/>
      <c r="M979" s="461"/>
      <c r="N979" s="461"/>
      <c r="O979" s="461"/>
      <c r="P979" s="461"/>
      <c r="Q979" s="461"/>
      <c r="R979" s="461"/>
      <c r="S979" s="462"/>
      <c r="T979" s="304">
        <f>SUMIFS('Adv. Filter'!$CH$1:$CH$50000,'Adv. Filter'!$CD$1:$CD$50000,"Madhu",'Adv. Filter'!$CB$1:$CB$50000,E979,'Adv. Filter'!$CF$1:$CF$50000,"Cash")</f>
        <v>4400</v>
      </c>
      <c r="U979" s="463"/>
      <c r="V979" s="463"/>
      <c r="W979" s="463"/>
      <c r="X979" s="463"/>
      <c r="Y979" s="463"/>
      <c r="Z979" s="463"/>
      <c r="AA979" s="463"/>
      <c r="AB979" s="463"/>
      <c r="AC979" s="464"/>
      <c r="AD979" s="304">
        <f>SUMIFS('Adv. Filter'!$CH$1:$CH$50000,'Adv. Filter'!$CD$1:$CD$50000,"Madhu",'Adv. Filter'!$CB$1:$CB$50000,E979,'Adv. Filter'!$CF$1:$CF$50000,"Bank")</f>
        <v>0</v>
      </c>
      <c r="AE979" s="463"/>
      <c r="AF979" s="463"/>
      <c r="AG979" s="463"/>
      <c r="AH979" s="463"/>
      <c r="AI979" s="463"/>
      <c r="AJ979" s="463"/>
      <c r="AK979" s="463"/>
      <c r="AL979" s="463"/>
      <c r="AM979" s="464"/>
      <c r="AN979" s="304">
        <f>T979+AD979</f>
        <v>4400</v>
      </c>
      <c r="AO979" s="463"/>
      <c r="AP979" s="463"/>
      <c r="AQ979" s="463"/>
      <c r="AR979" s="463"/>
      <c r="AS979" s="463"/>
      <c r="AT979" s="463"/>
      <c r="AU979" s="463"/>
      <c r="AV979" s="463"/>
      <c r="AW979" s="464"/>
      <c r="AY979" s="465" t="s">
        <v>507</v>
      </c>
      <c r="AZ979" s="466"/>
      <c r="BA979" s="466"/>
      <c r="BB979" s="466"/>
      <c r="BC979" s="466"/>
      <c r="BD979" s="466"/>
      <c r="BE979" s="466"/>
      <c r="BF979" s="466"/>
      <c r="BG979" s="466"/>
      <c r="BH979" s="466"/>
      <c r="BI979" s="466"/>
      <c r="BJ979" s="466"/>
      <c r="BK979" s="466"/>
      <c r="BL979" s="466"/>
      <c r="BM979" s="467"/>
      <c r="BN979" s="304">
        <f>T975</f>
        <v>0</v>
      </c>
      <c r="BO979" s="463"/>
      <c r="BP979" s="463"/>
      <c r="BQ979" s="463"/>
      <c r="BR979" s="463"/>
      <c r="BS979" s="463"/>
      <c r="BT979" s="463"/>
      <c r="BU979" s="463"/>
      <c r="BV979" s="463"/>
      <c r="BW979" s="464"/>
      <c r="BX979" s="304">
        <f>AD975</f>
        <v>0</v>
      </c>
      <c r="BY979" s="463"/>
      <c r="BZ979" s="463"/>
      <c r="CA979" s="463"/>
      <c r="CB979" s="463"/>
      <c r="CC979" s="463"/>
      <c r="CD979" s="463"/>
      <c r="CE979" s="463"/>
      <c r="CF979" s="463"/>
      <c r="CG979" s="464"/>
      <c r="CH979" s="304">
        <f>BN979+BX979</f>
        <v>0</v>
      </c>
      <c r="CI979" s="463"/>
      <c r="CJ979" s="463"/>
      <c r="CK979" s="463"/>
      <c r="CL979" s="463"/>
      <c r="CM979" s="463"/>
      <c r="CN979" s="463"/>
      <c r="CO979" s="463"/>
      <c r="CP979" s="463"/>
      <c r="CQ979" s="464"/>
    </row>
    <row r="980" spans="3:135" hidden="1">
      <c r="D980"/>
      <c r="E980" s="264" t="s">
        <v>496</v>
      </c>
      <c r="F980" s="265"/>
      <c r="G980" s="265"/>
      <c r="H980" s="265"/>
      <c r="I980" s="265"/>
      <c r="J980" s="265"/>
      <c r="K980" s="265"/>
      <c r="L980" s="265"/>
      <c r="M980" s="265"/>
      <c r="N980" s="265"/>
      <c r="O980" s="265"/>
      <c r="P980" s="265"/>
      <c r="Q980" s="265"/>
      <c r="R980" s="265"/>
      <c r="S980" s="266"/>
      <c r="T980" s="267">
        <f>SUMIFS('Adv. Filter'!$CH$1:$CH$50000,'Adv. Filter'!$CD$1:$CD$50000,"Madhu",'Adv. Filter'!$CB$1:$CB$50000,E980,'Adv. Filter'!$CF$1:$CF$50000,"Cash")</f>
        <v>0</v>
      </c>
      <c r="U980" s="268"/>
      <c r="V980" s="268"/>
      <c r="W980" s="268"/>
      <c r="X980" s="268"/>
      <c r="Y980" s="268"/>
      <c r="Z980" s="268"/>
      <c r="AA980" s="268"/>
      <c r="AB980" s="268"/>
      <c r="AC980" s="269"/>
      <c r="AD980" s="267">
        <f>SUMIFS('Adv. Filter'!$CH$1:$CH$50000,'Adv. Filter'!$CD$1:$CD$50000,"Madhu",'Adv. Filter'!$CB$1:$CB$50000,E980,'Adv. Filter'!$CF$1:$CF$50000,"Bank")</f>
        <v>0</v>
      </c>
      <c r="AE980" s="268"/>
      <c r="AF980" s="268"/>
      <c r="AG980" s="268"/>
      <c r="AH980" s="268"/>
      <c r="AI980" s="268"/>
      <c r="AJ980" s="268"/>
      <c r="AK980" s="268"/>
      <c r="AL980" s="268"/>
      <c r="AM980" s="269"/>
      <c r="AN980" s="267">
        <f>T980+AD980</f>
        <v>0</v>
      </c>
      <c r="AO980" s="268"/>
      <c r="AP980" s="268"/>
      <c r="AQ980" s="268"/>
      <c r="AR980" s="268"/>
      <c r="AS980" s="268"/>
      <c r="AT980" s="268"/>
      <c r="AU980" s="268"/>
      <c r="AV980" s="268"/>
      <c r="AW980" s="269"/>
      <c r="AY980" s="468" t="s">
        <v>506</v>
      </c>
      <c r="AZ980" s="469"/>
      <c r="BA980" s="469"/>
      <c r="BB980" s="469"/>
      <c r="BC980" s="469"/>
      <c r="BD980" s="469"/>
      <c r="BE980" s="469"/>
      <c r="BF980" s="469"/>
      <c r="BG980" s="469"/>
      <c r="BH980" s="469"/>
      <c r="BI980" s="469"/>
      <c r="BJ980" s="469"/>
      <c r="BK980" s="469"/>
      <c r="BL980" s="469"/>
      <c r="BM980" s="470"/>
      <c r="BN980" s="267">
        <f>BP975</f>
        <v>0</v>
      </c>
      <c r="BO980" s="268"/>
      <c r="BP980" s="268"/>
      <c r="BQ980" s="268"/>
      <c r="BR980" s="268"/>
      <c r="BS980" s="268"/>
      <c r="BT980" s="268"/>
      <c r="BU980" s="268"/>
      <c r="BV980" s="268"/>
      <c r="BW980" s="269"/>
      <c r="BX980" s="267">
        <f>BZ975</f>
        <v>0</v>
      </c>
      <c r="BY980" s="268"/>
      <c r="BZ980" s="268"/>
      <c r="CA980" s="268"/>
      <c r="CB980" s="268"/>
      <c r="CC980" s="268"/>
      <c r="CD980" s="268"/>
      <c r="CE980" s="268"/>
      <c r="CF980" s="268"/>
      <c r="CG980" s="269"/>
      <c r="CH980" s="267">
        <f>BN980+BX980</f>
        <v>0</v>
      </c>
      <c r="CI980" s="268"/>
      <c r="CJ980" s="268"/>
      <c r="CK980" s="268"/>
      <c r="CL980" s="268"/>
      <c r="CM980" s="268"/>
      <c r="CN980" s="268"/>
      <c r="CO980" s="268"/>
      <c r="CP980" s="268"/>
      <c r="CQ980" s="269"/>
    </row>
    <row r="981" spans="3:135" hidden="1">
      <c r="D981"/>
      <c r="E981" s="264" t="s">
        <v>505</v>
      </c>
      <c r="F981" s="265"/>
      <c r="G981" s="265"/>
      <c r="H981" s="265"/>
      <c r="I981" s="265"/>
      <c r="J981" s="265"/>
      <c r="K981" s="265"/>
      <c r="L981" s="265"/>
      <c r="M981" s="265"/>
      <c r="N981" s="265"/>
      <c r="O981" s="265"/>
      <c r="P981" s="265"/>
      <c r="Q981" s="265"/>
      <c r="R981" s="265"/>
      <c r="S981" s="266"/>
      <c r="T981" s="267">
        <f>SUMIFS('Adv. Filter'!$CH$1:$CH$50000,'Adv. Filter'!$CD$1:$CD$50000,"Madhu",'Adv. Filter'!$CB$1:$CB$50000,E981,'Adv. Filter'!$CF$1:$CF$50000,"Cash")</f>
        <v>0</v>
      </c>
      <c r="U981" s="268"/>
      <c r="V981" s="268"/>
      <c r="W981" s="268"/>
      <c r="X981" s="268"/>
      <c r="Y981" s="268"/>
      <c r="Z981" s="268"/>
      <c r="AA981" s="268"/>
      <c r="AB981" s="268"/>
      <c r="AC981" s="269"/>
      <c r="AD981" s="267">
        <f>SUMIFS('Adv. Filter'!$CH$1:$CH$50000,'Adv. Filter'!$CD$1:$CD$50000,"Madhu",'Adv. Filter'!$CB$1:$CB$50000,E981,'Adv. Filter'!$CF$1:$CF$50000,"Bank")</f>
        <v>0</v>
      </c>
      <c r="AE981" s="268"/>
      <c r="AF981" s="268"/>
      <c r="AG981" s="268"/>
      <c r="AH981" s="268"/>
      <c r="AI981" s="268"/>
      <c r="AJ981" s="268"/>
      <c r="AK981" s="268"/>
      <c r="AL981" s="268"/>
      <c r="AM981" s="269"/>
      <c r="AN981" s="267">
        <f>T981+AD981</f>
        <v>0</v>
      </c>
      <c r="AO981" s="268"/>
      <c r="AP981" s="268"/>
      <c r="AQ981" s="268"/>
      <c r="AR981" s="268"/>
      <c r="AS981" s="268"/>
      <c r="AT981" s="268"/>
      <c r="AU981" s="268"/>
      <c r="AV981" s="268"/>
      <c r="AW981" s="269"/>
      <c r="AY981" s="270"/>
      <c r="AZ981" s="271"/>
      <c r="BA981" s="271"/>
      <c r="BB981" s="271"/>
      <c r="BC981" s="271"/>
      <c r="BD981" s="271"/>
      <c r="BE981" s="271"/>
      <c r="BF981" s="271"/>
      <c r="BG981" s="271"/>
      <c r="BH981" s="271"/>
      <c r="BI981" s="271"/>
      <c r="BJ981" s="271"/>
      <c r="BK981" s="271"/>
      <c r="BL981" s="271"/>
      <c r="BM981" s="272"/>
      <c r="BN981" s="267"/>
      <c r="BO981" s="268"/>
      <c r="BP981" s="268"/>
      <c r="BQ981" s="268"/>
      <c r="BR981" s="268"/>
      <c r="BS981" s="268"/>
      <c r="BT981" s="268"/>
      <c r="BU981" s="268"/>
      <c r="BV981" s="268"/>
      <c r="BW981" s="269"/>
      <c r="BX981" s="267"/>
      <c r="BY981" s="268"/>
      <c r="BZ981" s="268"/>
      <c r="CA981" s="268"/>
      <c r="CB981" s="268"/>
      <c r="CC981" s="268"/>
      <c r="CD981" s="268"/>
      <c r="CE981" s="268"/>
      <c r="CF981" s="268"/>
      <c r="CG981" s="269"/>
      <c r="CH981" s="267"/>
      <c r="CI981" s="268"/>
      <c r="CJ981" s="268"/>
      <c r="CK981" s="268"/>
      <c r="CL981" s="268"/>
      <c r="CM981" s="268"/>
      <c r="CN981" s="268"/>
      <c r="CO981" s="268"/>
      <c r="CP981" s="268"/>
      <c r="CQ981" s="269"/>
    </row>
    <row r="982" spans="3:135" ht="15.75" hidden="1" thickBot="1">
      <c r="D982"/>
      <c r="E982" s="285" t="s">
        <v>504</v>
      </c>
      <c r="F982" s="286"/>
      <c r="G982" s="286"/>
      <c r="H982" s="286"/>
      <c r="I982" s="286"/>
      <c r="J982" s="286"/>
      <c r="K982" s="286"/>
      <c r="L982" s="286"/>
      <c r="M982" s="286"/>
      <c r="N982" s="286"/>
      <c r="O982" s="286"/>
      <c r="P982" s="286"/>
      <c r="Q982" s="286"/>
      <c r="R982" s="286"/>
      <c r="S982" s="287"/>
      <c r="T982" s="252">
        <f>SUMIFS('Adv. Filter'!$CH$1:$CH$50000,'Adv. Filter'!$CD$1:$CD$50000,"Madhu",'Adv. Filter'!$CB$1:$CB$50000,E982,'Adv. Filter'!$CF$1:$CF$50000,"Cash")</f>
        <v>1600</v>
      </c>
      <c r="U982" s="253"/>
      <c r="V982" s="253"/>
      <c r="W982" s="253"/>
      <c r="X982" s="253"/>
      <c r="Y982" s="253"/>
      <c r="Z982" s="253"/>
      <c r="AA982" s="253"/>
      <c r="AB982" s="253"/>
      <c r="AC982" s="254"/>
      <c r="AD982" s="252">
        <f>SUMIFS('Adv. Filter'!$CH$1:$CH$50000,'Adv. Filter'!$CD$1:$CD$50000,"Madhu",'Adv. Filter'!$CB$1:$CB$50000,E982,'Adv. Filter'!$CF$1:$CF$50000,"Bank")</f>
        <v>0</v>
      </c>
      <c r="AE982" s="253"/>
      <c r="AF982" s="253"/>
      <c r="AG982" s="253"/>
      <c r="AH982" s="253"/>
      <c r="AI982" s="253"/>
      <c r="AJ982" s="253"/>
      <c r="AK982" s="253"/>
      <c r="AL982" s="253"/>
      <c r="AM982" s="254"/>
      <c r="AN982" s="252">
        <f>T982+AD982</f>
        <v>1600</v>
      </c>
      <c r="AO982" s="253"/>
      <c r="AP982" s="253"/>
      <c r="AQ982" s="253"/>
      <c r="AR982" s="253"/>
      <c r="AS982" s="253"/>
      <c r="AT982" s="253"/>
      <c r="AU982" s="253"/>
      <c r="AV982" s="253"/>
      <c r="AW982" s="254"/>
      <c r="AY982" s="255" t="s">
        <v>329</v>
      </c>
      <c r="AZ982" s="256"/>
      <c r="BA982" s="256"/>
      <c r="BB982" s="256"/>
      <c r="BC982" s="256"/>
      <c r="BD982" s="256"/>
      <c r="BE982" s="256"/>
      <c r="BF982" s="256"/>
      <c r="BG982" s="256"/>
      <c r="BH982" s="256"/>
      <c r="BI982" s="256"/>
      <c r="BJ982" s="256"/>
      <c r="BK982" s="256"/>
      <c r="BL982" s="256"/>
      <c r="BM982" s="257"/>
      <c r="BN982" s="252">
        <f>SUMIFS('Adv. Filter'!$CH$1:$CH$50000,'Adv. Filter'!$CD$1:$CD$50000,"Madhu",'Adv. Filter'!$CC$1:$CC$50000,"TDS",'Adv. Filter'!$CF$1:$CF$50000,"Cash")</f>
        <v>0</v>
      </c>
      <c r="BO982" s="253"/>
      <c r="BP982" s="253"/>
      <c r="BQ982" s="253"/>
      <c r="BR982" s="253"/>
      <c r="BS982" s="253"/>
      <c r="BT982" s="253"/>
      <c r="BU982" s="253"/>
      <c r="BV982" s="253"/>
      <c r="BW982" s="254"/>
      <c r="BX982" s="252">
        <f>SUMIFS('Adv. Filter'!$CH$1:$CH$50000,'Adv. Filter'!$CD$1:$CD$50000,"Madhu",'Adv. Filter'!$CC$1:$CC$50000,"TDS",'Adv. Filter'!$CF$1:$CF$50000,"Bank")</f>
        <v>0</v>
      </c>
      <c r="BY982" s="253"/>
      <c r="BZ982" s="253"/>
      <c r="CA982" s="253"/>
      <c r="CB982" s="253"/>
      <c r="CC982" s="253"/>
      <c r="CD982" s="253"/>
      <c r="CE982" s="253"/>
      <c r="CF982" s="253"/>
      <c r="CG982" s="254"/>
      <c r="CH982" s="252">
        <f>BN982+BX982</f>
        <v>0</v>
      </c>
      <c r="CI982" s="253"/>
      <c r="CJ982" s="253"/>
      <c r="CK982" s="253"/>
      <c r="CL982" s="253"/>
      <c r="CM982" s="253"/>
      <c r="CN982" s="253"/>
      <c r="CO982" s="253"/>
      <c r="CP982" s="253"/>
      <c r="CQ982" s="254"/>
    </row>
    <row r="983" spans="3:135" ht="16.5" hidden="1" thickTop="1">
      <c r="D983"/>
      <c r="E983" s="279" t="s">
        <v>503</v>
      </c>
      <c r="F983" s="280"/>
      <c r="G983" s="280"/>
      <c r="H983" s="280"/>
      <c r="I983" s="280"/>
      <c r="J983" s="280"/>
      <c r="K983" s="280"/>
      <c r="L983" s="280"/>
      <c r="M983" s="280"/>
      <c r="N983" s="280"/>
      <c r="O983" s="280"/>
      <c r="P983" s="280"/>
      <c r="Q983" s="280"/>
      <c r="R983" s="280"/>
      <c r="S983" s="281"/>
      <c r="T983" s="258">
        <f>SUM(T979:AC982)</f>
        <v>6000</v>
      </c>
      <c r="U983" s="259"/>
      <c r="V983" s="259"/>
      <c r="W983" s="259"/>
      <c r="X983" s="259"/>
      <c r="Y983" s="259"/>
      <c r="Z983" s="259"/>
      <c r="AA983" s="259"/>
      <c r="AB983" s="259"/>
      <c r="AC983" s="260"/>
      <c r="AD983" s="258">
        <f>SUM(AD979:AM982)</f>
        <v>0</v>
      </c>
      <c r="AE983" s="259"/>
      <c r="AF983" s="259"/>
      <c r="AG983" s="259"/>
      <c r="AH983" s="259"/>
      <c r="AI983" s="259"/>
      <c r="AJ983" s="259"/>
      <c r="AK983" s="259"/>
      <c r="AL983" s="259"/>
      <c r="AM983" s="260"/>
      <c r="AN983" s="475">
        <f>T983+AD983</f>
        <v>6000</v>
      </c>
      <c r="AO983" s="476"/>
      <c r="AP983" s="476"/>
      <c r="AQ983" s="476"/>
      <c r="AR983" s="476"/>
      <c r="AS983" s="476"/>
      <c r="AT983" s="476"/>
      <c r="AU983" s="476"/>
      <c r="AV983" s="476"/>
      <c r="AW983" s="477"/>
      <c r="AX983" s="37"/>
      <c r="AY983" s="279" t="s">
        <v>503</v>
      </c>
      <c r="AZ983" s="280"/>
      <c r="BA983" s="280"/>
      <c r="BB983" s="280"/>
      <c r="BC983" s="280"/>
      <c r="BD983" s="280"/>
      <c r="BE983" s="280"/>
      <c r="BF983" s="280"/>
      <c r="BG983" s="280"/>
      <c r="BH983" s="280"/>
      <c r="BI983" s="280"/>
      <c r="BJ983" s="280"/>
      <c r="BK983" s="280"/>
      <c r="BL983" s="280"/>
      <c r="BM983" s="281"/>
      <c r="BN983" s="258">
        <f>SUM(BN979:BW982)</f>
        <v>0</v>
      </c>
      <c r="BO983" s="259"/>
      <c r="BP983" s="259"/>
      <c r="BQ983" s="259"/>
      <c r="BR983" s="259"/>
      <c r="BS983" s="259"/>
      <c r="BT983" s="259"/>
      <c r="BU983" s="259"/>
      <c r="BV983" s="259"/>
      <c r="BW983" s="260"/>
      <c r="BX983" s="258">
        <f>SUM(BX979:CG982)</f>
        <v>0</v>
      </c>
      <c r="BY983" s="259"/>
      <c r="BZ983" s="259"/>
      <c r="CA983" s="259"/>
      <c r="CB983" s="259"/>
      <c r="CC983" s="259"/>
      <c r="CD983" s="259"/>
      <c r="CE983" s="259"/>
      <c r="CF983" s="259"/>
      <c r="CG983" s="260"/>
      <c r="CH983" s="475">
        <f>BN983+BX983</f>
        <v>0</v>
      </c>
      <c r="CI983" s="476"/>
      <c r="CJ983" s="476"/>
      <c r="CK983" s="476"/>
      <c r="CL983" s="476"/>
      <c r="CM983" s="476"/>
      <c r="CN983" s="476"/>
      <c r="CO983" s="476"/>
      <c r="CP983" s="476"/>
      <c r="CQ983" s="477"/>
    </row>
    <row r="984" spans="3:135" hidden="1">
      <c r="D984"/>
    </row>
    <row r="985" spans="3:135" ht="15.75" hidden="1">
      <c r="C985" s="453" t="str">
        <f>CONCATENATE("PRESENT FORMS    ",TEXT('Adv. Filter'!$A$15,"( DD-MMM-YY"), " TO ",TEXT('Adv. Filter'!$B$15,"DD-MMM-YY )"))</f>
        <v>PRESENT FORMS    ( 01-Jan-17 TO 13-Oct-17 )</v>
      </c>
      <c r="D985" s="454"/>
      <c r="E985" s="454"/>
      <c r="F985" s="454"/>
      <c r="G985" s="454"/>
      <c r="H985" s="454"/>
      <c r="I985" s="454"/>
      <c r="J985" s="454"/>
      <c r="K985" s="454"/>
      <c r="L985" s="454"/>
      <c r="M985" s="454"/>
      <c r="N985" s="454"/>
      <c r="O985" s="454"/>
      <c r="P985" s="454"/>
      <c r="Q985" s="454"/>
      <c r="R985" s="454"/>
      <c r="S985" s="454"/>
      <c r="T985" s="454"/>
      <c r="U985" s="454"/>
      <c r="V985" s="454"/>
      <c r="W985" s="454"/>
      <c r="X985" s="454"/>
      <c r="Y985" s="454"/>
      <c r="Z985" s="454"/>
      <c r="AA985" s="454"/>
      <c r="AB985" s="454"/>
      <c r="AC985" s="454"/>
      <c r="AD985" s="454"/>
      <c r="AE985" s="454"/>
      <c r="AF985" s="454"/>
      <c r="AG985" s="454"/>
      <c r="AH985" s="454"/>
      <c r="AI985" s="454"/>
      <c r="AJ985" s="454"/>
      <c r="AK985" s="454"/>
      <c r="AL985" s="454"/>
      <c r="AM985" s="454"/>
      <c r="AN985" s="454"/>
      <c r="AO985" s="454"/>
      <c r="AP985" s="454"/>
      <c r="AQ985" s="454"/>
      <c r="AR985" s="454"/>
      <c r="AS985" s="454"/>
      <c r="AT985" s="454"/>
      <c r="AU985" s="454"/>
      <c r="AV985" s="454"/>
      <c r="AW985" s="454"/>
      <c r="AX985" s="454"/>
      <c r="AY985" s="454"/>
      <c r="AZ985" s="454"/>
      <c r="BA985" s="454"/>
      <c r="BB985" s="454"/>
      <c r="BC985" s="454"/>
      <c r="BD985" s="454"/>
      <c r="BE985" s="454"/>
      <c r="BF985" s="454"/>
      <c r="BG985" s="454"/>
      <c r="BH985" s="454"/>
      <c r="BI985" s="454"/>
      <c r="BJ985" s="454"/>
      <c r="BK985" s="454"/>
      <c r="BL985" s="454"/>
      <c r="BM985" s="454"/>
      <c r="BN985" s="454"/>
      <c r="BO985" s="454"/>
      <c r="BP985" s="454"/>
      <c r="BQ985" s="454"/>
      <c r="BR985" s="454"/>
      <c r="BS985" s="454"/>
      <c r="BT985" s="454"/>
      <c r="BU985" s="454"/>
      <c r="BV985" s="454"/>
      <c r="BW985" s="454"/>
      <c r="BX985" s="454"/>
      <c r="BY985" s="454"/>
      <c r="BZ985" s="454"/>
      <c r="CA985" s="454"/>
      <c r="CB985" s="454"/>
      <c r="CC985" s="454"/>
      <c r="CD985" s="454"/>
      <c r="CE985" s="454"/>
      <c r="CF985" s="454"/>
      <c r="CG985" s="454"/>
      <c r="CH985" s="454"/>
      <c r="CI985" s="454"/>
      <c r="CJ985" s="454"/>
      <c r="CK985" s="454"/>
      <c r="CL985" s="454"/>
      <c r="CM985" s="454"/>
      <c r="CN985" s="454"/>
      <c r="CO985" s="454"/>
      <c r="CP985" s="454"/>
      <c r="CQ985" s="454"/>
      <c r="CR985" s="454"/>
      <c r="CS985" s="454"/>
      <c r="CT985" s="454"/>
      <c r="CU985" s="454"/>
      <c r="CV985" s="454"/>
      <c r="CW985" s="454"/>
      <c r="CX985" s="454"/>
      <c r="CY985" s="454"/>
      <c r="CZ985" s="454"/>
      <c r="DA985" s="454"/>
      <c r="DB985" s="454"/>
      <c r="DC985" s="454"/>
      <c r="DD985" s="454"/>
      <c r="DE985" s="454"/>
      <c r="DF985" s="454"/>
      <c r="DG985" s="454"/>
      <c r="DH985" s="454"/>
      <c r="DI985" s="454"/>
      <c r="DJ985" s="454"/>
      <c r="DK985" s="454"/>
      <c r="DL985" s="454"/>
      <c r="DM985" s="454"/>
      <c r="DN985" s="454"/>
      <c r="DO985" s="454"/>
      <c r="DP985" s="454"/>
      <c r="DQ985" s="454"/>
      <c r="DR985" s="454"/>
      <c r="DS985" s="454"/>
      <c r="DT985" s="454"/>
      <c r="DU985" s="454"/>
      <c r="DV985" s="454"/>
      <c r="DW985" s="454"/>
      <c r="DX985" s="454"/>
      <c r="DY985" s="454"/>
      <c r="DZ985" s="454"/>
      <c r="EA985" s="454"/>
      <c r="EB985" s="454"/>
      <c r="EC985" s="454"/>
      <c r="ED985" s="454"/>
      <c r="EE985" s="455"/>
    </row>
    <row r="986" spans="3:135" hidden="1">
      <c r="C986" s="478" t="s">
        <v>513</v>
      </c>
      <c r="D986" s="478"/>
      <c r="E986" s="478"/>
      <c r="F986" s="478"/>
      <c r="G986" s="478"/>
      <c r="H986" s="478"/>
      <c r="I986" s="478"/>
      <c r="J986" s="478"/>
      <c r="K986" s="478"/>
      <c r="L986" s="478"/>
      <c r="M986" s="478"/>
      <c r="N986" s="478"/>
      <c r="O986" s="209" t="s">
        <v>117</v>
      </c>
      <c r="P986" s="209"/>
      <c r="Q986" s="209"/>
      <c r="R986" s="209"/>
      <c r="S986" s="209"/>
      <c r="T986" s="209"/>
      <c r="U986" s="209"/>
      <c r="V986" s="100"/>
      <c r="W986" s="231" t="s">
        <v>511</v>
      </c>
      <c r="X986" s="232"/>
      <c r="Y986" s="232"/>
      <c r="Z986" s="232"/>
      <c r="AA986" s="232"/>
      <c r="AB986" s="232"/>
      <c r="AC986" s="232"/>
      <c r="AD986" s="232"/>
      <c r="AE986" s="232"/>
      <c r="AF986" s="232"/>
      <c r="AG986" s="232"/>
      <c r="AH986" s="232"/>
      <c r="AI986" s="232"/>
      <c r="AJ986" s="232"/>
      <c r="AK986" s="232"/>
      <c r="AL986" s="232"/>
      <c r="AM986" s="232"/>
      <c r="AN986" s="232"/>
      <c r="AO986" s="232"/>
      <c r="AP986" s="232"/>
      <c r="AQ986" s="232"/>
      <c r="AR986" s="232"/>
      <c r="AS986" s="232"/>
      <c r="AT986" s="232"/>
      <c r="AU986" s="232"/>
      <c r="AV986" s="232"/>
      <c r="AW986" s="232"/>
      <c r="AX986" s="232"/>
      <c r="AY986" s="232"/>
      <c r="AZ986" s="232"/>
      <c r="BA986" s="232"/>
      <c r="BB986" s="232"/>
      <c r="BC986" s="232"/>
      <c r="BD986" s="232"/>
      <c r="BE986" s="232"/>
      <c r="BF986" s="232"/>
      <c r="BG986" s="232"/>
      <c r="BH986" s="232"/>
      <c r="BI986" s="232"/>
      <c r="BJ986" s="232"/>
      <c r="BK986" s="232"/>
      <c r="BL986" s="232"/>
      <c r="BM986" s="232"/>
      <c r="BN986" s="232"/>
      <c r="BO986" s="232"/>
      <c r="BP986" s="232"/>
      <c r="BQ986" s="232"/>
      <c r="BR986" s="232"/>
      <c r="BS986" s="233"/>
      <c r="BT986" s="100"/>
      <c r="BU986" s="231" t="s">
        <v>571</v>
      </c>
      <c r="BV986" s="232"/>
      <c r="BW986" s="232"/>
      <c r="BX986" s="232"/>
      <c r="BY986" s="232"/>
      <c r="BZ986" s="232"/>
      <c r="CA986" s="232"/>
      <c r="CB986" s="232"/>
      <c r="CC986" s="232"/>
      <c r="CD986" s="232"/>
      <c r="CE986" s="232"/>
      <c r="CF986" s="232"/>
      <c r="CG986" s="232"/>
      <c r="CH986" s="232"/>
      <c r="CI986" s="232"/>
      <c r="CJ986" s="232"/>
      <c r="CK986" s="232"/>
      <c r="CL986" s="232"/>
      <c r="CM986" s="232"/>
      <c r="CN986" s="232"/>
      <c r="CO986" s="232"/>
      <c r="CP986" s="232"/>
      <c r="CQ986" s="232"/>
      <c r="CR986" s="232"/>
      <c r="CS986" s="232"/>
      <c r="CT986" s="232"/>
      <c r="CU986" s="232"/>
      <c r="CV986" s="232"/>
      <c r="CW986" s="232"/>
      <c r="CX986" s="232"/>
      <c r="CY986" s="232"/>
      <c r="CZ986" s="232"/>
      <c r="DA986" s="232"/>
      <c r="DB986" s="232"/>
      <c r="DC986" s="232"/>
      <c r="DD986" s="232"/>
      <c r="DE986" s="232"/>
      <c r="DF986" s="232"/>
      <c r="DG986" s="232"/>
      <c r="DH986" s="232"/>
      <c r="DI986" s="232"/>
      <c r="DJ986" s="232"/>
      <c r="DK986" s="232"/>
      <c r="DL986" s="232"/>
      <c r="DM986" s="232"/>
      <c r="DN986" s="232"/>
      <c r="DO986" s="232"/>
      <c r="DP986" s="232"/>
      <c r="DQ986" s="232"/>
      <c r="DR986" s="232"/>
      <c r="DS986" s="232"/>
      <c r="DT986" s="232"/>
      <c r="DU986" s="232"/>
      <c r="DV986" s="232"/>
      <c r="DW986" s="232"/>
      <c r="DX986" s="232"/>
      <c r="DY986" s="232"/>
      <c r="DZ986" s="232"/>
      <c r="EA986" s="232"/>
      <c r="EB986" s="232"/>
      <c r="EC986" s="232"/>
      <c r="ED986" s="232"/>
      <c r="EE986" s="233"/>
    </row>
    <row r="987" spans="3:135" ht="15.75" hidden="1" thickBot="1">
      <c r="C987" s="478"/>
      <c r="D987" s="478"/>
      <c r="E987" s="478"/>
      <c r="F987" s="478"/>
      <c r="G987" s="478"/>
      <c r="H987" s="478"/>
      <c r="I987" s="478"/>
      <c r="J987" s="478"/>
      <c r="K987" s="478"/>
      <c r="L987" s="478"/>
      <c r="M987" s="478"/>
      <c r="N987" s="478"/>
      <c r="O987" s="208" t="s">
        <v>569</v>
      </c>
      <c r="P987" s="208"/>
      <c r="Q987" s="208"/>
      <c r="R987" s="208"/>
      <c r="S987" s="208"/>
      <c r="T987" s="208"/>
      <c r="U987" s="208"/>
      <c r="V987" s="100"/>
      <c r="W987" s="250" t="s">
        <v>511</v>
      </c>
      <c r="X987" s="251"/>
      <c r="Y987" s="251"/>
      <c r="Z987" s="251"/>
      <c r="AA987" s="251"/>
      <c r="AB987" s="251"/>
      <c r="AC987" s="245"/>
      <c r="AD987" s="250" t="s">
        <v>493</v>
      </c>
      <c r="AE987" s="251"/>
      <c r="AF987" s="251"/>
      <c r="AG987" s="251"/>
      <c r="AH987" s="251"/>
      <c r="AI987" s="251"/>
      <c r="AJ987" s="245"/>
      <c r="AK987" s="250" t="s">
        <v>485</v>
      </c>
      <c r="AL987" s="251"/>
      <c r="AM987" s="251"/>
      <c r="AN987" s="251"/>
      <c r="AO987" s="251"/>
      <c r="AP987" s="251"/>
      <c r="AQ987" s="245"/>
      <c r="AR987" s="250" t="s">
        <v>575</v>
      </c>
      <c r="AS987" s="251"/>
      <c r="AT987" s="251"/>
      <c r="AU987" s="251"/>
      <c r="AV987" s="251"/>
      <c r="AW987" s="251"/>
      <c r="AX987" s="245"/>
      <c r="AY987" s="250" t="s">
        <v>568</v>
      </c>
      <c r="AZ987" s="251"/>
      <c r="BA987" s="251"/>
      <c r="BB987" s="251"/>
      <c r="BC987" s="251"/>
      <c r="BD987" s="251"/>
      <c r="BE987" s="245"/>
      <c r="BF987" s="250" t="s">
        <v>492</v>
      </c>
      <c r="BG987" s="251"/>
      <c r="BH987" s="251"/>
      <c r="BI987" s="251"/>
      <c r="BJ987" s="251"/>
      <c r="BK987" s="251"/>
      <c r="BL987" s="245"/>
      <c r="BM987" s="250" t="s">
        <v>567</v>
      </c>
      <c r="BN987" s="251"/>
      <c r="BO987" s="251"/>
      <c r="BP987" s="251"/>
      <c r="BQ987" s="251"/>
      <c r="BR987" s="251"/>
      <c r="BS987" s="245"/>
      <c r="BT987" s="100"/>
      <c r="BU987" s="208" t="s">
        <v>570</v>
      </c>
      <c r="BV987" s="208"/>
      <c r="BW987" s="208"/>
      <c r="BX987" s="208"/>
      <c r="BY987" s="208"/>
      <c r="BZ987" s="208"/>
      <c r="CA987" s="208"/>
      <c r="CB987" s="208" t="s">
        <v>559</v>
      </c>
      <c r="CC987" s="208"/>
      <c r="CD987" s="208"/>
      <c r="CE987" s="208"/>
      <c r="CF987" s="208"/>
      <c r="CG987" s="208"/>
      <c r="CH987" s="208"/>
      <c r="CI987" s="208" t="s">
        <v>560</v>
      </c>
      <c r="CJ987" s="208"/>
      <c r="CK987" s="208"/>
      <c r="CL987" s="208"/>
      <c r="CM987" s="208"/>
      <c r="CN987" s="208"/>
      <c r="CO987" s="208"/>
      <c r="CP987" s="208" t="s">
        <v>561</v>
      </c>
      <c r="CQ987" s="208"/>
      <c r="CR987" s="208"/>
      <c r="CS987" s="208"/>
      <c r="CT987" s="208"/>
      <c r="CU987" s="208"/>
      <c r="CV987" s="208"/>
      <c r="CW987" s="208" t="s">
        <v>562</v>
      </c>
      <c r="CX987" s="208"/>
      <c r="CY987" s="208"/>
      <c r="CZ987" s="208"/>
      <c r="DA987" s="208"/>
      <c r="DB987" s="208"/>
      <c r="DC987" s="208"/>
      <c r="DD987" s="208" t="s">
        <v>563</v>
      </c>
      <c r="DE987" s="208"/>
      <c r="DF987" s="208"/>
      <c r="DG987" s="208"/>
      <c r="DH987" s="208"/>
      <c r="DI987" s="208"/>
      <c r="DJ987" s="208"/>
      <c r="DK987" s="208" t="s">
        <v>564</v>
      </c>
      <c r="DL987" s="208"/>
      <c r="DM987" s="208"/>
      <c r="DN987" s="208"/>
      <c r="DO987" s="208"/>
      <c r="DP987" s="208"/>
      <c r="DQ987" s="208"/>
      <c r="DR987" s="208" t="s">
        <v>565</v>
      </c>
      <c r="DS987" s="208"/>
      <c r="DT987" s="208"/>
      <c r="DU987" s="208"/>
      <c r="DV987" s="208"/>
      <c r="DW987" s="208"/>
      <c r="DX987" s="208"/>
      <c r="DY987" s="208" t="s">
        <v>566</v>
      </c>
      <c r="DZ987" s="208"/>
      <c r="EA987" s="208"/>
      <c r="EB987" s="208"/>
      <c r="EC987" s="208"/>
      <c r="ED987" s="208"/>
      <c r="EE987" s="208"/>
    </row>
    <row r="988" spans="3:135" hidden="1">
      <c r="C988" s="248" t="s">
        <v>26</v>
      </c>
      <c r="D988" s="249"/>
      <c r="E988" s="249"/>
      <c r="F988" s="249"/>
      <c r="G988" s="249"/>
      <c r="H988" s="249"/>
      <c r="I988" s="249"/>
      <c r="J988" s="249"/>
      <c r="K988" s="249"/>
      <c r="L988" s="249"/>
      <c r="M988" s="249"/>
      <c r="N988" s="249"/>
      <c r="O988" s="234">
        <f>SUM(COUNTIFS('Form Details'!$AA:$AA,{"Yes","No","-"},'Form Details'!$N:$N,"Madhu",'Form Details'!$J:$J,$C988,'Form Details'!$D:$D,'Adv. Filter'!$A$14,'Form Details'!$D:$D,'Adv. Filter'!$B$14))</f>
        <v>0</v>
      </c>
      <c r="P988" s="235"/>
      <c r="Q988" s="235"/>
      <c r="R988" s="235"/>
      <c r="S988" s="235"/>
      <c r="T988" s="235"/>
      <c r="U988" s="236"/>
      <c r="V988" s="100"/>
      <c r="W988" s="234">
        <f>COUNTIFS('Form Details'!$AA:$AA,"Yes",'Form Details'!$N:$N,"Madhu",'Form Details'!$J:$J,$C988,'Form Details'!$D:$D,'Adv. Filter'!$A$14,'Form Details'!$D:$D,'Adv. Filter'!$B$14)</f>
        <v>0</v>
      </c>
      <c r="X988" s="235"/>
      <c r="Y988" s="235"/>
      <c r="Z988" s="235"/>
      <c r="AA988" s="235"/>
      <c r="AB988" s="235"/>
      <c r="AC988" s="236"/>
      <c r="AD988" s="234">
        <f>COUNTIFS('Form Details'!$W:$W,"Paid",'Form Details'!$N:$N,"Madhu",'Form Details'!$J:$J,$C988,'Form Details'!$D:$D,'Adv. Filter'!$A$14,'Form Details'!$D:$D,'Adv. Filter'!$B$14)</f>
        <v>0</v>
      </c>
      <c r="AE988" s="235"/>
      <c r="AF988" s="235"/>
      <c r="AG988" s="235"/>
      <c r="AH988" s="235"/>
      <c r="AI988" s="235"/>
      <c r="AJ988" s="236"/>
      <c r="AK988" s="234">
        <f>COUNTIFS('Form Details'!$W:$W,"Due",'Form Details'!$N:$N,"Madhu",'Form Details'!$J:$J,$C988,'Form Details'!$D:$D,'Adv. Filter'!$A$14,'Form Details'!$D:$D,'Adv. Filter'!$B$14)</f>
        <v>0</v>
      </c>
      <c r="AL988" s="235"/>
      <c r="AM988" s="235"/>
      <c r="AN988" s="235"/>
      <c r="AO988" s="235"/>
      <c r="AP988" s="235"/>
      <c r="AQ988" s="236"/>
      <c r="AR988" s="234">
        <f>COUNTIFS('Form Details'!$W:$W,"No Fee",'Form Details'!$N:$N,"Madhu",'Form Details'!$J:$J,$C988,'Form Details'!$D:$D,'Adv. Filter'!$A$14,'Form Details'!$D:$D,'Adv. Filter'!$B$14)</f>
        <v>0</v>
      </c>
      <c r="AS988" s="235"/>
      <c r="AT988" s="235"/>
      <c r="AU988" s="235"/>
      <c r="AV988" s="235"/>
      <c r="AW988" s="235"/>
      <c r="AX988" s="236"/>
      <c r="AY988" s="234">
        <f>COUNTIFS('Form Details'!$W:$W,"Paid/Reject",'Form Details'!$N:$N,"Madhu",'Form Details'!$J:$J,$C988,'Form Details'!$D:$D,'Adv. Filter'!$A$14,'Form Details'!$D:$D,'Adv. Filter'!$B$14)</f>
        <v>0</v>
      </c>
      <c r="AZ988" s="235"/>
      <c r="BA988" s="235"/>
      <c r="BB988" s="235"/>
      <c r="BC988" s="235"/>
      <c r="BD988" s="235"/>
      <c r="BE988" s="236"/>
      <c r="BF988" s="234">
        <f>COUNTIFS('Form Details'!$W:$W,"Staff",'Form Details'!$N:$N,"Madhu",'Form Details'!$J:$J,$C988,'Form Details'!$D:$D,'Adv. Filter'!$A$14,'Form Details'!$D:$D,'Adv. Filter'!$B$14)</f>
        <v>0</v>
      </c>
      <c r="BG988" s="235"/>
      <c r="BH988" s="235"/>
      <c r="BI988" s="235"/>
      <c r="BJ988" s="235"/>
      <c r="BK988" s="235"/>
      <c r="BL988" s="236"/>
      <c r="BM988" s="234">
        <f>COUNTIFS('Form Details'!$W:$W,"File in Office",'Form Details'!$N:$N,"Madhu",'Form Details'!$J:$J,$C988,'Form Details'!$D:$D,'Adv. Filter'!$A$14,'Form Details'!$D:$D,'Adv. Filter'!$B$14)</f>
        <v>0</v>
      </c>
      <c r="BN988" s="235"/>
      <c r="BO988" s="235"/>
      <c r="BP988" s="235"/>
      <c r="BQ988" s="235"/>
      <c r="BR988" s="235"/>
      <c r="BS988" s="236"/>
      <c r="BT988" s="100"/>
      <c r="BU988" s="234">
        <f>COUNTIFS('Form Details'!$AA:$AA,"No",'Form Details'!$N:$N,"Madhu",'Form Details'!$J:$J,$C988,'Form Details'!$D:$D,'Adv. Filter'!$A$14,'Form Details'!$D:$D,'Adv. Filter'!$B$14)</f>
        <v>0</v>
      </c>
      <c r="BV988" s="235"/>
      <c r="BW988" s="235"/>
      <c r="BX988" s="235"/>
      <c r="BY988" s="235"/>
      <c r="BZ988" s="235"/>
      <c r="CA988" s="236"/>
      <c r="CB988" s="234">
        <f>COUNTIFS('Form Details'!$W:$W,"Adv/Paid",'Form Details'!$N:$N,"Madhu",'Form Details'!$J:$J,$C988,'Form Details'!$D:$D,'Adv. Filter'!$A$14,'Form Details'!$D:$D,'Adv. Filter'!$B$14)</f>
        <v>0</v>
      </c>
      <c r="CC988" s="235"/>
      <c r="CD988" s="235"/>
      <c r="CE988" s="235"/>
      <c r="CF988" s="235"/>
      <c r="CG988" s="235"/>
      <c r="CH988" s="236"/>
      <c r="CI988" s="234">
        <f>COUNTIFS('Form Details'!$W:$W,"Adv/Paid/Reject",'Form Details'!$N:$N,"Madhu",'Form Details'!$J:$J,$C988,'Form Details'!$D:$D,'Adv. Filter'!$A$14,'Form Details'!$D:$D,'Adv. Filter'!$B$14)</f>
        <v>0</v>
      </c>
      <c r="CJ988" s="235"/>
      <c r="CK988" s="235"/>
      <c r="CL988" s="235"/>
      <c r="CM988" s="235"/>
      <c r="CN988" s="235"/>
      <c r="CO988" s="236"/>
      <c r="CP988" s="234">
        <f>COUNTIFS('Form Details'!$W:$W,"Reject",'Form Details'!$N:$N,"Madhu",'Form Details'!$J:$J,$C988,'Form Details'!$D:$D,'Adv. Filter'!$A$14,'Form Details'!$D:$D,'Adv. Filter'!$B$14)</f>
        <v>0</v>
      </c>
      <c r="CQ988" s="235"/>
      <c r="CR988" s="235"/>
      <c r="CS988" s="235"/>
      <c r="CT988" s="235"/>
      <c r="CU988" s="235"/>
      <c r="CV988" s="236"/>
      <c r="CW988" s="234">
        <f>COUNTIFS('Form Details'!$W:$W,"Adv/Paid/Pending",'Form Details'!$N:$N,"Madhu",'Form Details'!$J:$J,$C988,'Form Details'!$D:$D,'Adv. Filter'!$A$14,'Form Details'!$D:$D,'Adv. Filter'!$B$14)</f>
        <v>0</v>
      </c>
      <c r="CX988" s="235"/>
      <c r="CY988" s="235"/>
      <c r="CZ988" s="235"/>
      <c r="DA988" s="235"/>
      <c r="DB988" s="235"/>
      <c r="DC988" s="236"/>
      <c r="DD988" s="234">
        <f>COUNTIFS('Form Details'!$W:$W,"Pending",'Form Details'!$N:$N,"Madhu",'Form Details'!$J:$J,$C988,'Form Details'!$D:$D,'Adv. Filter'!$A$14,'Form Details'!$D:$D,'Adv. Filter'!$B$14)</f>
        <v>0</v>
      </c>
      <c r="DE988" s="235"/>
      <c r="DF988" s="235"/>
      <c r="DG988" s="235"/>
      <c r="DH988" s="235"/>
      <c r="DI988" s="235"/>
      <c r="DJ988" s="236"/>
      <c r="DK988" s="234">
        <f>COUNTIFS('Form Details'!$W:$W,"Adv/Paid/NoStatus",'Form Details'!$N:$N,"Madhu",'Form Details'!$J:$J,$C988,'Form Details'!$D:$D,'Adv. Filter'!$A$14,'Form Details'!$D:$D,'Adv. Filter'!$B$14)</f>
        <v>0</v>
      </c>
      <c r="DL988" s="235"/>
      <c r="DM988" s="235"/>
      <c r="DN988" s="235"/>
      <c r="DO988" s="235"/>
      <c r="DP988" s="235"/>
      <c r="DQ988" s="236"/>
      <c r="DR988" s="234">
        <f>COUNTIFS('Form Details'!$W:$W,"No Status",'Form Details'!$N:$N,"Madhu",'Form Details'!$J:$J,$C988,'Form Details'!$D:$D,'Adv. Filter'!$A$14,'Form Details'!$D:$D,'Adv. Filter'!$B$14)</f>
        <v>0</v>
      </c>
      <c r="DS988" s="235"/>
      <c r="DT988" s="235"/>
      <c r="DU988" s="235"/>
      <c r="DV988" s="235"/>
      <c r="DW988" s="235"/>
      <c r="DX988" s="236"/>
      <c r="DY988" s="234">
        <f>SUM(COUNTIFS('Form Details'!$W:$W,{"Wrong Entry ","Double Entry"},'Form Details'!$N:$N,"Madhu",'Form Details'!$J:$J,$C988,'Form Details'!$D:$D,'Adv. Filter'!$A$14,'Form Details'!$D:$D,'Adv. Filter'!$B$14))</f>
        <v>0</v>
      </c>
      <c r="DZ988" s="235"/>
      <c r="EA988" s="235"/>
      <c r="EB988" s="235"/>
      <c r="EC988" s="235"/>
      <c r="ED988" s="235"/>
      <c r="EE988" s="236"/>
    </row>
    <row r="989" spans="3:135" hidden="1">
      <c r="C989" s="248" t="s">
        <v>38</v>
      </c>
      <c r="D989" s="249"/>
      <c r="E989" s="249"/>
      <c r="F989" s="249"/>
      <c r="G989" s="249"/>
      <c r="H989" s="249"/>
      <c r="I989" s="249"/>
      <c r="J989" s="249"/>
      <c r="K989" s="249"/>
      <c r="L989" s="249"/>
      <c r="M989" s="249"/>
      <c r="N989" s="249"/>
      <c r="O989" s="237">
        <f>SUM(COUNTIFS('Form Details'!$AA:$AA,{"Yes","No","-"},'Form Details'!$N:$N,"Madhu",'Form Details'!$J:$J,$C989,'Form Details'!$D:$D,'Adv. Filter'!$A$14,'Form Details'!$D:$D,'Adv. Filter'!$B$14))</f>
        <v>0</v>
      </c>
      <c r="P989" s="238"/>
      <c r="Q989" s="238"/>
      <c r="R989" s="238"/>
      <c r="S989" s="238"/>
      <c r="T989" s="238"/>
      <c r="U989" s="239"/>
      <c r="V989" s="100"/>
      <c r="W989" s="237">
        <f>COUNTIFS('Form Details'!$AA:$AA,"Yes",'Form Details'!$N:$N,"Madhu",'Form Details'!$J:$J,$C989,'Form Details'!$D:$D,'Adv. Filter'!$A$14,'Form Details'!$D:$D,'Adv. Filter'!$B$14)</f>
        <v>0</v>
      </c>
      <c r="X989" s="238"/>
      <c r="Y989" s="238"/>
      <c r="Z989" s="238"/>
      <c r="AA989" s="238"/>
      <c r="AB989" s="238"/>
      <c r="AC989" s="239"/>
      <c r="AD989" s="237">
        <f>COUNTIFS('Form Details'!$W:$W,"Paid",'Form Details'!$N:$N,"Madhu",'Form Details'!$J:$J,$C989,'Form Details'!$D:$D,'Adv. Filter'!$A$14,'Form Details'!$D:$D,'Adv. Filter'!$B$14)</f>
        <v>0</v>
      </c>
      <c r="AE989" s="238"/>
      <c r="AF989" s="238"/>
      <c r="AG989" s="238"/>
      <c r="AH989" s="238"/>
      <c r="AI989" s="238"/>
      <c r="AJ989" s="239"/>
      <c r="AK989" s="237">
        <f>COUNTIFS('Form Details'!$W:$W,"Due",'Form Details'!$N:$N,"Madhu",'Form Details'!$J:$J,$C989,'Form Details'!$D:$D,'Adv. Filter'!$A$14,'Form Details'!$D:$D,'Adv. Filter'!$B$14)</f>
        <v>0</v>
      </c>
      <c r="AL989" s="238"/>
      <c r="AM989" s="238"/>
      <c r="AN989" s="238"/>
      <c r="AO989" s="238"/>
      <c r="AP989" s="238"/>
      <c r="AQ989" s="239"/>
      <c r="AR989" s="237">
        <f>COUNTIFS('Form Details'!$W:$W,"No Fee",'Form Details'!$N:$N,"Madhu",'Form Details'!$J:$J,$C989,'Form Details'!$D:$D,'Adv. Filter'!$A$14,'Form Details'!$D:$D,'Adv. Filter'!$B$14)</f>
        <v>0</v>
      </c>
      <c r="AS989" s="238"/>
      <c r="AT989" s="238"/>
      <c r="AU989" s="238"/>
      <c r="AV989" s="238"/>
      <c r="AW989" s="238"/>
      <c r="AX989" s="239"/>
      <c r="AY989" s="237">
        <f>COUNTIFS('Form Details'!$W:$W,"Paid/Reject",'Form Details'!$N:$N,"Madhu",'Form Details'!$J:$J,$C989,'Form Details'!$D:$D,'Adv. Filter'!$A$14,'Form Details'!$D:$D,'Adv. Filter'!$B$14)</f>
        <v>0</v>
      </c>
      <c r="AZ989" s="238"/>
      <c r="BA989" s="238"/>
      <c r="BB989" s="238"/>
      <c r="BC989" s="238"/>
      <c r="BD989" s="238"/>
      <c r="BE989" s="239"/>
      <c r="BF989" s="237">
        <f>COUNTIFS('Form Details'!$W:$W,"Staff",'Form Details'!$N:$N,"Madhu",'Form Details'!$J:$J,$C989,'Form Details'!$D:$D,'Adv. Filter'!$A$14,'Form Details'!$D:$D,'Adv. Filter'!$B$14)</f>
        <v>0</v>
      </c>
      <c r="BG989" s="238"/>
      <c r="BH989" s="238"/>
      <c r="BI989" s="238"/>
      <c r="BJ989" s="238"/>
      <c r="BK989" s="238"/>
      <c r="BL989" s="239"/>
      <c r="BM989" s="237">
        <f>COUNTIFS('Form Details'!$W:$W,"File in Office",'Form Details'!$N:$N,"Madhu",'Form Details'!$J:$J,$C989,'Form Details'!$D:$D,'Adv. Filter'!$A$14,'Form Details'!$D:$D,'Adv. Filter'!$B$14)</f>
        <v>0</v>
      </c>
      <c r="BN989" s="238"/>
      <c r="BO989" s="238"/>
      <c r="BP989" s="238"/>
      <c r="BQ989" s="238"/>
      <c r="BR989" s="238"/>
      <c r="BS989" s="239"/>
      <c r="BT989" s="100"/>
      <c r="BU989" s="237">
        <f>COUNTIFS('Form Details'!$AA:$AA,"No",'Form Details'!$N:$N,"Madhu",'Form Details'!$J:$J,$C989,'Form Details'!$D:$D,'Adv. Filter'!$A$14,'Form Details'!$D:$D,'Adv. Filter'!$B$14)</f>
        <v>0</v>
      </c>
      <c r="BV989" s="238"/>
      <c r="BW989" s="238"/>
      <c r="BX989" s="238"/>
      <c r="BY989" s="238"/>
      <c r="BZ989" s="238"/>
      <c r="CA989" s="239"/>
      <c r="CB989" s="237">
        <f>COUNTIFS('Form Details'!$W:$W,"Adv/Paid",'Form Details'!$N:$N,"Madhu",'Form Details'!$J:$J,$C989,'Form Details'!$D:$D,'Adv. Filter'!$A$14,'Form Details'!$D:$D,'Adv. Filter'!$B$14)</f>
        <v>0</v>
      </c>
      <c r="CC989" s="238"/>
      <c r="CD989" s="238"/>
      <c r="CE989" s="238"/>
      <c r="CF989" s="238"/>
      <c r="CG989" s="238"/>
      <c r="CH989" s="239"/>
      <c r="CI989" s="237">
        <f>COUNTIFS('Form Details'!$W:$W,"Adv/Paid/Reject",'Form Details'!$N:$N,"Madhu",'Form Details'!$J:$J,$C989,'Form Details'!$D:$D,'Adv. Filter'!$A$14,'Form Details'!$D:$D,'Adv. Filter'!$B$14)</f>
        <v>0</v>
      </c>
      <c r="CJ989" s="238"/>
      <c r="CK989" s="238"/>
      <c r="CL989" s="238"/>
      <c r="CM989" s="238"/>
      <c r="CN989" s="238"/>
      <c r="CO989" s="239"/>
      <c r="CP989" s="237">
        <f>COUNTIFS('Form Details'!$W:$W,"Reject",'Form Details'!$N:$N,"Madhu",'Form Details'!$J:$J,$C989,'Form Details'!$D:$D,'Adv. Filter'!$A$14,'Form Details'!$D:$D,'Adv. Filter'!$B$14)</f>
        <v>0</v>
      </c>
      <c r="CQ989" s="238"/>
      <c r="CR989" s="238"/>
      <c r="CS989" s="238"/>
      <c r="CT989" s="238"/>
      <c r="CU989" s="238"/>
      <c r="CV989" s="239"/>
      <c r="CW989" s="237">
        <f>COUNTIFS('Form Details'!$W:$W,"Adv/Paid/Pending",'Form Details'!$N:$N,"Madhu",'Form Details'!$J:$J,$C989,'Form Details'!$D:$D,'Adv. Filter'!$A$14,'Form Details'!$D:$D,'Adv. Filter'!$B$14)</f>
        <v>0</v>
      </c>
      <c r="CX989" s="238"/>
      <c r="CY989" s="238"/>
      <c r="CZ989" s="238"/>
      <c r="DA989" s="238"/>
      <c r="DB989" s="238"/>
      <c r="DC989" s="239"/>
      <c r="DD989" s="237">
        <f>COUNTIFS('Form Details'!$W:$W,"Pending",'Form Details'!$N:$N,"Madhu",'Form Details'!$J:$J,$C989,'Form Details'!$D:$D,'Adv. Filter'!$A$14,'Form Details'!$D:$D,'Adv. Filter'!$B$14)</f>
        <v>0</v>
      </c>
      <c r="DE989" s="238"/>
      <c r="DF989" s="238"/>
      <c r="DG989" s="238"/>
      <c r="DH989" s="238"/>
      <c r="DI989" s="238"/>
      <c r="DJ989" s="239"/>
      <c r="DK989" s="237">
        <f>COUNTIFS('Form Details'!$W:$W,"Adv/Paid/NoStatus",'Form Details'!$N:$N,"Madhu",'Form Details'!$J:$J,$C989,'Form Details'!$D:$D,'Adv. Filter'!$A$14,'Form Details'!$D:$D,'Adv. Filter'!$B$14)</f>
        <v>0</v>
      </c>
      <c r="DL989" s="238"/>
      <c r="DM989" s="238"/>
      <c r="DN989" s="238"/>
      <c r="DO989" s="238"/>
      <c r="DP989" s="238"/>
      <c r="DQ989" s="239"/>
      <c r="DR989" s="237">
        <f>COUNTIFS('Form Details'!$W:$W,"No Status",'Form Details'!$N:$N,"Madhu",'Form Details'!$J:$J,$C989,'Form Details'!$D:$D,'Adv. Filter'!$A$14,'Form Details'!$D:$D,'Adv. Filter'!$B$14)</f>
        <v>0</v>
      </c>
      <c r="DS989" s="238"/>
      <c r="DT989" s="238"/>
      <c r="DU989" s="238"/>
      <c r="DV989" s="238"/>
      <c r="DW989" s="238"/>
      <c r="DX989" s="239"/>
      <c r="DY989" s="237">
        <f>SUM(COUNTIFS('Form Details'!$W:$W,{"Wrong Entry ","Double Entry"},'Form Details'!$N:$N,"Madhu",'Form Details'!$J:$J,$C989,'Form Details'!$D:$D,'Adv. Filter'!$A$14,'Form Details'!$D:$D,'Adv. Filter'!$B$14))</f>
        <v>0</v>
      </c>
      <c r="DZ989" s="238"/>
      <c r="EA989" s="238"/>
      <c r="EB989" s="238"/>
      <c r="EC989" s="238"/>
      <c r="ED989" s="238"/>
      <c r="EE989" s="239"/>
    </row>
    <row r="990" spans="3:135" hidden="1">
      <c r="C990" s="248" t="s">
        <v>49</v>
      </c>
      <c r="D990" s="249"/>
      <c r="E990" s="249"/>
      <c r="F990" s="249"/>
      <c r="G990" s="249"/>
      <c r="H990" s="249"/>
      <c r="I990" s="249"/>
      <c r="J990" s="249"/>
      <c r="K990" s="249"/>
      <c r="L990" s="249"/>
      <c r="M990" s="249"/>
      <c r="N990" s="249"/>
      <c r="O990" s="237">
        <f>SUM(COUNTIFS('Form Details'!$AA:$AA,{"Yes","No","-"},'Form Details'!$N:$N,"Madhu",'Form Details'!$J:$J,$C990,'Form Details'!$D:$D,'Adv. Filter'!$A$14,'Form Details'!$D:$D,'Adv. Filter'!$B$14))</f>
        <v>0</v>
      </c>
      <c r="P990" s="238"/>
      <c r="Q990" s="238"/>
      <c r="R990" s="238"/>
      <c r="S990" s="238"/>
      <c r="T990" s="238"/>
      <c r="U990" s="239"/>
      <c r="V990" s="100"/>
      <c r="W990" s="237">
        <f>COUNTIFS('Form Details'!$AA:$AA,"Yes",'Form Details'!$N:$N,"Madhu",'Form Details'!$J:$J,$C990,'Form Details'!$D:$D,'Adv. Filter'!$A$14,'Form Details'!$D:$D,'Adv. Filter'!$B$14)</f>
        <v>0</v>
      </c>
      <c r="X990" s="238"/>
      <c r="Y990" s="238"/>
      <c r="Z990" s="238"/>
      <c r="AA990" s="238"/>
      <c r="AB990" s="238"/>
      <c r="AC990" s="239"/>
      <c r="AD990" s="237">
        <f>COUNTIFS('Form Details'!$W:$W,"Paid",'Form Details'!$N:$N,"Madhu",'Form Details'!$J:$J,$C990,'Form Details'!$D:$D,'Adv. Filter'!$A$14,'Form Details'!$D:$D,'Adv. Filter'!$B$14)</f>
        <v>0</v>
      </c>
      <c r="AE990" s="238"/>
      <c r="AF990" s="238"/>
      <c r="AG990" s="238"/>
      <c r="AH990" s="238"/>
      <c r="AI990" s="238"/>
      <c r="AJ990" s="239"/>
      <c r="AK990" s="237">
        <f>COUNTIFS('Form Details'!$W:$W,"Due",'Form Details'!$N:$N,"Madhu",'Form Details'!$J:$J,$C990,'Form Details'!$D:$D,'Adv. Filter'!$A$14,'Form Details'!$D:$D,'Adv. Filter'!$B$14)</f>
        <v>0</v>
      </c>
      <c r="AL990" s="238"/>
      <c r="AM990" s="238"/>
      <c r="AN990" s="238"/>
      <c r="AO990" s="238"/>
      <c r="AP990" s="238"/>
      <c r="AQ990" s="239"/>
      <c r="AR990" s="237">
        <f>COUNTIFS('Form Details'!$W:$W,"No Fee",'Form Details'!$N:$N,"Madhu",'Form Details'!$J:$J,$C990,'Form Details'!$D:$D,'Adv. Filter'!$A$14,'Form Details'!$D:$D,'Adv. Filter'!$B$14)</f>
        <v>0</v>
      </c>
      <c r="AS990" s="238"/>
      <c r="AT990" s="238"/>
      <c r="AU990" s="238"/>
      <c r="AV990" s="238"/>
      <c r="AW990" s="238"/>
      <c r="AX990" s="239"/>
      <c r="AY990" s="237">
        <f>COUNTIFS('Form Details'!$W:$W,"Paid/Reject",'Form Details'!$N:$N,"Madhu",'Form Details'!$J:$J,$C990,'Form Details'!$D:$D,'Adv. Filter'!$A$14,'Form Details'!$D:$D,'Adv. Filter'!$B$14)</f>
        <v>0</v>
      </c>
      <c r="AZ990" s="238"/>
      <c r="BA990" s="238"/>
      <c r="BB990" s="238"/>
      <c r="BC990" s="238"/>
      <c r="BD990" s="238"/>
      <c r="BE990" s="239"/>
      <c r="BF990" s="237">
        <f>COUNTIFS('Form Details'!$W:$W,"Staff",'Form Details'!$N:$N,"Madhu",'Form Details'!$J:$J,$C990,'Form Details'!$D:$D,'Adv. Filter'!$A$14,'Form Details'!$D:$D,'Adv. Filter'!$B$14)</f>
        <v>0</v>
      </c>
      <c r="BG990" s="238"/>
      <c r="BH990" s="238"/>
      <c r="BI990" s="238"/>
      <c r="BJ990" s="238"/>
      <c r="BK990" s="238"/>
      <c r="BL990" s="239"/>
      <c r="BM990" s="237">
        <f>COUNTIFS('Form Details'!$W:$W,"File in Office",'Form Details'!$N:$N,"Madhu",'Form Details'!$J:$J,$C990,'Form Details'!$D:$D,'Adv. Filter'!$A$14,'Form Details'!$D:$D,'Adv. Filter'!$B$14)</f>
        <v>0</v>
      </c>
      <c r="BN990" s="238"/>
      <c r="BO990" s="238"/>
      <c r="BP990" s="238"/>
      <c r="BQ990" s="238"/>
      <c r="BR990" s="238"/>
      <c r="BS990" s="239"/>
      <c r="BT990" s="100"/>
      <c r="BU990" s="237">
        <f>COUNTIFS('Form Details'!$AA:$AA,"No",'Form Details'!$N:$N,"Madhu",'Form Details'!$J:$J,$C990,'Form Details'!$D:$D,'Adv. Filter'!$A$14,'Form Details'!$D:$D,'Adv. Filter'!$B$14)</f>
        <v>0</v>
      </c>
      <c r="BV990" s="238"/>
      <c r="BW990" s="238"/>
      <c r="BX990" s="238"/>
      <c r="BY990" s="238"/>
      <c r="BZ990" s="238"/>
      <c r="CA990" s="239"/>
      <c r="CB990" s="237">
        <f>COUNTIFS('Form Details'!$W:$W,"Adv/Paid",'Form Details'!$N:$N,"Madhu",'Form Details'!$J:$J,$C990,'Form Details'!$D:$D,'Adv. Filter'!$A$14,'Form Details'!$D:$D,'Adv. Filter'!$B$14)</f>
        <v>0</v>
      </c>
      <c r="CC990" s="238"/>
      <c r="CD990" s="238"/>
      <c r="CE990" s="238"/>
      <c r="CF990" s="238"/>
      <c r="CG990" s="238"/>
      <c r="CH990" s="239"/>
      <c r="CI990" s="237">
        <f>COUNTIFS('Form Details'!$W:$W,"Adv/Paid/Reject",'Form Details'!$N:$N,"Madhu",'Form Details'!$J:$J,$C990,'Form Details'!$D:$D,'Adv. Filter'!$A$14,'Form Details'!$D:$D,'Adv. Filter'!$B$14)</f>
        <v>0</v>
      </c>
      <c r="CJ990" s="238"/>
      <c r="CK990" s="238"/>
      <c r="CL990" s="238"/>
      <c r="CM990" s="238"/>
      <c r="CN990" s="238"/>
      <c r="CO990" s="239"/>
      <c r="CP990" s="237">
        <f>COUNTIFS('Form Details'!$W:$W,"Reject",'Form Details'!$N:$N,"Madhu",'Form Details'!$J:$J,$C990,'Form Details'!$D:$D,'Adv. Filter'!$A$14,'Form Details'!$D:$D,'Adv. Filter'!$B$14)</f>
        <v>0</v>
      </c>
      <c r="CQ990" s="238"/>
      <c r="CR990" s="238"/>
      <c r="CS990" s="238"/>
      <c r="CT990" s="238"/>
      <c r="CU990" s="238"/>
      <c r="CV990" s="239"/>
      <c r="CW990" s="237">
        <f>COUNTIFS('Form Details'!$W:$W,"Adv/Paid/Pending",'Form Details'!$N:$N,"Madhu",'Form Details'!$J:$J,$C990,'Form Details'!$D:$D,'Adv. Filter'!$A$14,'Form Details'!$D:$D,'Adv. Filter'!$B$14)</f>
        <v>0</v>
      </c>
      <c r="CX990" s="238"/>
      <c r="CY990" s="238"/>
      <c r="CZ990" s="238"/>
      <c r="DA990" s="238"/>
      <c r="DB990" s="238"/>
      <c r="DC990" s="239"/>
      <c r="DD990" s="237">
        <f>COUNTIFS('Form Details'!$W:$W,"Pending",'Form Details'!$N:$N,"Madhu",'Form Details'!$J:$J,$C990,'Form Details'!$D:$D,'Adv. Filter'!$A$14,'Form Details'!$D:$D,'Adv. Filter'!$B$14)</f>
        <v>0</v>
      </c>
      <c r="DE990" s="238"/>
      <c r="DF990" s="238"/>
      <c r="DG990" s="238"/>
      <c r="DH990" s="238"/>
      <c r="DI990" s="238"/>
      <c r="DJ990" s="239"/>
      <c r="DK990" s="237">
        <f>COUNTIFS('Form Details'!$W:$W,"Adv/Paid/NoStatus",'Form Details'!$N:$N,"Madhu",'Form Details'!$J:$J,$C990,'Form Details'!$D:$D,'Adv. Filter'!$A$14,'Form Details'!$D:$D,'Adv. Filter'!$B$14)</f>
        <v>0</v>
      </c>
      <c r="DL990" s="238"/>
      <c r="DM990" s="238"/>
      <c r="DN990" s="238"/>
      <c r="DO990" s="238"/>
      <c r="DP990" s="238"/>
      <c r="DQ990" s="239"/>
      <c r="DR990" s="237">
        <f>COUNTIFS('Form Details'!$W:$W,"No Status",'Form Details'!$N:$N,"Madhu",'Form Details'!$J:$J,$C990,'Form Details'!$D:$D,'Adv. Filter'!$A$14,'Form Details'!$D:$D,'Adv. Filter'!$B$14)</f>
        <v>0</v>
      </c>
      <c r="DS990" s="238"/>
      <c r="DT990" s="238"/>
      <c r="DU990" s="238"/>
      <c r="DV990" s="238"/>
      <c r="DW990" s="238"/>
      <c r="DX990" s="239"/>
      <c r="DY990" s="237">
        <f>SUM(COUNTIFS('Form Details'!$W:$W,{"Wrong Entry ","Double Entry"},'Form Details'!$N:$N,"Madhu",'Form Details'!$J:$J,$C990,'Form Details'!$D:$D,'Adv. Filter'!$A$14,'Form Details'!$D:$D,'Adv. Filter'!$B$14))</f>
        <v>0</v>
      </c>
      <c r="DZ990" s="238"/>
      <c r="EA990" s="238"/>
      <c r="EB990" s="238"/>
      <c r="EC990" s="238"/>
      <c r="ED990" s="238"/>
      <c r="EE990" s="239"/>
    </row>
    <row r="991" spans="3:135" hidden="1">
      <c r="C991" s="248" t="s">
        <v>59</v>
      </c>
      <c r="D991" s="249"/>
      <c r="E991" s="249"/>
      <c r="F991" s="249"/>
      <c r="G991" s="249"/>
      <c r="H991" s="249"/>
      <c r="I991" s="249"/>
      <c r="J991" s="249"/>
      <c r="K991" s="249"/>
      <c r="L991" s="249"/>
      <c r="M991" s="249"/>
      <c r="N991" s="249"/>
      <c r="O991" s="237">
        <f>SUM(COUNTIFS('Form Details'!$AA:$AA,{"Yes","No","-"},'Form Details'!$N:$N,"Madhu",'Form Details'!$J:$J,$C991,'Form Details'!$D:$D,'Adv. Filter'!$A$14,'Form Details'!$D:$D,'Adv. Filter'!$B$14))</f>
        <v>0</v>
      </c>
      <c r="P991" s="238"/>
      <c r="Q991" s="238"/>
      <c r="R991" s="238"/>
      <c r="S991" s="238"/>
      <c r="T991" s="238"/>
      <c r="U991" s="239"/>
      <c r="V991" s="100"/>
      <c r="W991" s="237">
        <f>COUNTIFS('Form Details'!$AA:$AA,"Yes",'Form Details'!$N:$N,"Madhu",'Form Details'!$J:$J,$C991,'Form Details'!$D:$D,'Adv. Filter'!$A$14,'Form Details'!$D:$D,'Adv. Filter'!$B$14)</f>
        <v>0</v>
      </c>
      <c r="X991" s="238"/>
      <c r="Y991" s="238"/>
      <c r="Z991" s="238"/>
      <c r="AA991" s="238"/>
      <c r="AB991" s="238"/>
      <c r="AC991" s="239"/>
      <c r="AD991" s="237">
        <f>COUNTIFS('Form Details'!$W:$W,"Paid",'Form Details'!$N:$N,"Madhu",'Form Details'!$J:$J,$C991,'Form Details'!$D:$D,'Adv. Filter'!$A$14,'Form Details'!$D:$D,'Adv. Filter'!$B$14)</f>
        <v>0</v>
      </c>
      <c r="AE991" s="238"/>
      <c r="AF991" s="238"/>
      <c r="AG991" s="238"/>
      <c r="AH991" s="238"/>
      <c r="AI991" s="238"/>
      <c r="AJ991" s="239"/>
      <c r="AK991" s="237">
        <f>COUNTIFS('Form Details'!$W:$W,"Due",'Form Details'!$N:$N,"Madhu",'Form Details'!$J:$J,$C991,'Form Details'!$D:$D,'Adv. Filter'!$A$14,'Form Details'!$D:$D,'Adv. Filter'!$B$14)</f>
        <v>0</v>
      </c>
      <c r="AL991" s="238"/>
      <c r="AM991" s="238"/>
      <c r="AN991" s="238"/>
      <c r="AO991" s="238"/>
      <c r="AP991" s="238"/>
      <c r="AQ991" s="239"/>
      <c r="AR991" s="237">
        <f>COUNTIFS('Form Details'!$W:$W,"No Fee",'Form Details'!$N:$N,"Madhu",'Form Details'!$J:$J,$C991,'Form Details'!$D:$D,'Adv. Filter'!$A$14,'Form Details'!$D:$D,'Adv. Filter'!$B$14)</f>
        <v>0</v>
      </c>
      <c r="AS991" s="238"/>
      <c r="AT991" s="238"/>
      <c r="AU991" s="238"/>
      <c r="AV991" s="238"/>
      <c r="AW991" s="238"/>
      <c r="AX991" s="239"/>
      <c r="AY991" s="237">
        <f>COUNTIFS('Form Details'!$W:$W,"Paid/Reject",'Form Details'!$N:$N,"Madhu",'Form Details'!$J:$J,$C991,'Form Details'!$D:$D,'Adv. Filter'!$A$14,'Form Details'!$D:$D,'Adv. Filter'!$B$14)</f>
        <v>0</v>
      </c>
      <c r="AZ991" s="238"/>
      <c r="BA991" s="238"/>
      <c r="BB991" s="238"/>
      <c r="BC991" s="238"/>
      <c r="BD991" s="238"/>
      <c r="BE991" s="239"/>
      <c r="BF991" s="237">
        <f>COUNTIFS('Form Details'!$W:$W,"Staff",'Form Details'!$N:$N,"Madhu",'Form Details'!$J:$J,$C991,'Form Details'!$D:$D,'Adv. Filter'!$A$14,'Form Details'!$D:$D,'Adv. Filter'!$B$14)</f>
        <v>0</v>
      </c>
      <c r="BG991" s="238"/>
      <c r="BH991" s="238"/>
      <c r="BI991" s="238"/>
      <c r="BJ991" s="238"/>
      <c r="BK991" s="238"/>
      <c r="BL991" s="239"/>
      <c r="BM991" s="237">
        <f>COUNTIFS('Form Details'!$W:$W,"File in Office",'Form Details'!$N:$N,"Madhu",'Form Details'!$J:$J,$C991,'Form Details'!$D:$D,'Adv. Filter'!$A$14,'Form Details'!$D:$D,'Adv. Filter'!$B$14)</f>
        <v>0</v>
      </c>
      <c r="BN991" s="238"/>
      <c r="BO991" s="238"/>
      <c r="BP991" s="238"/>
      <c r="BQ991" s="238"/>
      <c r="BR991" s="238"/>
      <c r="BS991" s="239"/>
      <c r="BT991" s="100"/>
      <c r="BU991" s="237">
        <f>COUNTIFS('Form Details'!$AA:$AA,"No",'Form Details'!$N:$N,"Madhu",'Form Details'!$J:$J,$C991,'Form Details'!$D:$D,'Adv. Filter'!$A$14,'Form Details'!$D:$D,'Adv. Filter'!$B$14)</f>
        <v>0</v>
      </c>
      <c r="BV991" s="238"/>
      <c r="BW991" s="238"/>
      <c r="BX991" s="238"/>
      <c r="BY991" s="238"/>
      <c r="BZ991" s="238"/>
      <c r="CA991" s="239"/>
      <c r="CB991" s="237">
        <f>COUNTIFS('Form Details'!$W:$W,"Adv/Paid",'Form Details'!$N:$N,"Madhu",'Form Details'!$J:$J,$C991,'Form Details'!$D:$D,'Adv. Filter'!$A$14,'Form Details'!$D:$D,'Adv. Filter'!$B$14)</f>
        <v>0</v>
      </c>
      <c r="CC991" s="238"/>
      <c r="CD991" s="238"/>
      <c r="CE991" s="238"/>
      <c r="CF991" s="238"/>
      <c r="CG991" s="238"/>
      <c r="CH991" s="239"/>
      <c r="CI991" s="237">
        <f>COUNTIFS('Form Details'!$W:$W,"Adv/Paid/Reject",'Form Details'!$N:$N,"Madhu",'Form Details'!$J:$J,$C991,'Form Details'!$D:$D,'Adv. Filter'!$A$14,'Form Details'!$D:$D,'Adv. Filter'!$B$14)</f>
        <v>0</v>
      </c>
      <c r="CJ991" s="238"/>
      <c r="CK991" s="238"/>
      <c r="CL991" s="238"/>
      <c r="CM991" s="238"/>
      <c r="CN991" s="238"/>
      <c r="CO991" s="239"/>
      <c r="CP991" s="237">
        <f>COUNTIFS('Form Details'!$W:$W,"Reject",'Form Details'!$N:$N,"Madhu",'Form Details'!$J:$J,$C991,'Form Details'!$D:$D,'Adv. Filter'!$A$14,'Form Details'!$D:$D,'Adv. Filter'!$B$14)</f>
        <v>0</v>
      </c>
      <c r="CQ991" s="238"/>
      <c r="CR991" s="238"/>
      <c r="CS991" s="238"/>
      <c r="CT991" s="238"/>
      <c r="CU991" s="238"/>
      <c r="CV991" s="239"/>
      <c r="CW991" s="237">
        <f>COUNTIFS('Form Details'!$W:$W,"Adv/Paid/Pending",'Form Details'!$N:$N,"Madhu",'Form Details'!$J:$J,$C991,'Form Details'!$D:$D,'Adv. Filter'!$A$14,'Form Details'!$D:$D,'Adv. Filter'!$B$14)</f>
        <v>0</v>
      </c>
      <c r="CX991" s="238"/>
      <c r="CY991" s="238"/>
      <c r="CZ991" s="238"/>
      <c r="DA991" s="238"/>
      <c r="DB991" s="238"/>
      <c r="DC991" s="239"/>
      <c r="DD991" s="237">
        <f>COUNTIFS('Form Details'!$W:$W,"Pending",'Form Details'!$N:$N,"Madhu",'Form Details'!$J:$J,$C991,'Form Details'!$D:$D,'Adv. Filter'!$A$14,'Form Details'!$D:$D,'Adv. Filter'!$B$14)</f>
        <v>0</v>
      </c>
      <c r="DE991" s="238"/>
      <c r="DF991" s="238"/>
      <c r="DG991" s="238"/>
      <c r="DH991" s="238"/>
      <c r="DI991" s="238"/>
      <c r="DJ991" s="239"/>
      <c r="DK991" s="237">
        <f>COUNTIFS('Form Details'!$W:$W,"Adv/Paid/NoStatus",'Form Details'!$N:$N,"Madhu",'Form Details'!$J:$J,$C991,'Form Details'!$D:$D,'Adv. Filter'!$A$14,'Form Details'!$D:$D,'Adv. Filter'!$B$14)</f>
        <v>0</v>
      </c>
      <c r="DL991" s="238"/>
      <c r="DM991" s="238"/>
      <c r="DN991" s="238"/>
      <c r="DO991" s="238"/>
      <c r="DP991" s="238"/>
      <c r="DQ991" s="239"/>
      <c r="DR991" s="237">
        <f>COUNTIFS('Form Details'!$W:$W,"No Status",'Form Details'!$N:$N,"Madhu",'Form Details'!$J:$J,$C991,'Form Details'!$D:$D,'Adv. Filter'!$A$14,'Form Details'!$D:$D,'Adv. Filter'!$B$14)</f>
        <v>0</v>
      </c>
      <c r="DS991" s="238"/>
      <c r="DT991" s="238"/>
      <c r="DU991" s="238"/>
      <c r="DV991" s="238"/>
      <c r="DW991" s="238"/>
      <c r="DX991" s="239"/>
      <c r="DY991" s="237">
        <f>SUM(COUNTIFS('Form Details'!$W:$W,{"Wrong Entry ","Double Entry"},'Form Details'!$N:$N,"Madhu",'Form Details'!$J:$J,$C991,'Form Details'!$D:$D,'Adv. Filter'!$A$14,'Form Details'!$D:$D,'Adv. Filter'!$B$14))</f>
        <v>0</v>
      </c>
      <c r="DZ991" s="238"/>
      <c r="EA991" s="238"/>
      <c r="EB991" s="238"/>
      <c r="EC991" s="238"/>
      <c r="ED991" s="238"/>
      <c r="EE991" s="239"/>
    </row>
    <row r="992" spans="3:135" hidden="1">
      <c r="C992" s="248" t="s">
        <v>70</v>
      </c>
      <c r="D992" s="249"/>
      <c r="E992" s="249"/>
      <c r="F992" s="249"/>
      <c r="G992" s="249"/>
      <c r="H992" s="249"/>
      <c r="I992" s="249"/>
      <c r="J992" s="249"/>
      <c r="K992" s="249"/>
      <c r="L992" s="249"/>
      <c r="M992" s="249"/>
      <c r="N992" s="249"/>
      <c r="O992" s="237">
        <f>SUM(COUNTIFS('Form Details'!$AA:$AA,{"Yes","No","-"},'Form Details'!$N:$N,"Madhu",'Form Details'!$J:$J,$C992,'Form Details'!$D:$D,'Adv. Filter'!$A$14,'Form Details'!$D:$D,'Adv. Filter'!$B$14))</f>
        <v>0</v>
      </c>
      <c r="P992" s="238"/>
      <c r="Q992" s="238"/>
      <c r="R992" s="238"/>
      <c r="S992" s="238"/>
      <c r="T992" s="238"/>
      <c r="U992" s="239"/>
      <c r="V992" s="100"/>
      <c r="W992" s="237">
        <f>COUNTIFS('Form Details'!$AA:$AA,"Yes",'Form Details'!$N:$N,"Madhu",'Form Details'!$J:$J,$C992,'Form Details'!$D:$D,'Adv. Filter'!$A$14,'Form Details'!$D:$D,'Adv. Filter'!$B$14)</f>
        <v>0</v>
      </c>
      <c r="X992" s="238"/>
      <c r="Y992" s="238"/>
      <c r="Z992" s="238"/>
      <c r="AA992" s="238"/>
      <c r="AB992" s="238"/>
      <c r="AC992" s="239"/>
      <c r="AD992" s="237">
        <f>COUNTIFS('Form Details'!$W:$W,"Paid",'Form Details'!$N:$N,"Madhu",'Form Details'!$J:$J,$C992,'Form Details'!$D:$D,'Adv. Filter'!$A$14,'Form Details'!$D:$D,'Adv. Filter'!$B$14)</f>
        <v>0</v>
      </c>
      <c r="AE992" s="238"/>
      <c r="AF992" s="238"/>
      <c r="AG992" s="238"/>
      <c r="AH992" s="238"/>
      <c r="AI992" s="238"/>
      <c r="AJ992" s="239"/>
      <c r="AK992" s="237">
        <f>COUNTIFS('Form Details'!$W:$W,"Due",'Form Details'!$N:$N,"Madhu",'Form Details'!$J:$J,$C992,'Form Details'!$D:$D,'Adv. Filter'!$A$14,'Form Details'!$D:$D,'Adv. Filter'!$B$14)</f>
        <v>0</v>
      </c>
      <c r="AL992" s="238"/>
      <c r="AM992" s="238"/>
      <c r="AN992" s="238"/>
      <c r="AO992" s="238"/>
      <c r="AP992" s="238"/>
      <c r="AQ992" s="239"/>
      <c r="AR992" s="237">
        <f>COUNTIFS('Form Details'!$W:$W,"No Fee",'Form Details'!$N:$N,"Madhu",'Form Details'!$J:$J,$C992,'Form Details'!$D:$D,'Adv. Filter'!$A$14,'Form Details'!$D:$D,'Adv. Filter'!$B$14)</f>
        <v>0</v>
      </c>
      <c r="AS992" s="238"/>
      <c r="AT992" s="238"/>
      <c r="AU992" s="238"/>
      <c r="AV992" s="238"/>
      <c r="AW992" s="238"/>
      <c r="AX992" s="239"/>
      <c r="AY992" s="237">
        <f>COUNTIFS('Form Details'!$W:$W,"Paid/Reject",'Form Details'!$N:$N,"Madhu",'Form Details'!$J:$J,$C992,'Form Details'!$D:$D,'Adv. Filter'!$A$14,'Form Details'!$D:$D,'Adv. Filter'!$B$14)</f>
        <v>0</v>
      </c>
      <c r="AZ992" s="238"/>
      <c r="BA992" s="238"/>
      <c r="BB992" s="238"/>
      <c r="BC992" s="238"/>
      <c r="BD992" s="238"/>
      <c r="BE992" s="239"/>
      <c r="BF992" s="237">
        <f>COUNTIFS('Form Details'!$W:$W,"Staff",'Form Details'!$N:$N,"Madhu",'Form Details'!$J:$J,$C992,'Form Details'!$D:$D,'Adv. Filter'!$A$14,'Form Details'!$D:$D,'Adv. Filter'!$B$14)</f>
        <v>0</v>
      </c>
      <c r="BG992" s="238"/>
      <c r="BH992" s="238"/>
      <c r="BI992" s="238"/>
      <c r="BJ992" s="238"/>
      <c r="BK992" s="238"/>
      <c r="BL992" s="239"/>
      <c r="BM992" s="237">
        <f>COUNTIFS('Form Details'!$W:$W,"File in Office",'Form Details'!$N:$N,"Madhu",'Form Details'!$J:$J,$C992,'Form Details'!$D:$D,'Adv. Filter'!$A$14,'Form Details'!$D:$D,'Adv. Filter'!$B$14)</f>
        <v>0</v>
      </c>
      <c r="BN992" s="238"/>
      <c r="BO992" s="238"/>
      <c r="BP992" s="238"/>
      <c r="BQ992" s="238"/>
      <c r="BR992" s="238"/>
      <c r="BS992" s="239"/>
      <c r="BT992" s="100"/>
      <c r="BU992" s="237">
        <f>COUNTIFS('Form Details'!$AA:$AA,"No",'Form Details'!$N:$N,"Madhu",'Form Details'!$J:$J,$C992,'Form Details'!$D:$D,'Adv. Filter'!$A$14,'Form Details'!$D:$D,'Adv. Filter'!$B$14)</f>
        <v>0</v>
      </c>
      <c r="BV992" s="238"/>
      <c r="BW992" s="238"/>
      <c r="BX992" s="238"/>
      <c r="BY992" s="238"/>
      <c r="BZ992" s="238"/>
      <c r="CA992" s="239"/>
      <c r="CB992" s="237">
        <f>COUNTIFS('Form Details'!$W:$W,"Adv/Paid",'Form Details'!$N:$N,"Madhu",'Form Details'!$J:$J,$C992,'Form Details'!$D:$D,'Adv. Filter'!$A$14,'Form Details'!$D:$D,'Adv. Filter'!$B$14)</f>
        <v>0</v>
      </c>
      <c r="CC992" s="238"/>
      <c r="CD992" s="238"/>
      <c r="CE992" s="238"/>
      <c r="CF992" s="238"/>
      <c r="CG992" s="238"/>
      <c r="CH992" s="239"/>
      <c r="CI992" s="237">
        <f>COUNTIFS('Form Details'!$W:$W,"Adv/Paid/Reject",'Form Details'!$N:$N,"Madhu",'Form Details'!$J:$J,$C992,'Form Details'!$D:$D,'Adv. Filter'!$A$14,'Form Details'!$D:$D,'Adv. Filter'!$B$14)</f>
        <v>0</v>
      </c>
      <c r="CJ992" s="238"/>
      <c r="CK992" s="238"/>
      <c r="CL992" s="238"/>
      <c r="CM992" s="238"/>
      <c r="CN992" s="238"/>
      <c r="CO992" s="239"/>
      <c r="CP992" s="237">
        <f>COUNTIFS('Form Details'!$W:$W,"Reject",'Form Details'!$N:$N,"Madhu",'Form Details'!$J:$J,$C992,'Form Details'!$D:$D,'Adv. Filter'!$A$14,'Form Details'!$D:$D,'Adv. Filter'!$B$14)</f>
        <v>0</v>
      </c>
      <c r="CQ992" s="238"/>
      <c r="CR992" s="238"/>
      <c r="CS992" s="238"/>
      <c r="CT992" s="238"/>
      <c r="CU992" s="238"/>
      <c r="CV992" s="239"/>
      <c r="CW992" s="237">
        <f>COUNTIFS('Form Details'!$W:$W,"Adv/Paid/Pending",'Form Details'!$N:$N,"Madhu",'Form Details'!$J:$J,$C992,'Form Details'!$D:$D,'Adv. Filter'!$A$14,'Form Details'!$D:$D,'Adv. Filter'!$B$14)</f>
        <v>0</v>
      </c>
      <c r="CX992" s="238"/>
      <c r="CY992" s="238"/>
      <c r="CZ992" s="238"/>
      <c r="DA992" s="238"/>
      <c r="DB992" s="238"/>
      <c r="DC992" s="239"/>
      <c r="DD992" s="237">
        <f>COUNTIFS('Form Details'!$W:$W,"Pending",'Form Details'!$N:$N,"Madhu",'Form Details'!$J:$J,$C992,'Form Details'!$D:$D,'Adv. Filter'!$A$14,'Form Details'!$D:$D,'Adv. Filter'!$B$14)</f>
        <v>0</v>
      </c>
      <c r="DE992" s="238"/>
      <c r="DF992" s="238"/>
      <c r="DG992" s="238"/>
      <c r="DH992" s="238"/>
      <c r="DI992" s="238"/>
      <c r="DJ992" s="239"/>
      <c r="DK992" s="237">
        <f>COUNTIFS('Form Details'!$W:$W,"Adv/Paid/NoStatus",'Form Details'!$N:$N,"Madhu",'Form Details'!$J:$J,$C992,'Form Details'!$D:$D,'Adv. Filter'!$A$14,'Form Details'!$D:$D,'Adv. Filter'!$B$14)</f>
        <v>0</v>
      </c>
      <c r="DL992" s="238"/>
      <c r="DM992" s="238"/>
      <c r="DN992" s="238"/>
      <c r="DO992" s="238"/>
      <c r="DP992" s="238"/>
      <c r="DQ992" s="239"/>
      <c r="DR992" s="237">
        <f>COUNTIFS('Form Details'!$W:$W,"No Status",'Form Details'!$N:$N,"Madhu",'Form Details'!$J:$J,$C992,'Form Details'!$D:$D,'Adv. Filter'!$A$14,'Form Details'!$D:$D,'Adv. Filter'!$B$14)</f>
        <v>0</v>
      </c>
      <c r="DS992" s="238"/>
      <c r="DT992" s="238"/>
      <c r="DU992" s="238"/>
      <c r="DV992" s="238"/>
      <c r="DW992" s="238"/>
      <c r="DX992" s="239"/>
      <c r="DY992" s="237">
        <f>SUM(COUNTIFS('Form Details'!$W:$W,{"Wrong Entry ","Double Entry"},'Form Details'!$N:$N,"Madhu",'Form Details'!$J:$J,$C992,'Form Details'!$D:$D,'Adv. Filter'!$A$14,'Form Details'!$D:$D,'Adv. Filter'!$B$14))</f>
        <v>0</v>
      </c>
      <c r="DZ992" s="238"/>
      <c r="EA992" s="238"/>
      <c r="EB992" s="238"/>
      <c r="EC992" s="238"/>
      <c r="ED992" s="238"/>
      <c r="EE992" s="239"/>
    </row>
    <row r="993" spans="3:135" hidden="1">
      <c r="C993" s="248" t="s">
        <v>77</v>
      </c>
      <c r="D993" s="249"/>
      <c r="E993" s="249"/>
      <c r="F993" s="249"/>
      <c r="G993" s="249"/>
      <c r="H993" s="249"/>
      <c r="I993" s="249"/>
      <c r="J993" s="249"/>
      <c r="K993" s="249"/>
      <c r="L993" s="249"/>
      <c r="M993" s="249"/>
      <c r="N993" s="249"/>
      <c r="O993" s="237">
        <f>SUM(COUNTIFS('Form Details'!$AA:$AA,{"Yes","No","-"},'Form Details'!$N:$N,"Madhu",'Form Details'!$J:$J,$C993,'Form Details'!$D:$D,'Adv. Filter'!$A$14,'Form Details'!$D:$D,'Adv. Filter'!$B$14))</f>
        <v>0</v>
      </c>
      <c r="P993" s="238"/>
      <c r="Q993" s="238"/>
      <c r="R993" s="238"/>
      <c r="S993" s="238"/>
      <c r="T993" s="238"/>
      <c r="U993" s="239"/>
      <c r="V993" s="100"/>
      <c r="W993" s="237">
        <f>COUNTIFS('Form Details'!$AA:$AA,"Yes",'Form Details'!$N:$N,"Madhu",'Form Details'!$J:$J,$C993,'Form Details'!$D:$D,'Adv. Filter'!$A$14,'Form Details'!$D:$D,'Adv. Filter'!$B$14)</f>
        <v>0</v>
      </c>
      <c r="X993" s="238"/>
      <c r="Y993" s="238"/>
      <c r="Z993" s="238"/>
      <c r="AA993" s="238"/>
      <c r="AB993" s="238"/>
      <c r="AC993" s="239"/>
      <c r="AD993" s="237">
        <f>COUNTIFS('Form Details'!$W:$W,"Paid",'Form Details'!$N:$N,"Madhu",'Form Details'!$J:$J,$C993,'Form Details'!$D:$D,'Adv. Filter'!$A$14,'Form Details'!$D:$D,'Adv. Filter'!$B$14)</f>
        <v>0</v>
      </c>
      <c r="AE993" s="238"/>
      <c r="AF993" s="238"/>
      <c r="AG993" s="238"/>
      <c r="AH993" s="238"/>
      <c r="AI993" s="238"/>
      <c r="AJ993" s="239"/>
      <c r="AK993" s="237">
        <f>COUNTIFS('Form Details'!$W:$W,"Due",'Form Details'!$N:$N,"Madhu",'Form Details'!$J:$J,$C993,'Form Details'!$D:$D,'Adv. Filter'!$A$14,'Form Details'!$D:$D,'Adv. Filter'!$B$14)</f>
        <v>0</v>
      </c>
      <c r="AL993" s="238"/>
      <c r="AM993" s="238"/>
      <c r="AN993" s="238"/>
      <c r="AO993" s="238"/>
      <c r="AP993" s="238"/>
      <c r="AQ993" s="239"/>
      <c r="AR993" s="237">
        <f>COUNTIFS('Form Details'!$W:$W,"No Fee",'Form Details'!$N:$N,"Madhu",'Form Details'!$J:$J,$C993,'Form Details'!$D:$D,'Adv. Filter'!$A$14,'Form Details'!$D:$D,'Adv. Filter'!$B$14)</f>
        <v>0</v>
      </c>
      <c r="AS993" s="238"/>
      <c r="AT993" s="238"/>
      <c r="AU993" s="238"/>
      <c r="AV993" s="238"/>
      <c r="AW993" s="238"/>
      <c r="AX993" s="239"/>
      <c r="AY993" s="237">
        <f>COUNTIFS('Form Details'!$W:$W,"Paid/Reject",'Form Details'!$N:$N,"Madhu",'Form Details'!$J:$J,$C993,'Form Details'!$D:$D,'Adv. Filter'!$A$14,'Form Details'!$D:$D,'Adv. Filter'!$B$14)</f>
        <v>0</v>
      </c>
      <c r="AZ993" s="238"/>
      <c r="BA993" s="238"/>
      <c r="BB993" s="238"/>
      <c r="BC993" s="238"/>
      <c r="BD993" s="238"/>
      <c r="BE993" s="239"/>
      <c r="BF993" s="237">
        <f>COUNTIFS('Form Details'!$W:$W,"Staff",'Form Details'!$N:$N,"Madhu",'Form Details'!$J:$J,$C993,'Form Details'!$D:$D,'Adv. Filter'!$A$14,'Form Details'!$D:$D,'Adv. Filter'!$B$14)</f>
        <v>0</v>
      </c>
      <c r="BG993" s="238"/>
      <c r="BH993" s="238"/>
      <c r="BI993" s="238"/>
      <c r="BJ993" s="238"/>
      <c r="BK993" s="238"/>
      <c r="BL993" s="239"/>
      <c r="BM993" s="237">
        <f>COUNTIFS('Form Details'!$W:$W,"File in Office",'Form Details'!$N:$N,"Madhu",'Form Details'!$J:$J,$C993,'Form Details'!$D:$D,'Adv. Filter'!$A$14,'Form Details'!$D:$D,'Adv. Filter'!$B$14)</f>
        <v>0</v>
      </c>
      <c r="BN993" s="238"/>
      <c r="BO993" s="238"/>
      <c r="BP993" s="238"/>
      <c r="BQ993" s="238"/>
      <c r="BR993" s="238"/>
      <c r="BS993" s="239"/>
      <c r="BT993" s="100"/>
      <c r="BU993" s="237">
        <f>COUNTIFS('Form Details'!$AA:$AA,"No",'Form Details'!$N:$N,"Madhu",'Form Details'!$J:$J,$C993,'Form Details'!$D:$D,'Adv. Filter'!$A$14,'Form Details'!$D:$D,'Adv. Filter'!$B$14)</f>
        <v>0</v>
      </c>
      <c r="BV993" s="238"/>
      <c r="BW993" s="238"/>
      <c r="BX993" s="238"/>
      <c r="BY993" s="238"/>
      <c r="BZ993" s="238"/>
      <c r="CA993" s="239"/>
      <c r="CB993" s="237">
        <f>COUNTIFS('Form Details'!$W:$W,"Adv/Paid",'Form Details'!$N:$N,"Madhu",'Form Details'!$J:$J,$C993,'Form Details'!$D:$D,'Adv. Filter'!$A$14,'Form Details'!$D:$D,'Adv. Filter'!$B$14)</f>
        <v>0</v>
      </c>
      <c r="CC993" s="238"/>
      <c r="CD993" s="238"/>
      <c r="CE993" s="238"/>
      <c r="CF993" s="238"/>
      <c r="CG993" s="238"/>
      <c r="CH993" s="239"/>
      <c r="CI993" s="237">
        <f>COUNTIFS('Form Details'!$W:$W,"Adv/Paid/Reject",'Form Details'!$N:$N,"Madhu",'Form Details'!$J:$J,$C993,'Form Details'!$D:$D,'Adv. Filter'!$A$14,'Form Details'!$D:$D,'Adv. Filter'!$B$14)</f>
        <v>0</v>
      </c>
      <c r="CJ993" s="238"/>
      <c r="CK993" s="238"/>
      <c r="CL993" s="238"/>
      <c r="CM993" s="238"/>
      <c r="CN993" s="238"/>
      <c r="CO993" s="239"/>
      <c r="CP993" s="237">
        <f>COUNTIFS('Form Details'!$W:$W,"Reject",'Form Details'!$N:$N,"Madhu",'Form Details'!$J:$J,$C993,'Form Details'!$D:$D,'Adv. Filter'!$A$14,'Form Details'!$D:$D,'Adv. Filter'!$B$14)</f>
        <v>0</v>
      </c>
      <c r="CQ993" s="238"/>
      <c r="CR993" s="238"/>
      <c r="CS993" s="238"/>
      <c r="CT993" s="238"/>
      <c r="CU993" s="238"/>
      <c r="CV993" s="239"/>
      <c r="CW993" s="237">
        <f>COUNTIFS('Form Details'!$W:$W,"Adv/Paid/Pending",'Form Details'!$N:$N,"Madhu",'Form Details'!$J:$J,$C993,'Form Details'!$D:$D,'Adv. Filter'!$A$14,'Form Details'!$D:$D,'Adv. Filter'!$B$14)</f>
        <v>0</v>
      </c>
      <c r="CX993" s="238"/>
      <c r="CY993" s="238"/>
      <c r="CZ993" s="238"/>
      <c r="DA993" s="238"/>
      <c r="DB993" s="238"/>
      <c r="DC993" s="239"/>
      <c r="DD993" s="237">
        <f>COUNTIFS('Form Details'!$W:$W,"Pending",'Form Details'!$N:$N,"Madhu",'Form Details'!$J:$J,$C993,'Form Details'!$D:$D,'Adv. Filter'!$A$14,'Form Details'!$D:$D,'Adv. Filter'!$B$14)</f>
        <v>0</v>
      </c>
      <c r="DE993" s="238"/>
      <c r="DF993" s="238"/>
      <c r="DG993" s="238"/>
      <c r="DH993" s="238"/>
      <c r="DI993" s="238"/>
      <c r="DJ993" s="239"/>
      <c r="DK993" s="237">
        <f>COUNTIFS('Form Details'!$W:$W,"Adv/Paid/NoStatus",'Form Details'!$N:$N,"Madhu",'Form Details'!$J:$J,$C993,'Form Details'!$D:$D,'Adv. Filter'!$A$14,'Form Details'!$D:$D,'Adv. Filter'!$B$14)</f>
        <v>0</v>
      </c>
      <c r="DL993" s="238"/>
      <c r="DM993" s="238"/>
      <c r="DN993" s="238"/>
      <c r="DO993" s="238"/>
      <c r="DP993" s="238"/>
      <c r="DQ993" s="239"/>
      <c r="DR993" s="237">
        <f>COUNTIFS('Form Details'!$W:$W,"No Status",'Form Details'!$N:$N,"Madhu",'Form Details'!$J:$J,$C993,'Form Details'!$D:$D,'Adv. Filter'!$A$14,'Form Details'!$D:$D,'Adv. Filter'!$B$14)</f>
        <v>0</v>
      </c>
      <c r="DS993" s="238"/>
      <c r="DT993" s="238"/>
      <c r="DU993" s="238"/>
      <c r="DV993" s="238"/>
      <c r="DW993" s="238"/>
      <c r="DX993" s="239"/>
      <c r="DY993" s="237">
        <f>SUM(COUNTIFS('Form Details'!$W:$W,{"Wrong Entry ","Double Entry"},'Form Details'!$N:$N,"Madhu",'Form Details'!$J:$J,$C993,'Form Details'!$D:$D,'Adv. Filter'!$A$14,'Form Details'!$D:$D,'Adv. Filter'!$B$14))</f>
        <v>0</v>
      </c>
      <c r="DZ993" s="238"/>
      <c r="EA993" s="238"/>
      <c r="EB993" s="238"/>
      <c r="EC993" s="238"/>
      <c r="ED993" s="238"/>
      <c r="EE993" s="239"/>
    </row>
    <row r="994" spans="3:135" hidden="1">
      <c r="C994" s="248" t="s">
        <v>138</v>
      </c>
      <c r="D994" s="249"/>
      <c r="E994" s="249"/>
      <c r="F994" s="249"/>
      <c r="G994" s="249"/>
      <c r="H994" s="249"/>
      <c r="I994" s="249"/>
      <c r="J994" s="249"/>
      <c r="K994" s="249"/>
      <c r="L994" s="249"/>
      <c r="M994" s="249"/>
      <c r="N994" s="249"/>
      <c r="O994" s="237">
        <f>SUM(COUNTIFS('Form Details'!$AA:$AA,{"Yes","No","-"},'Form Details'!$N:$N,"Madhu",'Form Details'!$J:$J,$C994,'Form Details'!$D:$D,'Adv. Filter'!$A$14,'Form Details'!$D:$D,'Adv. Filter'!$B$14))</f>
        <v>0</v>
      </c>
      <c r="P994" s="238"/>
      <c r="Q994" s="238"/>
      <c r="R994" s="238"/>
      <c r="S994" s="238"/>
      <c r="T994" s="238"/>
      <c r="U994" s="239"/>
      <c r="V994" s="100"/>
      <c r="W994" s="237">
        <f>COUNTIFS('Form Details'!$AA:$AA,"Yes",'Form Details'!$N:$N,"Madhu",'Form Details'!$J:$J,$C994,'Form Details'!$D:$D,'Adv. Filter'!$A$14,'Form Details'!$D:$D,'Adv. Filter'!$B$14)</f>
        <v>0</v>
      </c>
      <c r="X994" s="238"/>
      <c r="Y994" s="238"/>
      <c r="Z994" s="238"/>
      <c r="AA994" s="238"/>
      <c r="AB994" s="238"/>
      <c r="AC994" s="239"/>
      <c r="AD994" s="237">
        <f>COUNTIFS('Form Details'!$W:$W,"Paid",'Form Details'!$N:$N,"Madhu",'Form Details'!$J:$J,$C994,'Form Details'!$D:$D,'Adv. Filter'!$A$14,'Form Details'!$D:$D,'Adv. Filter'!$B$14)</f>
        <v>0</v>
      </c>
      <c r="AE994" s="238"/>
      <c r="AF994" s="238"/>
      <c r="AG994" s="238"/>
      <c r="AH994" s="238"/>
      <c r="AI994" s="238"/>
      <c r="AJ994" s="239"/>
      <c r="AK994" s="237">
        <f>COUNTIFS('Form Details'!$W:$W,"Due",'Form Details'!$N:$N,"Madhu",'Form Details'!$J:$J,$C994,'Form Details'!$D:$D,'Adv. Filter'!$A$14,'Form Details'!$D:$D,'Adv. Filter'!$B$14)</f>
        <v>0</v>
      </c>
      <c r="AL994" s="238"/>
      <c r="AM994" s="238"/>
      <c r="AN994" s="238"/>
      <c r="AO994" s="238"/>
      <c r="AP994" s="238"/>
      <c r="AQ994" s="239"/>
      <c r="AR994" s="237">
        <f>COUNTIFS('Form Details'!$W:$W,"No Fee",'Form Details'!$N:$N,"Madhu",'Form Details'!$J:$J,$C994,'Form Details'!$D:$D,'Adv. Filter'!$A$14,'Form Details'!$D:$D,'Adv. Filter'!$B$14)</f>
        <v>0</v>
      </c>
      <c r="AS994" s="238"/>
      <c r="AT994" s="238"/>
      <c r="AU994" s="238"/>
      <c r="AV994" s="238"/>
      <c r="AW994" s="238"/>
      <c r="AX994" s="239"/>
      <c r="AY994" s="237">
        <f>COUNTIFS('Form Details'!$W:$W,"Paid/Reject",'Form Details'!$N:$N,"Madhu",'Form Details'!$J:$J,$C994,'Form Details'!$D:$D,'Adv. Filter'!$A$14,'Form Details'!$D:$D,'Adv. Filter'!$B$14)</f>
        <v>0</v>
      </c>
      <c r="AZ994" s="238"/>
      <c r="BA994" s="238"/>
      <c r="BB994" s="238"/>
      <c r="BC994" s="238"/>
      <c r="BD994" s="238"/>
      <c r="BE994" s="239"/>
      <c r="BF994" s="237">
        <f>COUNTIFS('Form Details'!$W:$W,"Staff",'Form Details'!$N:$N,"Madhu",'Form Details'!$J:$J,$C994,'Form Details'!$D:$D,'Adv. Filter'!$A$14,'Form Details'!$D:$D,'Adv. Filter'!$B$14)</f>
        <v>0</v>
      </c>
      <c r="BG994" s="238"/>
      <c r="BH994" s="238"/>
      <c r="BI994" s="238"/>
      <c r="BJ994" s="238"/>
      <c r="BK994" s="238"/>
      <c r="BL994" s="239"/>
      <c r="BM994" s="237">
        <f>COUNTIFS('Form Details'!$W:$W,"File in Office",'Form Details'!$N:$N,"Madhu",'Form Details'!$J:$J,$C994,'Form Details'!$D:$D,'Adv. Filter'!$A$14,'Form Details'!$D:$D,'Adv. Filter'!$B$14)</f>
        <v>0</v>
      </c>
      <c r="BN994" s="238"/>
      <c r="BO994" s="238"/>
      <c r="BP994" s="238"/>
      <c r="BQ994" s="238"/>
      <c r="BR994" s="238"/>
      <c r="BS994" s="239"/>
      <c r="BT994" s="100"/>
      <c r="BU994" s="237">
        <f>COUNTIFS('Form Details'!$AA:$AA,"No",'Form Details'!$N:$N,"Madhu",'Form Details'!$J:$J,$C994,'Form Details'!$D:$D,'Adv. Filter'!$A$14,'Form Details'!$D:$D,'Adv. Filter'!$B$14)</f>
        <v>0</v>
      </c>
      <c r="BV994" s="238"/>
      <c r="BW994" s="238"/>
      <c r="BX994" s="238"/>
      <c r="BY994" s="238"/>
      <c r="BZ994" s="238"/>
      <c r="CA994" s="239"/>
      <c r="CB994" s="237">
        <f>COUNTIFS('Form Details'!$W:$W,"Adv/Paid",'Form Details'!$N:$N,"Madhu",'Form Details'!$J:$J,$C994,'Form Details'!$D:$D,'Adv. Filter'!$A$14,'Form Details'!$D:$D,'Adv. Filter'!$B$14)</f>
        <v>0</v>
      </c>
      <c r="CC994" s="238"/>
      <c r="CD994" s="238"/>
      <c r="CE994" s="238"/>
      <c r="CF994" s="238"/>
      <c r="CG994" s="238"/>
      <c r="CH994" s="239"/>
      <c r="CI994" s="237">
        <f>COUNTIFS('Form Details'!$W:$W,"Adv/Paid/Reject",'Form Details'!$N:$N,"Madhu",'Form Details'!$J:$J,$C994,'Form Details'!$D:$D,'Adv. Filter'!$A$14,'Form Details'!$D:$D,'Adv. Filter'!$B$14)</f>
        <v>0</v>
      </c>
      <c r="CJ994" s="238"/>
      <c r="CK994" s="238"/>
      <c r="CL994" s="238"/>
      <c r="CM994" s="238"/>
      <c r="CN994" s="238"/>
      <c r="CO994" s="239"/>
      <c r="CP994" s="237">
        <f>COUNTIFS('Form Details'!$W:$W,"Reject",'Form Details'!$N:$N,"Madhu",'Form Details'!$J:$J,$C994,'Form Details'!$D:$D,'Adv. Filter'!$A$14,'Form Details'!$D:$D,'Adv. Filter'!$B$14)</f>
        <v>0</v>
      </c>
      <c r="CQ994" s="238"/>
      <c r="CR994" s="238"/>
      <c r="CS994" s="238"/>
      <c r="CT994" s="238"/>
      <c r="CU994" s="238"/>
      <c r="CV994" s="239"/>
      <c r="CW994" s="237">
        <f>COUNTIFS('Form Details'!$W:$W,"Adv/Paid/Pending",'Form Details'!$N:$N,"Madhu",'Form Details'!$J:$J,$C994,'Form Details'!$D:$D,'Adv. Filter'!$A$14,'Form Details'!$D:$D,'Adv. Filter'!$B$14)</f>
        <v>0</v>
      </c>
      <c r="CX994" s="238"/>
      <c r="CY994" s="238"/>
      <c r="CZ994" s="238"/>
      <c r="DA994" s="238"/>
      <c r="DB994" s="238"/>
      <c r="DC994" s="239"/>
      <c r="DD994" s="237">
        <f>COUNTIFS('Form Details'!$W:$W,"Pending",'Form Details'!$N:$N,"Madhu",'Form Details'!$J:$J,$C994,'Form Details'!$D:$D,'Adv. Filter'!$A$14,'Form Details'!$D:$D,'Adv. Filter'!$B$14)</f>
        <v>0</v>
      </c>
      <c r="DE994" s="238"/>
      <c r="DF994" s="238"/>
      <c r="DG994" s="238"/>
      <c r="DH994" s="238"/>
      <c r="DI994" s="238"/>
      <c r="DJ994" s="239"/>
      <c r="DK994" s="237">
        <f>COUNTIFS('Form Details'!$W:$W,"Adv/Paid/NoStatus",'Form Details'!$N:$N,"Madhu",'Form Details'!$J:$J,$C994,'Form Details'!$D:$D,'Adv. Filter'!$A$14,'Form Details'!$D:$D,'Adv. Filter'!$B$14)</f>
        <v>0</v>
      </c>
      <c r="DL994" s="238"/>
      <c r="DM994" s="238"/>
      <c r="DN994" s="238"/>
      <c r="DO994" s="238"/>
      <c r="DP994" s="238"/>
      <c r="DQ994" s="239"/>
      <c r="DR994" s="237">
        <f>COUNTIFS('Form Details'!$W:$W,"No Status",'Form Details'!$N:$N,"Madhu",'Form Details'!$J:$J,$C994,'Form Details'!$D:$D,'Adv. Filter'!$A$14,'Form Details'!$D:$D,'Adv. Filter'!$B$14)</f>
        <v>0</v>
      </c>
      <c r="DS994" s="238"/>
      <c r="DT994" s="238"/>
      <c r="DU994" s="238"/>
      <c r="DV994" s="238"/>
      <c r="DW994" s="238"/>
      <c r="DX994" s="239"/>
      <c r="DY994" s="237">
        <f>SUM(COUNTIFS('Form Details'!$W:$W,{"Wrong Entry ","Double Entry"},'Form Details'!$N:$N,"Madhu",'Form Details'!$J:$J,$C994,'Form Details'!$D:$D,'Adv. Filter'!$A$14,'Form Details'!$D:$D,'Adv. Filter'!$B$14))</f>
        <v>0</v>
      </c>
      <c r="DZ994" s="238"/>
      <c r="EA994" s="238"/>
      <c r="EB994" s="238"/>
      <c r="EC994" s="238"/>
      <c r="ED994" s="238"/>
      <c r="EE994" s="239"/>
    </row>
    <row r="995" spans="3:135" hidden="1">
      <c r="C995" s="248" t="s">
        <v>84</v>
      </c>
      <c r="D995" s="249"/>
      <c r="E995" s="249"/>
      <c r="F995" s="249"/>
      <c r="G995" s="249"/>
      <c r="H995" s="249"/>
      <c r="I995" s="249"/>
      <c r="J995" s="249"/>
      <c r="K995" s="249"/>
      <c r="L995" s="249"/>
      <c r="M995" s="249"/>
      <c r="N995" s="249"/>
      <c r="O995" s="237">
        <f>SUM(COUNTIFS('Form Details'!$AA:$AA,{"Yes","No","-"},'Form Details'!$N:$N,"Madhu",'Form Details'!$J:$J,$C995,'Form Details'!$D:$D,'Adv. Filter'!$A$14,'Form Details'!$D:$D,'Adv. Filter'!$B$14))</f>
        <v>0</v>
      </c>
      <c r="P995" s="238"/>
      <c r="Q995" s="238"/>
      <c r="R995" s="238"/>
      <c r="S995" s="238"/>
      <c r="T995" s="238"/>
      <c r="U995" s="239"/>
      <c r="V995" s="100"/>
      <c r="W995" s="237">
        <f>COUNTIFS('Form Details'!$AA:$AA,"Yes",'Form Details'!$N:$N,"Madhu",'Form Details'!$J:$J,$C995,'Form Details'!$D:$D,'Adv. Filter'!$A$14,'Form Details'!$D:$D,'Adv. Filter'!$B$14)</f>
        <v>0</v>
      </c>
      <c r="X995" s="238"/>
      <c r="Y995" s="238"/>
      <c r="Z995" s="238"/>
      <c r="AA995" s="238"/>
      <c r="AB995" s="238"/>
      <c r="AC995" s="239"/>
      <c r="AD995" s="237">
        <f>COUNTIFS('Form Details'!$W:$W,"Paid",'Form Details'!$N:$N,"Madhu",'Form Details'!$J:$J,$C995,'Form Details'!$D:$D,'Adv. Filter'!$A$14,'Form Details'!$D:$D,'Adv. Filter'!$B$14)</f>
        <v>0</v>
      </c>
      <c r="AE995" s="238"/>
      <c r="AF995" s="238"/>
      <c r="AG995" s="238"/>
      <c r="AH995" s="238"/>
      <c r="AI995" s="238"/>
      <c r="AJ995" s="239"/>
      <c r="AK995" s="237">
        <f>COUNTIFS('Form Details'!$W:$W,"Due",'Form Details'!$N:$N,"Madhu",'Form Details'!$J:$J,$C995,'Form Details'!$D:$D,'Adv. Filter'!$A$14,'Form Details'!$D:$D,'Adv. Filter'!$B$14)</f>
        <v>0</v>
      </c>
      <c r="AL995" s="238"/>
      <c r="AM995" s="238"/>
      <c r="AN995" s="238"/>
      <c r="AO995" s="238"/>
      <c r="AP995" s="238"/>
      <c r="AQ995" s="239"/>
      <c r="AR995" s="237">
        <f>COUNTIFS('Form Details'!$W:$W,"No Fee",'Form Details'!$N:$N,"Madhu",'Form Details'!$J:$J,$C995,'Form Details'!$D:$D,'Adv. Filter'!$A$14,'Form Details'!$D:$D,'Adv. Filter'!$B$14)</f>
        <v>0</v>
      </c>
      <c r="AS995" s="238"/>
      <c r="AT995" s="238"/>
      <c r="AU995" s="238"/>
      <c r="AV995" s="238"/>
      <c r="AW995" s="238"/>
      <c r="AX995" s="239"/>
      <c r="AY995" s="237">
        <f>COUNTIFS('Form Details'!$W:$W,"Paid/Reject",'Form Details'!$N:$N,"Madhu",'Form Details'!$J:$J,$C995,'Form Details'!$D:$D,'Adv. Filter'!$A$14,'Form Details'!$D:$D,'Adv. Filter'!$B$14)</f>
        <v>0</v>
      </c>
      <c r="AZ995" s="238"/>
      <c r="BA995" s="238"/>
      <c r="BB995" s="238"/>
      <c r="BC995" s="238"/>
      <c r="BD995" s="238"/>
      <c r="BE995" s="239"/>
      <c r="BF995" s="237">
        <f>COUNTIFS('Form Details'!$W:$W,"Staff",'Form Details'!$N:$N,"Madhu",'Form Details'!$J:$J,$C995,'Form Details'!$D:$D,'Adv. Filter'!$A$14,'Form Details'!$D:$D,'Adv. Filter'!$B$14)</f>
        <v>0</v>
      </c>
      <c r="BG995" s="238"/>
      <c r="BH995" s="238"/>
      <c r="BI995" s="238"/>
      <c r="BJ995" s="238"/>
      <c r="BK995" s="238"/>
      <c r="BL995" s="239"/>
      <c r="BM995" s="237">
        <f>COUNTIFS('Form Details'!$W:$W,"File in Office",'Form Details'!$N:$N,"Madhu",'Form Details'!$J:$J,$C995,'Form Details'!$D:$D,'Adv. Filter'!$A$14,'Form Details'!$D:$D,'Adv. Filter'!$B$14)</f>
        <v>0</v>
      </c>
      <c r="BN995" s="238"/>
      <c r="BO995" s="238"/>
      <c r="BP995" s="238"/>
      <c r="BQ995" s="238"/>
      <c r="BR995" s="238"/>
      <c r="BS995" s="239"/>
      <c r="BT995" s="100"/>
      <c r="BU995" s="237">
        <f>COUNTIFS('Form Details'!$AA:$AA,"No",'Form Details'!$N:$N,"Madhu",'Form Details'!$J:$J,$C995,'Form Details'!$D:$D,'Adv. Filter'!$A$14,'Form Details'!$D:$D,'Adv. Filter'!$B$14)</f>
        <v>0</v>
      </c>
      <c r="BV995" s="238"/>
      <c r="BW995" s="238"/>
      <c r="BX995" s="238"/>
      <c r="BY995" s="238"/>
      <c r="BZ995" s="238"/>
      <c r="CA995" s="239"/>
      <c r="CB995" s="237">
        <f>COUNTIFS('Form Details'!$W:$W,"Adv/Paid",'Form Details'!$N:$N,"Madhu",'Form Details'!$J:$J,$C995,'Form Details'!$D:$D,'Adv. Filter'!$A$14,'Form Details'!$D:$D,'Adv. Filter'!$B$14)</f>
        <v>0</v>
      </c>
      <c r="CC995" s="238"/>
      <c r="CD995" s="238"/>
      <c r="CE995" s="238"/>
      <c r="CF995" s="238"/>
      <c r="CG995" s="238"/>
      <c r="CH995" s="239"/>
      <c r="CI995" s="237">
        <f>COUNTIFS('Form Details'!$W:$W,"Adv/Paid/Reject",'Form Details'!$N:$N,"Madhu",'Form Details'!$J:$J,$C995,'Form Details'!$D:$D,'Adv. Filter'!$A$14,'Form Details'!$D:$D,'Adv. Filter'!$B$14)</f>
        <v>0</v>
      </c>
      <c r="CJ995" s="238"/>
      <c r="CK995" s="238"/>
      <c r="CL995" s="238"/>
      <c r="CM995" s="238"/>
      <c r="CN995" s="238"/>
      <c r="CO995" s="239"/>
      <c r="CP995" s="237">
        <f>COUNTIFS('Form Details'!$W:$W,"Reject",'Form Details'!$N:$N,"Madhu",'Form Details'!$J:$J,$C995,'Form Details'!$D:$D,'Adv. Filter'!$A$14,'Form Details'!$D:$D,'Adv. Filter'!$B$14)</f>
        <v>0</v>
      </c>
      <c r="CQ995" s="238"/>
      <c r="CR995" s="238"/>
      <c r="CS995" s="238"/>
      <c r="CT995" s="238"/>
      <c r="CU995" s="238"/>
      <c r="CV995" s="239"/>
      <c r="CW995" s="237">
        <f>COUNTIFS('Form Details'!$W:$W,"Adv/Paid/Pending",'Form Details'!$N:$N,"Madhu",'Form Details'!$J:$J,$C995,'Form Details'!$D:$D,'Adv. Filter'!$A$14,'Form Details'!$D:$D,'Adv. Filter'!$B$14)</f>
        <v>0</v>
      </c>
      <c r="CX995" s="238"/>
      <c r="CY995" s="238"/>
      <c r="CZ995" s="238"/>
      <c r="DA995" s="238"/>
      <c r="DB995" s="238"/>
      <c r="DC995" s="239"/>
      <c r="DD995" s="237">
        <f>COUNTIFS('Form Details'!$W:$W,"Pending",'Form Details'!$N:$N,"Madhu",'Form Details'!$J:$J,$C995,'Form Details'!$D:$D,'Adv. Filter'!$A$14,'Form Details'!$D:$D,'Adv. Filter'!$B$14)</f>
        <v>0</v>
      </c>
      <c r="DE995" s="238"/>
      <c r="DF995" s="238"/>
      <c r="DG995" s="238"/>
      <c r="DH995" s="238"/>
      <c r="DI995" s="238"/>
      <c r="DJ995" s="239"/>
      <c r="DK995" s="237">
        <f>COUNTIFS('Form Details'!$W:$W,"Adv/Paid/NoStatus",'Form Details'!$N:$N,"Madhu",'Form Details'!$J:$J,$C995,'Form Details'!$D:$D,'Adv. Filter'!$A$14,'Form Details'!$D:$D,'Adv. Filter'!$B$14)</f>
        <v>0</v>
      </c>
      <c r="DL995" s="238"/>
      <c r="DM995" s="238"/>
      <c r="DN995" s="238"/>
      <c r="DO995" s="238"/>
      <c r="DP995" s="238"/>
      <c r="DQ995" s="239"/>
      <c r="DR995" s="237">
        <f>COUNTIFS('Form Details'!$W:$W,"No Status",'Form Details'!$N:$N,"Madhu",'Form Details'!$J:$J,$C995,'Form Details'!$D:$D,'Adv. Filter'!$A$14,'Form Details'!$D:$D,'Adv. Filter'!$B$14)</f>
        <v>0</v>
      </c>
      <c r="DS995" s="238"/>
      <c r="DT995" s="238"/>
      <c r="DU995" s="238"/>
      <c r="DV995" s="238"/>
      <c r="DW995" s="238"/>
      <c r="DX995" s="239"/>
      <c r="DY995" s="237">
        <f>SUM(COUNTIFS('Form Details'!$W:$W,{"Wrong Entry ","Double Entry"},'Form Details'!$N:$N,"Madhu",'Form Details'!$J:$J,$C995,'Form Details'!$D:$D,'Adv. Filter'!$A$14,'Form Details'!$D:$D,'Adv. Filter'!$B$14))</f>
        <v>0</v>
      </c>
      <c r="DZ995" s="238"/>
      <c r="EA995" s="238"/>
      <c r="EB995" s="238"/>
      <c r="EC995" s="238"/>
      <c r="ED995" s="238"/>
      <c r="EE995" s="239"/>
    </row>
    <row r="996" spans="3:135" hidden="1">
      <c r="C996" s="248" t="s">
        <v>551</v>
      </c>
      <c r="D996" s="249"/>
      <c r="E996" s="249"/>
      <c r="F996" s="249"/>
      <c r="G996" s="249"/>
      <c r="H996" s="249"/>
      <c r="I996" s="249"/>
      <c r="J996" s="249"/>
      <c r="K996" s="249"/>
      <c r="L996" s="249"/>
      <c r="M996" s="249"/>
      <c r="N996" s="249"/>
      <c r="O996" s="237">
        <f>SUM(COUNTIFS('Form Details'!$AA:$AA,{"Yes","No","-"},'Form Details'!$N:$N,"Madhu",'Form Details'!$J:$J,$C996,'Form Details'!$D:$D,'Adv. Filter'!$A$14,'Form Details'!$D:$D,'Adv. Filter'!$B$14))</f>
        <v>0</v>
      </c>
      <c r="P996" s="238"/>
      <c r="Q996" s="238"/>
      <c r="R996" s="238"/>
      <c r="S996" s="238"/>
      <c r="T996" s="238"/>
      <c r="U996" s="239"/>
      <c r="V996" s="100"/>
      <c r="W996" s="237">
        <f>COUNTIFS('Form Details'!$AA:$AA,"Yes",'Form Details'!$N:$N,"Madhu",'Form Details'!$J:$J,$C996,'Form Details'!$D:$D,'Adv. Filter'!$A$14,'Form Details'!$D:$D,'Adv. Filter'!$B$14)</f>
        <v>0</v>
      </c>
      <c r="X996" s="238"/>
      <c r="Y996" s="238"/>
      <c r="Z996" s="238"/>
      <c r="AA996" s="238"/>
      <c r="AB996" s="238"/>
      <c r="AC996" s="239"/>
      <c r="AD996" s="237">
        <f>COUNTIFS('Form Details'!$W:$W,"Paid",'Form Details'!$N:$N,"Madhu",'Form Details'!$J:$J,$C996,'Form Details'!$D:$D,'Adv. Filter'!$A$14,'Form Details'!$D:$D,'Adv. Filter'!$B$14)</f>
        <v>0</v>
      </c>
      <c r="AE996" s="238"/>
      <c r="AF996" s="238"/>
      <c r="AG996" s="238"/>
      <c r="AH996" s="238"/>
      <c r="AI996" s="238"/>
      <c r="AJ996" s="239"/>
      <c r="AK996" s="237">
        <f>COUNTIFS('Form Details'!$W:$W,"Due",'Form Details'!$N:$N,"Madhu",'Form Details'!$J:$J,$C996,'Form Details'!$D:$D,'Adv. Filter'!$A$14,'Form Details'!$D:$D,'Adv. Filter'!$B$14)</f>
        <v>0</v>
      </c>
      <c r="AL996" s="238"/>
      <c r="AM996" s="238"/>
      <c r="AN996" s="238"/>
      <c r="AO996" s="238"/>
      <c r="AP996" s="238"/>
      <c r="AQ996" s="239"/>
      <c r="AR996" s="237">
        <f>COUNTIFS('Form Details'!$W:$W,"No Fee",'Form Details'!$N:$N,"Madhu",'Form Details'!$J:$J,$C996,'Form Details'!$D:$D,'Adv. Filter'!$A$14,'Form Details'!$D:$D,'Adv. Filter'!$B$14)</f>
        <v>0</v>
      </c>
      <c r="AS996" s="238"/>
      <c r="AT996" s="238"/>
      <c r="AU996" s="238"/>
      <c r="AV996" s="238"/>
      <c r="AW996" s="238"/>
      <c r="AX996" s="239"/>
      <c r="AY996" s="237">
        <f>COUNTIFS('Form Details'!$W:$W,"Paid/Reject",'Form Details'!$N:$N,"Madhu",'Form Details'!$J:$J,$C996,'Form Details'!$D:$D,'Adv. Filter'!$A$14,'Form Details'!$D:$D,'Adv. Filter'!$B$14)</f>
        <v>0</v>
      </c>
      <c r="AZ996" s="238"/>
      <c r="BA996" s="238"/>
      <c r="BB996" s="238"/>
      <c r="BC996" s="238"/>
      <c r="BD996" s="238"/>
      <c r="BE996" s="239"/>
      <c r="BF996" s="237">
        <f>COUNTIFS('Form Details'!$W:$W,"Staff",'Form Details'!$N:$N,"Madhu",'Form Details'!$J:$J,$C996,'Form Details'!$D:$D,'Adv. Filter'!$A$14,'Form Details'!$D:$D,'Adv. Filter'!$B$14)</f>
        <v>0</v>
      </c>
      <c r="BG996" s="238"/>
      <c r="BH996" s="238"/>
      <c r="BI996" s="238"/>
      <c r="BJ996" s="238"/>
      <c r="BK996" s="238"/>
      <c r="BL996" s="239"/>
      <c r="BM996" s="237">
        <f>COUNTIFS('Form Details'!$W:$W,"File in Office",'Form Details'!$N:$N,"Madhu",'Form Details'!$J:$J,$C996,'Form Details'!$D:$D,'Adv. Filter'!$A$14,'Form Details'!$D:$D,'Adv. Filter'!$B$14)</f>
        <v>0</v>
      </c>
      <c r="BN996" s="238"/>
      <c r="BO996" s="238"/>
      <c r="BP996" s="238"/>
      <c r="BQ996" s="238"/>
      <c r="BR996" s="238"/>
      <c r="BS996" s="239"/>
      <c r="BT996" s="100"/>
      <c r="BU996" s="237">
        <f>COUNTIFS('Form Details'!$AA:$AA,"No",'Form Details'!$N:$N,"Madhu",'Form Details'!$J:$J,$C996,'Form Details'!$D:$D,'Adv. Filter'!$A$14,'Form Details'!$D:$D,'Adv. Filter'!$B$14)</f>
        <v>0</v>
      </c>
      <c r="BV996" s="238"/>
      <c r="BW996" s="238"/>
      <c r="BX996" s="238"/>
      <c r="BY996" s="238"/>
      <c r="BZ996" s="238"/>
      <c r="CA996" s="239"/>
      <c r="CB996" s="237">
        <f>COUNTIFS('Form Details'!$W:$W,"Adv/Paid",'Form Details'!$N:$N,"Madhu",'Form Details'!$J:$J,$C996,'Form Details'!$D:$D,'Adv. Filter'!$A$14,'Form Details'!$D:$D,'Adv. Filter'!$B$14)</f>
        <v>0</v>
      </c>
      <c r="CC996" s="238"/>
      <c r="CD996" s="238"/>
      <c r="CE996" s="238"/>
      <c r="CF996" s="238"/>
      <c r="CG996" s="238"/>
      <c r="CH996" s="239"/>
      <c r="CI996" s="237">
        <f>COUNTIFS('Form Details'!$W:$W,"Adv/Paid/Reject",'Form Details'!$N:$N,"Madhu",'Form Details'!$J:$J,$C996,'Form Details'!$D:$D,'Adv. Filter'!$A$14,'Form Details'!$D:$D,'Adv. Filter'!$B$14)</f>
        <v>0</v>
      </c>
      <c r="CJ996" s="238"/>
      <c r="CK996" s="238"/>
      <c r="CL996" s="238"/>
      <c r="CM996" s="238"/>
      <c r="CN996" s="238"/>
      <c r="CO996" s="239"/>
      <c r="CP996" s="237">
        <f>COUNTIFS('Form Details'!$W:$W,"Reject",'Form Details'!$N:$N,"Madhu",'Form Details'!$J:$J,$C996,'Form Details'!$D:$D,'Adv. Filter'!$A$14,'Form Details'!$D:$D,'Adv. Filter'!$B$14)</f>
        <v>0</v>
      </c>
      <c r="CQ996" s="238"/>
      <c r="CR996" s="238"/>
      <c r="CS996" s="238"/>
      <c r="CT996" s="238"/>
      <c r="CU996" s="238"/>
      <c r="CV996" s="239"/>
      <c r="CW996" s="237">
        <f>COUNTIFS('Form Details'!$W:$W,"Adv/Paid/Pending",'Form Details'!$N:$N,"Madhu",'Form Details'!$J:$J,$C996,'Form Details'!$D:$D,'Adv. Filter'!$A$14,'Form Details'!$D:$D,'Adv. Filter'!$B$14)</f>
        <v>0</v>
      </c>
      <c r="CX996" s="238"/>
      <c r="CY996" s="238"/>
      <c r="CZ996" s="238"/>
      <c r="DA996" s="238"/>
      <c r="DB996" s="238"/>
      <c r="DC996" s="239"/>
      <c r="DD996" s="237">
        <f>COUNTIFS('Form Details'!$W:$W,"Pending",'Form Details'!$N:$N,"Madhu",'Form Details'!$J:$J,$C996,'Form Details'!$D:$D,'Adv. Filter'!$A$14,'Form Details'!$D:$D,'Adv. Filter'!$B$14)</f>
        <v>0</v>
      </c>
      <c r="DE996" s="238"/>
      <c r="DF996" s="238"/>
      <c r="DG996" s="238"/>
      <c r="DH996" s="238"/>
      <c r="DI996" s="238"/>
      <c r="DJ996" s="239"/>
      <c r="DK996" s="237">
        <f>COUNTIFS('Form Details'!$W:$W,"Adv/Paid/NoStatus",'Form Details'!$N:$N,"Madhu",'Form Details'!$J:$J,$C996,'Form Details'!$D:$D,'Adv. Filter'!$A$14,'Form Details'!$D:$D,'Adv. Filter'!$B$14)</f>
        <v>0</v>
      </c>
      <c r="DL996" s="238"/>
      <c r="DM996" s="238"/>
      <c r="DN996" s="238"/>
      <c r="DO996" s="238"/>
      <c r="DP996" s="238"/>
      <c r="DQ996" s="239"/>
      <c r="DR996" s="237">
        <f>COUNTIFS('Form Details'!$W:$W,"No Status",'Form Details'!$N:$N,"Madhu",'Form Details'!$J:$J,$C996,'Form Details'!$D:$D,'Adv. Filter'!$A$14,'Form Details'!$D:$D,'Adv. Filter'!$B$14)</f>
        <v>0</v>
      </c>
      <c r="DS996" s="238"/>
      <c r="DT996" s="238"/>
      <c r="DU996" s="238"/>
      <c r="DV996" s="238"/>
      <c r="DW996" s="238"/>
      <c r="DX996" s="239"/>
      <c r="DY996" s="237">
        <f>SUM(COUNTIFS('Form Details'!$W:$W,{"Wrong Entry ","Double Entry"},'Form Details'!$N:$N,"Madhu",'Form Details'!$J:$J,$C996,'Form Details'!$D:$D,'Adv. Filter'!$A$14,'Form Details'!$D:$D,'Adv. Filter'!$B$14))</f>
        <v>0</v>
      </c>
      <c r="DZ996" s="238"/>
      <c r="EA996" s="238"/>
      <c r="EB996" s="238"/>
      <c r="EC996" s="238"/>
      <c r="ED996" s="238"/>
      <c r="EE996" s="239"/>
    </row>
    <row r="997" spans="3:135" hidden="1">
      <c r="C997" s="248" t="s">
        <v>121</v>
      </c>
      <c r="D997" s="249"/>
      <c r="E997" s="249"/>
      <c r="F997" s="249"/>
      <c r="G997" s="249"/>
      <c r="H997" s="249"/>
      <c r="I997" s="249"/>
      <c r="J997" s="249"/>
      <c r="K997" s="249"/>
      <c r="L997" s="249"/>
      <c r="M997" s="249"/>
      <c r="N997" s="249"/>
      <c r="O997" s="237">
        <f>SUM(COUNTIFS('Form Details'!$AA:$AA,{"Yes","No","-"},'Form Details'!$N:$N,"Madhu",'Form Details'!$J:$J,$C997,'Form Details'!$D:$D,'Adv. Filter'!$A$14,'Form Details'!$D:$D,'Adv. Filter'!$B$14))</f>
        <v>0</v>
      </c>
      <c r="P997" s="238"/>
      <c r="Q997" s="238"/>
      <c r="R997" s="238"/>
      <c r="S997" s="238"/>
      <c r="T997" s="238"/>
      <c r="U997" s="239"/>
      <c r="V997" s="100"/>
      <c r="W997" s="237">
        <f>COUNTIFS('Form Details'!$AA:$AA,"Yes",'Form Details'!$N:$N,"Madhu",'Form Details'!$J:$J,$C997,'Form Details'!$D:$D,'Adv. Filter'!$A$14,'Form Details'!$D:$D,'Adv. Filter'!$B$14)</f>
        <v>0</v>
      </c>
      <c r="X997" s="238"/>
      <c r="Y997" s="238"/>
      <c r="Z997" s="238"/>
      <c r="AA997" s="238"/>
      <c r="AB997" s="238"/>
      <c r="AC997" s="239"/>
      <c r="AD997" s="237">
        <f>COUNTIFS('Form Details'!$W:$W,"Paid",'Form Details'!$N:$N,"Madhu",'Form Details'!$J:$J,$C997,'Form Details'!$D:$D,'Adv. Filter'!$A$14,'Form Details'!$D:$D,'Adv. Filter'!$B$14)</f>
        <v>0</v>
      </c>
      <c r="AE997" s="238"/>
      <c r="AF997" s="238"/>
      <c r="AG997" s="238"/>
      <c r="AH997" s="238"/>
      <c r="AI997" s="238"/>
      <c r="AJ997" s="239"/>
      <c r="AK997" s="237">
        <f>COUNTIFS('Form Details'!$W:$W,"Due",'Form Details'!$N:$N,"Madhu",'Form Details'!$J:$J,$C997,'Form Details'!$D:$D,'Adv. Filter'!$A$14,'Form Details'!$D:$D,'Adv. Filter'!$B$14)</f>
        <v>0</v>
      </c>
      <c r="AL997" s="238"/>
      <c r="AM997" s="238"/>
      <c r="AN997" s="238"/>
      <c r="AO997" s="238"/>
      <c r="AP997" s="238"/>
      <c r="AQ997" s="239"/>
      <c r="AR997" s="237">
        <f>COUNTIFS('Form Details'!$W:$W,"No Fee",'Form Details'!$N:$N,"Madhu",'Form Details'!$J:$J,$C997,'Form Details'!$D:$D,'Adv. Filter'!$A$14,'Form Details'!$D:$D,'Adv. Filter'!$B$14)</f>
        <v>0</v>
      </c>
      <c r="AS997" s="238"/>
      <c r="AT997" s="238"/>
      <c r="AU997" s="238"/>
      <c r="AV997" s="238"/>
      <c r="AW997" s="238"/>
      <c r="AX997" s="239"/>
      <c r="AY997" s="237">
        <f>COUNTIFS('Form Details'!$W:$W,"Paid/Reject",'Form Details'!$N:$N,"Madhu",'Form Details'!$J:$J,$C997,'Form Details'!$D:$D,'Adv. Filter'!$A$14,'Form Details'!$D:$D,'Adv. Filter'!$B$14)</f>
        <v>0</v>
      </c>
      <c r="AZ997" s="238"/>
      <c r="BA997" s="238"/>
      <c r="BB997" s="238"/>
      <c r="BC997" s="238"/>
      <c r="BD997" s="238"/>
      <c r="BE997" s="239"/>
      <c r="BF997" s="237">
        <f>COUNTIFS('Form Details'!$W:$W,"Staff",'Form Details'!$N:$N,"Madhu",'Form Details'!$J:$J,$C997,'Form Details'!$D:$D,'Adv. Filter'!$A$14,'Form Details'!$D:$D,'Adv. Filter'!$B$14)</f>
        <v>0</v>
      </c>
      <c r="BG997" s="238"/>
      <c r="BH997" s="238"/>
      <c r="BI997" s="238"/>
      <c r="BJ997" s="238"/>
      <c r="BK997" s="238"/>
      <c r="BL997" s="239"/>
      <c r="BM997" s="237">
        <f>COUNTIFS('Form Details'!$W:$W,"File in Office",'Form Details'!$N:$N,"Madhu",'Form Details'!$J:$J,$C997,'Form Details'!$D:$D,'Adv. Filter'!$A$14,'Form Details'!$D:$D,'Adv. Filter'!$B$14)</f>
        <v>0</v>
      </c>
      <c r="BN997" s="238"/>
      <c r="BO997" s="238"/>
      <c r="BP997" s="238"/>
      <c r="BQ997" s="238"/>
      <c r="BR997" s="238"/>
      <c r="BS997" s="239"/>
      <c r="BT997" s="100"/>
      <c r="BU997" s="237">
        <f>COUNTIFS('Form Details'!$AA:$AA,"No",'Form Details'!$N:$N,"Madhu",'Form Details'!$J:$J,$C997,'Form Details'!$D:$D,'Adv. Filter'!$A$14,'Form Details'!$D:$D,'Adv. Filter'!$B$14)</f>
        <v>0</v>
      </c>
      <c r="BV997" s="238"/>
      <c r="BW997" s="238"/>
      <c r="BX997" s="238"/>
      <c r="BY997" s="238"/>
      <c r="BZ997" s="238"/>
      <c r="CA997" s="239"/>
      <c r="CB997" s="237">
        <f>COUNTIFS('Form Details'!$W:$W,"Adv/Paid",'Form Details'!$N:$N,"Madhu",'Form Details'!$J:$J,$C997,'Form Details'!$D:$D,'Adv. Filter'!$A$14,'Form Details'!$D:$D,'Adv. Filter'!$B$14)</f>
        <v>0</v>
      </c>
      <c r="CC997" s="238"/>
      <c r="CD997" s="238"/>
      <c r="CE997" s="238"/>
      <c r="CF997" s="238"/>
      <c r="CG997" s="238"/>
      <c r="CH997" s="239"/>
      <c r="CI997" s="237">
        <f>COUNTIFS('Form Details'!$W:$W,"Adv/Paid/Reject",'Form Details'!$N:$N,"Madhu",'Form Details'!$J:$J,$C997,'Form Details'!$D:$D,'Adv. Filter'!$A$14,'Form Details'!$D:$D,'Adv. Filter'!$B$14)</f>
        <v>0</v>
      </c>
      <c r="CJ997" s="238"/>
      <c r="CK997" s="238"/>
      <c r="CL997" s="238"/>
      <c r="CM997" s="238"/>
      <c r="CN997" s="238"/>
      <c r="CO997" s="239"/>
      <c r="CP997" s="237">
        <f>COUNTIFS('Form Details'!$W:$W,"Reject",'Form Details'!$N:$N,"Madhu",'Form Details'!$J:$J,$C997,'Form Details'!$D:$D,'Adv. Filter'!$A$14,'Form Details'!$D:$D,'Adv. Filter'!$B$14)</f>
        <v>0</v>
      </c>
      <c r="CQ997" s="238"/>
      <c r="CR997" s="238"/>
      <c r="CS997" s="238"/>
      <c r="CT997" s="238"/>
      <c r="CU997" s="238"/>
      <c r="CV997" s="239"/>
      <c r="CW997" s="237">
        <f>COUNTIFS('Form Details'!$W:$W,"Adv/Paid/Pending",'Form Details'!$N:$N,"Madhu",'Form Details'!$J:$J,$C997,'Form Details'!$D:$D,'Adv. Filter'!$A$14,'Form Details'!$D:$D,'Adv. Filter'!$B$14)</f>
        <v>0</v>
      </c>
      <c r="CX997" s="238"/>
      <c r="CY997" s="238"/>
      <c r="CZ997" s="238"/>
      <c r="DA997" s="238"/>
      <c r="DB997" s="238"/>
      <c r="DC997" s="239"/>
      <c r="DD997" s="237">
        <f>COUNTIFS('Form Details'!$W:$W,"Pending",'Form Details'!$N:$N,"Madhu",'Form Details'!$J:$J,$C997,'Form Details'!$D:$D,'Adv. Filter'!$A$14,'Form Details'!$D:$D,'Adv. Filter'!$B$14)</f>
        <v>0</v>
      </c>
      <c r="DE997" s="238"/>
      <c r="DF997" s="238"/>
      <c r="DG997" s="238"/>
      <c r="DH997" s="238"/>
      <c r="DI997" s="238"/>
      <c r="DJ997" s="239"/>
      <c r="DK997" s="237">
        <f>COUNTIFS('Form Details'!$W:$W,"Adv/Paid/NoStatus",'Form Details'!$N:$N,"Madhu",'Form Details'!$J:$J,$C997,'Form Details'!$D:$D,'Adv. Filter'!$A$14,'Form Details'!$D:$D,'Adv. Filter'!$B$14)</f>
        <v>0</v>
      </c>
      <c r="DL997" s="238"/>
      <c r="DM997" s="238"/>
      <c r="DN997" s="238"/>
      <c r="DO997" s="238"/>
      <c r="DP997" s="238"/>
      <c r="DQ997" s="239"/>
      <c r="DR997" s="237">
        <f>COUNTIFS('Form Details'!$W:$W,"No Status",'Form Details'!$N:$N,"Madhu",'Form Details'!$J:$J,$C997,'Form Details'!$D:$D,'Adv. Filter'!$A$14,'Form Details'!$D:$D,'Adv. Filter'!$B$14)</f>
        <v>0</v>
      </c>
      <c r="DS997" s="238"/>
      <c r="DT997" s="238"/>
      <c r="DU997" s="238"/>
      <c r="DV997" s="238"/>
      <c r="DW997" s="238"/>
      <c r="DX997" s="239"/>
      <c r="DY997" s="237">
        <f>SUM(COUNTIFS('Form Details'!$W:$W,{"Wrong Entry ","Double Entry"},'Form Details'!$N:$N,"Madhu",'Form Details'!$J:$J,$C997,'Form Details'!$D:$D,'Adv. Filter'!$A$14,'Form Details'!$D:$D,'Adv. Filter'!$B$14))</f>
        <v>0</v>
      </c>
      <c r="DZ997" s="238"/>
      <c r="EA997" s="238"/>
      <c r="EB997" s="238"/>
      <c r="EC997" s="238"/>
      <c r="ED997" s="238"/>
      <c r="EE997" s="239"/>
    </row>
    <row r="998" spans="3:135" hidden="1">
      <c r="C998" s="248" t="s">
        <v>111</v>
      </c>
      <c r="D998" s="249"/>
      <c r="E998" s="249"/>
      <c r="F998" s="249"/>
      <c r="G998" s="249"/>
      <c r="H998" s="249"/>
      <c r="I998" s="249"/>
      <c r="J998" s="249"/>
      <c r="K998" s="249"/>
      <c r="L998" s="249"/>
      <c r="M998" s="249"/>
      <c r="N998" s="249"/>
      <c r="O998" s="237">
        <f>SUM(COUNTIFS('Form Details'!$AA:$AA,{"Yes","No","-"},'Form Details'!$N:$N,"Madhu",'Form Details'!$J:$J,$C998,'Form Details'!$D:$D,'Adv. Filter'!$A$14,'Form Details'!$D:$D,'Adv. Filter'!$B$14))</f>
        <v>0</v>
      </c>
      <c r="P998" s="238"/>
      <c r="Q998" s="238"/>
      <c r="R998" s="238"/>
      <c r="S998" s="238"/>
      <c r="T998" s="238"/>
      <c r="U998" s="239"/>
      <c r="V998" s="100"/>
      <c r="W998" s="237">
        <f>COUNTIFS('Form Details'!$AA:$AA,"Yes",'Form Details'!$N:$N,"Madhu",'Form Details'!$J:$J,$C998,'Form Details'!$D:$D,'Adv. Filter'!$A$14,'Form Details'!$D:$D,'Adv. Filter'!$B$14)</f>
        <v>0</v>
      </c>
      <c r="X998" s="238"/>
      <c r="Y998" s="238"/>
      <c r="Z998" s="238"/>
      <c r="AA998" s="238"/>
      <c r="AB998" s="238"/>
      <c r="AC998" s="239"/>
      <c r="AD998" s="237">
        <f>COUNTIFS('Form Details'!$W:$W,"Paid",'Form Details'!$N:$N,"Madhu",'Form Details'!$J:$J,$C998,'Form Details'!$D:$D,'Adv. Filter'!$A$14,'Form Details'!$D:$D,'Adv. Filter'!$B$14)</f>
        <v>0</v>
      </c>
      <c r="AE998" s="238"/>
      <c r="AF998" s="238"/>
      <c r="AG998" s="238"/>
      <c r="AH998" s="238"/>
      <c r="AI998" s="238"/>
      <c r="AJ998" s="239"/>
      <c r="AK998" s="237">
        <f>COUNTIFS('Form Details'!$W:$W,"Due",'Form Details'!$N:$N,"Madhu",'Form Details'!$J:$J,$C998,'Form Details'!$D:$D,'Adv. Filter'!$A$14,'Form Details'!$D:$D,'Adv. Filter'!$B$14)</f>
        <v>0</v>
      </c>
      <c r="AL998" s="238"/>
      <c r="AM998" s="238"/>
      <c r="AN998" s="238"/>
      <c r="AO998" s="238"/>
      <c r="AP998" s="238"/>
      <c r="AQ998" s="239"/>
      <c r="AR998" s="237">
        <f>COUNTIFS('Form Details'!$W:$W,"No Fee",'Form Details'!$N:$N,"Madhu",'Form Details'!$J:$J,$C998,'Form Details'!$D:$D,'Adv. Filter'!$A$14,'Form Details'!$D:$D,'Adv. Filter'!$B$14)</f>
        <v>0</v>
      </c>
      <c r="AS998" s="238"/>
      <c r="AT998" s="238"/>
      <c r="AU998" s="238"/>
      <c r="AV998" s="238"/>
      <c r="AW998" s="238"/>
      <c r="AX998" s="239"/>
      <c r="AY998" s="237">
        <f>COUNTIFS('Form Details'!$W:$W,"Paid/Reject",'Form Details'!$N:$N,"Madhu",'Form Details'!$J:$J,$C998,'Form Details'!$D:$D,'Adv. Filter'!$A$14,'Form Details'!$D:$D,'Adv. Filter'!$B$14)</f>
        <v>0</v>
      </c>
      <c r="AZ998" s="238"/>
      <c r="BA998" s="238"/>
      <c r="BB998" s="238"/>
      <c r="BC998" s="238"/>
      <c r="BD998" s="238"/>
      <c r="BE998" s="239"/>
      <c r="BF998" s="237">
        <f>COUNTIFS('Form Details'!$W:$W,"Staff",'Form Details'!$N:$N,"Madhu",'Form Details'!$J:$J,$C998,'Form Details'!$D:$D,'Adv. Filter'!$A$14,'Form Details'!$D:$D,'Adv. Filter'!$B$14)</f>
        <v>0</v>
      </c>
      <c r="BG998" s="238"/>
      <c r="BH998" s="238"/>
      <c r="BI998" s="238"/>
      <c r="BJ998" s="238"/>
      <c r="BK998" s="238"/>
      <c r="BL998" s="239"/>
      <c r="BM998" s="237">
        <f>COUNTIFS('Form Details'!$W:$W,"File in Office",'Form Details'!$N:$N,"Madhu",'Form Details'!$J:$J,$C998,'Form Details'!$D:$D,'Adv. Filter'!$A$14,'Form Details'!$D:$D,'Adv. Filter'!$B$14)</f>
        <v>0</v>
      </c>
      <c r="BN998" s="238"/>
      <c r="BO998" s="238"/>
      <c r="BP998" s="238"/>
      <c r="BQ998" s="238"/>
      <c r="BR998" s="238"/>
      <c r="BS998" s="239"/>
      <c r="BT998" s="100"/>
      <c r="BU998" s="237">
        <f>COUNTIFS('Form Details'!$AA:$AA,"No",'Form Details'!$N:$N,"Madhu",'Form Details'!$J:$J,$C998,'Form Details'!$D:$D,'Adv. Filter'!$A$14,'Form Details'!$D:$D,'Adv. Filter'!$B$14)</f>
        <v>0</v>
      </c>
      <c r="BV998" s="238"/>
      <c r="BW998" s="238"/>
      <c r="BX998" s="238"/>
      <c r="BY998" s="238"/>
      <c r="BZ998" s="238"/>
      <c r="CA998" s="239"/>
      <c r="CB998" s="237">
        <f>COUNTIFS('Form Details'!$W:$W,"Adv/Paid",'Form Details'!$N:$N,"Madhu",'Form Details'!$J:$J,$C998,'Form Details'!$D:$D,'Adv. Filter'!$A$14,'Form Details'!$D:$D,'Adv. Filter'!$B$14)</f>
        <v>0</v>
      </c>
      <c r="CC998" s="238"/>
      <c r="CD998" s="238"/>
      <c r="CE998" s="238"/>
      <c r="CF998" s="238"/>
      <c r="CG998" s="238"/>
      <c r="CH998" s="239"/>
      <c r="CI998" s="237">
        <f>COUNTIFS('Form Details'!$W:$W,"Adv/Paid/Reject",'Form Details'!$N:$N,"Madhu",'Form Details'!$J:$J,$C998,'Form Details'!$D:$D,'Adv. Filter'!$A$14,'Form Details'!$D:$D,'Adv. Filter'!$B$14)</f>
        <v>0</v>
      </c>
      <c r="CJ998" s="238"/>
      <c r="CK998" s="238"/>
      <c r="CL998" s="238"/>
      <c r="CM998" s="238"/>
      <c r="CN998" s="238"/>
      <c r="CO998" s="239"/>
      <c r="CP998" s="237">
        <f>COUNTIFS('Form Details'!$W:$W,"Reject",'Form Details'!$N:$N,"Madhu",'Form Details'!$J:$J,$C998,'Form Details'!$D:$D,'Adv. Filter'!$A$14,'Form Details'!$D:$D,'Adv. Filter'!$B$14)</f>
        <v>0</v>
      </c>
      <c r="CQ998" s="238"/>
      <c r="CR998" s="238"/>
      <c r="CS998" s="238"/>
      <c r="CT998" s="238"/>
      <c r="CU998" s="238"/>
      <c r="CV998" s="239"/>
      <c r="CW998" s="237">
        <f>COUNTIFS('Form Details'!$W:$W,"Adv/Paid/Pending",'Form Details'!$N:$N,"Madhu",'Form Details'!$J:$J,$C998,'Form Details'!$D:$D,'Adv. Filter'!$A$14,'Form Details'!$D:$D,'Adv. Filter'!$B$14)</f>
        <v>0</v>
      </c>
      <c r="CX998" s="238"/>
      <c r="CY998" s="238"/>
      <c r="CZ998" s="238"/>
      <c r="DA998" s="238"/>
      <c r="DB998" s="238"/>
      <c r="DC998" s="239"/>
      <c r="DD998" s="237">
        <f>COUNTIFS('Form Details'!$W:$W,"Pending",'Form Details'!$N:$N,"Madhu",'Form Details'!$J:$J,$C998,'Form Details'!$D:$D,'Adv. Filter'!$A$14,'Form Details'!$D:$D,'Adv. Filter'!$B$14)</f>
        <v>0</v>
      </c>
      <c r="DE998" s="238"/>
      <c r="DF998" s="238"/>
      <c r="DG998" s="238"/>
      <c r="DH998" s="238"/>
      <c r="DI998" s="238"/>
      <c r="DJ998" s="239"/>
      <c r="DK998" s="237">
        <f>COUNTIFS('Form Details'!$W:$W,"Adv/Paid/NoStatus",'Form Details'!$N:$N,"Madhu",'Form Details'!$J:$J,$C998,'Form Details'!$D:$D,'Adv. Filter'!$A$14,'Form Details'!$D:$D,'Adv. Filter'!$B$14)</f>
        <v>0</v>
      </c>
      <c r="DL998" s="238"/>
      <c r="DM998" s="238"/>
      <c r="DN998" s="238"/>
      <c r="DO998" s="238"/>
      <c r="DP998" s="238"/>
      <c r="DQ998" s="239"/>
      <c r="DR998" s="237">
        <f>COUNTIFS('Form Details'!$W:$W,"No Status",'Form Details'!$N:$N,"Madhu",'Form Details'!$J:$J,$C998,'Form Details'!$D:$D,'Adv. Filter'!$A$14,'Form Details'!$D:$D,'Adv. Filter'!$B$14)</f>
        <v>0</v>
      </c>
      <c r="DS998" s="238"/>
      <c r="DT998" s="238"/>
      <c r="DU998" s="238"/>
      <c r="DV998" s="238"/>
      <c r="DW998" s="238"/>
      <c r="DX998" s="239"/>
      <c r="DY998" s="237">
        <f>SUM(COUNTIFS('Form Details'!$W:$W,{"Wrong Entry ","Double Entry"},'Form Details'!$N:$N,"Madhu",'Form Details'!$J:$J,$C998,'Form Details'!$D:$D,'Adv. Filter'!$A$14,'Form Details'!$D:$D,'Adv. Filter'!$B$14))</f>
        <v>0</v>
      </c>
      <c r="DZ998" s="238"/>
      <c r="EA998" s="238"/>
      <c r="EB998" s="238"/>
      <c r="EC998" s="238"/>
      <c r="ED998" s="238"/>
      <c r="EE998" s="239"/>
    </row>
    <row r="999" spans="3:135" ht="15" hidden="1" customHeight="1">
      <c r="C999" s="248" t="s">
        <v>116</v>
      </c>
      <c r="D999" s="249"/>
      <c r="E999" s="249"/>
      <c r="F999" s="249"/>
      <c r="G999" s="249"/>
      <c r="H999" s="249"/>
      <c r="I999" s="249"/>
      <c r="J999" s="249"/>
      <c r="K999" s="249"/>
      <c r="L999" s="249"/>
      <c r="M999" s="249"/>
      <c r="N999" s="249"/>
      <c r="O999" s="237">
        <f>SUM(COUNTIFS('Form Details'!$AA:$AA,{"Yes","No","-"},'Form Details'!$N:$N,"Madhu",'Form Details'!$J:$J,$C999,'Form Details'!$D:$D,'Adv. Filter'!$A$14,'Form Details'!$D:$D,'Adv. Filter'!$B$14))</f>
        <v>0</v>
      </c>
      <c r="P999" s="238"/>
      <c r="Q999" s="238"/>
      <c r="R999" s="238"/>
      <c r="S999" s="238"/>
      <c r="T999" s="238"/>
      <c r="U999" s="239"/>
      <c r="V999" s="100"/>
      <c r="W999" s="237">
        <f>COUNTIFS('Form Details'!$AA:$AA,"Yes",'Form Details'!$N:$N,"Madhu",'Form Details'!$J:$J,$C999,'Form Details'!$D:$D,'Adv. Filter'!$A$14,'Form Details'!$D:$D,'Adv. Filter'!$B$14)</f>
        <v>0</v>
      </c>
      <c r="X999" s="238"/>
      <c r="Y999" s="238"/>
      <c r="Z999" s="238"/>
      <c r="AA999" s="238"/>
      <c r="AB999" s="238"/>
      <c r="AC999" s="239"/>
      <c r="AD999" s="237">
        <f>COUNTIFS('Form Details'!$W:$W,"Paid",'Form Details'!$N:$N,"Madhu",'Form Details'!$J:$J,$C999,'Form Details'!$D:$D,'Adv. Filter'!$A$14,'Form Details'!$D:$D,'Adv. Filter'!$B$14)</f>
        <v>0</v>
      </c>
      <c r="AE999" s="238"/>
      <c r="AF999" s="238"/>
      <c r="AG999" s="238"/>
      <c r="AH999" s="238"/>
      <c r="AI999" s="238"/>
      <c r="AJ999" s="239"/>
      <c r="AK999" s="237">
        <f>COUNTIFS('Form Details'!$W:$W,"Due",'Form Details'!$N:$N,"Madhu",'Form Details'!$J:$J,$C999,'Form Details'!$D:$D,'Adv. Filter'!$A$14,'Form Details'!$D:$D,'Adv. Filter'!$B$14)</f>
        <v>0</v>
      </c>
      <c r="AL999" s="238"/>
      <c r="AM999" s="238"/>
      <c r="AN999" s="238"/>
      <c r="AO999" s="238"/>
      <c r="AP999" s="238"/>
      <c r="AQ999" s="239"/>
      <c r="AR999" s="237">
        <f>COUNTIFS('Form Details'!$W:$W,"No Fee",'Form Details'!$N:$N,"Madhu",'Form Details'!$J:$J,$C999,'Form Details'!$D:$D,'Adv. Filter'!$A$14,'Form Details'!$D:$D,'Adv. Filter'!$B$14)</f>
        <v>0</v>
      </c>
      <c r="AS999" s="238"/>
      <c r="AT999" s="238"/>
      <c r="AU999" s="238"/>
      <c r="AV999" s="238"/>
      <c r="AW999" s="238"/>
      <c r="AX999" s="239"/>
      <c r="AY999" s="237">
        <f>COUNTIFS('Form Details'!$W:$W,"Paid/Reject",'Form Details'!$N:$N,"Madhu",'Form Details'!$J:$J,$C999,'Form Details'!$D:$D,'Adv. Filter'!$A$14,'Form Details'!$D:$D,'Adv. Filter'!$B$14)</f>
        <v>0</v>
      </c>
      <c r="AZ999" s="238"/>
      <c r="BA999" s="238"/>
      <c r="BB999" s="238"/>
      <c r="BC999" s="238"/>
      <c r="BD999" s="238"/>
      <c r="BE999" s="239"/>
      <c r="BF999" s="237">
        <f>COUNTIFS('Form Details'!$W:$W,"Staff",'Form Details'!$N:$N,"Madhu",'Form Details'!$J:$J,$C999,'Form Details'!$D:$D,'Adv. Filter'!$A$14,'Form Details'!$D:$D,'Adv. Filter'!$B$14)</f>
        <v>0</v>
      </c>
      <c r="BG999" s="238"/>
      <c r="BH999" s="238"/>
      <c r="BI999" s="238"/>
      <c r="BJ999" s="238"/>
      <c r="BK999" s="238"/>
      <c r="BL999" s="239"/>
      <c r="BM999" s="237">
        <f>COUNTIFS('Form Details'!$W:$W,"File in Office",'Form Details'!$N:$N,"Madhu",'Form Details'!$J:$J,$C999,'Form Details'!$D:$D,'Adv. Filter'!$A$14,'Form Details'!$D:$D,'Adv. Filter'!$B$14)</f>
        <v>0</v>
      </c>
      <c r="BN999" s="238"/>
      <c r="BO999" s="238"/>
      <c r="BP999" s="238"/>
      <c r="BQ999" s="238"/>
      <c r="BR999" s="238"/>
      <c r="BS999" s="239"/>
      <c r="BT999" s="100"/>
      <c r="BU999" s="237">
        <f>COUNTIFS('Form Details'!$AA:$AA,"No",'Form Details'!$N:$N,"Madhu",'Form Details'!$J:$J,$C999,'Form Details'!$D:$D,'Adv. Filter'!$A$14,'Form Details'!$D:$D,'Adv. Filter'!$B$14)</f>
        <v>0</v>
      </c>
      <c r="BV999" s="238"/>
      <c r="BW999" s="238"/>
      <c r="BX999" s="238"/>
      <c r="BY999" s="238"/>
      <c r="BZ999" s="238"/>
      <c r="CA999" s="239"/>
      <c r="CB999" s="237">
        <f>COUNTIFS('Form Details'!$W:$W,"Adv/Paid",'Form Details'!$N:$N,"Madhu",'Form Details'!$J:$J,$C999,'Form Details'!$D:$D,'Adv. Filter'!$A$14,'Form Details'!$D:$D,'Adv. Filter'!$B$14)</f>
        <v>0</v>
      </c>
      <c r="CC999" s="238"/>
      <c r="CD999" s="238"/>
      <c r="CE999" s="238"/>
      <c r="CF999" s="238"/>
      <c r="CG999" s="238"/>
      <c r="CH999" s="239"/>
      <c r="CI999" s="237">
        <f>COUNTIFS('Form Details'!$W:$W,"Adv/Paid/Reject",'Form Details'!$N:$N,"Madhu",'Form Details'!$J:$J,$C999,'Form Details'!$D:$D,'Adv. Filter'!$A$14,'Form Details'!$D:$D,'Adv. Filter'!$B$14)</f>
        <v>0</v>
      </c>
      <c r="CJ999" s="238"/>
      <c r="CK999" s="238"/>
      <c r="CL999" s="238"/>
      <c r="CM999" s="238"/>
      <c r="CN999" s="238"/>
      <c r="CO999" s="239"/>
      <c r="CP999" s="237">
        <f>COUNTIFS('Form Details'!$W:$W,"Reject",'Form Details'!$N:$N,"Madhu",'Form Details'!$J:$J,$C999,'Form Details'!$D:$D,'Adv. Filter'!$A$14,'Form Details'!$D:$D,'Adv. Filter'!$B$14)</f>
        <v>0</v>
      </c>
      <c r="CQ999" s="238"/>
      <c r="CR999" s="238"/>
      <c r="CS999" s="238"/>
      <c r="CT999" s="238"/>
      <c r="CU999" s="238"/>
      <c r="CV999" s="239"/>
      <c r="CW999" s="237">
        <f>COUNTIFS('Form Details'!$W:$W,"Adv/Paid/Pending",'Form Details'!$N:$N,"Madhu",'Form Details'!$J:$J,$C999,'Form Details'!$D:$D,'Adv. Filter'!$A$14,'Form Details'!$D:$D,'Adv. Filter'!$B$14)</f>
        <v>0</v>
      </c>
      <c r="CX999" s="238"/>
      <c r="CY999" s="238"/>
      <c r="CZ999" s="238"/>
      <c r="DA999" s="238"/>
      <c r="DB999" s="238"/>
      <c r="DC999" s="239"/>
      <c r="DD999" s="237">
        <f>COUNTIFS('Form Details'!$W:$W,"Pending",'Form Details'!$N:$N,"Madhu",'Form Details'!$J:$J,$C999,'Form Details'!$D:$D,'Adv. Filter'!$A$14,'Form Details'!$D:$D,'Adv. Filter'!$B$14)</f>
        <v>0</v>
      </c>
      <c r="DE999" s="238"/>
      <c r="DF999" s="238"/>
      <c r="DG999" s="238"/>
      <c r="DH999" s="238"/>
      <c r="DI999" s="238"/>
      <c r="DJ999" s="239"/>
      <c r="DK999" s="237">
        <f>COUNTIFS('Form Details'!$W:$W,"Adv/Paid/NoStatus",'Form Details'!$N:$N,"Madhu",'Form Details'!$J:$J,$C999,'Form Details'!$D:$D,'Adv. Filter'!$A$14,'Form Details'!$D:$D,'Adv. Filter'!$B$14)</f>
        <v>0</v>
      </c>
      <c r="DL999" s="238"/>
      <c r="DM999" s="238"/>
      <c r="DN999" s="238"/>
      <c r="DO999" s="238"/>
      <c r="DP999" s="238"/>
      <c r="DQ999" s="239"/>
      <c r="DR999" s="237">
        <f>COUNTIFS('Form Details'!$W:$W,"No Status",'Form Details'!$N:$N,"Madhu",'Form Details'!$J:$J,$C999,'Form Details'!$D:$D,'Adv. Filter'!$A$14,'Form Details'!$D:$D,'Adv. Filter'!$B$14)</f>
        <v>0</v>
      </c>
      <c r="DS999" s="238"/>
      <c r="DT999" s="238"/>
      <c r="DU999" s="238"/>
      <c r="DV999" s="238"/>
      <c r="DW999" s="238"/>
      <c r="DX999" s="239"/>
      <c r="DY999" s="237">
        <f>SUM(COUNTIFS('Form Details'!$W:$W,{"Wrong Entry ","Double Entry"},'Form Details'!$N:$N,"Madhu",'Form Details'!$J:$J,$C999,'Form Details'!$D:$D,'Adv. Filter'!$A$14,'Form Details'!$D:$D,'Adv. Filter'!$B$14))</f>
        <v>0</v>
      </c>
      <c r="DZ999" s="238"/>
      <c r="EA999" s="238"/>
      <c r="EB999" s="238"/>
      <c r="EC999" s="238"/>
      <c r="ED999" s="238"/>
      <c r="EE999" s="239"/>
    </row>
    <row r="1000" spans="3:135" hidden="1">
      <c r="C1000" s="248" t="s">
        <v>119</v>
      </c>
      <c r="D1000" s="249"/>
      <c r="E1000" s="249"/>
      <c r="F1000" s="249"/>
      <c r="G1000" s="249"/>
      <c r="H1000" s="249"/>
      <c r="I1000" s="249"/>
      <c r="J1000" s="249"/>
      <c r="K1000" s="249"/>
      <c r="L1000" s="249"/>
      <c r="M1000" s="249"/>
      <c r="N1000" s="249"/>
      <c r="O1000" s="237">
        <f>SUM(COUNTIFS('Form Details'!$AA:$AA,{"Yes","No","-"},'Form Details'!$N:$N,"Madhu",'Form Details'!$J:$J,$C1000,'Form Details'!$D:$D,'Adv. Filter'!$A$14,'Form Details'!$D:$D,'Adv. Filter'!$B$14))</f>
        <v>0</v>
      </c>
      <c r="P1000" s="238"/>
      <c r="Q1000" s="238"/>
      <c r="R1000" s="238"/>
      <c r="S1000" s="238"/>
      <c r="T1000" s="238"/>
      <c r="U1000" s="239"/>
      <c r="V1000" s="100"/>
      <c r="W1000" s="237">
        <f>COUNTIFS('Form Details'!$AA:$AA,"Yes",'Form Details'!$N:$N,"Madhu",'Form Details'!$J:$J,$C1000,'Form Details'!$D:$D,'Adv. Filter'!$A$14,'Form Details'!$D:$D,'Adv. Filter'!$B$14)</f>
        <v>0</v>
      </c>
      <c r="X1000" s="238"/>
      <c r="Y1000" s="238"/>
      <c r="Z1000" s="238"/>
      <c r="AA1000" s="238"/>
      <c r="AB1000" s="238"/>
      <c r="AC1000" s="239"/>
      <c r="AD1000" s="237">
        <f>COUNTIFS('Form Details'!$W:$W,"Paid",'Form Details'!$N:$N,"Madhu",'Form Details'!$J:$J,$C1000,'Form Details'!$D:$D,'Adv. Filter'!$A$14,'Form Details'!$D:$D,'Adv. Filter'!$B$14)</f>
        <v>0</v>
      </c>
      <c r="AE1000" s="238"/>
      <c r="AF1000" s="238"/>
      <c r="AG1000" s="238"/>
      <c r="AH1000" s="238"/>
      <c r="AI1000" s="238"/>
      <c r="AJ1000" s="239"/>
      <c r="AK1000" s="237">
        <f>COUNTIFS('Form Details'!$W:$W,"Due",'Form Details'!$N:$N,"Madhu",'Form Details'!$J:$J,$C1000,'Form Details'!$D:$D,'Adv. Filter'!$A$14,'Form Details'!$D:$D,'Adv. Filter'!$B$14)</f>
        <v>0</v>
      </c>
      <c r="AL1000" s="238"/>
      <c r="AM1000" s="238"/>
      <c r="AN1000" s="238"/>
      <c r="AO1000" s="238"/>
      <c r="AP1000" s="238"/>
      <c r="AQ1000" s="239"/>
      <c r="AR1000" s="237">
        <f>COUNTIFS('Form Details'!$W:$W,"No Fee",'Form Details'!$N:$N,"Madhu",'Form Details'!$J:$J,$C1000,'Form Details'!$D:$D,'Adv. Filter'!$A$14,'Form Details'!$D:$D,'Adv. Filter'!$B$14)</f>
        <v>0</v>
      </c>
      <c r="AS1000" s="238"/>
      <c r="AT1000" s="238"/>
      <c r="AU1000" s="238"/>
      <c r="AV1000" s="238"/>
      <c r="AW1000" s="238"/>
      <c r="AX1000" s="239"/>
      <c r="AY1000" s="237">
        <f>COUNTIFS('Form Details'!$W:$W,"Paid/Reject",'Form Details'!$N:$N,"Madhu",'Form Details'!$J:$J,$C1000,'Form Details'!$D:$D,'Adv. Filter'!$A$14,'Form Details'!$D:$D,'Adv. Filter'!$B$14)</f>
        <v>0</v>
      </c>
      <c r="AZ1000" s="238"/>
      <c r="BA1000" s="238"/>
      <c r="BB1000" s="238"/>
      <c r="BC1000" s="238"/>
      <c r="BD1000" s="238"/>
      <c r="BE1000" s="239"/>
      <c r="BF1000" s="237">
        <f>COUNTIFS('Form Details'!$W:$W,"Staff",'Form Details'!$N:$N,"Madhu",'Form Details'!$J:$J,$C1000,'Form Details'!$D:$D,'Adv. Filter'!$A$14,'Form Details'!$D:$D,'Adv. Filter'!$B$14)</f>
        <v>0</v>
      </c>
      <c r="BG1000" s="238"/>
      <c r="BH1000" s="238"/>
      <c r="BI1000" s="238"/>
      <c r="BJ1000" s="238"/>
      <c r="BK1000" s="238"/>
      <c r="BL1000" s="239"/>
      <c r="BM1000" s="237">
        <f>COUNTIFS('Form Details'!$W:$W,"File in Office",'Form Details'!$N:$N,"Madhu",'Form Details'!$J:$J,$C1000,'Form Details'!$D:$D,'Adv. Filter'!$A$14,'Form Details'!$D:$D,'Adv. Filter'!$B$14)</f>
        <v>0</v>
      </c>
      <c r="BN1000" s="238"/>
      <c r="BO1000" s="238"/>
      <c r="BP1000" s="238"/>
      <c r="BQ1000" s="238"/>
      <c r="BR1000" s="238"/>
      <c r="BS1000" s="239"/>
      <c r="BT1000" s="100"/>
      <c r="BU1000" s="237">
        <f>COUNTIFS('Form Details'!$AA:$AA,"No",'Form Details'!$N:$N,"Madhu",'Form Details'!$J:$J,$C1000,'Form Details'!$D:$D,'Adv. Filter'!$A$14,'Form Details'!$D:$D,'Adv. Filter'!$B$14)</f>
        <v>0</v>
      </c>
      <c r="BV1000" s="238"/>
      <c r="BW1000" s="238"/>
      <c r="BX1000" s="238"/>
      <c r="BY1000" s="238"/>
      <c r="BZ1000" s="238"/>
      <c r="CA1000" s="239"/>
      <c r="CB1000" s="237">
        <f>COUNTIFS('Form Details'!$W:$W,"Adv/Paid",'Form Details'!$N:$N,"Madhu",'Form Details'!$J:$J,$C1000,'Form Details'!$D:$D,'Adv. Filter'!$A$14,'Form Details'!$D:$D,'Adv. Filter'!$B$14)</f>
        <v>0</v>
      </c>
      <c r="CC1000" s="238"/>
      <c r="CD1000" s="238"/>
      <c r="CE1000" s="238"/>
      <c r="CF1000" s="238"/>
      <c r="CG1000" s="238"/>
      <c r="CH1000" s="239"/>
      <c r="CI1000" s="237">
        <f>COUNTIFS('Form Details'!$W:$W,"Adv/Paid/Reject",'Form Details'!$N:$N,"Madhu",'Form Details'!$J:$J,$C1000,'Form Details'!$D:$D,'Adv. Filter'!$A$14,'Form Details'!$D:$D,'Adv. Filter'!$B$14)</f>
        <v>0</v>
      </c>
      <c r="CJ1000" s="238"/>
      <c r="CK1000" s="238"/>
      <c r="CL1000" s="238"/>
      <c r="CM1000" s="238"/>
      <c r="CN1000" s="238"/>
      <c r="CO1000" s="239"/>
      <c r="CP1000" s="237">
        <f>COUNTIFS('Form Details'!$W:$W,"Reject",'Form Details'!$N:$N,"Madhu",'Form Details'!$J:$J,$C1000,'Form Details'!$D:$D,'Adv. Filter'!$A$14,'Form Details'!$D:$D,'Adv. Filter'!$B$14)</f>
        <v>0</v>
      </c>
      <c r="CQ1000" s="238"/>
      <c r="CR1000" s="238"/>
      <c r="CS1000" s="238"/>
      <c r="CT1000" s="238"/>
      <c r="CU1000" s="238"/>
      <c r="CV1000" s="239"/>
      <c r="CW1000" s="237">
        <f>COUNTIFS('Form Details'!$W:$W,"Adv/Paid/Pending",'Form Details'!$N:$N,"Madhu",'Form Details'!$J:$J,$C1000,'Form Details'!$D:$D,'Adv. Filter'!$A$14,'Form Details'!$D:$D,'Adv. Filter'!$B$14)</f>
        <v>0</v>
      </c>
      <c r="CX1000" s="238"/>
      <c r="CY1000" s="238"/>
      <c r="CZ1000" s="238"/>
      <c r="DA1000" s="238"/>
      <c r="DB1000" s="238"/>
      <c r="DC1000" s="239"/>
      <c r="DD1000" s="237">
        <f>COUNTIFS('Form Details'!$W:$W,"Pending",'Form Details'!$N:$N,"Madhu",'Form Details'!$J:$J,$C1000,'Form Details'!$D:$D,'Adv. Filter'!$A$14,'Form Details'!$D:$D,'Adv. Filter'!$B$14)</f>
        <v>0</v>
      </c>
      <c r="DE1000" s="238"/>
      <c r="DF1000" s="238"/>
      <c r="DG1000" s="238"/>
      <c r="DH1000" s="238"/>
      <c r="DI1000" s="238"/>
      <c r="DJ1000" s="239"/>
      <c r="DK1000" s="237">
        <f>COUNTIFS('Form Details'!$W:$W,"Adv/Paid/NoStatus",'Form Details'!$N:$N,"Madhu",'Form Details'!$J:$J,$C1000,'Form Details'!$D:$D,'Adv. Filter'!$A$14,'Form Details'!$D:$D,'Adv. Filter'!$B$14)</f>
        <v>0</v>
      </c>
      <c r="DL1000" s="238"/>
      <c r="DM1000" s="238"/>
      <c r="DN1000" s="238"/>
      <c r="DO1000" s="238"/>
      <c r="DP1000" s="238"/>
      <c r="DQ1000" s="239"/>
      <c r="DR1000" s="237">
        <f>COUNTIFS('Form Details'!$W:$W,"No Status",'Form Details'!$N:$N,"Madhu",'Form Details'!$J:$J,$C1000,'Form Details'!$D:$D,'Adv. Filter'!$A$14,'Form Details'!$D:$D,'Adv. Filter'!$B$14)</f>
        <v>0</v>
      </c>
      <c r="DS1000" s="238"/>
      <c r="DT1000" s="238"/>
      <c r="DU1000" s="238"/>
      <c r="DV1000" s="238"/>
      <c r="DW1000" s="238"/>
      <c r="DX1000" s="239"/>
      <c r="DY1000" s="237">
        <f>SUM(COUNTIFS('Form Details'!$W:$W,{"Wrong Entry ","Double Entry"},'Form Details'!$N:$N,"Madhu",'Form Details'!$J:$J,$C1000,'Form Details'!$D:$D,'Adv. Filter'!$A$14,'Form Details'!$D:$D,'Adv. Filter'!$B$14))</f>
        <v>0</v>
      </c>
      <c r="DZ1000" s="238"/>
      <c r="EA1000" s="238"/>
      <c r="EB1000" s="238"/>
      <c r="EC1000" s="238"/>
      <c r="ED1000" s="238"/>
      <c r="EE1000" s="239"/>
    </row>
    <row r="1001" spans="3:135" hidden="1">
      <c r="C1001" s="248" t="s">
        <v>92</v>
      </c>
      <c r="D1001" s="249"/>
      <c r="E1001" s="249"/>
      <c r="F1001" s="249"/>
      <c r="G1001" s="249"/>
      <c r="H1001" s="249"/>
      <c r="I1001" s="249"/>
      <c r="J1001" s="249"/>
      <c r="K1001" s="249"/>
      <c r="L1001" s="249"/>
      <c r="M1001" s="249"/>
      <c r="N1001" s="249"/>
      <c r="O1001" s="237">
        <f>SUM(COUNTIFS('Form Details'!$AA:$AA,{"Yes","No","-"},'Form Details'!$N:$N,"Madhu",'Form Details'!$J:$J,$C1001,'Form Details'!$D:$D,'Adv. Filter'!$A$14,'Form Details'!$D:$D,'Adv. Filter'!$B$14))</f>
        <v>0</v>
      </c>
      <c r="P1001" s="238"/>
      <c r="Q1001" s="238"/>
      <c r="R1001" s="238"/>
      <c r="S1001" s="238"/>
      <c r="T1001" s="238"/>
      <c r="U1001" s="239"/>
      <c r="V1001" s="100"/>
      <c r="W1001" s="237">
        <f>COUNTIFS('Form Details'!$AA:$AA,"Yes",'Form Details'!$N:$N,"Madhu",'Form Details'!$J:$J,$C1001,'Form Details'!$D:$D,'Adv. Filter'!$A$14,'Form Details'!$D:$D,'Adv. Filter'!$B$14)</f>
        <v>0</v>
      </c>
      <c r="X1001" s="238"/>
      <c r="Y1001" s="238"/>
      <c r="Z1001" s="238"/>
      <c r="AA1001" s="238"/>
      <c r="AB1001" s="238"/>
      <c r="AC1001" s="239"/>
      <c r="AD1001" s="237">
        <f>COUNTIFS('Form Details'!$W:$W,"Paid",'Form Details'!$N:$N,"Madhu",'Form Details'!$J:$J,$C1001,'Form Details'!$D:$D,'Adv. Filter'!$A$14,'Form Details'!$D:$D,'Adv. Filter'!$B$14)</f>
        <v>0</v>
      </c>
      <c r="AE1001" s="238"/>
      <c r="AF1001" s="238"/>
      <c r="AG1001" s="238"/>
      <c r="AH1001" s="238"/>
      <c r="AI1001" s="238"/>
      <c r="AJ1001" s="239"/>
      <c r="AK1001" s="237">
        <f>COUNTIFS('Form Details'!$W:$W,"Due",'Form Details'!$N:$N,"Madhu",'Form Details'!$J:$J,$C1001,'Form Details'!$D:$D,'Adv. Filter'!$A$14,'Form Details'!$D:$D,'Adv. Filter'!$B$14)</f>
        <v>0</v>
      </c>
      <c r="AL1001" s="238"/>
      <c r="AM1001" s="238"/>
      <c r="AN1001" s="238"/>
      <c r="AO1001" s="238"/>
      <c r="AP1001" s="238"/>
      <c r="AQ1001" s="239"/>
      <c r="AR1001" s="237">
        <f>COUNTIFS('Form Details'!$W:$W,"No Fee",'Form Details'!$N:$N,"Madhu",'Form Details'!$J:$J,$C1001,'Form Details'!$D:$D,'Adv. Filter'!$A$14,'Form Details'!$D:$D,'Adv. Filter'!$B$14)</f>
        <v>0</v>
      </c>
      <c r="AS1001" s="238"/>
      <c r="AT1001" s="238"/>
      <c r="AU1001" s="238"/>
      <c r="AV1001" s="238"/>
      <c r="AW1001" s="238"/>
      <c r="AX1001" s="239"/>
      <c r="AY1001" s="237">
        <f>COUNTIFS('Form Details'!$W:$W,"Paid/Reject",'Form Details'!$N:$N,"Madhu",'Form Details'!$J:$J,$C1001,'Form Details'!$D:$D,'Adv. Filter'!$A$14,'Form Details'!$D:$D,'Adv. Filter'!$B$14)</f>
        <v>0</v>
      </c>
      <c r="AZ1001" s="238"/>
      <c r="BA1001" s="238"/>
      <c r="BB1001" s="238"/>
      <c r="BC1001" s="238"/>
      <c r="BD1001" s="238"/>
      <c r="BE1001" s="239"/>
      <c r="BF1001" s="237">
        <f>COUNTIFS('Form Details'!$W:$W,"Staff",'Form Details'!$N:$N,"Madhu",'Form Details'!$J:$J,$C1001,'Form Details'!$D:$D,'Adv. Filter'!$A$14,'Form Details'!$D:$D,'Adv. Filter'!$B$14)</f>
        <v>0</v>
      </c>
      <c r="BG1001" s="238"/>
      <c r="BH1001" s="238"/>
      <c r="BI1001" s="238"/>
      <c r="BJ1001" s="238"/>
      <c r="BK1001" s="238"/>
      <c r="BL1001" s="239"/>
      <c r="BM1001" s="237">
        <f>COUNTIFS('Form Details'!$W:$W,"File in Office",'Form Details'!$N:$N,"Madhu",'Form Details'!$J:$J,$C1001,'Form Details'!$D:$D,'Adv. Filter'!$A$14,'Form Details'!$D:$D,'Adv. Filter'!$B$14)</f>
        <v>0</v>
      </c>
      <c r="BN1001" s="238"/>
      <c r="BO1001" s="238"/>
      <c r="BP1001" s="238"/>
      <c r="BQ1001" s="238"/>
      <c r="BR1001" s="238"/>
      <c r="BS1001" s="239"/>
      <c r="BT1001" s="100"/>
      <c r="BU1001" s="237">
        <f>COUNTIFS('Form Details'!$AA:$AA,"No",'Form Details'!$N:$N,"Madhu",'Form Details'!$J:$J,$C1001,'Form Details'!$D:$D,'Adv. Filter'!$A$14,'Form Details'!$D:$D,'Adv. Filter'!$B$14)</f>
        <v>0</v>
      </c>
      <c r="BV1001" s="238"/>
      <c r="BW1001" s="238"/>
      <c r="BX1001" s="238"/>
      <c r="BY1001" s="238"/>
      <c r="BZ1001" s="238"/>
      <c r="CA1001" s="239"/>
      <c r="CB1001" s="237">
        <f>COUNTIFS('Form Details'!$W:$W,"Adv/Paid",'Form Details'!$N:$N,"Madhu",'Form Details'!$J:$J,$C1001,'Form Details'!$D:$D,'Adv. Filter'!$A$14,'Form Details'!$D:$D,'Adv. Filter'!$B$14)</f>
        <v>0</v>
      </c>
      <c r="CC1001" s="238"/>
      <c r="CD1001" s="238"/>
      <c r="CE1001" s="238"/>
      <c r="CF1001" s="238"/>
      <c r="CG1001" s="238"/>
      <c r="CH1001" s="239"/>
      <c r="CI1001" s="237">
        <f>COUNTIFS('Form Details'!$W:$W,"Adv/Paid/Reject",'Form Details'!$N:$N,"Madhu",'Form Details'!$J:$J,$C1001,'Form Details'!$D:$D,'Adv. Filter'!$A$14,'Form Details'!$D:$D,'Adv. Filter'!$B$14)</f>
        <v>0</v>
      </c>
      <c r="CJ1001" s="238"/>
      <c r="CK1001" s="238"/>
      <c r="CL1001" s="238"/>
      <c r="CM1001" s="238"/>
      <c r="CN1001" s="238"/>
      <c r="CO1001" s="239"/>
      <c r="CP1001" s="237">
        <f>COUNTIFS('Form Details'!$W:$W,"Reject",'Form Details'!$N:$N,"Madhu",'Form Details'!$J:$J,$C1001,'Form Details'!$D:$D,'Adv. Filter'!$A$14,'Form Details'!$D:$D,'Adv. Filter'!$B$14)</f>
        <v>0</v>
      </c>
      <c r="CQ1001" s="238"/>
      <c r="CR1001" s="238"/>
      <c r="CS1001" s="238"/>
      <c r="CT1001" s="238"/>
      <c r="CU1001" s="238"/>
      <c r="CV1001" s="239"/>
      <c r="CW1001" s="237">
        <f>COUNTIFS('Form Details'!$W:$W,"Adv/Paid/Pending",'Form Details'!$N:$N,"Madhu",'Form Details'!$J:$J,$C1001,'Form Details'!$D:$D,'Adv. Filter'!$A$14,'Form Details'!$D:$D,'Adv. Filter'!$B$14)</f>
        <v>0</v>
      </c>
      <c r="CX1001" s="238"/>
      <c r="CY1001" s="238"/>
      <c r="CZ1001" s="238"/>
      <c r="DA1001" s="238"/>
      <c r="DB1001" s="238"/>
      <c r="DC1001" s="239"/>
      <c r="DD1001" s="237">
        <f>COUNTIFS('Form Details'!$W:$W,"Pending",'Form Details'!$N:$N,"Madhu",'Form Details'!$J:$J,$C1001,'Form Details'!$D:$D,'Adv. Filter'!$A$14,'Form Details'!$D:$D,'Adv. Filter'!$B$14)</f>
        <v>0</v>
      </c>
      <c r="DE1001" s="238"/>
      <c r="DF1001" s="238"/>
      <c r="DG1001" s="238"/>
      <c r="DH1001" s="238"/>
      <c r="DI1001" s="238"/>
      <c r="DJ1001" s="239"/>
      <c r="DK1001" s="237">
        <f>COUNTIFS('Form Details'!$W:$W,"Adv/Paid/NoStatus",'Form Details'!$N:$N,"Madhu",'Form Details'!$J:$J,$C1001,'Form Details'!$D:$D,'Adv. Filter'!$A$14,'Form Details'!$D:$D,'Adv. Filter'!$B$14)</f>
        <v>0</v>
      </c>
      <c r="DL1001" s="238"/>
      <c r="DM1001" s="238"/>
      <c r="DN1001" s="238"/>
      <c r="DO1001" s="238"/>
      <c r="DP1001" s="238"/>
      <c r="DQ1001" s="239"/>
      <c r="DR1001" s="237">
        <f>COUNTIFS('Form Details'!$W:$W,"No Status",'Form Details'!$N:$N,"Madhu",'Form Details'!$J:$J,$C1001,'Form Details'!$D:$D,'Adv. Filter'!$A$14,'Form Details'!$D:$D,'Adv. Filter'!$B$14)</f>
        <v>0</v>
      </c>
      <c r="DS1001" s="238"/>
      <c r="DT1001" s="238"/>
      <c r="DU1001" s="238"/>
      <c r="DV1001" s="238"/>
      <c r="DW1001" s="238"/>
      <c r="DX1001" s="239"/>
      <c r="DY1001" s="237">
        <f>SUM(COUNTIFS('Form Details'!$W:$W,{"Wrong Entry ","Double Entry"},'Form Details'!$N:$N,"Madhu",'Form Details'!$J:$J,$C1001,'Form Details'!$D:$D,'Adv. Filter'!$A$14,'Form Details'!$D:$D,'Adv. Filter'!$B$14))</f>
        <v>0</v>
      </c>
      <c r="DZ1001" s="238"/>
      <c r="EA1001" s="238"/>
      <c r="EB1001" s="238"/>
      <c r="EC1001" s="238"/>
      <c r="ED1001" s="238"/>
      <c r="EE1001" s="239"/>
    </row>
    <row r="1002" spans="3:135" hidden="1">
      <c r="C1002" s="248" t="s">
        <v>97</v>
      </c>
      <c r="D1002" s="249"/>
      <c r="E1002" s="249"/>
      <c r="F1002" s="249"/>
      <c r="G1002" s="249"/>
      <c r="H1002" s="249"/>
      <c r="I1002" s="249"/>
      <c r="J1002" s="249"/>
      <c r="K1002" s="249"/>
      <c r="L1002" s="249"/>
      <c r="M1002" s="249"/>
      <c r="N1002" s="249"/>
      <c r="O1002" s="237">
        <f>SUM(COUNTIFS('Form Details'!$AA:$AA,{"Yes","No","-"},'Form Details'!$N:$N,"Madhu",'Form Details'!$J:$J,$C1002,'Form Details'!$D:$D,'Adv. Filter'!$A$14,'Form Details'!$D:$D,'Adv. Filter'!$B$14))</f>
        <v>0</v>
      </c>
      <c r="P1002" s="238"/>
      <c r="Q1002" s="238"/>
      <c r="R1002" s="238"/>
      <c r="S1002" s="238"/>
      <c r="T1002" s="238"/>
      <c r="U1002" s="239"/>
      <c r="V1002" s="100"/>
      <c r="W1002" s="237">
        <f>COUNTIFS('Form Details'!$AA:$AA,"Yes",'Form Details'!$N:$N,"Madhu",'Form Details'!$J:$J,$C1002,'Form Details'!$D:$D,'Adv. Filter'!$A$14,'Form Details'!$D:$D,'Adv. Filter'!$B$14)</f>
        <v>0</v>
      </c>
      <c r="X1002" s="238"/>
      <c r="Y1002" s="238"/>
      <c r="Z1002" s="238"/>
      <c r="AA1002" s="238"/>
      <c r="AB1002" s="238"/>
      <c r="AC1002" s="239"/>
      <c r="AD1002" s="237">
        <f>COUNTIFS('Form Details'!$W:$W,"Paid",'Form Details'!$N:$N,"Madhu",'Form Details'!$J:$J,$C1002,'Form Details'!$D:$D,'Adv. Filter'!$A$14,'Form Details'!$D:$D,'Adv. Filter'!$B$14)</f>
        <v>0</v>
      </c>
      <c r="AE1002" s="238"/>
      <c r="AF1002" s="238"/>
      <c r="AG1002" s="238"/>
      <c r="AH1002" s="238"/>
      <c r="AI1002" s="238"/>
      <c r="AJ1002" s="239"/>
      <c r="AK1002" s="237">
        <f>COUNTIFS('Form Details'!$W:$W,"Due",'Form Details'!$N:$N,"Madhu",'Form Details'!$J:$J,$C1002,'Form Details'!$D:$D,'Adv. Filter'!$A$14,'Form Details'!$D:$D,'Adv. Filter'!$B$14)</f>
        <v>0</v>
      </c>
      <c r="AL1002" s="238"/>
      <c r="AM1002" s="238"/>
      <c r="AN1002" s="238"/>
      <c r="AO1002" s="238"/>
      <c r="AP1002" s="238"/>
      <c r="AQ1002" s="239"/>
      <c r="AR1002" s="237">
        <f>COUNTIFS('Form Details'!$W:$W,"No Fee",'Form Details'!$N:$N,"Madhu",'Form Details'!$J:$J,$C1002,'Form Details'!$D:$D,'Adv. Filter'!$A$14,'Form Details'!$D:$D,'Adv. Filter'!$B$14)</f>
        <v>0</v>
      </c>
      <c r="AS1002" s="238"/>
      <c r="AT1002" s="238"/>
      <c r="AU1002" s="238"/>
      <c r="AV1002" s="238"/>
      <c r="AW1002" s="238"/>
      <c r="AX1002" s="239"/>
      <c r="AY1002" s="237">
        <f>COUNTIFS('Form Details'!$W:$W,"Paid/Reject",'Form Details'!$N:$N,"Madhu",'Form Details'!$J:$J,$C1002,'Form Details'!$D:$D,'Adv. Filter'!$A$14,'Form Details'!$D:$D,'Adv. Filter'!$B$14)</f>
        <v>0</v>
      </c>
      <c r="AZ1002" s="238"/>
      <c r="BA1002" s="238"/>
      <c r="BB1002" s="238"/>
      <c r="BC1002" s="238"/>
      <c r="BD1002" s="238"/>
      <c r="BE1002" s="239"/>
      <c r="BF1002" s="237">
        <f>COUNTIFS('Form Details'!$W:$W,"Staff",'Form Details'!$N:$N,"Madhu",'Form Details'!$J:$J,$C1002,'Form Details'!$D:$D,'Adv. Filter'!$A$14,'Form Details'!$D:$D,'Adv. Filter'!$B$14)</f>
        <v>0</v>
      </c>
      <c r="BG1002" s="238"/>
      <c r="BH1002" s="238"/>
      <c r="BI1002" s="238"/>
      <c r="BJ1002" s="238"/>
      <c r="BK1002" s="238"/>
      <c r="BL1002" s="239"/>
      <c r="BM1002" s="237">
        <f>COUNTIFS('Form Details'!$W:$W,"File in Office",'Form Details'!$N:$N,"Madhu",'Form Details'!$J:$J,$C1002,'Form Details'!$D:$D,'Adv. Filter'!$A$14,'Form Details'!$D:$D,'Adv. Filter'!$B$14)</f>
        <v>0</v>
      </c>
      <c r="BN1002" s="238"/>
      <c r="BO1002" s="238"/>
      <c r="BP1002" s="238"/>
      <c r="BQ1002" s="238"/>
      <c r="BR1002" s="238"/>
      <c r="BS1002" s="239"/>
      <c r="BT1002" s="100"/>
      <c r="BU1002" s="237">
        <f>COUNTIFS('Form Details'!$AA:$AA,"No",'Form Details'!$N:$N,"Madhu",'Form Details'!$J:$J,$C1002,'Form Details'!$D:$D,'Adv. Filter'!$A$14,'Form Details'!$D:$D,'Adv. Filter'!$B$14)</f>
        <v>0</v>
      </c>
      <c r="BV1002" s="238"/>
      <c r="BW1002" s="238"/>
      <c r="BX1002" s="238"/>
      <c r="BY1002" s="238"/>
      <c r="BZ1002" s="238"/>
      <c r="CA1002" s="239"/>
      <c r="CB1002" s="237">
        <f>COUNTIFS('Form Details'!$W:$W,"Adv/Paid",'Form Details'!$N:$N,"Madhu",'Form Details'!$J:$J,$C1002,'Form Details'!$D:$D,'Adv. Filter'!$A$14,'Form Details'!$D:$D,'Adv. Filter'!$B$14)</f>
        <v>0</v>
      </c>
      <c r="CC1002" s="238"/>
      <c r="CD1002" s="238"/>
      <c r="CE1002" s="238"/>
      <c r="CF1002" s="238"/>
      <c r="CG1002" s="238"/>
      <c r="CH1002" s="239"/>
      <c r="CI1002" s="237">
        <f>COUNTIFS('Form Details'!$W:$W,"Adv/Paid/Reject",'Form Details'!$N:$N,"Madhu",'Form Details'!$J:$J,$C1002,'Form Details'!$D:$D,'Adv. Filter'!$A$14,'Form Details'!$D:$D,'Adv. Filter'!$B$14)</f>
        <v>0</v>
      </c>
      <c r="CJ1002" s="238"/>
      <c r="CK1002" s="238"/>
      <c r="CL1002" s="238"/>
      <c r="CM1002" s="238"/>
      <c r="CN1002" s="238"/>
      <c r="CO1002" s="239"/>
      <c r="CP1002" s="237">
        <f>COUNTIFS('Form Details'!$W:$W,"Reject",'Form Details'!$N:$N,"Madhu",'Form Details'!$J:$J,$C1002,'Form Details'!$D:$D,'Adv. Filter'!$A$14,'Form Details'!$D:$D,'Adv. Filter'!$B$14)</f>
        <v>0</v>
      </c>
      <c r="CQ1002" s="238"/>
      <c r="CR1002" s="238"/>
      <c r="CS1002" s="238"/>
      <c r="CT1002" s="238"/>
      <c r="CU1002" s="238"/>
      <c r="CV1002" s="239"/>
      <c r="CW1002" s="237">
        <f>COUNTIFS('Form Details'!$W:$W,"Adv/Paid/Pending",'Form Details'!$N:$N,"Madhu",'Form Details'!$J:$J,$C1002,'Form Details'!$D:$D,'Adv. Filter'!$A$14,'Form Details'!$D:$D,'Adv. Filter'!$B$14)</f>
        <v>0</v>
      </c>
      <c r="CX1002" s="238"/>
      <c r="CY1002" s="238"/>
      <c r="CZ1002" s="238"/>
      <c r="DA1002" s="238"/>
      <c r="DB1002" s="238"/>
      <c r="DC1002" s="239"/>
      <c r="DD1002" s="237">
        <f>COUNTIFS('Form Details'!$W:$W,"Pending",'Form Details'!$N:$N,"Madhu",'Form Details'!$J:$J,$C1002,'Form Details'!$D:$D,'Adv. Filter'!$A$14,'Form Details'!$D:$D,'Adv. Filter'!$B$14)</f>
        <v>0</v>
      </c>
      <c r="DE1002" s="238"/>
      <c r="DF1002" s="238"/>
      <c r="DG1002" s="238"/>
      <c r="DH1002" s="238"/>
      <c r="DI1002" s="238"/>
      <c r="DJ1002" s="239"/>
      <c r="DK1002" s="237">
        <f>COUNTIFS('Form Details'!$W:$W,"Adv/Paid/NoStatus",'Form Details'!$N:$N,"Madhu",'Form Details'!$J:$J,$C1002,'Form Details'!$D:$D,'Adv. Filter'!$A$14,'Form Details'!$D:$D,'Adv. Filter'!$B$14)</f>
        <v>0</v>
      </c>
      <c r="DL1002" s="238"/>
      <c r="DM1002" s="238"/>
      <c r="DN1002" s="238"/>
      <c r="DO1002" s="238"/>
      <c r="DP1002" s="238"/>
      <c r="DQ1002" s="239"/>
      <c r="DR1002" s="237">
        <f>COUNTIFS('Form Details'!$W:$W,"No Status",'Form Details'!$N:$N,"Madhu",'Form Details'!$J:$J,$C1002,'Form Details'!$D:$D,'Adv. Filter'!$A$14,'Form Details'!$D:$D,'Adv. Filter'!$B$14)</f>
        <v>0</v>
      </c>
      <c r="DS1002" s="238"/>
      <c r="DT1002" s="238"/>
      <c r="DU1002" s="238"/>
      <c r="DV1002" s="238"/>
      <c r="DW1002" s="238"/>
      <c r="DX1002" s="239"/>
      <c r="DY1002" s="237">
        <f>SUM(COUNTIFS('Form Details'!$W:$W,{"Wrong Entry ","Double Entry"},'Form Details'!$N:$N,"Madhu",'Form Details'!$J:$J,$C1002,'Form Details'!$D:$D,'Adv. Filter'!$A$14,'Form Details'!$D:$D,'Adv. Filter'!$B$14))</f>
        <v>0</v>
      </c>
      <c r="DZ1002" s="238"/>
      <c r="EA1002" s="238"/>
      <c r="EB1002" s="238"/>
      <c r="EC1002" s="238"/>
      <c r="ED1002" s="238"/>
      <c r="EE1002" s="239"/>
    </row>
    <row r="1003" spans="3:135" hidden="1">
      <c r="C1003" s="248" t="s">
        <v>102</v>
      </c>
      <c r="D1003" s="249"/>
      <c r="E1003" s="249"/>
      <c r="F1003" s="249"/>
      <c r="G1003" s="249"/>
      <c r="H1003" s="249"/>
      <c r="I1003" s="249"/>
      <c r="J1003" s="249"/>
      <c r="K1003" s="249"/>
      <c r="L1003" s="249"/>
      <c r="M1003" s="249"/>
      <c r="N1003" s="249"/>
      <c r="O1003" s="237">
        <f>SUM(COUNTIFS('Form Details'!$AA:$AA,{"Yes","No","-"},'Form Details'!$N:$N,"Madhu",'Form Details'!$J:$J,$C1003,'Form Details'!$D:$D,'Adv. Filter'!$A$14,'Form Details'!$D:$D,'Adv. Filter'!$B$14))</f>
        <v>0</v>
      </c>
      <c r="P1003" s="238"/>
      <c r="Q1003" s="238"/>
      <c r="R1003" s="238"/>
      <c r="S1003" s="238"/>
      <c r="T1003" s="238"/>
      <c r="U1003" s="239"/>
      <c r="V1003" s="100"/>
      <c r="W1003" s="237">
        <f>COUNTIFS('Form Details'!$AA:$AA,"Yes",'Form Details'!$N:$N,"Madhu",'Form Details'!$J:$J,$C1003,'Form Details'!$D:$D,'Adv. Filter'!$A$14,'Form Details'!$D:$D,'Adv. Filter'!$B$14)</f>
        <v>0</v>
      </c>
      <c r="X1003" s="238"/>
      <c r="Y1003" s="238"/>
      <c r="Z1003" s="238"/>
      <c r="AA1003" s="238"/>
      <c r="AB1003" s="238"/>
      <c r="AC1003" s="239"/>
      <c r="AD1003" s="237">
        <f>COUNTIFS('Form Details'!$W:$W,"Paid",'Form Details'!$N:$N,"Madhu",'Form Details'!$J:$J,$C1003,'Form Details'!$D:$D,'Adv. Filter'!$A$14,'Form Details'!$D:$D,'Adv. Filter'!$B$14)</f>
        <v>0</v>
      </c>
      <c r="AE1003" s="238"/>
      <c r="AF1003" s="238"/>
      <c r="AG1003" s="238"/>
      <c r="AH1003" s="238"/>
      <c r="AI1003" s="238"/>
      <c r="AJ1003" s="239"/>
      <c r="AK1003" s="237">
        <f>COUNTIFS('Form Details'!$W:$W,"Due",'Form Details'!$N:$N,"Madhu",'Form Details'!$J:$J,$C1003,'Form Details'!$D:$D,'Adv. Filter'!$A$14,'Form Details'!$D:$D,'Adv. Filter'!$B$14)</f>
        <v>0</v>
      </c>
      <c r="AL1003" s="238"/>
      <c r="AM1003" s="238"/>
      <c r="AN1003" s="238"/>
      <c r="AO1003" s="238"/>
      <c r="AP1003" s="238"/>
      <c r="AQ1003" s="239"/>
      <c r="AR1003" s="237">
        <f>COUNTIFS('Form Details'!$W:$W,"No Fee",'Form Details'!$N:$N,"Madhu",'Form Details'!$J:$J,$C1003,'Form Details'!$D:$D,'Adv. Filter'!$A$14,'Form Details'!$D:$D,'Adv. Filter'!$B$14)</f>
        <v>0</v>
      </c>
      <c r="AS1003" s="238"/>
      <c r="AT1003" s="238"/>
      <c r="AU1003" s="238"/>
      <c r="AV1003" s="238"/>
      <c r="AW1003" s="238"/>
      <c r="AX1003" s="239"/>
      <c r="AY1003" s="237">
        <f>COUNTIFS('Form Details'!$W:$W,"Paid/Reject",'Form Details'!$N:$N,"Madhu",'Form Details'!$J:$J,$C1003,'Form Details'!$D:$D,'Adv. Filter'!$A$14,'Form Details'!$D:$D,'Adv. Filter'!$B$14)</f>
        <v>0</v>
      </c>
      <c r="AZ1003" s="238"/>
      <c r="BA1003" s="238"/>
      <c r="BB1003" s="238"/>
      <c r="BC1003" s="238"/>
      <c r="BD1003" s="238"/>
      <c r="BE1003" s="239"/>
      <c r="BF1003" s="237">
        <f>COUNTIFS('Form Details'!$W:$W,"Staff",'Form Details'!$N:$N,"Madhu",'Form Details'!$J:$J,$C1003,'Form Details'!$D:$D,'Adv. Filter'!$A$14,'Form Details'!$D:$D,'Adv. Filter'!$B$14)</f>
        <v>0</v>
      </c>
      <c r="BG1003" s="238"/>
      <c r="BH1003" s="238"/>
      <c r="BI1003" s="238"/>
      <c r="BJ1003" s="238"/>
      <c r="BK1003" s="238"/>
      <c r="BL1003" s="239"/>
      <c r="BM1003" s="237">
        <f>COUNTIFS('Form Details'!$W:$W,"File in Office",'Form Details'!$N:$N,"Madhu",'Form Details'!$J:$J,$C1003,'Form Details'!$D:$D,'Adv. Filter'!$A$14,'Form Details'!$D:$D,'Adv. Filter'!$B$14)</f>
        <v>0</v>
      </c>
      <c r="BN1003" s="238"/>
      <c r="BO1003" s="238"/>
      <c r="BP1003" s="238"/>
      <c r="BQ1003" s="238"/>
      <c r="BR1003" s="238"/>
      <c r="BS1003" s="239"/>
      <c r="BT1003" s="100"/>
      <c r="BU1003" s="237">
        <f>COUNTIFS('Form Details'!$AA:$AA,"No",'Form Details'!$N:$N,"Madhu",'Form Details'!$J:$J,$C1003,'Form Details'!$D:$D,'Adv. Filter'!$A$14,'Form Details'!$D:$D,'Adv. Filter'!$B$14)</f>
        <v>0</v>
      </c>
      <c r="BV1003" s="238"/>
      <c r="BW1003" s="238"/>
      <c r="BX1003" s="238"/>
      <c r="BY1003" s="238"/>
      <c r="BZ1003" s="238"/>
      <c r="CA1003" s="239"/>
      <c r="CB1003" s="237">
        <f>COUNTIFS('Form Details'!$W:$W,"Adv/Paid",'Form Details'!$N:$N,"Madhu",'Form Details'!$J:$J,$C1003,'Form Details'!$D:$D,'Adv. Filter'!$A$14,'Form Details'!$D:$D,'Adv. Filter'!$B$14)</f>
        <v>0</v>
      </c>
      <c r="CC1003" s="238"/>
      <c r="CD1003" s="238"/>
      <c r="CE1003" s="238"/>
      <c r="CF1003" s="238"/>
      <c r="CG1003" s="238"/>
      <c r="CH1003" s="239"/>
      <c r="CI1003" s="237">
        <f>COUNTIFS('Form Details'!$W:$W,"Adv/Paid/Reject",'Form Details'!$N:$N,"Madhu",'Form Details'!$J:$J,$C1003,'Form Details'!$D:$D,'Adv. Filter'!$A$14,'Form Details'!$D:$D,'Adv. Filter'!$B$14)</f>
        <v>0</v>
      </c>
      <c r="CJ1003" s="238"/>
      <c r="CK1003" s="238"/>
      <c r="CL1003" s="238"/>
      <c r="CM1003" s="238"/>
      <c r="CN1003" s="238"/>
      <c r="CO1003" s="239"/>
      <c r="CP1003" s="237">
        <f>COUNTIFS('Form Details'!$W:$W,"Reject",'Form Details'!$N:$N,"Madhu",'Form Details'!$J:$J,$C1003,'Form Details'!$D:$D,'Adv. Filter'!$A$14,'Form Details'!$D:$D,'Adv. Filter'!$B$14)</f>
        <v>0</v>
      </c>
      <c r="CQ1003" s="238"/>
      <c r="CR1003" s="238"/>
      <c r="CS1003" s="238"/>
      <c r="CT1003" s="238"/>
      <c r="CU1003" s="238"/>
      <c r="CV1003" s="239"/>
      <c r="CW1003" s="237">
        <f>COUNTIFS('Form Details'!$W:$W,"Adv/Paid/Pending",'Form Details'!$N:$N,"Madhu",'Form Details'!$J:$J,$C1003,'Form Details'!$D:$D,'Adv. Filter'!$A$14,'Form Details'!$D:$D,'Adv. Filter'!$B$14)</f>
        <v>0</v>
      </c>
      <c r="CX1003" s="238"/>
      <c r="CY1003" s="238"/>
      <c r="CZ1003" s="238"/>
      <c r="DA1003" s="238"/>
      <c r="DB1003" s="238"/>
      <c r="DC1003" s="239"/>
      <c r="DD1003" s="237">
        <f>COUNTIFS('Form Details'!$W:$W,"Pending",'Form Details'!$N:$N,"Madhu",'Form Details'!$J:$J,$C1003,'Form Details'!$D:$D,'Adv. Filter'!$A$14,'Form Details'!$D:$D,'Adv. Filter'!$B$14)</f>
        <v>0</v>
      </c>
      <c r="DE1003" s="238"/>
      <c r="DF1003" s="238"/>
      <c r="DG1003" s="238"/>
      <c r="DH1003" s="238"/>
      <c r="DI1003" s="238"/>
      <c r="DJ1003" s="239"/>
      <c r="DK1003" s="237">
        <f>COUNTIFS('Form Details'!$W:$W,"Adv/Paid/NoStatus",'Form Details'!$N:$N,"Madhu",'Form Details'!$J:$J,$C1003,'Form Details'!$D:$D,'Adv. Filter'!$A$14,'Form Details'!$D:$D,'Adv. Filter'!$B$14)</f>
        <v>0</v>
      </c>
      <c r="DL1003" s="238"/>
      <c r="DM1003" s="238"/>
      <c r="DN1003" s="238"/>
      <c r="DO1003" s="238"/>
      <c r="DP1003" s="238"/>
      <c r="DQ1003" s="239"/>
      <c r="DR1003" s="237">
        <f>COUNTIFS('Form Details'!$W:$W,"No Status",'Form Details'!$N:$N,"Madhu",'Form Details'!$J:$J,$C1003,'Form Details'!$D:$D,'Adv. Filter'!$A$14,'Form Details'!$D:$D,'Adv. Filter'!$B$14)</f>
        <v>0</v>
      </c>
      <c r="DS1003" s="238"/>
      <c r="DT1003" s="238"/>
      <c r="DU1003" s="238"/>
      <c r="DV1003" s="238"/>
      <c r="DW1003" s="238"/>
      <c r="DX1003" s="239"/>
      <c r="DY1003" s="237">
        <f>SUM(COUNTIFS('Form Details'!$W:$W,{"Wrong Entry ","Double Entry"},'Form Details'!$N:$N,"Madhu",'Form Details'!$J:$J,$C1003,'Form Details'!$D:$D,'Adv. Filter'!$A$14,'Form Details'!$D:$D,'Adv. Filter'!$B$14))</f>
        <v>0</v>
      </c>
      <c r="DZ1003" s="238"/>
      <c r="EA1003" s="238"/>
      <c r="EB1003" s="238"/>
      <c r="EC1003" s="238"/>
      <c r="ED1003" s="238"/>
      <c r="EE1003" s="239"/>
    </row>
    <row r="1004" spans="3:135" ht="15.75" hidden="1" thickBot="1">
      <c r="C1004" s="248" t="s">
        <v>108</v>
      </c>
      <c r="D1004" s="249"/>
      <c r="E1004" s="249"/>
      <c r="F1004" s="249"/>
      <c r="G1004" s="249"/>
      <c r="H1004" s="249"/>
      <c r="I1004" s="249"/>
      <c r="J1004" s="249"/>
      <c r="K1004" s="249"/>
      <c r="L1004" s="249"/>
      <c r="M1004" s="249"/>
      <c r="N1004" s="249"/>
      <c r="O1004" s="240">
        <f>SUM(COUNTIFS('Form Details'!$AA:$AA,{"Yes","No","-"},'Form Details'!$N:$N,"Madhu",'Form Details'!$J:$J,$C1004,'Form Details'!$D:$D,'Adv. Filter'!$A$14,'Form Details'!$D:$D,'Adv. Filter'!$B$14))</f>
        <v>0</v>
      </c>
      <c r="P1004" s="241"/>
      <c r="Q1004" s="241"/>
      <c r="R1004" s="241"/>
      <c r="S1004" s="241"/>
      <c r="T1004" s="241"/>
      <c r="U1004" s="242"/>
      <c r="V1004" s="100"/>
      <c r="W1004" s="240">
        <f>COUNTIFS('Form Details'!$AA:$AA,"Yes",'Form Details'!$N:$N,"Madhu",'Form Details'!$J:$J,$C1004,'Form Details'!$D:$D,'Adv. Filter'!$A$14,'Form Details'!$D:$D,'Adv. Filter'!$B$14)</f>
        <v>0</v>
      </c>
      <c r="X1004" s="241"/>
      <c r="Y1004" s="241"/>
      <c r="Z1004" s="241"/>
      <c r="AA1004" s="241"/>
      <c r="AB1004" s="241"/>
      <c r="AC1004" s="242"/>
      <c r="AD1004" s="240">
        <f>COUNTIFS('Form Details'!$W:$W,"Paid",'Form Details'!$N:$N,"Madhu",'Form Details'!$J:$J,$C1004,'Form Details'!$D:$D,'Adv. Filter'!$A$14,'Form Details'!$D:$D,'Adv. Filter'!$B$14)</f>
        <v>0</v>
      </c>
      <c r="AE1004" s="241"/>
      <c r="AF1004" s="241"/>
      <c r="AG1004" s="241"/>
      <c r="AH1004" s="241"/>
      <c r="AI1004" s="241"/>
      <c r="AJ1004" s="242"/>
      <c r="AK1004" s="240">
        <f>COUNTIFS('Form Details'!$W:$W,"Due",'Form Details'!$N:$N,"Madhu",'Form Details'!$J:$J,$C1004,'Form Details'!$D:$D,'Adv. Filter'!$A$14,'Form Details'!$D:$D,'Adv. Filter'!$B$14)</f>
        <v>0</v>
      </c>
      <c r="AL1004" s="241"/>
      <c r="AM1004" s="241"/>
      <c r="AN1004" s="241"/>
      <c r="AO1004" s="241"/>
      <c r="AP1004" s="241"/>
      <c r="AQ1004" s="242"/>
      <c r="AR1004" s="240">
        <f>COUNTIFS('Form Details'!$W:$W,"No Fee",'Form Details'!$N:$N,"Madhu",'Form Details'!$J:$J,$C1004,'Form Details'!$D:$D,'Adv. Filter'!$A$14,'Form Details'!$D:$D,'Adv. Filter'!$B$14)</f>
        <v>0</v>
      </c>
      <c r="AS1004" s="241"/>
      <c r="AT1004" s="241"/>
      <c r="AU1004" s="241"/>
      <c r="AV1004" s="241"/>
      <c r="AW1004" s="241"/>
      <c r="AX1004" s="242"/>
      <c r="AY1004" s="240">
        <f>COUNTIFS('Form Details'!$W:$W,"Paid/Reject",'Form Details'!$N:$N,"Madhu",'Form Details'!$J:$J,$C1004,'Form Details'!$D:$D,'Adv. Filter'!$A$14,'Form Details'!$D:$D,'Adv. Filter'!$B$14)</f>
        <v>0</v>
      </c>
      <c r="AZ1004" s="241"/>
      <c r="BA1004" s="241"/>
      <c r="BB1004" s="241"/>
      <c r="BC1004" s="241"/>
      <c r="BD1004" s="241"/>
      <c r="BE1004" s="242"/>
      <c r="BF1004" s="240">
        <f>COUNTIFS('Form Details'!$W:$W,"Staff",'Form Details'!$N:$N,"Madhu",'Form Details'!$J:$J,$C1004,'Form Details'!$D:$D,'Adv. Filter'!$A$14,'Form Details'!$D:$D,'Adv. Filter'!$B$14)</f>
        <v>0</v>
      </c>
      <c r="BG1004" s="241"/>
      <c r="BH1004" s="241"/>
      <c r="BI1004" s="241"/>
      <c r="BJ1004" s="241"/>
      <c r="BK1004" s="241"/>
      <c r="BL1004" s="242"/>
      <c r="BM1004" s="240">
        <f>COUNTIFS('Form Details'!$W:$W,"File in Office",'Form Details'!$N:$N,"Madhu",'Form Details'!$J:$J,$C1004,'Form Details'!$D:$D,'Adv. Filter'!$A$14,'Form Details'!$D:$D,'Adv. Filter'!$B$14)</f>
        <v>0</v>
      </c>
      <c r="BN1004" s="241"/>
      <c r="BO1004" s="241"/>
      <c r="BP1004" s="241"/>
      <c r="BQ1004" s="241"/>
      <c r="BR1004" s="241"/>
      <c r="BS1004" s="242"/>
      <c r="BT1004" s="100"/>
      <c r="BU1004" s="240">
        <f>COUNTIFS('Form Details'!$AA:$AA,"No",'Form Details'!$N:$N,"Madhu",'Form Details'!$J:$J,$C1004,'Form Details'!$D:$D,'Adv. Filter'!$A$14,'Form Details'!$D:$D,'Adv. Filter'!$B$14)</f>
        <v>0</v>
      </c>
      <c r="BV1004" s="241"/>
      <c r="BW1004" s="241"/>
      <c r="BX1004" s="241"/>
      <c r="BY1004" s="241"/>
      <c r="BZ1004" s="241"/>
      <c r="CA1004" s="242"/>
      <c r="CB1004" s="240">
        <f>COUNTIFS('Form Details'!$W:$W,"Adv/Paid",'Form Details'!$N:$N,"Madhu",'Form Details'!$J:$J,$C1004,'Form Details'!$D:$D,'Adv. Filter'!$A$14,'Form Details'!$D:$D,'Adv. Filter'!$B$14)</f>
        <v>0</v>
      </c>
      <c r="CC1004" s="241"/>
      <c r="CD1004" s="241"/>
      <c r="CE1004" s="241"/>
      <c r="CF1004" s="241"/>
      <c r="CG1004" s="241"/>
      <c r="CH1004" s="242"/>
      <c r="CI1004" s="240">
        <f>COUNTIFS('Form Details'!$W:$W,"Adv/Paid/Reject",'Form Details'!$N:$N,"Madhu",'Form Details'!$J:$J,$C1004,'Form Details'!$D:$D,'Adv. Filter'!$A$14,'Form Details'!$D:$D,'Adv. Filter'!$B$14)</f>
        <v>0</v>
      </c>
      <c r="CJ1004" s="241"/>
      <c r="CK1004" s="241"/>
      <c r="CL1004" s="241"/>
      <c r="CM1004" s="241"/>
      <c r="CN1004" s="241"/>
      <c r="CO1004" s="242"/>
      <c r="CP1004" s="240">
        <f>COUNTIFS('Form Details'!$W:$W,"Reject",'Form Details'!$N:$N,"Madhu",'Form Details'!$J:$J,$C1004,'Form Details'!$D:$D,'Adv. Filter'!$A$14,'Form Details'!$D:$D,'Adv. Filter'!$B$14)</f>
        <v>0</v>
      </c>
      <c r="CQ1004" s="241"/>
      <c r="CR1004" s="241"/>
      <c r="CS1004" s="241"/>
      <c r="CT1004" s="241"/>
      <c r="CU1004" s="241"/>
      <c r="CV1004" s="242"/>
      <c r="CW1004" s="240">
        <f>COUNTIFS('Form Details'!$W:$W,"Adv/Paid/Pending",'Form Details'!$N:$N,"Madhu",'Form Details'!$J:$J,$C1004,'Form Details'!$D:$D,'Adv. Filter'!$A$14,'Form Details'!$D:$D,'Adv. Filter'!$B$14)</f>
        <v>0</v>
      </c>
      <c r="CX1004" s="241"/>
      <c r="CY1004" s="241"/>
      <c r="CZ1004" s="241"/>
      <c r="DA1004" s="241"/>
      <c r="DB1004" s="241"/>
      <c r="DC1004" s="242"/>
      <c r="DD1004" s="240">
        <f>COUNTIFS('Form Details'!$W:$W,"Pending",'Form Details'!$N:$N,"Madhu",'Form Details'!$J:$J,$C1004,'Form Details'!$D:$D,'Adv. Filter'!$A$14,'Form Details'!$D:$D,'Adv. Filter'!$B$14)</f>
        <v>0</v>
      </c>
      <c r="DE1004" s="241"/>
      <c r="DF1004" s="241"/>
      <c r="DG1004" s="241"/>
      <c r="DH1004" s="241"/>
      <c r="DI1004" s="241"/>
      <c r="DJ1004" s="242"/>
      <c r="DK1004" s="240">
        <f>COUNTIFS('Form Details'!$W:$W,"Adv/Paid/NoStatus",'Form Details'!$N:$N,"Madhu",'Form Details'!$J:$J,$C1004,'Form Details'!$D:$D,'Adv. Filter'!$A$14,'Form Details'!$D:$D,'Adv. Filter'!$B$14)</f>
        <v>0</v>
      </c>
      <c r="DL1004" s="241"/>
      <c r="DM1004" s="241"/>
      <c r="DN1004" s="241"/>
      <c r="DO1004" s="241"/>
      <c r="DP1004" s="241"/>
      <c r="DQ1004" s="242"/>
      <c r="DR1004" s="240">
        <f>COUNTIFS('Form Details'!$W:$W,"No Status",'Form Details'!$N:$N,"Madhu",'Form Details'!$J:$J,$C1004,'Form Details'!$D:$D,'Adv. Filter'!$A$14,'Form Details'!$D:$D,'Adv. Filter'!$B$14)</f>
        <v>0</v>
      </c>
      <c r="DS1004" s="241"/>
      <c r="DT1004" s="241"/>
      <c r="DU1004" s="241"/>
      <c r="DV1004" s="241"/>
      <c r="DW1004" s="241"/>
      <c r="DX1004" s="242"/>
      <c r="DY1004" s="240">
        <f>SUM(COUNTIFS('Form Details'!$W:$W,{"Wrong Entry ","Double Entry"},'Form Details'!$N:$N,"Madhu",'Form Details'!$J:$J,$C1004,'Form Details'!$D:$D,'Adv. Filter'!$A$14,'Form Details'!$D:$D,'Adv. Filter'!$B$14))</f>
        <v>0</v>
      </c>
      <c r="DZ1004" s="241"/>
      <c r="EA1004" s="241"/>
      <c r="EB1004" s="241"/>
      <c r="EC1004" s="241"/>
      <c r="ED1004" s="241"/>
      <c r="EE1004" s="242"/>
    </row>
    <row r="1005" spans="3:135" ht="15.75" hidden="1" thickTop="1">
      <c r="C1005" s="246" t="s">
        <v>503</v>
      </c>
      <c r="D1005" s="247"/>
      <c r="E1005" s="247"/>
      <c r="F1005" s="247"/>
      <c r="G1005" s="247"/>
      <c r="H1005" s="247"/>
      <c r="I1005" s="247"/>
      <c r="J1005" s="247"/>
      <c r="K1005" s="247"/>
      <c r="L1005" s="247"/>
      <c r="M1005" s="247"/>
      <c r="N1005" s="247"/>
      <c r="O1005" s="243">
        <f>SUM(O988:U1004)</f>
        <v>0</v>
      </c>
      <c r="P1005" s="244"/>
      <c r="Q1005" s="244"/>
      <c r="R1005" s="244"/>
      <c r="S1005" s="244"/>
      <c r="T1005" s="244"/>
      <c r="U1005" s="244"/>
      <c r="V1005" s="106"/>
      <c r="W1005" s="243">
        <f>SUM(W988:AC1004)</f>
        <v>0</v>
      </c>
      <c r="X1005" s="244"/>
      <c r="Y1005" s="244"/>
      <c r="Z1005" s="244"/>
      <c r="AA1005" s="244"/>
      <c r="AB1005" s="244"/>
      <c r="AC1005" s="244"/>
      <c r="AD1005" s="243">
        <f>SUM(AD988:AJ1004)</f>
        <v>0</v>
      </c>
      <c r="AE1005" s="244"/>
      <c r="AF1005" s="244"/>
      <c r="AG1005" s="244"/>
      <c r="AH1005" s="244"/>
      <c r="AI1005" s="244"/>
      <c r="AJ1005" s="244"/>
      <c r="AK1005" s="243">
        <f>SUM(AK988:AQ1004)</f>
        <v>0</v>
      </c>
      <c r="AL1005" s="244"/>
      <c r="AM1005" s="244"/>
      <c r="AN1005" s="244"/>
      <c r="AO1005" s="244"/>
      <c r="AP1005" s="244"/>
      <c r="AQ1005" s="244"/>
      <c r="AR1005" s="243">
        <f>SUM(AR988:AX1004)</f>
        <v>0</v>
      </c>
      <c r="AS1005" s="244"/>
      <c r="AT1005" s="244"/>
      <c r="AU1005" s="244"/>
      <c r="AV1005" s="244"/>
      <c r="AW1005" s="244"/>
      <c r="AX1005" s="244"/>
      <c r="AY1005" s="243">
        <f>SUM(AY988:BE1004)</f>
        <v>0</v>
      </c>
      <c r="AZ1005" s="244"/>
      <c r="BA1005" s="244"/>
      <c r="BB1005" s="244"/>
      <c r="BC1005" s="244"/>
      <c r="BD1005" s="244"/>
      <c r="BE1005" s="244"/>
      <c r="BF1005" s="243">
        <f>SUM(BF988:BL1004)</f>
        <v>0</v>
      </c>
      <c r="BG1005" s="244"/>
      <c r="BH1005" s="244"/>
      <c r="BI1005" s="244"/>
      <c r="BJ1005" s="244"/>
      <c r="BK1005" s="244"/>
      <c r="BL1005" s="244"/>
      <c r="BM1005" s="243">
        <f>SUM(BM988:BS1004)</f>
        <v>0</v>
      </c>
      <c r="BN1005" s="244"/>
      <c r="BO1005" s="244"/>
      <c r="BP1005" s="244"/>
      <c r="BQ1005" s="244"/>
      <c r="BR1005" s="244"/>
      <c r="BS1005" s="244"/>
      <c r="BT1005" s="106"/>
      <c r="BU1005" s="243">
        <f>SUM(BU988:CA1004)</f>
        <v>0</v>
      </c>
      <c r="BV1005" s="244"/>
      <c r="BW1005" s="244"/>
      <c r="BX1005" s="244"/>
      <c r="BY1005" s="244"/>
      <c r="BZ1005" s="244"/>
      <c r="CA1005" s="244"/>
      <c r="CB1005" s="243">
        <f>SUM(CB988:CH1004)</f>
        <v>0</v>
      </c>
      <c r="CC1005" s="244"/>
      <c r="CD1005" s="244"/>
      <c r="CE1005" s="244"/>
      <c r="CF1005" s="244"/>
      <c r="CG1005" s="244"/>
      <c r="CH1005" s="244"/>
      <c r="CI1005" s="243">
        <f>SUM(CI988:CO1004)</f>
        <v>0</v>
      </c>
      <c r="CJ1005" s="244"/>
      <c r="CK1005" s="244"/>
      <c r="CL1005" s="244"/>
      <c r="CM1005" s="244"/>
      <c r="CN1005" s="244"/>
      <c r="CO1005" s="244"/>
      <c r="CP1005" s="243">
        <f>SUM(CP988:CV1004)</f>
        <v>0</v>
      </c>
      <c r="CQ1005" s="244"/>
      <c r="CR1005" s="244"/>
      <c r="CS1005" s="244"/>
      <c r="CT1005" s="244"/>
      <c r="CU1005" s="244"/>
      <c r="CV1005" s="244"/>
      <c r="CW1005" s="243">
        <f>SUM(CW988:DC1004)</f>
        <v>0</v>
      </c>
      <c r="CX1005" s="244"/>
      <c r="CY1005" s="244"/>
      <c r="CZ1005" s="244"/>
      <c r="DA1005" s="244"/>
      <c r="DB1005" s="244"/>
      <c r="DC1005" s="244"/>
      <c r="DD1005" s="243">
        <f>SUM(DD988:DJ1004)</f>
        <v>0</v>
      </c>
      <c r="DE1005" s="244"/>
      <c r="DF1005" s="244"/>
      <c r="DG1005" s="244"/>
      <c r="DH1005" s="244"/>
      <c r="DI1005" s="244"/>
      <c r="DJ1005" s="244"/>
      <c r="DK1005" s="243">
        <f>SUM(DK988:DQ1004)</f>
        <v>0</v>
      </c>
      <c r="DL1005" s="244"/>
      <c r="DM1005" s="244"/>
      <c r="DN1005" s="244"/>
      <c r="DO1005" s="244"/>
      <c r="DP1005" s="244"/>
      <c r="DQ1005" s="244"/>
      <c r="DR1005" s="243">
        <f>SUM(DR988:DX1004)</f>
        <v>0</v>
      </c>
      <c r="DS1005" s="244"/>
      <c r="DT1005" s="244"/>
      <c r="DU1005" s="244"/>
      <c r="DV1005" s="244"/>
      <c r="DW1005" s="244"/>
      <c r="DX1005" s="244"/>
      <c r="DY1005" s="243">
        <f>SUM(DY988:EE1004)</f>
        <v>0</v>
      </c>
      <c r="DZ1005" s="244"/>
      <c r="EA1005" s="244"/>
      <c r="EB1005" s="244"/>
      <c r="EC1005" s="244"/>
      <c r="ED1005" s="244"/>
      <c r="EE1005" s="244"/>
    </row>
    <row r="1006" spans="3:135" hidden="1">
      <c r="C1006" s="100"/>
      <c r="E1006" s="100"/>
      <c r="F1006" s="100"/>
      <c r="G1006" s="100"/>
      <c r="H1006" s="100"/>
      <c r="I1006" s="100"/>
      <c r="J1006" s="100"/>
      <c r="K1006" s="100"/>
      <c r="L1006" s="100"/>
      <c r="M1006" s="100"/>
      <c r="N1006" s="100"/>
      <c r="O1006" s="100"/>
      <c r="P1006" s="100"/>
      <c r="Q1006" s="100"/>
      <c r="R1006" s="100"/>
      <c r="S1006" s="100"/>
      <c r="T1006" s="100"/>
      <c r="U1006" s="100"/>
      <c r="V1006" s="100"/>
      <c r="W1006" s="100"/>
      <c r="X1006" s="100"/>
      <c r="Y1006" s="100"/>
      <c r="Z1006" s="100"/>
      <c r="AA1006" s="100"/>
      <c r="AB1006" s="100"/>
      <c r="AC1006" s="100"/>
      <c r="AD1006" s="100"/>
      <c r="AE1006" s="100"/>
      <c r="AF1006" s="100"/>
      <c r="AG1006" s="100"/>
      <c r="AH1006" s="100"/>
      <c r="AI1006" s="100"/>
      <c r="AJ1006" s="100"/>
      <c r="AK1006" s="100"/>
      <c r="AL1006" s="100"/>
      <c r="AM1006" s="100"/>
      <c r="AN1006" s="100"/>
      <c r="AO1006" s="100"/>
      <c r="AP1006" s="100"/>
      <c r="AQ1006" s="100"/>
      <c r="AR1006" s="100"/>
      <c r="AS1006" s="100"/>
      <c r="AT1006" s="100"/>
      <c r="AU1006" s="100"/>
      <c r="AV1006" s="100"/>
      <c r="AW1006" s="100"/>
      <c r="AX1006" s="100"/>
      <c r="AY1006" s="100"/>
      <c r="AZ1006" s="100"/>
      <c r="BA1006" s="100"/>
      <c r="BB1006" s="100"/>
      <c r="BC1006" s="100"/>
      <c r="BD1006" s="100"/>
      <c r="BE1006" s="100"/>
      <c r="BF1006" s="100"/>
      <c r="BG1006" s="100"/>
      <c r="BH1006" s="100"/>
      <c r="BI1006" s="100"/>
      <c r="BJ1006" s="100"/>
      <c r="BK1006" s="100"/>
      <c r="BL1006" s="100"/>
      <c r="BM1006" s="100"/>
      <c r="BN1006" s="100"/>
      <c r="BO1006" s="100"/>
      <c r="BP1006" s="100"/>
      <c r="BQ1006" s="100"/>
      <c r="BR1006" s="100"/>
      <c r="BS1006" s="100"/>
      <c r="BT1006" s="100"/>
      <c r="BU1006" s="100"/>
      <c r="BV1006" s="100"/>
      <c r="BW1006" s="100"/>
      <c r="BX1006" s="100"/>
      <c r="BY1006" s="100"/>
      <c r="BZ1006" s="100"/>
      <c r="CA1006" s="100"/>
      <c r="CB1006" s="100"/>
      <c r="CC1006" s="100"/>
      <c r="CD1006" s="100"/>
      <c r="CE1006" s="100"/>
      <c r="CF1006" s="100"/>
      <c r="CG1006" s="100"/>
      <c r="CH1006" s="100"/>
      <c r="CI1006" s="100"/>
      <c r="CJ1006" s="100"/>
      <c r="CK1006" s="100"/>
      <c r="CL1006" s="100"/>
      <c r="CM1006" s="100"/>
      <c r="CN1006" s="100"/>
      <c r="CO1006" s="100"/>
      <c r="CP1006" s="100"/>
      <c r="CQ1006" s="100"/>
      <c r="CR1006" s="100"/>
      <c r="CS1006" s="100"/>
      <c r="CT1006" s="100"/>
      <c r="CU1006" s="100"/>
      <c r="CV1006" s="100"/>
      <c r="CW1006" s="100"/>
      <c r="CX1006" s="100"/>
      <c r="CY1006" s="100"/>
      <c r="CZ1006" s="100"/>
      <c r="DA1006" s="100"/>
      <c r="DB1006" s="100"/>
      <c r="DC1006" s="100"/>
      <c r="DD1006" s="100"/>
      <c r="DE1006" s="100"/>
      <c r="DF1006" s="100"/>
      <c r="DG1006" s="100"/>
      <c r="DH1006" s="100"/>
      <c r="DI1006" s="100"/>
      <c r="DJ1006" s="100"/>
      <c r="DK1006" s="100"/>
      <c r="DL1006" s="100"/>
      <c r="DM1006" s="100"/>
      <c r="DN1006" s="100"/>
      <c r="DO1006" s="100"/>
      <c r="DP1006" s="100"/>
      <c r="DQ1006" s="100"/>
      <c r="DR1006" s="100"/>
      <c r="DS1006" s="100"/>
      <c r="DT1006" s="100"/>
      <c r="DU1006" s="100"/>
      <c r="DV1006" s="100"/>
      <c r="DW1006" s="100"/>
      <c r="DX1006" s="100"/>
      <c r="DY1006" s="100"/>
      <c r="DZ1006" s="100"/>
      <c r="EA1006" s="100"/>
      <c r="EB1006" s="100"/>
      <c r="EC1006" s="100"/>
      <c r="ED1006" s="100"/>
      <c r="EE1006" s="100"/>
    </row>
    <row r="1007" spans="3:135" ht="15.75" hidden="1">
      <c r="C1007" s="452" t="str">
        <f>CONCATENATE("PREVIOUS FORMS   ",TEXT('Adv. Filter'!$A$15,"( up to  DD-MMM-YY )"))</f>
        <v>PREVIOUS FORMS   ( up to  01-Jan-17 )</v>
      </c>
      <c r="D1007" s="452"/>
      <c r="E1007" s="452"/>
      <c r="F1007" s="452"/>
      <c r="G1007" s="452"/>
      <c r="H1007" s="452"/>
      <c r="I1007" s="452"/>
      <c r="J1007" s="452"/>
      <c r="K1007" s="452"/>
      <c r="L1007" s="452"/>
      <c r="M1007" s="452"/>
      <c r="N1007" s="452"/>
      <c r="O1007" s="452"/>
      <c r="P1007" s="452"/>
      <c r="Q1007" s="452"/>
      <c r="R1007" s="452"/>
      <c r="S1007" s="452"/>
      <c r="T1007" s="452"/>
      <c r="U1007" s="452"/>
      <c r="V1007" s="452"/>
      <c r="W1007" s="452"/>
      <c r="X1007" s="452"/>
      <c r="Y1007" s="452"/>
      <c r="Z1007" s="452"/>
      <c r="AA1007" s="452"/>
      <c r="AB1007" s="452"/>
      <c r="AC1007" s="452"/>
      <c r="AD1007" s="452"/>
      <c r="AE1007" s="452"/>
      <c r="AF1007" s="452"/>
      <c r="AG1007" s="452"/>
      <c r="AH1007" s="452"/>
      <c r="AI1007" s="452"/>
      <c r="AJ1007" s="452"/>
      <c r="AK1007" s="452"/>
      <c r="AL1007" s="452"/>
      <c r="AM1007" s="452"/>
      <c r="AN1007" s="452"/>
      <c r="AO1007" s="452"/>
      <c r="AP1007" s="452"/>
      <c r="AQ1007" s="452"/>
      <c r="AR1007" s="452"/>
      <c r="AS1007" s="452"/>
      <c r="AT1007" s="452"/>
      <c r="AU1007" s="452"/>
      <c r="AV1007" s="452"/>
      <c r="AW1007" s="452"/>
      <c r="AX1007" s="452"/>
      <c r="AY1007" s="452"/>
      <c r="AZ1007" s="452"/>
      <c r="BA1007" s="452"/>
      <c r="BB1007" s="452"/>
      <c r="BC1007" s="452"/>
      <c r="BD1007" s="452"/>
      <c r="BE1007" s="452"/>
      <c r="BF1007" s="452"/>
      <c r="BG1007" s="452"/>
      <c r="BH1007" s="452"/>
      <c r="BI1007" s="452"/>
      <c r="BJ1007" s="452"/>
      <c r="BK1007" s="452"/>
      <c r="BL1007" s="452"/>
      <c r="BM1007" s="452"/>
      <c r="BN1007" s="452"/>
      <c r="BO1007" s="452"/>
      <c r="BP1007" s="452"/>
      <c r="BQ1007" s="452"/>
      <c r="BR1007" s="452"/>
      <c r="BS1007" s="452"/>
      <c r="BT1007" s="452"/>
      <c r="BU1007" s="452"/>
      <c r="BV1007" s="452"/>
      <c r="BW1007" s="452"/>
      <c r="BX1007" s="452"/>
      <c r="BY1007" s="452"/>
      <c r="BZ1007" s="452"/>
      <c r="CA1007" s="452"/>
      <c r="CB1007" s="452"/>
      <c r="CC1007" s="452"/>
      <c r="CD1007" s="452"/>
      <c r="CE1007" s="452"/>
      <c r="CF1007" s="452"/>
      <c r="CG1007" s="452"/>
      <c r="CH1007" s="452"/>
      <c r="CI1007" s="452"/>
      <c r="CJ1007" s="452"/>
      <c r="CK1007" s="452"/>
      <c r="CL1007" s="452"/>
      <c r="CM1007" s="452"/>
      <c r="CN1007" s="452"/>
      <c r="CO1007" s="452"/>
      <c r="CP1007" s="452"/>
      <c r="CQ1007" s="452"/>
      <c r="CR1007" s="452"/>
      <c r="CS1007" s="452"/>
      <c r="CT1007" s="452"/>
      <c r="CU1007" s="452"/>
      <c r="CV1007" s="452"/>
      <c r="CW1007" s="452"/>
      <c r="CX1007" s="452"/>
      <c r="CY1007" s="452"/>
      <c r="CZ1007" s="452"/>
      <c r="DA1007" s="452"/>
      <c r="DB1007" s="452"/>
      <c r="DC1007" s="452"/>
      <c r="DD1007" s="452"/>
      <c r="DE1007" s="452"/>
      <c r="DF1007" s="452"/>
      <c r="DG1007" s="452"/>
      <c r="DH1007" s="452"/>
      <c r="DI1007" s="452"/>
      <c r="DJ1007" s="452"/>
      <c r="DK1007" s="452"/>
      <c r="DL1007" s="452"/>
      <c r="DM1007" s="452"/>
      <c r="DN1007" s="452"/>
      <c r="DO1007" s="452"/>
      <c r="DP1007" s="452"/>
      <c r="DQ1007" s="452"/>
      <c r="DR1007" s="452"/>
      <c r="DS1007" s="452"/>
      <c r="DT1007" s="452"/>
      <c r="DU1007" s="452"/>
      <c r="DV1007" s="452"/>
      <c r="DW1007" s="452"/>
      <c r="DX1007" s="452"/>
      <c r="DY1007" s="452"/>
      <c r="DZ1007" s="452"/>
      <c r="EA1007" s="452"/>
      <c r="EB1007" s="452"/>
      <c r="EC1007" s="452"/>
      <c r="ED1007" s="452"/>
      <c r="EE1007" s="452"/>
    </row>
    <row r="1008" spans="3:135" hidden="1">
      <c r="C1008" s="478" t="s">
        <v>513</v>
      </c>
      <c r="D1008" s="478"/>
      <c r="E1008" s="478"/>
      <c r="F1008" s="478"/>
      <c r="G1008" s="478"/>
      <c r="H1008" s="478"/>
      <c r="I1008" s="478"/>
      <c r="J1008" s="478"/>
      <c r="K1008" s="478"/>
      <c r="L1008" s="478"/>
      <c r="M1008" s="478"/>
      <c r="N1008" s="478"/>
      <c r="O1008" s="209" t="s">
        <v>117</v>
      </c>
      <c r="P1008" s="209"/>
      <c r="Q1008" s="209"/>
      <c r="R1008" s="209"/>
      <c r="S1008" s="209"/>
      <c r="T1008" s="209"/>
      <c r="U1008" s="209"/>
      <c r="V1008" s="100"/>
      <c r="W1008" s="231" t="s">
        <v>511</v>
      </c>
      <c r="X1008" s="232"/>
      <c r="Y1008" s="232"/>
      <c r="Z1008" s="232"/>
      <c r="AA1008" s="232"/>
      <c r="AB1008" s="232"/>
      <c r="AC1008" s="232"/>
      <c r="AD1008" s="232"/>
      <c r="AE1008" s="232"/>
      <c r="AF1008" s="232"/>
      <c r="AG1008" s="232"/>
      <c r="AH1008" s="232"/>
      <c r="AI1008" s="232"/>
      <c r="AJ1008" s="232"/>
      <c r="AK1008" s="232"/>
      <c r="AL1008" s="232"/>
      <c r="AM1008" s="232"/>
      <c r="AN1008" s="232"/>
      <c r="AO1008" s="232"/>
      <c r="AP1008" s="232"/>
      <c r="AQ1008" s="232"/>
      <c r="AR1008" s="232"/>
      <c r="AS1008" s="232"/>
      <c r="AT1008" s="232"/>
      <c r="AU1008" s="232"/>
      <c r="AV1008" s="232"/>
      <c r="AW1008" s="232"/>
      <c r="AX1008" s="232"/>
      <c r="AY1008" s="232"/>
      <c r="AZ1008" s="232"/>
      <c r="BA1008" s="232"/>
      <c r="BB1008" s="232"/>
      <c r="BC1008" s="232"/>
      <c r="BD1008" s="232"/>
      <c r="BE1008" s="232"/>
      <c r="BF1008" s="232"/>
      <c r="BG1008" s="232"/>
      <c r="BH1008" s="232"/>
      <c r="BI1008" s="232"/>
      <c r="BJ1008" s="232"/>
      <c r="BK1008" s="232"/>
      <c r="BL1008" s="232"/>
      <c r="BM1008" s="232"/>
      <c r="BN1008" s="232"/>
      <c r="BO1008" s="232"/>
      <c r="BP1008" s="232"/>
      <c r="BQ1008" s="232"/>
      <c r="BR1008" s="232"/>
      <c r="BS1008" s="233"/>
      <c r="BT1008" s="100"/>
      <c r="BU1008" s="231" t="s">
        <v>571</v>
      </c>
      <c r="BV1008" s="232"/>
      <c r="BW1008" s="232"/>
      <c r="BX1008" s="232"/>
      <c r="BY1008" s="232"/>
      <c r="BZ1008" s="232"/>
      <c r="CA1008" s="232"/>
      <c r="CB1008" s="232"/>
      <c r="CC1008" s="232"/>
      <c r="CD1008" s="232"/>
      <c r="CE1008" s="232"/>
      <c r="CF1008" s="232"/>
      <c r="CG1008" s="232"/>
      <c r="CH1008" s="232"/>
      <c r="CI1008" s="232"/>
      <c r="CJ1008" s="232"/>
      <c r="CK1008" s="232"/>
      <c r="CL1008" s="232"/>
      <c r="CM1008" s="232"/>
      <c r="CN1008" s="232"/>
      <c r="CO1008" s="232"/>
      <c r="CP1008" s="232"/>
      <c r="CQ1008" s="232"/>
      <c r="CR1008" s="232"/>
      <c r="CS1008" s="232"/>
      <c r="CT1008" s="232"/>
      <c r="CU1008" s="232"/>
      <c r="CV1008" s="232"/>
      <c r="CW1008" s="232"/>
      <c r="CX1008" s="232"/>
      <c r="CY1008" s="232"/>
      <c r="CZ1008" s="232"/>
      <c r="DA1008" s="232"/>
      <c r="DB1008" s="232"/>
      <c r="DC1008" s="232"/>
      <c r="DD1008" s="232"/>
      <c r="DE1008" s="232"/>
      <c r="DF1008" s="232"/>
      <c r="DG1008" s="232"/>
      <c r="DH1008" s="232"/>
      <c r="DI1008" s="232"/>
      <c r="DJ1008" s="232"/>
      <c r="DK1008" s="232"/>
      <c r="DL1008" s="232"/>
      <c r="DM1008" s="232"/>
      <c r="DN1008" s="232"/>
      <c r="DO1008" s="232"/>
      <c r="DP1008" s="232"/>
      <c r="DQ1008" s="232"/>
      <c r="DR1008" s="232"/>
      <c r="DS1008" s="232"/>
      <c r="DT1008" s="232"/>
      <c r="DU1008" s="232"/>
      <c r="DV1008" s="232"/>
      <c r="DW1008" s="232"/>
      <c r="DX1008" s="232"/>
      <c r="DY1008" s="232"/>
      <c r="DZ1008" s="232"/>
      <c r="EA1008" s="232"/>
      <c r="EB1008" s="232"/>
      <c r="EC1008" s="232"/>
      <c r="ED1008" s="232"/>
      <c r="EE1008" s="233"/>
    </row>
    <row r="1009" spans="3:135" ht="15.75" hidden="1" thickBot="1">
      <c r="C1009" s="478"/>
      <c r="D1009" s="478"/>
      <c r="E1009" s="478"/>
      <c r="F1009" s="478"/>
      <c r="G1009" s="478"/>
      <c r="H1009" s="478"/>
      <c r="I1009" s="478"/>
      <c r="J1009" s="478"/>
      <c r="K1009" s="478"/>
      <c r="L1009" s="478"/>
      <c r="M1009" s="478"/>
      <c r="N1009" s="478"/>
      <c r="O1009" s="208" t="s">
        <v>569</v>
      </c>
      <c r="P1009" s="208"/>
      <c r="Q1009" s="208"/>
      <c r="R1009" s="208"/>
      <c r="S1009" s="208"/>
      <c r="T1009" s="208"/>
      <c r="U1009" s="208"/>
      <c r="V1009" s="100"/>
      <c r="W1009" s="208" t="s">
        <v>511</v>
      </c>
      <c r="X1009" s="208"/>
      <c r="Y1009" s="208"/>
      <c r="Z1009" s="208"/>
      <c r="AA1009" s="208"/>
      <c r="AB1009" s="208"/>
      <c r="AC1009" s="208"/>
      <c r="AD1009" s="245" t="s">
        <v>493</v>
      </c>
      <c r="AE1009" s="208"/>
      <c r="AF1009" s="208"/>
      <c r="AG1009" s="208"/>
      <c r="AH1009" s="208"/>
      <c r="AI1009" s="208"/>
      <c r="AJ1009" s="208"/>
      <c r="AK1009" s="208" t="s">
        <v>485</v>
      </c>
      <c r="AL1009" s="208"/>
      <c r="AM1009" s="208"/>
      <c r="AN1009" s="208"/>
      <c r="AO1009" s="208"/>
      <c r="AP1009" s="208"/>
      <c r="AQ1009" s="208"/>
      <c r="AR1009" s="208" t="s">
        <v>575</v>
      </c>
      <c r="AS1009" s="208"/>
      <c r="AT1009" s="208"/>
      <c r="AU1009" s="208"/>
      <c r="AV1009" s="208"/>
      <c r="AW1009" s="208"/>
      <c r="AX1009" s="208"/>
      <c r="AY1009" s="208" t="s">
        <v>568</v>
      </c>
      <c r="AZ1009" s="208"/>
      <c r="BA1009" s="208"/>
      <c r="BB1009" s="208"/>
      <c r="BC1009" s="208"/>
      <c r="BD1009" s="208"/>
      <c r="BE1009" s="208"/>
      <c r="BF1009" s="208" t="s">
        <v>492</v>
      </c>
      <c r="BG1009" s="208"/>
      <c r="BH1009" s="208"/>
      <c r="BI1009" s="208"/>
      <c r="BJ1009" s="208"/>
      <c r="BK1009" s="208"/>
      <c r="BL1009" s="208"/>
      <c r="BM1009" s="208" t="s">
        <v>567</v>
      </c>
      <c r="BN1009" s="208"/>
      <c r="BO1009" s="208"/>
      <c r="BP1009" s="208"/>
      <c r="BQ1009" s="208"/>
      <c r="BR1009" s="208"/>
      <c r="BS1009" s="208"/>
      <c r="BT1009" s="100"/>
      <c r="BU1009" s="208" t="s">
        <v>570</v>
      </c>
      <c r="BV1009" s="208"/>
      <c r="BW1009" s="208"/>
      <c r="BX1009" s="208"/>
      <c r="BY1009" s="208"/>
      <c r="BZ1009" s="208"/>
      <c r="CA1009" s="208"/>
      <c r="CB1009" s="208" t="s">
        <v>559</v>
      </c>
      <c r="CC1009" s="208"/>
      <c r="CD1009" s="208"/>
      <c r="CE1009" s="208"/>
      <c r="CF1009" s="208"/>
      <c r="CG1009" s="208"/>
      <c r="CH1009" s="208"/>
      <c r="CI1009" s="208" t="s">
        <v>560</v>
      </c>
      <c r="CJ1009" s="208"/>
      <c r="CK1009" s="208"/>
      <c r="CL1009" s="208"/>
      <c r="CM1009" s="208"/>
      <c r="CN1009" s="208"/>
      <c r="CO1009" s="208"/>
      <c r="CP1009" s="208" t="s">
        <v>561</v>
      </c>
      <c r="CQ1009" s="208"/>
      <c r="CR1009" s="208"/>
      <c r="CS1009" s="208"/>
      <c r="CT1009" s="208"/>
      <c r="CU1009" s="208"/>
      <c r="CV1009" s="208"/>
      <c r="CW1009" s="208" t="s">
        <v>562</v>
      </c>
      <c r="CX1009" s="208"/>
      <c r="CY1009" s="208"/>
      <c r="CZ1009" s="208"/>
      <c r="DA1009" s="208"/>
      <c r="DB1009" s="208"/>
      <c r="DC1009" s="208"/>
      <c r="DD1009" s="208" t="s">
        <v>563</v>
      </c>
      <c r="DE1009" s="208"/>
      <c r="DF1009" s="208"/>
      <c r="DG1009" s="208"/>
      <c r="DH1009" s="208"/>
      <c r="DI1009" s="208"/>
      <c r="DJ1009" s="208"/>
      <c r="DK1009" s="208" t="s">
        <v>564</v>
      </c>
      <c r="DL1009" s="208"/>
      <c r="DM1009" s="208"/>
      <c r="DN1009" s="208"/>
      <c r="DO1009" s="208"/>
      <c r="DP1009" s="208"/>
      <c r="DQ1009" s="208"/>
      <c r="DR1009" s="208" t="s">
        <v>565</v>
      </c>
      <c r="DS1009" s="208"/>
      <c r="DT1009" s="208"/>
      <c r="DU1009" s="208"/>
      <c r="DV1009" s="208"/>
      <c r="DW1009" s="208"/>
      <c r="DX1009" s="208"/>
      <c r="DY1009" s="208" t="s">
        <v>566</v>
      </c>
      <c r="DZ1009" s="208"/>
      <c r="EA1009" s="208"/>
      <c r="EB1009" s="208"/>
      <c r="EC1009" s="208"/>
      <c r="ED1009" s="208"/>
      <c r="EE1009" s="208"/>
    </row>
    <row r="1010" spans="3:135" hidden="1">
      <c r="C1010" s="248" t="s">
        <v>26</v>
      </c>
      <c r="D1010" s="249"/>
      <c r="E1010" s="249"/>
      <c r="F1010" s="249"/>
      <c r="G1010" s="249"/>
      <c r="H1010" s="249"/>
      <c r="I1010" s="249"/>
      <c r="J1010" s="249"/>
      <c r="K1010" s="249"/>
      <c r="L1010" s="249"/>
      <c r="M1010" s="249"/>
      <c r="N1010" s="249"/>
      <c r="O1010" s="237">
        <f>COUNTIFS('Form Details'!$D:$D,"&lt;"&amp;'Adv. Filter'!$A$15,'Form Details'!$N:$N,"Madhu",'Form Details'!$J:$J,$C1010)</f>
        <v>0</v>
      </c>
      <c r="P1010" s="238"/>
      <c r="Q1010" s="238"/>
      <c r="R1010" s="238"/>
      <c r="S1010" s="238"/>
      <c r="T1010" s="238"/>
      <c r="U1010" s="239"/>
      <c r="V1010" s="100"/>
      <c r="W1010" s="237">
        <f>COUNTIFS('Form Details'!$D:$D,"&lt;"&amp;'Adv. Filter'!$A$15,'Form Details'!$N:$N,"Madhu",'Form Details'!$J:$J,$C1010,'Form Details'!$AA:$AA,"Yes")</f>
        <v>0</v>
      </c>
      <c r="X1010" s="238"/>
      <c r="Y1010" s="238"/>
      <c r="Z1010" s="238"/>
      <c r="AA1010" s="238"/>
      <c r="AB1010" s="238"/>
      <c r="AC1010" s="239"/>
      <c r="AD1010" s="237">
        <f>COUNTIFS('Form Details'!$D:$D,"&lt;"&amp;'Adv. Filter'!$A$15,'Form Details'!$N:$N,"Madhu",'Form Details'!$J:$J,$C1010,'Form Details'!$W:$W,"Paid",'Form Details'!$S:$S,'Adv. Filter'!$A$14,'Form Details'!$S:$S,'Adv. Filter'!$B$14)</f>
        <v>0</v>
      </c>
      <c r="AE1010" s="238"/>
      <c r="AF1010" s="238"/>
      <c r="AG1010" s="238"/>
      <c r="AH1010" s="238"/>
      <c r="AI1010" s="238"/>
      <c r="AJ1010" s="239"/>
      <c r="AK1010" s="237">
        <f>COUNTIFS('Form Details'!$D:$D,"&lt;"&amp;'Adv. Filter'!$A$15,'Form Details'!$N:$N,"Madhu",'Form Details'!$J:$J,$C1010,'Form Details'!$W:$W,"Due")</f>
        <v>0</v>
      </c>
      <c r="AL1010" s="238"/>
      <c r="AM1010" s="238"/>
      <c r="AN1010" s="238"/>
      <c r="AO1010" s="238"/>
      <c r="AP1010" s="238"/>
      <c r="AQ1010" s="239"/>
      <c r="AR1010" s="234">
        <f>COUNTIFS('Form Details'!$D:$D,"&lt;"&amp;'Adv. Filter'!$A$15,'Form Details'!$N:$N,"Madhu",'Form Details'!$J:$J,$C1010,'Form Details'!$W:$W,"No Fee")</f>
        <v>0</v>
      </c>
      <c r="AS1010" s="235"/>
      <c r="AT1010" s="235"/>
      <c r="AU1010" s="235"/>
      <c r="AV1010" s="235"/>
      <c r="AW1010" s="235"/>
      <c r="AX1010" s="236"/>
      <c r="AY1010" s="234">
        <f>COUNTIFS('Form Details'!$D:$D,"&lt;"&amp;'Adv. Filter'!$A$15,'Form Details'!$N:$N,"Madhu",'Form Details'!$J:$J,$C1010,'Form Details'!$W:$W,"Paid/Reject")</f>
        <v>0</v>
      </c>
      <c r="AZ1010" s="235"/>
      <c r="BA1010" s="235"/>
      <c r="BB1010" s="235"/>
      <c r="BC1010" s="235"/>
      <c r="BD1010" s="235"/>
      <c r="BE1010" s="236"/>
      <c r="BF1010" s="234">
        <f>COUNTIFS('Form Details'!$D:$D,"&lt;"&amp;'Adv. Filter'!$A$15,'Form Details'!$N:$N,"Madhu",'Form Details'!$J:$J,$C1010,'Form Details'!$W:$W,"Staff")</f>
        <v>0</v>
      </c>
      <c r="BG1010" s="235"/>
      <c r="BH1010" s="235"/>
      <c r="BI1010" s="235"/>
      <c r="BJ1010" s="235"/>
      <c r="BK1010" s="235"/>
      <c r="BL1010" s="236"/>
      <c r="BM1010" s="234">
        <f>COUNTIFS('Form Details'!$D:$D,"&lt;"&amp;'Adv. Filter'!$A$15,'Form Details'!$N:$N,"Madhu",'Form Details'!$J:$J,$C1010,'Form Details'!$W:$W,"File In Office")</f>
        <v>0</v>
      </c>
      <c r="BN1010" s="235"/>
      <c r="BO1010" s="235"/>
      <c r="BP1010" s="235"/>
      <c r="BQ1010" s="235"/>
      <c r="BR1010" s="235"/>
      <c r="BS1010" s="236"/>
      <c r="BT1010" s="100"/>
      <c r="BU1010" s="234">
        <f>COUNTIFS('Form Details'!$D:$D,"&lt;"&amp;'Adv. Filter'!$A$15,'Form Details'!$N:$N,"Madhu",'Form Details'!$J:$J,$C1010,'Form Details'!$AA:$AA,"No")</f>
        <v>0</v>
      </c>
      <c r="BV1010" s="235"/>
      <c r="BW1010" s="235"/>
      <c r="BX1010" s="235"/>
      <c r="BY1010" s="235"/>
      <c r="BZ1010" s="235"/>
      <c r="CA1010" s="236"/>
      <c r="CB1010" s="234">
        <f>COUNTIFS('Form Details'!$D:$D,"&lt;"&amp;'Adv. Filter'!$A$15,'Form Details'!$N:$N,"Madhu",'Form Details'!$J:$J,$C1010,'Form Details'!$W:$W,"Adv/Paid")</f>
        <v>0</v>
      </c>
      <c r="CC1010" s="235"/>
      <c r="CD1010" s="235"/>
      <c r="CE1010" s="235"/>
      <c r="CF1010" s="235"/>
      <c r="CG1010" s="235"/>
      <c r="CH1010" s="236"/>
      <c r="CI1010" s="234">
        <f>COUNTIFS('Form Details'!$D:$D,"&lt;"&amp;'Adv. Filter'!$A$15,'Form Details'!$N:$N,"Madhu",'Form Details'!$J:$J,$C1010,'Form Details'!$W:$W,"Adv/Paid/Reject")</f>
        <v>0</v>
      </c>
      <c r="CJ1010" s="235"/>
      <c r="CK1010" s="235"/>
      <c r="CL1010" s="235"/>
      <c r="CM1010" s="235"/>
      <c r="CN1010" s="235"/>
      <c r="CO1010" s="236"/>
      <c r="CP1010" s="234">
        <f>COUNTIFS('Form Details'!$D:$D,"&lt;"&amp;'Adv. Filter'!$A$15,'Form Details'!$N:$N,"Madhu",'Form Details'!$J:$J,$C1010,'Form Details'!$W:$W,"Reject")</f>
        <v>0</v>
      </c>
      <c r="CQ1010" s="235"/>
      <c r="CR1010" s="235"/>
      <c r="CS1010" s="235"/>
      <c r="CT1010" s="235"/>
      <c r="CU1010" s="235"/>
      <c r="CV1010" s="236"/>
      <c r="CW1010" s="234">
        <f>COUNTIFS('Form Details'!$D:$D,"&lt;"&amp;'Adv. Filter'!$A$15,'Form Details'!$N:$N,"Madhu",'Form Details'!$J:$J,$C1010,'Form Details'!$W:$W,"Adv/Paid/Pending")</f>
        <v>0</v>
      </c>
      <c r="CX1010" s="235"/>
      <c r="CY1010" s="235"/>
      <c r="CZ1010" s="235"/>
      <c r="DA1010" s="235"/>
      <c r="DB1010" s="235"/>
      <c r="DC1010" s="236"/>
      <c r="DD1010" s="234">
        <f>COUNTIFS('Form Details'!$D:$D,"&lt;"&amp;'Adv. Filter'!$A$15,'Form Details'!$N:$N,"Madhu",'Form Details'!$J:$J,$C1010,'Form Details'!$W:$W,"Pending")</f>
        <v>0</v>
      </c>
      <c r="DE1010" s="235"/>
      <c r="DF1010" s="235"/>
      <c r="DG1010" s="235"/>
      <c r="DH1010" s="235"/>
      <c r="DI1010" s="235"/>
      <c r="DJ1010" s="236"/>
      <c r="DK1010" s="234">
        <f>COUNTIFS('Form Details'!$D:$D,"&lt;"&amp;'Adv. Filter'!$A$15,'Form Details'!$N:$N,"Madhu",'Form Details'!$J:$J,$C1010,'Form Details'!$W:$W,"Adv/Paid/NoStatus")</f>
        <v>0</v>
      </c>
      <c r="DL1010" s="235"/>
      <c r="DM1010" s="235"/>
      <c r="DN1010" s="235"/>
      <c r="DO1010" s="235"/>
      <c r="DP1010" s="235"/>
      <c r="DQ1010" s="236"/>
      <c r="DR1010" s="234">
        <f>COUNTIFS('Form Details'!$D:$D,"&lt;"&amp;'Adv. Filter'!$A$15,'Form Details'!$N:$N,"Madhu",'Form Details'!$J:$J,$C1010,'Form Details'!$W:$W,"No Status")</f>
        <v>0</v>
      </c>
      <c r="DS1010" s="235"/>
      <c r="DT1010" s="235"/>
      <c r="DU1010" s="235"/>
      <c r="DV1010" s="235"/>
      <c r="DW1010" s="235"/>
      <c r="DX1010" s="236"/>
      <c r="DY1010" s="234">
        <f>SUM(COUNTIFS('Form Details'!$D:$D,"&lt;"&amp;'Adv. Filter'!$A$15,'Form Details'!$N:$N,"Madhu",'Form Details'!$J:$J,$C1010,'Form Details'!$W:$W,{"Wrong Entry ","Double Entry"}))</f>
        <v>0</v>
      </c>
      <c r="DZ1010" s="235"/>
      <c r="EA1010" s="235"/>
      <c r="EB1010" s="235"/>
      <c r="EC1010" s="235"/>
      <c r="ED1010" s="235"/>
      <c r="EE1010" s="236"/>
    </row>
    <row r="1011" spans="3:135" hidden="1">
      <c r="C1011" s="248" t="s">
        <v>38</v>
      </c>
      <c r="D1011" s="249"/>
      <c r="E1011" s="249"/>
      <c r="F1011" s="249"/>
      <c r="G1011" s="249"/>
      <c r="H1011" s="249"/>
      <c r="I1011" s="249"/>
      <c r="J1011" s="249"/>
      <c r="K1011" s="249"/>
      <c r="L1011" s="249"/>
      <c r="M1011" s="249"/>
      <c r="N1011" s="249"/>
      <c r="O1011" s="237">
        <f>COUNTIFS('Form Details'!$D:$D,"&lt;"&amp;'Adv. Filter'!$A$15,'Form Details'!$N:$N,"Madhu",'Form Details'!$J:$J,$C1011)</f>
        <v>0</v>
      </c>
      <c r="P1011" s="238"/>
      <c r="Q1011" s="238"/>
      <c r="R1011" s="238"/>
      <c r="S1011" s="238"/>
      <c r="T1011" s="238"/>
      <c r="U1011" s="239"/>
      <c r="V1011" s="100"/>
      <c r="W1011" s="237">
        <f>COUNTIFS('Form Details'!$D:$D,"&lt;"&amp;'Adv. Filter'!$A$15,'Form Details'!$N:$N,"Madhu",'Form Details'!$J:$J,$C1011,'Form Details'!$AA:$AA,"Yes")</f>
        <v>0</v>
      </c>
      <c r="X1011" s="238"/>
      <c r="Y1011" s="238"/>
      <c r="Z1011" s="238"/>
      <c r="AA1011" s="238"/>
      <c r="AB1011" s="238"/>
      <c r="AC1011" s="239"/>
      <c r="AD1011" s="237">
        <f>COUNTIFS('Form Details'!$D:$D,"&lt;"&amp;'Adv. Filter'!$A$15,'Form Details'!$N:$N,"Madhu",'Form Details'!$J:$J,$C1011,'Form Details'!$W:$W,"Paid",'Form Details'!$S:$S,'Adv. Filter'!$A$14,'Form Details'!$S:$S,'Adv. Filter'!$B$14)</f>
        <v>0</v>
      </c>
      <c r="AE1011" s="238"/>
      <c r="AF1011" s="238"/>
      <c r="AG1011" s="238"/>
      <c r="AH1011" s="238"/>
      <c r="AI1011" s="238"/>
      <c r="AJ1011" s="239"/>
      <c r="AK1011" s="237">
        <f>COUNTIFS('Form Details'!$D:$D,"&lt;"&amp;'Adv. Filter'!$A$15,'Form Details'!$N:$N,"Madhu",'Form Details'!$J:$J,$C1011,'Form Details'!$W:$W,"Due")</f>
        <v>0</v>
      </c>
      <c r="AL1011" s="238"/>
      <c r="AM1011" s="238"/>
      <c r="AN1011" s="238"/>
      <c r="AO1011" s="238"/>
      <c r="AP1011" s="238"/>
      <c r="AQ1011" s="239"/>
      <c r="AR1011" s="237">
        <f>COUNTIFS('Form Details'!$D:$D,"&lt;"&amp;'Adv. Filter'!$A$15,'Form Details'!$N:$N,"Madhu",'Form Details'!$J:$J,$C1011,'Form Details'!$W:$W,"No Fee")</f>
        <v>0</v>
      </c>
      <c r="AS1011" s="238"/>
      <c r="AT1011" s="238"/>
      <c r="AU1011" s="238"/>
      <c r="AV1011" s="238"/>
      <c r="AW1011" s="238"/>
      <c r="AX1011" s="239"/>
      <c r="AY1011" s="237">
        <f>COUNTIFS('Form Details'!$D:$D,"&lt;"&amp;'Adv. Filter'!$A$15,'Form Details'!$N:$N,"Madhu",'Form Details'!$J:$J,$C1011,'Form Details'!$W:$W,"Paid/Reject")</f>
        <v>0</v>
      </c>
      <c r="AZ1011" s="238"/>
      <c r="BA1011" s="238"/>
      <c r="BB1011" s="238"/>
      <c r="BC1011" s="238"/>
      <c r="BD1011" s="238"/>
      <c r="BE1011" s="239"/>
      <c r="BF1011" s="237">
        <f>COUNTIFS('Form Details'!$D:$D,"&lt;"&amp;'Adv. Filter'!$A$15,'Form Details'!$N:$N,"Madhu",'Form Details'!$J:$J,$C1011,'Form Details'!$W:$W,"Staff")</f>
        <v>0</v>
      </c>
      <c r="BG1011" s="238"/>
      <c r="BH1011" s="238"/>
      <c r="BI1011" s="238"/>
      <c r="BJ1011" s="238"/>
      <c r="BK1011" s="238"/>
      <c r="BL1011" s="239"/>
      <c r="BM1011" s="237">
        <f>COUNTIFS('Form Details'!$D:$D,"&lt;"&amp;'Adv. Filter'!$A$15,'Form Details'!$N:$N,"Madhu",'Form Details'!$J:$J,$C1011,'Form Details'!$W:$W,"File In Office")</f>
        <v>0</v>
      </c>
      <c r="BN1011" s="238"/>
      <c r="BO1011" s="238"/>
      <c r="BP1011" s="238"/>
      <c r="BQ1011" s="238"/>
      <c r="BR1011" s="238"/>
      <c r="BS1011" s="239"/>
      <c r="BT1011" s="100"/>
      <c r="BU1011" s="237">
        <f>COUNTIFS('Form Details'!$D:$D,"&lt;"&amp;'Adv. Filter'!$A$15,'Form Details'!$N:$N,"Madhu",'Form Details'!$J:$J,$C1011,'Form Details'!$AA:$AA,"No")</f>
        <v>0</v>
      </c>
      <c r="BV1011" s="238"/>
      <c r="BW1011" s="238"/>
      <c r="BX1011" s="238"/>
      <c r="BY1011" s="238"/>
      <c r="BZ1011" s="238"/>
      <c r="CA1011" s="239"/>
      <c r="CB1011" s="237">
        <f>COUNTIFS('Form Details'!$D:$D,"&lt;"&amp;'Adv. Filter'!$A$15,'Form Details'!$N:$N,"Madhu",'Form Details'!$J:$J,$C1011,'Form Details'!$W:$W,"Adv/Paid")</f>
        <v>0</v>
      </c>
      <c r="CC1011" s="238"/>
      <c r="CD1011" s="238"/>
      <c r="CE1011" s="238"/>
      <c r="CF1011" s="238"/>
      <c r="CG1011" s="238"/>
      <c r="CH1011" s="239"/>
      <c r="CI1011" s="237">
        <f>COUNTIFS('Form Details'!$D:$D,"&lt;"&amp;'Adv. Filter'!$A$15,'Form Details'!$N:$N,"Madhu",'Form Details'!$J:$J,$C1011,'Form Details'!$W:$W,"Adv/Paid/Reject")</f>
        <v>0</v>
      </c>
      <c r="CJ1011" s="238"/>
      <c r="CK1011" s="238"/>
      <c r="CL1011" s="238"/>
      <c r="CM1011" s="238"/>
      <c r="CN1011" s="238"/>
      <c r="CO1011" s="239"/>
      <c r="CP1011" s="237">
        <f>COUNTIFS('Form Details'!$D:$D,"&lt;"&amp;'Adv. Filter'!$A$15,'Form Details'!$N:$N,"Madhu",'Form Details'!$J:$J,$C1011,'Form Details'!$W:$W,"Reject")</f>
        <v>0</v>
      </c>
      <c r="CQ1011" s="238"/>
      <c r="CR1011" s="238"/>
      <c r="CS1011" s="238"/>
      <c r="CT1011" s="238"/>
      <c r="CU1011" s="238"/>
      <c r="CV1011" s="239"/>
      <c r="CW1011" s="237">
        <f>COUNTIFS('Form Details'!$D:$D,"&lt;"&amp;'Adv. Filter'!$A$15,'Form Details'!$N:$N,"Madhu",'Form Details'!$J:$J,$C1011,'Form Details'!$W:$W,"Adv/Paid/Pending")</f>
        <v>0</v>
      </c>
      <c r="CX1011" s="238"/>
      <c r="CY1011" s="238"/>
      <c r="CZ1011" s="238"/>
      <c r="DA1011" s="238"/>
      <c r="DB1011" s="238"/>
      <c r="DC1011" s="239"/>
      <c r="DD1011" s="237">
        <f>COUNTIFS('Form Details'!$D:$D,"&lt;"&amp;'Adv. Filter'!$A$15,'Form Details'!$N:$N,"Madhu",'Form Details'!$J:$J,$C1011,'Form Details'!$W:$W,"Pending")</f>
        <v>0</v>
      </c>
      <c r="DE1011" s="238"/>
      <c r="DF1011" s="238"/>
      <c r="DG1011" s="238"/>
      <c r="DH1011" s="238"/>
      <c r="DI1011" s="238"/>
      <c r="DJ1011" s="239"/>
      <c r="DK1011" s="237">
        <f>COUNTIFS('Form Details'!$D:$D,"&lt;"&amp;'Adv. Filter'!$A$15,'Form Details'!$N:$N,"Madhu",'Form Details'!$J:$J,$C1011,'Form Details'!$W:$W,"Adv/Paid/NoStatus")</f>
        <v>0</v>
      </c>
      <c r="DL1011" s="238"/>
      <c r="DM1011" s="238"/>
      <c r="DN1011" s="238"/>
      <c r="DO1011" s="238"/>
      <c r="DP1011" s="238"/>
      <c r="DQ1011" s="239"/>
      <c r="DR1011" s="237">
        <f>COUNTIFS('Form Details'!$D:$D,"&lt;"&amp;'Adv. Filter'!$A$15,'Form Details'!$N:$N,"Madhu",'Form Details'!$J:$J,$C1011,'Form Details'!$W:$W,"No Status")</f>
        <v>0</v>
      </c>
      <c r="DS1011" s="238"/>
      <c r="DT1011" s="238"/>
      <c r="DU1011" s="238"/>
      <c r="DV1011" s="238"/>
      <c r="DW1011" s="238"/>
      <c r="DX1011" s="239"/>
      <c r="DY1011" s="237">
        <f>SUM(COUNTIFS('Form Details'!$D:$D,"&lt;"&amp;'Adv. Filter'!$A$15,'Form Details'!$N:$N,"Madhu",'Form Details'!$J:$J,$C1011,'Form Details'!$W:$W,{"Wrong Entry ","Double Entry"}))</f>
        <v>0</v>
      </c>
      <c r="DZ1011" s="238"/>
      <c r="EA1011" s="238"/>
      <c r="EB1011" s="238"/>
      <c r="EC1011" s="238"/>
      <c r="ED1011" s="238"/>
      <c r="EE1011" s="239"/>
    </row>
    <row r="1012" spans="3:135" hidden="1">
      <c r="C1012" s="248" t="s">
        <v>49</v>
      </c>
      <c r="D1012" s="249"/>
      <c r="E1012" s="249"/>
      <c r="F1012" s="249"/>
      <c r="G1012" s="249"/>
      <c r="H1012" s="249"/>
      <c r="I1012" s="249"/>
      <c r="J1012" s="249"/>
      <c r="K1012" s="249"/>
      <c r="L1012" s="249"/>
      <c r="M1012" s="249"/>
      <c r="N1012" s="249"/>
      <c r="O1012" s="237">
        <f>COUNTIFS('Form Details'!$D:$D,"&lt;"&amp;'Adv. Filter'!$A$15,'Form Details'!$N:$N,"Madhu",'Form Details'!$J:$J,$C1012)</f>
        <v>0</v>
      </c>
      <c r="P1012" s="238"/>
      <c r="Q1012" s="238"/>
      <c r="R1012" s="238"/>
      <c r="S1012" s="238"/>
      <c r="T1012" s="238"/>
      <c r="U1012" s="239"/>
      <c r="V1012" s="100"/>
      <c r="W1012" s="237">
        <f>COUNTIFS('Form Details'!$D:$D,"&lt;"&amp;'Adv. Filter'!$A$15,'Form Details'!$N:$N,"Madhu",'Form Details'!$J:$J,$C1012,'Form Details'!$AA:$AA,"Yes")</f>
        <v>0</v>
      </c>
      <c r="X1012" s="238"/>
      <c r="Y1012" s="238"/>
      <c r="Z1012" s="238"/>
      <c r="AA1012" s="238"/>
      <c r="AB1012" s="238"/>
      <c r="AC1012" s="239"/>
      <c r="AD1012" s="237">
        <f>COUNTIFS('Form Details'!$D:$D,"&lt;"&amp;'Adv. Filter'!$A$15,'Form Details'!$N:$N,"Madhu",'Form Details'!$J:$J,$C1012,'Form Details'!$W:$W,"Paid",'Form Details'!$S:$S,'Adv. Filter'!$A$14,'Form Details'!$S:$S,'Adv. Filter'!$B$14)</f>
        <v>0</v>
      </c>
      <c r="AE1012" s="238"/>
      <c r="AF1012" s="238"/>
      <c r="AG1012" s="238"/>
      <c r="AH1012" s="238"/>
      <c r="AI1012" s="238"/>
      <c r="AJ1012" s="239"/>
      <c r="AK1012" s="237">
        <f>COUNTIFS('Form Details'!$D:$D,"&lt;"&amp;'Adv. Filter'!$A$15,'Form Details'!$N:$N,"Madhu",'Form Details'!$J:$J,$C1012,'Form Details'!$W:$W,"Due")</f>
        <v>0</v>
      </c>
      <c r="AL1012" s="238"/>
      <c r="AM1012" s="238"/>
      <c r="AN1012" s="238"/>
      <c r="AO1012" s="238"/>
      <c r="AP1012" s="238"/>
      <c r="AQ1012" s="239"/>
      <c r="AR1012" s="237">
        <f>COUNTIFS('Form Details'!$D:$D,"&lt;"&amp;'Adv. Filter'!$A$15,'Form Details'!$N:$N,"Madhu",'Form Details'!$J:$J,$C1012,'Form Details'!$W:$W,"No Fee")</f>
        <v>0</v>
      </c>
      <c r="AS1012" s="238"/>
      <c r="AT1012" s="238"/>
      <c r="AU1012" s="238"/>
      <c r="AV1012" s="238"/>
      <c r="AW1012" s="238"/>
      <c r="AX1012" s="239"/>
      <c r="AY1012" s="237">
        <f>COUNTIFS('Form Details'!$D:$D,"&lt;"&amp;'Adv. Filter'!$A$15,'Form Details'!$N:$N,"Madhu",'Form Details'!$J:$J,$C1012,'Form Details'!$W:$W,"Paid/Reject")</f>
        <v>0</v>
      </c>
      <c r="AZ1012" s="238"/>
      <c r="BA1012" s="238"/>
      <c r="BB1012" s="238"/>
      <c r="BC1012" s="238"/>
      <c r="BD1012" s="238"/>
      <c r="BE1012" s="239"/>
      <c r="BF1012" s="237">
        <f>COUNTIFS('Form Details'!$D:$D,"&lt;"&amp;'Adv. Filter'!$A$15,'Form Details'!$N:$N,"Madhu",'Form Details'!$J:$J,$C1012,'Form Details'!$W:$W,"Staff")</f>
        <v>0</v>
      </c>
      <c r="BG1012" s="238"/>
      <c r="BH1012" s="238"/>
      <c r="BI1012" s="238"/>
      <c r="BJ1012" s="238"/>
      <c r="BK1012" s="238"/>
      <c r="BL1012" s="239"/>
      <c r="BM1012" s="237">
        <f>COUNTIFS('Form Details'!$D:$D,"&lt;"&amp;'Adv. Filter'!$A$15,'Form Details'!$N:$N,"Madhu",'Form Details'!$J:$J,$C1012,'Form Details'!$W:$W,"File In Office")</f>
        <v>0</v>
      </c>
      <c r="BN1012" s="238"/>
      <c r="BO1012" s="238"/>
      <c r="BP1012" s="238"/>
      <c r="BQ1012" s="238"/>
      <c r="BR1012" s="238"/>
      <c r="BS1012" s="239"/>
      <c r="BT1012" s="100"/>
      <c r="BU1012" s="237">
        <f>COUNTIFS('Form Details'!$D:$D,"&lt;"&amp;'Adv. Filter'!$A$15,'Form Details'!$N:$N,"Madhu",'Form Details'!$J:$J,$C1012,'Form Details'!$AA:$AA,"No")</f>
        <v>0</v>
      </c>
      <c r="BV1012" s="238"/>
      <c r="BW1012" s="238"/>
      <c r="BX1012" s="238"/>
      <c r="BY1012" s="238"/>
      <c r="BZ1012" s="238"/>
      <c r="CA1012" s="239"/>
      <c r="CB1012" s="237">
        <f>COUNTIFS('Form Details'!$D:$D,"&lt;"&amp;'Adv. Filter'!$A$15,'Form Details'!$N:$N,"Madhu",'Form Details'!$J:$J,$C1012,'Form Details'!$W:$W,"Adv/Paid")</f>
        <v>0</v>
      </c>
      <c r="CC1012" s="238"/>
      <c r="CD1012" s="238"/>
      <c r="CE1012" s="238"/>
      <c r="CF1012" s="238"/>
      <c r="CG1012" s="238"/>
      <c r="CH1012" s="239"/>
      <c r="CI1012" s="237">
        <f>COUNTIFS('Form Details'!$D:$D,"&lt;"&amp;'Adv. Filter'!$A$15,'Form Details'!$N:$N,"Madhu",'Form Details'!$J:$J,$C1012,'Form Details'!$W:$W,"Adv/Paid/Reject")</f>
        <v>0</v>
      </c>
      <c r="CJ1012" s="238"/>
      <c r="CK1012" s="238"/>
      <c r="CL1012" s="238"/>
      <c r="CM1012" s="238"/>
      <c r="CN1012" s="238"/>
      <c r="CO1012" s="239"/>
      <c r="CP1012" s="237">
        <f>COUNTIFS('Form Details'!$D:$D,"&lt;"&amp;'Adv. Filter'!$A$15,'Form Details'!$N:$N,"Madhu",'Form Details'!$J:$J,$C1012,'Form Details'!$W:$W,"Reject")</f>
        <v>0</v>
      </c>
      <c r="CQ1012" s="238"/>
      <c r="CR1012" s="238"/>
      <c r="CS1012" s="238"/>
      <c r="CT1012" s="238"/>
      <c r="CU1012" s="238"/>
      <c r="CV1012" s="239"/>
      <c r="CW1012" s="237">
        <f>COUNTIFS('Form Details'!$D:$D,"&lt;"&amp;'Adv. Filter'!$A$15,'Form Details'!$N:$N,"Madhu",'Form Details'!$J:$J,$C1012,'Form Details'!$W:$W,"Adv/Paid/Pending")</f>
        <v>0</v>
      </c>
      <c r="CX1012" s="238"/>
      <c r="CY1012" s="238"/>
      <c r="CZ1012" s="238"/>
      <c r="DA1012" s="238"/>
      <c r="DB1012" s="238"/>
      <c r="DC1012" s="239"/>
      <c r="DD1012" s="237">
        <f>COUNTIFS('Form Details'!$D:$D,"&lt;"&amp;'Adv. Filter'!$A$15,'Form Details'!$N:$N,"Madhu",'Form Details'!$J:$J,$C1012,'Form Details'!$W:$W,"Pending")</f>
        <v>0</v>
      </c>
      <c r="DE1012" s="238"/>
      <c r="DF1012" s="238"/>
      <c r="DG1012" s="238"/>
      <c r="DH1012" s="238"/>
      <c r="DI1012" s="238"/>
      <c r="DJ1012" s="239"/>
      <c r="DK1012" s="237">
        <f>COUNTIFS('Form Details'!$D:$D,"&lt;"&amp;'Adv. Filter'!$A$15,'Form Details'!$N:$N,"Madhu",'Form Details'!$J:$J,$C1012,'Form Details'!$W:$W,"Adv/Paid/NoStatus")</f>
        <v>0</v>
      </c>
      <c r="DL1012" s="238"/>
      <c r="DM1012" s="238"/>
      <c r="DN1012" s="238"/>
      <c r="DO1012" s="238"/>
      <c r="DP1012" s="238"/>
      <c r="DQ1012" s="239"/>
      <c r="DR1012" s="237">
        <f>COUNTIFS('Form Details'!$D:$D,"&lt;"&amp;'Adv. Filter'!$A$15,'Form Details'!$N:$N,"Madhu",'Form Details'!$J:$J,$C1012,'Form Details'!$W:$W,"No Status")</f>
        <v>0</v>
      </c>
      <c r="DS1012" s="238"/>
      <c r="DT1012" s="238"/>
      <c r="DU1012" s="238"/>
      <c r="DV1012" s="238"/>
      <c r="DW1012" s="238"/>
      <c r="DX1012" s="239"/>
      <c r="DY1012" s="237">
        <f>SUM(COUNTIFS('Form Details'!$D:$D,"&lt;"&amp;'Adv. Filter'!$A$15,'Form Details'!$N:$N,"Madhu",'Form Details'!$J:$J,$C1012,'Form Details'!$W:$W,{"Wrong Entry ","Double Entry"}))</f>
        <v>0</v>
      </c>
      <c r="DZ1012" s="238"/>
      <c r="EA1012" s="238"/>
      <c r="EB1012" s="238"/>
      <c r="EC1012" s="238"/>
      <c r="ED1012" s="238"/>
      <c r="EE1012" s="239"/>
    </row>
    <row r="1013" spans="3:135" hidden="1">
      <c r="C1013" s="248" t="s">
        <v>59</v>
      </c>
      <c r="D1013" s="249"/>
      <c r="E1013" s="249"/>
      <c r="F1013" s="249"/>
      <c r="G1013" s="249"/>
      <c r="H1013" s="249"/>
      <c r="I1013" s="249"/>
      <c r="J1013" s="249"/>
      <c r="K1013" s="249"/>
      <c r="L1013" s="249"/>
      <c r="M1013" s="249"/>
      <c r="N1013" s="249"/>
      <c r="O1013" s="237">
        <f>COUNTIFS('Form Details'!$D:$D,"&lt;"&amp;'Adv. Filter'!$A$15,'Form Details'!$N:$N,"Madhu",'Form Details'!$J:$J,$C1013)</f>
        <v>0</v>
      </c>
      <c r="P1013" s="238"/>
      <c r="Q1013" s="238"/>
      <c r="R1013" s="238"/>
      <c r="S1013" s="238"/>
      <c r="T1013" s="238"/>
      <c r="U1013" s="239"/>
      <c r="V1013" s="100"/>
      <c r="W1013" s="237">
        <f>COUNTIFS('Form Details'!$D:$D,"&lt;"&amp;'Adv. Filter'!$A$15,'Form Details'!$N:$N,"Madhu",'Form Details'!$J:$J,$C1013,'Form Details'!$AA:$AA,"Yes")</f>
        <v>0</v>
      </c>
      <c r="X1013" s="238"/>
      <c r="Y1013" s="238"/>
      <c r="Z1013" s="238"/>
      <c r="AA1013" s="238"/>
      <c r="AB1013" s="238"/>
      <c r="AC1013" s="239"/>
      <c r="AD1013" s="237">
        <f>COUNTIFS('Form Details'!$D:$D,"&lt;"&amp;'Adv. Filter'!$A$15,'Form Details'!$N:$N,"Madhu",'Form Details'!$J:$J,$C1013,'Form Details'!$W:$W,"Paid",'Form Details'!$S:$S,'Adv. Filter'!$A$14,'Form Details'!$S:$S,'Adv. Filter'!$B$14)</f>
        <v>0</v>
      </c>
      <c r="AE1013" s="238"/>
      <c r="AF1013" s="238"/>
      <c r="AG1013" s="238"/>
      <c r="AH1013" s="238"/>
      <c r="AI1013" s="238"/>
      <c r="AJ1013" s="239"/>
      <c r="AK1013" s="237">
        <f>COUNTIFS('Form Details'!$D:$D,"&lt;"&amp;'Adv. Filter'!$A$15,'Form Details'!$N:$N,"Madhu",'Form Details'!$J:$J,$C1013,'Form Details'!$W:$W,"Due")</f>
        <v>0</v>
      </c>
      <c r="AL1013" s="238"/>
      <c r="AM1013" s="238"/>
      <c r="AN1013" s="238"/>
      <c r="AO1013" s="238"/>
      <c r="AP1013" s="238"/>
      <c r="AQ1013" s="239"/>
      <c r="AR1013" s="237">
        <f>COUNTIFS('Form Details'!$D:$D,"&lt;"&amp;'Adv. Filter'!$A$15,'Form Details'!$N:$N,"Madhu",'Form Details'!$J:$J,$C1013,'Form Details'!$W:$W,"No Fee")</f>
        <v>0</v>
      </c>
      <c r="AS1013" s="238"/>
      <c r="AT1013" s="238"/>
      <c r="AU1013" s="238"/>
      <c r="AV1013" s="238"/>
      <c r="AW1013" s="238"/>
      <c r="AX1013" s="239"/>
      <c r="AY1013" s="237">
        <f>COUNTIFS('Form Details'!$D:$D,"&lt;"&amp;'Adv. Filter'!$A$15,'Form Details'!$N:$N,"Madhu",'Form Details'!$J:$J,$C1013,'Form Details'!$W:$W,"Paid/Reject")</f>
        <v>0</v>
      </c>
      <c r="AZ1013" s="238"/>
      <c r="BA1013" s="238"/>
      <c r="BB1013" s="238"/>
      <c r="BC1013" s="238"/>
      <c r="BD1013" s="238"/>
      <c r="BE1013" s="239"/>
      <c r="BF1013" s="237">
        <f>COUNTIFS('Form Details'!$D:$D,"&lt;"&amp;'Adv. Filter'!$A$15,'Form Details'!$N:$N,"Madhu",'Form Details'!$J:$J,$C1013,'Form Details'!$W:$W,"Staff")</f>
        <v>0</v>
      </c>
      <c r="BG1013" s="238"/>
      <c r="BH1013" s="238"/>
      <c r="BI1013" s="238"/>
      <c r="BJ1013" s="238"/>
      <c r="BK1013" s="238"/>
      <c r="BL1013" s="239"/>
      <c r="BM1013" s="237">
        <f>COUNTIFS('Form Details'!$D:$D,"&lt;"&amp;'Adv. Filter'!$A$15,'Form Details'!$N:$N,"Madhu",'Form Details'!$J:$J,$C1013,'Form Details'!$W:$W,"File In Office")</f>
        <v>0</v>
      </c>
      <c r="BN1013" s="238"/>
      <c r="BO1013" s="238"/>
      <c r="BP1013" s="238"/>
      <c r="BQ1013" s="238"/>
      <c r="BR1013" s="238"/>
      <c r="BS1013" s="239"/>
      <c r="BT1013" s="100"/>
      <c r="BU1013" s="237">
        <f>COUNTIFS('Form Details'!$D:$D,"&lt;"&amp;'Adv. Filter'!$A$15,'Form Details'!$N:$N,"Madhu",'Form Details'!$J:$J,$C1013,'Form Details'!$AA:$AA,"No")</f>
        <v>0</v>
      </c>
      <c r="BV1013" s="238"/>
      <c r="BW1013" s="238"/>
      <c r="BX1013" s="238"/>
      <c r="BY1013" s="238"/>
      <c r="BZ1013" s="238"/>
      <c r="CA1013" s="239"/>
      <c r="CB1013" s="237">
        <f>COUNTIFS('Form Details'!$D:$D,"&lt;"&amp;'Adv. Filter'!$A$15,'Form Details'!$N:$N,"Madhu",'Form Details'!$J:$J,$C1013,'Form Details'!$W:$W,"Adv/Paid")</f>
        <v>0</v>
      </c>
      <c r="CC1013" s="238"/>
      <c r="CD1013" s="238"/>
      <c r="CE1013" s="238"/>
      <c r="CF1013" s="238"/>
      <c r="CG1013" s="238"/>
      <c r="CH1013" s="239"/>
      <c r="CI1013" s="237">
        <f>COUNTIFS('Form Details'!$D:$D,"&lt;"&amp;'Adv. Filter'!$A$15,'Form Details'!$N:$N,"Madhu",'Form Details'!$J:$J,$C1013,'Form Details'!$W:$W,"Adv/Paid/Reject")</f>
        <v>0</v>
      </c>
      <c r="CJ1013" s="238"/>
      <c r="CK1013" s="238"/>
      <c r="CL1013" s="238"/>
      <c r="CM1013" s="238"/>
      <c r="CN1013" s="238"/>
      <c r="CO1013" s="239"/>
      <c r="CP1013" s="237">
        <f>COUNTIFS('Form Details'!$D:$D,"&lt;"&amp;'Adv. Filter'!$A$15,'Form Details'!$N:$N,"Madhu",'Form Details'!$J:$J,$C1013,'Form Details'!$W:$W,"Reject")</f>
        <v>0</v>
      </c>
      <c r="CQ1013" s="238"/>
      <c r="CR1013" s="238"/>
      <c r="CS1013" s="238"/>
      <c r="CT1013" s="238"/>
      <c r="CU1013" s="238"/>
      <c r="CV1013" s="239"/>
      <c r="CW1013" s="237">
        <f>COUNTIFS('Form Details'!$D:$D,"&lt;"&amp;'Adv. Filter'!$A$15,'Form Details'!$N:$N,"Madhu",'Form Details'!$J:$J,$C1013,'Form Details'!$W:$W,"Adv/Paid/Pending")</f>
        <v>0</v>
      </c>
      <c r="CX1013" s="238"/>
      <c r="CY1013" s="238"/>
      <c r="CZ1013" s="238"/>
      <c r="DA1013" s="238"/>
      <c r="DB1013" s="238"/>
      <c r="DC1013" s="239"/>
      <c r="DD1013" s="237">
        <f>COUNTIFS('Form Details'!$D:$D,"&lt;"&amp;'Adv. Filter'!$A$15,'Form Details'!$N:$N,"Madhu",'Form Details'!$J:$J,$C1013,'Form Details'!$W:$W,"Pending")</f>
        <v>0</v>
      </c>
      <c r="DE1013" s="238"/>
      <c r="DF1013" s="238"/>
      <c r="DG1013" s="238"/>
      <c r="DH1013" s="238"/>
      <c r="DI1013" s="238"/>
      <c r="DJ1013" s="239"/>
      <c r="DK1013" s="237">
        <f>COUNTIFS('Form Details'!$D:$D,"&lt;"&amp;'Adv. Filter'!$A$15,'Form Details'!$N:$N,"Madhu",'Form Details'!$J:$J,$C1013,'Form Details'!$W:$W,"Adv/Paid/NoStatus")</f>
        <v>0</v>
      </c>
      <c r="DL1013" s="238"/>
      <c r="DM1013" s="238"/>
      <c r="DN1013" s="238"/>
      <c r="DO1013" s="238"/>
      <c r="DP1013" s="238"/>
      <c r="DQ1013" s="239"/>
      <c r="DR1013" s="237">
        <f>COUNTIFS('Form Details'!$D:$D,"&lt;"&amp;'Adv. Filter'!$A$15,'Form Details'!$N:$N,"Madhu",'Form Details'!$J:$J,$C1013,'Form Details'!$W:$W,"No Status")</f>
        <v>0</v>
      </c>
      <c r="DS1013" s="238"/>
      <c r="DT1013" s="238"/>
      <c r="DU1013" s="238"/>
      <c r="DV1013" s="238"/>
      <c r="DW1013" s="238"/>
      <c r="DX1013" s="239"/>
      <c r="DY1013" s="237">
        <f>SUM(COUNTIFS('Form Details'!$D:$D,"&lt;"&amp;'Adv. Filter'!$A$15,'Form Details'!$N:$N,"Madhu",'Form Details'!$J:$J,$C1013,'Form Details'!$W:$W,{"Wrong Entry ","Double Entry"}))</f>
        <v>0</v>
      </c>
      <c r="DZ1013" s="238"/>
      <c r="EA1013" s="238"/>
      <c r="EB1013" s="238"/>
      <c r="EC1013" s="238"/>
      <c r="ED1013" s="238"/>
      <c r="EE1013" s="239"/>
    </row>
    <row r="1014" spans="3:135" hidden="1">
      <c r="C1014" s="248" t="s">
        <v>70</v>
      </c>
      <c r="D1014" s="249"/>
      <c r="E1014" s="249"/>
      <c r="F1014" s="249"/>
      <c r="G1014" s="249"/>
      <c r="H1014" s="249"/>
      <c r="I1014" s="249"/>
      <c r="J1014" s="249"/>
      <c r="K1014" s="249"/>
      <c r="L1014" s="249"/>
      <c r="M1014" s="249"/>
      <c r="N1014" s="249"/>
      <c r="O1014" s="237">
        <f>COUNTIFS('Form Details'!$D:$D,"&lt;"&amp;'Adv. Filter'!$A$15,'Form Details'!$N:$N,"Madhu",'Form Details'!$J:$J,$C1014)</f>
        <v>0</v>
      </c>
      <c r="P1014" s="238"/>
      <c r="Q1014" s="238"/>
      <c r="R1014" s="238"/>
      <c r="S1014" s="238"/>
      <c r="T1014" s="238"/>
      <c r="U1014" s="239"/>
      <c r="V1014" s="100"/>
      <c r="W1014" s="237">
        <f>COUNTIFS('Form Details'!$D:$D,"&lt;"&amp;'Adv. Filter'!$A$15,'Form Details'!$N:$N,"Madhu",'Form Details'!$J:$J,$C1014,'Form Details'!$AA:$AA,"Yes")</f>
        <v>0</v>
      </c>
      <c r="X1014" s="238"/>
      <c r="Y1014" s="238"/>
      <c r="Z1014" s="238"/>
      <c r="AA1014" s="238"/>
      <c r="AB1014" s="238"/>
      <c r="AC1014" s="239"/>
      <c r="AD1014" s="237">
        <f>COUNTIFS('Form Details'!$D:$D,"&lt;"&amp;'Adv. Filter'!$A$15,'Form Details'!$N:$N,"Madhu",'Form Details'!$J:$J,$C1014,'Form Details'!$W:$W,"Paid",'Form Details'!$S:$S,'Adv. Filter'!$A$14,'Form Details'!$S:$S,'Adv. Filter'!$B$14)</f>
        <v>0</v>
      </c>
      <c r="AE1014" s="238"/>
      <c r="AF1014" s="238"/>
      <c r="AG1014" s="238"/>
      <c r="AH1014" s="238"/>
      <c r="AI1014" s="238"/>
      <c r="AJ1014" s="239"/>
      <c r="AK1014" s="237">
        <f>COUNTIFS('Form Details'!$D:$D,"&lt;"&amp;'Adv. Filter'!$A$15,'Form Details'!$N:$N,"Madhu",'Form Details'!$J:$J,$C1014,'Form Details'!$W:$W,"Due")</f>
        <v>0</v>
      </c>
      <c r="AL1014" s="238"/>
      <c r="AM1014" s="238"/>
      <c r="AN1014" s="238"/>
      <c r="AO1014" s="238"/>
      <c r="AP1014" s="238"/>
      <c r="AQ1014" s="239"/>
      <c r="AR1014" s="237">
        <f>COUNTIFS('Form Details'!$D:$D,"&lt;"&amp;'Adv. Filter'!$A$15,'Form Details'!$N:$N,"Madhu",'Form Details'!$J:$J,$C1014,'Form Details'!$W:$W,"No Fee")</f>
        <v>0</v>
      </c>
      <c r="AS1014" s="238"/>
      <c r="AT1014" s="238"/>
      <c r="AU1014" s="238"/>
      <c r="AV1014" s="238"/>
      <c r="AW1014" s="238"/>
      <c r="AX1014" s="239"/>
      <c r="AY1014" s="237">
        <f>COUNTIFS('Form Details'!$D:$D,"&lt;"&amp;'Adv. Filter'!$A$15,'Form Details'!$N:$N,"Madhu",'Form Details'!$J:$J,$C1014,'Form Details'!$W:$W,"Paid/Reject")</f>
        <v>0</v>
      </c>
      <c r="AZ1014" s="238"/>
      <c r="BA1014" s="238"/>
      <c r="BB1014" s="238"/>
      <c r="BC1014" s="238"/>
      <c r="BD1014" s="238"/>
      <c r="BE1014" s="239"/>
      <c r="BF1014" s="237">
        <f>COUNTIFS('Form Details'!$D:$D,"&lt;"&amp;'Adv. Filter'!$A$15,'Form Details'!$N:$N,"Madhu",'Form Details'!$J:$J,$C1014,'Form Details'!$W:$W,"Staff")</f>
        <v>0</v>
      </c>
      <c r="BG1014" s="238"/>
      <c r="BH1014" s="238"/>
      <c r="BI1014" s="238"/>
      <c r="BJ1014" s="238"/>
      <c r="BK1014" s="238"/>
      <c r="BL1014" s="239"/>
      <c r="BM1014" s="237">
        <f>COUNTIFS('Form Details'!$D:$D,"&lt;"&amp;'Adv. Filter'!$A$15,'Form Details'!$N:$N,"Madhu",'Form Details'!$J:$J,$C1014,'Form Details'!$W:$W,"File In Office")</f>
        <v>0</v>
      </c>
      <c r="BN1014" s="238"/>
      <c r="BO1014" s="238"/>
      <c r="BP1014" s="238"/>
      <c r="BQ1014" s="238"/>
      <c r="BR1014" s="238"/>
      <c r="BS1014" s="239"/>
      <c r="BT1014" s="100"/>
      <c r="BU1014" s="237">
        <f>COUNTIFS('Form Details'!$D:$D,"&lt;"&amp;'Adv. Filter'!$A$15,'Form Details'!$N:$N,"Madhu",'Form Details'!$J:$J,$C1014,'Form Details'!$AA:$AA,"No")</f>
        <v>0</v>
      </c>
      <c r="BV1014" s="238"/>
      <c r="BW1014" s="238"/>
      <c r="BX1014" s="238"/>
      <c r="BY1014" s="238"/>
      <c r="BZ1014" s="238"/>
      <c r="CA1014" s="239"/>
      <c r="CB1014" s="237">
        <f>COUNTIFS('Form Details'!$D:$D,"&lt;"&amp;'Adv. Filter'!$A$15,'Form Details'!$N:$N,"Madhu",'Form Details'!$J:$J,$C1014,'Form Details'!$W:$W,"Adv/Paid")</f>
        <v>0</v>
      </c>
      <c r="CC1014" s="238"/>
      <c r="CD1014" s="238"/>
      <c r="CE1014" s="238"/>
      <c r="CF1014" s="238"/>
      <c r="CG1014" s="238"/>
      <c r="CH1014" s="239"/>
      <c r="CI1014" s="237">
        <f>COUNTIFS('Form Details'!$D:$D,"&lt;"&amp;'Adv. Filter'!$A$15,'Form Details'!$N:$N,"Madhu",'Form Details'!$J:$J,$C1014,'Form Details'!$W:$W,"Adv/Paid/Reject")</f>
        <v>0</v>
      </c>
      <c r="CJ1014" s="238"/>
      <c r="CK1014" s="238"/>
      <c r="CL1014" s="238"/>
      <c r="CM1014" s="238"/>
      <c r="CN1014" s="238"/>
      <c r="CO1014" s="239"/>
      <c r="CP1014" s="237">
        <f>COUNTIFS('Form Details'!$D:$D,"&lt;"&amp;'Adv. Filter'!$A$15,'Form Details'!$N:$N,"Madhu",'Form Details'!$J:$J,$C1014,'Form Details'!$W:$W,"Reject")</f>
        <v>0</v>
      </c>
      <c r="CQ1014" s="238"/>
      <c r="CR1014" s="238"/>
      <c r="CS1014" s="238"/>
      <c r="CT1014" s="238"/>
      <c r="CU1014" s="238"/>
      <c r="CV1014" s="239"/>
      <c r="CW1014" s="237">
        <f>COUNTIFS('Form Details'!$D:$D,"&lt;"&amp;'Adv. Filter'!$A$15,'Form Details'!$N:$N,"Madhu",'Form Details'!$J:$J,$C1014,'Form Details'!$W:$W,"Adv/Paid/Pending")</f>
        <v>0</v>
      </c>
      <c r="CX1014" s="238"/>
      <c r="CY1014" s="238"/>
      <c r="CZ1014" s="238"/>
      <c r="DA1014" s="238"/>
      <c r="DB1014" s="238"/>
      <c r="DC1014" s="239"/>
      <c r="DD1014" s="237">
        <f>COUNTIFS('Form Details'!$D:$D,"&lt;"&amp;'Adv. Filter'!$A$15,'Form Details'!$N:$N,"Madhu",'Form Details'!$J:$J,$C1014,'Form Details'!$W:$W,"Pending")</f>
        <v>0</v>
      </c>
      <c r="DE1014" s="238"/>
      <c r="DF1014" s="238"/>
      <c r="DG1014" s="238"/>
      <c r="DH1014" s="238"/>
      <c r="DI1014" s="238"/>
      <c r="DJ1014" s="239"/>
      <c r="DK1014" s="237">
        <f>COUNTIFS('Form Details'!$D:$D,"&lt;"&amp;'Adv. Filter'!$A$15,'Form Details'!$N:$N,"Madhu",'Form Details'!$J:$J,$C1014,'Form Details'!$W:$W,"Adv/Paid/NoStatus")</f>
        <v>0</v>
      </c>
      <c r="DL1014" s="238"/>
      <c r="DM1014" s="238"/>
      <c r="DN1014" s="238"/>
      <c r="DO1014" s="238"/>
      <c r="DP1014" s="238"/>
      <c r="DQ1014" s="239"/>
      <c r="DR1014" s="237">
        <f>COUNTIFS('Form Details'!$D:$D,"&lt;"&amp;'Adv. Filter'!$A$15,'Form Details'!$N:$N,"Madhu",'Form Details'!$J:$J,$C1014,'Form Details'!$W:$W,"No Status")</f>
        <v>0</v>
      </c>
      <c r="DS1014" s="238"/>
      <c r="DT1014" s="238"/>
      <c r="DU1014" s="238"/>
      <c r="DV1014" s="238"/>
      <c r="DW1014" s="238"/>
      <c r="DX1014" s="239"/>
      <c r="DY1014" s="237">
        <f>SUM(COUNTIFS('Form Details'!$D:$D,"&lt;"&amp;'Adv. Filter'!$A$15,'Form Details'!$N:$N,"Madhu",'Form Details'!$J:$J,$C1014,'Form Details'!$W:$W,{"Wrong Entry ","Double Entry"}))</f>
        <v>0</v>
      </c>
      <c r="DZ1014" s="238"/>
      <c r="EA1014" s="238"/>
      <c r="EB1014" s="238"/>
      <c r="EC1014" s="238"/>
      <c r="ED1014" s="238"/>
      <c r="EE1014" s="239"/>
    </row>
    <row r="1015" spans="3:135" hidden="1">
      <c r="C1015" s="248" t="s">
        <v>77</v>
      </c>
      <c r="D1015" s="249"/>
      <c r="E1015" s="249"/>
      <c r="F1015" s="249"/>
      <c r="G1015" s="249"/>
      <c r="H1015" s="249"/>
      <c r="I1015" s="249"/>
      <c r="J1015" s="249"/>
      <c r="K1015" s="249"/>
      <c r="L1015" s="249"/>
      <c r="M1015" s="249"/>
      <c r="N1015" s="249"/>
      <c r="O1015" s="237">
        <f>COUNTIFS('Form Details'!$D:$D,"&lt;"&amp;'Adv. Filter'!$A$15,'Form Details'!$N:$N,"Madhu",'Form Details'!$J:$J,$C1015)</f>
        <v>0</v>
      </c>
      <c r="P1015" s="238"/>
      <c r="Q1015" s="238"/>
      <c r="R1015" s="238"/>
      <c r="S1015" s="238"/>
      <c r="T1015" s="238"/>
      <c r="U1015" s="239"/>
      <c r="V1015" s="100"/>
      <c r="W1015" s="237">
        <f>COUNTIFS('Form Details'!$D:$D,"&lt;"&amp;'Adv. Filter'!$A$15,'Form Details'!$N:$N,"Madhu",'Form Details'!$J:$J,$C1015,'Form Details'!$AA:$AA,"Yes")</f>
        <v>0</v>
      </c>
      <c r="X1015" s="238"/>
      <c r="Y1015" s="238"/>
      <c r="Z1015" s="238"/>
      <c r="AA1015" s="238"/>
      <c r="AB1015" s="238"/>
      <c r="AC1015" s="239"/>
      <c r="AD1015" s="237">
        <f>COUNTIFS('Form Details'!$D:$D,"&lt;"&amp;'Adv. Filter'!$A$15,'Form Details'!$N:$N,"Madhu",'Form Details'!$J:$J,$C1015,'Form Details'!$W:$W,"Paid",'Form Details'!$S:$S,'Adv. Filter'!$A$14,'Form Details'!$S:$S,'Adv. Filter'!$B$14)</f>
        <v>0</v>
      </c>
      <c r="AE1015" s="238"/>
      <c r="AF1015" s="238"/>
      <c r="AG1015" s="238"/>
      <c r="AH1015" s="238"/>
      <c r="AI1015" s="238"/>
      <c r="AJ1015" s="239"/>
      <c r="AK1015" s="237">
        <f>COUNTIFS('Form Details'!$D:$D,"&lt;"&amp;'Adv. Filter'!$A$15,'Form Details'!$N:$N,"Madhu",'Form Details'!$J:$J,$C1015,'Form Details'!$W:$W,"Due")</f>
        <v>0</v>
      </c>
      <c r="AL1015" s="238"/>
      <c r="AM1015" s="238"/>
      <c r="AN1015" s="238"/>
      <c r="AO1015" s="238"/>
      <c r="AP1015" s="238"/>
      <c r="AQ1015" s="239"/>
      <c r="AR1015" s="237">
        <f>COUNTIFS('Form Details'!$D:$D,"&lt;"&amp;'Adv. Filter'!$A$15,'Form Details'!$N:$N,"Madhu",'Form Details'!$J:$J,$C1015,'Form Details'!$W:$W,"No Fee")</f>
        <v>0</v>
      </c>
      <c r="AS1015" s="238"/>
      <c r="AT1015" s="238"/>
      <c r="AU1015" s="238"/>
      <c r="AV1015" s="238"/>
      <c r="AW1015" s="238"/>
      <c r="AX1015" s="239"/>
      <c r="AY1015" s="237">
        <f>COUNTIFS('Form Details'!$D:$D,"&lt;"&amp;'Adv. Filter'!$A$15,'Form Details'!$N:$N,"Madhu",'Form Details'!$J:$J,$C1015,'Form Details'!$W:$W,"Paid/Reject")</f>
        <v>0</v>
      </c>
      <c r="AZ1015" s="238"/>
      <c r="BA1015" s="238"/>
      <c r="BB1015" s="238"/>
      <c r="BC1015" s="238"/>
      <c r="BD1015" s="238"/>
      <c r="BE1015" s="239"/>
      <c r="BF1015" s="237">
        <f>COUNTIFS('Form Details'!$D:$D,"&lt;"&amp;'Adv. Filter'!$A$15,'Form Details'!$N:$N,"Madhu",'Form Details'!$J:$J,$C1015,'Form Details'!$W:$W,"Staff")</f>
        <v>0</v>
      </c>
      <c r="BG1015" s="238"/>
      <c r="BH1015" s="238"/>
      <c r="BI1015" s="238"/>
      <c r="BJ1015" s="238"/>
      <c r="BK1015" s="238"/>
      <c r="BL1015" s="239"/>
      <c r="BM1015" s="237">
        <f>COUNTIFS('Form Details'!$D:$D,"&lt;"&amp;'Adv. Filter'!$A$15,'Form Details'!$N:$N,"Madhu",'Form Details'!$J:$J,$C1015,'Form Details'!$W:$W,"File In Office")</f>
        <v>0</v>
      </c>
      <c r="BN1015" s="238"/>
      <c r="BO1015" s="238"/>
      <c r="BP1015" s="238"/>
      <c r="BQ1015" s="238"/>
      <c r="BR1015" s="238"/>
      <c r="BS1015" s="239"/>
      <c r="BT1015" s="100"/>
      <c r="BU1015" s="237">
        <f>COUNTIFS('Form Details'!$D:$D,"&lt;"&amp;'Adv. Filter'!$A$15,'Form Details'!$N:$N,"Madhu",'Form Details'!$J:$J,$C1015,'Form Details'!$AA:$AA,"No")</f>
        <v>0</v>
      </c>
      <c r="BV1015" s="238"/>
      <c r="BW1015" s="238"/>
      <c r="BX1015" s="238"/>
      <c r="BY1015" s="238"/>
      <c r="BZ1015" s="238"/>
      <c r="CA1015" s="239"/>
      <c r="CB1015" s="237">
        <f>COUNTIFS('Form Details'!$D:$D,"&lt;"&amp;'Adv. Filter'!$A$15,'Form Details'!$N:$N,"Madhu",'Form Details'!$J:$J,$C1015,'Form Details'!$W:$W,"Adv/Paid")</f>
        <v>0</v>
      </c>
      <c r="CC1015" s="238"/>
      <c r="CD1015" s="238"/>
      <c r="CE1015" s="238"/>
      <c r="CF1015" s="238"/>
      <c r="CG1015" s="238"/>
      <c r="CH1015" s="239"/>
      <c r="CI1015" s="237">
        <f>COUNTIFS('Form Details'!$D:$D,"&lt;"&amp;'Adv. Filter'!$A$15,'Form Details'!$N:$N,"Madhu",'Form Details'!$J:$J,$C1015,'Form Details'!$W:$W,"Adv/Paid/Reject")</f>
        <v>0</v>
      </c>
      <c r="CJ1015" s="238"/>
      <c r="CK1015" s="238"/>
      <c r="CL1015" s="238"/>
      <c r="CM1015" s="238"/>
      <c r="CN1015" s="238"/>
      <c r="CO1015" s="239"/>
      <c r="CP1015" s="237">
        <f>COUNTIFS('Form Details'!$D:$D,"&lt;"&amp;'Adv. Filter'!$A$15,'Form Details'!$N:$N,"Madhu",'Form Details'!$J:$J,$C1015,'Form Details'!$W:$W,"Reject")</f>
        <v>0</v>
      </c>
      <c r="CQ1015" s="238"/>
      <c r="CR1015" s="238"/>
      <c r="CS1015" s="238"/>
      <c r="CT1015" s="238"/>
      <c r="CU1015" s="238"/>
      <c r="CV1015" s="239"/>
      <c r="CW1015" s="237">
        <f>COUNTIFS('Form Details'!$D:$D,"&lt;"&amp;'Adv. Filter'!$A$15,'Form Details'!$N:$N,"Madhu",'Form Details'!$J:$J,$C1015,'Form Details'!$W:$W,"Adv/Paid/Pending")</f>
        <v>0</v>
      </c>
      <c r="CX1015" s="238"/>
      <c r="CY1015" s="238"/>
      <c r="CZ1015" s="238"/>
      <c r="DA1015" s="238"/>
      <c r="DB1015" s="238"/>
      <c r="DC1015" s="239"/>
      <c r="DD1015" s="237">
        <f>COUNTIFS('Form Details'!$D:$D,"&lt;"&amp;'Adv. Filter'!$A$15,'Form Details'!$N:$N,"Madhu",'Form Details'!$J:$J,$C1015,'Form Details'!$W:$W,"Pending")</f>
        <v>0</v>
      </c>
      <c r="DE1015" s="238"/>
      <c r="DF1015" s="238"/>
      <c r="DG1015" s="238"/>
      <c r="DH1015" s="238"/>
      <c r="DI1015" s="238"/>
      <c r="DJ1015" s="239"/>
      <c r="DK1015" s="237">
        <f>COUNTIFS('Form Details'!$D:$D,"&lt;"&amp;'Adv. Filter'!$A$15,'Form Details'!$N:$N,"Madhu",'Form Details'!$J:$J,$C1015,'Form Details'!$W:$W,"Adv/Paid/NoStatus")</f>
        <v>0</v>
      </c>
      <c r="DL1015" s="238"/>
      <c r="DM1015" s="238"/>
      <c r="DN1015" s="238"/>
      <c r="DO1015" s="238"/>
      <c r="DP1015" s="238"/>
      <c r="DQ1015" s="239"/>
      <c r="DR1015" s="237">
        <f>COUNTIFS('Form Details'!$D:$D,"&lt;"&amp;'Adv. Filter'!$A$15,'Form Details'!$N:$N,"Madhu",'Form Details'!$J:$J,$C1015,'Form Details'!$W:$W,"No Status")</f>
        <v>0</v>
      </c>
      <c r="DS1015" s="238"/>
      <c r="DT1015" s="238"/>
      <c r="DU1015" s="238"/>
      <c r="DV1015" s="238"/>
      <c r="DW1015" s="238"/>
      <c r="DX1015" s="239"/>
      <c r="DY1015" s="237">
        <f>SUM(COUNTIFS('Form Details'!$D:$D,"&lt;"&amp;'Adv. Filter'!$A$15,'Form Details'!$N:$N,"Madhu",'Form Details'!$J:$J,$C1015,'Form Details'!$W:$W,{"Wrong Entry ","Double Entry"}))</f>
        <v>0</v>
      </c>
      <c r="DZ1015" s="238"/>
      <c r="EA1015" s="238"/>
      <c r="EB1015" s="238"/>
      <c r="EC1015" s="238"/>
      <c r="ED1015" s="238"/>
      <c r="EE1015" s="239"/>
    </row>
    <row r="1016" spans="3:135" hidden="1">
      <c r="C1016" s="248" t="s">
        <v>138</v>
      </c>
      <c r="D1016" s="249"/>
      <c r="E1016" s="249"/>
      <c r="F1016" s="249"/>
      <c r="G1016" s="249"/>
      <c r="H1016" s="249"/>
      <c r="I1016" s="249"/>
      <c r="J1016" s="249"/>
      <c r="K1016" s="249"/>
      <c r="L1016" s="249"/>
      <c r="M1016" s="249"/>
      <c r="N1016" s="249"/>
      <c r="O1016" s="237">
        <f>COUNTIFS('Form Details'!$D:$D,"&lt;"&amp;'Adv. Filter'!$A$15,'Form Details'!$N:$N,"Madhu",'Form Details'!$J:$J,$C1016)</f>
        <v>0</v>
      </c>
      <c r="P1016" s="238"/>
      <c r="Q1016" s="238"/>
      <c r="R1016" s="238"/>
      <c r="S1016" s="238"/>
      <c r="T1016" s="238"/>
      <c r="U1016" s="239"/>
      <c r="V1016" s="100"/>
      <c r="W1016" s="237">
        <f>COUNTIFS('Form Details'!$D:$D,"&lt;"&amp;'Adv. Filter'!$A$15,'Form Details'!$N:$N,"Madhu",'Form Details'!$J:$J,$C1016,'Form Details'!$AA:$AA,"Yes")</f>
        <v>0</v>
      </c>
      <c r="X1016" s="238"/>
      <c r="Y1016" s="238"/>
      <c r="Z1016" s="238"/>
      <c r="AA1016" s="238"/>
      <c r="AB1016" s="238"/>
      <c r="AC1016" s="239"/>
      <c r="AD1016" s="237">
        <f>COUNTIFS('Form Details'!$D:$D,"&lt;"&amp;'Adv. Filter'!$A$15,'Form Details'!$N:$N,"Madhu",'Form Details'!$J:$J,$C1016,'Form Details'!$W:$W,"Paid",'Form Details'!$S:$S,'Adv. Filter'!$A$14,'Form Details'!$S:$S,'Adv. Filter'!$B$14)</f>
        <v>0</v>
      </c>
      <c r="AE1016" s="238"/>
      <c r="AF1016" s="238"/>
      <c r="AG1016" s="238"/>
      <c r="AH1016" s="238"/>
      <c r="AI1016" s="238"/>
      <c r="AJ1016" s="239"/>
      <c r="AK1016" s="237">
        <f>COUNTIFS('Form Details'!$D:$D,"&lt;"&amp;'Adv. Filter'!$A$15,'Form Details'!$N:$N,"Madhu",'Form Details'!$J:$J,$C1016,'Form Details'!$W:$W,"Due")</f>
        <v>0</v>
      </c>
      <c r="AL1016" s="238"/>
      <c r="AM1016" s="238"/>
      <c r="AN1016" s="238"/>
      <c r="AO1016" s="238"/>
      <c r="AP1016" s="238"/>
      <c r="AQ1016" s="239"/>
      <c r="AR1016" s="237">
        <f>COUNTIFS('Form Details'!$D:$D,"&lt;"&amp;'Adv. Filter'!$A$15,'Form Details'!$N:$N,"Madhu",'Form Details'!$J:$J,$C1016,'Form Details'!$W:$W,"No Fee")</f>
        <v>0</v>
      </c>
      <c r="AS1016" s="238"/>
      <c r="AT1016" s="238"/>
      <c r="AU1016" s="238"/>
      <c r="AV1016" s="238"/>
      <c r="AW1016" s="238"/>
      <c r="AX1016" s="239"/>
      <c r="AY1016" s="237">
        <f>COUNTIFS('Form Details'!$D:$D,"&lt;"&amp;'Adv. Filter'!$A$15,'Form Details'!$N:$N,"Madhu",'Form Details'!$J:$J,$C1016,'Form Details'!$W:$W,"Paid/Reject")</f>
        <v>0</v>
      </c>
      <c r="AZ1016" s="238"/>
      <c r="BA1016" s="238"/>
      <c r="BB1016" s="238"/>
      <c r="BC1016" s="238"/>
      <c r="BD1016" s="238"/>
      <c r="BE1016" s="239"/>
      <c r="BF1016" s="237">
        <f>COUNTIFS('Form Details'!$D:$D,"&lt;"&amp;'Adv. Filter'!$A$15,'Form Details'!$N:$N,"Madhu",'Form Details'!$J:$J,$C1016,'Form Details'!$W:$W,"Staff")</f>
        <v>0</v>
      </c>
      <c r="BG1016" s="238"/>
      <c r="BH1016" s="238"/>
      <c r="BI1016" s="238"/>
      <c r="BJ1016" s="238"/>
      <c r="BK1016" s="238"/>
      <c r="BL1016" s="239"/>
      <c r="BM1016" s="237">
        <f>COUNTIFS('Form Details'!$D:$D,"&lt;"&amp;'Adv. Filter'!$A$15,'Form Details'!$N:$N,"Madhu",'Form Details'!$J:$J,$C1016,'Form Details'!$W:$W,"File In Office")</f>
        <v>0</v>
      </c>
      <c r="BN1016" s="238"/>
      <c r="BO1016" s="238"/>
      <c r="BP1016" s="238"/>
      <c r="BQ1016" s="238"/>
      <c r="BR1016" s="238"/>
      <c r="BS1016" s="239"/>
      <c r="BT1016" s="100"/>
      <c r="BU1016" s="237">
        <f>COUNTIFS('Form Details'!$D:$D,"&lt;"&amp;'Adv. Filter'!$A$15,'Form Details'!$N:$N,"Madhu",'Form Details'!$J:$J,$C1016,'Form Details'!$AA:$AA,"No")</f>
        <v>0</v>
      </c>
      <c r="BV1016" s="238"/>
      <c r="BW1016" s="238"/>
      <c r="BX1016" s="238"/>
      <c r="BY1016" s="238"/>
      <c r="BZ1016" s="238"/>
      <c r="CA1016" s="239"/>
      <c r="CB1016" s="237">
        <f>COUNTIFS('Form Details'!$D:$D,"&lt;"&amp;'Adv. Filter'!$A$15,'Form Details'!$N:$N,"Madhu",'Form Details'!$J:$J,$C1016,'Form Details'!$W:$W,"Adv/Paid")</f>
        <v>0</v>
      </c>
      <c r="CC1016" s="238"/>
      <c r="CD1016" s="238"/>
      <c r="CE1016" s="238"/>
      <c r="CF1016" s="238"/>
      <c r="CG1016" s="238"/>
      <c r="CH1016" s="239"/>
      <c r="CI1016" s="237">
        <f>COUNTIFS('Form Details'!$D:$D,"&lt;"&amp;'Adv. Filter'!$A$15,'Form Details'!$N:$N,"Madhu",'Form Details'!$J:$J,$C1016,'Form Details'!$W:$W,"Adv/Paid/Reject")</f>
        <v>0</v>
      </c>
      <c r="CJ1016" s="238"/>
      <c r="CK1016" s="238"/>
      <c r="CL1016" s="238"/>
      <c r="CM1016" s="238"/>
      <c r="CN1016" s="238"/>
      <c r="CO1016" s="239"/>
      <c r="CP1016" s="237">
        <f>COUNTIFS('Form Details'!$D:$D,"&lt;"&amp;'Adv. Filter'!$A$15,'Form Details'!$N:$N,"Madhu",'Form Details'!$J:$J,$C1016,'Form Details'!$W:$W,"Reject")</f>
        <v>0</v>
      </c>
      <c r="CQ1016" s="238"/>
      <c r="CR1016" s="238"/>
      <c r="CS1016" s="238"/>
      <c r="CT1016" s="238"/>
      <c r="CU1016" s="238"/>
      <c r="CV1016" s="239"/>
      <c r="CW1016" s="237">
        <f>COUNTIFS('Form Details'!$D:$D,"&lt;"&amp;'Adv. Filter'!$A$15,'Form Details'!$N:$N,"Madhu",'Form Details'!$J:$J,$C1016,'Form Details'!$W:$W,"Adv/Paid/Pending")</f>
        <v>0</v>
      </c>
      <c r="CX1016" s="238"/>
      <c r="CY1016" s="238"/>
      <c r="CZ1016" s="238"/>
      <c r="DA1016" s="238"/>
      <c r="DB1016" s="238"/>
      <c r="DC1016" s="239"/>
      <c r="DD1016" s="237">
        <f>COUNTIFS('Form Details'!$D:$D,"&lt;"&amp;'Adv. Filter'!$A$15,'Form Details'!$N:$N,"Madhu",'Form Details'!$J:$J,$C1016,'Form Details'!$W:$W,"Pending")</f>
        <v>0</v>
      </c>
      <c r="DE1016" s="238"/>
      <c r="DF1016" s="238"/>
      <c r="DG1016" s="238"/>
      <c r="DH1016" s="238"/>
      <c r="DI1016" s="238"/>
      <c r="DJ1016" s="239"/>
      <c r="DK1016" s="237">
        <f>COUNTIFS('Form Details'!$D:$D,"&lt;"&amp;'Adv. Filter'!$A$15,'Form Details'!$N:$N,"Madhu",'Form Details'!$J:$J,$C1016,'Form Details'!$W:$W,"Adv/Paid/NoStatus")</f>
        <v>0</v>
      </c>
      <c r="DL1016" s="238"/>
      <c r="DM1016" s="238"/>
      <c r="DN1016" s="238"/>
      <c r="DO1016" s="238"/>
      <c r="DP1016" s="238"/>
      <c r="DQ1016" s="239"/>
      <c r="DR1016" s="237">
        <f>COUNTIFS('Form Details'!$D:$D,"&lt;"&amp;'Adv. Filter'!$A$15,'Form Details'!$N:$N,"Madhu",'Form Details'!$J:$J,$C1016,'Form Details'!$W:$W,"No Status")</f>
        <v>0</v>
      </c>
      <c r="DS1016" s="238"/>
      <c r="DT1016" s="238"/>
      <c r="DU1016" s="238"/>
      <c r="DV1016" s="238"/>
      <c r="DW1016" s="238"/>
      <c r="DX1016" s="239"/>
      <c r="DY1016" s="237">
        <f>SUM(COUNTIFS('Form Details'!$D:$D,"&lt;"&amp;'Adv. Filter'!$A$15,'Form Details'!$N:$N,"Madhu",'Form Details'!$J:$J,$C1016,'Form Details'!$W:$W,{"Wrong Entry ","Double Entry"}))</f>
        <v>0</v>
      </c>
      <c r="DZ1016" s="238"/>
      <c r="EA1016" s="238"/>
      <c r="EB1016" s="238"/>
      <c r="EC1016" s="238"/>
      <c r="ED1016" s="238"/>
      <c r="EE1016" s="239"/>
    </row>
    <row r="1017" spans="3:135" hidden="1">
      <c r="C1017" s="248" t="s">
        <v>84</v>
      </c>
      <c r="D1017" s="249"/>
      <c r="E1017" s="249"/>
      <c r="F1017" s="249"/>
      <c r="G1017" s="249"/>
      <c r="H1017" s="249"/>
      <c r="I1017" s="249"/>
      <c r="J1017" s="249"/>
      <c r="K1017" s="249"/>
      <c r="L1017" s="249"/>
      <c r="M1017" s="249"/>
      <c r="N1017" s="249"/>
      <c r="O1017" s="237">
        <f>COUNTIFS('Form Details'!$D:$D,"&lt;"&amp;'Adv. Filter'!$A$15,'Form Details'!$N:$N,"Madhu",'Form Details'!$J:$J,$C1017)</f>
        <v>0</v>
      </c>
      <c r="P1017" s="238"/>
      <c r="Q1017" s="238"/>
      <c r="R1017" s="238"/>
      <c r="S1017" s="238"/>
      <c r="T1017" s="238"/>
      <c r="U1017" s="239"/>
      <c r="V1017" s="100"/>
      <c r="W1017" s="237">
        <f>COUNTIFS('Form Details'!$D:$D,"&lt;"&amp;'Adv. Filter'!$A$15,'Form Details'!$N:$N,"Madhu",'Form Details'!$J:$J,$C1017,'Form Details'!$AA:$AA,"Yes")</f>
        <v>0</v>
      </c>
      <c r="X1017" s="238"/>
      <c r="Y1017" s="238"/>
      <c r="Z1017" s="238"/>
      <c r="AA1017" s="238"/>
      <c r="AB1017" s="238"/>
      <c r="AC1017" s="239"/>
      <c r="AD1017" s="237">
        <f>COUNTIFS('Form Details'!$D:$D,"&lt;"&amp;'Adv. Filter'!$A$15,'Form Details'!$N:$N,"Madhu",'Form Details'!$J:$J,$C1017,'Form Details'!$W:$W,"Paid",'Form Details'!$S:$S,'Adv. Filter'!$A$14,'Form Details'!$S:$S,'Adv. Filter'!$B$14)</f>
        <v>0</v>
      </c>
      <c r="AE1017" s="238"/>
      <c r="AF1017" s="238"/>
      <c r="AG1017" s="238"/>
      <c r="AH1017" s="238"/>
      <c r="AI1017" s="238"/>
      <c r="AJ1017" s="239"/>
      <c r="AK1017" s="237">
        <f>COUNTIFS('Form Details'!$D:$D,"&lt;"&amp;'Adv. Filter'!$A$15,'Form Details'!$N:$N,"Madhu",'Form Details'!$J:$J,$C1017,'Form Details'!$W:$W,"Due")</f>
        <v>0</v>
      </c>
      <c r="AL1017" s="238"/>
      <c r="AM1017" s="238"/>
      <c r="AN1017" s="238"/>
      <c r="AO1017" s="238"/>
      <c r="AP1017" s="238"/>
      <c r="AQ1017" s="239"/>
      <c r="AR1017" s="237">
        <f>COUNTIFS('Form Details'!$D:$D,"&lt;"&amp;'Adv. Filter'!$A$15,'Form Details'!$N:$N,"Madhu",'Form Details'!$J:$J,$C1017,'Form Details'!$W:$W,"No Fee")</f>
        <v>0</v>
      </c>
      <c r="AS1017" s="238"/>
      <c r="AT1017" s="238"/>
      <c r="AU1017" s="238"/>
      <c r="AV1017" s="238"/>
      <c r="AW1017" s="238"/>
      <c r="AX1017" s="239"/>
      <c r="AY1017" s="237">
        <f>COUNTIFS('Form Details'!$D:$D,"&lt;"&amp;'Adv. Filter'!$A$15,'Form Details'!$N:$N,"Madhu",'Form Details'!$J:$J,$C1017,'Form Details'!$W:$W,"Paid/Reject")</f>
        <v>0</v>
      </c>
      <c r="AZ1017" s="238"/>
      <c r="BA1017" s="238"/>
      <c r="BB1017" s="238"/>
      <c r="BC1017" s="238"/>
      <c r="BD1017" s="238"/>
      <c r="BE1017" s="239"/>
      <c r="BF1017" s="237">
        <f>COUNTIFS('Form Details'!$D:$D,"&lt;"&amp;'Adv. Filter'!$A$15,'Form Details'!$N:$N,"Madhu",'Form Details'!$J:$J,$C1017,'Form Details'!$W:$W,"Staff")</f>
        <v>0</v>
      </c>
      <c r="BG1017" s="238"/>
      <c r="BH1017" s="238"/>
      <c r="BI1017" s="238"/>
      <c r="BJ1017" s="238"/>
      <c r="BK1017" s="238"/>
      <c r="BL1017" s="239"/>
      <c r="BM1017" s="237">
        <f>COUNTIFS('Form Details'!$D:$D,"&lt;"&amp;'Adv. Filter'!$A$15,'Form Details'!$N:$N,"Madhu",'Form Details'!$J:$J,$C1017,'Form Details'!$W:$W,"File In Office")</f>
        <v>0</v>
      </c>
      <c r="BN1017" s="238"/>
      <c r="BO1017" s="238"/>
      <c r="BP1017" s="238"/>
      <c r="BQ1017" s="238"/>
      <c r="BR1017" s="238"/>
      <c r="BS1017" s="239"/>
      <c r="BT1017" s="100"/>
      <c r="BU1017" s="237">
        <f>COUNTIFS('Form Details'!$D:$D,"&lt;"&amp;'Adv. Filter'!$A$15,'Form Details'!$N:$N,"Madhu",'Form Details'!$J:$J,$C1017,'Form Details'!$AA:$AA,"No")</f>
        <v>0</v>
      </c>
      <c r="BV1017" s="238"/>
      <c r="BW1017" s="238"/>
      <c r="BX1017" s="238"/>
      <c r="BY1017" s="238"/>
      <c r="BZ1017" s="238"/>
      <c r="CA1017" s="239"/>
      <c r="CB1017" s="237">
        <f>COUNTIFS('Form Details'!$D:$D,"&lt;"&amp;'Adv. Filter'!$A$15,'Form Details'!$N:$N,"Madhu",'Form Details'!$J:$J,$C1017,'Form Details'!$W:$W,"Adv/Paid")</f>
        <v>0</v>
      </c>
      <c r="CC1017" s="238"/>
      <c r="CD1017" s="238"/>
      <c r="CE1017" s="238"/>
      <c r="CF1017" s="238"/>
      <c r="CG1017" s="238"/>
      <c r="CH1017" s="239"/>
      <c r="CI1017" s="237">
        <f>COUNTIFS('Form Details'!$D:$D,"&lt;"&amp;'Adv. Filter'!$A$15,'Form Details'!$N:$N,"Madhu",'Form Details'!$J:$J,$C1017,'Form Details'!$W:$W,"Adv/Paid/Reject")</f>
        <v>0</v>
      </c>
      <c r="CJ1017" s="238"/>
      <c r="CK1017" s="238"/>
      <c r="CL1017" s="238"/>
      <c r="CM1017" s="238"/>
      <c r="CN1017" s="238"/>
      <c r="CO1017" s="239"/>
      <c r="CP1017" s="237">
        <f>COUNTIFS('Form Details'!$D:$D,"&lt;"&amp;'Adv. Filter'!$A$15,'Form Details'!$N:$N,"Madhu",'Form Details'!$J:$J,$C1017,'Form Details'!$W:$W,"Reject")</f>
        <v>0</v>
      </c>
      <c r="CQ1017" s="238"/>
      <c r="CR1017" s="238"/>
      <c r="CS1017" s="238"/>
      <c r="CT1017" s="238"/>
      <c r="CU1017" s="238"/>
      <c r="CV1017" s="239"/>
      <c r="CW1017" s="237">
        <f>COUNTIFS('Form Details'!$D:$D,"&lt;"&amp;'Adv. Filter'!$A$15,'Form Details'!$N:$N,"Madhu",'Form Details'!$J:$J,$C1017,'Form Details'!$W:$W,"Adv/Paid/Pending")</f>
        <v>0</v>
      </c>
      <c r="CX1017" s="238"/>
      <c r="CY1017" s="238"/>
      <c r="CZ1017" s="238"/>
      <c r="DA1017" s="238"/>
      <c r="DB1017" s="238"/>
      <c r="DC1017" s="239"/>
      <c r="DD1017" s="237">
        <f>COUNTIFS('Form Details'!$D:$D,"&lt;"&amp;'Adv. Filter'!$A$15,'Form Details'!$N:$N,"Madhu",'Form Details'!$J:$J,$C1017,'Form Details'!$W:$W,"Pending")</f>
        <v>0</v>
      </c>
      <c r="DE1017" s="238"/>
      <c r="DF1017" s="238"/>
      <c r="DG1017" s="238"/>
      <c r="DH1017" s="238"/>
      <c r="DI1017" s="238"/>
      <c r="DJ1017" s="239"/>
      <c r="DK1017" s="237">
        <f>COUNTIFS('Form Details'!$D:$D,"&lt;"&amp;'Adv. Filter'!$A$15,'Form Details'!$N:$N,"Madhu",'Form Details'!$J:$J,$C1017,'Form Details'!$W:$W,"Adv/Paid/NoStatus")</f>
        <v>0</v>
      </c>
      <c r="DL1017" s="238"/>
      <c r="DM1017" s="238"/>
      <c r="DN1017" s="238"/>
      <c r="DO1017" s="238"/>
      <c r="DP1017" s="238"/>
      <c r="DQ1017" s="239"/>
      <c r="DR1017" s="237">
        <f>COUNTIFS('Form Details'!$D:$D,"&lt;"&amp;'Adv. Filter'!$A$15,'Form Details'!$N:$N,"Madhu",'Form Details'!$J:$J,$C1017,'Form Details'!$W:$W,"No Status")</f>
        <v>0</v>
      </c>
      <c r="DS1017" s="238"/>
      <c r="DT1017" s="238"/>
      <c r="DU1017" s="238"/>
      <c r="DV1017" s="238"/>
      <c r="DW1017" s="238"/>
      <c r="DX1017" s="239"/>
      <c r="DY1017" s="237">
        <f>SUM(COUNTIFS('Form Details'!$D:$D,"&lt;"&amp;'Adv. Filter'!$A$15,'Form Details'!$N:$N,"Madhu",'Form Details'!$J:$J,$C1017,'Form Details'!$W:$W,{"Wrong Entry ","Double Entry"}))</f>
        <v>0</v>
      </c>
      <c r="DZ1017" s="238"/>
      <c r="EA1017" s="238"/>
      <c r="EB1017" s="238"/>
      <c r="EC1017" s="238"/>
      <c r="ED1017" s="238"/>
      <c r="EE1017" s="239"/>
    </row>
    <row r="1018" spans="3:135" hidden="1">
      <c r="C1018" s="248" t="s">
        <v>551</v>
      </c>
      <c r="D1018" s="249"/>
      <c r="E1018" s="249"/>
      <c r="F1018" s="249"/>
      <c r="G1018" s="249"/>
      <c r="H1018" s="249"/>
      <c r="I1018" s="249"/>
      <c r="J1018" s="249"/>
      <c r="K1018" s="249"/>
      <c r="L1018" s="249"/>
      <c r="M1018" s="249"/>
      <c r="N1018" s="249"/>
      <c r="O1018" s="237">
        <f>COUNTIFS('Form Details'!$D:$D,"&lt;"&amp;'Adv. Filter'!$A$15,'Form Details'!$N:$N,"Madhu",'Form Details'!$J:$J,$C1018)</f>
        <v>0</v>
      </c>
      <c r="P1018" s="238"/>
      <c r="Q1018" s="238"/>
      <c r="R1018" s="238"/>
      <c r="S1018" s="238"/>
      <c r="T1018" s="238"/>
      <c r="U1018" s="239"/>
      <c r="V1018" s="100"/>
      <c r="W1018" s="237">
        <f>COUNTIFS('Form Details'!$D:$D,"&lt;"&amp;'Adv. Filter'!$A$15,'Form Details'!$N:$N,"Madhu",'Form Details'!$J:$J,$C1018,'Form Details'!$AA:$AA,"Yes")</f>
        <v>0</v>
      </c>
      <c r="X1018" s="238"/>
      <c r="Y1018" s="238"/>
      <c r="Z1018" s="238"/>
      <c r="AA1018" s="238"/>
      <c r="AB1018" s="238"/>
      <c r="AC1018" s="239"/>
      <c r="AD1018" s="237">
        <f>COUNTIFS('Form Details'!$D:$D,"&lt;"&amp;'Adv. Filter'!$A$15,'Form Details'!$N:$N,"Madhu",'Form Details'!$J:$J,$C1018,'Form Details'!$W:$W,"Paid",'Form Details'!$S:$S,'Adv. Filter'!$A$14,'Form Details'!$S:$S,'Adv. Filter'!$B$14)</f>
        <v>0</v>
      </c>
      <c r="AE1018" s="238"/>
      <c r="AF1018" s="238"/>
      <c r="AG1018" s="238"/>
      <c r="AH1018" s="238"/>
      <c r="AI1018" s="238"/>
      <c r="AJ1018" s="239"/>
      <c r="AK1018" s="237">
        <f>COUNTIFS('Form Details'!$D:$D,"&lt;"&amp;'Adv. Filter'!$A$15,'Form Details'!$N:$N,"Madhu",'Form Details'!$J:$J,$C1018,'Form Details'!$W:$W,"Due")</f>
        <v>0</v>
      </c>
      <c r="AL1018" s="238"/>
      <c r="AM1018" s="238"/>
      <c r="AN1018" s="238"/>
      <c r="AO1018" s="238"/>
      <c r="AP1018" s="238"/>
      <c r="AQ1018" s="239"/>
      <c r="AR1018" s="237">
        <f>COUNTIFS('Form Details'!$D:$D,"&lt;"&amp;'Adv. Filter'!$A$15,'Form Details'!$N:$N,"Madhu",'Form Details'!$J:$J,$C1018,'Form Details'!$W:$W,"No Fee")</f>
        <v>0</v>
      </c>
      <c r="AS1018" s="238"/>
      <c r="AT1018" s="238"/>
      <c r="AU1018" s="238"/>
      <c r="AV1018" s="238"/>
      <c r="AW1018" s="238"/>
      <c r="AX1018" s="239"/>
      <c r="AY1018" s="237">
        <f>COUNTIFS('Form Details'!$D:$D,"&lt;"&amp;'Adv. Filter'!$A$15,'Form Details'!$N:$N,"Madhu",'Form Details'!$J:$J,$C1018,'Form Details'!$W:$W,"Paid/Reject")</f>
        <v>0</v>
      </c>
      <c r="AZ1018" s="238"/>
      <c r="BA1018" s="238"/>
      <c r="BB1018" s="238"/>
      <c r="BC1018" s="238"/>
      <c r="BD1018" s="238"/>
      <c r="BE1018" s="239"/>
      <c r="BF1018" s="237">
        <f>COUNTIFS('Form Details'!$D:$D,"&lt;"&amp;'Adv. Filter'!$A$15,'Form Details'!$N:$N,"Madhu",'Form Details'!$J:$J,$C1018,'Form Details'!$W:$W,"Staff")</f>
        <v>0</v>
      </c>
      <c r="BG1018" s="238"/>
      <c r="BH1018" s="238"/>
      <c r="BI1018" s="238"/>
      <c r="BJ1018" s="238"/>
      <c r="BK1018" s="238"/>
      <c r="BL1018" s="239"/>
      <c r="BM1018" s="237">
        <f>COUNTIFS('Form Details'!$D:$D,"&lt;"&amp;'Adv. Filter'!$A$15,'Form Details'!$N:$N,"Madhu",'Form Details'!$J:$J,$C1018,'Form Details'!$W:$W,"File In Office")</f>
        <v>0</v>
      </c>
      <c r="BN1018" s="238"/>
      <c r="BO1018" s="238"/>
      <c r="BP1018" s="238"/>
      <c r="BQ1018" s="238"/>
      <c r="BR1018" s="238"/>
      <c r="BS1018" s="239"/>
      <c r="BT1018" s="100"/>
      <c r="BU1018" s="237">
        <f>COUNTIFS('Form Details'!$D:$D,"&lt;"&amp;'Adv. Filter'!$A$15,'Form Details'!$N:$N,"Madhu",'Form Details'!$J:$J,$C1018,'Form Details'!$AA:$AA,"No")</f>
        <v>0</v>
      </c>
      <c r="BV1018" s="238"/>
      <c r="BW1018" s="238"/>
      <c r="BX1018" s="238"/>
      <c r="BY1018" s="238"/>
      <c r="BZ1018" s="238"/>
      <c r="CA1018" s="239"/>
      <c r="CB1018" s="237">
        <f>COUNTIFS('Form Details'!$D:$D,"&lt;"&amp;'Adv. Filter'!$A$15,'Form Details'!$N:$N,"Madhu",'Form Details'!$J:$J,$C1018,'Form Details'!$W:$W,"Adv/Paid")</f>
        <v>0</v>
      </c>
      <c r="CC1018" s="238"/>
      <c r="CD1018" s="238"/>
      <c r="CE1018" s="238"/>
      <c r="CF1018" s="238"/>
      <c r="CG1018" s="238"/>
      <c r="CH1018" s="239"/>
      <c r="CI1018" s="237">
        <f>COUNTIFS('Form Details'!$D:$D,"&lt;"&amp;'Adv. Filter'!$A$15,'Form Details'!$N:$N,"Madhu",'Form Details'!$J:$J,$C1018,'Form Details'!$W:$W,"Adv/Paid/Reject")</f>
        <v>0</v>
      </c>
      <c r="CJ1018" s="238"/>
      <c r="CK1018" s="238"/>
      <c r="CL1018" s="238"/>
      <c r="CM1018" s="238"/>
      <c r="CN1018" s="238"/>
      <c r="CO1018" s="239"/>
      <c r="CP1018" s="237">
        <f>COUNTIFS('Form Details'!$D:$D,"&lt;"&amp;'Adv. Filter'!$A$15,'Form Details'!$N:$N,"Madhu",'Form Details'!$J:$J,$C1018,'Form Details'!$W:$W,"Reject")</f>
        <v>0</v>
      </c>
      <c r="CQ1018" s="238"/>
      <c r="CR1018" s="238"/>
      <c r="CS1018" s="238"/>
      <c r="CT1018" s="238"/>
      <c r="CU1018" s="238"/>
      <c r="CV1018" s="239"/>
      <c r="CW1018" s="237">
        <f>COUNTIFS('Form Details'!$D:$D,"&lt;"&amp;'Adv. Filter'!$A$15,'Form Details'!$N:$N,"Madhu",'Form Details'!$J:$J,$C1018,'Form Details'!$W:$W,"Adv/Paid/Pending")</f>
        <v>0</v>
      </c>
      <c r="CX1018" s="238"/>
      <c r="CY1018" s="238"/>
      <c r="CZ1018" s="238"/>
      <c r="DA1018" s="238"/>
      <c r="DB1018" s="238"/>
      <c r="DC1018" s="239"/>
      <c r="DD1018" s="237">
        <f>COUNTIFS('Form Details'!$D:$D,"&lt;"&amp;'Adv. Filter'!$A$15,'Form Details'!$N:$N,"Madhu",'Form Details'!$J:$J,$C1018,'Form Details'!$W:$W,"Pending")</f>
        <v>0</v>
      </c>
      <c r="DE1018" s="238"/>
      <c r="DF1018" s="238"/>
      <c r="DG1018" s="238"/>
      <c r="DH1018" s="238"/>
      <c r="DI1018" s="238"/>
      <c r="DJ1018" s="239"/>
      <c r="DK1018" s="237">
        <f>COUNTIFS('Form Details'!$D:$D,"&lt;"&amp;'Adv. Filter'!$A$15,'Form Details'!$N:$N,"Madhu",'Form Details'!$J:$J,$C1018,'Form Details'!$W:$W,"Adv/Paid/NoStatus")</f>
        <v>0</v>
      </c>
      <c r="DL1018" s="238"/>
      <c r="DM1018" s="238"/>
      <c r="DN1018" s="238"/>
      <c r="DO1018" s="238"/>
      <c r="DP1018" s="238"/>
      <c r="DQ1018" s="239"/>
      <c r="DR1018" s="237">
        <f>COUNTIFS('Form Details'!$D:$D,"&lt;"&amp;'Adv. Filter'!$A$15,'Form Details'!$N:$N,"Madhu",'Form Details'!$J:$J,$C1018,'Form Details'!$W:$W,"No Status")</f>
        <v>0</v>
      </c>
      <c r="DS1018" s="238"/>
      <c r="DT1018" s="238"/>
      <c r="DU1018" s="238"/>
      <c r="DV1018" s="238"/>
      <c r="DW1018" s="238"/>
      <c r="DX1018" s="239"/>
      <c r="DY1018" s="237">
        <f>SUM(COUNTIFS('Form Details'!$D:$D,"&lt;"&amp;'Adv. Filter'!$A$15,'Form Details'!$N:$N,"Madhu",'Form Details'!$J:$J,$C1018,'Form Details'!$W:$W,{"Wrong Entry ","Double Entry"}))</f>
        <v>0</v>
      </c>
      <c r="DZ1018" s="238"/>
      <c r="EA1018" s="238"/>
      <c r="EB1018" s="238"/>
      <c r="EC1018" s="238"/>
      <c r="ED1018" s="238"/>
      <c r="EE1018" s="239"/>
    </row>
    <row r="1019" spans="3:135" hidden="1">
      <c r="C1019" s="248" t="s">
        <v>121</v>
      </c>
      <c r="D1019" s="249"/>
      <c r="E1019" s="249"/>
      <c r="F1019" s="249"/>
      <c r="G1019" s="249"/>
      <c r="H1019" s="249"/>
      <c r="I1019" s="249"/>
      <c r="J1019" s="249"/>
      <c r="K1019" s="249"/>
      <c r="L1019" s="249"/>
      <c r="M1019" s="249"/>
      <c r="N1019" s="249"/>
      <c r="O1019" s="237">
        <f>COUNTIFS('Form Details'!$D:$D,"&lt;"&amp;'Adv. Filter'!$A$15,'Form Details'!$N:$N,"Madhu",'Form Details'!$J:$J,$C1019)</f>
        <v>0</v>
      </c>
      <c r="P1019" s="238"/>
      <c r="Q1019" s="238"/>
      <c r="R1019" s="238"/>
      <c r="S1019" s="238"/>
      <c r="T1019" s="238"/>
      <c r="U1019" s="239"/>
      <c r="V1019" s="100"/>
      <c r="W1019" s="237">
        <f>COUNTIFS('Form Details'!$D:$D,"&lt;"&amp;'Adv. Filter'!$A$15,'Form Details'!$N:$N,"Madhu",'Form Details'!$J:$J,$C1019,'Form Details'!$AA:$AA,"Yes")</f>
        <v>0</v>
      </c>
      <c r="X1019" s="238"/>
      <c r="Y1019" s="238"/>
      <c r="Z1019" s="238"/>
      <c r="AA1019" s="238"/>
      <c r="AB1019" s="238"/>
      <c r="AC1019" s="239"/>
      <c r="AD1019" s="237">
        <f>COUNTIFS('Form Details'!$D:$D,"&lt;"&amp;'Adv. Filter'!$A$15,'Form Details'!$N:$N,"Madhu",'Form Details'!$J:$J,$C1019,'Form Details'!$W:$W,"Paid",'Form Details'!$S:$S,'Adv. Filter'!$A$14,'Form Details'!$S:$S,'Adv. Filter'!$B$14)</f>
        <v>0</v>
      </c>
      <c r="AE1019" s="238"/>
      <c r="AF1019" s="238"/>
      <c r="AG1019" s="238"/>
      <c r="AH1019" s="238"/>
      <c r="AI1019" s="238"/>
      <c r="AJ1019" s="239"/>
      <c r="AK1019" s="237">
        <f>COUNTIFS('Form Details'!$D:$D,"&lt;"&amp;'Adv. Filter'!$A$15,'Form Details'!$N:$N,"Madhu",'Form Details'!$J:$J,$C1019,'Form Details'!$W:$W,"Due")</f>
        <v>0</v>
      </c>
      <c r="AL1019" s="238"/>
      <c r="AM1019" s="238"/>
      <c r="AN1019" s="238"/>
      <c r="AO1019" s="238"/>
      <c r="AP1019" s="238"/>
      <c r="AQ1019" s="239"/>
      <c r="AR1019" s="237">
        <f>COUNTIFS('Form Details'!$D:$D,"&lt;"&amp;'Adv. Filter'!$A$15,'Form Details'!$N:$N,"Madhu",'Form Details'!$J:$J,$C1019,'Form Details'!$W:$W,"No Fee")</f>
        <v>0</v>
      </c>
      <c r="AS1019" s="238"/>
      <c r="AT1019" s="238"/>
      <c r="AU1019" s="238"/>
      <c r="AV1019" s="238"/>
      <c r="AW1019" s="238"/>
      <c r="AX1019" s="239"/>
      <c r="AY1019" s="237">
        <f>COUNTIFS('Form Details'!$D:$D,"&lt;"&amp;'Adv. Filter'!$A$15,'Form Details'!$N:$N,"Madhu",'Form Details'!$J:$J,$C1019,'Form Details'!$W:$W,"Paid/Reject")</f>
        <v>0</v>
      </c>
      <c r="AZ1019" s="238"/>
      <c r="BA1019" s="238"/>
      <c r="BB1019" s="238"/>
      <c r="BC1019" s="238"/>
      <c r="BD1019" s="238"/>
      <c r="BE1019" s="239"/>
      <c r="BF1019" s="237">
        <f>COUNTIFS('Form Details'!$D:$D,"&lt;"&amp;'Adv. Filter'!$A$15,'Form Details'!$N:$N,"Madhu",'Form Details'!$J:$J,$C1019,'Form Details'!$W:$W,"Staff")</f>
        <v>0</v>
      </c>
      <c r="BG1019" s="238"/>
      <c r="BH1019" s="238"/>
      <c r="BI1019" s="238"/>
      <c r="BJ1019" s="238"/>
      <c r="BK1019" s="238"/>
      <c r="BL1019" s="239"/>
      <c r="BM1019" s="237">
        <f>COUNTIFS('Form Details'!$D:$D,"&lt;"&amp;'Adv. Filter'!$A$15,'Form Details'!$N:$N,"Madhu",'Form Details'!$J:$J,$C1019,'Form Details'!$W:$W,"File In Office")</f>
        <v>0</v>
      </c>
      <c r="BN1019" s="238"/>
      <c r="BO1019" s="238"/>
      <c r="BP1019" s="238"/>
      <c r="BQ1019" s="238"/>
      <c r="BR1019" s="238"/>
      <c r="BS1019" s="239"/>
      <c r="BT1019" s="100"/>
      <c r="BU1019" s="237">
        <f>COUNTIFS('Form Details'!$D:$D,"&lt;"&amp;'Adv. Filter'!$A$15,'Form Details'!$N:$N,"Madhu",'Form Details'!$J:$J,$C1019,'Form Details'!$AA:$AA,"No")</f>
        <v>0</v>
      </c>
      <c r="BV1019" s="238"/>
      <c r="BW1019" s="238"/>
      <c r="BX1019" s="238"/>
      <c r="BY1019" s="238"/>
      <c r="BZ1019" s="238"/>
      <c r="CA1019" s="239"/>
      <c r="CB1019" s="237">
        <f>COUNTIFS('Form Details'!$D:$D,"&lt;"&amp;'Adv. Filter'!$A$15,'Form Details'!$N:$N,"Madhu",'Form Details'!$J:$J,$C1019,'Form Details'!$W:$W,"Adv/Paid")</f>
        <v>0</v>
      </c>
      <c r="CC1019" s="238"/>
      <c r="CD1019" s="238"/>
      <c r="CE1019" s="238"/>
      <c r="CF1019" s="238"/>
      <c r="CG1019" s="238"/>
      <c r="CH1019" s="239"/>
      <c r="CI1019" s="237">
        <f>COUNTIFS('Form Details'!$D:$D,"&lt;"&amp;'Adv. Filter'!$A$15,'Form Details'!$N:$N,"Madhu",'Form Details'!$J:$J,$C1019,'Form Details'!$W:$W,"Adv/Paid/Reject")</f>
        <v>0</v>
      </c>
      <c r="CJ1019" s="238"/>
      <c r="CK1019" s="238"/>
      <c r="CL1019" s="238"/>
      <c r="CM1019" s="238"/>
      <c r="CN1019" s="238"/>
      <c r="CO1019" s="239"/>
      <c r="CP1019" s="237">
        <f>COUNTIFS('Form Details'!$D:$D,"&lt;"&amp;'Adv. Filter'!$A$15,'Form Details'!$N:$N,"Madhu",'Form Details'!$J:$J,$C1019,'Form Details'!$W:$W,"Reject")</f>
        <v>0</v>
      </c>
      <c r="CQ1019" s="238"/>
      <c r="CR1019" s="238"/>
      <c r="CS1019" s="238"/>
      <c r="CT1019" s="238"/>
      <c r="CU1019" s="238"/>
      <c r="CV1019" s="239"/>
      <c r="CW1019" s="237">
        <f>COUNTIFS('Form Details'!$D:$D,"&lt;"&amp;'Adv. Filter'!$A$15,'Form Details'!$N:$N,"Madhu",'Form Details'!$J:$J,$C1019,'Form Details'!$W:$W,"Adv/Paid/Pending")</f>
        <v>0</v>
      </c>
      <c r="CX1019" s="238"/>
      <c r="CY1019" s="238"/>
      <c r="CZ1019" s="238"/>
      <c r="DA1019" s="238"/>
      <c r="DB1019" s="238"/>
      <c r="DC1019" s="239"/>
      <c r="DD1019" s="237">
        <f>COUNTIFS('Form Details'!$D:$D,"&lt;"&amp;'Adv. Filter'!$A$15,'Form Details'!$N:$N,"Madhu",'Form Details'!$J:$J,$C1019,'Form Details'!$W:$W,"Pending")</f>
        <v>0</v>
      </c>
      <c r="DE1019" s="238"/>
      <c r="DF1019" s="238"/>
      <c r="DG1019" s="238"/>
      <c r="DH1019" s="238"/>
      <c r="DI1019" s="238"/>
      <c r="DJ1019" s="239"/>
      <c r="DK1019" s="237">
        <f>COUNTIFS('Form Details'!$D:$D,"&lt;"&amp;'Adv. Filter'!$A$15,'Form Details'!$N:$N,"Madhu",'Form Details'!$J:$J,$C1019,'Form Details'!$W:$W,"Adv/Paid/NoStatus")</f>
        <v>0</v>
      </c>
      <c r="DL1019" s="238"/>
      <c r="DM1019" s="238"/>
      <c r="DN1019" s="238"/>
      <c r="DO1019" s="238"/>
      <c r="DP1019" s="238"/>
      <c r="DQ1019" s="239"/>
      <c r="DR1019" s="237">
        <f>COUNTIFS('Form Details'!$D:$D,"&lt;"&amp;'Adv. Filter'!$A$15,'Form Details'!$N:$N,"Madhu",'Form Details'!$J:$J,$C1019,'Form Details'!$W:$W,"No Status")</f>
        <v>0</v>
      </c>
      <c r="DS1019" s="238"/>
      <c r="DT1019" s="238"/>
      <c r="DU1019" s="238"/>
      <c r="DV1019" s="238"/>
      <c r="DW1019" s="238"/>
      <c r="DX1019" s="239"/>
      <c r="DY1019" s="237">
        <f>SUM(COUNTIFS('Form Details'!$D:$D,"&lt;"&amp;'Adv. Filter'!$A$15,'Form Details'!$N:$N,"Madhu",'Form Details'!$J:$J,$C1019,'Form Details'!$W:$W,{"Wrong Entry ","Double Entry"}))</f>
        <v>0</v>
      </c>
      <c r="DZ1019" s="238"/>
      <c r="EA1019" s="238"/>
      <c r="EB1019" s="238"/>
      <c r="EC1019" s="238"/>
      <c r="ED1019" s="238"/>
      <c r="EE1019" s="239"/>
    </row>
    <row r="1020" spans="3:135" hidden="1">
      <c r="C1020" s="248" t="s">
        <v>111</v>
      </c>
      <c r="D1020" s="249"/>
      <c r="E1020" s="249"/>
      <c r="F1020" s="249"/>
      <c r="G1020" s="249"/>
      <c r="H1020" s="249"/>
      <c r="I1020" s="249"/>
      <c r="J1020" s="249"/>
      <c r="K1020" s="249"/>
      <c r="L1020" s="249"/>
      <c r="M1020" s="249"/>
      <c r="N1020" s="249"/>
      <c r="O1020" s="237">
        <f>COUNTIFS('Form Details'!$D:$D,"&lt;"&amp;'Adv. Filter'!$A$15,'Form Details'!$N:$N,"Madhu",'Form Details'!$J:$J,$C1020)</f>
        <v>0</v>
      </c>
      <c r="P1020" s="238"/>
      <c r="Q1020" s="238"/>
      <c r="R1020" s="238"/>
      <c r="S1020" s="238"/>
      <c r="T1020" s="238"/>
      <c r="U1020" s="239"/>
      <c r="V1020" s="100"/>
      <c r="W1020" s="237">
        <f>COUNTIFS('Form Details'!$D:$D,"&lt;"&amp;'Adv. Filter'!$A$15,'Form Details'!$N:$N,"Madhu",'Form Details'!$J:$J,$C1020,'Form Details'!$AA:$AA,"Yes")</f>
        <v>0</v>
      </c>
      <c r="X1020" s="238"/>
      <c r="Y1020" s="238"/>
      <c r="Z1020" s="238"/>
      <c r="AA1020" s="238"/>
      <c r="AB1020" s="238"/>
      <c r="AC1020" s="239"/>
      <c r="AD1020" s="237">
        <f>COUNTIFS('Form Details'!$D:$D,"&lt;"&amp;'Adv. Filter'!$A$15,'Form Details'!$N:$N,"Madhu",'Form Details'!$J:$J,$C1020,'Form Details'!$W:$W,"Paid",'Form Details'!$S:$S,'Adv. Filter'!$A$14,'Form Details'!$S:$S,'Adv. Filter'!$B$14)</f>
        <v>0</v>
      </c>
      <c r="AE1020" s="238"/>
      <c r="AF1020" s="238"/>
      <c r="AG1020" s="238"/>
      <c r="AH1020" s="238"/>
      <c r="AI1020" s="238"/>
      <c r="AJ1020" s="239"/>
      <c r="AK1020" s="237">
        <f>COUNTIFS('Form Details'!$D:$D,"&lt;"&amp;'Adv. Filter'!$A$15,'Form Details'!$N:$N,"Madhu",'Form Details'!$J:$J,$C1020,'Form Details'!$W:$W,"Due")</f>
        <v>0</v>
      </c>
      <c r="AL1020" s="238"/>
      <c r="AM1020" s="238"/>
      <c r="AN1020" s="238"/>
      <c r="AO1020" s="238"/>
      <c r="AP1020" s="238"/>
      <c r="AQ1020" s="239"/>
      <c r="AR1020" s="237">
        <f>COUNTIFS('Form Details'!$D:$D,"&lt;"&amp;'Adv. Filter'!$A$15,'Form Details'!$N:$N,"Madhu",'Form Details'!$J:$J,$C1020,'Form Details'!$W:$W,"No Fee")</f>
        <v>0</v>
      </c>
      <c r="AS1020" s="238"/>
      <c r="AT1020" s="238"/>
      <c r="AU1020" s="238"/>
      <c r="AV1020" s="238"/>
      <c r="AW1020" s="238"/>
      <c r="AX1020" s="239"/>
      <c r="AY1020" s="237">
        <f>COUNTIFS('Form Details'!$D:$D,"&lt;"&amp;'Adv. Filter'!$A$15,'Form Details'!$N:$N,"Madhu",'Form Details'!$J:$J,$C1020,'Form Details'!$W:$W,"Paid/Reject")</f>
        <v>0</v>
      </c>
      <c r="AZ1020" s="238"/>
      <c r="BA1020" s="238"/>
      <c r="BB1020" s="238"/>
      <c r="BC1020" s="238"/>
      <c r="BD1020" s="238"/>
      <c r="BE1020" s="239"/>
      <c r="BF1020" s="237">
        <f>COUNTIFS('Form Details'!$D:$D,"&lt;"&amp;'Adv. Filter'!$A$15,'Form Details'!$N:$N,"Madhu",'Form Details'!$J:$J,$C1020,'Form Details'!$W:$W,"Staff")</f>
        <v>0</v>
      </c>
      <c r="BG1020" s="238"/>
      <c r="BH1020" s="238"/>
      <c r="BI1020" s="238"/>
      <c r="BJ1020" s="238"/>
      <c r="BK1020" s="238"/>
      <c r="BL1020" s="239"/>
      <c r="BM1020" s="237">
        <f>COUNTIFS('Form Details'!$D:$D,"&lt;"&amp;'Adv. Filter'!$A$15,'Form Details'!$N:$N,"Madhu",'Form Details'!$J:$J,$C1020,'Form Details'!$W:$W,"File In Office")</f>
        <v>0</v>
      </c>
      <c r="BN1020" s="238"/>
      <c r="BO1020" s="238"/>
      <c r="BP1020" s="238"/>
      <c r="BQ1020" s="238"/>
      <c r="BR1020" s="238"/>
      <c r="BS1020" s="239"/>
      <c r="BT1020" s="100"/>
      <c r="BU1020" s="237">
        <f>COUNTIFS('Form Details'!$D:$D,"&lt;"&amp;'Adv. Filter'!$A$15,'Form Details'!$N:$N,"Madhu",'Form Details'!$J:$J,$C1020,'Form Details'!$AA:$AA,"No")</f>
        <v>0</v>
      </c>
      <c r="BV1020" s="238"/>
      <c r="BW1020" s="238"/>
      <c r="BX1020" s="238"/>
      <c r="BY1020" s="238"/>
      <c r="BZ1020" s="238"/>
      <c r="CA1020" s="239"/>
      <c r="CB1020" s="237">
        <f>COUNTIFS('Form Details'!$D:$D,"&lt;"&amp;'Adv. Filter'!$A$15,'Form Details'!$N:$N,"Madhu",'Form Details'!$J:$J,$C1020,'Form Details'!$W:$W,"Adv/Paid")</f>
        <v>0</v>
      </c>
      <c r="CC1020" s="238"/>
      <c r="CD1020" s="238"/>
      <c r="CE1020" s="238"/>
      <c r="CF1020" s="238"/>
      <c r="CG1020" s="238"/>
      <c r="CH1020" s="239"/>
      <c r="CI1020" s="237">
        <f>COUNTIFS('Form Details'!$D:$D,"&lt;"&amp;'Adv. Filter'!$A$15,'Form Details'!$N:$N,"Madhu",'Form Details'!$J:$J,$C1020,'Form Details'!$W:$W,"Adv/Paid/Reject")</f>
        <v>0</v>
      </c>
      <c r="CJ1020" s="238"/>
      <c r="CK1020" s="238"/>
      <c r="CL1020" s="238"/>
      <c r="CM1020" s="238"/>
      <c r="CN1020" s="238"/>
      <c r="CO1020" s="239"/>
      <c r="CP1020" s="237">
        <f>COUNTIFS('Form Details'!$D:$D,"&lt;"&amp;'Adv. Filter'!$A$15,'Form Details'!$N:$N,"Madhu",'Form Details'!$J:$J,$C1020,'Form Details'!$W:$W,"Reject")</f>
        <v>0</v>
      </c>
      <c r="CQ1020" s="238"/>
      <c r="CR1020" s="238"/>
      <c r="CS1020" s="238"/>
      <c r="CT1020" s="238"/>
      <c r="CU1020" s="238"/>
      <c r="CV1020" s="239"/>
      <c r="CW1020" s="237">
        <f>COUNTIFS('Form Details'!$D:$D,"&lt;"&amp;'Adv. Filter'!$A$15,'Form Details'!$N:$N,"Madhu",'Form Details'!$J:$J,$C1020,'Form Details'!$W:$W,"Adv/Paid/Pending")</f>
        <v>0</v>
      </c>
      <c r="CX1020" s="238"/>
      <c r="CY1020" s="238"/>
      <c r="CZ1020" s="238"/>
      <c r="DA1020" s="238"/>
      <c r="DB1020" s="238"/>
      <c r="DC1020" s="239"/>
      <c r="DD1020" s="237">
        <f>COUNTIFS('Form Details'!$D:$D,"&lt;"&amp;'Adv. Filter'!$A$15,'Form Details'!$N:$N,"Madhu",'Form Details'!$J:$J,$C1020,'Form Details'!$W:$W,"Pending")</f>
        <v>0</v>
      </c>
      <c r="DE1020" s="238"/>
      <c r="DF1020" s="238"/>
      <c r="DG1020" s="238"/>
      <c r="DH1020" s="238"/>
      <c r="DI1020" s="238"/>
      <c r="DJ1020" s="239"/>
      <c r="DK1020" s="237">
        <f>COUNTIFS('Form Details'!$D:$D,"&lt;"&amp;'Adv. Filter'!$A$15,'Form Details'!$N:$N,"Madhu",'Form Details'!$J:$J,$C1020,'Form Details'!$W:$W,"Adv/Paid/NoStatus")</f>
        <v>0</v>
      </c>
      <c r="DL1020" s="238"/>
      <c r="DM1020" s="238"/>
      <c r="DN1020" s="238"/>
      <c r="DO1020" s="238"/>
      <c r="DP1020" s="238"/>
      <c r="DQ1020" s="239"/>
      <c r="DR1020" s="237">
        <f>COUNTIFS('Form Details'!$D:$D,"&lt;"&amp;'Adv. Filter'!$A$15,'Form Details'!$N:$N,"Madhu",'Form Details'!$J:$J,$C1020,'Form Details'!$W:$W,"No Status")</f>
        <v>0</v>
      </c>
      <c r="DS1020" s="238"/>
      <c r="DT1020" s="238"/>
      <c r="DU1020" s="238"/>
      <c r="DV1020" s="238"/>
      <c r="DW1020" s="238"/>
      <c r="DX1020" s="239"/>
      <c r="DY1020" s="237">
        <f>SUM(COUNTIFS('Form Details'!$D:$D,"&lt;"&amp;'Adv. Filter'!$A$15,'Form Details'!$N:$N,"Madhu",'Form Details'!$J:$J,$C1020,'Form Details'!$W:$W,{"Wrong Entry ","Double Entry"}))</f>
        <v>0</v>
      </c>
      <c r="DZ1020" s="238"/>
      <c r="EA1020" s="238"/>
      <c r="EB1020" s="238"/>
      <c r="EC1020" s="238"/>
      <c r="ED1020" s="238"/>
      <c r="EE1020" s="239"/>
    </row>
    <row r="1021" spans="3:135" hidden="1">
      <c r="C1021" s="248" t="s">
        <v>116</v>
      </c>
      <c r="D1021" s="249"/>
      <c r="E1021" s="249"/>
      <c r="F1021" s="249"/>
      <c r="G1021" s="249"/>
      <c r="H1021" s="249"/>
      <c r="I1021" s="249"/>
      <c r="J1021" s="249"/>
      <c r="K1021" s="249"/>
      <c r="L1021" s="249"/>
      <c r="M1021" s="249"/>
      <c r="N1021" s="249"/>
      <c r="O1021" s="237">
        <f>COUNTIFS('Form Details'!$D:$D,"&lt;"&amp;'Adv. Filter'!$A$15,'Form Details'!$N:$N,"Madhu",'Form Details'!$J:$J,$C1021)</f>
        <v>0</v>
      </c>
      <c r="P1021" s="238"/>
      <c r="Q1021" s="238"/>
      <c r="R1021" s="238"/>
      <c r="S1021" s="238"/>
      <c r="T1021" s="238"/>
      <c r="U1021" s="239"/>
      <c r="V1021" s="100"/>
      <c r="W1021" s="237">
        <f>COUNTIFS('Form Details'!$D:$D,"&lt;"&amp;'Adv. Filter'!$A$15,'Form Details'!$N:$N,"Madhu",'Form Details'!$J:$J,$C1021,'Form Details'!$AA:$AA,"Yes")</f>
        <v>0</v>
      </c>
      <c r="X1021" s="238"/>
      <c r="Y1021" s="238"/>
      <c r="Z1021" s="238"/>
      <c r="AA1021" s="238"/>
      <c r="AB1021" s="238"/>
      <c r="AC1021" s="239"/>
      <c r="AD1021" s="237">
        <f>COUNTIFS('Form Details'!$D:$D,"&lt;"&amp;'Adv. Filter'!$A$15,'Form Details'!$N:$N,"Madhu",'Form Details'!$J:$J,$C1021,'Form Details'!$W:$W,"Paid",'Form Details'!$S:$S,'Adv. Filter'!$A$14,'Form Details'!$S:$S,'Adv. Filter'!$B$14)</f>
        <v>0</v>
      </c>
      <c r="AE1021" s="238"/>
      <c r="AF1021" s="238"/>
      <c r="AG1021" s="238"/>
      <c r="AH1021" s="238"/>
      <c r="AI1021" s="238"/>
      <c r="AJ1021" s="239"/>
      <c r="AK1021" s="237">
        <f>COUNTIFS('Form Details'!$D:$D,"&lt;"&amp;'Adv. Filter'!$A$15,'Form Details'!$N:$N,"Madhu",'Form Details'!$J:$J,$C1021,'Form Details'!$W:$W,"Due")</f>
        <v>0</v>
      </c>
      <c r="AL1021" s="238"/>
      <c r="AM1021" s="238"/>
      <c r="AN1021" s="238"/>
      <c r="AO1021" s="238"/>
      <c r="AP1021" s="238"/>
      <c r="AQ1021" s="239"/>
      <c r="AR1021" s="237">
        <f>COUNTIFS('Form Details'!$D:$D,"&lt;"&amp;'Adv. Filter'!$A$15,'Form Details'!$N:$N,"Madhu",'Form Details'!$J:$J,$C1021,'Form Details'!$W:$W,"No Fee")</f>
        <v>0</v>
      </c>
      <c r="AS1021" s="238"/>
      <c r="AT1021" s="238"/>
      <c r="AU1021" s="238"/>
      <c r="AV1021" s="238"/>
      <c r="AW1021" s="238"/>
      <c r="AX1021" s="239"/>
      <c r="AY1021" s="237">
        <f>COUNTIFS('Form Details'!$D:$D,"&lt;"&amp;'Adv. Filter'!$A$15,'Form Details'!$N:$N,"Madhu",'Form Details'!$J:$J,$C1021,'Form Details'!$W:$W,"Paid/Reject")</f>
        <v>0</v>
      </c>
      <c r="AZ1021" s="238"/>
      <c r="BA1021" s="238"/>
      <c r="BB1021" s="238"/>
      <c r="BC1021" s="238"/>
      <c r="BD1021" s="238"/>
      <c r="BE1021" s="239"/>
      <c r="BF1021" s="237">
        <f>COUNTIFS('Form Details'!$D:$D,"&lt;"&amp;'Adv. Filter'!$A$15,'Form Details'!$N:$N,"Madhu",'Form Details'!$J:$J,$C1021,'Form Details'!$W:$W,"Staff")</f>
        <v>0</v>
      </c>
      <c r="BG1021" s="238"/>
      <c r="BH1021" s="238"/>
      <c r="BI1021" s="238"/>
      <c r="BJ1021" s="238"/>
      <c r="BK1021" s="238"/>
      <c r="BL1021" s="239"/>
      <c r="BM1021" s="237">
        <f>COUNTIFS('Form Details'!$D:$D,"&lt;"&amp;'Adv. Filter'!$A$15,'Form Details'!$N:$N,"Madhu",'Form Details'!$J:$J,$C1021,'Form Details'!$W:$W,"File In Office")</f>
        <v>0</v>
      </c>
      <c r="BN1021" s="238"/>
      <c r="BO1021" s="238"/>
      <c r="BP1021" s="238"/>
      <c r="BQ1021" s="238"/>
      <c r="BR1021" s="238"/>
      <c r="BS1021" s="239"/>
      <c r="BT1021" s="100"/>
      <c r="BU1021" s="237">
        <f>COUNTIFS('Form Details'!$D:$D,"&lt;"&amp;'Adv. Filter'!$A$15,'Form Details'!$N:$N,"Madhu",'Form Details'!$J:$J,$C1021,'Form Details'!$AA:$AA,"No")</f>
        <v>0</v>
      </c>
      <c r="BV1021" s="238"/>
      <c r="BW1021" s="238"/>
      <c r="BX1021" s="238"/>
      <c r="BY1021" s="238"/>
      <c r="BZ1021" s="238"/>
      <c r="CA1021" s="239"/>
      <c r="CB1021" s="237">
        <f>COUNTIFS('Form Details'!$D:$D,"&lt;"&amp;'Adv. Filter'!$A$15,'Form Details'!$N:$N,"Madhu",'Form Details'!$J:$J,$C1021,'Form Details'!$W:$W,"Adv/Paid")</f>
        <v>0</v>
      </c>
      <c r="CC1021" s="238"/>
      <c r="CD1021" s="238"/>
      <c r="CE1021" s="238"/>
      <c r="CF1021" s="238"/>
      <c r="CG1021" s="238"/>
      <c r="CH1021" s="239"/>
      <c r="CI1021" s="237">
        <f>COUNTIFS('Form Details'!$D:$D,"&lt;"&amp;'Adv. Filter'!$A$15,'Form Details'!$N:$N,"Madhu",'Form Details'!$J:$J,$C1021,'Form Details'!$W:$W,"Adv/Paid/Reject")</f>
        <v>0</v>
      </c>
      <c r="CJ1021" s="238"/>
      <c r="CK1021" s="238"/>
      <c r="CL1021" s="238"/>
      <c r="CM1021" s="238"/>
      <c r="CN1021" s="238"/>
      <c r="CO1021" s="239"/>
      <c r="CP1021" s="237">
        <f>COUNTIFS('Form Details'!$D:$D,"&lt;"&amp;'Adv. Filter'!$A$15,'Form Details'!$N:$N,"Madhu",'Form Details'!$J:$J,$C1021,'Form Details'!$W:$W,"Reject")</f>
        <v>0</v>
      </c>
      <c r="CQ1021" s="238"/>
      <c r="CR1021" s="238"/>
      <c r="CS1021" s="238"/>
      <c r="CT1021" s="238"/>
      <c r="CU1021" s="238"/>
      <c r="CV1021" s="239"/>
      <c r="CW1021" s="237">
        <f>COUNTIFS('Form Details'!$D:$D,"&lt;"&amp;'Adv. Filter'!$A$15,'Form Details'!$N:$N,"Madhu",'Form Details'!$J:$J,$C1021,'Form Details'!$W:$W,"Adv/Paid/Pending")</f>
        <v>0</v>
      </c>
      <c r="CX1021" s="238"/>
      <c r="CY1021" s="238"/>
      <c r="CZ1021" s="238"/>
      <c r="DA1021" s="238"/>
      <c r="DB1021" s="238"/>
      <c r="DC1021" s="239"/>
      <c r="DD1021" s="237">
        <f>COUNTIFS('Form Details'!$D:$D,"&lt;"&amp;'Adv. Filter'!$A$15,'Form Details'!$N:$N,"Madhu",'Form Details'!$J:$J,$C1021,'Form Details'!$W:$W,"Pending")</f>
        <v>0</v>
      </c>
      <c r="DE1021" s="238"/>
      <c r="DF1021" s="238"/>
      <c r="DG1021" s="238"/>
      <c r="DH1021" s="238"/>
      <c r="DI1021" s="238"/>
      <c r="DJ1021" s="239"/>
      <c r="DK1021" s="237">
        <f>COUNTIFS('Form Details'!$D:$D,"&lt;"&amp;'Adv. Filter'!$A$15,'Form Details'!$N:$N,"Madhu",'Form Details'!$J:$J,$C1021,'Form Details'!$W:$W,"Adv/Paid/NoStatus")</f>
        <v>0</v>
      </c>
      <c r="DL1021" s="238"/>
      <c r="DM1021" s="238"/>
      <c r="DN1021" s="238"/>
      <c r="DO1021" s="238"/>
      <c r="DP1021" s="238"/>
      <c r="DQ1021" s="239"/>
      <c r="DR1021" s="237">
        <f>COUNTIFS('Form Details'!$D:$D,"&lt;"&amp;'Adv. Filter'!$A$15,'Form Details'!$N:$N,"Madhu",'Form Details'!$J:$J,$C1021,'Form Details'!$W:$W,"No Status")</f>
        <v>0</v>
      </c>
      <c r="DS1021" s="238"/>
      <c r="DT1021" s="238"/>
      <c r="DU1021" s="238"/>
      <c r="DV1021" s="238"/>
      <c r="DW1021" s="238"/>
      <c r="DX1021" s="239"/>
      <c r="DY1021" s="237">
        <f>SUM(COUNTIFS('Form Details'!$D:$D,"&lt;"&amp;'Adv. Filter'!$A$15,'Form Details'!$N:$N,"Madhu",'Form Details'!$J:$J,$C1021,'Form Details'!$W:$W,{"Wrong Entry ","Double Entry"}))</f>
        <v>0</v>
      </c>
      <c r="DZ1021" s="238"/>
      <c r="EA1021" s="238"/>
      <c r="EB1021" s="238"/>
      <c r="EC1021" s="238"/>
      <c r="ED1021" s="238"/>
      <c r="EE1021" s="239"/>
    </row>
    <row r="1022" spans="3:135" hidden="1">
      <c r="C1022" s="248" t="s">
        <v>119</v>
      </c>
      <c r="D1022" s="249"/>
      <c r="E1022" s="249"/>
      <c r="F1022" s="249"/>
      <c r="G1022" s="249"/>
      <c r="H1022" s="249"/>
      <c r="I1022" s="249"/>
      <c r="J1022" s="249"/>
      <c r="K1022" s="249"/>
      <c r="L1022" s="249"/>
      <c r="M1022" s="249"/>
      <c r="N1022" s="249"/>
      <c r="O1022" s="237">
        <f>COUNTIFS('Form Details'!$D:$D,"&lt;"&amp;'Adv. Filter'!$A$15,'Form Details'!$N:$N,"Madhu",'Form Details'!$J:$J,$C1022)</f>
        <v>0</v>
      </c>
      <c r="P1022" s="238"/>
      <c r="Q1022" s="238"/>
      <c r="R1022" s="238"/>
      <c r="S1022" s="238"/>
      <c r="T1022" s="238"/>
      <c r="U1022" s="239"/>
      <c r="V1022" s="100"/>
      <c r="W1022" s="237">
        <f>COUNTIFS('Form Details'!$D:$D,"&lt;"&amp;'Adv. Filter'!$A$15,'Form Details'!$N:$N,"Madhu",'Form Details'!$J:$J,$C1022,'Form Details'!$AA:$AA,"Yes")</f>
        <v>0</v>
      </c>
      <c r="X1022" s="238"/>
      <c r="Y1022" s="238"/>
      <c r="Z1022" s="238"/>
      <c r="AA1022" s="238"/>
      <c r="AB1022" s="238"/>
      <c r="AC1022" s="239"/>
      <c r="AD1022" s="237">
        <f>COUNTIFS('Form Details'!$D:$D,"&lt;"&amp;'Adv. Filter'!$A$15,'Form Details'!$N:$N,"Madhu",'Form Details'!$J:$J,$C1022,'Form Details'!$W:$W,"Paid",'Form Details'!$S:$S,'Adv. Filter'!$A$14,'Form Details'!$S:$S,'Adv. Filter'!$B$14)</f>
        <v>0</v>
      </c>
      <c r="AE1022" s="238"/>
      <c r="AF1022" s="238"/>
      <c r="AG1022" s="238"/>
      <c r="AH1022" s="238"/>
      <c r="AI1022" s="238"/>
      <c r="AJ1022" s="239"/>
      <c r="AK1022" s="237">
        <f>COUNTIFS('Form Details'!$D:$D,"&lt;"&amp;'Adv. Filter'!$A$15,'Form Details'!$N:$N,"Madhu",'Form Details'!$J:$J,$C1022,'Form Details'!$W:$W,"Due")</f>
        <v>0</v>
      </c>
      <c r="AL1022" s="238"/>
      <c r="AM1022" s="238"/>
      <c r="AN1022" s="238"/>
      <c r="AO1022" s="238"/>
      <c r="AP1022" s="238"/>
      <c r="AQ1022" s="239"/>
      <c r="AR1022" s="237">
        <f>COUNTIFS('Form Details'!$D:$D,"&lt;"&amp;'Adv. Filter'!$A$15,'Form Details'!$N:$N,"Madhu",'Form Details'!$J:$J,$C1022,'Form Details'!$W:$W,"No Fee")</f>
        <v>0</v>
      </c>
      <c r="AS1022" s="238"/>
      <c r="AT1022" s="238"/>
      <c r="AU1022" s="238"/>
      <c r="AV1022" s="238"/>
      <c r="AW1022" s="238"/>
      <c r="AX1022" s="239"/>
      <c r="AY1022" s="237">
        <f>COUNTIFS('Form Details'!$D:$D,"&lt;"&amp;'Adv. Filter'!$A$15,'Form Details'!$N:$N,"Madhu",'Form Details'!$J:$J,$C1022,'Form Details'!$W:$W,"Paid/Reject")</f>
        <v>0</v>
      </c>
      <c r="AZ1022" s="238"/>
      <c r="BA1022" s="238"/>
      <c r="BB1022" s="238"/>
      <c r="BC1022" s="238"/>
      <c r="BD1022" s="238"/>
      <c r="BE1022" s="239"/>
      <c r="BF1022" s="237">
        <f>COUNTIFS('Form Details'!$D:$D,"&lt;"&amp;'Adv. Filter'!$A$15,'Form Details'!$N:$N,"Madhu",'Form Details'!$J:$J,$C1022,'Form Details'!$W:$W,"Staff")</f>
        <v>0</v>
      </c>
      <c r="BG1022" s="238"/>
      <c r="BH1022" s="238"/>
      <c r="BI1022" s="238"/>
      <c r="BJ1022" s="238"/>
      <c r="BK1022" s="238"/>
      <c r="BL1022" s="239"/>
      <c r="BM1022" s="237">
        <f>COUNTIFS('Form Details'!$D:$D,"&lt;"&amp;'Adv. Filter'!$A$15,'Form Details'!$N:$N,"Madhu",'Form Details'!$J:$J,$C1022,'Form Details'!$W:$W,"File In Office")</f>
        <v>0</v>
      </c>
      <c r="BN1022" s="238"/>
      <c r="BO1022" s="238"/>
      <c r="BP1022" s="238"/>
      <c r="BQ1022" s="238"/>
      <c r="BR1022" s="238"/>
      <c r="BS1022" s="239"/>
      <c r="BT1022" s="100"/>
      <c r="BU1022" s="237">
        <f>COUNTIFS('Form Details'!$D:$D,"&lt;"&amp;'Adv. Filter'!$A$15,'Form Details'!$N:$N,"Madhu",'Form Details'!$J:$J,$C1022,'Form Details'!$AA:$AA,"No")</f>
        <v>0</v>
      </c>
      <c r="BV1022" s="238"/>
      <c r="BW1022" s="238"/>
      <c r="BX1022" s="238"/>
      <c r="BY1022" s="238"/>
      <c r="BZ1022" s="238"/>
      <c r="CA1022" s="239"/>
      <c r="CB1022" s="237">
        <f>COUNTIFS('Form Details'!$D:$D,"&lt;"&amp;'Adv. Filter'!$A$15,'Form Details'!$N:$N,"Madhu",'Form Details'!$J:$J,$C1022,'Form Details'!$W:$W,"Adv/Paid")</f>
        <v>0</v>
      </c>
      <c r="CC1022" s="238"/>
      <c r="CD1022" s="238"/>
      <c r="CE1022" s="238"/>
      <c r="CF1022" s="238"/>
      <c r="CG1022" s="238"/>
      <c r="CH1022" s="239"/>
      <c r="CI1022" s="237">
        <f>COUNTIFS('Form Details'!$D:$D,"&lt;"&amp;'Adv. Filter'!$A$15,'Form Details'!$N:$N,"Madhu",'Form Details'!$J:$J,$C1022,'Form Details'!$W:$W,"Adv/Paid/Reject")</f>
        <v>0</v>
      </c>
      <c r="CJ1022" s="238"/>
      <c r="CK1022" s="238"/>
      <c r="CL1022" s="238"/>
      <c r="CM1022" s="238"/>
      <c r="CN1022" s="238"/>
      <c r="CO1022" s="239"/>
      <c r="CP1022" s="237">
        <f>COUNTIFS('Form Details'!$D:$D,"&lt;"&amp;'Adv. Filter'!$A$15,'Form Details'!$N:$N,"Madhu",'Form Details'!$J:$J,$C1022,'Form Details'!$W:$W,"Reject")</f>
        <v>0</v>
      </c>
      <c r="CQ1022" s="238"/>
      <c r="CR1022" s="238"/>
      <c r="CS1022" s="238"/>
      <c r="CT1022" s="238"/>
      <c r="CU1022" s="238"/>
      <c r="CV1022" s="239"/>
      <c r="CW1022" s="237">
        <f>COUNTIFS('Form Details'!$D:$D,"&lt;"&amp;'Adv. Filter'!$A$15,'Form Details'!$N:$N,"Madhu",'Form Details'!$J:$J,$C1022,'Form Details'!$W:$W,"Adv/Paid/Pending")</f>
        <v>0</v>
      </c>
      <c r="CX1022" s="238"/>
      <c r="CY1022" s="238"/>
      <c r="CZ1022" s="238"/>
      <c r="DA1022" s="238"/>
      <c r="DB1022" s="238"/>
      <c r="DC1022" s="239"/>
      <c r="DD1022" s="237">
        <f>COUNTIFS('Form Details'!$D:$D,"&lt;"&amp;'Adv. Filter'!$A$15,'Form Details'!$N:$N,"Madhu",'Form Details'!$J:$J,$C1022,'Form Details'!$W:$W,"Pending")</f>
        <v>0</v>
      </c>
      <c r="DE1022" s="238"/>
      <c r="DF1022" s="238"/>
      <c r="DG1022" s="238"/>
      <c r="DH1022" s="238"/>
      <c r="DI1022" s="238"/>
      <c r="DJ1022" s="239"/>
      <c r="DK1022" s="237">
        <f>COUNTIFS('Form Details'!$D:$D,"&lt;"&amp;'Adv. Filter'!$A$15,'Form Details'!$N:$N,"Madhu",'Form Details'!$J:$J,$C1022,'Form Details'!$W:$W,"Adv/Paid/NoStatus")</f>
        <v>0</v>
      </c>
      <c r="DL1022" s="238"/>
      <c r="DM1022" s="238"/>
      <c r="DN1022" s="238"/>
      <c r="DO1022" s="238"/>
      <c r="DP1022" s="238"/>
      <c r="DQ1022" s="239"/>
      <c r="DR1022" s="237">
        <f>COUNTIFS('Form Details'!$D:$D,"&lt;"&amp;'Adv. Filter'!$A$15,'Form Details'!$N:$N,"Madhu",'Form Details'!$J:$J,$C1022,'Form Details'!$W:$W,"No Status")</f>
        <v>0</v>
      </c>
      <c r="DS1022" s="238"/>
      <c r="DT1022" s="238"/>
      <c r="DU1022" s="238"/>
      <c r="DV1022" s="238"/>
      <c r="DW1022" s="238"/>
      <c r="DX1022" s="239"/>
      <c r="DY1022" s="237">
        <f>SUM(COUNTIFS('Form Details'!$D:$D,"&lt;"&amp;'Adv. Filter'!$A$15,'Form Details'!$N:$N,"Madhu",'Form Details'!$J:$J,$C1022,'Form Details'!$W:$W,{"Wrong Entry ","Double Entry"}))</f>
        <v>0</v>
      </c>
      <c r="DZ1022" s="238"/>
      <c r="EA1022" s="238"/>
      <c r="EB1022" s="238"/>
      <c r="EC1022" s="238"/>
      <c r="ED1022" s="238"/>
      <c r="EE1022" s="239"/>
    </row>
    <row r="1023" spans="3:135" hidden="1">
      <c r="C1023" s="248" t="s">
        <v>92</v>
      </c>
      <c r="D1023" s="249"/>
      <c r="E1023" s="249"/>
      <c r="F1023" s="249"/>
      <c r="G1023" s="249"/>
      <c r="H1023" s="249"/>
      <c r="I1023" s="249"/>
      <c r="J1023" s="249"/>
      <c r="K1023" s="249"/>
      <c r="L1023" s="249"/>
      <c r="M1023" s="249"/>
      <c r="N1023" s="249"/>
      <c r="O1023" s="237">
        <f>COUNTIFS('Form Details'!$D:$D,"&lt;"&amp;'Adv. Filter'!$A$15,'Form Details'!$N:$N,"Madhu",'Form Details'!$J:$J,$C1023)</f>
        <v>0</v>
      </c>
      <c r="P1023" s="238"/>
      <c r="Q1023" s="238"/>
      <c r="R1023" s="238"/>
      <c r="S1023" s="238"/>
      <c r="T1023" s="238"/>
      <c r="U1023" s="239"/>
      <c r="V1023" s="100"/>
      <c r="W1023" s="237">
        <f>COUNTIFS('Form Details'!$D:$D,"&lt;"&amp;'Adv. Filter'!$A$15,'Form Details'!$N:$N,"Madhu",'Form Details'!$J:$J,$C1023,'Form Details'!$AA:$AA,"Yes")</f>
        <v>0</v>
      </c>
      <c r="X1023" s="238"/>
      <c r="Y1023" s="238"/>
      <c r="Z1023" s="238"/>
      <c r="AA1023" s="238"/>
      <c r="AB1023" s="238"/>
      <c r="AC1023" s="239"/>
      <c r="AD1023" s="237">
        <f>COUNTIFS('Form Details'!$D:$D,"&lt;"&amp;'Adv. Filter'!$A$15,'Form Details'!$N:$N,"Madhu",'Form Details'!$J:$J,$C1023,'Form Details'!$W:$W,"Paid",'Form Details'!$S:$S,'Adv. Filter'!$A$14,'Form Details'!$S:$S,'Adv. Filter'!$B$14)</f>
        <v>0</v>
      </c>
      <c r="AE1023" s="238"/>
      <c r="AF1023" s="238"/>
      <c r="AG1023" s="238"/>
      <c r="AH1023" s="238"/>
      <c r="AI1023" s="238"/>
      <c r="AJ1023" s="239"/>
      <c r="AK1023" s="237">
        <f>COUNTIFS('Form Details'!$D:$D,"&lt;"&amp;'Adv. Filter'!$A$15,'Form Details'!$N:$N,"Madhu",'Form Details'!$J:$J,$C1023,'Form Details'!$W:$W,"Due")</f>
        <v>0</v>
      </c>
      <c r="AL1023" s="238"/>
      <c r="AM1023" s="238"/>
      <c r="AN1023" s="238"/>
      <c r="AO1023" s="238"/>
      <c r="AP1023" s="238"/>
      <c r="AQ1023" s="239"/>
      <c r="AR1023" s="237">
        <f>COUNTIFS('Form Details'!$D:$D,"&lt;"&amp;'Adv. Filter'!$A$15,'Form Details'!$N:$N,"Madhu",'Form Details'!$J:$J,$C1023,'Form Details'!$W:$W,"No Fee")</f>
        <v>0</v>
      </c>
      <c r="AS1023" s="238"/>
      <c r="AT1023" s="238"/>
      <c r="AU1023" s="238"/>
      <c r="AV1023" s="238"/>
      <c r="AW1023" s="238"/>
      <c r="AX1023" s="239"/>
      <c r="AY1023" s="237">
        <f>COUNTIFS('Form Details'!$D:$D,"&lt;"&amp;'Adv. Filter'!$A$15,'Form Details'!$N:$N,"Madhu",'Form Details'!$J:$J,$C1023,'Form Details'!$W:$W,"Paid/Reject")</f>
        <v>0</v>
      </c>
      <c r="AZ1023" s="238"/>
      <c r="BA1023" s="238"/>
      <c r="BB1023" s="238"/>
      <c r="BC1023" s="238"/>
      <c r="BD1023" s="238"/>
      <c r="BE1023" s="239"/>
      <c r="BF1023" s="237">
        <f>COUNTIFS('Form Details'!$D:$D,"&lt;"&amp;'Adv. Filter'!$A$15,'Form Details'!$N:$N,"Madhu",'Form Details'!$J:$J,$C1023,'Form Details'!$W:$W,"Staff")</f>
        <v>0</v>
      </c>
      <c r="BG1023" s="238"/>
      <c r="BH1023" s="238"/>
      <c r="BI1023" s="238"/>
      <c r="BJ1023" s="238"/>
      <c r="BK1023" s="238"/>
      <c r="BL1023" s="239"/>
      <c r="BM1023" s="237">
        <f>COUNTIFS('Form Details'!$D:$D,"&lt;"&amp;'Adv. Filter'!$A$15,'Form Details'!$N:$N,"Madhu",'Form Details'!$J:$J,$C1023,'Form Details'!$W:$W,"File In Office")</f>
        <v>0</v>
      </c>
      <c r="BN1023" s="238"/>
      <c r="BO1023" s="238"/>
      <c r="BP1023" s="238"/>
      <c r="BQ1023" s="238"/>
      <c r="BR1023" s="238"/>
      <c r="BS1023" s="239"/>
      <c r="BT1023" s="100"/>
      <c r="BU1023" s="237">
        <f>COUNTIFS('Form Details'!$D:$D,"&lt;"&amp;'Adv. Filter'!$A$15,'Form Details'!$N:$N,"Madhu",'Form Details'!$J:$J,$C1023,'Form Details'!$AA:$AA,"No")</f>
        <v>0</v>
      </c>
      <c r="BV1023" s="238"/>
      <c r="BW1023" s="238"/>
      <c r="BX1023" s="238"/>
      <c r="BY1023" s="238"/>
      <c r="BZ1023" s="238"/>
      <c r="CA1023" s="239"/>
      <c r="CB1023" s="237">
        <f>COUNTIFS('Form Details'!$D:$D,"&lt;"&amp;'Adv. Filter'!$A$15,'Form Details'!$N:$N,"Madhu",'Form Details'!$J:$J,$C1023,'Form Details'!$W:$W,"Adv/Paid")</f>
        <v>0</v>
      </c>
      <c r="CC1023" s="238"/>
      <c r="CD1023" s="238"/>
      <c r="CE1023" s="238"/>
      <c r="CF1023" s="238"/>
      <c r="CG1023" s="238"/>
      <c r="CH1023" s="239"/>
      <c r="CI1023" s="237">
        <f>COUNTIFS('Form Details'!$D:$D,"&lt;"&amp;'Adv. Filter'!$A$15,'Form Details'!$N:$N,"Madhu",'Form Details'!$J:$J,$C1023,'Form Details'!$W:$W,"Adv/Paid/Reject")</f>
        <v>0</v>
      </c>
      <c r="CJ1023" s="238"/>
      <c r="CK1023" s="238"/>
      <c r="CL1023" s="238"/>
      <c r="CM1023" s="238"/>
      <c r="CN1023" s="238"/>
      <c r="CO1023" s="239"/>
      <c r="CP1023" s="237">
        <f>COUNTIFS('Form Details'!$D:$D,"&lt;"&amp;'Adv. Filter'!$A$15,'Form Details'!$N:$N,"Madhu",'Form Details'!$J:$J,$C1023,'Form Details'!$W:$W,"Reject")</f>
        <v>0</v>
      </c>
      <c r="CQ1023" s="238"/>
      <c r="CR1023" s="238"/>
      <c r="CS1023" s="238"/>
      <c r="CT1023" s="238"/>
      <c r="CU1023" s="238"/>
      <c r="CV1023" s="239"/>
      <c r="CW1023" s="237">
        <f>COUNTIFS('Form Details'!$D:$D,"&lt;"&amp;'Adv. Filter'!$A$15,'Form Details'!$N:$N,"Madhu",'Form Details'!$J:$J,$C1023,'Form Details'!$W:$W,"Adv/Paid/Pending")</f>
        <v>0</v>
      </c>
      <c r="CX1023" s="238"/>
      <c r="CY1023" s="238"/>
      <c r="CZ1023" s="238"/>
      <c r="DA1023" s="238"/>
      <c r="DB1023" s="238"/>
      <c r="DC1023" s="239"/>
      <c r="DD1023" s="237">
        <f>COUNTIFS('Form Details'!$D:$D,"&lt;"&amp;'Adv. Filter'!$A$15,'Form Details'!$N:$N,"Madhu",'Form Details'!$J:$J,$C1023,'Form Details'!$W:$W,"Pending")</f>
        <v>0</v>
      </c>
      <c r="DE1023" s="238"/>
      <c r="DF1023" s="238"/>
      <c r="DG1023" s="238"/>
      <c r="DH1023" s="238"/>
      <c r="DI1023" s="238"/>
      <c r="DJ1023" s="239"/>
      <c r="DK1023" s="237">
        <f>COUNTIFS('Form Details'!$D:$D,"&lt;"&amp;'Adv. Filter'!$A$15,'Form Details'!$N:$N,"Madhu",'Form Details'!$J:$J,$C1023,'Form Details'!$W:$W,"Adv/Paid/NoStatus")</f>
        <v>0</v>
      </c>
      <c r="DL1023" s="238"/>
      <c r="DM1023" s="238"/>
      <c r="DN1023" s="238"/>
      <c r="DO1023" s="238"/>
      <c r="DP1023" s="238"/>
      <c r="DQ1023" s="239"/>
      <c r="DR1023" s="237">
        <f>COUNTIFS('Form Details'!$D:$D,"&lt;"&amp;'Adv. Filter'!$A$15,'Form Details'!$N:$N,"Madhu",'Form Details'!$J:$J,$C1023,'Form Details'!$W:$W,"No Status")</f>
        <v>0</v>
      </c>
      <c r="DS1023" s="238"/>
      <c r="DT1023" s="238"/>
      <c r="DU1023" s="238"/>
      <c r="DV1023" s="238"/>
      <c r="DW1023" s="238"/>
      <c r="DX1023" s="239"/>
      <c r="DY1023" s="237">
        <f>SUM(COUNTIFS('Form Details'!$D:$D,"&lt;"&amp;'Adv. Filter'!$A$15,'Form Details'!$N:$N,"Madhu",'Form Details'!$J:$J,$C1023,'Form Details'!$W:$W,{"Wrong Entry ","Double Entry"}))</f>
        <v>0</v>
      </c>
      <c r="DZ1023" s="238"/>
      <c r="EA1023" s="238"/>
      <c r="EB1023" s="238"/>
      <c r="EC1023" s="238"/>
      <c r="ED1023" s="238"/>
      <c r="EE1023" s="239"/>
    </row>
    <row r="1024" spans="3:135" hidden="1">
      <c r="C1024" s="248" t="s">
        <v>97</v>
      </c>
      <c r="D1024" s="249"/>
      <c r="E1024" s="249"/>
      <c r="F1024" s="249"/>
      <c r="G1024" s="249"/>
      <c r="H1024" s="249"/>
      <c r="I1024" s="249"/>
      <c r="J1024" s="249"/>
      <c r="K1024" s="249"/>
      <c r="L1024" s="249"/>
      <c r="M1024" s="249"/>
      <c r="N1024" s="249"/>
      <c r="O1024" s="237">
        <f>COUNTIFS('Form Details'!$D:$D,"&lt;"&amp;'Adv. Filter'!$A$15,'Form Details'!$N:$N,"Madhu",'Form Details'!$J:$J,$C1024)</f>
        <v>0</v>
      </c>
      <c r="P1024" s="238"/>
      <c r="Q1024" s="238"/>
      <c r="R1024" s="238"/>
      <c r="S1024" s="238"/>
      <c r="T1024" s="238"/>
      <c r="U1024" s="239"/>
      <c r="V1024" s="100"/>
      <c r="W1024" s="237">
        <f>COUNTIFS('Form Details'!$D:$D,"&lt;"&amp;'Adv. Filter'!$A$15,'Form Details'!$N:$N,"Madhu",'Form Details'!$J:$J,$C1024,'Form Details'!$AA:$AA,"Yes")</f>
        <v>0</v>
      </c>
      <c r="X1024" s="238"/>
      <c r="Y1024" s="238"/>
      <c r="Z1024" s="238"/>
      <c r="AA1024" s="238"/>
      <c r="AB1024" s="238"/>
      <c r="AC1024" s="239"/>
      <c r="AD1024" s="237">
        <f>COUNTIFS('Form Details'!$D:$D,"&lt;"&amp;'Adv. Filter'!$A$15,'Form Details'!$N:$N,"Madhu",'Form Details'!$J:$J,$C1024,'Form Details'!$W:$W,"Paid",'Form Details'!$S:$S,'Adv. Filter'!$A$14,'Form Details'!$S:$S,'Adv. Filter'!$B$14)</f>
        <v>0</v>
      </c>
      <c r="AE1024" s="238"/>
      <c r="AF1024" s="238"/>
      <c r="AG1024" s="238"/>
      <c r="AH1024" s="238"/>
      <c r="AI1024" s="238"/>
      <c r="AJ1024" s="239"/>
      <c r="AK1024" s="237">
        <f>COUNTIFS('Form Details'!$D:$D,"&lt;"&amp;'Adv. Filter'!$A$15,'Form Details'!$N:$N,"Madhu",'Form Details'!$J:$J,$C1024,'Form Details'!$W:$W,"Due")</f>
        <v>0</v>
      </c>
      <c r="AL1024" s="238"/>
      <c r="AM1024" s="238"/>
      <c r="AN1024" s="238"/>
      <c r="AO1024" s="238"/>
      <c r="AP1024" s="238"/>
      <c r="AQ1024" s="239"/>
      <c r="AR1024" s="237">
        <f>COUNTIFS('Form Details'!$D:$D,"&lt;"&amp;'Adv. Filter'!$A$15,'Form Details'!$N:$N,"Madhu",'Form Details'!$J:$J,$C1024,'Form Details'!$W:$W,"No Fee")</f>
        <v>0</v>
      </c>
      <c r="AS1024" s="238"/>
      <c r="AT1024" s="238"/>
      <c r="AU1024" s="238"/>
      <c r="AV1024" s="238"/>
      <c r="AW1024" s="238"/>
      <c r="AX1024" s="239"/>
      <c r="AY1024" s="237">
        <f>COUNTIFS('Form Details'!$D:$D,"&lt;"&amp;'Adv. Filter'!$A$15,'Form Details'!$N:$N,"Madhu",'Form Details'!$J:$J,$C1024,'Form Details'!$W:$W,"Paid/Reject")</f>
        <v>0</v>
      </c>
      <c r="AZ1024" s="238"/>
      <c r="BA1024" s="238"/>
      <c r="BB1024" s="238"/>
      <c r="BC1024" s="238"/>
      <c r="BD1024" s="238"/>
      <c r="BE1024" s="239"/>
      <c r="BF1024" s="237">
        <f>COUNTIFS('Form Details'!$D:$D,"&lt;"&amp;'Adv. Filter'!$A$15,'Form Details'!$N:$N,"Madhu",'Form Details'!$J:$J,$C1024,'Form Details'!$W:$W,"Staff")</f>
        <v>0</v>
      </c>
      <c r="BG1024" s="238"/>
      <c r="BH1024" s="238"/>
      <c r="BI1024" s="238"/>
      <c r="BJ1024" s="238"/>
      <c r="BK1024" s="238"/>
      <c r="BL1024" s="239"/>
      <c r="BM1024" s="237">
        <f>COUNTIFS('Form Details'!$D:$D,"&lt;"&amp;'Adv. Filter'!$A$15,'Form Details'!$N:$N,"Madhu",'Form Details'!$J:$J,$C1024,'Form Details'!$W:$W,"File In Office")</f>
        <v>0</v>
      </c>
      <c r="BN1024" s="238"/>
      <c r="BO1024" s="238"/>
      <c r="BP1024" s="238"/>
      <c r="BQ1024" s="238"/>
      <c r="BR1024" s="238"/>
      <c r="BS1024" s="239"/>
      <c r="BT1024" s="100"/>
      <c r="BU1024" s="237">
        <f>COUNTIFS('Form Details'!$D:$D,"&lt;"&amp;'Adv. Filter'!$A$15,'Form Details'!$N:$N,"Madhu",'Form Details'!$J:$J,$C1024,'Form Details'!$AA:$AA,"No")</f>
        <v>0</v>
      </c>
      <c r="BV1024" s="238"/>
      <c r="BW1024" s="238"/>
      <c r="BX1024" s="238"/>
      <c r="BY1024" s="238"/>
      <c r="BZ1024" s="238"/>
      <c r="CA1024" s="239"/>
      <c r="CB1024" s="237">
        <f>COUNTIFS('Form Details'!$D:$D,"&lt;"&amp;'Adv. Filter'!$A$15,'Form Details'!$N:$N,"Madhu",'Form Details'!$J:$J,$C1024,'Form Details'!$W:$W,"Adv/Paid")</f>
        <v>0</v>
      </c>
      <c r="CC1024" s="238"/>
      <c r="CD1024" s="238"/>
      <c r="CE1024" s="238"/>
      <c r="CF1024" s="238"/>
      <c r="CG1024" s="238"/>
      <c r="CH1024" s="239"/>
      <c r="CI1024" s="237">
        <f>COUNTIFS('Form Details'!$D:$D,"&lt;"&amp;'Adv. Filter'!$A$15,'Form Details'!$N:$N,"Madhu",'Form Details'!$J:$J,$C1024,'Form Details'!$W:$W,"Adv/Paid/Reject")</f>
        <v>0</v>
      </c>
      <c r="CJ1024" s="238"/>
      <c r="CK1024" s="238"/>
      <c r="CL1024" s="238"/>
      <c r="CM1024" s="238"/>
      <c r="CN1024" s="238"/>
      <c r="CO1024" s="239"/>
      <c r="CP1024" s="237">
        <f>COUNTIFS('Form Details'!$D:$D,"&lt;"&amp;'Adv. Filter'!$A$15,'Form Details'!$N:$N,"Madhu",'Form Details'!$J:$J,$C1024,'Form Details'!$W:$W,"Reject")</f>
        <v>0</v>
      </c>
      <c r="CQ1024" s="238"/>
      <c r="CR1024" s="238"/>
      <c r="CS1024" s="238"/>
      <c r="CT1024" s="238"/>
      <c r="CU1024" s="238"/>
      <c r="CV1024" s="239"/>
      <c r="CW1024" s="237">
        <f>COUNTIFS('Form Details'!$D:$D,"&lt;"&amp;'Adv. Filter'!$A$15,'Form Details'!$N:$N,"Madhu",'Form Details'!$J:$J,$C1024,'Form Details'!$W:$W,"Adv/Paid/Pending")</f>
        <v>0</v>
      </c>
      <c r="CX1024" s="238"/>
      <c r="CY1024" s="238"/>
      <c r="CZ1024" s="238"/>
      <c r="DA1024" s="238"/>
      <c r="DB1024" s="238"/>
      <c r="DC1024" s="239"/>
      <c r="DD1024" s="237">
        <f>COUNTIFS('Form Details'!$D:$D,"&lt;"&amp;'Adv. Filter'!$A$15,'Form Details'!$N:$N,"Madhu",'Form Details'!$J:$J,$C1024,'Form Details'!$W:$W,"Pending")</f>
        <v>0</v>
      </c>
      <c r="DE1024" s="238"/>
      <c r="DF1024" s="238"/>
      <c r="DG1024" s="238"/>
      <c r="DH1024" s="238"/>
      <c r="DI1024" s="238"/>
      <c r="DJ1024" s="239"/>
      <c r="DK1024" s="237">
        <f>COUNTIFS('Form Details'!$D:$D,"&lt;"&amp;'Adv. Filter'!$A$15,'Form Details'!$N:$N,"Madhu",'Form Details'!$J:$J,$C1024,'Form Details'!$W:$W,"Adv/Paid/NoStatus")</f>
        <v>0</v>
      </c>
      <c r="DL1024" s="238"/>
      <c r="DM1024" s="238"/>
      <c r="DN1024" s="238"/>
      <c r="DO1024" s="238"/>
      <c r="DP1024" s="238"/>
      <c r="DQ1024" s="239"/>
      <c r="DR1024" s="237">
        <f>COUNTIFS('Form Details'!$D:$D,"&lt;"&amp;'Adv. Filter'!$A$15,'Form Details'!$N:$N,"Madhu",'Form Details'!$J:$J,$C1024,'Form Details'!$W:$W,"No Status")</f>
        <v>0</v>
      </c>
      <c r="DS1024" s="238"/>
      <c r="DT1024" s="238"/>
      <c r="DU1024" s="238"/>
      <c r="DV1024" s="238"/>
      <c r="DW1024" s="238"/>
      <c r="DX1024" s="239"/>
      <c r="DY1024" s="237">
        <f>SUM(COUNTIFS('Form Details'!$D:$D,"&lt;"&amp;'Adv. Filter'!$A$15,'Form Details'!$N:$N,"Madhu",'Form Details'!$J:$J,$C1024,'Form Details'!$W:$W,{"Wrong Entry ","Double Entry"}))</f>
        <v>0</v>
      </c>
      <c r="DZ1024" s="238"/>
      <c r="EA1024" s="238"/>
      <c r="EB1024" s="238"/>
      <c r="EC1024" s="238"/>
      <c r="ED1024" s="238"/>
      <c r="EE1024" s="239"/>
    </row>
    <row r="1025" spans="3:135" hidden="1">
      <c r="C1025" s="248" t="s">
        <v>102</v>
      </c>
      <c r="D1025" s="249"/>
      <c r="E1025" s="249"/>
      <c r="F1025" s="249"/>
      <c r="G1025" s="249"/>
      <c r="H1025" s="249"/>
      <c r="I1025" s="249"/>
      <c r="J1025" s="249"/>
      <c r="K1025" s="249"/>
      <c r="L1025" s="249"/>
      <c r="M1025" s="249"/>
      <c r="N1025" s="249"/>
      <c r="O1025" s="237">
        <f>COUNTIFS('Form Details'!$D:$D,"&lt;"&amp;'Adv. Filter'!$A$15,'Form Details'!$N:$N,"Madhu",'Form Details'!$J:$J,$C1025)</f>
        <v>0</v>
      </c>
      <c r="P1025" s="238"/>
      <c r="Q1025" s="238"/>
      <c r="R1025" s="238"/>
      <c r="S1025" s="238"/>
      <c r="T1025" s="238"/>
      <c r="U1025" s="239"/>
      <c r="V1025" s="100"/>
      <c r="W1025" s="237">
        <f>COUNTIFS('Form Details'!$D:$D,"&lt;"&amp;'Adv. Filter'!$A$15,'Form Details'!$N:$N,"Madhu",'Form Details'!$J:$J,$C1025,'Form Details'!$AA:$AA,"Yes")</f>
        <v>0</v>
      </c>
      <c r="X1025" s="238"/>
      <c r="Y1025" s="238"/>
      <c r="Z1025" s="238"/>
      <c r="AA1025" s="238"/>
      <c r="AB1025" s="238"/>
      <c r="AC1025" s="239"/>
      <c r="AD1025" s="237">
        <f>COUNTIFS('Form Details'!$D:$D,"&lt;"&amp;'Adv. Filter'!$A$15,'Form Details'!$N:$N,"Madhu",'Form Details'!$J:$J,$C1025,'Form Details'!$W:$W,"Paid",'Form Details'!$S:$S,'Adv. Filter'!$A$14,'Form Details'!$S:$S,'Adv. Filter'!$B$14)</f>
        <v>0</v>
      </c>
      <c r="AE1025" s="238"/>
      <c r="AF1025" s="238"/>
      <c r="AG1025" s="238"/>
      <c r="AH1025" s="238"/>
      <c r="AI1025" s="238"/>
      <c r="AJ1025" s="239"/>
      <c r="AK1025" s="237">
        <f>COUNTIFS('Form Details'!$D:$D,"&lt;"&amp;'Adv. Filter'!$A$15,'Form Details'!$N:$N,"Madhu",'Form Details'!$J:$J,$C1025,'Form Details'!$W:$W,"Due")</f>
        <v>0</v>
      </c>
      <c r="AL1025" s="238"/>
      <c r="AM1025" s="238"/>
      <c r="AN1025" s="238"/>
      <c r="AO1025" s="238"/>
      <c r="AP1025" s="238"/>
      <c r="AQ1025" s="239"/>
      <c r="AR1025" s="237">
        <f>COUNTIFS('Form Details'!$D:$D,"&lt;"&amp;'Adv. Filter'!$A$15,'Form Details'!$N:$N,"Madhu",'Form Details'!$J:$J,$C1025,'Form Details'!$W:$W,"No Fee")</f>
        <v>0</v>
      </c>
      <c r="AS1025" s="238"/>
      <c r="AT1025" s="238"/>
      <c r="AU1025" s="238"/>
      <c r="AV1025" s="238"/>
      <c r="AW1025" s="238"/>
      <c r="AX1025" s="239"/>
      <c r="AY1025" s="237">
        <f>COUNTIFS('Form Details'!$D:$D,"&lt;"&amp;'Adv. Filter'!$A$15,'Form Details'!$N:$N,"Madhu",'Form Details'!$J:$J,$C1025,'Form Details'!$W:$W,"Paid/Reject")</f>
        <v>0</v>
      </c>
      <c r="AZ1025" s="238"/>
      <c r="BA1025" s="238"/>
      <c r="BB1025" s="238"/>
      <c r="BC1025" s="238"/>
      <c r="BD1025" s="238"/>
      <c r="BE1025" s="239"/>
      <c r="BF1025" s="237">
        <f>COUNTIFS('Form Details'!$D:$D,"&lt;"&amp;'Adv. Filter'!$A$15,'Form Details'!$N:$N,"Madhu",'Form Details'!$J:$J,$C1025,'Form Details'!$W:$W,"Staff")</f>
        <v>0</v>
      </c>
      <c r="BG1025" s="238"/>
      <c r="BH1025" s="238"/>
      <c r="BI1025" s="238"/>
      <c r="BJ1025" s="238"/>
      <c r="BK1025" s="238"/>
      <c r="BL1025" s="239"/>
      <c r="BM1025" s="237">
        <f>COUNTIFS('Form Details'!$D:$D,"&lt;"&amp;'Adv. Filter'!$A$15,'Form Details'!$N:$N,"Madhu",'Form Details'!$J:$J,$C1025,'Form Details'!$W:$W,"File In Office")</f>
        <v>0</v>
      </c>
      <c r="BN1025" s="238"/>
      <c r="BO1025" s="238"/>
      <c r="BP1025" s="238"/>
      <c r="BQ1025" s="238"/>
      <c r="BR1025" s="238"/>
      <c r="BS1025" s="239"/>
      <c r="BT1025" s="100"/>
      <c r="BU1025" s="237">
        <f>COUNTIFS('Form Details'!$D:$D,"&lt;"&amp;'Adv. Filter'!$A$15,'Form Details'!$N:$N,"Madhu",'Form Details'!$J:$J,$C1025,'Form Details'!$AA:$AA,"No")</f>
        <v>0</v>
      </c>
      <c r="BV1025" s="238"/>
      <c r="BW1025" s="238"/>
      <c r="BX1025" s="238"/>
      <c r="BY1025" s="238"/>
      <c r="BZ1025" s="238"/>
      <c r="CA1025" s="239"/>
      <c r="CB1025" s="237">
        <f>COUNTIFS('Form Details'!$D:$D,"&lt;"&amp;'Adv. Filter'!$A$15,'Form Details'!$N:$N,"Madhu",'Form Details'!$J:$J,$C1025,'Form Details'!$W:$W,"Adv/Paid")</f>
        <v>0</v>
      </c>
      <c r="CC1025" s="238"/>
      <c r="CD1025" s="238"/>
      <c r="CE1025" s="238"/>
      <c r="CF1025" s="238"/>
      <c r="CG1025" s="238"/>
      <c r="CH1025" s="239"/>
      <c r="CI1025" s="237">
        <f>COUNTIFS('Form Details'!$D:$D,"&lt;"&amp;'Adv. Filter'!$A$15,'Form Details'!$N:$N,"Madhu",'Form Details'!$J:$J,$C1025,'Form Details'!$W:$W,"Adv/Paid/Reject")</f>
        <v>0</v>
      </c>
      <c r="CJ1025" s="238"/>
      <c r="CK1025" s="238"/>
      <c r="CL1025" s="238"/>
      <c r="CM1025" s="238"/>
      <c r="CN1025" s="238"/>
      <c r="CO1025" s="239"/>
      <c r="CP1025" s="237">
        <f>COUNTIFS('Form Details'!$D:$D,"&lt;"&amp;'Adv. Filter'!$A$15,'Form Details'!$N:$N,"Madhu",'Form Details'!$J:$J,$C1025,'Form Details'!$W:$W,"Reject")</f>
        <v>0</v>
      </c>
      <c r="CQ1025" s="238"/>
      <c r="CR1025" s="238"/>
      <c r="CS1025" s="238"/>
      <c r="CT1025" s="238"/>
      <c r="CU1025" s="238"/>
      <c r="CV1025" s="239"/>
      <c r="CW1025" s="237">
        <f>COUNTIFS('Form Details'!$D:$D,"&lt;"&amp;'Adv. Filter'!$A$15,'Form Details'!$N:$N,"Madhu",'Form Details'!$J:$J,$C1025,'Form Details'!$W:$W,"Adv/Paid/Pending")</f>
        <v>0</v>
      </c>
      <c r="CX1025" s="238"/>
      <c r="CY1025" s="238"/>
      <c r="CZ1025" s="238"/>
      <c r="DA1025" s="238"/>
      <c r="DB1025" s="238"/>
      <c r="DC1025" s="239"/>
      <c r="DD1025" s="237">
        <f>COUNTIFS('Form Details'!$D:$D,"&lt;"&amp;'Adv. Filter'!$A$15,'Form Details'!$N:$N,"Madhu",'Form Details'!$J:$J,$C1025,'Form Details'!$W:$W,"Pending")</f>
        <v>0</v>
      </c>
      <c r="DE1025" s="238"/>
      <c r="DF1025" s="238"/>
      <c r="DG1025" s="238"/>
      <c r="DH1025" s="238"/>
      <c r="DI1025" s="238"/>
      <c r="DJ1025" s="239"/>
      <c r="DK1025" s="237">
        <f>COUNTIFS('Form Details'!$D:$D,"&lt;"&amp;'Adv. Filter'!$A$15,'Form Details'!$N:$N,"Madhu",'Form Details'!$J:$J,$C1025,'Form Details'!$W:$W,"Adv/Paid/NoStatus")</f>
        <v>0</v>
      </c>
      <c r="DL1025" s="238"/>
      <c r="DM1025" s="238"/>
      <c r="DN1025" s="238"/>
      <c r="DO1025" s="238"/>
      <c r="DP1025" s="238"/>
      <c r="DQ1025" s="239"/>
      <c r="DR1025" s="237">
        <f>COUNTIFS('Form Details'!$D:$D,"&lt;"&amp;'Adv. Filter'!$A$15,'Form Details'!$N:$N,"Madhu",'Form Details'!$J:$J,$C1025,'Form Details'!$W:$W,"No Status")</f>
        <v>0</v>
      </c>
      <c r="DS1025" s="238"/>
      <c r="DT1025" s="238"/>
      <c r="DU1025" s="238"/>
      <c r="DV1025" s="238"/>
      <c r="DW1025" s="238"/>
      <c r="DX1025" s="239"/>
      <c r="DY1025" s="237">
        <f>SUM(COUNTIFS('Form Details'!$D:$D,"&lt;"&amp;'Adv. Filter'!$A$15,'Form Details'!$N:$N,"Madhu",'Form Details'!$J:$J,$C1025,'Form Details'!$W:$W,{"Wrong Entry ","Double Entry"}))</f>
        <v>0</v>
      </c>
      <c r="DZ1025" s="238"/>
      <c r="EA1025" s="238"/>
      <c r="EB1025" s="238"/>
      <c r="EC1025" s="238"/>
      <c r="ED1025" s="238"/>
      <c r="EE1025" s="239"/>
    </row>
    <row r="1026" spans="3:135" ht="15.75" hidden="1" thickBot="1">
      <c r="C1026" s="248" t="s">
        <v>108</v>
      </c>
      <c r="D1026" s="249"/>
      <c r="E1026" s="249"/>
      <c r="F1026" s="249"/>
      <c r="G1026" s="249"/>
      <c r="H1026" s="249"/>
      <c r="I1026" s="249"/>
      <c r="J1026" s="249"/>
      <c r="K1026" s="249"/>
      <c r="L1026" s="249"/>
      <c r="M1026" s="249"/>
      <c r="N1026" s="249"/>
      <c r="O1026" s="237">
        <f>COUNTIFS('Form Details'!$D:$D,"&lt;"&amp;'Adv. Filter'!$A$15,'Form Details'!$N:$N,"Madhu",'Form Details'!$J:$J,$C1026)</f>
        <v>0</v>
      </c>
      <c r="P1026" s="238"/>
      <c r="Q1026" s="238"/>
      <c r="R1026" s="238"/>
      <c r="S1026" s="238"/>
      <c r="T1026" s="238"/>
      <c r="U1026" s="239"/>
      <c r="V1026" s="100"/>
      <c r="W1026" s="237">
        <f>COUNTIFS('Form Details'!$D:$D,"&lt;"&amp;'Adv. Filter'!$A$15,'Form Details'!$N:$N,"Madhu",'Form Details'!$J:$J,$C1026,'Form Details'!$AA:$AA,"Yes")</f>
        <v>0</v>
      </c>
      <c r="X1026" s="238"/>
      <c r="Y1026" s="238"/>
      <c r="Z1026" s="238"/>
      <c r="AA1026" s="238"/>
      <c r="AB1026" s="238"/>
      <c r="AC1026" s="239"/>
      <c r="AD1026" s="237">
        <f>COUNTIFS('Form Details'!$D:$D,"&lt;"&amp;'Adv. Filter'!$A$15,'Form Details'!$N:$N,"Madhu",'Form Details'!$J:$J,$C1026,'Form Details'!$W:$W,"Paid",'Form Details'!$S:$S,'Adv. Filter'!$A$14,'Form Details'!$S:$S,'Adv. Filter'!$B$14)</f>
        <v>0</v>
      </c>
      <c r="AE1026" s="238"/>
      <c r="AF1026" s="238"/>
      <c r="AG1026" s="238"/>
      <c r="AH1026" s="238"/>
      <c r="AI1026" s="238"/>
      <c r="AJ1026" s="239"/>
      <c r="AK1026" s="237">
        <f>COUNTIFS('Form Details'!$D:$D,"&lt;"&amp;'Adv. Filter'!$A$15,'Form Details'!$N:$N,"Madhu",'Form Details'!$J:$J,$C1026,'Form Details'!$W:$W,"Due")</f>
        <v>0</v>
      </c>
      <c r="AL1026" s="238"/>
      <c r="AM1026" s="238"/>
      <c r="AN1026" s="238"/>
      <c r="AO1026" s="238"/>
      <c r="AP1026" s="238"/>
      <c r="AQ1026" s="239"/>
      <c r="AR1026" s="240">
        <f>COUNTIFS('Form Details'!$D:$D,"&lt;"&amp;'Adv. Filter'!$A$15,'Form Details'!$N:$N,"Madhu",'Form Details'!$J:$J,$C1026,'Form Details'!$W:$W,"No Fee")</f>
        <v>0</v>
      </c>
      <c r="AS1026" s="241"/>
      <c r="AT1026" s="241"/>
      <c r="AU1026" s="241"/>
      <c r="AV1026" s="241"/>
      <c r="AW1026" s="241"/>
      <c r="AX1026" s="242"/>
      <c r="AY1026" s="240">
        <f>COUNTIFS('Form Details'!$D:$D,"&lt;"&amp;'Adv. Filter'!$A$15,'Form Details'!$N:$N,"Madhu",'Form Details'!$J:$J,$C1026,'Form Details'!$W:$W,"Paid/Reject")</f>
        <v>0</v>
      </c>
      <c r="AZ1026" s="241"/>
      <c r="BA1026" s="241"/>
      <c r="BB1026" s="241"/>
      <c r="BC1026" s="241"/>
      <c r="BD1026" s="241"/>
      <c r="BE1026" s="242"/>
      <c r="BF1026" s="240">
        <f>COUNTIFS('Form Details'!$D:$D,"&lt;"&amp;'Adv. Filter'!$A$15,'Form Details'!$N:$N,"Madhu",'Form Details'!$J:$J,$C1026,'Form Details'!$W:$W,"Staff")</f>
        <v>0</v>
      </c>
      <c r="BG1026" s="241"/>
      <c r="BH1026" s="241"/>
      <c r="BI1026" s="241"/>
      <c r="BJ1026" s="241"/>
      <c r="BK1026" s="241"/>
      <c r="BL1026" s="242"/>
      <c r="BM1026" s="240">
        <f>COUNTIFS('Form Details'!$D:$D,"&lt;"&amp;'Adv. Filter'!$A$15,'Form Details'!$N:$N,"Madhu",'Form Details'!$J:$J,$C1026,'Form Details'!$W:$W,"File In Office")</f>
        <v>0</v>
      </c>
      <c r="BN1026" s="241"/>
      <c r="BO1026" s="241"/>
      <c r="BP1026" s="241"/>
      <c r="BQ1026" s="241"/>
      <c r="BR1026" s="241"/>
      <c r="BS1026" s="242"/>
      <c r="BT1026" s="100"/>
      <c r="BU1026" s="240">
        <f>COUNTIFS('Form Details'!$D:$D,"&lt;"&amp;'Adv. Filter'!$A$15,'Form Details'!$N:$N,"Madhu",'Form Details'!$J:$J,$C1026,'Form Details'!$AA:$AA,"No")</f>
        <v>0</v>
      </c>
      <c r="BV1026" s="241"/>
      <c r="BW1026" s="241"/>
      <c r="BX1026" s="241"/>
      <c r="BY1026" s="241"/>
      <c r="BZ1026" s="241"/>
      <c r="CA1026" s="242"/>
      <c r="CB1026" s="240">
        <f>COUNTIFS('Form Details'!$D:$D,"&lt;"&amp;'Adv. Filter'!$A$15,'Form Details'!$N:$N,"Madhu",'Form Details'!$J:$J,$C1026,'Form Details'!$W:$W,"Adv/Paid")</f>
        <v>0</v>
      </c>
      <c r="CC1026" s="241"/>
      <c r="CD1026" s="241"/>
      <c r="CE1026" s="241"/>
      <c r="CF1026" s="241"/>
      <c r="CG1026" s="241"/>
      <c r="CH1026" s="242"/>
      <c r="CI1026" s="240">
        <f>COUNTIFS('Form Details'!$D:$D,"&lt;"&amp;'Adv. Filter'!$A$15,'Form Details'!$N:$N,"Madhu",'Form Details'!$J:$J,$C1026,'Form Details'!$W:$W,"Adv/Paid/Reject")</f>
        <v>0</v>
      </c>
      <c r="CJ1026" s="241"/>
      <c r="CK1026" s="241"/>
      <c r="CL1026" s="241"/>
      <c r="CM1026" s="241"/>
      <c r="CN1026" s="241"/>
      <c r="CO1026" s="242"/>
      <c r="CP1026" s="240">
        <f>COUNTIFS('Form Details'!$D:$D,"&lt;"&amp;'Adv. Filter'!$A$15,'Form Details'!$N:$N,"Madhu",'Form Details'!$J:$J,$C1026,'Form Details'!$W:$W,"Reject")</f>
        <v>0</v>
      </c>
      <c r="CQ1026" s="241"/>
      <c r="CR1026" s="241"/>
      <c r="CS1026" s="241"/>
      <c r="CT1026" s="241"/>
      <c r="CU1026" s="241"/>
      <c r="CV1026" s="242"/>
      <c r="CW1026" s="240">
        <f>COUNTIFS('Form Details'!$D:$D,"&lt;"&amp;'Adv. Filter'!$A$15,'Form Details'!$N:$N,"Madhu",'Form Details'!$J:$J,$C1026,'Form Details'!$W:$W,"Adv/Paid/Pending")</f>
        <v>0</v>
      </c>
      <c r="CX1026" s="241"/>
      <c r="CY1026" s="241"/>
      <c r="CZ1026" s="241"/>
      <c r="DA1026" s="241"/>
      <c r="DB1026" s="241"/>
      <c r="DC1026" s="242"/>
      <c r="DD1026" s="240">
        <f>COUNTIFS('Form Details'!$D:$D,"&lt;"&amp;'Adv. Filter'!$A$15,'Form Details'!$N:$N,"Madhu",'Form Details'!$J:$J,$C1026,'Form Details'!$W:$W,"Pending")</f>
        <v>0</v>
      </c>
      <c r="DE1026" s="241"/>
      <c r="DF1026" s="241"/>
      <c r="DG1026" s="241"/>
      <c r="DH1026" s="241"/>
      <c r="DI1026" s="241"/>
      <c r="DJ1026" s="242"/>
      <c r="DK1026" s="240">
        <f>COUNTIFS('Form Details'!$D:$D,"&lt;"&amp;'Adv. Filter'!$A$15,'Form Details'!$N:$N,"Madhu",'Form Details'!$J:$J,$C1026,'Form Details'!$W:$W,"Adv/Paid/NoStatus")</f>
        <v>0</v>
      </c>
      <c r="DL1026" s="241"/>
      <c r="DM1026" s="241"/>
      <c r="DN1026" s="241"/>
      <c r="DO1026" s="241"/>
      <c r="DP1026" s="241"/>
      <c r="DQ1026" s="242"/>
      <c r="DR1026" s="240">
        <f>COUNTIFS('Form Details'!$D:$D,"&lt;"&amp;'Adv. Filter'!$A$15,'Form Details'!$N:$N,"Madhu",'Form Details'!$J:$J,$C1026,'Form Details'!$W:$W,"No Status")</f>
        <v>0</v>
      </c>
      <c r="DS1026" s="241"/>
      <c r="DT1026" s="241"/>
      <c r="DU1026" s="241"/>
      <c r="DV1026" s="241"/>
      <c r="DW1026" s="241"/>
      <c r="DX1026" s="242"/>
      <c r="DY1026" s="240">
        <f>SUM(COUNTIFS('Form Details'!$D:$D,"&lt;"&amp;'Adv. Filter'!$A$15,'Form Details'!$N:$N,"Madhu",'Form Details'!$J:$J,$C1026,'Form Details'!$W:$W,{"Wrong Entry ","Double Entry"}))</f>
        <v>0</v>
      </c>
      <c r="DZ1026" s="241"/>
      <c r="EA1026" s="241"/>
      <c r="EB1026" s="241"/>
      <c r="EC1026" s="241"/>
      <c r="ED1026" s="241"/>
      <c r="EE1026" s="242"/>
    </row>
    <row r="1027" spans="3:135" ht="15.75" hidden="1" thickTop="1">
      <c r="C1027" s="246" t="s">
        <v>503</v>
      </c>
      <c r="D1027" s="247"/>
      <c r="E1027" s="247"/>
      <c r="F1027" s="247"/>
      <c r="G1027" s="247"/>
      <c r="H1027" s="247"/>
      <c r="I1027" s="247"/>
      <c r="J1027" s="247"/>
      <c r="K1027" s="247"/>
      <c r="L1027" s="247"/>
      <c r="M1027" s="247"/>
      <c r="N1027" s="247"/>
      <c r="O1027" s="243">
        <f>SUM(O1010:U1026)</f>
        <v>0</v>
      </c>
      <c r="P1027" s="244"/>
      <c r="Q1027" s="244"/>
      <c r="R1027" s="244"/>
      <c r="S1027" s="244"/>
      <c r="T1027" s="244"/>
      <c r="U1027" s="244"/>
      <c r="V1027" s="106"/>
      <c r="W1027" s="243">
        <f>SUM(W1010:AC1026)</f>
        <v>0</v>
      </c>
      <c r="X1027" s="244"/>
      <c r="Y1027" s="244"/>
      <c r="Z1027" s="244"/>
      <c r="AA1027" s="244"/>
      <c r="AB1027" s="244"/>
      <c r="AC1027" s="244"/>
      <c r="AD1027" s="243">
        <f>SUM(AD1010:AJ1026)</f>
        <v>0</v>
      </c>
      <c r="AE1027" s="244"/>
      <c r="AF1027" s="244"/>
      <c r="AG1027" s="244"/>
      <c r="AH1027" s="244"/>
      <c r="AI1027" s="244"/>
      <c r="AJ1027" s="244"/>
      <c r="AK1027" s="243">
        <f>SUM(AK1010:AQ1026)</f>
        <v>0</v>
      </c>
      <c r="AL1027" s="244"/>
      <c r="AM1027" s="244"/>
      <c r="AN1027" s="244"/>
      <c r="AO1027" s="244"/>
      <c r="AP1027" s="244"/>
      <c r="AQ1027" s="244"/>
      <c r="AR1027" s="243">
        <f>SUM(AR1010:AX1026)</f>
        <v>0</v>
      </c>
      <c r="AS1027" s="244"/>
      <c r="AT1027" s="244"/>
      <c r="AU1027" s="244"/>
      <c r="AV1027" s="244"/>
      <c r="AW1027" s="244"/>
      <c r="AX1027" s="244"/>
      <c r="AY1027" s="243">
        <f>SUM(AY1010:BE1026)</f>
        <v>0</v>
      </c>
      <c r="AZ1027" s="244"/>
      <c r="BA1027" s="244"/>
      <c r="BB1027" s="244"/>
      <c r="BC1027" s="244"/>
      <c r="BD1027" s="244"/>
      <c r="BE1027" s="244"/>
      <c r="BF1027" s="243">
        <f>SUM(BF1010:BL1026)</f>
        <v>0</v>
      </c>
      <c r="BG1027" s="244"/>
      <c r="BH1027" s="244"/>
      <c r="BI1027" s="244"/>
      <c r="BJ1027" s="244"/>
      <c r="BK1027" s="244"/>
      <c r="BL1027" s="244"/>
      <c r="BM1027" s="243">
        <f>SUM(BM1010:BS1026)</f>
        <v>0</v>
      </c>
      <c r="BN1027" s="244"/>
      <c r="BO1027" s="244"/>
      <c r="BP1027" s="244"/>
      <c r="BQ1027" s="244"/>
      <c r="BR1027" s="244"/>
      <c r="BS1027" s="244"/>
      <c r="BT1027" s="106"/>
      <c r="BU1027" s="243">
        <f>SUM(BU1010:CA1026)</f>
        <v>0</v>
      </c>
      <c r="BV1027" s="244"/>
      <c r="BW1027" s="244"/>
      <c r="BX1027" s="244"/>
      <c r="BY1027" s="244"/>
      <c r="BZ1027" s="244"/>
      <c r="CA1027" s="244"/>
      <c r="CB1027" s="243">
        <f>SUM(CB1010:CH1026)</f>
        <v>0</v>
      </c>
      <c r="CC1027" s="244"/>
      <c r="CD1027" s="244"/>
      <c r="CE1027" s="244"/>
      <c r="CF1027" s="244"/>
      <c r="CG1027" s="244"/>
      <c r="CH1027" s="244"/>
      <c r="CI1027" s="243">
        <f>SUM(CI1010:CO1026)</f>
        <v>0</v>
      </c>
      <c r="CJ1027" s="244"/>
      <c r="CK1027" s="244"/>
      <c r="CL1027" s="244"/>
      <c r="CM1027" s="244"/>
      <c r="CN1027" s="244"/>
      <c r="CO1027" s="244"/>
      <c r="CP1027" s="243">
        <f>SUM(CP1010:CV1026)</f>
        <v>0</v>
      </c>
      <c r="CQ1027" s="244"/>
      <c r="CR1027" s="244"/>
      <c r="CS1027" s="244"/>
      <c r="CT1027" s="244"/>
      <c r="CU1027" s="244"/>
      <c r="CV1027" s="244"/>
      <c r="CW1027" s="243">
        <f>SUM(CW1010:DC1026)</f>
        <v>0</v>
      </c>
      <c r="CX1027" s="244"/>
      <c r="CY1027" s="244"/>
      <c r="CZ1027" s="244"/>
      <c r="DA1027" s="244"/>
      <c r="DB1027" s="244"/>
      <c r="DC1027" s="244"/>
      <c r="DD1027" s="243">
        <f>SUM(DD1010:DJ1026)</f>
        <v>0</v>
      </c>
      <c r="DE1027" s="244"/>
      <c r="DF1027" s="244"/>
      <c r="DG1027" s="244"/>
      <c r="DH1027" s="244"/>
      <c r="DI1027" s="244"/>
      <c r="DJ1027" s="244"/>
      <c r="DK1027" s="243">
        <f>SUM(DK1010:DQ1026)</f>
        <v>0</v>
      </c>
      <c r="DL1027" s="244"/>
      <c r="DM1027" s="244"/>
      <c r="DN1027" s="244"/>
      <c r="DO1027" s="244"/>
      <c r="DP1027" s="244"/>
      <c r="DQ1027" s="244"/>
      <c r="DR1027" s="243">
        <f>SUM(DR1010:DX1026)</f>
        <v>0</v>
      </c>
      <c r="DS1027" s="244"/>
      <c r="DT1027" s="244"/>
      <c r="DU1027" s="244"/>
      <c r="DV1027" s="244"/>
      <c r="DW1027" s="244"/>
      <c r="DX1027" s="244"/>
      <c r="DY1027" s="243">
        <f>SUM(DY1010:EE1026)</f>
        <v>0</v>
      </c>
      <c r="DZ1027" s="244"/>
      <c r="EA1027" s="244"/>
      <c r="EB1027" s="244"/>
      <c r="EC1027" s="244"/>
      <c r="ED1027" s="244"/>
      <c r="EE1027" s="244"/>
    </row>
    <row r="1028" spans="3:135" hidden="1"/>
    <row r="1029" spans="3:135" hidden="1"/>
    <row r="1030" spans="3:135" hidden="1"/>
    <row r="1031" spans="3:135" hidden="1"/>
    <row r="1032" spans="3:135" hidden="1"/>
    <row r="1033" spans="3:135" hidden="1"/>
    <row r="1034" spans="3:135" hidden="1"/>
    <row r="1035" spans="3:135" hidden="1"/>
    <row r="1036" spans="3:135" hidden="1"/>
    <row r="1037" spans="3:135" hidden="1"/>
    <row r="1038" spans="3:135" hidden="1"/>
    <row r="1039" spans="3:135" hidden="1"/>
    <row r="1040" spans="3:135" hidden="1"/>
    <row r="1041" spans="1:137" hidden="1"/>
    <row r="1042" spans="1:137" hidden="1"/>
    <row r="1043" spans="1:137" hidden="1"/>
    <row r="1044" spans="1:137" hidden="1"/>
    <row r="1045" spans="1:137" hidden="1"/>
    <row r="1046" spans="1:137" s="105" customFormat="1" hidden="1">
      <c r="D1046" s="13"/>
    </row>
    <row r="1047" spans="1:137" s="105" customFormat="1" hidden="1">
      <c r="D1047" s="13"/>
    </row>
    <row r="1048" spans="1:137" s="105" customFormat="1" hidden="1">
      <c r="D1048" s="13"/>
    </row>
    <row r="1049" spans="1:137" s="105" customFormat="1" hidden="1">
      <c r="D1049" s="13"/>
    </row>
    <row r="1050" spans="1:137" hidden="1"/>
    <row r="1051" spans="1:137" hidden="1">
      <c r="A1051" s="105"/>
      <c r="B1051" s="105"/>
      <c r="C1051" s="105"/>
      <c r="E1051" s="105"/>
      <c r="F1051" s="105"/>
      <c r="G1051" s="105"/>
      <c r="H1051" s="105"/>
      <c r="I1051" s="105"/>
      <c r="J1051" s="105"/>
      <c r="K1051" s="105"/>
      <c r="L1051" s="105"/>
      <c r="M1051" s="105"/>
      <c r="N1051" s="105"/>
      <c r="O1051" s="105"/>
      <c r="P1051" s="105"/>
      <c r="Q1051" s="105"/>
      <c r="R1051" s="105"/>
      <c r="S1051" s="105"/>
      <c r="T1051" s="105"/>
      <c r="U1051" s="105"/>
      <c r="V1051" s="105"/>
      <c r="W1051" s="105"/>
      <c r="X1051" s="105"/>
      <c r="Y1051" s="105"/>
      <c r="Z1051" s="105"/>
      <c r="AA1051" s="105"/>
      <c r="AB1051" s="105"/>
      <c r="AC1051" s="105"/>
      <c r="AD1051" s="105"/>
      <c r="AE1051" s="105"/>
      <c r="AF1051" s="105"/>
      <c r="AG1051" s="105"/>
      <c r="AH1051" s="105"/>
      <c r="AI1051" s="105"/>
      <c r="AJ1051" s="105"/>
      <c r="AK1051" s="105"/>
      <c r="AL1051" s="105"/>
      <c r="AM1051" s="105"/>
      <c r="AN1051" s="105"/>
      <c r="AO1051" s="105"/>
      <c r="AP1051" s="105"/>
      <c r="AQ1051" s="105"/>
      <c r="AR1051" s="105"/>
      <c r="AS1051" s="105"/>
      <c r="AT1051" s="105"/>
      <c r="AU1051" s="105"/>
      <c r="AV1051" s="105"/>
      <c r="AW1051" s="105"/>
      <c r="AX1051" s="105"/>
      <c r="AY1051" s="105"/>
      <c r="AZ1051" s="105"/>
      <c r="BA1051" s="105"/>
      <c r="BB1051" s="105"/>
      <c r="BC1051" s="105"/>
      <c r="BD1051" s="105"/>
      <c r="BE1051" s="105"/>
      <c r="BF1051" s="105"/>
      <c r="BG1051" s="105"/>
      <c r="BH1051" s="105"/>
      <c r="BI1051" s="105"/>
      <c r="BJ1051" s="105"/>
      <c r="BK1051" s="105"/>
      <c r="BL1051" s="105"/>
      <c r="BM1051" s="105"/>
      <c r="BN1051" s="105"/>
      <c r="BO1051" s="105"/>
      <c r="BP1051" s="105"/>
      <c r="BQ1051" s="105"/>
      <c r="BR1051" s="105"/>
      <c r="BS1051" s="105"/>
      <c r="BT1051" s="105"/>
      <c r="BU1051" s="105"/>
      <c r="BV1051" s="105"/>
      <c r="BW1051" s="105"/>
      <c r="BX1051" s="105"/>
      <c r="BY1051" s="105"/>
      <c r="BZ1051" s="105"/>
      <c r="CA1051" s="105"/>
      <c r="CB1051" s="105"/>
      <c r="CC1051" s="105"/>
      <c r="CD1051" s="105"/>
      <c r="CE1051" s="105"/>
      <c r="CF1051" s="105"/>
      <c r="CG1051" s="105"/>
      <c r="CH1051" s="105"/>
      <c r="CI1051" s="105"/>
      <c r="CJ1051" s="105"/>
      <c r="CK1051" s="105"/>
      <c r="CL1051" s="105"/>
      <c r="CM1051" s="105"/>
      <c r="CN1051" s="105"/>
      <c r="CO1051" s="105"/>
      <c r="CP1051" s="105"/>
      <c r="CQ1051" s="105"/>
      <c r="CR1051" s="105"/>
      <c r="CS1051" s="105"/>
      <c r="CT1051" s="105"/>
      <c r="CU1051" s="105"/>
      <c r="CV1051" s="105"/>
      <c r="CW1051" s="105"/>
      <c r="CX1051" s="105"/>
      <c r="CY1051" s="105"/>
      <c r="CZ1051" s="105"/>
      <c r="DA1051" s="105"/>
      <c r="DB1051" s="105"/>
      <c r="DC1051" s="105"/>
      <c r="DD1051" s="105"/>
      <c r="DE1051" s="105"/>
      <c r="DF1051" s="105"/>
      <c r="DG1051" s="105"/>
      <c r="DH1051" s="105"/>
      <c r="DI1051" s="105"/>
      <c r="DJ1051" s="105"/>
      <c r="DK1051" s="105"/>
      <c r="DL1051" s="105"/>
      <c r="DM1051" s="105"/>
      <c r="DN1051" s="105"/>
      <c r="DO1051" s="105"/>
      <c r="DP1051" s="105"/>
      <c r="DQ1051" s="105"/>
      <c r="DR1051" s="105"/>
      <c r="DS1051" s="105"/>
      <c r="DT1051" s="105"/>
      <c r="DU1051" s="105"/>
      <c r="DV1051" s="105"/>
      <c r="DW1051" s="105"/>
      <c r="DX1051" s="105"/>
      <c r="DY1051" s="105"/>
      <c r="DZ1051" s="105"/>
      <c r="EA1051" s="105"/>
      <c r="EB1051" s="105"/>
      <c r="EC1051" s="105"/>
      <c r="ED1051" s="105"/>
      <c r="EE1051" s="105"/>
      <c r="EF1051" s="105"/>
      <c r="EG1051" s="105"/>
    </row>
    <row r="1052" spans="1:137" ht="15" hidden="1" customHeight="1">
      <c r="A1052" s="105"/>
      <c r="B1052" s="105"/>
      <c r="C1052" s="105"/>
      <c r="E1052" s="105"/>
      <c r="F1052" s="105"/>
      <c r="G1052" s="105"/>
      <c r="H1052" s="105"/>
      <c r="I1052" s="105"/>
      <c r="J1052" s="105"/>
      <c r="K1052" s="105"/>
      <c r="L1052" s="105"/>
      <c r="M1052" s="105"/>
      <c r="N1052" s="105"/>
      <c r="O1052" s="105"/>
      <c r="P1052" s="105"/>
      <c r="Q1052" s="105"/>
      <c r="R1052" s="105"/>
      <c r="S1052" s="105"/>
      <c r="T1052" s="105"/>
      <c r="U1052" s="105"/>
      <c r="V1052" s="105"/>
      <c r="W1052" s="105"/>
      <c r="X1052" s="105"/>
      <c r="Y1052" s="105"/>
      <c r="Z1052" s="105"/>
      <c r="AA1052" s="105"/>
      <c r="AB1052" s="105"/>
      <c r="AC1052" s="105"/>
      <c r="AD1052" s="105"/>
      <c r="AE1052" s="105"/>
      <c r="AF1052" s="105"/>
      <c r="AG1052" s="105"/>
      <c r="AH1052" s="105"/>
      <c r="AI1052" s="105"/>
      <c r="AJ1052" s="105"/>
      <c r="AK1052" s="105"/>
      <c r="AL1052" s="105"/>
      <c r="AM1052" s="105"/>
      <c r="AN1052" s="105"/>
      <c r="AO1052" s="105"/>
      <c r="AP1052" s="105"/>
      <c r="AQ1052" s="105"/>
      <c r="AR1052" s="105"/>
      <c r="AS1052" s="105"/>
      <c r="AT1052" s="105"/>
      <c r="AU1052" s="105"/>
      <c r="AV1052" s="105"/>
      <c r="AW1052" s="105"/>
      <c r="AX1052" s="105"/>
      <c r="AY1052" s="50"/>
      <c r="AZ1052" s="50"/>
      <c r="BA1052" s="50"/>
      <c r="BB1052" s="50"/>
      <c r="BC1052" s="50"/>
      <c r="BD1052" s="105"/>
      <c r="BE1052" s="50"/>
      <c r="BF1052" s="50"/>
      <c r="BG1052" s="50"/>
      <c r="BH1052" s="50"/>
      <c r="BI1052" s="50"/>
      <c r="BJ1052" s="50"/>
      <c r="BK1052" s="50"/>
      <c r="BL1052" s="225" t="str">
        <f>CONCATENATE("TOTAL FORM'S AS OF ",TEXT('Adv. Filter'!$A$15,"DD-MMM-YYYY"), " TO ",TEXT('Adv. Filter'!$B$15,"DD-MMM-YYYY"))</f>
        <v>TOTAL FORM'S AS OF 01-Jan-2017 TO 13-Oct-2017</v>
      </c>
      <c r="BM1052" s="225"/>
      <c r="BN1052" s="225"/>
      <c r="BO1052" s="225"/>
      <c r="BP1052" s="225"/>
      <c r="BQ1052" s="225"/>
      <c r="BR1052" s="225"/>
      <c r="BS1052" s="225"/>
      <c r="BT1052" s="225"/>
      <c r="BU1052" s="225"/>
      <c r="BV1052" s="225"/>
      <c r="BW1052" s="225"/>
      <c r="BX1052" s="225"/>
      <c r="BY1052" s="225"/>
      <c r="BZ1052" s="225"/>
      <c r="CA1052" s="225"/>
      <c r="CB1052" s="225"/>
      <c r="CC1052" s="225"/>
      <c r="CD1052" s="225"/>
      <c r="CE1052" s="225"/>
      <c r="CF1052" s="225"/>
      <c r="CG1052" s="225"/>
      <c r="CH1052" s="225"/>
      <c r="CI1052" s="225"/>
      <c r="CJ1052" s="225"/>
      <c r="CK1052" s="225"/>
      <c r="CL1052" s="225"/>
      <c r="CM1052" s="225"/>
      <c r="CN1052" s="225"/>
      <c r="CO1052" s="225"/>
      <c r="CP1052" s="225"/>
      <c r="CQ1052" s="225"/>
      <c r="CR1052" s="225"/>
      <c r="CS1052" s="225"/>
      <c r="CT1052" s="225"/>
      <c r="CU1052" s="225"/>
      <c r="CV1052" s="225"/>
      <c r="CW1052" s="225"/>
      <c r="CX1052" s="225"/>
      <c r="CY1052" s="225"/>
      <c r="CZ1052" s="225"/>
      <c r="DA1052" s="225"/>
      <c r="DB1052" s="225"/>
      <c r="DC1052" s="225"/>
      <c r="DD1052" s="225"/>
      <c r="DE1052" s="225"/>
      <c r="DF1052" s="225"/>
      <c r="DG1052" s="225"/>
      <c r="DH1052" s="225"/>
      <c r="DI1052" s="225"/>
      <c r="DJ1052" s="225"/>
      <c r="DK1052" s="225"/>
      <c r="DL1052" s="225"/>
      <c r="DM1052" s="225"/>
      <c r="DN1052" s="225"/>
      <c r="DO1052" s="225"/>
      <c r="DP1052" s="225"/>
      <c r="DQ1052" s="225"/>
      <c r="DR1052" s="225"/>
      <c r="DS1052" s="225"/>
      <c r="DT1052" s="225"/>
      <c r="DU1052" s="225"/>
      <c r="DV1052" s="225"/>
      <c r="DW1052" s="225"/>
      <c r="DX1052" s="225"/>
      <c r="DY1052" s="225"/>
      <c r="DZ1052" s="225"/>
      <c r="EA1052" s="105"/>
      <c r="EB1052" s="105"/>
      <c r="EC1052" s="105"/>
      <c r="ED1052" s="105"/>
      <c r="EE1052" s="105"/>
      <c r="EF1052" s="105"/>
      <c r="EG1052" s="105"/>
    </row>
    <row r="1053" spans="1:137" ht="15" hidden="1" customHeight="1">
      <c r="A1053" s="105"/>
      <c r="B1053" s="105"/>
      <c r="C1053" s="105"/>
      <c r="E1053" s="105"/>
      <c r="F1053" s="105"/>
      <c r="G1053" s="105"/>
      <c r="H1053" s="105"/>
      <c r="I1053" s="105"/>
      <c r="J1053" s="105"/>
      <c r="K1053" s="105"/>
      <c r="L1053" s="105"/>
      <c r="M1053" s="105"/>
      <c r="N1053" s="105"/>
      <c r="O1053" s="105"/>
      <c r="P1053" s="105"/>
      <c r="Q1053" s="105"/>
      <c r="R1053" s="105"/>
      <c r="S1053" s="105"/>
      <c r="T1053" s="105"/>
      <c r="U1053" s="105"/>
      <c r="V1053" s="105"/>
      <c r="W1053" s="105"/>
      <c r="X1053" s="105"/>
      <c r="Y1053" s="105"/>
      <c r="Z1053" s="105"/>
      <c r="AA1053" s="105"/>
      <c r="AB1053" s="105"/>
      <c r="AC1053" s="105"/>
      <c r="AD1053" s="105"/>
      <c r="AE1053" s="105"/>
      <c r="AF1053" s="105"/>
      <c r="AG1053" s="105"/>
      <c r="AH1053" s="105"/>
      <c r="AI1053" s="105"/>
      <c r="AJ1053" s="105"/>
      <c r="AK1053" s="105"/>
      <c r="AL1053" s="105"/>
      <c r="AM1053" s="105"/>
      <c r="AN1053" s="105"/>
      <c r="AO1053" s="105"/>
      <c r="AP1053" s="105"/>
      <c r="AQ1053" s="105"/>
      <c r="AR1053" s="105"/>
      <c r="AS1053" s="105"/>
      <c r="AT1053" s="105"/>
      <c r="AU1053" s="105"/>
      <c r="AV1053" s="105"/>
      <c r="AW1053" s="105"/>
      <c r="AX1053" s="105"/>
      <c r="AY1053" s="50"/>
      <c r="AZ1053" s="50"/>
      <c r="BA1053" s="50"/>
      <c r="BB1053" s="50"/>
      <c r="BC1053" s="50"/>
      <c r="BD1053" s="105"/>
      <c r="BE1053" s="50"/>
      <c r="BF1053" s="50"/>
      <c r="BG1053" s="50"/>
      <c r="BH1053" s="50"/>
      <c r="BI1053" s="50"/>
      <c r="BJ1053" s="50"/>
      <c r="BK1053" s="50"/>
      <c r="BL1053" s="225"/>
      <c r="BM1053" s="225"/>
      <c r="BN1053" s="225"/>
      <c r="BO1053" s="225"/>
      <c r="BP1053" s="225"/>
      <c r="BQ1053" s="225"/>
      <c r="BR1053" s="225"/>
      <c r="BS1053" s="225"/>
      <c r="BT1053" s="225"/>
      <c r="BU1053" s="225"/>
      <c r="BV1053" s="225"/>
      <c r="BW1053" s="225"/>
      <c r="BX1053" s="225"/>
      <c r="BY1053" s="225"/>
      <c r="BZ1053" s="225"/>
      <c r="CA1053" s="225"/>
      <c r="CB1053" s="225"/>
      <c r="CC1053" s="225"/>
      <c r="CD1053" s="225"/>
      <c r="CE1053" s="225"/>
      <c r="CF1053" s="225"/>
      <c r="CG1053" s="225"/>
      <c r="CH1053" s="225"/>
      <c r="CI1053" s="225"/>
      <c r="CJ1053" s="225"/>
      <c r="CK1053" s="225"/>
      <c r="CL1053" s="225"/>
      <c r="CM1053" s="225"/>
      <c r="CN1053" s="225"/>
      <c r="CO1053" s="225"/>
      <c r="CP1053" s="225"/>
      <c r="CQ1053" s="225"/>
      <c r="CR1053" s="225"/>
      <c r="CS1053" s="225"/>
      <c r="CT1053" s="225"/>
      <c r="CU1053" s="225"/>
      <c r="CV1053" s="225"/>
      <c r="CW1053" s="225"/>
      <c r="CX1053" s="225"/>
      <c r="CY1053" s="225"/>
      <c r="CZ1053" s="225"/>
      <c r="DA1053" s="225"/>
      <c r="DB1053" s="225"/>
      <c r="DC1053" s="225"/>
      <c r="DD1053" s="225"/>
      <c r="DE1053" s="225"/>
      <c r="DF1053" s="225"/>
      <c r="DG1053" s="225"/>
      <c r="DH1053" s="225"/>
      <c r="DI1053" s="225"/>
      <c r="DJ1053" s="225"/>
      <c r="DK1053" s="225"/>
      <c r="DL1053" s="225"/>
      <c r="DM1053" s="225"/>
      <c r="DN1053" s="225"/>
      <c r="DO1053" s="225"/>
      <c r="DP1053" s="225"/>
      <c r="DQ1053" s="225"/>
      <c r="DR1053" s="225"/>
      <c r="DS1053" s="225"/>
      <c r="DT1053" s="225"/>
      <c r="DU1053" s="225"/>
      <c r="DV1053" s="225"/>
      <c r="DW1053" s="225"/>
      <c r="DX1053" s="225"/>
      <c r="DY1053" s="225"/>
      <c r="DZ1053" s="225"/>
      <c r="EA1053" s="105"/>
      <c r="EB1053" s="105"/>
      <c r="EC1053" s="105"/>
      <c r="ED1053" s="105"/>
      <c r="EE1053" s="105"/>
      <c r="EF1053" s="105"/>
      <c r="EG1053" s="105"/>
    </row>
    <row r="1054" spans="1:137" ht="15.75" hidden="1">
      <c r="A1054" s="105"/>
      <c r="B1054" s="105"/>
      <c r="C1054" s="105"/>
      <c r="E1054" s="105"/>
      <c r="F1054" s="105"/>
      <c r="G1054" s="105"/>
      <c r="H1054" s="105"/>
      <c r="I1054" s="105"/>
      <c r="J1054" s="105"/>
      <c r="K1054" s="105"/>
      <c r="L1054" s="105"/>
      <c r="M1054" s="105"/>
      <c r="N1054" s="105"/>
      <c r="O1054" s="105"/>
      <c r="P1054" s="105"/>
      <c r="Q1054" s="105"/>
      <c r="R1054" s="105"/>
      <c r="S1054" s="105"/>
      <c r="T1054" s="105"/>
      <c r="U1054" s="105"/>
      <c r="V1054" s="105"/>
      <c r="W1054" s="105"/>
      <c r="X1054" s="105"/>
      <c r="Y1054" s="105"/>
      <c r="Z1054" s="105"/>
      <c r="AA1054" s="105"/>
      <c r="AB1054" s="105"/>
      <c r="AC1054" s="105"/>
      <c r="AD1054" s="105"/>
      <c r="AE1054" s="105"/>
      <c r="AF1054" s="105"/>
      <c r="AG1054" s="105"/>
      <c r="AH1054" s="105"/>
      <c r="AI1054" s="105"/>
      <c r="AJ1054" s="105"/>
      <c r="AK1054" s="105"/>
      <c r="AL1054" s="105"/>
      <c r="AM1054" s="105"/>
      <c r="AN1054" s="105"/>
      <c r="AO1054" s="105"/>
      <c r="AP1054" s="105"/>
      <c r="AQ1054" s="105"/>
      <c r="AR1054" s="105"/>
      <c r="AS1054" s="105"/>
      <c r="AT1054" s="105"/>
      <c r="AU1054" s="105"/>
      <c r="AV1054" s="105"/>
      <c r="AW1054" s="105"/>
      <c r="AX1054" s="105"/>
      <c r="AY1054" s="105"/>
      <c r="AZ1054" s="105"/>
      <c r="BA1054" s="105"/>
      <c r="BB1054" s="105"/>
      <c r="BC1054" s="105"/>
      <c r="BD1054" s="105"/>
      <c r="BE1054" s="105"/>
      <c r="BF1054" s="105"/>
      <c r="BG1054" s="105"/>
      <c r="BH1054" s="105"/>
      <c r="BI1054" s="105"/>
      <c r="BJ1054" s="105"/>
      <c r="BK1054" s="105"/>
      <c r="BL1054" s="105"/>
      <c r="BM1054" s="105"/>
      <c r="BN1054" s="105"/>
      <c r="BO1054" s="105"/>
      <c r="BP1054" s="226" t="s">
        <v>577</v>
      </c>
      <c r="BQ1054" s="226"/>
      <c r="BR1054" s="226"/>
      <c r="BS1054" s="226"/>
      <c r="BT1054" s="226"/>
      <c r="BU1054" s="226"/>
      <c r="BV1054" s="226"/>
      <c r="BW1054" s="226"/>
      <c r="BX1054" s="226"/>
      <c r="BY1054" s="226"/>
      <c r="BZ1054" s="226"/>
      <c r="CA1054" s="226"/>
      <c r="CB1054" s="226"/>
      <c r="CC1054" s="226"/>
      <c r="CD1054" s="226"/>
      <c r="CE1054" s="226"/>
      <c r="CF1054" s="226"/>
      <c r="CG1054" s="226"/>
      <c r="CH1054" s="226"/>
      <c r="CI1054" s="226"/>
      <c r="CJ1054" s="226"/>
      <c r="CK1054" s="226"/>
      <c r="CL1054" s="226"/>
      <c r="CM1054" s="226"/>
      <c r="CN1054" s="226"/>
      <c r="CO1054" s="226"/>
      <c r="CP1054" s="226"/>
      <c r="CQ1054" s="226"/>
      <c r="CR1054" s="226"/>
      <c r="CS1054" s="226"/>
      <c r="CT1054" s="226"/>
      <c r="CU1054" s="226"/>
      <c r="CV1054" s="226"/>
      <c r="CW1054" s="226"/>
      <c r="CX1054" s="226"/>
      <c r="CY1054" s="226"/>
      <c r="CZ1054" s="226"/>
      <c r="DA1054" s="226"/>
      <c r="DB1054" s="226"/>
      <c r="DC1054" s="226"/>
      <c r="DD1054" s="226"/>
      <c r="DE1054" s="226"/>
      <c r="DF1054" s="226"/>
      <c r="DG1054" s="226"/>
      <c r="DH1054" s="226"/>
      <c r="DI1054" s="226"/>
      <c r="DJ1054" s="226"/>
      <c r="DK1054" s="226"/>
      <c r="DL1054" s="226"/>
      <c r="DM1054" s="226"/>
      <c r="DN1054" s="226"/>
      <c r="DO1054" s="226"/>
      <c r="DP1054" s="226"/>
      <c r="DQ1054" s="226"/>
      <c r="DR1054" s="226"/>
      <c r="DS1054" s="226"/>
      <c r="DT1054" s="226"/>
      <c r="DU1054" s="105"/>
      <c r="DV1054" s="105"/>
      <c r="DW1054" s="105"/>
      <c r="DX1054" s="105"/>
      <c r="DY1054" s="105"/>
      <c r="DZ1054" s="105"/>
      <c r="EA1054" s="105"/>
      <c r="EB1054" s="105"/>
      <c r="EC1054" s="105"/>
      <c r="ED1054" s="105"/>
      <c r="EE1054" s="105"/>
      <c r="EF1054" s="105"/>
      <c r="EG1054" s="105"/>
    </row>
    <row r="1055" spans="1:137" hidden="1">
      <c r="A1055" s="105"/>
      <c r="B1055" s="105"/>
      <c r="C1055" s="105"/>
      <c r="E1055" s="105"/>
      <c r="F1055" s="105"/>
      <c r="G1055" s="105"/>
      <c r="H1055" s="105"/>
      <c r="I1055" s="105"/>
      <c r="J1055" s="105"/>
      <c r="K1055" s="105"/>
      <c r="L1055" s="105"/>
      <c r="M1055" s="105"/>
      <c r="N1055" s="105"/>
      <c r="O1055" s="105"/>
      <c r="P1055" s="105"/>
      <c r="Q1055" s="105"/>
      <c r="R1055" s="105"/>
      <c r="S1055" s="105"/>
      <c r="T1055" s="105"/>
      <c r="U1055" s="105"/>
      <c r="V1055" s="105"/>
      <c r="W1055" s="105"/>
      <c r="X1055" s="105"/>
      <c r="Y1055" s="105"/>
      <c r="Z1055" s="105"/>
      <c r="AA1055" s="105"/>
      <c r="AB1055" s="105"/>
      <c r="AC1055" s="105"/>
      <c r="AD1055" s="105"/>
      <c r="AE1055" s="105"/>
      <c r="AF1055" s="105"/>
      <c r="AG1055" s="105"/>
      <c r="AH1055" s="105"/>
      <c r="AI1055" s="105"/>
      <c r="AJ1055" s="105"/>
      <c r="AK1055" s="105"/>
      <c r="AL1055" s="105"/>
      <c r="AM1055" s="105"/>
      <c r="AN1055" s="105"/>
      <c r="AO1055" s="105"/>
      <c r="AP1055" s="105"/>
      <c r="AQ1055" s="105"/>
      <c r="AR1055" s="105"/>
      <c r="AS1055" s="105"/>
      <c r="AT1055" s="105"/>
      <c r="AU1055" s="105"/>
      <c r="AV1055" s="105"/>
      <c r="AW1055" s="105"/>
      <c r="AX1055" s="105"/>
      <c r="AY1055" s="105"/>
      <c r="AZ1055" s="105"/>
      <c r="BA1055" s="105"/>
      <c r="BB1055" s="105"/>
      <c r="BC1055" s="105"/>
      <c r="BD1055" s="105"/>
      <c r="BE1055" s="105"/>
      <c r="BF1055" s="105"/>
      <c r="BG1055" s="105"/>
      <c r="BH1055" s="105"/>
      <c r="BI1055" s="105"/>
      <c r="BJ1055" s="105"/>
      <c r="BK1055" s="105"/>
      <c r="BL1055" s="105"/>
      <c r="BM1055" s="105"/>
      <c r="BN1055" s="105"/>
      <c r="BO1055" s="105"/>
      <c r="BP1055" s="105"/>
      <c r="BQ1055" s="105"/>
      <c r="BR1055" s="105"/>
      <c r="BS1055" s="105"/>
      <c r="BT1055" s="105"/>
      <c r="BU1055" s="105"/>
      <c r="BV1055" s="105"/>
      <c r="BW1055" s="105"/>
      <c r="BX1055" s="105"/>
      <c r="BY1055" s="105"/>
      <c r="BZ1055" s="105"/>
      <c r="CA1055" s="105"/>
      <c r="CB1055" s="105"/>
      <c r="CC1055" s="105"/>
      <c r="CD1055" s="105"/>
      <c r="CE1055" s="105"/>
      <c r="CF1055" s="105"/>
      <c r="CG1055" s="105"/>
      <c r="CH1055" s="105"/>
      <c r="CI1055" s="105"/>
      <c r="CJ1055" s="105"/>
      <c r="CK1055" s="105"/>
      <c r="CL1055" s="105"/>
      <c r="CM1055" s="105"/>
      <c r="CN1055" s="105"/>
      <c r="CO1055" s="105"/>
      <c r="CP1055" s="105"/>
      <c r="CQ1055" s="105"/>
      <c r="CR1055" s="105"/>
      <c r="CS1055" s="105"/>
      <c r="CT1055" s="105"/>
      <c r="CU1055" s="105"/>
      <c r="CV1055" s="105"/>
      <c r="CW1055" s="105"/>
      <c r="CX1055" s="105"/>
      <c r="CY1055" s="105"/>
      <c r="CZ1055" s="105"/>
      <c r="DA1055" s="105"/>
      <c r="DB1055" s="105"/>
      <c r="DC1055" s="105"/>
      <c r="DD1055" s="105"/>
      <c r="DE1055" s="105"/>
      <c r="DF1055" s="105"/>
      <c r="DG1055" s="105"/>
      <c r="DH1055" s="105"/>
      <c r="DI1055" s="105"/>
      <c r="DJ1055" s="105"/>
      <c r="DK1055" s="105"/>
      <c r="DL1055" s="105"/>
      <c r="DM1055" s="105"/>
      <c r="DN1055" s="105"/>
      <c r="DO1055" s="105"/>
      <c r="DP1055" s="105"/>
      <c r="DQ1055" s="105"/>
      <c r="DR1055" s="105"/>
      <c r="DS1055" s="105"/>
      <c r="DT1055" s="105"/>
      <c r="DU1055" s="105"/>
      <c r="DV1055" s="105"/>
      <c r="DW1055" s="105"/>
      <c r="DX1055" s="105"/>
      <c r="DY1055" s="105"/>
      <c r="DZ1055" s="105"/>
      <c r="EA1055" s="105"/>
      <c r="EB1055" s="105"/>
      <c r="EC1055" s="105"/>
      <c r="ED1055" s="105"/>
      <c r="EE1055" s="105"/>
      <c r="EF1055" s="105"/>
      <c r="EG1055" s="105"/>
    </row>
    <row r="1056" spans="1:137" ht="15.75" hidden="1">
      <c r="C1056" s="453" t="str">
        <f>CONCATENATE("PRESENT FORMS    ",TEXT('Adv. Filter'!$A$15,"( DD-MMM-YY"), " TO ",TEXT('Adv. Filter'!$B$15,"DD-MMM-YY )"))</f>
        <v>PRESENT FORMS    ( 01-Jan-17 TO 13-Oct-17 )</v>
      </c>
      <c r="D1056" s="454"/>
      <c r="E1056" s="454"/>
      <c r="F1056" s="454"/>
      <c r="G1056" s="454"/>
      <c r="H1056" s="454"/>
      <c r="I1056" s="454"/>
      <c r="J1056" s="454"/>
      <c r="K1056" s="454"/>
      <c r="L1056" s="454"/>
      <c r="M1056" s="454"/>
      <c r="N1056" s="454"/>
      <c r="O1056" s="454"/>
      <c r="P1056" s="454"/>
      <c r="Q1056" s="454"/>
      <c r="R1056" s="454"/>
      <c r="S1056" s="454"/>
      <c r="T1056" s="454"/>
      <c r="U1056" s="454"/>
      <c r="V1056" s="454"/>
      <c r="W1056" s="454"/>
      <c r="X1056" s="454"/>
      <c r="Y1056" s="454"/>
      <c r="Z1056" s="454"/>
      <c r="AA1056" s="454"/>
      <c r="AB1056" s="454"/>
      <c r="AC1056" s="454"/>
      <c r="AD1056" s="454"/>
      <c r="AE1056" s="454"/>
      <c r="AF1056" s="454"/>
      <c r="AG1056" s="454"/>
      <c r="AH1056" s="454"/>
      <c r="AI1056" s="454"/>
      <c r="AJ1056" s="454"/>
      <c r="AK1056" s="454"/>
      <c r="AL1056" s="454"/>
      <c r="AM1056" s="454"/>
      <c r="AN1056" s="454"/>
      <c r="AO1056" s="454"/>
      <c r="AP1056" s="454"/>
      <c r="AQ1056" s="454"/>
      <c r="AR1056" s="454"/>
      <c r="AS1056" s="454"/>
      <c r="AT1056" s="454"/>
      <c r="AU1056" s="454"/>
      <c r="AV1056" s="454"/>
      <c r="AW1056" s="454"/>
      <c r="AX1056" s="454"/>
      <c r="AY1056" s="454"/>
      <c r="AZ1056" s="454"/>
      <c r="BA1056" s="454"/>
      <c r="BB1056" s="454"/>
      <c r="BC1056" s="454"/>
      <c r="BD1056" s="454"/>
      <c r="BE1056" s="454"/>
      <c r="BF1056" s="454"/>
      <c r="BG1056" s="454"/>
      <c r="BH1056" s="454"/>
      <c r="BI1056" s="454"/>
      <c r="BJ1056" s="454"/>
      <c r="BK1056" s="454"/>
      <c r="BL1056" s="454"/>
      <c r="BM1056" s="454"/>
      <c r="BN1056" s="454"/>
      <c r="BO1056" s="454"/>
      <c r="BP1056" s="454"/>
      <c r="BQ1056" s="454"/>
      <c r="BR1056" s="454"/>
      <c r="BS1056" s="454"/>
      <c r="BT1056" s="454"/>
      <c r="BU1056" s="454"/>
      <c r="BV1056" s="454"/>
      <c r="BW1056" s="454"/>
      <c r="BX1056" s="454"/>
      <c r="BY1056" s="454"/>
      <c r="BZ1056" s="454"/>
      <c r="CA1056" s="454"/>
      <c r="CB1056" s="454"/>
      <c r="CC1056" s="454"/>
      <c r="CD1056" s="454"/>
      <c r="CE1056" s="454"/>
      <c r="CF1056" s="454"/>
      <c r="CG1056" s="454"/>
      <c r="CH1056" s="454"/>
      <c r="CI1056" s="454"/>
      <c r="CJ1056" s="454"/>
      <c r="CK1056" s="454"/>
      <c r="CL1056" s="454"/>
      <c r="CM1056" s="454"/>
      <c r="CN1056" s="454"/>
      <c r="CO1056" s="454"/>
      <c r="CP1056" s="454"/>
      <c r="CQ1056" s="454"/>
      <c r="CR1056" s="454"/>
      <c r="CS1056" s="454"/>
      <c r="CT1056" s="454"/>
      <c r="CU1056" s="454"/>
      <c r="CV1056" s="454"/>
      <c r="CW1056" s="454"/>
      <c r="CX1056" s="454"/>
      <c r="CY1056" s="454"/>
      <c r="CZ1056" s="454"/>
      <c r="DA1056" s="454"/>
      <c r="DB1056" s="454"/>
      <c r="DC1056" s="454"/>
      <c r="DD1056" s="454"/>
      <c r="DE1056" s="454"/>
      <c r="DF1056" s="454"/>
      <c r="DG1056" s="454"/>
      <c r="DH1056" s="454"/>
      <c r="DI1056" s="454"/>
      <c r="DJ1056" s="454"/>
      <c r="DK1056" s="454"/>
      <c r="DL1056" s="454"/>
      <c r="DM1056" s="454"/>
      <c r="DN1056" s="454"/>
      <c r="DO1056" s="454"/>
      <c r="DP1056" s="454"/>
      <c r="DQ1056" s="454"/>
      <c r="DR1056" s="454"/>
      <c r="DS1056" s="454"/>
      <c r="DT1056" s="454"/>
      <c r="DU1056" s="454"/>
      <c r="DV1056" s="454"/>
      <c r="DW1056" s="454"/>
      <c r="DX1056" s="454"/>
      <c r="DY1056" s="454"/>
      <c r="DZ1056" s="454"/>
      <c r="EA1056" s="454"/>
      <c r="EB1056" s="454"/>
      <c r="EC1056" s="454"/>
      <c r="ED1056" s="454"/>
      <c r="EE1056" s="455"/>
    </row>
    <row r="1057" spans="3:135" hidden="1">
      <c r="C1057" s="478" t="s">
        <v>513</v>
      </c>
      <c r="D1057" s="478"/>
      <c r="E1057" s="478"/>
      <c r="F1057" s="478"/>
      <c r="G1057" s="478"/>
      <c r="H1057" s="478"/>
      <c r="I1057" s="478"/>
      <c r="J1057" s="478"/>
      <c r="K1057" s="478"/>
      <c r="L1057" s="478"/>
      <c r="M1057" s="478"/>
      <c r="N1057" s="478"/>
      <c r="O1057" s="209" t="s">
        <v>117</v>
      </c>
      <c r="P1057" s="209"/>
      <c r="Q1057" s="209"/>
      <c r="R1057" s="209"/>
      <c r="S1057" s="209"/>
      <c r="T1057" s="209"/>
      <c r="U1057" s="209"/>
      <c r="V1057" s="105"/>
      <c r="W1057" s="231" t="s">
        <v>511</v>
      </c>
      <c r="X1057" s="232"/>
      <c r="Y1057" s="232"/>
      <c r="Z1057" s="232"/>
      <c r="AA1057" s="232"/>
      <c r="AB1057" s="232"/>
      <c r="AC1057" s="232"/>
      <c r="AD1057" s="232"/>
      <c r="AE1057" s="232"/>
      <c r="AF1057" s="232"/>
      <c r="AG1057" s="232"/>
      <c r="AH1057" s="232"/>
      <c r="AI1057" s="232"/>
      <c r="AJ1057" s="232"/>
      <c r="AK1057" s="232"/>
      <c r="AL1057" s="232"/>
      <c r="AM1057" s="232"/>
      <c r="AN1057" s="232"/>
      <c r="AO1057" s="232"/>
      <c r="AP1057" s="232"/>
      <c r="AQ1057" s="232"/>
      <c r="AR1057" s="232"/>
      <c r="AS1057" s="232"/>
      <c r="AT1057" s="232"/>
      <c r="AU1057" s="232"/>
      <c r="AV1057" s="232"/>
      <c r="AW1057" s="232"/>
      <c r="AX1057" s="232"/>
      <c r="AY1057" s="232"/>
      <c r="AZ1057" s="232"/>
      <c r="BA1057" s="232"/>
      <c r="BB1057" s="232"/>
      <c r="BC1057" s="232"/>
      <c r="BD1057" s="232"/>
      <c r="BE1057" s="232"/>
      <c r="BF1057" s="232"/>
      <c r="BG1057" s="232"/>
      <c r="BH1057" s="232"/>
      <c r="BI1057" s="232"/>
      <c r="BJ1057" s="232"/>
      <c r="BK1057" s="232"/>
      <c r="BL1057" s="232"/>
      <c r="BM1057" s="232"/>
      <c r="BN1057" s="232"/>
      <c r="BO1057" s="232"/>
      <c r="BP1057" s="232"/>
      <c r="BQ1057" s="232"/>
      <c r="BR1057" s="232"/>
      <c r="BS1057" s="233"/>
      <c r="BT1057" s="105"/>
      <c r="BU1057" s="231" t="s">
        <v>571</v>
      </c>
      <c r="BV1057" s="232"/>
      <c r="BW1057" s="232"/>
      <c r="BX1057" s="232"/>
      <c r="BY1057" s="232"/>
      <c r="BZ1057" s="232"/>
      <c r="CA1057" s="232"/>
      <c r="CB1057" s="232"/>
      <c r="CC1057" s="232"/>
      <c r="CD1057" s="232"/>
      <c r="CE1057" s="232"/>
      <c r="CF1057" s="232"/>
      <c r="CG1057" s="232"/>
      <c r="CH1057" s="232"/>
      <c r="CI1057" s="232"/>
      <c r="CJ1057" s="232"/>
      <c r="CK1057" s="232"/>
      <c r="CL1057" s="232"/>
      <c r="CM1057" s="232"/>
      <c r="CN1057" s="232"/>
      <c r="CO1057" s="232"/>
      <c r="CP1057" s="232"/>
      <c r="CQ1057" s="232"/>
      <c r="CR1057" s="232"/>
      <c r="CS1057" s="232"/>
      <c r="CT1057" s="232"/>
      <c r="CU1057" s="232"/>
      <c r="CV1057" s="232"/>
      <c r="CW1057" s="232"/>
      <c r="CX1057" s="232"/>
      <c r="CY1057" s="232"/>
      <c r="CZ1057" s="232"/>
      <c r="DA1057" s="232"/>
      <c r="DB1057" s="232"/>
      <c r="DC1057" s="232"/>
      <c r="DD1057" s="232"/>
      <c r="DE1057" s="232"/>
      <c r="DF1057" s="232"/>
      <c r="DG1057" s="232"/>
      <c r="DH1057" s="232"/>
      <c r="DI1057" s="232"/>
      <c r="DJ1057" s="232"/>
      <c r="DK1057" s="232"/>
      <c r="DL1057" s="232"/>
      <c r="DM1057" s="232"/>
      <c r="DN1057" s="232"/>
      <c r="DO1057" s="232"/>
      <c r="DP1057" s="232"/>
      <c r="DQ1057" s="232"/>
      <c r="DR1057" s="232"/>
      <c r="DS1057" s="232"/>
      <c r="DT1057" s="232"/>
      <c r="DU1057" s="232"/>
      <c r="DV1057" s="232"/>
      <c r="DW1057" s="232"/>
      <c r="DX1057" s="232"/>
      <c r="DY1057" s="232"/>
      <c r="DZ1057" s="232"/>
      <c r="EA1057" s="232"/>
      <c r="EB1057" s="232"/>
      <c r="EC1057" s="232"/>
      <c r="ED1057" s="232"/>
      <c r="EE1057" s="233"/>
    </row>
    <row r="1058" spans="3:135" hidden="1">
      <c r="C1058" s="478"/>
      <c r="D1058" s="478"/>
      <c r="E1058" s="478"/>
      <c r="F1058" s="478"/>
      <c r="G1058" s="478"/>
      <c r="H1058" s="478"/>
      <c r="I1058" s="478"/>
      <c r="J1058" s="478"/>
      <c r="K1058" s="478"/>
      <c r="L1058" s="478"/>
      <c r="M1058" s="478"/>
      <c r="N1058" s="478"/>
      <c r="O1058" s="208" t="s">
        <v>569</v>
      </c>
      <c r="P1058" s="208"/>
      <c r="Q1058" s="208"/>
      <c r="R1058" s="208"/>
      <c r="S1058" s="208"/>
      <c r="T1058" s="208"/>
      <c r="U1058" s="208"/>
      <c r="V1058" s="105"/>
      <c r="W1058" s="250" t="s">
        <v>511</v>
      </c>
      <c r="X1058" s="251"/>
      <c r="Y1058" s="251"/>
      <c r="Z1058" s="251"/>
      <c r="AA1058" s="251"/>
      <c r="AB1058" s="251"/>
      <c r="AC1058" s="245"/>
      <c r="AD1058" s="250" t="s">
        <v>493</v>
      </c>
      <c r="AE1058" s="251"/>
      <c r="AF1058" s="251"/>
      <c r="AG1058" s="251"/>
      <c r="AH1058" s="251"/>
      <c r="AI1058" s="251"/>
      <c r="AJ1058" s="245"/>
      <c r="AK1058" s="250" t="s">
        <v>485</v>
      </c>
      <c r="AL1058" s="251"/>
      <c r="AM1058" s="251"/>
      <c r="AN1058" s="251"/>
      <c r="AO1058" s="251"/>
      <c r="AP1058" s="251"/>
      <c r="AQ1058" s="245"/>
      <c r="AR1058" s="250" t="s">
        <v>575</v>
      </c>
      <c r="AS1058" s="251"/>
      <c r="AT1058" s="251"/>
      <c r="AU1058" s="251"/>
      <c r="AV1058" s="251"/>
      <c r="AW1058" s="251"/>
      <c r="AX1058" s="245"/>
      <c r="AY1058" s="250" t="s">
        <v>568</v>
      </c>
      <c r="AZ1058" s="251"/>
      <c r="BA1058" s="251"/>
      <c r="BB1058" s="251"/>
      <c r="BC1058" s="251"/>
      <c r="BD1058" s="251"/>
      <c r="BE1058" s="245"/>
      <c r="BF1058" s="250" t="s">
        <v>492</v>
      </c>
      <c r="BG1058" s="251"/>
      <c r="BH1058" s="251"/>
      <c r="BI1058" s="251"/>
      <c r="BJ1058" s="251"/>
      <c r="BK1058" s="251"/>
      <c r="BL1058" s="245"/>
      <c r="BM1058" s="250" t="s">
        <v>567</v>
      </c>
      <c r="BN1058" s="251"/>
      <c r="BO1058" s="251"/>
      <c r="BP1058" s="251"/>
      <c r="BQ1058" s="251"/>
      <c r="BR1058" s="251"/>
      <c r="BS1058" s="245"/>
      <c r="BT1058" s="105"/>
      <c r="BU1058" s="208" t="s">
        <v>570</v>
      </c>
      <c r="BV1058" s="208"/>
      <c r="BW1058" s="208"/>
      <c r="BX1058" s="208"/>
      <c r="BY1058" s="208"/>
      <c r="BZ1058" s="208"/>
      <c r="CA1058" s="208"/>
      <c r="CB1058" s="208" t="s">
        <v>559</v>
      </c>
      <c r="CC1058" s="208"/>
      <c r="CD1058" s="208"/>
      <c r="CE1058" s="208"/>
      <c r="CF1058" s="208"/>
      <c r="CG1058" s="208"/>
      <c r="CH1058" s="208"/>
      <c r="CI1058" s="208" t="s">
        <v>560</v>
      </c>
      <c r="CJ1058" s="208"/>
      <c r="CK1058" s="208"/>
      <c r="CL1058" s="208"/>
      <c r="CM1058" s="208"/>
      <c r="CN1058" s="208"/>
      <c r="CO1058" s="208"/>
      <c r="CP1058" s="208" t="s">
        <v>561</v>
      </c>
      <c r="CQ1058" s="208"/>
      <c r="CR1058" s="208"/>
      <c r="CS1058" s="208"/>
      <c r="CT1058" s="208"/>
      <c r="CU1058" s="208"/>
      <c r="CV1058" s="208"/>
      <c r="CW1058" s="208" t="s">
        <v>562</v>
      </c>
      <c r="CX1058" s="208"/>
      <c r="CY1058" s="208"/>
      <c r="CZ1058" s="208"/>
      <c r="DA1058" s="208"/>
      <c r="DB1058" s="208"/>
      <c r="DC1058" s="208"/>
      <c r="DD1058" s="208" t="s">
        <v>563</v>
      </c>
      <c r="DE1058" s="208"/>
      <c r="DF1058" s="208"/>
      <c r="DG1058" s="208"/>
      <c r="DH1058" s="208"/>
      <c r="DI1058" s="208"/>
      <c r="DJ1058" s="208"/>
      <c r="DK1058" s="208" t="s">
        <v>564</v>
      </c>
      <c r="DL1058" s="208"/>
      <c r="DM1058" s="208"/>
      <c r="DN1058" s="208"/>
      <c r="DO1058" s="208"/>
      <c r="DP1058" s="208"/>
      <c r="DQ1058" s="208"/>
      <c r="DR1058" s="208" t="s">
        <v>565</v>
      </c>
      <c r="DS1058" s="208"/>
      <c r="DT1058" s="208"/>
      <c r="DU1058" s="208"/>
      <c r="DV1058" s="208"/>
      <c r="DW1058" s="208"/>
      <c r="DX1058" s="208"/>
      <c r="DY1058" s="208" t="s">
        <v>566</v>
      </c>
      <c r="DZ1058" s="208"/>
      <c r="EA1058" s="208"/>
      <c r="EB1058" s="208"/>
      <c r="EC1058" s="208"/>
      <c r="ED1058" s="208"/>
      <c r="EE1058" s="208"/>
    </row>
    <row r="1059" spans="3:135" hidden="1">
      <c r="C1059" s="248" t="s">
        <v>26</v>
      </c>
      <c r="D1059" s="249"/>
      <c r="E1059" s="249"/>
      <c r="F1059" s="249"/>
      <c r="G1059" s="249"/>
      <c r="H1059" s="249"/>
      <c r="I1059" s="249"/>
      <c r="J1059" s="249"/>
      <c r="K1059" s="249"/>
      <c r="L1059" s="249"/>
      <c r="M1059" s="249"/>
      <c r="N1059" s="249"/>
      <c r="O1059" s="234">
        <f>SUM(COUNTIFS('Form Details'!$AA:$AA,{"Yes","No","-"},'Form Details'!$J:$J,$C1059,'Form Details'!$D:$D,'Adv. Filter'!$A$14,'Form Details'!$D:$D,'Adv. Filter'!$B$14))</f>
        <v>0</v>
      </c>
      <c r="P1059" s="235"/>
      <c r="Q1059" s="235"/>
      <c r="R1059" s="235"/>
      <c r="S1059" s="235"/>
      <c r="T1059" s="235"/>
      <c r="U1059" s="236"/>
      <c r="V1059" s="105"/>
      <c r="W1059" s="234">
        <f>COUNTIFS('Form Details'!$AA:$AA,"Yes",'Form Details'!$J:$J,$C1059,'Form Details'!$D:$D,'Adv. Filter'!$A$14,'Form Details'!$D:$D,'Adv. Filter'!$B$14)</f>
        <v>0</v>
      </c>
      <c r="X1059" s="235"/>
      <c r="Y1059" s="235"/>
      <c r="Z1059" s="235"/>
      <c r="AA1059" s="235"/>
      <c r="AB1059" s="235"/>
      <c r="AC1059" s="236"/>
      <c r="AD1059" s="234">
        <f>COUNTIFS('Form Details'!$W:$W,"Paid",'Form Details'!$J:$J,$C1059,'Form Details'!$D:$D,'Adv. Filter'!$A$14,'Form Details'!$D:$D,'Adv. Filter'!$B$14)</f>
        <v>0</v>
      </c>
      <c r="AE1059" s="235"/>
      <c r="AF1059" s="235"/>
      <c r="AG1059" s="235"/>
      <c r="AH1059" s="235"/>
      <c r="AI1059" s="235"/>
      <c r="AJ1059" s="236"/>
      <c r="AK1059" s="234">
        <f>COUNTIFS('Form Details'!$W:$W,"Due",'Form Details'!$J:$J,$C1059,'Form Details'!$D:$D,'Adv. Filter'!$A$14,'Form Details'!$D:$D,'Adv. Filter'!$B$14)</f>
        <v>0</v>
      </c>
      <c r="AL1059" s="235"/>
      <c r="AM1059" s="235"/>
      <c r="AN1059" s="235"/>
      <c r="AO1059" s="235"/>
      <c r="AP1059" s="235"/>
      <c r="AQ1059" s="236"/>
      <c r="AR1059" s="234">
        <f>COUNTIFS('Form Details'!$W:$W,"No Fee",'Form Details'!$J:$J,$C1059,'Form Details'!$D:$D,'Adv. Filter'!$A$14,'Form Details'!$D:$D,'Adv. Filter'!$B$14)</f>
        <v>0</v>
      </c>
      <c r="AS1059" s="235"/>
      <c r="AT1059" s="235"/>
      <c r="AU1059" s="235"/>
      <c r="AV1059" s="235"/>
      <c r="AW1059" s="235"/>
      <c r="AX1059" s="236"/>
      <c r="AY1059" s="234">
        <f>COUNTIFS('Form Details'!$W:$W,"Paid/Reject",'Form Details'!$J:$J,$C1059,'Form Details'!$D:$D,'Adv. Filter'!$A$14,'Form Details'!$D:$D,'Adv. Filter'!$B$14)</f>
        <v>0</v>
      </c>
      <c r="AZ1059" s="235"/>
      <c r="BA1059" s="235"/>
      <c r="BB1059" s="235"/>
      <c r="BC1059" s="235"/>
      <c r="BD1059" s="235"/>
      <c r="BE1059" s="236"/>
      <c r="BF1059" s="234">
        <f>COUNTIFS('Form Details'!$W:$W,"Staff",'Form Details'!$J:$J,$C1059,'Form Details'!$D:$D,'Adv. Filter'!$A$14,'Form Details'!$D:$D,'Adv. Filter'!$B$14)</f>
        <v>0</v>
      </c>
      <c r="BG1059" s="235"/>
      <c r="BH1059" s="235"/>
      <c r="BI1059" s="235"/>
      <c r="BJ1059" s="235"/>
      <c r="BK1059" s="235"/>
      <c r="BL1059" s="236"/>
      <c r="BM1059" s="234">
        <f>COUNTIFS('Form Details'!$W:$W,"File in Office",'Form Details'!$J:$J,$C1059,'Form Details'!$D:$D,'Adv. Filter'!$A$14,'Form Details'!$D:$D,'Adv. Filter'!$B$14)</f>
        <v>0</v>
      </c>
      <c r="BN1059" s="235"/>
      <c r="BO1059" s="235"/>
      <c r="BP1059" s="235"/>
      <c r="BQ1059" s="235"/>
      <c r="BR1059" s="235"/>
      <c r="BS1059" s="236"/>
      <c r="BT1059" s="105"/>
      <c r="BU1059" s="234">
        <f>COUNTIFS('Form Details'!$AA:$AA,"No",'Form Details'!$J:$J,$C1059,'Form Details'!$D:$D,'Adv. Filter'!$A$14,'Form Details'!$D:$D,'Adv. Filter'!$B$14)</f>
        <v>0</v>
      </c>
      <c r="BV1059" s="235"/>
      <c r="BW1059" s="235"/>
      <c r="BX1059" s="235"/>
      <c r="BY1059" s="235"/>
      <c r="BZ1059" s="235"/>
      <c r="CA1059" s="236"/>
      <c r="CB1059" s="234">
        <f>COUNTIFS('Form Details'!$W:$W,"Adv/Paid",'Form Details'!$J:$J,$C1059,'Form Details'!$D:$D,'Adv. Filter'!$A$14,'Form Details'!$D:$D,'Adv. Filter'!$B$14)</f>
        <v>0</v>
      </c>
      <c r="CC1059" s="235"/>
      <c r="CD1059" s="235"/>
      <c r="CE1059" s="235"/>
      <c r="CF1059" s="235"/>
      <c r="CG1059" s="235"/>
      <c r="CH1059" s="236"/>
      <c r="CI1059" s="234">
        <f>COUNTIFS('Form Details'!$W:$W,"Adv/Paid/Reject",'Form Details'!$J:$J,$C1059,'Form Details'!$D:$D,'Adv. Filter'!$A$14,'Form Details'!$D:$D,'Adv. Filter'!$B$14)</f>
        <v>0</v>
      </c>
      <c r="CJ1059" s="235"/>
      <c r="CK1059" s="235"/>
      <c r="CL1059" s="235"/>
      <c r="CM1059" s="235"/>
      <c r="CN1059" s="235"/>
      <c r="CO1059" s="236"/>
      <c r="CP1059" s="234">
        <f>COUNTIFS('Form Details'!$W:$W,"Reject",'Form Details'!$J:$J,$C1059,'Form Details'!$D:$D,'Adv. Filter'!$A$14,'Form Details'!$D:$D,'Adv. Filter'!$B$14)</f>
        <v>0</v>
      </c>
      <c r="CQ1059" s="235"/>
      <c r="CR1059" s="235"/>
      <c r="CS1059" s="235"/>
      <c r="CT1059" s="235"/>
      <c r="CU1059" s="235"/>
      <c r="CV1059" s="236"/>
      <c r="CW1059" s="234">
        <f>COUNTIFS('Form Details'!$W:$W,"Adv/Paid/Pending",'Form Details'!$J:$J,$C1059,'Form Details'!$D:$D,'Adv. Filter'!$A$14,'Form Details'!$D:$D,'Adv. Filter'!$B$14)</f>
        <v>0</v>
      </c>
      <c r="CX1059" s="235"/>
      <c r="CY1059" s="235"/>
      <c r="CZ1059" s="235"/>
      <c r="DA1059" s="235"/>
      <c r="DB1059" s="235"/>
      <c r="DC1059" s="236"/>
      <c r="DD1059" s="234">
        <f>COUNTIFS('Form Details'!$W:$W,"Pending",'Form Details'!$J:$J,$C1059,'Form Details'!$D:$D,'Adv. Filter'!$A$14,'Form Details'!$D:$D,'Adv. Filter'!$B$14)</f>
        <v>0</v>
      </c>
      <c r="DE1059" s="235"/>
      <c r="DF1059" s="235"/>
      <c r="DG1059" s="235"/>
      <c r="DH1059" s="235"/>
      <c r="DI1059" s="235"/>
      <c r="DJ1059" s="236"/>
      <c r="DK1059" s="234">
        <f>COUNTIFS('Form Details'!$W:$W,"Adv/Paid/NoStatus",'Form Details'!$J:$J,$C1059,'Form Details'!$D:$D,'Adv. Filter'!$A$14,'Form Details'!$D:$D,'Adv. Filter'!$B$14)</f>
        <v>0</v>
      </c>
      <c r="DL1059" s="235"/>
      <c r="DM1059" s="235"/>
      <c r="DN1059" s="235"/>
      <c r="DO1059" s="235"/>
      <c r="DP1059" s="235"/>
      <c r="DQ1059" s="236"/>
      <c r="DR1059" s="234">
        <f>COUNTIFS('Form Details'!$W:$W,"No Status",'Form Details'!$J:$J,$C1059,'Form Details'!$D:$D,'Adv. Filter'!$A$14,'Form Details'!$D:$D,'Adv. Filter'!$B$14)</f>
        <v>0</v>
      </c>
      <c r="DS1059" s="235"/>
      <c r="DT1059" s="235"/>
      <c r="DU1059" s="235"/>
      <c r="DV1059" s="235"/>
      <c r="DW1059" s="235"/>
      <c r="DX1059" s="236"/>
      <c r="DY1059" s="234">
        <f>SUM(COUNTIFS('Form Details'!$W:$W,{"Wrong Entry ","Double Entry"},'Form Details'!$J:$J,$C1059,'Form Details'!$D:$D,'Adv. Filter'!$A$14,'Form Details'!$D:$D,'Adv. Filter'!$B$14))</f>
        <v>0</v>
      </c>
      <c r="DZ1059" s="235"/>
      <c r="EA1059" s="235"/>
      <c r="EB1059" s="235"/>
      <c r="EC1059" s="235"/>
      <c r="ED1059" s="235"/>
      <c r="EE1059" s="236"/>
    </row>
    <row r="1060" spans="3:135" hidden="1">
      <c r="C1060" s="248" t="s">
        <v>38</v>
      </c>
      <c r="D1060" s="249"/>
      <c r="E1060" s="249"/>
      <c r="F1060" s="249"/>
      <c r="G1060" s="249"/>
      <c r="H1060" s="249"/>
      <c r="I1060" s="249"/>
      <c r="J1060" s="249"/>
      <c r="K1060" s="249"/>
      <c r="L1060" s="249"/>
      <c r="M1060" s="249"/>
      <c r="N1060" s="249"/>
      <c r="O1060" s="237">
        <f>SUM(COUNTIFS('Form Details'!$AA:$AA,{"Yes","No","-"},'Form Details'!$J:$J,$C1060,'Form Details'!$D:$D,'Adv. Filter'!$A$14,'Form Details'!$D:$D,'Adv. Filter'!$B$14))</f>
        <v>77</v>
      </c>
      <c r="P1060" s="238"/>
      <c r="Q1060" s="238"/>
      <c r="R1060" s="238"/>
      <c r="S1060" s="238"/>
      <c r="T1060" s="238"/>
      <c r="U1060" s="239"/>
      <c r="V1060" s="105"/>
      <c r="W1060" s="237">
        <f>COUNTIFS('Form Details'!$AA:$AA,"Yes",'Form Details'!$J:$J,$C1060,'Form Details'!$D:$D,'Adv. Filter'!$A$14,'Form Details'!$D:$D,'Adv. Filter'!$B$14)</f>
        <v>55</v>
      </c>
      <c r="X1060" s="238"/>
      <c r="Y1060" s="238"/>
      <c r="Z1060" s="238"/>
      <c r="AA1060" s="238"/>
      <c r="AB1060" s="238"/>
      <c r="AC1060" s="239"/>
      <c r="AD1060" s="237">
        <f>COUNTIFS('Form Details'!$W:$W,"Paid",'Form Details'!$J:$J,$C1060,'Form Details'!$D:$D,'Adv. Filter'!$A$14,'Form Details'!$D:$D,'Adv. Filter'!$B$14)</f>
        <v>27</v>
      </c>
      <c r="AE1060" s="238"/>
      <c r="AF1060" s="238"/>
      <c r="AG1060" s="238"/>
      <c r="AH1060" s="238"/>
      <c r="AI1060" s="238"/>
      <c r="AJ1060" s="239"/>
      <c r="AK1060" s="237">
        <f>COUNTIFS('Form Details'!$W:$W,"Due",'Form Details'!$J:$J,$C1060,'Form Details'!$D:$D,'Adv. Filter'!$A$14,'Form Details'!$D:$D,'Adv. Filter'!$B$14)</f>
        <v>28</v>
      </c>
      <c r="AL1060" s="238"/>
      <c r="AM1060" s="238"/>
      <c r="AN1060" s="238"/>
      <c r="AO1060" s="238"/>
      <c r="AP1060" s="238"/>
      <c r="AQ1060" s="239"/>
      <c r="AR1060" s="237">
        <f>COUNTIFS('Form Details'!$W:$W,"No Fee",'Form Details'!$J:$J,$C1060,'Form Details'!$D:$D,'Adv. Filter'!$A$14,'Form Details'!$D:$D,'Adv. Filter'!$B$14)</f>
        <v>0</v>
      </c>
      <c r="AS1060" s="238"/>
      <c r="AT1060" s="238"/>
      <c r="AU1060" s="238"/>
      <c r="AV1060" s="238"/>
      <c r="AW1060" s="238"/>
      <c r="AX1060" s="239"/>
      <c r="AY1060" s="237">
        <f>COUNTIFS('Form Details'!$W:$W,"Paid/Reject",'Form Details'!$J:$J,$C1060,'Form Details'!$D:$D,'Adv. Filter'!$A$14,'Form Details'!$D:$D,'Adv. Filter'!$B$14)</f>
        <v>0</v>
      </c>
      <c r="AZ1060" s="238"/>
      <c r="BA1060" s="238"/>
      <c r="BB1060" s="238"/>
      <c r="BC1060" s="238"/>
      <c r="BD1060" s="238"/>
      <c r="BE1060" s="239"/>
      <c r="BF1060" s="237">
        <f>COUNTIFS('Form Details'!$W:$W,"Staff",'Form Details'!$J:$J,$C1060,'Form Details'!$D:$D,'Adv. Filter'!$A$14,'Form Details'!$D:$D,'Adv. Filter'!$B$14)</f>
        <v>0</v>
      </c>
      <c r="BG1060" s="238"/>
      <c r="BH1060" s="238"/>
      <c r="BI1060" s="238"/>
      <c r="BJ1060" s="238"/>
      <c r="BK1060" s="238"/>
      <c r="BL1060" s="239"/>
      <c r="BM1060" s="237">
        <f>COUNTIFS('Form Details'!$W:$W,"File in Office",'Form Details'!$J:$J,$C1060,'Form Details'!$D:$D,'Adv. Filter'!$A$14,'Form Details'!$D:$D,'Adv. Filter'!$B$14)</f>
        <v>0</v>
      </c>
      <c r="BN1060" s="238"/>
      <c r="BO1060" s="238"/>
      <c r="BP1060" s="238"/>
      <c r="BQ1060" s="238"/>
      <c r="BR1060" s="238"/>
      <c r="BS1060" s="239"/>
      <c r="BT1060" s="105"/>
      <c r="BU1060" s="237">
        <f>COUNTIFS('Form Details'!$AA:$AA,"No",'Form Details'!$J:$J,$C1060,'Form Details'!$D:$D,'Adv. Filter'!$A$14,'Form Details'!$D:$D,'Adv. Filter'!$B$14)</f>
        <v>22</v>
      </c>
      <c r="BV1060" s="238"/>
      <c r="BW1060" s="238"/>
      <c r="BX1060" s="238"/>
      <c r="BY1060" s="238"/>
      <c r="BZ1060" s="238"/>
      <c r="CA1060" s="239"/>
      <c r="CB1060" s="237">
        <f>COUNTIFS('Form Details'!$W:$W,"Adv/Paid",'Form Details'!$J:$J,$C1060,'Form Details'!$D:$D,'Adv. Filter'!$A$14,'Form Details'!$D:$D,'Adv. Filter'!$B$14)</f>
        <v>0</v>
      </c>
      <c r="CC1060" s="238"/>
      <c r="CD1060" s="238"/>
      <c r="CE1060" s="238"/>
      <c r="CF1060" s="238"/>
      <c r="CG1060" s="238"/>
      <c r="CH1060" s="239"/>
      <c r="CI1060" s="237">
        <f>COUNTIFS('Form Details'!$W:$W,"Adv/Paid/Reject",'Form Details'!$J:$J,$C1060,'Form Details'!$D:$D,'Adv. Filter'!$A$14,'Form Details'!$D:$D,'Adv. Filter'!$B$14)</f>
        <v>0</v>
      </c>
      <c r="CJ1060" s="238"/>
      <c r="CK1060" s="238"/>
      <c r="CL1060" s="238"/>
      <c r="CM1060" s="238"/>
      <c r="CN1060" s="238"/>
      <c r="CO1060" s="239"/>
      <c r="CP1060" s="237">
        <f>COUNTIFS('Form Details'!$W:$W,"Reject",'Form Details'!$J:$J,$C1060,'Form Details'!$D:$D,'Adv. Filter'!$A$14,'Form Details'!$D:$D,'Adv. Filter'!$B$14)</f>
        <v>0</v>
      </c>
      <c r="CQ1060" s="238"/>
      <c r="CR1060" s="238"/>
      <c r="CS1060" s="238"/>
      <c r="CT1060" s="238"/>
      <c r="CU1060" s="238"/>
      <c r="CV1060" s="239"/>
      <c r="CW1060" s="237">
        <f>COUNTIFS('Form Details'!$W:$W,"Adv/Paid/Pending",'Form Details'!$J:$J,$C1060,'Form Details'!$D:$D,'Adv. Filter'!$A$14,'Form Details'!$D:$D,'Adv. Filter'!$B$14)</f>
        <v>0</v>
      </c>
      <c r="CX1060" s="238"/>
      <c r="CY1060" s="238"/>
      <c r="CZ1060" s="238"/>
      <c r="DA1060" s="238"/>
      <c r="DB1060" s="238"/>
      <c r="DC1060" s="239"/>
      <c r="DD1060" s="237">
        <f>COUNTIFS('Form Details'!$W:$W,"Pending",'Form Details'!$J:$J,$C1060,'Form Details'!$D:$D,'Adv. Filter'!$A$14,'Form Details'!$D:$D,'Adv. Filter'!$B$14)</f>
        <v>1</v>
      </c>
      <c r="DE1060" s="238"/>
      <c r="DF1060" s="238"/>
      <c r="DG1060" s="238"/>
      <c r="DH1060" s="238"/>
      <c r="DI1060" s="238"/>
      <c r="DJ1060" s="239"/>
      <c r="DK1060" s="237">
        <f>COUNTIFS('Form Details'!$W:$W,"Adv/Paid/NoStatus",'Form Details'!$J:$J,$C1060,'Form Details'!$D:$D,'Adv. Filter'!$A$14,'Form Details'!$D:$D,'Adv. Filter'!$B$14)</f>
        <v>0</v>
      </c>
      <c r="DL1060" s="238"/>
      <c r="DM1060" s="238"/>
      <c r="DN1060" s="238"/>
      <c r="DO1060" s="238"/>
      <c r="DP1060" s="238"/>
      <c r="DQ1060" s="239"/>
      <c r="DR1060" s="237">
        <f>COUNTIFS('Form Details'!$W:$W,"No Status",'Form Details'!$J:$J,$C1060,'Form Details'!$D:$D,'Adv. Filter'!$A$14,'Form Details'!$D:$D,'Adv. Filter'!$B$14)</f>
        <v>21</v>
      </c>
      <c r="DS1060" s="238"/>
      <c r="DT1060" s="238"/>
      <c r="DU1060" s="238"/>
      <c r="DV1060" s="238"/>
      <c r="DW1060" s="238"/>
      <c r="DX1060" s="239"/>
      <c r="DY1060" s="237">
        <f>SUM(COUNTIFS('Form Details'!$W:$W,{"Wrong Entry ","Double Entry"},'Form Details'!$J:$J,$C1060,'Form Details'!$D:$D,'Adv. Filter'!$A$14,'Form Details'!$D:$D,'Adv. Filter'!$B$14))</f>
        <v>0</v>
      </c>
      <c r="DZ1060" s="238"/>
      <c r="EA1060" s="238"/>
      <c r="EB1060" s="238"/>
      <c r="EC1060" s="238"/>
      <c r="ED1060" s="238"/>
      <c r="EE1060" s="239"/>
    </row>
    <row r="1061" spans="3:135" hidden="1">
      <c r="C1061" s="248" t="s">
        <v>49</v>
      </c>
      <c r="D1061" s="249"/>
      <c r="E1061" s="249"/>
      <c r="F1061" s="249"/>
      <c r="G1061" s="249"/>
      <c r="H1061" s="249"/>
      <c r="I1061" s="249"/>
      <c r="J1061" s="249"/>
      <c r="K1061" s="249"/>
      <c r="L1061" s="249"/>
      <c r="M1061" s="249"/>
      <c r="N1061" s="249"/>
      <c r="O1061" s="237">
        <f>SUM(COUNTIFS('Form Details'!$AA:$AA,{"Yes","No","-"},'Form Details'!$J:$J,$C1061,'Form Details'!$D:$D,'Adv. Filter'!$A$14,'Form Details'!$D:$D,'Adv. Filter'!$B$14))</f>
        <v>25</v>
      </c>
      <c r="P1061" s="238"/>
      <c r="Q1061" s="238"/>
      <c r="R1061" s="238"/>
      <c r="S1061" s="238"/>
      <c r="T1061" s="238"/>
      <c r="U1061" s="239"/>
      <c r="V1061" s="105"/>
      <c r="W1061" s="237">
        <f>COUNTIFS('Form Details'!$AA:$AA,"Yes",'Form Details'!$J:$J,$C1061,'Form Details'!$D:$D,'Adv. Filter'!$A$14,'Form Details'!$D:$D,'Adv. Filter'!$B$14)</f>
        <v>23</v>
      </c>
      <c r="X1061" s="238"/>
      <c r="Y1061" s="238"/>
      <c r="Z1061" s="238"/>
      <c r="AA1061" s="238"/>
      <c r="AB1061" s="238"/>
      <c r="AC1061" s="239"/>
      <c r="AD1061" s="237">
        <f>COUNTIFS('Form Details'!$W:$W,"Paid",'Form Details'!$J:$J,$C1061,'Form Details'!$D:$D,'Adv. Filter'!$A$14,'Form Details'!$D:$D,'Adv. Filter'!$B$14)</f>
        <v>20</v>
      </c>
      <c r="AE1061" s="238"/>
      <c r="AF1061" s="238"/>
      <c r="AG1061" s="238"/>
      <c r="AH1061" s="238"/>
      <c r="AI1061" s="238"/>
      <c r="AJ1061" s="239"/>
      <c r="AK1061" s="237">
        <f>COUNTIFS('Form Details'!$W:$W,"Due",'Form Details'!$J:$J,$C1061,'Form Details'!$D:$D,'Adv. Filter'!$A$14,'Form Details'!$D:$D,'Adv. Filter'!$B$14)</f>
        <v>3</v>
      </c>
      <c r="AL1061" s="238"/>
      <c r="AM1061" s="238"/>
      <c r="AN1061" s="238"/>
      <c r="AO1061" s="238"/>
      <c r="AP1061" s="238"/>
      <c r="AQ1061" s="239"/>
      <c r="AR1061" s="237">
        <f>COUNTIFS('Form Details'!$W:$W,"No Fee",'Form Details'!$J:$J,$C1061,'Form Details'!$D:$D,'Adv. Filter'!$A$14,'Form Details'!$D:$D,'Adv. Filter'!$B$14)</f>
        <v>0</v>
      </c>
      <c r="AS1061" s="238"/>
      <c r="AT1061" s="238"/>
      <c r="AU1061" s="238"/>
      <c r="AV1061" s="238"/>
      <c r="AW1061" s="238"/>
      <c r="AX1061" s="239"/>
      <c r="AY1061" s="237">
        <f>COUNTIFS('Form Details'!$W:$W,"Paid/Reject",'Form Details'!$J:$J,$C1061,'Form Details'!$D:$D,'Adv. Filter'!$A$14,'Form Details'!$D:$D,'Adv. Filter'!$B$14)</f>
        <v>0</v>
      </c>
      <c r="AZ1061" s="238"/>
      <c r="BA1061" s="238"/>
      <c r="BB1061" s="238"/>
      <c r="BC1061" s="238"/>
      <c r="BD1061" s="238"/>
      <c r="BE1061" s="239"/>
      <c r="BF1061" s="237">
        <f>COUNTIFS('Form Details'!$W:$W,"Staff",'Form Details'!$J:$J,$C1061,'Form Details'!$D:$D,'Adv. Filter'!$A$14,'Form Details'!$D:$D,'Adv. Filter'!$B$14)</f>
        <v>0</v>
      </c>
      <c r="BG1061" s="238"/>
      <c r="BH1061" s="238"/>
      <c r="BI1061" s="238"/>
      <c r="BJ1061" s="238"/>
      <c r="BK1061" s="238"/>
      <c r="BL1061" s="239"/>
      <c r="BM1061" s="237">
        <f>COUNTIFS('Form Details'!$W:$W,"File in Office",'Form Details'!$J:$J,$C1061,'Form Details'!$D:$D,'Adv. Filter'!$A$14,'Form Details'!$D:$D,'Adv. Filter'!$B$14)</f>
        <v>0</v>
      </c>
      <c r="BN1061" s="238"/>
      <c r="BO1061" s="238"/>
      <c r="BP1061" s="238"/>
      <c r="BQ1061" s="238"/>
      <c r="BR1061" s="238"/>
      <c r="BS1061" s="239"/>
      <c r="BT1061" s="105"/>
      <c r="BU1061" s="237">
        <f>COUNTIFS('Form Details'!$AA:$AA,"No",'Form Details'!$J:$J,$C1061,'Form Details'!$D:$D,'Adv. Filter'!$A$14,'Form Details'!$D:$D,'Adv. Filter'!$B$14)</f>
        <v>2</v>
      </c>
      <c r="BV1061" s="238"/>
      <c r="BW1061" s="238"/>
      <c r="BX1061" s="238"/>
      <c r="BY1061" s="238"/>
      <c r="BZ1061" s="238"/>
      <c r="CA1061" s="239"/>
      <c r="CB1061" s="237">
        <f>COUNTIFS('Form Details'!$W:$W,"Adv/Paid",'Form Details'!$J:$J,$C1061,'Form Details'!$D:$D,'Adv. Filter'!$A$14,'Form Details'!$D:$D,'Adv. Filter'!$B$14)</f>
        <v>0</v>
      </c>
      <c r="CC1061" s="238"/>
      <c r="CD1061" s="238"/>
      <c r="CE1061" s="238"/>
      <c r="CF1061" s="238"/>
      <c r="CG1061" s="238"/>
      <c r="CH1061" s="239"/>
      <c r="CI1061" s="237">
        <f>COUNTIFS('Form Details'!$W:$W,"Adv/Paid/Reject",'Form Details'!$J:$J,$C1061,'Form Details'!$D:$D,'Adv. Filter'!$A$14,'Form Details'!$D:$D,'Adv. Filter'!$B$14)</f>
        <v>0</v>
      </c>
      <c r="CJ1061" s="238"/>
      <c r="CK1061" s="238"/>
      <c r="CL1061" s="238"/>
      <c r="CM1061" s="238"/>
      <c r="CN1061" s="238"/>
      <c r="CO1061" s="239"/>
      <c r="CP1061" s="237">
        <f>COUNTIFS('Form Details'!$W:$W,"Reject",'Form Details'!$J:$J,$C1061,'Form Details'!$D:$D,'Adv. Filter'!$A$14,'Form Details'!$D:$D,'Adv. Filter'!$B$14)</f>
        <v>0</v>
      </c>
      <c r="CQ1061" s="238"/>
      <c r="CR1061" s="238"/>
      <c r="CS1061" s="238"/>
      <c r="CT1061" s="238"/>
      <c r="CU1061" s="238"/>
      <c r="CV1061" s="239"/>
      <c r="CW1061" s="237">
        <f>COUNTIFS('Form Details'!$W:$W,"Adv/Paid/Pending",'Form Details'!$J:$J,$C1061,'Form Details'!$D:$D,'Adv. Filter'!$A$14,'Form Details'!$D:$D,'Adv. Filter'!$B$14)</f>
        <v>0</v>
      </c>
      <c r="CX1061" s="238"/>
      <c r="CY1061" s="238"/>
      <c r="CZ1061" s="238"/>
      <c r="DA1061" s="238"/>
      <c r="DB1061" s="238"/>
      <c r="DC1061" s="239"/>
      <c r="DD1061" s="237">
        <f>COUNTIFS('Form Details'!$W:$W,"Pending",'Form Details'!$J:$J,$C1061,'Form Details'!$D:$D,'Adv. Filter'!$A$14,'Form Details'!$D:$D,'Adv. Filter'!$B$14)</f>
        <v>0</v>
      </c>
      <c r="DE1061" s="238"/>
      <c r="DF1061" s="238"/>
      <c r="DG1061" s="238"/>
      <c r="DH1061" s="238"/>
      <c r="DI1061" s="238"/>
      <c r="DJ1061" s="239"/>
      <c r="DK1061" s="237">
        <f>COUNTIFS('Form Details'!$W:$W,"Adv/Paid/NoStatus",'Form Details'!$J:$J,$C1061,'Form Details'!$D:$D,'Adv. Filter'!$A$14,'Form Details'!$D:$D,'Adv. Filter'!$B$14)</f>
        <v>0</v>
      </c>
      <c r="DL1061" s="238"/>
      <c r="DM1061" s="238"/>
      <c r="DN1061" s="238"/>
      <c r="DO1061" s="238"/>
      <c r="DP1061" s="238"/>
      <c r="DQ1061" s="239"/>
      <c r="DR1061" s="237">
        <f>COUNTIFS('Form Details'!$W:$W,"No Status",'Form Details'!$J:$J,$C1061,'Form Details'!$D:$D,'Adv. Filter'!$A$14,'Form Details'!$D:$D,'Adv. Filter'!$B$14)</f>
        <v>2</v>
      </c>
      <c r="DS1061" s="238"/>
      <c r="DT1061" s="238"/>
      <c r="DU1061" s="238"/>
      <c r="DV1061" s="238"/>
      <c r="DW1061" s="238"/>
      <c r="DX1061" s="239"/>
      <c r="DY1061" s="237">
        <f>SUM(COUNTIFS('Form Details'!$W:$W,{"Wrong Entry ","Double Entry"},'Form Details'!$J:$J,$C1061,'Form Details'!$D:$D,'Adv. Filter'!$A$14,'Form Details'!$D:$D,'Adv. Filter'!$B$14))</f>
        <v>0</v>
      </c>
      <c r="DZ1061" s="238"/>
      <c r="EA1061" s="238"/>
      <c r="EB1061" s="238"/>
      <c r="EC1061" s="238"/>
      <c r="ED1061" s="238"/>
      <c r="EE1061" s="239"/>
    </row>
    <row r="1062" spans="3:135" hidden="1">
      <c r="C1062" s="248" t="s">
        <v>59</v>
      </c>
      <c r="D1062" s="249"/>
      <c r="E1062" s="249"/>
      <c r="F1062" s="249"/>
      <c r="G1062" s="249"/>
      <c r="H1062" s="249"/>
      <c r="I1062" s="249"/>
      <c r="J1062" s="249"/>
      <c r="K1062" s="249"/>
      <c r="L1062" s="249"/>
      <c r="M1062" s="249"/>
      <c r="N1062" s="249"/>
      <c r="O1062" s="237">
        <f>SUM(COUNTIFS('Form Details'!$AA:$AA,{"Yes","No","-"},'Form Details'!$J:$J,$C1062,'Form Details'!$D:$D,'Adv. Filter'!$A$14,'Form Details'!$D:$D,'Adv. Filter'!$B$14))</f>
        <v>2</v>
      </c>
      <c r="P1062" s="238"/>
      <c r="Q1062" s="238"/>
      <c r="R1062" s="238"/>
      <c r="S1062" s="238"/>
      <c r="T1062" s="238"/>
      <c r="U1062" s="239"/>
      <c r="V1062" s="105"/>
      <c r="W1062" s="237">
        <f>COUNTIFS('Form Details'!$AA:$AA,"Yes",'Form Details'!$J:$J,$C1062,'Form Details'!$D:$D,'Adv. Filter'!$A$14,'Form Details'!$D:$D,'Adv. Filter'!$B$14)</f>
        <v>2</v>
      </c>
      <c r="X1062" s="238"/>
      <c r="Y1062" s="238"/>
      <c r="Z1062" s="238"/>
      <c r="AA1062" s="238"/>
      <c r="AB1062" s="238"/>
      <c r="AC1062" s="239"/>
      <c r="AD1062" s="237">
        <f>COUNTIFS('Form Details'!$W:$W,"Paid",'Form Details'!$J:$J,$C1062,'Form Details'!$D:$D,'Adv. Filter'!$A$14,'Form Details'!$D:$D,'Adv. Filter'!$B$14)</f>
        <v>0</v>
      </c>
      <c r="AE1062" s="238"/>
      <c r="AF1062" s="238"/>
      <c r="AG1062" s="238"/>
      <c r="AH1062" s="238"/>
      <c r="AI1062" s="238"/>
      <c r="AJ1062" s="239"/>
      <c r="AK1062" s="237">
        <f>COUNTIFS('Form Details'!$W:$W,"Due",'Form Details'!$J:$J,$C1062,'Form Details'!$D:$D,'Adv. Filter'!$A$14,'Form Details'!$D:$D,'Adv. Filter'!$B$14)</f>
        <v>2</v>
      </c>
      <c r="AL1062" s="238"/>
      <c r="AM1062" s="238"/>
      <c r="AN1062" s="238"/>
      <c r="AO1062" s="238"/>
      <c r="AP1062" s="238"/>
      <c r="AQ1062" s="239"/>
      <c r="AR1062" s="237">
        <f>COUNTIFS('Form Details'!$W:$W,"No Fee",'Form Details'!$J:$J,$C1062,'Form Details'!$D:$D,'Adv. Filter'!$A$14,'Form Details'!$D:$D,'Adv. Filter'!$B$14)</f>
        <v>0</v>
      </c>
      <c r="AS1062" s="238"/>
      <c r="AT1062" s="238"/>
      <c r="AU1062" s="238"/>
      <c r="AV1062" s="238"/>
      <c r="AW1062" s="238"/>
      <c r="AX1062" s="239"/>
      <c r="AY1062" s="237">
        <f>COUNTIFS('Form Details'!$W:$W,"Paid/Reject",'Form Details'!$J:$J,$C1062,'Form Details'!$D:$D,'Adv. Filter'!$A$14,'Form Details'!$D:$D,'Adv. Filter'!$B$14)</f>
        <v>0</v>
      </c>
      <c r="AZ1062" s="238"/>
      <c r="BA1062" s="238"/>
      <c r="BB1062" s="238"/>
      <c r="BC1062" s="238"/>
      <c r="BD1062" s="238"/>
      <c r="BE1062" s="239"/>
      <c r="BF1062" s="237">
        <f>COUNTIFS('Form Details'!$W:$W,"Staff",'Form Details'!$J:$J,$C1062,'Form Details'!$D:$D,'Adv. Filter'!$A$14,'Form Details'!$D:$D,'Adv. Filter'!$B$14)</f>
        <v>0</v>
      </c>
      <c r="BG1062" s="238"/>
      <c r="BH1062" s="238"/>
      <c r="BI1062" s="238"/>
      <c r="BJ1062" s="238"/>
      <c r="BK1062" s="238"/>
      <c r="BL1062" s="239"/>
      <c r="BM1062" s="237">
        <f>COUNTIFS('Form Details'!$W:$W,"File in Office",'Form Details'!$J:$J,$C1062,'Form Details'!$D:$D,'Adv. Filter'!$A$14,'Form Details'!$D:$D,'Adv. Filter'!$B$14)</f>
        <v>0</v>
      </c>
      <c r="BN1062" s="238"/>
      <c r="BO1062" s="238"/>
      <c r="BP1062" s="238"/>
      <c r="BQ1062" s="238"/>
      <c r="BR1062" s="238"/>
      <c r="BS1062" s="239"/>
      <c r="BT1062" s="105"/>
      <c r="BU1062" s="237">
        <f>COUNTIFS('Form Details'!$AA:$AA,"No",'Form Details'!$J:$J,$C1062,'Form Details'!$D:$D,'Adv. Filter'!$A$14,'Form Details'!$D:$D,'Adv. Filter'!$B$14)</f>
        <v>0</v>
      </c>
      <c r="BV1062" s="238"/>
      <c r="BW1062" s="238"/>
      <c r="BX1062" s="238"/>
      <c r="BY1062" s="238"/>
      <c r="BZ1062" s="238"/>
      <c r="CA1062" s="239"/>
      <c r="CB1062" s="237">
        <f>COUNTIFS('Form Details'!$W:$W,"Adv/Paid",'Form Details'!$J:$J,$C1062,'Form Details'!$D:$D,'Adv. Filter'!$A$14,'Form Details'!$D:$D,'Adv. Filter'!$B$14)</f>
        <v>0</v>
      </c>
      <c r="CC1062" s="238"/>
      <c r="CD1062" s="238"/>
      <c r="CE1062" s="238"/>
      <c r="CF1062" s="238"/>
      <c r="CG1062" s="238"/>
      <c r="CH1062" s="239"/>
      <c r="CI1062" s="237">
        <f>COUNTIFS('Form Details'!$W:$W,"Adv/Paid/Reject",'Form Details'!$J:$J,$C1062,'Form Details'!$D:$D,'Adv. Filter'!$A$14,'Form Details'!$D:$D,'Adv. Filter'!$B$14)</f>
        <v>0</v>
      </c>
      <c r="CJ1062" s="238"/>
      <c r="CK1062" s="238"/>
      <c r="CL1062" s="238"/>
      <c r="CM1062" s="238"/>
      <c r="CN1062" s="238"/>
      <c r="CO1062" s="239"/>
      <c r="CP1062" s="237">
        <f>COUNTIFS('Form Details'!$W:$W,"Reject",'Form Details'!$J:$J,$C1062,'Form Details'!$D:$D,'Adv. Filter'!$A$14,'Form Details'!$D:$D,'Adv. Filter'!$B$14)</f>
        <v>0</v>
      </c>
      <c r="CQ1062" s="238"/>
      <c r="CR1062" s="238"/>
      <c r="CS1062" s="238"/>
      <c r="CT1062" s="238"/>
      <c r="CU1062" s="238"/>
      <c r="CV1062" s="239"/>
      <c r="CW1062" s="237">
        <f>COUNTIFS('Form Details'!$W:$W,"Adv/Paid/Pending",'Form Details'!$J:$J,$C1062,'Form Details'!$D:$D,'Adv. Filter'!$A$14,'Form Details'!$D:$D,'Adv. Filter'!$B$14)</f>
        <v>0</v>
      </c>
      <c r="CX1062" s="238"/>
      <c r="CY1062" s="238"/>
      <c r="CZ1062" s="238"/>
      <c r="DA1062" s="238"/>
      <c r="DB1062" s="238"/>
      <c r="DC1062" s="239"/>
      <c r="DD1062" s="237">
        <f>COUNTIFS('Form Details'!$W:$W,"Pending",'Form Details'!$J:$J,$C1062,'Form Details'!$D:$D,'Adv. Filter'!$A$14,'Form Details'!$D:$D,'Adv. Filter'!$B$14)</f>
        <v>0</v>
      </c>
      <c r="DE1062" s="238"/>
      <c r="DF1062" s="238"/>
      <c r="DG1062" s="238"/>
      <c r="DH1062" s="238"/>
      <c r="DI1062" s="238"/>
      <c r="DJ1062" s="239"/>
      <c r="DK1062" s="237">
        <f>COUNTIFS('Form Details'!$W:$W,"Adv/Paid/NoStatus",'Form Details'!$J:$J,$C1062,'Form Details'!$D:$D,'Adv. Filter'!$A$14,'Form Details'!$D:$D,'Adv. Filter'!$B$14)</f>
        <v>0</v>
      </c>
      <c r="DL1062" s="238"/>
      <c r="DM1062" s="238"/>
      <c r="DN1062" s="238"/>
      <c r="DO1062" s="238"/>
      <c r="DP1062" s="238"/>
      <c r="DQ1062" s="239"/>
      <c r="DR1062" s="237">
        <f>COUNTIFS('Form Details'!$W:$W,"No Status",'Form Details'!$J:$J,$C1062,'Form Details'!$D:$D,'Adv. Filter'!$A$14,'Form Details'!$D:$D,'Adv. Filter'!$B$14)</f>
        <v>0</v>
      </c>
      <c r="DS1062" s="238"/>
      <c r="DT1062" s="238"/>
      <c r="DU1062" s="238"/>
      <c r="DV1062" s="238"/>
      <c r="DW1062" s="238"/>
      <c r="DX1062" s="239"/>
      <c r="DY1062" s="237">
        <f>SUM(COUNTIFS('Form Details'!$W:$W,{"Wrong Entry ","Double Entry"},'Form Details'!$J:$J,$C1062,'Form Details'!$D:$D,'Adv. Filter'!$A$14,'Form Details'!$D:$D,'Adv. Filter'!$B$14))</f>
        <v>0</v>
      </c>
      <c r="DZ1062" s="238"/>
      <c r="EA1062" s="238"/>
      <c r="EB1062" s="238"/>
      <c r="EC1062" s="238"/>
      <c r="ED1062" s="238"/>
      <c r="EE1062" s="239"/>
    </row>
    <row r="1063" spans="3:135" hidden="1">
      <c r="C1063" s="248" t="s">
        <v>70</v>
      </c>
      <c r="D1063" s="249"/>
      <c r="E1063" s="249"/>
      <c r="F1063" s="249"/>
      <c r="G1063" s="249"/>
      <c r="H1063" s="249"/>
      <c r="I1063" s="249"/>
      <c r="J1063" s="249"/>
      <c r="K1063" s="249"/>
      <c r="L1063" s="249"/>
      <c r="M1063" s="249"/>
      <c r="N1063" s="249"/>
      <c r="O1063" s="237">
        <f>SUM(COUNTIFS('Form Details'!$AA:$AA,{"Yes","No","-"},'Form Details'!$J:$J,$C1063,'Form Details'!$D:$D,'Adv. Filter'!$A$14,'Form Details'!$D:$D,'Adv. Filter'!$B$14))</f>
        <v>27</v>
      </c>
      <c r="P1063" s="238"/>
      <c r="Q1063" s="238"/>
      <c r="R1063" s="238"/>
      <c r="S1063" s="238"/>
      <c r="T1063" s="238"/>
      <c r="U1063" s="239"/>
      <c r="V1063" s="105"/>
      <c r="W1063" s="237">
        <f>COUNTIFS('Form Details'!$AA:$AA,"Yes",'Form Details'!$J:$J,$C1063,'Form Details'!$D:$D,'Adv. Filter'!$A$14,'Form Details'!$D:$D,'Adv. Filter'!$B$14)</f>
        <v>27</v>
      </c>
      <c r="X1063" s="238"/>
      <c r="Y1063" s="238"/>
      <c r="Z1063" s="238"/>
      <c r="AA1063" s="238"/>
      <c r="AB1063" s="238"/>
      <c r="AC1063" s="239"/>
      <c r="AD1063" s="237">
        <f>COUNTIFS('Form Details'!$W:$W,"Paid",'Form Details'!$J:$J,$C1063,'Form Details'!$D:$D,'Adv. Filter'!$A$14,'Form Details'!$D:$D,'Adv. Filter'!$B$14)</f>
        <v>16</v>
      </c>
      <c r="AE1063" s="238"/>
      <c r="AF1063" s="238"/>
      <c r="AG1063" s="238"/>
      <c r="AH1063" s="238"/>
      <c r="AI1063" s="238"/>
      <c r="AJ1063" s="239"/>
      <c r="AK1063" s="237">
        <f>COUNTIFS('Form Details'!$W:$W,"Due",'Form Details'!$J:$J,$C1063,'Form Details'!$D:$D,'Adv. Filter'!$A$14,'Form Details'!$D:$D,'Adv. Filter'!$B$14)</f>
        <v>11</v>
      </c>
      <c r="AL1063" s="238"/>
      <c r="AM1063" s="238"/>
      <c r="AN1063" s="238"/>
      <c r="AO1063" s="238"/>
      <c r="AP1063" s="238"/>
      <c r="AQ1063" s="239"/>
      <c r="AR1063" s="237">
        <f>COUNTIFS('Form Details'!$W:$W,"No Fee",'Form Details'!$J:$J,$C1063,'Form Details'!$D:$D,'Adv. Filter'!$A$14,'Form Details'!$D:$D,'Adv. Filter'!$B$14)</f>
        <v>0</v>
      </c>
      <c r="AS1063" s="238"/>
      <c r="AT1063" s="238"/>
      <c r="AU1063" s="238"/>
      <c r="AV1063" s="238"/>
      <c r="AW1063" s="238"/>
      <c r="AX1063" s="239"/>
      <c r="AY1063" s="237">
        <f>COUNTIFS('Form Details'!$W:$W,"Paid/Reject",'Form Details'!$J:$J,$C1063,'Form Details'!$D:$D,'Adv. Filter'!$A$14,'Form Details'!$D:$D,'Adv. Filter'!$B$14)</f>
        <v>0</v>
      </c>
      <c r="AZ1063" s="238"/>
      <c r="BA1063" s="238"/>
      <c r="BB1063" s="238"/>
      <c r="BC1063" s="238"/>
      <c r="BD1063" s="238"/>
      <c r="BE1063" s="239"/>
      <c r="BF1063" s="237">
        <f>COUNTIFS('Form Details'!$W:$W,"Staff",'Form Details'!$J:$J,$C1063,'Form Details'!$D:$D,'Adv. Filter'!$A$14,'Form Details'!$D:$D,'Adv. Filter'!$B$14)</f>
        <v>0</v>
      </c>
      <c r="BG1063" s="238"/>
      <c r="BH1063" s="238"/>
      <c r="BI1063" s="238"/>
      <c r="BJ1063" s="238"/>
      <c r="BK1063" s="238"/>
      <c r="BL1063" s="239"/>
      <c r="BM1063" s="237">
        <f>COUNTIFS('Form Details'!$W:$W,"File in Office",'Form Details'!$J:$J,$C1063,'Form Details'!$D:$D,'Adv. Filter'!$A$14,'Form Details'!$D:$D,'Adv. Filter'!$B$14)</f>
        <v>0</v>
      </c>
      <c r="BN1063" s="238"/>
      <c r="BO1063" s="238"/>
      <c r="BP1063" s="238"/>
      <c r="BQ1063" s="238"/>
      <c r="BR1063" s="238"/>
      <c r="BS1063" s="239"/>
      <c r="BT1063" s="105"/>
      <c r="BU1063" s="237">
        <f>COUNTIFS('Form Details'!$AA:$AA,"No",'Form Details'!$J:$J,$C1063,'Form Details'!$D:$D,'Adv. Filter'!$A$14,'Form Details'!$D:$D,'Adv. Filter'!$B$14)</f>
        <v>0</v>
      </c>
      <c r="BV1063" s="238"/>
      <c r="BW1063" s="238"/>
      <c r="BX1063" s="238"/>
      <c r="BY1063" s="238"/>
      <c r="BZ1063" s="238"/>
      <c r="CA1063" s="239"/>
      <c r="CB1063" s="237">
        <f>COUNTIFS('Form Details'!$W:$W,"Adv/Paid",'Form Details'!$J:$J,$C1063,'Form Details'!$D:$D,'Adv. Filter'!$A$14,'Form Details'!$D:$D,'Adv. Filter'!$B$14)</f>
        <v>0</v>
      </c>
      <c r="CC1063" s="238"/>
      <c r="CD1063" s="238"/>
      <c r="CE1063" s="238"/>
      <c r="CF1063" s="238"/>
      <c r="CG1063" s="238"/>
      <c r="CH1063" s="239"/>
      <c r="CI1063" s="237">
        <f>COUNTIFS('Form Details'!$W:$W,"Adv/Paid/Reject",'Form Details'!$J:$J,$C1063,'Form Details'!$D:$D,'Adv. Filter'!$A$14,'Form Details'!$D:$D,'Adv. Filter'!$B$14)</f>
        <v>0</v>
      </c>
      <c r="CJ1063" s="238"/>
      <c r="CK1063" s="238"/>
      <c r="CL1063" s="238"/>
      <c r="CM1063" s="238"/>
      <c r="CN1063" s="238"/>
      <c r="CO1063" s="239"/>
      <c r="CP1063" s="237">
        <f>COUNTIFS('Form Details'!$W:$W,"Reject",'Form Details'!$J:$J,$C1063,'Form Details'!$D:$D,'Adv. Filter'!$A$14,'Form Details'!$D:$D,'Adv. Filter'!$B$14)</f>
        <v>0</v>
      </c>
      <c r="CQ1063" s="238"/>
      <c r="CR1063" s="238"/>
      <c r="CS1063" s="238"/>
      <c r="CT1063" s="238"/>
      <c r="CU1063" s="238"/>
      <c r="CV1063" s="239"/>
      <c r="CW1063" s="237">
        <f>COUNTIFS('Form Details'!$W:$W,"Adv/Paid/Pending",'Form Details'!$J:$J,$C1063,'Form Details'!$D:$D,'Adv. Filter'!$A$14,'Form Details'!$D:$D,'Adv. Filter'!$B$14)</f>
        <v>0</v>
      </c>
      <c r="CX1063" s="238"/>
      <c r="CY1063" s="238"/>
      <c r="CZ1063" s="238"/>
      <c r="DA1063" s="238"/>
      <c r="DB1063" s="238"/>
      <c r="DC1063" s="239"/>
      <c r="DD1063" s="237">
        <f>COUNTIFS('Form Details'!$W:$W,"Pending",'Form Details'!$J:$J,$C1063,'Form Details'!$D:$D,'Adv. Filter'!$A$14,'Form Details'!$D:$D,'Adv. Filter'!$B$14)</f>
        <v>0</v>
      </c>
      <c r="DE1063" s="238"/>
      <c r="DF1063" s="238"/>
      <c r="DG1063" s="238"/>
      <c r="DH1063" s="238"/>
      <c r="DI1063" s="238"/>
      <c r="DJ1063" s="239"/>
      <c r="DK1063" s="237">
        <f>COUNTIFS('Form Details'!$W:$W,"Adv/Paid/NoStatus",'Form Details'!$J:$J,$C1063,'Form Details'!$D:$D,'Adv. Filter'!$A$14,'Form Details'!$D:$D,'Adv. Filter'!$B$14)</f>
        <v>0</v>
      </c>
      <c r="DL1063" s="238"/>
      <c r="DM1063" s="238"/>
      <c r="DN1063" s="238"/>
      <c r="DO1063" s="238"/>
      <c r="DP1063" s="238"/>
      <c r="DQ1063" s="239"/>
      <c r="DR1063" s="237">
        <f>COUNTIFS('Form Details'!$W:$W,"No Status",'Form Details'!$J:$J,$C1063,'Form Details'!$D:$D,'Adv. Filter'!$A$14,'Form Details'!$D:$D,'Adv. Filter'!$B$14)</f>
        <v>0</v>
      </c>
      <c r="DS1063" s="238"/>
      <c r="DT1063" s="238"/>
      <c r="DU1063" s="238"/>
      <c r="DV1063" s="238"/>
      <c r="DW1063" s="238"/>
      <c r="DX1063" s="239"/>
      <c r="DY1063" s="237">
        <f>SUM(COUNTIFS('Form Details'!$W:$W,{"Wrong Entry ","Double Entry"},'Form Details'!$J:$J,$C1063,'Form Details'!$D:$D,'Adv. Filter'!$A$14,'Form Details'!$D:$D,'Adv. Filter'!$B$14))</f>
        <v>0</v>
      </c>
      <c r="DZ1063" s="238"/>
      <c r="EA1063" s="238"/>
      <c r="EB1063" s="238"/>
      <c r="EC1063" s="238"/>
      <c r="ED1063" s="238"/>
      <c r="EE1063" s="239"/>
    </row>
    <row r="1064" spans="3:135" hidden="1">
      <c r="C1064" s="248" t="s">
        <v>77</v>
      </c>
      <c r="D1064" s="249"/>
      <c r="E1064" s="249"/>
      <c r="F1064" s="249"/>
      <c r="G1064" s="249"/>
      <c r="H1064" s="249"/>
      <c r="I1064" s="249"/>
      <c r="J1064" s="249"/>
      <c r="K1064" s="249"/>
      <c r="L1064" s="249"/>
      <c r="M1064" s="249"/>
      <c r="N1064" s="249"/>
      <c r="O1064" s="237">
        <f>SUM(COUNTIFS('Form Details'!$AA:$AA,{"Yes","No","-"},'Form Details'!$J:$J,$C1064,'Form Details'!$D:$D,'Adv. Filter'!$A$14,'Form Details'!$D:$D,'Adv. Filter'!$B$14))</f>
        <v>43</v>
      </c>
      <c r="P1064" s="238"/>
      <c r="Q1064" s="238"/>
      <c r="R1064" s="238"/>
      <c r="S1064" s="238"/>
      <c r="T1064" s="238"/>
      <c r="U1064" s="239"/>
      <c r="V1064" s="105"/>
      <c r="W1064" s="237">
        <f>COUNTIFS('Form Details'!$AA:$AA,"Yes",'Form Details'!$J:$J,$C1064,'Form Details'!$D:$D,'Adv. Filter'!$A$14,'Form Details'!$D:$D,'Adv. Filter'!$B$14)</f>
        <v>42</v>
      </c>
      <c r="X1064" s="238"/>
      <c r="Y1064" s="238"/>
      <c r="Z1064" s="238"/>
      <c r="AA1064" s="238"/>
      <c r="AB1064" s="238"/>
      <c r="AC1064" s="239"/>
      <c r="AD1064" s="237">
        <f>COUNTIFS('Form Details'!$W:$W,"Paid",'Form Details'!$J:$J,$C1064,'Form Details'!$D:$D,'Adv. Filter'!$A$14,'Form Details'!$D:$D,'Adv. Filter'!$B$14)</f>
        <v>30</v>
      </c>
      <c r="AE1064" s="238"/>
      <c r="AF1064" s="238"/>
      <c r="AG1064" s="238"/>
      <c r="AH1064" s="238"/>
      <c r="AI1064" s="238"/>
      <c r="AJ1064" s="239"/>
      <c r="AK1064" s="237">
        <f>COUNTIFS('Form Details'!$W:$W,"Due",'Form Details'!$J:$J,$C1064,'Form Details'!$D:$D,'Adv. Filter'!$A$14,'Form Details'!$D:$D,'Adv. Filter'!$B$14)</f>
        <v>12</v>
      </c>
      <c r="AL1064" s="238"/>
      <c r="AM1064" s="238"/>
      <c r="AN1064" s="238"/>
      <c r="AO1064" s="238"/>
      <c r="AP1064" s="238"/>
      <c r="AQ1064" s="239"/>
      <c r="AR1064" s="237">
        <f>COUNTIFS('Form Details'!$W:$W,"No Fee",'Form Details'!$J:$J,$C1064,'Form Details'!$D:$D,'Adv. Filter'!$A$14,'Form Details'!$D:$D,'Adv. Filter'!$B$14)</f>
        <v>0</v>
      </c>
      <c r="AS1064" s="238"/>
      <c r="AT1064" s="238"/>
      <c r="AU1064" s="238"/>
      <c r="AV1064" s="238"/>
      <c r="AW1064" s="238"/>
      <c r="AX1064" s="239"/>
      <c r="AY1064" s="237">
        <f>COUNTIFS('Form Details'!$W:$W,"Paid/Reject",'Form Details'!$J:$J,$C1064,'Form Details'!$D:$D,'Adv. Filter'!$A$14,'Form Details'!$D:$D,'Adv. Filter'!$B$14)</f>
        <v>0</v>
      </c>
      <c r="AZ1064" s="238"/>
      <c r="BA1064" s="238"/>
      <c r="BB1064" s="238"/>
      <c r="BC1064" s="238"/>
      <c r="BD1064" s="238"/>
      <c r="BE1064" s="239"/>
      <c r="BF1064" s="237">
        <f>COUNTIFS('Form Details'!$W:$W,"Staff",'Form Details'!$J:$J,$C1064,'Form Details'!$D:$D,'Adv. Filter'!$A$14,'Form Details'!$D:$D,'Adv. Filter'!$B$14)</f>
        <v>0</v>
      </c>
      <c r="BG1064" s="238"/>
      <c r="BH1064" s="238"/>
      <c r="BI1064" s="238"/>
      <c r="BJ1064" s="238"/>
      <c r="BK1064" s="238"/>
      <c r="BL1064" s="239"/>
      <c r="BM1064" s="237">
        <f>COUNTIFS('Form Details'!$W:$W,"File in Office",'Form Details'!$J:$J,$C1064,'Form Details'!$D:$D,'Adv. Filter'!$A$14,'Form Details'!$D:$D,'Adv. Filter'!$B$14)</f>
        <v>0</v>
      </c>
      <c r="BN1064" s="238"/>
      <c r="BO1064" s="238"/>
      <c r="BP1064" s="238"/>
      <c r="BQ1064" s="238"/>
      <c r="BR1064" s="238"/>
      <c r="BS1064" s="239"/>
      <c r="BT1064" s="105"/>
      <c r="BU1064" s="237">
        <f>COUNTIFS('Form Details'!$AA:$AA,"No",'Form Details'!$J:$J,$C1064,'Form Details'!$D:$D,'Adv. Filter'!$A$14,'Form Details'!$D:$D,'Adv. Filter'!$B$14)</f>
        <v>1</v>
      </c>
      <c r="BV1064" s="238"/>
      <c r="BW1064" s="238"/>
      <c r="BX1064" s="238"/>
      <c r="BY1064" s="238"/>
      <c r="BZ1064" s="238"/>
      <c r="CA1064" s="239"/>
      <c r="CB1064" s="237">
        <f>COUNTIFS('Form Details'!$W:$W,"Adv/Paid",'Form Details'!$J:$J,$C1064,'Form Details'!$D:$D,'Adv. Filter'!$A$14,'Form Details'!$D:$D,'Adv. Filter'!$B$14)</f>
        <v>0</v>
      </c>
      <c r="CC1064" s="238"/>
      <c r="CD1064" s="238"/>
      <c r="CE1064" s="238"/>
      <c r="CF1064" s="238"/>
      <c r="CG1064" s="238"/>
      <c r="CH1064" s="239"/>
      <c r="CI1064" s="237">
        <f>COUNTIFS('Form Details'!$W:$W,"Adv/Paid/Reject",'Form Details'!$J:$J,$C1064,'Form Details'!$D:$D,'Adv. Filter'!$A$14,'Form Details'!$D:$D,'Adv. Filter'!$B$14)</f>
        <v>0</v>
      </c>
      <c r="CJ1064" s="238"/>
      <c r="CK1064" s="238"/>
      <c r="CL1064" s="238"/>
      <c r="CM1064" s="238"/>
      <c r="CN1064" s="238"/>
      <c r="CO1064" s="239"/>
      <c r="CP1064" s="237">
        <f>COUNTIFS('Form Details'!$W:$W,"Reject",'Form Details'!$J:$J,$C1064,'Form Details'!$D:$D,'Adv. Filter'!$A$14,'Form Details'!$D:$D,'Adv. Filter'!$B$14)</f>
        <v>0</v>
      </c>
      <c r="CQ1064" s="238"/>
      <c r="CR1064" s="238"/>
      <c r="CS1064" s="238"/>
      <c r="CT1064" s="238"/>
      <c r="CU1064" s="238"/>
      <c r="CV1064" s="239"/>
      <c r="CW1064" s="237">
        <f>COUNTIFS('Form Details'!$W:$W,"Adv/Paid/Pending",'Form Details'!$J:$J,$C1064,'Form Details'!$D:$D,'Adv. Filter'!$A$14,'Form Details'!$D:$D,'Adv. Filter'!$B$14)</f>
        <v>0</v>
      </c>
      <c r="CX1064" s="238"/>
      <c r="CY1064" s="238"/>
      <c r="CZ1064" s="238"/>
      <c r="DA1064" s="238"/>
      <c r="DB1064" s="238"/>
      <c r="DC1064" s="239"/>
      <c r="DD1064" s="237">
        <f>COUNTIFS('Form Details'!$W:$W,"Pending",'Form Details'!$J:$J,$C1064,'Form Details'!$D:$D,'Adv. Filter'!$A$14,'Form Details'!$D:$D,'Adv. Filter'!$B$14)</f>
        <v>0</v>
      </c>
      <c r="DE1064" s="238"/>
      <c r="DF1064" s="238"/>
      <c r="DG1064" s="238"/>
      <c r="DH1064" s="238"/>
      <c r="DI1064" s="238"/>
      <c r="DJ1064" s="239"/>
      <c r="DK1064" s="237">
        <f>COUNTIFS('Form Details'!$W:$W,"Adv/Paid/NoStatus",'Form Details'!$J:$J,$C1064,'Form Details'!$D:$D,'Adv. Filter'!$A$14,'Form Details'!$D:$D,'Adv. Filter'!$B$14)</f>
        <v>0</v>
      </c>
      <c r="DL1064" s="238"/>
      <c r="DM1064" s="238"/>
      <c r="DN1064" s="238"/>
      <c r="DO1064" s="238"/>
      <c r="DP1064" s="238"/>
      <c r="DQ1064" s="239"/>
      <c r="DR1064" s="237">
        <f>COUNTIFS('Form Details'!$W:$W,"No Status",'Form Details'!$J:$J,$C1064,'Form Details'!$D:$D,'Adv. Filter'!$A$14,'Form Details'!$D:$D,'Adv. Filter'!$B$14)</f>
        <v>0</v>
      </c>
      <c r="DS1064" s="238"/>
      <c r="DT1064" s="238"/>
      <c r="DU1064" s="238"/>
      <c r="DV1064" s="238"/>
      <c r="DW1064" s="238"/>
      <c r="DX1064" s="239"/>
      <c r="DY1064" s="237">
        <f>SUM(COUNTIFS('Form Details'!$W:$W,{"Wrong Entry ","Double Entry"},'Form Details'!$J:$J,$C1064,'Form Details'!$D:$D,'Adv. Filter'!$A$14,'Form Details'!$D:$D,'Adv. Filter'!$B$14))</f>
        <v>1</v>
      </c>
      <c r="DZ1064" s="238"/>
      <c r="EA1064" s="238"/>
      <c r="EB1064" s="238"/>
      <c r="EC1064" s="238"/>
      <c r="ED1064" s="238"/>
      <c r="EE1064" s="239"/>
    </row>
    <row r="1065" spans="3:135" hidden="1">
      <c r="C1065" s="248" t="s">
        <v>138</v>
      </c>
      <c r="D1065" s="249"/>
      <c r="E1065" s="249"/>
      <c r="F1065" s="249"/>
      <c r="G1065" s="249"/>
      <c r="H1065" s="249"/>
      <c r="I1065" s="249"/>
      <c r="J1065" s="249"/>
      <c r="K1065" s="249"/>
      <c r="L1065" s="249"/>
      <c r="M1065" s="249"/>
      <c r="N1065" s="249"/>
      <c r="O1065" s="237">
        <f>SUM(COUNTIFS('Form Details'!$AA:$AA,{"Yes","No","-"},'Form Details'!$J:$J,$C1065,'Form Details'!$D:$D,'Adv. Filter'!$A$14,'Form Details'!$D:$D,'Adv. Filter'!$B$14))</f>
        <v>0</v>
      </c>
      <c r="P1065" s="238"/>
      <c r="Q1065" s="238"/>
      <c r="R1065" s="238"/>
      <c r="S1065" s="238"/>
      <c r="T1065" s="238"/>
      <c r="U1065" s="239"/>
      <c r="V1065" s="105"/>
      <c r="W1065" s="237">
        <f>COUNTIFS('Form Details'!$AA:$AA,"Yes",'Form Details'!$J:$J,$C1065,'Form Details'!$D:$D,'Adv. Filter'!$A$14,'Form Details'!$D:$D,'Adv. Filter'!$B$14)</f>
        <v>0</v>
      </c>
      <c r="X1065" s="238"/>
      <c r="Y1065" s="238"/>
      <c r="Z1065" s="238"/>
      <c r="AA1065" s="238"/>
      <c r="AB1065" s="238"/>
      <c r="AC1065" s="239"/>
      <c r="AD1065" s="237">
        <f>COUNTIFS('Form Details'!$W:$W,"Paid",'Form Details'!$J:$J,$C1065,'Form Details'!$D:$D,'Adv. Filter'!$A$14,'Form Details'!$D:$D,'Adv. Filter'!$B$14)</f>
        <v>0</v>
      </c>
      <c r="AE1065" s="238"/>
      <c r="AF1065" s="238"/>
      <c r="AG1065" s="238"/>
      <c r="AH1065" s="238"/>
      <c r="AI1065" s="238"/>
      <c r="AJ1065" s="239"/>
      <c r="AK1065" s="237">
        <f>COUNTIFS('Form Details'!$W:$W,"Due",'Form Details'!$J:$J,$C1065,'Form Details'!$D:$D,'Adv. Filter'!$A$14,'Form Details'!$D:$D,'Adv. Filter'!$B$14)</f>
        <v>0</v>
      </c>
      <c r="AL1065" s="238"/>
      <c r="AM1065" s="238"/>
      <c r="AN1065" s="238"/>
      <c r="AO1065" s="238"/>
      <c r="AP1065" s="238"/>
      <c r="AQ1065" s="239"/>
      <c r="AR1065" s="237">
        <f>COUNTIFS('Form Details'!$W:$W,"No Fee",'Form Details'!$J:$J,$C1065,'Form Details'!$D:$D,'Adv. Filter'!$A$14,'Form Details'!$D:$D,'Adv. Filter'!$B$14)</f>
        <v>0</v>
      </c>
      <c r="AS1065" s="238"/>
      <c r="AT1065" s="238"/>
      <c r="AU1065" s="238"/>
      <c r="AV1065" s="238"/>
      <c r="AW1065" s="238"/>
      <c r="AX1065" s="239"/>
      <c r="AY1065" s="237">
        <f>COUNTIFS('Form Details'!$W:$W,"Paid/Reject",'Form Details'!$J:$J,$C1065,'Form Details'!$D:$D,'Adv. Filter'!$A$14,'Form Details'!$D:$D,'Adv. Filter'!$B$14)</f>
        <v>0</v>
      </c>
      <c r="AZ1065" s="238"/>
      <c r="BA1065" s="238"/>
      <c r="BB1065" s="238"/>
      <c r="BC1065" s="238"/>
      <c r="BD1065" s="238"/>
      <c r="BE1065" s="239"/>
      <c r="BF1065" s="237">
        <f>COUNTIFS('Form Details'!$W:$W,"Staff",'Form Details'!$J:$J,$C1065,'Form Details'!$D:$D,'Adv. Filter'!$A$14,'Form Details'!$D:$D,'Adv. Filter'!$B$14)</f>
        <v>0</v>
      </c>
      <c r="BG1065" s="238"/>
      <c r="BH1065" s="238"/>
      <c r="BI1065" s="238"/>
      <c r="BJ1065" s="238"/>
      <c r="BK1065" s="238"/>
      <c r="BL1065" s="239"/>
      <c r="BM1065" s="237">
        <f>COUNTIFS('Form Details'!$W:$W,"File in Office",'Form Details'!$J:$J,$C1065,'Form Details'!$D:$D,'Adv. Filter'!$A$14,'Form Details'!$D:$D,'Adv. Filter'!$B$14)</f>
        <v>0</v>
      </c>
      <c r="BN1065" s="238"/>
      <c r="BO1065" s="238"/>
      <c r="BP1065" s="238"/>
      <c r="BQ1065" s="238"/>
      <c r="BR1065" s="238"/>
      <c r="BS1065" s="239"/>
      <c r="BT1065" s="105"/>
      <c r="BU1065" s="237">
        <f>COUNTIFS('Form Details'!$AA:$AA,"No",'Form Details'!$J:$J,$C1065,'Form Details'!$D:$D,'Adv. Filter'!$A$14,'Form Details'!$D:$D,'Adv. Filter'!$B$14)</f>
        <v>0</v>
      </c>
      <c r="BV1065" s="238"/>
      <c r="BW1065" s="238"/>
      <c r="BX1065" s="238"/>
      <c r="BY1065" s="238"/>
      <c r="BZ1065" s="238"/>
      <c r="CA1065" s="239"/>
      <c r="CB1065" s="237">
        <f>COUNTIFS('Form Details'!$W:$W,"Adv/Paid",'Form Details'!$J:$J,$C1065,'Form Details'!$D:$D,'Adv. Filter'!$A$14,'Form Details'!$D:$D,'Adv. Filter'!$B$14)</f>
        <v>0</v>
      </c>
      <c r="CC1065" s="238"/>
      <c r="CD1065" s="238"/>
      <c r="CE1065" s="238"/>
      <c r="CF1065" s="238"/>
      <c r="CG1065" s="238"/>
      <c r="CH1065" s="239"/>
      <c r="CI1065" s="237">
        <f>COUNTIFS('Form Details'!$W:$W,"Adv/Paid/Reject",'Form Details'!$J:$J,$C1065,'Form Details'!$D:$D,'Adv. Filter'!$A$14,'Form Details'!$D:$D,'Adv. Filter'!$B$14)</f>
        <v>0</v>
      </c>
      <c r="CJ1065" s="238"/>
      <c r="CK1065" s="238"/>
      <c r="CL1065" s="238"/>
      <c r="CM1065" s="238"/>
      <c r="CN1065" s="238"/>
      <c r="CO1065" s="239"/>
      <c r="CP1065" s="237">
        <f>COUNTIFS('Form Details'!$W:$W,"Reject",'Form Details'!$J:$J,$C1065,'Form Details'!$D:$D,'Adv. Filter'!$A$14,'Form Details'!$D:$D,'Adv. Filter'!$B$14)</f>
        <v>0</v>
      </c>
      <c r="CQ1065" s="238"/>
      <c r="CR1065" s="238"/>
      <c r="CS1065" s="238"/>
      <c r="CT1065" s="238"/>
      <c r="CU1065" s="238"/>
      <c r="CV1065" s="239"/>
      <c r="CW1065" s="237">
        <f>COUNTIFS('Form Details'!$W:$W,"Adv/Paid/Pending",'Form Details'!$J:$J,$C1065,'Form Details'!$D:$D,'Adv. Filter'!$A$14,'Form Details'!$D:$D,'Adv. Filter'!$B$14)</f>
        <v>0</v>
      </c>
      <c r="CX1065" s="238"/>
      <c r="CY1065" s="238"/>
      <c r="CZ1065" s="238"/>
      <c r="DA1065" s="238"/>
      <c r="DB1065" s="238"/>
      <c r="DC1065" s="239"/>
      <c r="DD1065" s="237">
        <f>COUNTIFS('Form Details'!$W:$W,"Pending",'Form Details'!$J:$J,$C1065,'Form Details'!$D:$D,'Adv. Filter'!$A$14,'Form Details'!$D:$D,'Adv. Filter'!$B$14)</f>
        <v>0</v>
      </c>
      <c r="DE1065" s="238"/>
      <c r="DF1065" s="238"/>
      <c r="DG1065" s="238"/>
      <c r="DH1065" s="238"/>
      <c r="DI1065" s="238"/>
      <c r="DJ1065" s="239"/>
      <c r="DK1065" s="237">
        <f>COUNTIFS('Form Details'!$W:$W,"Adv/Paid/NoStatus",'Form Details'!$J:$J,$C1065,'Form Details'!$D:$D,'Adv. Filter'!$A$14,'Form Details'!$D:$D,'Adv. Filter'!$B$14)</f>
        <v>0</v>
      </c>
      <c r="DL1065" s="238"/>
      <c r="DM1065" s="238"/>
      <c r="DN1065" s="238"/>
      <c r="DO1065" s="238"/>
      <c r="DP1065" s="238"/>
      <c r="DQ1065" s="239"/>
      <c r="DR1065" s="237">
        <f>COUNTIFS('Form Details'!$W:$W,"No Status",'Form Details'!$J:$J,$C1065,'Form Details'!$D:$D,'Adv. Filter'!$A$14,'Form Details'!$D:$D,'Adv. Filter'!$B$14)</f>
        <v>0</v>
      </c>
      <c r="DS1065" s="238"/>
      <c r="DT1065" s="238"/>
      <c r="DU1065" s="238"/>
      <c r="DV1065" s="238"/>
      <c r="DW1065" s="238"/>
      <c r="DX1065" s="239"/>
      <c r="DY1065" s="237">
        <f>SUM(COUNTIFS('Form Details'!$W:$W,{"Wrong Entry ","Double Entry"},'Form Details'!$J:$J,$C1065,'Form Details'!$D:$D,'Adv. Filter'!$A$14,'Form Details'!$D:$D,'Adv. Filter'!$B$14))</f>
        <v>0</v>
      </c>
      <c r="DZ1065" s="238"/>
      <c r="EA1065" s="238"/>
      <c r="EB1065" s="238"/>
      <c r="EC1065" s="238"/>
      <c r="ED1065" s="238"/>
      <c r="EE1065" s="239"/>
    </row>
    <row r="1066" spans="3:135" hidden="1">
      <c r="C1066" s="248" t="s">
        <v>84</v>
      </c>
      <c r="D1066" s="249"/>
      <c r="E1066" s="249"/>
      <c r="F1066" s="249"/>
      <c r="G1066" s="249"/>
      <c r="H1066" s="249"/>
      <c r="I1066" s="249"/>
      <c r="J1066" s="249"/>
      <c r="K1066" s="249"/>
      <c r="L1066" s="249"/>
      <c r="M1066" s="249"/>
      <c r="N1066" s="249"/>
      <c r="O1066" s="237">
        <f>SUM(COUNTIFS('Form Details'!$AA:$AA,{"Yes","No","-"},'Form Details'!$J:$J,$C1066,'Form Details'!$D:$D,'Adv. Filter'!$A$14,'Form Details'!$D:$D,'Adv. Filter'!$B$14))</f>
        <v>643</v>
      </c>
      <c r="P1066" s="238"/>
      <c r="Q1066" s="238"/>
      <c r="R1066" s="238"/>
      <c r="S1066" s="238"/>
      <c r="T1066" s="238"/>
      <c r="U1066" s="239"/>
      <c r="V1066" s="105"/>
      <c r="W1066" s="237">
        <f>COUNTIFS('Form Details'!$AA:$AA,"Yes",'Form Details'!$J:$J,$C1066,'Form Details'!$D:$D,'Adv. Filter'!$A$14,'Form Details'!$D:$D,'Adv. Filter'!$B$14)</f>
        <v>550</v>
      </c>
      <c r="X1066" s="238"/>
      <c r="Y1066" s="238"/>
      <c r="Z1066" s="238"/>
      <c r="AA1066" s="238"/>
      <c r="AB1066" s="238"/>
      <c r="AC1066" s="239"/>
      <c r="AD1066" s="237">
        <f>COUNTIFS('Form Details'!$W:$W,"Paid",'Form Details'!$J:$J,$C1066,'Form Details'!$D:$D,'Adv. Filter'!$A$14,'Form Details'!$D:$D,'Adv. Filter'!$B$14)</f>
        <v>279</v>
      </c>
      <c r="AE1066" s="238"/>
      <c r="AF1066" s="238"/>
      <c r="AG1066" s="238"/>
      <c r="AH1066" s="238"/>
      <c r="AI1066" s="238"/>
      <c r="AJ1066" s="239"/>
      <c r="AK1066" s="237">
        <f>COUNTIFS('Form Details'!$W:$W,"Due",'Form Details'!$J:$J,$C1066,'Form Details'!$D:$D,'Adv. Filter'!$A$14,'Form Details'!$D:$D,'Adv. Filter'!$B$14)</f>
        <v>267</v>
      </c>
      <c r="AL1066" s="238"/>
      <c r="AM1066" s="238"/>
      <c r="AN1066" s="238"/>
      <c r="AO1066" s="238"/>
      <c r="AP1066" s="238"/>
      <c r="AQ1066" s="239"/>
      <c r="AR1066" s="237">
        <f>COUNTIFS('Form Details'!$W:$W,"No Fee",'Form Details'!$J:$J,$C1066,'Form Details'!$D:$D,'Adv. Filter'!$A$14,'Form Details'!$D:$D,'Adv. Filter'!$B$14)</f>
        <v>0</v>
      </c>
      <c r="AS1066" s="238"/>
      <c r="AT1066" s="238"/>
      <c r="AU1066" s="238"/>
      <c r="AV1066" s="238"/>
      <c r="AW1066" s="238"/>
      <c r="AX1066" s="239"/>
      <c r="AY1066" s="237">
        <f>COUNTIFS('Form Details'!$W:$W,"Paid/Reject",'Form Details'!$J:$J,$C1066,'Form Details'!$D:$D,'Adv. Filter'!$A$14,'Form Details'!$D:$D,'Adv. Filter'!$B$14)</f>
        <v>1</v>
      </c>
      <c r="AZ1066" s="238"/>
      <c r="BA1066" s="238"/>
      <c r="BB1066" s="238"/>
      <c r="BC1066" s="238"/>
      <c r="BD1066" s="238"/>
      <c r="BE1066" s="239"/>
      <c r="BF1066" s="237">
        <f>COUNTIFS('Form Details'!$W:$W,"Staff",'Form Details'!$J:$J,$C1066,'Form Details'!$D:$D,'Adv. Filter'!$A$14,'Form Details'!$D:$D,'Adv. Filter'!$B$14)</f>
        <v>0</v>
      </c>
      <c r="BG1066" s="238"/>
      <c r="BH1066" s="238"/>
      <c r="BI1066" s="238"/>
      <c r="BJ1066" s="238"/>
      <c r="BK1066" s="238"/>
      <c r="BL1066" s="239"/>
      <c r="BM1066" s="237">
        <f>COUNTIFS('Form Details'!$W:$W,"File in Office",'Form Details'!$J:$J,$C1066,'Form Details'!$D:$D,'Adv. Filter'!$A$14,'Form Details'!$D:$D,'Adv. Filter'!$B$14)</f>
        <v>4</v>
      </c>
      <c r="BN1066" s="238"/>
      <c r="BO1066" s="238"/>
      <c r="BP1066" s="238"/>
      <c r="BQ1066" s="238"/>
      <c r="BR1066" s="238"/>
      <c r="BS1066" s="239"/>
      <c r="BT1066" s="105"/>
      <c r="BU1066" s="237">
        <f>COUNTIFS('Form Details'!$AA:$AA,"No",'Form Details'!$J:$J,$C1066,'Form Details'!$D:$D,'Adv. Filter'!$A$14,'Form Details'!$D:$D,'Adv. Filter'!$B$14)</f>
        <v>92</v>
      </c>
      <c r="BV1066" s="238"/>
      <c r="BW1066" s="238"/>
      <c r="BX1066" s="238"/>
      <c r="BY1066" s="238"/>
      <c r="BZ1066" s="238"/>
      <c r="CA1066" s="239"/>
      <c r="CB1066" s="237">
        <f>COUNTIFS('Form Details'!$W:$W,"Adv/Paid",'Form Details'!$J:$J,$C1066,'Form Details'!$D:$D,'Adv. Filter'!$A$14,'Form Details'!$D:$D,'Adv. Filter'!$B$14)</f>
        <v>17</v>
      </c>
      <c r="CC1066" s="238"/>
      <c r="CD1066" s="238"/>
      <c r="CE1066" s="238"/>
      <c r="CF1066" s="238"/>
      <c r="CG1066" s="238"/>
      <c r="CH1066" s="239"/>
      <c r="CI1066" s="237">
        <f>COUNTIFS('Form Details'!$W:$W,"Adv/Paid/Reject",'Form Details'!$J:$J,$C1066,'Form Details'!$D:$D,'Adv. Filter'!$A$14,'Form Details'!$D:$D,'Adv. Filter'!$B$14)</f>
        <v>0</v>
      </c>
      <c r="CJ1066" s="238"/>
      <c r="CK1066" s="238"/>
      <c r="CL1066" s="238"/>
      <c r="CM1066" s="238"/>
      <c r="CN1066" s="238"/>
      <c r="CO1066" s="239"/>
      <c r="CP1066" s="237">
        <f>COUNTIFS('Form Details'!$W:$W,"Reject",'Form Details'!$J:$J,$C1066,'Form Details'!$D:$D,'Adv. Filter'!$A$14,'Form Details'!$D:$D,'Adv. Filter'!$B$14)</f>
        <v>9</v>
      </c>
      <c r="CQ1066" s="238"/>
      <c r="CR1066" s="238"/>
      <c r="CS1066" s="238"/>
      <c r="CT1066" s="238"/>
      <c r="CU1066" s="238"/>
      <c r="CV1066" s="239"/>
      <c r="CW1066" s="237">
        <f>COUNTIFS('Form Details'!$W:$W,"Adv/Paid/Pending",'Form Details'!$J:$J,$C1066,'Form Details'!$D:$D,'Adv. Filter'!$A$14,'Form Details'!$D:$D,'Adv. Filter'!$B$14)</f>
        <v>2</v>
      </c>
      <c r="CX1066" s="238"/>
      <c r="CY1066" s="238"/>
      <c r="CZ1066" s="238"/>
      <c r="DA1066" s="238"/>
      <c r="DB1066" s="238"/>
      <c r="DC1066" s="239"/>
      <c r="DD1066" s="237">
        <f>COUNTIFS('Form Details'!$W:$W,"Pending",'Form Details'!$J:$J,$C1066,'Form Details'!$D:$D,'Adv. Filter'!$A$14,'Form Details'!$D:$D,'Adv. Filter'!$B$14)</f>
        <v>7</v>
      </c>
      <c r="DE1066" s="238"/>
      <c r="DF1066" s="238"/>
      <c r="DG1066" s="238"/>
      <c r="DH1066" s="238"/>
      <c r="DI1066" s="238"/>
      <c r="DJ1066" s="239"/>
      <c r="DK1066" s="237">
        <f>COUNTIFS('Form Details'!$W:$W,"Adv/Paid/NoStatus",'Form Details'!$J:$J,$C1066,'Form Details'!$D:$D,'Adv. Filter'!$A$14,'Form Details'!$D:$D,'Adv. Filter'!$B$14)</f>
        <v>3</v>
      </c>
      <c r="DL1066" s="238"/>
      <c r="DM1066" s="238"/>
      <c r="DN1066" s="238"/>
      <c r="DO1066" s="238"/>
      <c r="DP1066" s="238"/>
      <c r="DQ1066" s="239"/>
      <c r="DR1066" s="237">
        <f>COUNTIFS('Form Details'!$W:$W,"No Status",'Form Details'!$J:$J,$C1066,'Form Details'!$D:$D,'Adv. Filter'!$A$14,'Form Details'!$D:$D,'Adv. Filter'!$B$14)</f>
        <v>44</v>
      </c>
      <c r="DS1066" s="238"/>
      <c r="DT1066" s="238"/>
      <c r="DU1066" s="238"/>
      <c r="DV1066" s="238"/>
      <c r="DW1066" s="238"/>
      <c r="DX1066" s="239"/>
      <c r="DY1066" s="237">
        <f>SUM(COUNTIFS('Form Details'!$W:$W,{"Wrong Entry ","Double Entry"},'Form Details'!$J:$J,$C1066,'Form Details'!$D:$D,'Adv. Filter'!$A$14,'Form Details'!$D:$D,'Adv. Filter'!$B$14))</f>
        <v>9</v>
      </c>
      <c r="DZ1066" s="238"/>
      <c r="EA1066" s="238"/>
      <c r="EB1066" s="238"/>
      <c r="EC1066" s="238"/>
      <c r="ED1066" s="238"/>
      <c r="EE1066" s="239"/>
    </row>
    <row r="1067" spans="3:135" hidden="1">
      <c r="C1067" s="248" t="s">
        <v>551</v>
      </c>
      <c r="D1067" s="249"/>
      <c r="E1067" s="249"/>
      <c r="F1067" s="249"/>
      <c r="G1067" s="249"/>
      <c r="H1067" s="249"/>
      <c r="I1067" s="249"/>
      <c r="J1067" s="249"/>
      <c r="K1067" s="249"/>
      <c r="L1067" s="249"/>
      <c r="M1067" s="249"/>
      <c r="N1067" s="249"/>
      <c r="O1067" s="237">
        <f>SUM(COUNTIFS('Form Details'!$AA:$AA,{"Yes","No","-"},'Form Details'!$J:$J,$C1067,'Form Details'!$D:$D,'Adv. Filter'!$A$14,'Form Details'!$D:$D,'Adv. Filter'!$B$14))</f>
        <v>69</v>
      </c>
      <c r="P1067" s="238"/>
      <c r="Q1067" s="238"/>
      <c r="R1067" s="238"/>
      <c r="S1067" s="238"/>
      <c r="T1067" s="238"/>
      <c r="U1067" s="239"/>
      <c r="V1067" s="105"/>
      <c r="W1067" s="237">
        <f>COUNTIFS('Form Details'!$AA:$AA,"Yes",'Form Details'!$J:$J,$C1067,'Form Details'!$D:$D,'Adv. Filter'!$A$14,'Form Details'!$D:$D,'Adv. Filter'!$B$14)</f>
        <v>68</v>
      </c>
      <c r="X1067" s="238"/>
      <c r="Y1067" s="238"/>
      <c r="Z1067" s="238"/>
      <c r="AA1067" s="238"/>
      <c r="AB1067" s="238"/>
      <c r="AC1067" s="239"/>
      <c r="AD1067" s="237">
        <f>COUNTIFS('Form Details'!$W:$W,"Paid",'Form Details'!$J:$J,$C1067,'Form Details'!$D:$D,'Adv. Filter'!$A$14,'Form Details'!$D:$D,'Adv. Filter'!$B$14)</f>
        <v>30</v>
      </c>
      <c r="AE1067" s="238"/>
      <c r="AF1067" s="238"/>
      <c r="AG1067" s="238"/>
      <c r="AH1067" s="238"/>
      <c r="AI1067" s="238"/>
      <c r="AJ1067" s="239"/>
      <c r="AK1067" s="237">
        <f>COUNTIFS('Form Details'!$W:$W,"Due",'Form Details'!$J:$J,$C1067,'Form Details'!$D:$D,'Adv. Filter'!$A$14,'Form Details'!$D:$D,'Adv. Filter'!$B$14)</f>
        <v>38</v>
      </c>
      <c r="AL1067" s="238"/>
      <c r="AM1067" s="238"/>
      <c r="AN1067" s="238"/>
      <c r="AO1067" s="238"/>
      <c r="AP1067" s="238"/>
      <c r="AQ1067" s="239"/>
      <c r="AR1067" s="237">
        <f>COUNTIFS('Form Details'!$W:$W,"No Fee",'Form Details'!$J:$J,$C1067,'Form Details'!$D:$D,'Adv. Filter'!$A$14,'Form Details'!$D:$D,'Adv. Filter'!$B$14)</f>
        <v>0</v>
      </c>
      <c r="AS1067" s="238"/>
      <c r="AT1067" s="238"/>
      <c r="AU1067" s="238"/>
      <c r="AV1067" s="238"/>
      <c r="AW1067" s="238"/>
      <c r="AX1067" s="239"/>
      <c r="AY1067" s="237">
        <f>COUNTIFS('Form Details'!$W:$W,"Paid/Reject",'Form Details'!$J:$J,$C1067,'Form Details'!$D:$D,'Adv. Filter'!$A$14,'Form Details'!$D:$D,'Adv. Filter'!$B$14)</f>
        <v>0</v>
      </c>
      <c r="AZ1067" s="238"/>
      <c r="BA1067" s="238"/>
      <c r="BB1067" s="238"/>
      <c r="BC1067" s="238"/>
      <c r="BD1067" s="238"/>
      <c r="BE1067" s="239"/>
      <c r="BF1067" s="237">
        <f>COUNTIFS('Form Details'!$W:$W,"Staff",'Form Details'!$J:$J,$C1067,'Form Details'!$D:$D,'Adv. Filter'!$A$14,'Form Details'!$D:$D,'Adv. Filter'!$B$14)</f>
        <v>0</v>
      </c>
      <c r="BG1067" s="238"/>
      <c r="BH1067" s="238"/>
      <c r="BI1067" s="238"/>
      <c r="BJ1067" s="238"/>
      <c r="BK1067" s="238"/>
      <c r="BL1067" s="239"/>
      <c r="BM1067" s="237">
        <f>COUNTIFS('Form Details'!$W:$W,"File in Office",'Form Details'!$J:$J,$C1067,'Form Details'!$D:$D,'Adv. Filter'!$A$14,'Form Details'!$D:$D,'Adv. Filter'!$B$14)</f>
        <v>0</v>
      </c>
      <c r="BN1067" s="238"/>
      <c r="BO1067" s="238"/>
      <c r="BP1067" s="238"/>
      <c r="BQ1067" s="238"/>
      <c r="BR1067" s="238"/>
      <c r="BS1067" s="239"/>
      <c r="BT1067" s="105"/>
      <c r="BU1067" s="237">
        <f>COUNTIFS('Form Details'!$AA:$AA,"No",'Form Details'!$J:$J,$C1067,'Form Details'!$D:$D,'Adv. Filter'!$A$14,'Form Details'!$D:$D,'Adv. Filter'!$B$14)</f>
        <v>1</v>
      </c>
      <c r="BV1067" s="238"/>
      <c r="BW1067" s="238"/>
      <c r="BX1067" s="238"/>
      <c r="BY1067" s="238"/>
      <c r="BZ1067" s="238"/>
      <c r="CA1067" s="239"/>
      <c r="CB1067" s="237">
        <f>COUNTIFS('Form Details'!$W:$W,"Adv/Paid",'Form Details'!$J:$J,$C1067,'Form Details'!$D:$D,'Adv. Filter'!$A$14,'Form Details'!$D:$D,'Adv. Filter'!$B$14)</f>
        <v>0</v>
      </c>
      <c r="CC1067" s="238"/>
      <c r="CD1067" s="238"/>
      <c r="CE1067" s="238"/>
      <c r="CF1067" s="238"/>
      <c r="CG1067" s="238"/>
      <c r="CH1067" s="239"/>
      <c r="CI1067" s="237">
        <f>COUNTIFS('Form Details'!$W:$W,"Adv/Paid/Reject",'Form Details'!$J:$J,$C1067,'Form Details'!$D:$D,'Adv. Filter'!$A$14,'Form Details'!$D:$D,'Adv. Filter'!$B$14)</f>
        <v>0</v>
      </c>
      <c r="CJ1067" s="238"/>
      <c r="CK1067" s="238"/>
      <c r="CL1067" s="238"/>
      <c r="CM1067" s="238"/>
      <c r="CN1067" s="238"/>
      <c r="CO1067" s="239"/>
      <c r="CP1067" s="237">
        <f>COUNTIFS('Form Details'!$W:$W,"Reject",'Form Details'!$J:$J,$C1067,'Form Details'!$D:$D,'Adv. Filter'!$A$14,'Form Details'!$D:$D,'Adv. Filter'!$B$14)</f>
        <v>0</v>
      </c>
      <c r="CQ1067" s="238"/>
      <c r="CR1067" s="238"/>
      <c r="CS1067" s="238"/>
      <c r="CT1067" s="238"/>
      <c r="CU1067" s="238"/>
      <c r="CV1067" s="239"/>
      <c r="CW1067" s="237">
        <f>COUNTIFS('Form Details'!$W:$W,"Adv/Paid/Pending",'Form Details'!$J:$J,$C1067,'Form Details'!$D:$D,'Adv. Filter'!$A$14,'Form Details'!$D:$D,'Adv. Filter'!$B$14)</f>
        <v>0</v>
      </c>
      <c r="CX1067" s="238"/>
      <c r="CY1067" s="238"/>
      <c r="CZ1067" s="238"/>
      <c r="DA1067" s="238"/>
      <c r="DB1067" s="238"/>
      <c r="DC1067" s="239"/>
      <c r="DD1067" s="237">
        <f>COUNTIFS('Form Details'!$W:$W,"Pending",'Form Details'!$J:$J,$C1067,'Form Details'!$D:$D,'Adv. Filter'!$A$14,'Form Details'!$D:$D,'Adv. Filter'!$B$14)</f>
        <v>0</v>
      </c>
      <c r="DE1067" s="238"/>
      <c r="DF1067" s="238"/>
      <c r="DG1067" s="238"/>
      <c r="DH1067" s="238"/>
      <c r="DI1067" s="238"/>
      <c r="DJ1067" s="239"/>
      <c r="DK1067" s="237">
        <f>COUNTIFS('Form Details'!$W:$W,"Adv/Paid/NoStatus",'Form Details'!$J:$J,$C1067,'Form Details'!$D:$D,'Adv. Filter'!$A$14,'Form Details'!$D:$D,'Adv. Filter'!$B$14)</f>
        <v>0</v>
      </c>
      <c r="DL1067" s="238"/>
      <c r="DM1067" s="238"/>
      <c r="DN1067" s="238"/>
      <c r="DO1067" s="238"/>
      <c r="DP1067" s="238"/>
      <c r="DQ1067" s="239"/>
      <c r="DR1067" s="237">
        <f>COUNTIFS('Form Details'!$W:$W,"No Status",'Form Details'!$J:$J,$C1067,'Form Details'!$D:$D,'Adv. Filter'!$A$14,'Form Details'!$D:$D,'Adv. Filter'!$B$14)</f>
        <v>0</v>
      </c>
      <c r="DS1067" s="238"/>
      <c r="DT1067" s="238"/>
      <c r="DU1067" s="238"/>
      <c r="DV1067" s="238"/>
      <c r="DW1067" s="238"/>
      <c r="DX1067" s="239"/>
      <c r="DY1067" s="237">
        <f>SUM(COUNTIFS('Form Details'!$W:$W,{"Wrong Entry ","Double Entry"},'Form Details'!$J:$J,$C1067,'Form Details'!$D:$D,'Adv. Filter'!$A$14,'Form Details'!$D:$D,'Adv. Filter'!$B$14))</f>
        <v>1</v>
      </c>
      <c r="DZ1067" s="238"/>
      <c r="EA1067" s="238"/>
      <c r="EB1067" s="238"/>
      <c r="EC1067" s="238"/>
      <c r="ED1067" s="238"/>
      <c r="EE1067" s="239"/>
    </row>
    <row r="1068" spans="3:135" hidden="1">
      <c r="C1068" s="248" t="s">
        <v>121</v>
      </c>
      <c r="D1068" s="249"/>
      <c r="E1068" s="249"/>
      <c r="F1068" s="249"/>
      <c r="G1068" s="249"/>
      <c r="H1068" s="249"/>
      <c r="I1068" s="249"/>
      <c r="J1068" s="249"/>
      <c r="K1068" s="249"/>
      <c r="L1068" s="249"/>
      <c r="M1068" s="249"/>
      <c r="N1068" s="249"/>
      <c r="O1068" s="237">
        <f>SUM(COUNTIFS('Form Details'!$AA:$AA,{"Yes","No","-"},'Form Details'!$J:$J,$C1068,'Form Details'!$D:$D,'Adv. Filter'!$A$14,'Form Details'!$D:$D,'Adv. Filter'!$B$14))</f>
        <v>11</v>
      </c>
      <c r="P1068" s="238"/>
      <c r="Q1068" s="238"/>
      <c r="R1068" s="238"/>
      <c r="S1068" s="238"/>
      <c r="T1068" s="238"/>
      <c r="U1068" s="239"/>
      <c r="V1068" s="105"/>
      <c r="W1068" s="237">
        <f>COUNTIFS('Form Details'!$AA:$AA,"Yes",'Form Details'!$J:$J,$C1068,'Form Details'!$D:$D,'Adv. Filter'!$A$14,'Form Details'!$D:$D,'Adv. Filter'!$B$14)</f>
        <v>11</v>
      </c>
      <c r="X1068" s="238"/>
      <c r="Y1068" s="238"/>
      <c r="Z1068" s="238"/>
      <c r="AA1068" s="238"/>
      <c r="AB1068" s="238"/>
      <c r="AC1068" s="239"/>
      <c r="AD1068" s="237">
        <f>COUNTIFS('Form Details'!$W:$W,"Paid",'Form Details'!$J:$J,$C1068,'Form Details'!$D:$D,'Adv. Filter'!$A$14,'Form Details'!$D:$D,'Adv. Filter'!$B$14)</f>
        <v>2</v>
      </c>
      <c r="AE1068" s="238"/>
      <c r="AF1068" s="238"/>
      <c r="AG1068" s="238"/>
      <c r="AH1068" s="238"/>
      <c r="AI1068" s="238"/>
      <c r="AJ1068" s="239"/>
      <c r="AK1068" s="237">
        <f>COUNTIFS('Form Details'!$W:$W,"Due",'Form Details'!$J:$J,$C1068,'Form Details'!$D:$D,'Adv. Filter'!$A$14,'Form Details'!$D:$D,'Adv. Filter'!$B$14)</f>
        <v>9</v>
      </c>
      <c r="AL1068" s="238"/>
      <c r="AM1068" s="238"/>
      <c r="AN1068" s="238"/>
      <c r="AO1068" s="238"/>
      <c r="AP1068" s="238"/>
      <c r="AQ1068" s="239"/>
      <c r="AR1068" s="237">
        <f>COUNTIFS('Form Details'!$W:$W,"No Fee",'Form Details'!$J:$J,$C1068,'Form Details'!$D:$D,'Adv. Filter'!$A$14,'Form Details'!$D:$D,'Adv. Filter'!$B$14)</f>
        <v>0</v>
      </c>
      <c r="AS1068" s="238"/>
      <c r="AT1068" s="238"/>
      <c r="AU1068" s="238"/>
      <c r="AV1068" s="238"/>
      <c r="AW1068" s="238"/>
      <c r="AX1068" s="239"/>
      <c r="AY1068" s="237">
        <f>COUNTIFS('Form Details'!$W:$W,"Paid/Reject",'Form Details'!$J:$J,$C1068,'Form Details'!$D:$D,'Adv. Filter'!$A$14,'Form Details'!$D:$D,'Adv. Filter'!$B$14)</f>
        <v>0</v>
      </c>
      <c r="AZ1068" s="238"/>
      <c r="BA1068" s="238"/>
      <c r="BB1068" s="238"/>
      <c r="BC1068" s="238"/>
      <c r="BD1068" s="238"/>
      <c r="BE1068" s="239"/>
      <c r="BF1068" s="237">
        <f>COUNTIFS('Form Details'!$W:$W,"Staff",'Form Details'!$J:$J,$C1068,'Form Details'!$D:$D,'Adv. Filter'!$A$14,'Form Details'!$D:$D,'Adv. Filter'!$B$14)</f>
        <v>0</v>
      </c>
      <c r="BG1068" s="238"/>
      <c r="BH1068" s="238"/>
      <c r="BI1068" s="238"/>
      <c r="BJ1068" s="238"/>
      <c r="BK1068" s="238"/>
      <c r="BL1068" s="239"/>
      <c r="BM1068" s="237">
        <f>COUNTIFS('Form Details'!$W:$W,"File in Office",'Form Details'!$J:$J,$C1068,'Form Details'!$D:$D,'Adv. Filter'!$A$14,'Form Details'!$D:$D,'Adv. Filter'!$B$14)</f>
        <v>0</v>
      </c>
      <c r="BN1068" s="238"/>
      <c r="BO1068" s="238"/>
      <c r="BP1068" s="238"/>
      <c r="BQ1068" s="238"/>
      <c r="BR1068" s="238"/>
      <c r="BS1068" s="239"/>
      <c r="BT1068" s="105"/>
      <c r="BU1068" s="237">
        <f>COUNTIFS('Form Details'!$AA:$AA,"No",'Form Details'!$J:$J,$C1068,'Form Details'!$D:$D,'Adv. Filter'!$A$14,'Form Details'!$D:$D,'Adv. Filter'!$B$14)</f>
        <v>0</v>
      </c>
      <c r="BV1068" s="238"/>
      <c r="BW1068" s="238"/>
      <c r="BX1068" s="238"/>
      <c r="BY1068" s="238"/>
      <c r="BZ1068" s="238"/>
      <c r="CA1068" s="239"/>
      <c r="CB1068" s="237">
        <f>COUNTIFS('Form Details'!$W:$W,"Adv/Paid",'Form Details'!$J:$J,$C1068,'Form Details'!$D:$D,'Adv. Filter'!$A$14,'Form Details'!$D:$D,'Adv. Filter'!$B$14)</f>
        <v>0</v>
      </c>
      <c r="CC1068" s="238"/>
      <c r="CD1068" s="238"/>
      <c r="CE1068" s="238"/>
      <c r="CF1068" s="238"/>
      <c r="CG1068" s="238"/>
      <c r="CH1068" s="239"/>
      <c r="CI1068" s="237">
        <f>COUNTIFS('Form Details'!$W:$W,"Adv/Paid/Reject",'Form Details'!$J:$J,$C1068,'Form Details'!$D:$D,'Adv. Filter'!$A$14,'Form Details'!$D:$D,'Adv. Filter'!$B$14)</f>
        <v>0</v>
      </c>
      <c r="CJ1068" s="238"/>
      <c r="CK1068" s="238"/>
      <c r="CL1068" s="238"/>
      <c r="CM1068" s="238"/>
      <c r="CN1068" s="238"/>
      <c r="CO1068" s="239"/>
      <c r="CP1068" s="237">
        <f>COUNTIFS('Form Details'!$W:$W,"Reject",'Form Details'!$J:$J,$C1068,'Form Details'!$D:$D,'Adv. Filter'!$A$14,'Form Details'!$D:$D,'Adv. Filter'!$B$14)</f>
        <v>0</v>
      </c>
      <c r="CQ1068" s="238"/>
      <c r="CR1068" s="238"/>
      <c r="CS1068" s="238"/>
      <c r="CT1068" s="238"/>
      <c r="CU1068" s="238"/>
      <c r="CV1068" s="239"/>
      <c r="CW1068" s="237">
        <f>COUNTIFS('Form Details'!$W:$W,"Adv/Paid/Pending",'Form Details'!$J:$J,$C1068,'Form Details'!$D:$D,'Adv. Filter'!$A$14,'Form Details'!$D:$D,'Adv. Filter'!$B$14)</f>
        <v>0</v>
      </c>
      <c r="CX1068" s="238"/>
      <c r="CY1068" s="238"/>
      <c r="CZ1068" s="238"/>
      <c r="DA1068" s="238"/>
      <c r="DB1068" s="238"/>
      <c r="DC1068" s="239"/>
      <c r="DD1068" s="237">
        <f>COUNTIFS('Form Details'!$W:$W,"Pending",'Form Details'!$J:$J,$C1068,'Form Details'!$D:$D,'Adv. Filter'!$A$14,'Form Details'!$D:$D,'Adv. Filter'!$B$14)</f>
        <v>0</v>
      </c>
      <c r="DE1068" s="238"/>
      <c r="DF1068" s="238"/>
      <c r="DG1068" s="238"/>
      <c r="DH1068" s="238"/>
      <c r="DI1068" s="238"/>
      <c r="DJ1068" s="239"/>
      <c r="DK1068" s="237">
        <f>COUNTIFS('Form Details'!$W:$W,"Adv/Paid/NoStatus",'Form Details'!$J:$J,$C1068,'Form Details'!$D:$D,'Adv. Filter'!$A$14,'Form Details'!$D:$D,'Adv. Filter'!$B$14)</f>
        <v>0</v>
      </c>
      <c r="DL1068" s="238"/>
      <c r="DM1068" s="238"/>
      <c r="DN1068" s="238"/>
      <c r="DO1068" s="238"/>
      <c r="DP1068" s="238"/>
      <c r="DQ1068" s="239"/>
      <c r="DR1068" s="237">
        <f>COUNTIFS('Form Details'!$W:$W,"No Status",'Form Details'!$J:$J,$C1068,'Form Details'!$D:$D,'Adv. Filter'!$A$14,'Form Details'!$D:$D,'Adv. Filter'!$B$14)</f>
        <v>0</v>
      </c>
      <c r="DS1068" s="238"/>
      <c r="DT1068" s="238"/>
      <c r="DU1068" s="238"/>
      <c r="DV1068" s="238"/>
      <c r="DW1068" s="238"/>
      <c r="DX1068" s="239"/>
      <c r="DY1068" s="237">
        <f>SUM(COUNTIFS('Form Details'!$W:$W,{"Wrong Entry ","Double Entry"},'Form Details'!$J:$J,$C1068,'Form Details'!$D:$D,'Adv. Filter'!$A$14,'Form Details'!$D:$D,'Adv. Filter'!$B$14))</f>
        <v>0</v>
      </c>
      <c r="DZ1068" s="238"/>
      <c r="EA1068" s="238"/>
      <c r="EB1068" s="238"/>
      <c r="EC1068" s="238"/>
      <c r="ED1068" s="238"/>
      <c r="EE1068" s="239"/>
    </row>
    <row r="1069" spans="3:135" hidden="1">
      <c r="C1069" s="248" t="s">
        <v>111</v>
      </c>
      <c r="D1069" s="249"/>
      <c r="E1069" s="249"/>
      <c r="F1069" s="249"/>
      <c r="G1069" s="249"/>
      <c r="H1069" s="249"/>
      <c r="I1069" s="249"/>
      <c r="J1069" s="249"/>
      <c r="K1069" s="249"/>
      <c r="L1069" s="249"/>
      <c r="M1069" s="249"/>
      <c r="N1069" s="249"/>
      <c r="O1069" s="237">
        <f>SUM(COUNTIFS('Form Details'!$AA:$AA,{"Yes","No","-"},'Form Details'!$J:$J,$C1069,'Form Details'!$D:$D,'Adv. Filter'!$A$14,'Form Details'!$D:$D,'Adv. Filter'!$B$14))</f>
        <v>6</v>
      </c>
      <c r="P1069" s="238"/>
      <c r="Q1069" s="238"/>
      <c r="R1069" s="238"/>
      <c r="S1069" s="238"/>
      <c r="T1069" s="238"/>
      <c r="U1069" s="239"/>
      <c r="V1069" s="105"/>
      <c r="W1069" s="237">
        <f>COUNTIFS('Form Details'!$AA:$AA,"Yes",'Form Details'!$J:$J,$C1069,'Form Details'!$D:$D,'Adv. Filter'!$A$14,'Form Details'!$D:$D,'Adv. Filter'!$B$14)</f>
        <v>5</v>
      </c>
      <c r="X1069" s="238"/>
      <c r="Y1069" s="238"/>
      <c r="Z1069" s="238"/>
      <c r="AA1069" s="238"/>
      <c r="AB1069" s="238"/>
      <c r="AC1069" s="239"/>
      <c r="AD1069" s="237">
        <f>COUNTIFS('Form Details'!$W:$W,"Paid",'Form Details'!$J:$J,$C1069,'Form Details'!$D:$D,'Adv. Filter'!$A$14,'Form Details'!$D:$D,'Adv. Filter'!$B$14)</f>
        <v>5</v>
      </c>
      <c r="AE1069" s="238"/>
      <c r="AF1069" s="238"/>
      <c r="AG1069" s="238"/>
      <c r="AH1069" s="238"/>
      <c r="AI1069" s="238"/>
      <c r="AJ1069" s="239"/>
      <c r="AK1069" s="237">
        <f>COUNTIFS('Form Details'!$W:$W,"Due",'Form Details'!$J:$J,$C1069,'Form Details'!$D:$D,'Adv. Filter'!$A$14,'Form Details'!$D:$D,'Adv. Filter'!$B$14)</f>
        <v>0</v>
      </c>
      <c r="AL1069" s="238"/>
      <c r="AM1069" s="238"/>
      <c r="AN1069" s="238"/>
      <c r="AO1069" s="238"/>
      <c r="AP1069" s="238"/>
      <c r="AQ1069" s="239"/>
      <c r="AR1069" s="237">
        <f>COUNTIFS('Form Details'!$W:$W,"No Fee",'Form Details'!$J:$J,$C1069,'Form Details'!$D:$D,'Adv. Filter'!$A$14,'Form Details'!$D:$D,'Adv. Filter'!$B$14)</f>
        <v>0</v>
      </c>
      <c r="AS1069" s="238"/>
      <c r="AT1069" s="238"/>
      <c r="AU1069" s="238"/>
      <c r="AV1069" s="238"/>
      <c r="AW1069" s="238"/>
      <c r="AX1069" s="239"/>
      <c r="AY1069" s="237">
        <f>COUNTIFS('Form Details'!$W:$W,"Paid/Reject",'Form Details'!$J:$J,$C1069,'Form Details'!$D:$D,'Adv. Filter'!$A$14,'Form Details'!$D:$D,'Adv. Filter'!$B$14)</f>
        <v>0</v>
      </c>
      <c r="AZ1069" s="238"/>
      <c r="BA1069" s="238"/>
      <c r="BB1069" s="238"/>
      <c r="BC1069" s="238"/>
      <c r="BD1069" s="238"/>
      <c r="BE1069" s="239"/>
      <c r="BF1069" s="237">
        <f>COUNTIFS('Form Details'!$W:$W,"Staff",'Form Details'!$J:$J,$C1069,'Form Details'!$D:$D,'Adv. Filter'!$A$14,'Form Details'!$D:$D,'Adv. Filter'!$B$14)</f>
        <v>0</v>
      </c>
      <c r="BG1069" s="238"/>
      <c r="BH1069" s="238"/>
      <c r="BI1069" s="238"/>
      <c r="BJ1069" s="238"/>
      <c r="BK1069" s="238"/>
      <c r="BL1069" s="239"/>
      <c r="BM1069" s="237">
        <f>COUNTIFS('Form Details'!$W:$W,"File in Office",'Form Details'!$J:$J,$C1069,'Form Details'!$D:$D,'Adv. Filter'!$A$14,'Form Details'!$D:$D,'Adv. Filter'!$B$14)</f>
        <v>0</v>
      </c>
      <c r="BN1069" s="238"/>
      <c r="BO1069" s="238"/>
      <c r="BP1069" s="238"/>
      <c r="BQ1069" s="238"/>
      <c r="BR1069" s="238"/>
      <c r="BS1069" s="239"/>
      <c r="BT1069" s="105"/>
      <c r="BU1069" s="237">
        <f>COUNTIFS('Form Details'!$AA:$AA,"No",'Form Details'!$J:$J,$C1069,'Form Details'!$D:$D,'Adv. Filter'!$A$14,'Form Details'!$D:$D,'Adv. Filter'!$B$14)</f>
        <v>1</v>
      </c>
      <c r="BV1069" s="238"/>
      <c r="BW1069" s="238"/>
      <c r="BX1069" s="238"/>
      <c r="BY1069" s="238"/>
      <c r="BZ1069" s="238"/>
      <c r="CA1069" s="239"/>
      <c r="CB1069" s="237">
        <f>COUNTIFS('Form Details'!$W:$W,"Adv/Paid",'Form Details'!$J:$J,$C1069,'Form Details'!$D:$D,'Adv. Filter'!$A$14,'Form Details'!$D:$D,'Adv. Filter'!$B$14)</f>
        <v>0</v>
      </c>
      <c r="CC1069" s="238"/>
      <c r="CD1069" s="238"/>
      <c r="CE1069" s="238"/>
      <c r="CF1069" s="238"/>
      <c r="CG1069" s="238"/>
      <c r="CH1069" s="239"/>
      <c r="CI1069" s="237">
        <f>COUNTIFS('Form Details'!$W:$W,"Adv/Paid/Reject",'Form Details'!$J:$J,$C1069,'Form Details'!$D:$D,'Adv. Filter'!$A$14,'Form Details'!$D:$D,'Adv. Filter'!$B$14)</f>
        <v>0</v>
      </c>
      <c r="CJ1069" s="238"/>
      <c r="CK1069" s="238"/>
      <c r="CL1069" s="238"/>
      <c r="CM1069" s="238"/>
      <c r="CN1069" s="238"/>
      <c r="CO1069" s="239"/>
      <c r="CP1069" s="237">
        <f>COUNTIFS('Form Details'!$W:$W,"Reject",'Form Details'!$J:$J,$C1069,'Form Details'!$D:$D,'Adv. Filter'!$A$14,'Form Details'!$D:$D,'Adv. Filter'!$B$14)</f>
        <v>0</v>
      </c>
      <c r="CQ1069" s="238"/>
      <c r="CR1069" s="238"/>
      <c r="CS1069" s="238"/>
      <c r="CT1069" s="238"/>
      <c r="CU1069" s="238"/>
      <c r="CV1069" s="239"/>
      <c r="CW1069" s="237">
        <f>COUNTIFS('Form Details'!$W:$W,"Adv/Paid/Pending",'Form Details'!$J:$J,$C1069,'Form Details'!$D:$D,'Adv. Filter'!$A$14,'Form Details'!$D:$D,'Adv. Filter'!$B$14)</f>
        <v>0</v>
      </c>
      <c r="CX1069" s="238"/>
      <c r="CY1069" s="238"/>
      <c r="CZ1069" s="238"/>
      <c r="DA1069" s="238"/>
      <c r="DB1069" s="238"/>
      <c r="DC1069" s="239"/>
      <c r="DD1069" s="237">
        <f>COUNTIFS('Form Details'!$W:$W,"Pending",'Form Details'!$J:$J,$C1069,'Form Details'!$D:$D,'Adv. Filter'!$A$14,'Form Details'!$D:$D,'Adv. Filter'!$B$14)</f>
        <v>0</v>
      </c>
      <c r="DE1069" s="238"/>
      <c r="DF1069" s="238"/>
      <c r="DG1069" s="238"/>
      <c r="DH1069" s="238"/>
      <c r="DI1069" s="238"/>
      <c r="DJ1069" s="239"/>
      <c r="DK1069" s="237">
        <f>COUNTIFS('Form Details'!$W:$W,"Adv/Paid/NoStatus",'Form Details'!$J:$J,$C1069,'Form Details'!$D:$D,'Adv. Filter'!$A$14,'Form Details'!$D:$D,'Adv. Filter'!$B$14)</f>
        <v>0</v>
      </c>
      <c r="DL1069" s="238"/>
      <c r="DM1069" s="238"/>
      <c r="DN1069" s="238"/>
      <c r="DO1069" s="238"/>
      <c r="DP1069" s="238"/>
      <c r="DQ1069" s="239"/>
      <c r="DR1069" s="237">
        <f>COUNTIFS('Form Details'!$W:$W,"No Status",'Form Details'!$J:$J,$C1069,'Form Details'!$D:$D,'Adv. Filter'!$A$14,'Form Details'!$D:$D,'Adv. Filter'!$B$14)</f>
        <v>1</v>
      </c>
      <c r="DS1069" s="238"/>
      <c r="DT1069" s="238"/>
      <c r="DU1069" s="238"/>
      <c r="DV1069" s="238"/>
      <c r="DW1069" s="238"/>
      <c r="DX1069" s="239"/>
      <c r="DY1069" s="237">
        <f>SUM(COUNTIFS('Form Details'!$W:$W,{"Wrong Entry ","Double Entry"},'Form Details'!$J:$J,$C1069,'Form Details'!$D:$D,'Adv. Filter'!$A$14,'Form Details'!$D:$D,'Adv. Filter'!$B$14))</f>
        <v>0</v>
      </c>
      <c r="DZ1069" s="238"/>
      <c r="EA1069" s="238"/>
      <c r="EB1069" s="238"/>
      <c r="EC1069" s="238"/>
      <c r="ED1069" s="238"/>
      <c r="EE1069" s="239"/>
    </row>
    <row r="1070" spans="3:135" hidden="1">
      <c r="C1070" s="248" t="s">
        <v>116</v>
      </c>
      <c r="D1070" s="249"/>
      <c r="E1070" s="249"/>
      <c r="F1070" s="249"/>
      <c r="G1070" s="249"/>
      <c r="H1070" s="249"/>
      <c r="I1070" s="249"/>
      <c r="J1070" s="249"/>
      <c r="K1070" s="249"/>
      <c r="L1070" s="249"/>
      <c r="M1070" s="249"/>
      <c r="N1070" s="249"/>
      <c r="O1070" s="237">
        <f>SUM(COUNTIFS('Form Details'!$AA:$AA,{"Yes","No","-"},'Form Details'!$J:$J,$C1070,'Form Details'!$D:$D,'Adv. Filter'!$A$14,'Form Details'!$D:$D,'Adv. Filter'!$B$14))</f>
        <v>3</v>
      </c>
      <c r="P1070" s="238"/>
      <c r="Q1070" s="238"/>
      <c r="R1070" s="238"/>
      <c r="S1070" s="238"/>
      <c r="T1070" s="238"/>
      <c r="U1070" s="239"/>
      <c r="V1070" s="105"/>
      <c r="W1070" s="237">
        <f>COUNTIFS('Form Details'!$AA:$AA,"Yes",'Form Details'!$J:$J,$C1070,'Form Details'!$D:$D,'Adv. Filter'!$A$14,'Form Details'!$D:$D,'Adv. Filter'!$B$14)</f>
        <v>3</v>
      </c>
      <c r="X1070" s="238"/>
      <c r="Y1070" s="238"/>
      <c r="Z1070" s="238"/>
      <c r="AA1070" s="238"/>
      <c r="AB1070" s="238"/>
      <c r="AC1070" s="239"/>
      <c r="AD1070" s="237">
        <f>COUNTIFS('Form Details'!$W:$W,"Paid",'Form Details'!$J:$J,$C1070,'Form Details'!$D:$D,'Adv. Filter'!$A$14,'Form Details'!$D:$D,'Adv. Filter'!$B$14)</f>
        <v>1</v>
      </c>
      <c r="AE1070" s="238"/>
      <c r="AF1070" s="238"/>
      <c r="AG1070" s="238"/>
      <c r="AH1070" s="238"/>
      <c r="AI1070" s="238"/>
      <c r="AJ1070" s="239"/>
      <c r="AK1070" s="237">
        <f>COUNTIFS('Form Details'!$W:$W,"Due",'Form Details'!$J:$J,$C1070,'Form Details'!$D:$D,'Adv. Filter'!$A$14,'Form Details'!$D:$D,'Adv. Filter'!$B$14)</f>
        <v>2</v>
      </c>
      <c r="AL1070" s="238"/>
      <c r="AM1070" s="238"/>
      <c r="AN1070" s="238"/>
      <c r="AO1070" s="238"/>
      <c r="AP1070" s="238"/>
      <c r="AQ1070" s="239"/>
      <c r="AR1070" s="237">
        <f>COUNTIFS('Form Details'!$W:$W,"No Fee",'Form Details'!$J:$J,$C1070,'Form Details'!$D:$D,'Adv. Filter'!$A$14,'Form Details'!$D:$D,'Adv. Filter'!$B$14)</f>
        <v>0</v>
      </c>
      <c r="AS1070" s="238"/>
      <c r="AT1070" s="238"/>
      <c r="AU1070" s="238"/>
      <c r="AV1070" s="238"/>
      <c r="AW1070" s="238"/>
      <c r="AX1070" s="239"/>
      <c r="AY1070" s="237">
        <f>COUNTIFS('Form Details'!$W:$W,"Paid/Reject",'Form Details'!$J:$J,$C1070,'Form Details'!$D:$D,'Adv. Filter'!$A$14,'Form Details'!$D:$D,'Adv. Filter'!$B$14)</f>
        <v>0</v>
      </c>
      <c r="AZ1070" s="238"/>
      <c r="BA1070" s="238"/>
      <c r="BB1070" s="238"/>
      <c r="BC1070" s="238"/>
      <c r="BD1070" s="238"/>
      <c r="BE1070" s="239"/>
      <c r="BF1070" s="237">
        <f>COUNTIFS('Form Details'!$W:$W,"Staff",'Form Details'!$J:$J,$C1070,'Form Details'!$D:$D,'Adv. Filter'!$A$14,'Form Details'!$D:$D,'Adv. Filter'!$B$14)</f>
        <v>0</v>
      </c>
      <c r="BG1070" s="238"/>
      <c r="BH1070" s="238"/>
      <c r="BI1070" s="238"/>
      <c r="BJ1070" s="238"/>
      <c r="BK1070" s="238"/>
      <c r="BL1070" s="239"/>
      <c r="BM1070" s="237">
        <f>COUNTIFS('Form Details'!$W:$W,"File in Office",'Form Details'!$J:$J,$C1070,'Form Details'!$D:$D,'Adv. Filter'!$A$14,'Form Details'!$D:$D,'Adv. Filter'!$B$14)</f>
        <v>0</v>
      </c>
      <c r="BN1070" s="238"/>
      <c r="BO1070" s="238"/>
      <c r="BP1070" s="238"/>
      <c r="BQ1070" s="238"/>
      <c r="BR1070" s="238"/>
      <c r="BS1070" s="239"/>
      <c r="BT1070" s="105"/>
      <c r="BU1070" s="237">
        <f>COUNTIFS('Form Details'!$AA:$AA,"No",'Form Details'!$J:$J,$C1070,'Form Details'!$D:$D,'Adv. Filter'!$A$14,'Form Details'!$D:$D,'Adv. Filter'!$B$14)</f>
        <v>0</v>
      </c>
      <c r="BV1070" s="238"/>
      <c r="BW1070" s="238"/>
      <c r="BX1070" s="238"/>
      <c r="BY1070" s="238"/>
      <c r="BZ1070" s="238"/>
      <c r="CA1070" s="239"/>
      <c r="CB1070" s="237">
        <f>COUNTIFS('Form Details'!$W:$W,"Adv/Paid",'Form Details'!$J:$J,$C1070,'Form Details'!$D:$D,'Adv. Filter'!$A$14,'Form Details'!$D:$D,'Adv. Filter'!$B$14)</f>
        <v>0</v>
      </c>
      <c r="CC1070" s="238"/>
      <c r="CD1070" s="238"/>
      <c r="CE1070" s="238"/>
      <c r="CF1070" s="238"/>
      <c r="CG1070" s="238"/>
      <c r="CH1070" s="239"/>
      <c r="CI1070" s="237">
        <f>COUNTIFS('Form Details'!$W:$W,"Adv/Paid/Reject",'Form Details'!$J:$J,$C1070,'Form Details'!$D:$D,'Adv. Filter'!$A$14,'Form Details'!$D:$D,'Adv. Filter'!$B$14)</f>
        <v>0</v>
      </c>
      <c r="CJ1070" s="238"/>
      <c r="CK1070" s="238"/>
      <c r="CL1070" s="238"/>
      <c r="CM1070" s="238"/>
      <c r="CN1070" s="238"/>
      <c r="CO1070" s="239"/>
      <c r="CP1070" s="237">
        <f>COUNTIFS('Form Details'!$W:$W,"Reject",'Form Details'!$J:$J,$C1070,'Form Details'!$D:$D,'Adv. Filter'!$A$14,'Form Details'!$D:$D,'Adv. Filter'!$B$14)</f>
        <v>0</v>
      </c>
      <c r="CQ1070" s="238"/>
      <c r="CR1070" s="238"/>
      <c r="CS1070" s="238"/>
      <c r="CT1070" s="238"/>
      <c r="CU1070" s="238"/>
      <c r="CV1070" s="239"/>
      <c r="CW1070" s="237">
        <f>COUNTIFS('Form Details'!$W:$W,"Adv/Paid/Pending",'Form Details'!$J:$J,$C1070,'Form Details'!$D:$D,'Adv. Filter'!$A$14,'Form Details'!$D:$D,'Adv. Filter'!$B$14)</f>
        <v>0</v>
      </c>
      <c r="CX1070" s="238"/>
      <c r="CY1070" s="238"/>
      <c r="CZ1070" s="238"/>
      <c r="DA1070" s="238"/>
      <c r="DB1070" s="238"/>
      <c r="DC1070" s="239"/>
      <c r="DD1070" s="237">
        <f>COUNTIFS('Form Details'!$W:$W,"Pending",'Form Details'!$J:$J,$C1070,'Form Details'!$D:$D,'Adv. Filter'!$A$14,'Form Details'!$D:$D,'Adv. Filter'!$B$14)</f>
        <v>0</v>
      </c>
      <c r="DE1070" s="238"/>
      <c r="DF1070" s="238"/>
      <c r="DG1070" s="238"/>
      <c r="DH1070" s="238"/>
      <c r="DI1070" s="238"/>
      <c r="DJ1070" s="239"/>
      <c r="DK1070" s="237">
        <f>COUNTIFS('Form Details'!$W:$W,"Adv/Paid/NoStatus",'Form Details'!$J:$J,$C1070,'Form Details'!$D:$D,'Adv. Filter'!$A$14,'Form Details'!$D:$D,'Adv. Filter'!$B$14)</f>
        <v>0</v>
      </c>
      <c r="DL1070" s="238"/>
      <c r="DM1070" s="238"/>
      <c r="DN1070" s="238"/>
      <c r="DO1070" s="238"/>
      <c r="DP1070" s="238"/>
      <c r="DQ1070" s="239"/>
      <c r="DR1070" s="237">
        <f>COUNTIFS('Form Details'!$W:$W,"No Status",'Form Details'!$J:$J,$C1070,'Form Details'!$D:$D,'Adv. Filter'!$A$14,'Form Details'!$D:$D,'Adv. Filter'!$B$14)</f>
        <v>0</v>
      </c>
      <c r="DS1070" s="238"/>
      <c r="DT1070" s="238"/>
      <c r="DU1070" s="238"/>
      <c r="DV1070" s="238"/>
      <c r="DW1070" s="238"/>
      <c r="DX1070" s="239"/>
      <c r="DY1070" s="237">
        <f>SUM(COUNTIFS('Form Details'!$W:$W,{"Wrong Entry ","Double Entry"},'Form Details'!$J:$J,$C1070,'Form Details'!$D:$D,'Adv. Filter'!$A$14,'Form Details'!$D:$D,'Adv. Filter'!$B$14))</f>
        <v>0</v>
      </c>
      <c r="DZ1070" s="238"/>
      <c r="EA1070" s="238"/>
      <c r="EB1070" s="238"/>
      <c r="EC1070" s="238"/>
      <c r="ED1070" s="238"/>
      <c r="EE1070" s="239"/>
    </row>
    <row r="1071" spans="3:135" hidden="1">
      <c r="C1071" s="248" t="s">
        <v>119</v>
      </c>
      <c r="D1071" s="249"/>
      <c r="E1071" s="249"/>
      <c r="F1071" s="249"/>
      <c r="G1071" s="249"/>
      <c r="H1071" s="249"/>
      <c r="I1071" s="249"/>
      <c r="J1071" s="249"/>
      <c r="K1071" s="249"/>
      <c r="L1071" s="249"/>
      <c r="M1071" s="249"/>
      <c r="N1071" s="249"/>
      <c r="O1071" s="237">
        <f>SUM(COUNTIFS('Form Details'!$AA:$AA,{"Yes","No","-"},'Form Details'!$J:$J,$C1071,'Form Details'!$D:$D,'Adv. Filter'!$A$14,'Form Details'!$D:$D,'Adv. Filter'!$B$14))</f>
        <v>5</v>
      </c>
      <c r="P1071" s="238"/>
      <c r="Q1071" s="238"/>
      <c r="R1071" s="238"/>
      <c r="S1071" s="238"/>
      <c r="T1071" s="238"/>
      <c r="U1071" s="239"/>
      <c r="V1071" s="105"/>
      <c r="W1071" s="237">
        <f>COUNTIFS('Form Details'!$AA:$AA,"Yes",'Form Details'!$J:$J,$C1071,'Form Details'!$D:$D,'Adv. Filter'!$A$14,'Form Details'!$D:$D,'Adv. Filter'!$B$14)</f>
        <v>5</v>
      </c>
      <c r="X1071" s="238"/>
      <c r="Y1071" s="238"/>
      <c r="Z1071" s="238"/>
      <c r="AA1071" s="238"/>
      <c r="AB1071" s="238"/>
      <c r="AC1071" s="239"/>
      <c r="AD1071" s="237">
        <f>COUNTIFS('Form Details'!$W:$W,"Paid",'Form Details'!$J:$J,$C1071,'Form Details'!$D:$D,'Adv. Filter'!$A$14,'Form Details'!$D:$D,'Adv. Filter'!$B$14)</f>
        <v>3</v>
      </c>
      <c r="AE1071" s="238"/>
      <c r="AF1071" s="238"/>
      <c r="AG1071" s="238"/>
      <c r="AH1071" s="238"/>
      <c r="AI1071" s="238"/>
      <c r="AJ1071" s="239"/>
      <c r="AK1071" s="237">
        <f>COUNTIFS('Form Details'!$W:$W,"Due",'Form Details'!$J:$J,$C1071,'Form Details'!$D:$D,'Adv. Filter'!$A$14,'Form Details'!$D:$D,'Adv. Filter'!$B$14)</f>
        <v>2</v>
      </c>
      <c r="AL1071" s="238"/>
      <c r="AM1071" s="238"/>
      <c r="AN1071" s="238"/>
      <c r="AO1071" s="238"/>
      <c r="AP1071" s="238"/>
      <c r="AQ1071" s="239"/>
      <c r="AR1071" s="237">
        <f>COUNTIFS('Form Details'!$W:$W,"No Fee",'Form Details'!$J:$J,$C1071,'Form Details'!$D:$D,'Adv. Filter'!$A$14,'Form Details'!$D:$D,'Adv. Filter'!$B$14)</f>
        <v>0</v>
      </c>
      <c r="AS1071" s="238"/>
      <c r="AT1071" s="238"/>
      <c r="AU1071" s="238"/>
      <c r="AV1071" s="238"/>
      <c r="AW1071" s="238"/>
      <c r="AX1071" s="239"/>
      <c r="AY1071" s="237">
        <f>COUNTIFS('Form Details'!$W:$W,"Paid/Reject",'Form Details'!$J:$J,$C1071,'Form Details'!$D:$D,'Adv. Filter'!$A$14,'Form Details'!$D:$D,'Adv. Filter'!$B$14)</f>
        <v>0</v>
      </c>
      <c r="AZ1071" s="238"/>
      <c r="BA1071" s="238"/>
      <c r="BB1071" s="238"/>
      <c r="BC1071" s="238"/>
      <c r="BD1071" s="238"/>
      <c r="BE1071" s="239"/>
      <c r="BF1071" s="237">
        <f>COUNTIFS('Form Details'!$W:$W,"Staff",'Form Details'!$J:$J,$C1071,'Form Details'!$D:$D,'Adv. Filter'!$A$14,'Form Details'!$D:$D,'Adv. Filter'!$B$14)</f>
        <v>0</v>
      </c>
      <c r="BG1071" s="238"/>
      <c r="BH1071" s="238"/>
      <c r="BI1071" s="238"/>
      <c r="BJ1071" s="238"/>
      <c r="BK1071" s="238"/>
      <c r="BL1071" s="239"/>
      <c r="BM1071" s="237">
        <f>COUNTIFS('Form Details'!$W:$W,"File in Office",'Form Details'!$J:$J,$C1071,'Form Details'!$D:$D,'Adv. Filter'!$A$14,'Form Details'!$D:$D,'Adv. Filter'!$B$14)</f>
        <v>0</v>
      </c>
      <c r="BN1071" s="238"/>
      <c r="BO1071" s="238"/>
      <c r="BP1071" s="238"/>
      <c r="BQ1071" s="238"/>
      <c r="BR1071" s="238"/>
      <c r="BS1071" s="239"/>
      <c r="BT1071" s="105"/>
      <c r="BU1071" s="237">
        <f>COUNTIFS('Form Details'!$AA:$AA,"No",'Form Details'!$J:$J,$C1071,'Form Details'!$D:$D,'Adv. Filter'!$A$14,'Form Details'!$D:$D,'Adv. Filter'!$B$14)</f>
        <v>0</v>
      </c>
      <c r="BV1071" s="238"/>
      <c r="BW1071" s="238"/>
      <c r="BX1071" s="238"/>
      <c r="BY1071" s="238"/>
      <c r="BZ1071" s="238"/>
      <c r="CA1071" s="239"/>
      <c r="CB1071" s="237">
        <f>COUNTIFS('Form Details'!$W:$W,"Adv/Paid",'Form Details'!$J:$J,$C1071,'Form Details'!$D:$D,'Adv. Filter'!$A$14,'Form Details'!$D:$D,'Adv. Filter'!$B$14)</f>
        <v>0</v>
      </c>
      <c r="CC1071" s="238"/>
      <c r="CD1071" s="238"/>
      <c r="CE1071" s="238"/>
      <c r="CF1071" s="238"/>
      <c r="CG1071" s="238"/>
      <c r="CH1071" s="239"/>
      <c r="CI1071" s="237">
        <f>COUNTIFS('Form Details'!$W:$W,"Adv/Paid/Reject",'Form Details'!$J:$J,$C1071,'Form Details'!$D:$D,'Adv. Filter'!$A$14,'Form Details'!$D:$D,'Adv. Filter'!$B$14)</f>
        <v>0</v>
      </c>
      <c r="CJ1071" s="238"/>
      <c r="CK1071" s="238"/>
      <c r="CL1071" s="238"/>
      <c r="CM1071" s="238"/>
      <c r="CN1071" s="238"/>
      <c r="CO1071" s="239"/>
      <c r="CP1071" s="237">
        <f>COUNTIFS('Form Details'!$W:$W,"Reject",'Form Details'!$J:$J,$C1071,'Form Details'!$D:$D,'Adv. Filter'!$A$14,'Form Details'!$D:$D,'Adv. Filter'!$B$14)</f>
        <v>0</v>
      </c>
      <c r="CQ1071" s="238"/>
      <c r="CR1071" s="238"/>
      <c r="CS1071" s="238"/>
      <c r="CT1071" s="238"/>
      <c r="CU1071" s="238"/>
      <c r="CV1071" s="239"/>
      <c r="CW1071" s="237">
        <f>COUNTIFS('Form Details'!$W:$W,"Adv/Paid/Pending",'Form Details'!$J:$J,$C1071,'Form Details'!$D:$D,'Adv. Filter'!$A$14,'Form Details'!$D:$D,'Adv. Filter'!$B$14)</f>
        <v>0</v>
      </c>
      <c r="CX1071" s="238"/>
      <c r="CY1071" s="238"/>
      <c r="CZ1071" s="238"/>
      <c r="DA1071" s="238"/>
      <c r="DB1071" s="238"/>
      <c r="DC1071" s="239"/>
      <c r="DD1071" s="237">
        <f>COUNTIFS('Form Details'!$W:$W,"Pending",'Form Details'!$J:$J,$C1071,'Form Details'!$D:$D,'Adv. Filter'!$A$14,'Form Details'!$D:$D,'Adv. Filter'!$B$14)</f>
        <v>0</v>
      </c>
      <c r="DE1071" s="238"/>
      <c r="DF1071" s="238"/>
      <c r="DG1071" s="238"/>
      <c r="DH1071" s="238"/>
      <c r="DI1071" s="238"/>
      <c r="DJ1071" s="239"/>
      <c r="DK1071" s="237">
        <f>COUNTIFS('Form Details'!$W:$W,"Adv/Paid/NoStatus",'Form Details'!$J:$J,$C1071,'Form Details'!$D:$D,'Adv. Filter'!$A$14,'Form Details'!$D:$D,'Adv. Filter'!$B$14)</f>
        <v>0</v>
      </c>
      <c r="DL1071" s="238"/>
      <c r="DM1071" s="238"/>
      <c r="DN1071" s="238"/>
      <c r="DO1071" s="238"/>
      <c r="DP1071" s="238"/>
      <c r="DQ1071" s="239"/>
      <c r="DR1071" s="237">
        <f>COUNTIFS('Form Details'!$W:$W,"No Status",'Form Details'!$J:$J,$C1071,'Form Details'!$D:$D,'Adv. Filter'!$A$14,'Form Details'!$D:$D,'Adv. Filter'!$B$14)</f>
        <v>0</v>
      </c>
      <c r="DS1071" s="238"/>
      <c r="DT1071" s="238"/>
      <c r="DU1071" s="238"/>
      <c r="DV1071" s="238"/>
      <c r="DW1071" s="238"/>
      <c r="DX1071" s="239"/>
      <c r="DY1071" s="237">
        <f>SUM(COUNTIFS('Form Details'!$W:$W,{"Wrong Entry ","Double Entry"},'Form Details'!$J:$J,$C1071,'Form Details'!$D:$D,'Adv. Filter'!$A$14,'Form Details'!$D:$D,'Adv. Filter'!$B$14))</f>
        <v>0</v>
      </c>
      <c r="DZ1071" s="238"/>
      <c r="EA1071" s="238"/>
      <c r="EB1071" s="238"/>
      <c r="EC1071" s="238"/>
      <c r="ED1071" s="238"/>
      <c r="EE1071" s="239"/>
    </row>
    <row r="1072" spans="3:135" hidden="1">
      <c r="C1072" s="248" t="s">
        <v>92</v>
      </c>
      <c r="D1072" s="249"/>
      <c r="E1072" s="249"/>
      <c r="F1072" s="249"/>
      <c r="G1072" s="249"/>
      <c r="H1072" s="249"/>
      <c r="I1072" s="249"/>
      <c r="J1072" s="249"/>
      <c r="K1072" s="249"/>
      <c r="L1072" s="249"/>
      <c r="M1072" s="249"/>
      <c r="N1072" s="249"/>
      <c r="O1072" s="237">
        <f>SUM(COUNTIFS('Form Details'!$AA:$AA,{"Yes","No","-"},'Form Details'!$J:$J,$C1072,'Form Details'!$D:$D,'Adv. Filter'!$A$14,'Form Details'!$D:$D,'Adv. Filter'!$B$14))</f>
        <v>72</v>
      </c>
      <c r="P1072" s="238"/>
      <c r="Q1072" s="238"/>
      <c r="R1072" s="238"/>
      <c r="S1072" s="238"/>
      <c r="T1072" s="238"/>
      <c r="U1072" s="239"/>
      <c r="V1072" s="105"/>
      <c r="W1072" s="237">
        <f>COUNTIFS('Form Details'!$AA:$AA,"Yes",'Form Details'!$J:$J,$C1072,'Form Details'!$D:$D,'Adv. Filter'!$A$14,'Form Details'!$D:$D,'Adv. Filter'!$B$14)</f>
        <v>64</v>
      </c>
      <c r="X1072" s="238"/>
      <c r="Y1072" s="238"/>
      <c r="Z1072" s="238"/>
      <c r="AA1072" s="238"/>
      <c r="AB1072" s="238"/>
      <c r="AC1072" s="239"/>
      <c r="AD1072" s="237">
        <f>COUNTIFS('Form Details'!$W:$W,"Paid",'Form Details'!$J:$J,$C1072,'Form Details'!$D:$D,'Adv. Filter'!$A$14,'Form Details'!$D:$D,'Adv. Filter'!$B$14)</f>
        <v>48</v>
      </c>
      <c r="AE1072" s="238"/>
      <c r="AF1072" s="238"/>
      <c r="AG1072" s="238"/>
      <c r="AH1072" s="238"/>
      <c r="AI1072" s="238"/>
      <c r="AJ1072" s="239"/>
      <c r="AK1072" s="237">
        <f>COUNTIFS('Form Details'!$W:$W,"Due",'Form Details'!$J:$J,$C1072,'Form Details'!$D:$D,'Adv. Filter'!$A$14,'Form Details'!$D:$D,'Adv. Filter'!$B$14)</f>
        <v>16</v>
      </c>
      <c r="AL1072" s="238"/>
      <c r="AM1072" s="238"/>
      <c r="AN1072" s="238"/>
      <c r="AO1072" s="238"/>
      <c r="AP1072" s="238"/>
      <c r="AQ1072" s="239"/>
      <c r="AR1072" s="237">
        <f>COUNTIFS('Form Details'!$W:$W,"No Fee",'Form Details'!$J:$J,$C1072,'Form Details'!$D:$D,'Adv. Filter'!$A$14,'Form Details'!$D:$D,'Adv. Filter'!$B$14)</f>
        <v>0</v>
      </c>
      <c r="AS1072" s="238"/>
      <c r="AT1072" s="238"/>
      <c r="AU1072" s="238"/>
      <c r="AV1072" s="238"/>
      <c r="AW1072" s="238"/>
      <c r="AX1072" s="239"/>
      <c r="AY1072" s="237">
        <f>COUNTIFS('Form Details'!$W:$W,"Paid/Reject",'Form Details'!$J:$J,$C1072,'Form Details'!$D:$D,'Adv. Filter'!$A$14,'Form Details'!$D:$D,'Adv. Filter'!$B$14)</f>
        <v>0</v>
      </c>
      <c r="AZ1072" s="238"/>
      <c r="BA1072" s="238"/>
      <c r="BB1072" s="238"/>
      <c r="BC1072" s="238"/>
      <c r="BD1072" s="238"/>
      <c r="BE1072" s="239"/>
      <c r="BF1072" s="237">
        <f>COUNTIFS('Form Details'!$W:$W,"Staff",'Form Details'!$J:$J,$C1072,'Form Details'!$D:$D,'Adv. Filter'!$A$14,'Form Details'!$D:$D,'Adv. Filter'!$B$14)</f>
        <v>0</v>
      </c>
      <c r="BG1072" s="238"/>
      <c r="BH1072" s="238"/>
      <c r="BI1072" s="238"/>
      <c r="BJ1072" s="238"/>
      <c r="BK1072" s="238"/>
      <c r="BL1072" s="239"/>
      <c r="BM1072" s="237">
        <f>COUNTIFS('Form Details'!$W:$W,"File in Office",'Form Details'!$J:$J,$C1072,'Form Details'!$D:$D,'Adv. Filter'!$A$14,'Form Details'!$D:$D,'Adv. Filter'!$B$14)</f>
        <v>0</v>
      </c>
      <c r="BN1072" s="238"/>
      <c r="BO1072" s="238"/>
      <c r="BP1072" s="238"/>
      <c r="BQ1072" s="238"/>
      <c r="BR1072" s="238"/>
      <c r="BS1072" s="239"/>
      <c r="BT1072" s="105"/>
      <c r="BU1072" s="237">
        <f>COUNTIFS('Form Details'!$AA:$AA,"No",'Form Details'!$J:$J,$C1072,'Form Details'!$D:$D,'Adv. Filter'!$A$14,'Form Details'!$D:$D,'Adv. Filter'!$B$14)</f>
        <v>8</v>
      </c>
      <c r="BV1072" s="238"/>
      <c r="BW1072" s="238"/>
      <c r="BX1072" s="238"/>
      <c r="BY1072" s="238"/>
      <c r="BZ1072" s="238"/>
      <c r="CA1072" s="239"/>
      <c r="CB1072" s="237">
        <f>COUNTIFS('Form Details'!$W:$W,"Adv/Paid",'Form Details'!$J:$J,$C1072,'Form Details'!$D:$D,'Adv. Filter'!$A$14,'Form Details'!$D:$D,'Adv. Filter'!$B$14)</f>
        <v>0</v>
      </c>
      <c r="CC1072" s="238"/>
      <c r="CD1072" s="238"/>
      <c r="CE1072" s="238"/>
      <c r="CF1072" s="238"/>
      <c r="CG1072" s="238"/>
      <c r="CH1072" s="239"/>
      <c r="CI1072" s="237">
        <f>COUNTIFS('Form Details'!$W:$W,"Adv/Paid/Reject",'Form Details'!$J:$J,$C1072,'Form Details'!$D:$D,'Adv. Filter'!$A$14,'Form Details'!$D:$D,'Adv. Filter'!$B$14)</f>
        <v>0</v>
      </c>
      <c r="CJ1072" s="238"/>
      <c r="CK1072" s="238"/>
      <c r="CL1072" s="238"/>
      <c r="CM1072" s="238"/>
      <c r="CN1072" s="238"/>
      <c r="CO1072" s="239"/>
      <c r="CP1072" s="237">
        <f>COUNTIFS('Form Details'!$W:$W,"Reject",'Form Details'!$J:$J,$C1072,'Form Details'!$D:$D,'Adv. Filter'!$A$14,'Form Details'!$D:$D,'Adv. Filter'!$B$14)</f>
        <v>1</v>
      </c>
      <c r="CQ1072" s="238"/>
      <c r="CR1072" s="238"/>
      <c r="CS1072" s="238"/>
      <c r="CT1072" s="238"/>
      <c r="CU1072" s="238"/>
      <c r="CV1072" s="239"/>
      <c r="CW1072" s="237">
        <f>COUNTIFS('Form Details'!$W:$W,"Adv/Paid/Pending",'Form Details'!$J:$J,$C1072,'Form Details'!$D:$D,'Adv. Filter'!$A$14,'Form Details'!$D:$D,'Adv. Filter'!$B$14)</f>
        <v>0</v>
      </c>
      <c r="CX1072" s="238"/>
      <c r="CY1072" s="238"/>
      <c r="CZ1072" s="238"/>
      <c r="DA1072" s="238"/>
      <c r="DB1072" s="238"/>
      <c r="DC1072" s="239"/>
      <c r="DD1072" s="237">
        <f>COUNTIFS('Form Details'!$W:$W,"Pending",'Form Details'!$J:$J,$C1072,'Form Details'!$D:$D,'Adv. Filter'!$A$14,'Form Details'!$D:$D,'Adv. Filter'!$B$14)</f>
        <v>0</v>
      </c>
      <c r="DE1072" s="238"/>
      <c r="DF1072" s="238"/>
      <c r="DG1072" s="238"/>
      <c r="DH1072" s="238"/>
      <c r="DI1072" s="238"/>
      <c r="DJ1072" s="239"/>
      <c r="DK1072" s="237">
        <f>COUNTIFS('Form Details'!$W:$W,"Adv/Paid/NoStatus",'Form Details'!$J:$J,$C1072,'Form Details'!$D:$D,'Adv. Filter'!$A$14,'Form Details'!$D:$D,'Adv. Filter'!$B$14)</f>
        <v>0</v>
      </c>
      <c r="DL1072" s="238"/>
      <c r="DM1072" s="238"/>
      <c r="DN1072" s="238"/>
      <c r="DO1072" s="238"/>
      <c r="DP1072" s="238"/>
      <c r="DQ1072" s="239"/>
      <c r="DR1072" s="237">
        <f>COUNTIFS('Form Details'!$W:$W,"No Status",'Form Details'!$J:$J,$C1072,'Form Details'!$D:$D,'Adv. Filter'!$A$14,'Form Details'!$D:$D,'Adv. Filter'!$B$14)</f>
        <v>6</v>
      </c>
      <c r="DS1072" s="238"/>
      <c r="DT1072" s="238"/>
      <c r="DU1072" s="238"/>
      <c r="DV1072" s="238"/>
      <c r="DW1072" s="238"/>
      <c r="DX1072" s="239"/>
      <c r="DY1072" s="237">
        <f>SUM(COUNTIFS('Form Details'!$W:$W,{"Wrong Entry ","Double Entry"},'Form Details'!$J:$J,$C1072,'Form Details'!$D:$D,'Adv. Filter'!$A$14,'Form Details'!$D:$D,'Adv. Filter'!$B$14))</f>
        <v>1</v>
      </c>
      <c r="DZ1072" s="238"/>
      <c r="EA1072" s="238"/>
      <c r="EB1072" s="238"/>
      <c r="EC1072" s="238"/>
      <c r="ED1072" s="238"/>
      <c r="EE1072" s="239"/>
    </row>
    <row r="1073" spans="3:135" hidden="1">
      <c r="C1073" s="248" t="s">
        <v>97</v>
      </c>
      <c r="D1073" s="249"/>
      <c r="E1073" s="249"/>
      <c r="F1073" s="249"/>
      <c r="G1073" s="249"/>
      <c r="H1073" s="249"/>
      <c r="I1073" s="249"/>
      <c r="J1073" s="249"/>
      <c r="K1073" s="249"/>
      <c r="L1073" s="249"/>
      <c r="M1073" s="249"/>
      <c r="N1073" s="249"/>
      <c r="O1073" s="237">
        <f>SUM(COUNTIFS('Form Details'!$AA:$AA,{"Yes","No","-"},'Form Details'!$J:$J,$C1073,'Form Details'!$D:$D,'Adv. Filter'!$A$14,'Form Details'!$D:$D,'Adv. Filter'!$B$14))</f>
        <v>2</v>
      </c>
      <c r="P1073" s="238"/>
      <c r="Q1073" s="238"/>
      <c r="R1073" s="238"/>
      <c r="S1073" s="238"/>
      <c r="T1073" s="238"/>
      <c r="U1073" s="239"/>
      <c r="V1073" s="105"/>
      <c r="W1073" s="237">
        <f>COUNTIFS('Form Details'!$AA:$AA,"Yes",'Form Details'!$J:$J,$C1073,'Form Details'!$D:$D,'Adv. Filter'!$A$14,'Form Details'!$D:$D,'Adv. Filter'!$B$14)</f>
        <v>2</v>
      </c>
      <c r="X1073" s="238"/>
      <c r="Y1073" s="238"/>
      <c r="Z1073" s="238"/>
      <c r="AA1073" s="238"/>
      <c r="AB1073" s="238"/>
      <c r="AC1073" s="239"/>
      <c r="AD1073" s="237">
        <f>COUNTIFS('Form Details'!$W:$W,"Paid",'Form Details'!$J:$J,$C1073,'Form Details'!$D:$D,'Adv. Filter'!$A$14,'Form Details'!$D:$D,'Adv. Filter'!$B$14)</f>
        <v>1</v>
      </c>
      <c r="AE1073" s="238"/>
      <c r="AF1073" s="238"/>
      <c r="AG1073" s="238"/>
      <c r="AH1073" s="238"/>
      <c r="AI1073" s="238"/>
      <c r="AJ1073" s="239"/>
      <c r="AK1073" s="237">
        <f>COUNTIFS('Form Details'!$W:$W,"Due",'Form Details'!$J:$J,$C1073,'Form Details'!$D:$D,'Adv. Filter'!$A$14,'Form Details'!$D:$D,'Adv. Filter'!$B$14)</f>
        <v>1</v>
      </c>
      <c r="AL1073" s="238"/>
      <c r="AM1073" s="238"/>
      <c r="AN1073" s="238"/>
      <c r="AO1073" s="238"/>
      <c r="AP1073" s="238"/>
      <c r="AQ1073" s="239"/>
      <c r="AR1073" s="237">
        <f>COUNTIFS('Form Details'!$W:$W,"No Fee",'Form Details'!$J:$J,$C1073,'Form Details'!$D:$D,'Adv. Filter'!$A$14,'Form Details'!$D:$D,'Adv. Filter'!$B$14)</f>
        <v>0</v>
      </c>
      <c r="AS1073" s="238"/>
      <c r="AT1073" s="238"/>
      <c r="AU1073" s="238"/>
      <c r="AV1073" s="238"/>
      <c r="AW1073" s="238"/>
      <c r="AX1073" s="239"/>
      <c r="AY1073" s="237">
        <f>COUNTIFS('Form Details'!$W:$W,"Paid/Reject",'Form Details'!$J:$J,$C1073,'Form Details'!$D:$D,'Adv. Filter'!$A$14,'Form Details'!$D:$D,'Adv. Filter'!$B$14)</f>
        <v>0</v>
      </c>
      <c r="AZ1073" s="238"/>
      <c r="BA1073" s="238"/>
      <c r="BB1073" s="238"/>
      <c r="BC1073" s="238"/>
      <c r="BD1073" s="238"/>
      <c r="BE1073" s="239"/>
      <c r="BF1073" s="237">
        <f>COUNTIFS('Form Details'!$W:$W,"Staff",'Form Details'!$J:$J,$C1073,'Form Details'!$D:$D,'Adv. Filter'!$A$14,'Form Details'!$D:$D,'Adv. Filter'!$B$14)</f>
        <v>0</v>
      </c>
      <c r="BG1073" s="238"/>
      <c r="BH1073" s="238"/>
      <c r="BI1073" s="238"/>
      <c r="BJ1073" s="238"/>
      <c r="BK1073" s="238"/>
      <c r="BL1073" s="239"/>
      <c r="BM1073" s="237">
        <f>COUNTIFS('Form Details'!$W:$W,"File in Office",'Form Details'!$J:$J,$C1073,'Form Details'!$D:$D,'Adv. Filter'!$A$14,'Form Details'!$D:$D,'Adv. Filter'!$B$14)</f>
        <v>0</v>
      </c>
      <c r="BN1073" s="238"/>
      <c r="BO1073" s="238"/>
      <c r="BP1073" s="238"/>
      <c r="BQ1073" s="238"/>
      <c r="BR1073" s="238"/>
      <c r="BS1073" s="239"/>
      <c r="BT1073" s="105"/>
      <c r="BU1073" s="237">
        <f>COUNTIFS('Form Details'!$AA:$AA,"No",'Form Details'!$J:$J,$C1073,'Form Details'!$D:$D,'Adv. Filter'!$A$14,'Form Details'!$D:$D,'Adv. Filter'!$B$14)</f>
        <v>0</v>
      </c>
      <c r="BV1073" s="238"/>
      <c r="BW1073" s="238"/>
      <c r="BX1073" s="238"/>
      <c r="BY1073" s="238"/>
      <c r="BZ1073" s="238"/>
      <c r="CA1073" s="239"/>
      <c r="CB1073" s="237">
        <f>COUNTIFS('Form Details'!$W:$W,"Adv/Paid",'Form Details'!$J:$J,$C1073,'Form Details'!$D:$D,'Adv. Filter'!$A$14,'Form Details'!$D:$D,'Adv. Filter'!$B$14)</f>
        <v>0</v>
      </c>
      <c r="CC1073" s="238"/>
      <c r="CD1073" s="238"/>
      <c r="CE1073" s="238"/>
      <c r="CF1073" s="238"/>
      <c r="CG1073" s="238"/>
      <c r="CH1073" s="239"/>
      <c r="CI1073" s="237">
        <f>COUNTIFS('Form Details'!$W:$W,"Adv/Paid/Reject",'Form Details'!$J:$J,$C1073,'Form Details'!$D:$D,'Adv. Filter'!$A$14,'Form Details'!$D:$D,'Adv. Filter'!$B$14)</f>
        <v>0</v>
      </c>
      <c r="CJ1073" s="238"/>
      <c r="CK1073" s="238"/>
      <c r="CL1073" s="238"/>
      <c r="CM1073" s="238"/>
      <c r="CN1073" s="238"/>
      <c r="CO1073" s="239"/>
      <c r="CP1073" s="237">
        <f>COUNTIFS('Form Details'!$W:$W,"Reject",'Form Details'!$J:$J,$C1073,'Form Details'!$D:$D,'Adv. Filter'!$A$14,'Form Details'!$D:$D,'Adv. Filter'!$B$14)</f>
        <v>0</v>
      </c>
      <c r="CQ1073" s="238"/>
      <c r="CR1073" s="238"/>
      <c r="CS1073" s="238"/>
      <c r="CT1073" s="238"/>
      <c r="CU1073" s="238"/>
      <c r="CV1073" s="239"/>
      <c r="CW1073" s="237">
        <f>COUNTIFS('Form Details'!$W:$W,"Adv/Paid/Pending",'Form Details'!$J:$J,$C1073,'Form Details'!$D:$D,'Adv. Filter'!$A$14,'Form Details'!$D:$D,'Adv. Filter'!$B$14)</f>
        <v>0</v>
      </c>
      <c r="CX1073" s="238"/>
      <c r="CY1073" s="238"/>
      <c r="CZ1073" s="238"/>
      <c r="DA1073" s="238"/>
      <c r="DB1073" s="238"/>
      <c r="DC1073" s="239"/>
      <c r="DD1073" s="237">
        <f>COUNTIFS('Form Details'!$W:$W,"Pending",'Form Details'!$J:$J,$C1073,'Form Details'!$D:$D,'Adv. Filter'!$A$14,'Form Details'!$D:$D,'Adv. Filter'!$B$14)</f>
        <v>0</v>
      </c>
      <c r="DE1073" s="238"/>
      <c r="DF1073" s="238"/>
      <c r="DG1073" s="238"/>
      <c r="DH1073" s="238"/>
      <c r="DI1073" s="238"/>
      <c r="DJ1073" s="239"/>
      <c r="DK1073" s="237">
        <f>COUNTIFS('Form Details'!$W:$W,"Adv/Paid/NoStatus",'Form Details'!$J:$J,$C1073,'Form Details'!$D:$D,'Adv. Filter'!$A$14,'Form Details'!$D:$D,'Adv. Filter'!$B$14)</f>
        <v>0</v>
      </c>
      <c r="DL1073" s="238"/>
      <c r="DM1073" s="238"/>
      <c r="DN1073" s="238"/>
      <c r="DO1073" s="238"/>
      <c r="DP1073" s="238"/>
      <c r="DQ1073" s="239"/>
      <c r="DR1073" s="237">
        <f>COUNTIFS('Form Details'!$W:$W,"No Status",'Form Details'!$J:$J,$C1073,'Form Details'!$D:$D,'Adv. Filter'!$A$14,'Form Details'!$D:$D,'Adv. Filter'!$B$14)</f>
        <v>0</v>
      </c>
      <c r="DS1073" s="238"/>
      <c r="DT1073" s="238"/>
      <c r="DU1073" s="238"/>
      <c r="DV1073" s="238"/>
      <c r="DW1073" s="238"/>
      <c r="DX1073" s="239"/>
      <c r="DY1073" s="237">
        <f>SUM(COUNTIFS('Form Details'!$W:$W,{"Wrong Entry ","Double Entry"},'Form Details'!$J:$J,$C1073,'Form Details'!$D:$D,'Adv. Filter'!$A$14,'Form Details'!$D:$D,'Adv. Filter'!$B$14))</f>
        <v>0</v>
      </c>
      <c r="DZ1073" s="238"/>
      <c r="EA1073" s="238"/>
      <c r="EB1073" s="238"/>
      <c r="EC1073" s="238"/>
      <c r="ED1073" s="238"/>
      <c r="EE1073" s="239"/>
    </row>
    <row r="1074" spans="3:135" hidden="1">
      <c r="C1074" s="248" t="s">
        <v>102</v>
      </c>
      <c r="D1074" s="249"/>
      <c r="E1074" s="249"/>
      <c r="F1074" s="249"/>
      <c r="G1074" s="249"/>
      <c r="H1074" s="249"/>
      <c r="I1074" s="249"/>
      <c r="J1074" s="249"/>
      <c r="K1074" s="249"/>
      <c r="L1074" s="249"/>
      <c r="M1074" s="249"/>
      <c r="N1074" s="249"/>
      <c r="O1074" s="237">
        <f>SUM(COUNTIFS('Form Details'!$AA:$AA,{"Yes","No","-"},'Form Details'!$J:$J,$C1074,'Form Details'!$D:$D,'Adv. Filter'!$A$14,'Form Details'!$D:$D,'Adv. Filter'!$B$14))</f>
        <v>199</v>
      </c>
      <c r="P1074" s="238"/>
      <c r="Q1074" s="238"/>
      <c r="R1074" s="238"/>
      <c r="S1074" s="238"/>
      <c r="T1074" s="238"/>
      <c r="U1074" s="239"/>
      <c r="V1074" s="105"/>
      <c r="W1074" s="237">
        <f>COUNTIFS('Form Details'!$AA:$AA,"Yes",'Form Details'!$J:$J,$C1074,'Form Details'!$D:$D,'Adv. Filter'!$A$14,'Form Details'!$D:$D,'Adv. Filter'!$B$14)</f>
        <v>132</v>
      </c>
      <c r="X1074" s="238"/>
      <c r="Y1074" s="238"/>
      <c r="Z1074" s="238"/>
      <c r="AA1074" s="238"/>
      <c r="AB1074" s="238"/>
      <c r="AC1074" s="239"/>
      <c r="AD1074" s="237">
        <f>COUNTIFS('Form Details'!$W:$W,"Paid",'Form Details'!$J:$J,$C1074,'Form Details'!$D:$D,'Adv. Filter'!$A$14,'Form Details'!$D:$D,'Adv. Filter'!$B$14)</f>
        <v>100</v>
      </c>
      <c r="AE1074" s="238"/>
      <c r="AF1074" s="238"/>
      <c r="AG1074" s="238"/>
      <c r="AH1074" s="238"/>
      <c r="AI1074" s="238"/>
      <c r="AJ1074" s="239"/>
      <c r="AK1074" s="237">
        <f>COUNTIFS('Form Details'!$W:$W,"Due",'Form Details'!$J:$J,$C1074,'Form Details'!$D:$D,'Adv. Filter'!$A$14,'Form Details'!$D:$D,'Adv. Filter'!$B$14)</f>
        <v>32</v>
      </c>
      <c r="AL1074" s="238"/>
      <c r="AM1074" s="238"/>
      <c r="AN1074" s="238"/>
      <c r="AO1074" s="238"/>
      <c r="AP1074" s="238"/>
      <c r="AQ1074" s="239"/>
      <c r="AR1074" s="237">
        <f>COUNTIFS('Form Details'!$W:$W,"No Fee",'Form Details'!$J:$J,$C1074,'Form Details'!$D:$D,'Adv. Filter'!$A$14,'Form Details'!$D:$D,'Adv. Filter'!$B$14)</f>
        <v>0</v>
      </c>
      <c r="AS1074" s="238"/>
      <c r="AT1074" s="238"/>
      <c r="AU1074" s="238"/>
      <c r="AV1074" s="238"/>
      <c r="AW1074" s="238"/>
      <c r="AX1074" s="239"/>
      <c r="AY1074" s="237">
        <f>COUNTIFS('Form Details'!$W:$W,"Paid/Reject",'Form Details'!$J:$J,$C1074,'Form Details'!$D:$D,'Adv. Filter'!$A$14,'Form Details'!$D:$D,'Adv. Filter'!$B$14)</f>
        <v>0</v>
      </c>
      <c r="AZ1074" s="238"/>
      <c r="BA1074" s="238"/>
      <c r="BB1074" s="238"/>
      <c r="BC1074" s="238"/>
      <c r="BD1074" s="238"/>
      <c r="BE1074" s="239"/>
      <c r="BF1074" s="237">
        <f>COUNTIFS('Form Details'!$W:$W,"Staff",'Form Details'!$J:$J,$C1074,'Form Details'!$D:$D,'Adv. Filter'!$A$14,'Form Details'!$D:$D,'Adv. Filter'!$B$14)</f>
        <v>0</v>
      </c>
      <c r="BG1074" s="238"/>
      <c r="BH1074" s="238"/>
      <c r="BI1074" s="238"/>
      <c r="BJ1074" s="238"/>
      <c r="BK1074" s="238"/>
      <c r="BL1074" s="239"/>
      <c r="BM1074" s="237">
        <f>COUNTIFS('Form Details'!$W:$W,"File in Office",'Form Details'!$J:$J,$C1074,'Form Details'!$D:$D,'Adv. Filter'!$A$14,'Form Details'!$D:$D,'Adv. Filter'!$B$14)</f>
        <v>0</v>
      </c>
      <c r="BN1074" s="238"/>
      <c r="BO1074" s="238"/>
      <c r="BP1074" s="238"/>
      <c r="BQ1074" s="238"/>
      <c r="BR1074" s="238"/>
      <c r="BS1074" s="239"/>
      <c r="BT1074" s="105"/>
      <c r="BU1074" s="237">
        <f>COUNTIFS('Form Details'!$AA:$AA,"No",'Form Details'!$J:$J,$C1074,'Form Details'!$D:$D,'Adv. Filter'!$A$14,'Form Details'!$D:$D,'Adv. Filter'!$B$14)</f>
        <v>65</v>
      </c>
      <c r="BV1074" s="238"/>
      <c r="BW1074" s="238"/>
      <c r="BX1074" s="238"/>
      <c r="BY1074" s="238"/>
      <c r="BZ1074" s="238"/>
      <c r="CA1074" s="239"/>
      <c r="CB1074" s="237">
        <f>COUNTIFS('Form Details'!$W:$W,"Adv/Paid",'Form Details'!$J:$J,$C1074,'Form Details'!$D:$D,'Adv. Filter'!$A$14,'Form Details'!$D:$D,'Adv. Filter'!$B$14)</f>
        <v>22</v>
      </c>
      <c r="CC1074" s="238"/>
      <c r="CD1074" s="238"/>
      <c r="CE1074" s="238"/>
      <c r="CF1074" s="238"/>
      <c r="CG1074" s="238"/>
      <c r="CH1074" s="239"/>
      <c r="CI1074" s="237">
        <f>COUNTIFS('Form Details'!$W:$W,"Adv/Paid/Reject",'Form Details'!$J:$J,$C1074,'Form Details'!$D:$D,'Adv. Filter'!$A$14,'Form Details'!$D:$D,'Adv. Filter'!$B$14)</f>
        <v>2</v>
      </c>
      <c r="CJ1074" s="238"/>
      <c r="CK1074" s="238"/>
      <c r="CL1074" s="238"/>
      <c r="CM1074" s="238"/>
      <c r="CN1074" s="238"/>
      <c r="CO1074" s="239"/>
      <c r="CP1074" s="237">
        <f>COUNTIFS('Form Details'!$W:$W,"Reject",'Form Details'!$J:$J,$C1074,'Form Details'!$D:$D,'Adv. Filter'!$A$14,'Form Details'!$D:$D,'Adv. Filter'!$B$14)</f>
        <v>4</v>
      </c>
      <c r="CQ1074" s="238"/>
      <c r="CR1074" s="238"/>
      <c r="CS1074" s="238"/>
      <c r="CT1074" s="238"/>
      <c r="CU1074" s="238"/>
      <c r="CV1074" s="239"/>
      <c r="CW1074" s="237">
        <f>COUNTIFS('Form Details'!$W:$W,"Adv/Paid/Pending",'Form Details'!$J:$J,$C1074,'Form Details'!$D:$D,'Adv. Filter'!$A$14,'Form Details'!$D:$D,'Adv. Filter'!$B$14)</f>
        <v>1</v>
      </c>
      <c r="CX1074" s="238"/>
      <c r="CY1074" s="238"/>
      <c r="CZ1074" s="238"/>
      <c r="DA1074" s="238"/>
      <c r="DB1074" s="238"/>
      <c r="DC1074" s="239"/>
      <c r="DD1074" s="237">
        <f>COUNTIFS('Form Details'!$W:$W,"Pending",'Form Details'!$J:$J,$C1074,'Form Details'!$D:$D,'Adv. Filter'!$A$14,'Form Details'!$D:$D,'Adv. Filter'!$B$14)</f>
        <v>1</v>
      </c>
      <c r="DE1074" s="238"/>
      <c r="DF1074" s="238"/>
      <c r="DG1074" s="238"/>
      <c r="DH1074" s="238"/>
      <c r="DI1074" s="238"/>
      <c r="DJ1074" s="239"/>
      <c r="DK1074" s="237">
        <f>COUNTIFS('Form Details'!$W:$W,"Adv/Paid/NoStatus",'Form Details'!$J:$J,$C1074,'Form Details'!$D:$D,'Adv. Filter'!$A$14,'Form Details'!$D:$D,'Adv. Filter'!$B$14)</f>
        <v>3</v>
      </c>
      <c r="DL1074" s="238"/>
      <c r="DM1074" s="238"/>
      <c r="DN1074" s="238"/>
      <c r="DO1074" s="238"/>
      <c r="DP1074" s="238"/>
      <c r="DQ1074" s="239"/>
      <c r="DR1074" s="237">
        <f>COUNTIFS('Form Details'!$W:$W,"No Status",'Form Details'!$J:$J,$C1074,'Form Details'!$D:$D,'Adv. Filter'!$A$14,'Form Details'!$D:$D,'Adv. Filter'!$B$14)</f>
        <v>30</v>
      </c>
      <c r="DS1074" s="238"/>
      <c r="DT1074" s="238"/>
      <c r="DU1074" s="238"/>
      <c r="DV1074" s="238"/>
      <c r="DW1074" s="238"/>
      <c r="DX1074" s="239"/>
      <c r="DY1074" s="237">
        <f>SUM(COUNTIFS('Form Details'!$W:$W,{"Wrong Entry ","Double Entry"},'Form Details'!$J:$J,$C1074,'Form Details'!$D:$D,'Adv. Filter'!$A$14,'Form Details'!$D:$D,'Adv. Filter'!$B$14))</f>
        <v>1</v>
      </c>
      <c r="DZ1074" s="238"/>
      <c r="EA1074" s="238"/>
      <c r="EB1074" s="238"/>
      <c r="EC1074" s="238"/>
      <c r="ED1074" s="238"/>
      <c r="EE1074" s="239"/>
    </row>
    <row r="1075" spans="3:135" ht="15.75" hidden="1" thickBot="1">
      <c r="C1075" s="248" t="s">
        <v>108</v>
      </c>
      <c r="D1075" s="249"/>
      <c r="E1075" s="249"/>
      <c r="F1075" s="249"/>
      <c r="G1075" s="249"/>
      <c r="H1075" s="249"/>
      <c r="I1075" s="249"/>
      <c r="J1075" s="249"/>
      <c r="K1075" s="249"/>
      <c r="L1075" s="249"/>
      <c r="M1075" s="249"/>
      <c r="N1075" s="249"/>
      <c r="O1075" s="240">
        <f>SUM(COUNTIFS('Form Details'!$AA:$AA,{"Yes","No","-"},'Form Details'!$J:$J,$C1075,'Form Details'!$D:$D,'Adv. Filter'!$A$14,'Form Details'!$D:$D,'Adv. Filter'!$B$14))</f>
        <v>116</v>
      </c>
      <c r="P1075" s="241"/>
      <c r="Q1075" s="241"/>
      <c r="R1075" s="241"/>
      <c r="S1075" s="241"/>
      <c r="T1075" s="241"/>
      <c r="U1075" s="242"/>
      <c r="V1075" s="105"/>
      <c r="W1075" s="240">
        <f>COUNTIFS('Form Details'!$AA:$AA,"Yes",'Form Details'!$J:$J,$C1075,'Form Details'!$D:$D,'Adv. Filter'!$A$14,'Form Details'!$D:$D,'Adv. Filter'!$B$14)</f>
        <v>90</v>
      </c>
      <c r="X1075" s="241"/>
      <c r="Y1075" s="241"/>
      <c r="Z1075" s="241"/>
      <c r="AA1075" s="241"/>
      <c r="AB1075" s="241"/>
      <c r="AC1075" s="242"/>
      <c r="AD1075" s="240">
        <f>COUNTIFS('Form Details'!$W:$W,"Paid",'Form Details'!$J:$J,$C1075,'Form Details'!$D:$D,'Adv. Filter'!$A$14,'Form Details'!$D:$D,'Adv. Filter'!$B$14)</f>
        <v>46</v>
      </c>
      <c r="AE1075" s="241"/>
      <c r="AF1075" s="241"/>
      <c r="AG1075" s="241"/>
      <c r="AH1075" s="241"/>
      <c r="AI1075" s="241"/>
      <c r="AJ1075" s="242"/>
      <c r="AK1075" s="240">
        <f>COUNTIFS('Form Details'!$W:$W,"Due",'Form Details'!$J:$J,$C1075,'Form Details'!$D:$D,'Adv. Filter'!$A$14,'Form Details'!$D:$D,'Adv. Filter'!$B$14)</f>
        <v>44</v>
      </c>
      <c r="AL1075" s="241"/>
      <c r="AM1075" s="241"/>
      <c r="AN1075" s="241"/>
      <c r="AO1075" s="241"/>
      <c r="AP1075" s="241"/>
      <c r="AQ1075" s="242"/>
      <c r="AR1075" s="240">
        <f>COUNTIFS('Form Details'!$W:$W,"No Fee",'Form Details'!$J:$J,$C1075,'Form Details'!$D:$D,'Adv. Filter'!$A$14,'Form Details'!$D:$D,'Adv. Filter'!$B$14)</f>
        <v>0</v>
      </c>
      <c r="AS1075" s="241"/>
      <c r="AT1075" s="241"/>
      <c r="AU1075" s="241"/>
      <c r="AV1075" s="241"/>
      <c r="AW1075" s="241"/>
      <c r="AX1075" s="242"/>
      <c r="AY1075" s="240">
        <f>COUNTIFS('Form Details'!$W:$W,"Paid/Reject",'Form Details'!$J:$J,$C1075,'Form Details'!$D:$D,'Adv. Filter'!$A$14,'Form Details'!$D:$D,'Adv. Filter'!$B$14)</f>
        <v>0</v>
      </c>
      <c r="AZ1075" s="241"/>
      <c r="BA1075" s="241"/>
      <c r="BB1075" s="241"/>
      <c r="BC1075" s="241"/>
      <c r="BD1075" s="241"/>
      <c r="BE1075" s="242"/>
      <c r="BF1075" s="240">
        <f>COUNTIFS('Form Details'!$W:$W,"Staff",'Form Details'!$J:$J,$C1075,'Form Details'!$D:$D,'Adv. Filter'!$A$14,'Form Details'!$D:$D,'Adv. Filter'!$B$14)</f>
        <v>0</v>
      </c>
      <c r="BG1075" s="241"/>
      <c r="BH1075" s="241"/>
      <c r="BI1075" s="241"/>
      <c r="BJ1075" s="241"/>
      <c r="BK1075" s="241"/>
      <c r="BL1075" s="242"/>
      <c r="BM1075" s="240">
        <f>COUNTIFS('Form Details'!$W:$W,"File in Office",'Form Details'!$J:$J,$C1075,'Form Details'!$D:$D,'Adv. Filter'!$A$14,'Form Details'!$D:$D,'Adv. Filter'!$B$14)</f>
        <v>0</v>
      </c>
      <c r="BN1075" s="241"/>
      <c r="BO1075" s="241"/>
      <c r="BP1075" s="241"/>
      <c r="BQ1075" s="241"/>
      <c r="BR1075" s="241"/>
      <c r="BS1075" s="242"/>
      <c r="BT1075" s="105"/>
      <c r="BU1075" s="240">
        <f>COUNTIFS('Form Details'!$AA:$AA,"No",'Form Details'!$J:$J,$C1075,'Form Details'!$D:$D,'Adv. Filter'!$A$14,'Form Details'!$D:$D,'Adv. Filter'!$B$14)</f>
        <v>0</v>
      </c>
      <c r="BV1075" s="241"/>
      <c r="BW1075" s="241"/>
      <c r="BX1075" s="241"/>
      <c r="BY1075" s="241"/>
      <c r="BZ1075" s="241"/>
      <c r="CA1075" s="242"/>
      <c r="CB1075" s="240">
        <f>COUNTIFS('Form Details'!$W:$W,"Adv/Paid",'Form Details'!$J:$J,$C1075,'Form Details'!$D:$D,'Adv. Filter'!$A$14,'Form Details'!$D:$D,'Adv. Filter'!$B$14)</f>
        <v>0</v>
      </c>
      <c r="CC1075" s="241"/>
      <c r="CD1075" s="241"/>
      <c r="CE1075" s="241"/>
      <c r="CF1075" s="241"/>
      <c r="CG1075" s="241"/>
      <c r="CH1075" s="242"/>
      <c r="CI1075" s="240">
        <f>COUNTIFS('Form Details'!$W:$W,"Adv/Paid/Reject",'Form Details'!$J:$J,$C1075,'Form Details'!$D:$D,'Adv. Filter'!$A$14,'Form Details'!$D:$D,'Adv. Filter'!$B$14)</f>
        <v>0</v>
      </c>
      <c r="CJ1075" s="241"/>
      <c r="CK1075" s="241"/>
      <c r="CL1075" s="241"/>
      <c r="CM1075" s="241"/>
      <c r="CN1075" s="241"/>
      <c r="CO1075" s="242"/>
      <c r="CP1075" s="240">
        <f>COUNTIFS('Form Details'!$W:$W,"Reject",'Form Details'!$J:$J,$C1075,'Form Details'!$D:$D,'Adv. Filter'!$A$14,'Form Details'!$D:$D,'Adv. Filter'!$B$14)</f>
        <v>0</v>
      </c>
      <c r="CQ1075" s="241"/>
      <c r="CR1075" s="241"/>
      <c r="CS1075" s="241"/>
      <c r="CT1075" s="241"/>
      <c r="CU1075" s="241"/>
      <c r="CV1075" s="242"/>
      <c r="CW1075" s="240">
        <f>COUNTIFS('Form Details'!$W:$W,"Adv/Paid/Pending",'Form Details'!$J:$J,$C1075,'Form Details'!$D:$D,'Adv. Filter'!$A$14,'Form Details'!$D:$D,'Adv. Filter'!$B$14)</f>
        <v>0</v>
      </c>
      <c r="CX1075" s="241"/>
      <c r="CY1075" s="241"/>
      <c r="CZ1075" s="241"/>
      <c r="DA1075" s="241"/>
      <c r="DB1075" s="241"/>
      <c r="DC1075" s="242"/>
      <c r="DD1075" s="240">
        <f>COUNTIFS('Form Details'!$W:$W,"Pending",'Form Details'!$J:$J,$C1075,'Form Details'!$D:$D,'Adv. Filter'!$A$14,'Form Details'!$D:$D,'Adv. Filter'!$B$14)</f>
        <v>0</v>
      </c>
      <c r="DE1075" s="241"/>
      <c r="DF1075" s="241"/>
      <c r="DG1075" s="241"/>
      <c r="DH1075" s="241"/>
      <c r="DI1075" s="241"/>
      <c r="DJ1075" s="242"/>
      <c r="DK1075" s="240">
        <f>COUNTIFS('Form Details'!$W:$W,"Adv/Paid/NoStatus",'Form Details'!$J:$J,$C1075,'Form Details'!$D:$D,'Adv. Filter'!$A$14,'Form Details'!$D:$D,'Adv. Filter'!$B$14)</f>
        <v>0</v>
      </c>
      <c r="DL1075" s="241"/>
      <c r="DM1075" s="241"/>
      <c r="DN1075" s="241"/>
      <c r="DO1075" s="241"/>
      <c r="DP1075" s="241"/>
      <c r="DQ1075" s="242"/>
      <c r="DR1075" s="240">
        <f>COUNTIFS('Form Details'!$W:$W,"No Status",'Form Details'!$J:$J,$C1075,'Form Details'!$D:$D,'Adv. Filter'!$A$14,'Form Details'!$D:$D,'Adv. Filter'!$B$14)</f>
        <v>0</v>
      </c>
      <c r="DS1075" s="241"/>
      <c r="DT1075" s="241"/>
      <c r="DU1075" s="241"/>
      <c r="DV1075" s="241"/>
      <c r="DW1075" s="241"/>
      <c r="DX1075" s="242"/>
      <c r="DY1075" s="240">
        <f>SUM(COUNTIFS('Form Details'!$W:$W,{"Wrong Entry ","Double Entry"},'Form Details'!$J:$J,$C1075,'Form Details'!$D:$D,'Adv. Filter'!$A$14,'Form Details'!$D:$D,'Adv. Filter'!$B$14))</f>
        <v>0</v>
      </c>
      <c r="DZ1075" s="241"/>
      <c r="EA1075" s="241"/>
      <c r="EB1075" s="241"/>
      <c r="EC1075" s="241"/>
      <c r="ED1075" s="241"/>
      <c r="EE1075" s="242"/>
    </row>
    <row r="1076" spans="3:135" ht="15.75" hidden="1" thickTop="1">
      <c r="C1076" s="246" t="s">
        <v>503</v>
      </c>
      <c r="D1076" s="247"/>
      <c r="E1076" s="247"/>
      <c r="F1076" s="247"/>
      <c r="G1076" s="247"/>
      <c r="H1076" s="247"/>
      <c r="I1076" s="247"/>
      <c r="J1076" s="247"/>
      <c r="K1076" s="247"/>
      <c r="L1076" s="247"/>
      <c r="M1076" s="247"/>
      <c r="N1076" s="247"/>
      <c r="O1076" s="243">
        <f>SUM(O1059:U1075)</f>
        <v>1300</v>
      </c>
      <c r="P1076" s="244"/>
      <c r="Q1076" s="244"/>
      <c r="R1076" s="244"/>
      <c r="S1076" s="244"/>
      <c r="T1076" s="244"/>
      <c r="U1076" s="244"/>
      <c r="V1076" s="106"/>
      <c r="W1076" s="243">
        <f>SUM(W1059:AC1075)</f>
        <v>1079</v>
      </c>
      <c r="X1076" s="244"/>
      <c r="Y1076" s="244"/>
      <c r="Z1076" s="244"/>
      <c r="AA1076" s="244"/>
      <c r="AB1076" s="244"/>
      <c r="AC1076" s="244"/>
      <c r="AD1076" s="243">
        <f>SUM(AD1059:AJ1075)</f>
        <v>608</v>
      </c>
      <c r="AE1076" s="244"/>
      <c r="AF1076" s="244"/>
      <c r="AG1076" s="244"/>
      <c r="AH1076" s="244"/>
      <c r="AI1076" s="244"/>
      <c r="AJ1076" s="244"/>
      <c r="AK1076" s="243">
        <f>SUM(AK1059:AQ1075)</f>
        <v>467</v>
      </c>
      <c r="AL1076" s="244"/>
      <c r="AM1076" s="244"/>
      <c r="AN1076" s="244"/>
      <c r="AO1076" s="244"/>
      <c r="AP1076" s="244"/>
      <c r="AQ1076" s="244"/>
      <c r="AR1076" s="243">
        <f>SUM(AR1059:AX1075)</f>
        <v>0</v>
      </c>
      <c r="AS1076" s="244"/>
      <c r="AT1076" s="244"/>
      <c r="AU1076" s="244"/>
      <c r="AV1076" s="244"/>
      <c r="AW1076" s="244"/>
      <c r="AX1076" s="244"/>
      <c r="AY1076" s="243">
        <f>SUM(AY1059:BE1075)</f>
        <v>1</v>
      </c>
      <c r="AZ1076" s="244"/>
      <c r="BA1076" s="244"/>
      <c r="BB1076" s="244"/>
      <c r="BC1076" s="244"/>
      <c r="BD1076" s="244"/>
      <c r="BE1076" s="244"/>
      <c r="BF1076" s="243">
        <f>SUM(BF1059:BL1075)</f>
        <v>0</v>
      </c>
      <c r="BG1076" s="244"/>
      <c r="BH1076" s="244"/>
      <c r="BI1076" s="244"/>
      <c r="BJ1076" s="244"/>
      <c r="BK1076" s="244"/>
      <c r="BL1076" s="244"/>
      <c r="BM1076" s="243">
        <f>SUM(BM1059:BS1075)</f>
        <v>4</v>
      </c>
      <c r="BN1076" s="244"/>
      <c r="BO1076" s="244"/>
      <c r="BP1076" s="244"/>
      <c r="BQ1076" s="244"/>
      <c r="BR1076" s="244"/>
      <c r="BS1076" s="244"/>
      <c r="BT1076" s="106"/>
      <c r="BU1076" s="243">
        <f>SUM(BU1059:CA1075)</f>
        <v>192</v>
      </c>
      <c r="BV1076" s="244"/>
      <c r="BW1076" s="244"/>
      <c r="BX1076" s="244"/>
      <c r="BY1076" s="244"/>
      <c r="BZ1076" s="244"/>
      <c r="CA1076" s="244"/>
      <c r="CB1076" s="243">
        <f>SUM(CB1059:CH1075)</f>
        <v>39</v>
      </c>
      <c r="CC1076" s="244"/>
      <c r="CD1076" s="244"/>
      <c r="CE1076" s="244"/>
      <c r="CF1076" s="244"/>
      <c r="CG1076" s="244"/>
      <c r="CH1076" s="244"/>
      <c r="CI1076" s="243">
        <f>SUM(CI1059:CO1075)</f>
        <v>2</v>
      </c>
      <c r="CJ1076" s="244"/>
      <c r="CK1076" s="244"/>
      <c r="CL1076" s="244"/>
      <c r="CM1076" s="244"/>
      <c r="CN1076" s="244"/>
      <c r="CO1076" s="244"/>
      <c r="CP1076" s="243">
        <f>SUM(CP1059:CV1075)</f>
        <v>14</v>
      </c>
      <c r="CQ1076" s="244"/>
      <c r="CR1076" s="244"/>
      <c r="CS1076" s="244"/>
      <c r="CT1076" s="244"/>
      <c r="CU1076" s="244"/>
      <c r="CV1076" s="244"/>
      <c r="CW1076" s="243">
        <f>SUM(CW1059:DC1075)</f>
        <v>3</v>
      </c>
      <c r="CX1076" s="244"/>
      <c r="CY1076" s="244"/>
      <c r="CZ1076" s="244"/>
      <c r="DA1076" s="244"/>
      <c r="DB1076" s="244"/>
      <c r="DC1076" s="244"/>
      <c r="DD1076" s="243">
        <f>SUM(DD1059:DJ1075)</f>
        <v>9</v>
      </c>
      <c r="DE1076" s="244"/>
      <c r="DF1076" s="244"/>
      <c r="DG1076" s="244"/>
      <c r="DH1076" s="244"/>
      <c r="DI1076" s="244"/>
      <c r="DJ1076" s="244"/>
      <c r="DK1076" s="243">
        <f>SUM(DK1059:DQ1075)</f>
        <v>6</v>
      </c>
      <c r="DL1076" s="244"/>
      <c r="DM1076" s="244"/>
      <c r="DN1076" s="244"/>
      <c r="DO1076" s="244"/>
      <c r="DP1076" s="244"/>
      <c r="DQ1076" s="244"/>
      <c r="DR1076" s="243">
        <f>SUM(DR1059:DX1075)</f>
        <v>104</v>
      </c>
      <c r="DS1076" s="244"/>
      <c r="DT1076" s="244"/>
      <c r="DU1076" s="244"/>
      <c r="DV1076" s="244"/>
      <c r="DW1076" s="244"/>
      <c r="DX1076" s="244"/>
      <c r="DY1076" s="243">
        <f>SUM(DY1059:EE1075)</f>
        <v>13</v>
      </c>
      <c r="DZ1076" s="244"/>
      <c r="EA1076" s="244"/>
      <c r="EB1076" s="244"/>
      <c r="EC1076" s="244"/>
      <c r="ED1076" s="244"/>
      <c r="EE1076" s="244"/>
    </row>
    <row r="1077" spans="3:135" hidden="1">
      <c r="C1077" s="105"/>
      <c r="E1077" s="105"/>
      <c r="F1077" s="105"/>
      <c r="G1077" s="105"/>
      <c r="H1077" s="105"/>
      <c r="I1077" s="105"/>
      <c r="J1077" s="105"/>
      <c r="K1077" s="105"/>
      <c r="L1077" s="105"/>
      <c r="M1077" s="105"/>
      <c r="N1077" s="105"/>
      <c r="O1077" s="105"/>
      <c r="P1077" s="105"/>
      <c r="Q1077" s="105"/>
      <c r="R1077" s="105"/>
      <c r="S1077" s="105"/>
      <c r="T1077" s="105"/>
      <c r="U1077" s="105"/>
      <c r="V1077" s="105"/>
      <c r="W1077" s="105"/>
      <c r="X1077" s="105"/>
      <c r="Y1077" s="105"/>
      <c r="Z1077" s="105"/>
      <c r="AA1077" s="105"/>
      <c r="AB1077" s="105"/>
      <c r="AC1077" s="105"/>
      <c r="AD1077" s="105"/>
      <c r="AE1077" s="105"/>
      <c r="AF1077" s="105"/>
      <c r="AG1077" s="105"/>
      <c r="AH1077" s="105"/>
      <c r="AI1077" s="105"/>
      <c r="AJ1077" s="105"/>
      <c r="AK1077" s="105"/>
      <c r="AL1077" s="105"/>
      <c r="AM1077" s="105"/>
      <c r="AN1077" s="105"/>
      <c r="AO1077" s="105"/>
      <c r="AP1077" s="105"/>
      <c r="AQ1077" s="105"/>
      <c r="AR1077" s="105"/>
      <c r="AS1077" s="105"/>
      <c r="AT1077" s="105"/>
      <c r="AU1077" s="105"/>
      <c r="AV1077" s="105"/>
      <c r="AW1077" s="105"/>
      <c r="AX1077" s="105"/>
      <c r="AY1077" s="105"/>
      <c r="AZ1077" s="105"/>
      <c r="BA1077" s="105"/>
      <c r="BB1077" s="105"/>
      <c r="BC1077" s="105"/>
      <c r="BD1077" s="105"/>
      <c r="BE1077" s="105"/>
      <c r="BF1077" s="105"/>
      <c r="BG1077" s="105"/>
      <c r="BH1077" s="105"/>
      <c r="BI1077" s="105"/>
      <c r="BJ1077" s="105"/>
      <c r="BK1077" s="105"/>
      <c r="BL1077" s="105"/>
      <c r="BM1077" s="105"/>
      <c r="BN1077" s="105"/>
      <c r="BO1077" s="105"/>
      <c r="BP1077" s="105"/>
      <c r="BQ1077" s="105"/>
      <c r="BR1077" s="105"/>
      <c r="BS1077" s="105"/>
      <c r="BT1077" s="105"/>
      <c r="BU1077" s="105"/>
      <c r="BV1077" s="105"/>
      <c r="BW1077" s="105"/>
      <c r="BX1077" s="105"/>
      <c r="BY1077" s="105"/>
      <c r="BZ1077" s="105"/>
      <c r="CA1077" s="105"/>
      <c r="CB1077" s="105"/>
      <c r="CC1077" s="105"/>
      <c r="CD1077" s="105"/>
      <c r="CE1077" s="105"/>
      <c r="CF1077" s="105"/>
      <c r="CG1077" s="105"/>
      <c r="CH1077" s="105"/>
      <c r="CI1077" s="105"/>
      <c r="CJ1077" s="105"/>
      <c r="CK1077" s="105"/>
      <c r="CL1077" s="105"/>
      <c r="CM1077" s="105"/>
      <c r="CN1077" s="105"/>
      <c r="CO1077" s="105"/>
      <c r="CP1077" s="105"/>
      <c r="CQ1077" s="105"/>
      <c r="CR1077" s="105"/>
      <c r="CS1077" s="105"/>
      <c r="CT1077" s="105"/>
      <c r="CU1077" s="105"/>
      <c r="CV1077" s="105"/>
      <c r="CW1077" s="105"/>
      <c r="CX1077" s="105"/>
      <c r="CY1077" s="105"/>
      <c r="CZ1077" s="105"/>
      <c r="DA1077" s="105"/>
      <c r="DB1077" s="105"/>
      <c r="DC1077" s="105"/>
      <c r="DD1077" s="105"/>
      <c r="DE1077" s="105"/>
      <c r="DF1077" s="105"/>
      <c r="DG1077" s="105"/>
      <c r="DH1077" s="105"/>
      <c r="DI1077" s="105"/>
      <c r="DJ1077" s="105"/>
      <c r="DK1077" s="105"/>
      <c r="DL1077" s="105"/>
      <c r="DM1077" s="105"/>
      <c r="DN1077" s="105"/>
      <c r="DO1077" s="105"/>
      <c r="DP1077" s="105"/>
      <c r="DQ1077" s="105"/>
      <c r="DR1077" s="105"/>
      <c r="DS1077" s="105"/>
      <c r="DT1077" s="105"/>
      <c r="DU1077" s="105"/>
      <c r="DV1077" s="105"/>
      <c r="DW1077" s="105"/>
      <c r="DX1077" s="105"/>
      <c r="DY1077" s="105"/>
      <c r="DZ1077" s="105"/>
      <c r="EA1077" s="105"/>
      <c r="EB1077" s="105"/>
      <c r="EC1077" s="105"/>
      <c r="ED1077" s="105"/>
      <c r="EE1077" s="105"/>
    </row>
    <row r="1078" spans="3:135" ht="15.75" hidden="1">
      <c r="C1078" s="452" t="str">
        <f>CONCATENATE("PREVIOUS FORMS   ",TEXT('Adv. Filter'!$A$15,"( up to  DD-MMM-YY )"))</f>
        <v>PREVIOUS FORMS   ( up to  01-Jan-17 )</v>
      </c>
      <c r="D1078" s="452"/>
      <c r="E1078" s="452"/>
      <c r="F1078" s="452"/>
      <c r="G1078" s="452"/>
      <c r="H1078" s="452"/>
      <c r="I1078" s="452"/>
      <c r="J1078" s="452"/>
      <c r="K1078" s="452"/>
      <c r="L1078" s="452"/>
      <c r="M1078" s="452"/>
      <c r="N1078" s="452"/>
      <c r="O1078" s="452"/>
      <c r="P1078" s="452"/>
      <c r="Q1078" s="452"/>
      <c r="R1078" s="452"/>
      <c r="S1078" s="452"/>
      <c r="T1078" s="452"/>
      <c r="U1078" s="452"/>
      <c r="V1078" s="452"/>
      <c r="W1078" s="452"/>
      <c r="X1078" s="452"/>
      <c r="Y1078" s="452"/>
      <c r="Z1078" s="452"/>
      <c r="AA1078" s="452"/>
      <c r="AB1078" s="452"/>
      <c r="AC1078" s="452"/>
      <c r="AD1078" s="452"/>
      <c r="AE1078" s="452"/>
      <c r="AF1078" s="452"/>
      <c r="AG1078" s="452"/>
      <c r="AH1078" s="452"/>
      <c r="AI1078" s="452"/>
      <c r="AJ1078" s="452"/>
      <c r="AK1078" s="452"/>
      <c r="AL1078" s="452"/>
      <c r="AM1078" s="452"/>
      <c r="AN1078" s="452"/>
      <c r="AO1078" s="452"/>
      <c r="AP1078" s="452"/>
      <c r="AQ1078" s="452"/>
      <c r="AR1078" s="452"/>
      <c r="AS1078" s="452"/>
      <c r="AT1078" s="452"/>
      <c r="AU1078" s="452"/>
      <c r="AV1078" s="452"/>
      <c r="AW1078" s="452"/>
      <c r="AX1078" s="452"/>
      <c r="AY1078" s="452"/>
      <c r="AZ1078" s="452"/>
      <c r="BA1078" s="452"/>
      <c r="BB1078" s="452"/>
      <c r="BC1078" s="452"/>
      <c r="BD1078" s="452"/>
      <c r="BE1078" s="452"/>
      <c r="BF1078" s="452"/>
      <c r="BG1078" s="452"/>
      <c r="BH1078" s="452"/>
      <c r="BI1078" s="452"/>
      <c r="BJ1078" s="452"/>
      <c r="BK1078" s="452"/>
      <c r="BL1078" s="452"/>
      <c r="BM1078" s="452"/>
      <c r="BN1078" s="452"/>
      <c r="BO1078" s="452"/>
      <c r="BP1078" s="452"/>
      <c r="BQ1078" s="452"/>
      <c r="BR1078" s="452"/>
      <c r="BS1078" s="452"/>
      <c r="BT1078" s="452"/>
      <c r="BU1078" s="452"/>
      <c r="BV1078" s="452"/>
      <c r="BW1078" s="452"/>
      <c r="BX1078" s="452"/>
      <c r="BY1078" s="452"/>
      <c r="BZ1078" s="452"/>
      <c r="CA1078" s="452"/>
      <c r="CB1078" s="452"/>
      <c r="CC1078" s="452"/>
      <c r="CD1078" s="452"/>
      <c r="CE1078" s="452"/>
      <c r="CF1078" s="452"/>
      <c r="CG1078" s="452"/>
      <c r="CH1078" s="452"/>
      <c r="CI1078" s="452"/>
      <c r="CJ1078" s="452"/>
      <c r="CK1078" s="452"/>
      <c r="CL1078" s="452"/>
      <c r="CM1078" s="452"/>
      <c r="CN1078" s="452"/>
      <c r="CO1078" s="452"/>
      <c r="CP1078" s="452"/>
      <c r="CQ1078" s="452"/>
      <c r="CR1078" s="452"/>
      <c r="CS1078" s="452"/>
      <c r="CT1078" s="452"/>
      <c r="CU1078" s="452"/>
      <c r="CV1078" s="452"/>
      <c r="CW1078" s="452"/>
      <c r="CX1078" s="452"/>
      <c r="CY1078" s="452"/>
      <c r="CZ1078" s="452"/>
      <c r="DA1078" s="452"/>
      <c r="DB1078" s="452"/>
      <c r="DC1078" s="452"/>
      <c r="DD1078" s="452"/>
      <c r="DE1078" s="452"/>
      <c r="DF1078" s="452"/>
      <c r="DG1078" s="452"/>
      <c r="DH1078" s="452"/>
      <c r="DI1078" s="452"/>
      <c r="DJ1078" s="452"/>
      <c r="DK1078" s="452"/>
      <c r="DL1078" s="452"/>
      <c r="DM1078" s="452"/>
      <c r="DN1078" s="452"/>
      <c r="DO1078" s="452"/>
      <c r="DP1078" s="452"/>
      <c r="DQ1078" s="452"/>
      <c r="DR1078" s="452"/>
      <c r="DS1078" s="452"/>
      <c r="DT1078" s="452"/>
      <c r="DU1078" s="452"/>
      <c r="DV1078" s="452"/>
      <c r="DW1078" s="452"/>
      <c r="DX1078" s="452"/>
      <c r="DY1078" s="452"/>
      <c r="DZ1078" s="452"/>
      <c r="EA1078" s="452"/>
      <c r="EB1078" s="452"/>
      <c r="EC1078" s="452"/>
      <c r="ED1078" s="452"/>
      <c r="EE1078" s="452"/>
    </row>
    <row r="1079" spans="3:135" hidden="1">
      <c r="C1079" s="478" t="s">
        <v>513</v>
      </c>
      <c r="D1079" s="478"/>
      <c r="E1079" s="478"/>
      <c r="F1079" s="478"/>
      <c r="G1079" s="478"/>
      <c r="H1079" s="478"/>
      <c r="I1079" s="478"/>
      <c r="J1079" s="478"/>
      <c r="K1079" s="478"/>
      <c r="L1079" s="478"/>
      <c r="M1079" s="478"/>
      <c r="N1079" s="478"/>
      <c r="O1079" s="209" t="s">
        <v>117</v>
      </c>
      <c r="P1079" s="209"/>
      <c r="Q1079" s="209"/>
      <c r="R1079" s="209"/>
      <c r="S1079" s="209"/>
      <c r="T1079" s="209"/>
      <c r="U1079" s="209"/>
      <c r="V1079" s="105"/>
      <c r="W1079" s="231" t="s">
        <v>511</v>
      </c>
      <c r="X1079" s="232"/>
      <c r="Y1079" s="232"/>
      <c r="Z1079" s="232"/>
      <c r="AA1079" s="232"/>
      <c r="AB1079" s="232"/>
      <c r="AC1079" s="232"/>
      <c r="AD1079" s="232"/>
      <c r="AE1079" s="232"/>
      <c r="AF1079" s="232"/>
      <c r="AG1079" s="232"/>
      <c r="AH1079" s="232"/>
      <c r="AI1079" s="232"/>
      <c r="AJ1079" s="232"/>
      <c r="AK1079" s="232"/>
      <c r="AL1079" s="232"/>
      <c r="AM1079" s="232"/>
      <c r="AN1079" s="232"/>
      <c r="AO1079" s="232"/>
      <c r="AP1079" s="232"/>
      <c r="AQ1079" s="232"/>
      <c r="AR1079" s="232"/>
      <c r="AS1079" s="232"/>
      <c r="AT1079" s="232"/>
      <c r="AU1079" s="232"/>
      <c r="AV1079" s="232"/>
      <c r="AW1079" s="232"/>
      <c r="AX1079" s="232"/>
      <c r="AY1079" s="232"/>
      <c r="AZ1079" s="232"/>
      <c r="BA1079" s="232"/>
      <c r="BB1079" s="232"/>
      <c r="BC1079" s="232"/>
      <c r="BD1079" s="232"/>
      <c r="BE1079" s="232"/>
      <c r="BF1079" s="232"/>
      <c r="BG1079" s="232"/>
      <c r="BH1079" s="232"/>
      <c r="BI1079" s="232"/>
      <c r="BJ1079" s="232"/>
      <c r="BK1079" s="232"/>
      <c r="BL1079" s="232"/>
      <c r="BM1079" s="232"/>
      <c r="BN1079" s="232"/>
      <c r="BO1079" s="232"/>
      <c r="BP1079" s="232"/>
      <c r="BQ1079" s="232"/>
      <c r="BR1079" s="232"/>
      <c r="BS1079" s="233"/>
      <c r="BT1079" s="105"/>
      <c r="BU1079" s="231" t="s">
        <v>571</v>
      </c>
      <c r="BV1079" s="232"/>
      <c r="BW1079" s="232"/>
      <c r="BX1079" s="232"/>
      <c r="BY1079" s="232"/>
      <c r="BZ1079" s="232"/>
      <c r="CA1079" s="232"/>
      <c r="CB1079" s="232"/>
      <c r="CC1079" s="232"/>
      <c r="CD1079" s="232"/>
      <c r="CE1079" s="232"/>
      <c r="CF1079" s="232"/>
      <c r="CG1079" s="232"/>
      <c r="CH1079" s="232"/>
      <c r="CI1079" s="232"/>
      <c r="CJ1079" s="232"/>
      <c r="CK1079" s="232"/>
      <c r="CL1079" s="232"/>
      <c r="CM1079" s="232"/>
      <c r="CN1079" s="232"/>
      <c r="CO1079" s="232"/>
      <c r="CP1079" s="232"/>
      <c r="CQ1079" s="232"/>
      <c r="CR1079" s="232"/>
      <c r="CS1079" s="232"/>
      <c r="CT1079" s="232"/>
      <c r="CU1079" s="232"/>
      <c r="CV1079" s="232"/>
      <c r="CW1079" s="232"/>
      <c r="CX1079" s="232"/>
      <c r="CY1079" s="232"/>
      <c r="CZ1079" s="232"/>
      <c r="DA1079" s="232"/>
      <c r="DB1079" s="232"/>
      <c r="DC1079" s="232"/>
      <c r="DD1079" s="232"/>
      <c r="DE1079" s="232"/>
      <c r="DF1079" s="232"/>
      <c r="DG1079" s="232"/>
      <c r="DH1079" s="232"/>
      <c r="DI1079" s="232"/>
      <c r="DJ1079" s="232"/>
      <c r="DK1079" s="232"/>
      <c r="DL1079" s="232"/>
      <c r="DM1079" s="232"/>
      <c r="DN1079" s="232"/>
      <c r="DO1079" s="232"/>
      <c r="DP1079" s="232"/>
      <c r="DQ1079" s="232"/>
      <c r="DR1079" s="232"/>
      <c r="DS1079" s="232"/>
      <c r="DT1079" s="232"/>
      <c r="DU1079" s="232"/>
      <c r="DV1079" s="232"/>
      <c r="DW1079" s="232"/>
      <c r="DX1079" s="232"/>
      <c r="DY1079" s="232"/>
      <c r="DZ1079" s="232"/>
      <c r="EA1079" s="232"/>
      <c r="EB1079" s="232"/>
      <c r="EC1079" s="232"/>
      <c r="ED1079" s="232"/>
      <c r="EE1079" s="233"/>
    </row>
    <row r="1080" spans="3:135" hidden="1">
      <c r="C1080" s="478"/>
      <c r="D1080" s="478"/>
      <c r="E1080" s="478"/>
      <c r="F1080" s="478"/>
      <c r="G1080" s="478"/>
      <c r="H1080" s="478"/>
      <c r="I1080" s="478"/>
      <c r="J1080" s="478"/>
      <c r="K1080" s="478"/>
      <c r="L1080" s="478"/>
      <c r="M1080" s="478"/>
      <c r="N1080" s="478"/>
      <c r="O1080" s="208" t="s">
        <v>569</v>
      </c>
      <c r="P1080" s="208"/>
      <c r="Q1080" s="208"/>
      <c r="R1080" s="208"/>
      <c r="S1080" s="208"/>
      <c r="T1080" s="208"/>
      <c r="U1080" s="208"/>
      <c r="V1080" s="105"/>
      <c r="W1080" s="208" t="s">
        <v>511</v>
      </c>
      <c r="X1080" s="208"/>
      <c r="Y1080" s="208"/>
      <c r="Z1080" s="208"/>
      <c r="AA1080" s="208"/>
      <c r="AB1080" s="208"/>
      <c r="AC1080" s="208"/>
      <c r="AD1080" s="245" t="s">
        <v>493</v>
      </c>
      <c r="AE1080" s="208"/>
      <c r="AF1080" s="208"/>
      <c r="AG1080" s="208"/>
      <c r="AH1080" s="208"/>
      <c r="AI1080" s="208"/>
      <c r="AJ1080" s="208"/>
      <c r="AK1080" s="208" t="s">
        <v>485</v>
      </c>
      <c r="AL1080" s="208"/>
      <c r="AM1080" s="208"/>
      <c r="AN1080" s="208"/>
      <c r="AO1080" s="208"/>
      <c r="AP1080" s="208"/>
      <c r="AQ1080" s="208"/>
      <c r="AR1080" s="208" t="s">
        <v>575</v>
      </c>
      <c r="AS1080" s="208"/>
      <c r="AT1080" s="208"/>
      <c r="AU1080" s="208"/>
      <c r="AV1080" s="208"/>
      <c r="AW1080" s="208"/>
      <c r="AX1080" s="208"/>
      <c r="AY1080" s="208" t="s">
        <v>568</v>
      </c>
      <c r="AZ1080" s="208"/>
      <c r="BA1080" s="208"/>
      <c r="BB1080" s="208"/>
      <c r="BC1080" s="208"/>
      <c r="BD1080" s="208"/>
      <c r="BE1080" s="208"/>
      <c r="BF1080" s="208" t="s">
        <v>492</v>
      </c>
      <c r="BG1080" s="208"/>
      <c r="BH1080" s="208"/>
      <c r="BI1080" s="208"/>
      <c r="BJ1080" s="208"/>
      <c r="BK1080" s="208"/>
      <c r="BL1080" s="208"/>
      <c r="BM1080" s="208" t="s">
        <v>567</v>
      </c>
      <c r="BN1080" s="208"/>
      <c r="BO1080" s="208"/>
      <c r="BP1080" s="208"/>
      <c r="BQ1080" s="208"/>
      <c r="BR1080" s="208"/>
      <c r="BS1080" s="208"/>
      <c r="BT1080" s="105"/>
      <c r="BU1080" s="208" t="s">
        <v>570</v>
      </c>
      <c r="BV1080" s="208"/>
      <c r="BW1080" s="208"/>
      <c r="BX1080" s="208"/>
      <c r="BY1080" s="208"/>
      <c r="BZ1080" s="208"/>
      <c r="CA1080" s="208"/>
      <c r="CB1080" s="208" t="s">
        <v>559</v>
      </c>
      <c r="CC1080" s="208"/>
      <c r="CD1080" s="208"/>
      <c r="CE1080" s="208"/>
      <c r="CF1080" s="208"/>
      <c r="CG1080" s="208"/>
      <c r="CH1080" s="208"/>
      <c r="CI1080" s="208" t="s">
        <v>560</v>
      </c>
      <c r="CJ1080" s="208"/>
      <c r="CK1080" s="208"/>
      <c r="CL1080" s="208"/>
      <c r="CM1080" s="208"/>
      <c r="CN1080" s="208"/>
      <c r="CO1080" s="208"/>
      <c r="CP1080" s="208" t="s">
        <v>561</v>
      </c>
      <c r="CQ1080" s="208"/>
      <c r="CR1080" s="208"/>
      <c r="CS1080" s="208"/>
      <c r="CT1080" s="208"/>
      <c r="CU1080" s="208"/>
      <c r="CV1080" s="208"/>
      <c r="CW1080" s="208" t="s">
        <v>562</v>
      </c>
      <c r="CX1080" s="208"/>
      <c r="CY1080" s="208"/>
      <c r="CZ1080" s="208"/>
      <c r="DA1080" s="208"/>
      <c r="DB1080" s="208"/>
      <c r="DC1080" s="208"/>
      <c r="DD1080" s="208" t="s">
        <v>563</v>
      </c>
      <c r="DE1080" s="208"/>
      <c r="DF1080" s="208"/>
      <c r="DG1080" s="208"/>
      <c r="DH1080" s="208"/>
      <c r="DI1080" s="208"/>
      <c r="DJ1080" s="208"/>
      <c r="DK1080" s="208" t="s">
        <v>564</v>
      </c>
      <c r="DL1080" s="208"/>
      <c r="DM1080" s="208"/>
      <c r="DN1080" s="208"/>
      <c r="DO1080" s="208"/>
      <c r="DP1080" s="208"/>
      <c r="DQ1080" s="208"/>
      <c r="DR1080" s="208" t="s">
        <v>565</v>
      </c>
      <c r="DS1080" s="208"/>
      <c r="DT1080" s="208"/>
      <c r="DU1080" s="208"/>
      <c r="DV1080" s="208"/>
      <c r="DW1080" s="208"/>
      <c r="DX1080" s="208"/>
      <c r="DY1080" s="208" t="s">
        <v>566</v>
      </c>
      <c r="DZ1080" s="208"/>
      <c r="EA1080" s="208"/>
      <c r="EB1080" s="208"/>
      <c r="EC1080" s="208"/>
      <c r="ED1080" s="208"/>
      <c r="EE1080" s="208"/>
    </row>
    <row r="1081" spans="3:135" hidden="1">
      <c r="C1081" s="248" t="s">
        <v>26</v>
      </c>
      <c r="D1081" s="249"/>
      <c r="E1081" s="249"/>
      <c r="F1081" s="249"/>
      <c r="G1081" s="249"/>
      <c r="H1081" s="249"/>
      <c r="I1081" s="249"/>
      <c r="J1081" s="249"/>
      <c r="K1081" s="249"/>
      <c r="L1081" s="249"/>
      <c r="M1081" s="249"/>
      <c r="N1081" s="249"/>
      <c r="O1081" s="237">
        <f>COUNTIFS('Form Details'!$D:$D,"&lt;"&amp;'Adv. Filter'!$A$15,'Form Details'!$J:$J,$C1081)</f>
        <v>0</v>
      </c>
      <c r="P1081" s="238"/>
      <c r="Q1081" s="238"/>
      <c r="R1081" s="238"/>
      <c r="S1081" s="238"/>
      <c r="T1081" s="238"/>
      <c r="U1081" s="239"/>
      <c r="V1081" s="105"/>
      <c r="W1081" s="237">
        <f>COUNTIFS('Form Details'!$D:$D,"&lt;"&amp;'Adv. Filter'!$A$15,'Form Details'!$J:$J,$C1081,'Form Details'!$AA:$AA,"Yes")</f>
        <v>0</v>
      </c>
      <c r="X1081" s="238"/>
      <c r="Y1081" s="238"/>
      <c r="Z1081" s="238"/>
      <c r="AA1081" s="238"/>
      <c r="AB1081" s="238"/>
      <c r="AC1081" s="239"/>
      <c r="AD1081" s="237">
        <f>COUNTIFS('Form Details'!$D:$D,"&lt;"&amp;'Adv. Filter'!$A$15,'Form Details'!$J:$J,$C1081,'Form Details'!$W:$W,"Paid",'Form Details'!$S:$S,'Adv. Filter'!$A$14,'Form Details'!$S:$S,'Adv. Filter'!$B$14)</f>
        <v>0</v>
      </c>
      <c r="AE1081" s="238"/>
      <c r="AF1081" s="238"/>
      <c r="AG1081" s="238"/>
      <c r="AH1081" s="238"/>
      <c r="AI1081" s="238"/>
      <c r="AJ1081" s="239"/>
      <c r="AK1081" s="237">
        <f>COUNTIFS('Form Details'!$D:$D,"&lt;"&amp;'Adv. Filter'!$A$15,'Form Details'!$J:$J,$C1081,'Form Details'!$W:$W,"Due")</f>
        <v>0</v>
      </c>
      <c r="AL1081" s="238"/>
      <c r="AM1081" s="238"/>
      <c r="AN1081" s="238"/>
      <c r="AO1081" s="238"/>
      <c r="AP1081" s="238"/>
      <c r="AQ1081" s="239"/>
      <c r="AR1081" s="234">
        <f>COUNTIFS('Form Details'!$D:$D,"&lt;"&amp;'Adv. Filter'!$A$15,'Form Details'!$J:$J,$C1081,'Form Details'!$W:$W,"No Fee")</f>
        <v>0</v>
      </c>
      <c r="AS1081" s="235"/>
      <c r="AT1081" s="235"/>
      <c r="AU1081" s="235"/>
      <c r="AV1081" s="235"/>
      <c r="AW1081" s="235"/>
      <c r="AX1081" s="236"/>
      <c r="AY1081" s="234">
        <f>COUNTIFS('Form Details'!$D:$D,"&lt;"&amp;'Adv. Filter'!$A$15,'Form Details'!$J:$J,$C1081,'Form Details'!$W:$W,"Paid/Reject")</f>
        <v>0</v>
      </c>
      <c r="AZ1081" s="235"/>
      <c r="BA1081" s="235"/>
      <c r="BB1081" s="235"/>
      <c r="BC1081" s="235"/>
      <c r="BD1081" s="235"/>
      <c r="BE1081" s="236"/>
      <c r="BF1081" s="234">
        <f>COUNTIFS('Form Details'!$D:$D,"&lt;"&amp;'Adv. Filter'!$A$15,'Form Details'!$J:$J,$C1081,'Form Details'!$W:$W,"Staff")</f>
        <v>0</v>
      </c>
      <c r="BG1081" s="235"/>
      <c r="BH1081" s="235"/>
      <c r="BI1081" s="235"/>
      <c r="BJ1081" s="235"/>
      <c r="BK1081" s="235"/>
      <c r="BL1081" s="236"/>
      <c r="BM1081" s="234">
        <f>COUNTIFS('Form Details'!$D:$D,"&lt;"&amp;'Adv. Filter'!$A$15,'Form Details'!$J:$J,$C1081,'Form Details'!$W:$W,"File In Office")</f>
        <v>0</v>
      </c>
      <c r="BN1081" s="235"/>
      <c r="BO1081" s="235"/>
      <c r="BP1081" s="235"/>
      <c r="BQ1081" s="235"/>
      <c r="BR1081" s="235"/>
      <c r="BS1081" s="236"/>
      <c r="BT1081" s="105"/>
      <c r="BU1081" s="234">
        <f>COUNTIFS('Form Details'!$D:$D,"&lt;"&amp;'Adv. Filter'!$A$15,'Form Details'!$J:$J,$C1081,'Form Details'!$AA:$AA,"No")</f>
        <v>0</v>
      </c>
      <c r="BV1081" s="235"/>
      <c r="BW1081" s="235"/>
      <c r="BX1081" s="235"/>
      <c r="BY1081" s="235"/>
      <c r="BZ1081" s="235"/>
      <c r="CA1081" s="236"/>
      <c r="CB1081" s="234">
        <f>COUNTIFS('Form Details'!$D:$D,"&lt;"&amp;'Adv. Filter'!$A$15,'Form Details'!$J:$J,$C1081,'Form Details'!$W:$W,"Adv/Paid")</f>
        <v>0</v>
      </c>
      <c r="CC1081" s="235"/>
      <c r="CD1081" s="235"/>
      <c r="CE1081" s="235"/>
      <c r="CF1081" s="235"/>
      <c r="CG1081" s="235"/>
      <c r="CH1081" s="236"/>
      <c r="CI1081" s="234">
        <f>COUNTIFS('Form Details'!$D:$D,"&lt;"&amp;'Adv. Filter'!$A$15,'Form Details'!$J:$J,$C1081,'Form Details'!$W:$W,"Adv/Paid/Reject")</f>
        <v>0</v>
      </c>
      <c r="CJ1081" s="235"/>
      <c r="CK1081" s="235"/>
      <c r="CL1081" s="235"/>
      <c r="CM1081" s="235"/>
      <c r="CN1081" s="235"/>
      <c r="CO1081" s="236"/>
      <c r="CP1081" s="234">
        <f>COUNTIFS('Form Details'!$D:$D,"&lt;"&amp;'Adv. Filter'!$A$15,'Form Details'!$J:$J,$C1081,'Form Details'!$W:$W,"Reject")</f>
        <v>0</v>
      </c>
      <c r="CQ1081" s="235"/>
      <c r="CR1081" s="235"/>
      <c r="CS1081" s="235"/>
      <c r="CT1081" s="235"/>
      <c r="CU1081" s="235"/>
      <c r="CV1081" s="236"/>
      <c r="CW1081" s="234">
        <f>COUNTIFS('Form Details'!$D:$D,"&lt;"&amp;'Adv. Filter'!$A$15,'Form Details'!$J:$J,$C1081,'Form Details'!$W:$W,"Adv/Paid/Pending")</f>
        <v>0</v>
      </c>
      <c r="CX1081" s="235"/>
      <c r="CY1081" s="235"/>
      <c r="CZ1081" s="235"/>
      <c r="DA1081" s="235"/>
      <c r="DB1081" s="235"/>
      <c r="DC1081" s="236"/>
      <c r="DD1081" s="234">
        <f>COUNTIFS('Form Details'!$D:$D,"&lt;"&amp;'Adv. Filter'!$A$15,'Form Details'!$J:$J,$C1081,'Form Details'!$W:$W,"Pending")</f>
        <v>0</v>
      </c>
      <c r="DE1081" s="235"/>
      <c r="DF1081" s="235"/>
      <c r="DG1081" s="235"/>
      <c r="DH1081" s="235"/>
      <c r="DI1081" s="235"/>
      <c r="DJ1081" s="236"/>
      <c r="DK1081" s="234">
        <f>COUNTIFS('Form Details'!$D:$D,"&lt;"&amp;'Adv. Filter'!$A$15,'Form Details'!$J:$J,$C1081,'Form Details'!$W:$W,"Adv/Paid/NoStatus")</f>
        <v>0</v>
      </c>
      <c r="DL1081" s="235"/>
      <c r="DM1081" s="235"/>
      <c r="DN1081" s="235"/>
      <c r="DO1081" s="235"/>
      <c r="DP1081" s="235"/>
      <c r="DQ1081" s="236"/>
      <c r="DR1081" s="234">
        <f>COUNTIFS('Form Details'!$D:$D,"&lt;"&amp;'Adv. Filter'!$A$15,'Form Details'!$J:$J,$C1081,'Form Details'!$W:$W,"No Status")</f>
        <v>0</v>
      </c>
      <c r="DS1081" s="235"/>
      <c r="DT1081" s="235"/>
      <c r="DU1081" s="235"/>
      <c r="DV1081" s="235"/>
      <c r="DW1081" s="235"/>
      <c r="DX1081" s="236"/>
      <c r="DY1081" s="234">
        <f>SUM(COUNTIFS('Form Details'!$D:$D,"&lt;"&amp;'Adv. Filter'!$A$15,'Form Details'!$J:$J,$C1081,'Form Details'!$W:$W,{"Wrong Entry ","Double Entry"}))</f>
        <v>0</v>
      </c>
      <c r="DZ1081" s="235"/>
      <c r="EA1081" s="235"/>
      <c r="EB1081" s="235"/>
      <c r="EC1081" s="235"/>
      <c r="ED1081" s="235"/>
      <c r="EE1081" s="236"/>
    </row>
    <row r="1082" spans="3:135" hidden="1">
      <c r="C1082" s="248" t="s">
        <v>38</v>
      </c>
      <c r="D1082" s="249"/>
      <c r="E1082" s="249"/>
      <c r="F1082" s="249"/>
      <c r="G1082" s="249"/>
      <c r="H1082" s="249"/>
      <c r="I1082" s="249"/>
      <c r="J1082" s="249"/>
      <c r="K1082" s="249"/>
      <c r="L1082" s="249"/>
      <c r="M1082" s="249"/>
      <c r="N1082" s="249"/>
      <c r="O1082" s="237">
        <f>COUNTIFS('Form Details'!$D:$D,"&lt;"&amp;'Adv. Filter'!$A$15,'Form Details'!$J:$J,$C1082)</f>
        <v>0</v>
      </c>
      <c r="P1082" s="238"/>
      <c r="Q1082" s="238"/>
      <c r="R1082" s="238"/>
      <c r="S1082" s="238"/>
      <c r="T1082" s="238"/>
      <c r="U1082" s="239"/>
      <c r="V1082" s="105"/>
      <c r="W1082" s="237">
        <f>COUNTIFS('Form Details'!$D:$D,"&lt;"&amp;'Adv. Filter'!$A$15,'Form Details'!$J:$J,$C1082,'Form Details'!$AA:$AA,"Yes")</f>
        <v>0</v>
      </c>
      <c r="X1082" s="238"/>
      <c r="Y1082" s="238"/>
      <c r="Z1082" s="238"/>
      <c r="AA1082" s="238"/>
      <c r="AB1082" s="238"/>
      <c r="AC1082" s="239"/>
      <c r="AD1082" s="237">
        <f>COUNTIFS('Form Details'!$D:$D,"&lt;"&amp;'Adv. Filter'!$A$15,'Form Details'!$J:$J,$C1082,'Form Details'!$W:$W,"Paid",'Form Details'!$S:$S,'Adv. Filter'!$A$14,'Form Details'!$S:$S,'Adv. Filter'!$B$14)</f>
        <v>0</v>
      </c>
      <c r="AE1082" s="238"/>
      <c r="AF1082" s="238"/>
      <c r="AG1082" s="238"/>
      <c r="AH1082" s="238"/>
      <c r="AI1082" s="238"/>
      <c r="AJ1082" s="239"/>
      <c r="AK1082" s="237">
        <f>COUNTIFS('Form Details'!$D:$D,"&lt;"&amp;'Adv. Filter'!$A$15,'Form Details'!$J:$J,$C1082,'Form Details'!$W:$W,"Due")</f>
        <v>0</v>
      </c>
      <c r="AL1082" s="238"/>
      <c r="AM1082" s="238"/>
      <c r="AN1082" s="238"/>
      <c r="AO1082" s="238"/>
      <c r="AP1082" s="238"/>
      <c r="AQ1082" s="239"/>
      <c r="AR1082" s="237">
        <f>COUNTIFS('Form Details'!$D:$D,"&lt;"&amp;'Adv. Filter'!$A$15,'Form Details'!$J:$J,$C1082,'Form Details'!$W:$W,"No Fee")</f>
        <v>0</v>
      </c>
      <c r="AS1082" s="238"/>
      <c r="AT1082" s="238"/>
      <c r="AU1082" s="238"/>
      <c r="AV1082" s="238"/>
      <c r="AW1082" s="238"/>
      <c r="AX1082" s="239"/>
      <c r="AY1082" s="237">
        <f>COUNTIFS('Form Details'!$D:$D,"&lt;"&amp;'Adv. Filter'!$A$15,'Form Details'!$J:$J,$C1082,'Form Details'!$W:$W,"Paid/Reject")</f>
        <v>0</v>
      </c>
      <c r="AZ1082" s="238"/>
      <c r="BA1082" s="238"/>
      <c r="BB1082" s="238"/>
      <c r="BC1082" s="238"/>
      <c r="BD1082" s="238"/>
      <c r="BE1082" s="239"/>
      <c r="BF1082" s="237">
        <f>COUNTIFS('Form Details'!$D:$D,"&lt;"&amp;'Adv. Filter'!$A$15,'Form Details'!$J:$J,$C1082,'Form Details'!$W:$W,"Staff")</f>
        <v>0</v>
      </c>
      <c r="BG1082" s="238"/>
      <c r="BH1082" s="238"/>
      <c r="BI1082" s="238"/>
      <c r="BJ1082" s="238"/>
      <c r="BK1082" s="238"/>
      <c r="BL1082" s="239"/>
      <c r="BM1082" s="237">
        <f>COUNTIFS('Form Details'!$D:$D,"&lt;"&amp;'Adv. Filter'!$A$15,'Form Details'!$J:$J,$C1082,'Form Details'!$W:$W,"File In Office")</f>
        <v>0</v>
      </c>
      <c r="BN1082" s="238"/>
      <c r="BO1082" s="238"/>
      <c r="BP1082" s="238"/>
      <c r="BQ1082" s="238"/>
      <c r="BR1082" s="238"/>
      <c r="BS1082" s="239"/>
      <c r="BT1082" s="105"/>
      <c r="BU1082" s="237">
        <f>COUNTIFS('Form Details'!$D:$D,"&lt;"&amp;'Adv. Filter'!$A$15,'Form Details'!$J:$J,$C1082,'Form Details'!$AA:$AA,"No")</f>
        <v>0</v>
      </c>
      <c r="BV1082" s="238"/>
      <c r="BW1082" s="238"/>
      <c r="BX1082" s="238"/>
      <c r="BY1082" s="238"/>
      <c r="BZ1082" s="238"/>
      <c r="CA1082" s="239"/>
      <c r="CB1082" s="237">
        <f>COUNTIFS('Form Details'!$D:$D,"&lt;"&amp;'Adv. Filter'!$A$15,'Form Details'!$J:$J,$C1082,'Form Details'!$W:$W,"Adv/Paid")</f>
        <v>0</v>
      </c>
      <c r="CC1082" s="238"/>
      <c r="CD1082" s="238"/>
      <c r="CE1082" s="238"/>
      <c r="CF1082" s="238"/>
      <c r="CG1082" s="238"/>
      <c r="CH1082" s="239"/>
      <c r="CI1082" s="237">
        <f>COUNTIFS('Form Details'!$D:$D,"&lt;"&amp;'Adv. Filter'!$A$15,'Form Details'!$J:$J,$C1082,'Form Details'!$W:$W,"Adv/Paid/Reject")</f>
        <v>0</v>
      </c>
      <c r="CJ1082" s="238"/>
      <c r="CK1082" s="238"/>
      <c r="CL1082" s="238"/>
      <c r="CM1082" s="238"/>
      <c r="CN1082" s="238"/>
      <c r="CO1082" s="239"/>
      <c r="CP1082" s="237">
        <f>COUNTIFS('Form Details'!$D:$D,"&lt;"&amp;'Adv. Filter'!$A$15,'Form Details'!$J:$J,$C1082,'Form Details'!$W:$W,"Reject")</f>
        <v>0</v>
      </c>
      <c r="CQ1082" s="238"/>
      <c r="CR1082" s="238"/>
      <c r="CS1082" s="238"/>
      <c r="CT1082" s="238"/>
      <c r="CU1082" s="238"/>
      <c r="CV1082" s="239"/>
      <c r="CW1082" s="237">
        <f>COUNTIFS('Form Details'!$D:$D,"&lt;"&amp;'Adv. Filter'!$A$15,'Form Details'!$J:$J,$C1082,'Form Details'!$W:$W,"Adv/Paid/Pending")</f>
        <v>0</v>
      </c>
      <c r="CX1082" s="238"/>
      <c r="CY1082" s="238"/>
      <c r="CZ1082" s="238"/>
      <c r="DA1082" s="238"/>
      <c r="DB1082" s="238"/>
      <c r="DC1082" s="239"/>
      <c r="DD1082" s="237">
        <f>COUNTIFS('Form Details'!$D:$D,"&lt;"&amp;'Adv. Filter'!$A$15,'Form Details'!$J:$J,$C1082,'Form Details'!$W:$W,"Pending")</f>
        <v>0</v>
      </c>
      <c r="DE1082" s="238"/>
      <c r="DF1082" s="238"/>
      <c r="DG1082" s="238"/>
      <c r="DH1082" s="238"/>
      <c r="DI1082" s="238"/>
      <c r="DJ1082" s="239"/>
      <c r="DK1082" s="237">
        <f>COUNTIFS('Form Details'!$D:$D,"&lt;"&amp;'Adv. Filter'!$A$15,'Form Details'!$J:$J,$C1082,'Form Details'!$W:$W,"Adv/Paid/NoStatus")</f>
        <v>0</v>
      </c>
      <c r="DL1082" s="238"/>
      <c r="DM1082" s="238"/>
      <c r="DN1082" s="238"/>
      <c r="DO1082" s="238"/>
      <c r="DP1082" s="238"/>
      <c r="DQ1082" s="239"/>
      <c r="DR1082" s="237">
        <f>COUNTIFS('Form Details'!$D:$D,"&lt;"&amp;'Adv. Filter'!$A$15,'Form Details'!$J:$J,$C1082,'Form Details'!$W:$W,"No Status")</f>
        <v>0</v>
      </c>
      <c r="DS1082" s="238"/>
      <c r="DT1082" s="238"/>
      <c r="DU1082" s="238"/>
      <c r="DV1082" s="238"/>
      <c r="DW1082" s="238"/>
      <c r="DX1082" s="239"/>
      <c r="DY1082" s="237">
        <f>SUM(COUNTIFS('Form Details'!$D:$D,"&lt;"&amp;'Adv. Filter'!$A$15,'Form Details'!$J:$J,$C1082,'Form Details'!$W:$W,{"Wrong Entry ","Double Entry"}))</f>
        <v>0</v>
      </c>
      <c r="DZ1082" s="238"/>
      <c r="EA1082" s="238"/>
      <c r="EB1082" s="238"/>
      <c r="EC1082" s="238"/>
      <c r="ED1082" s="238"/>
      <c r="EE1082" s="239"/>
    </row>
    <row r="1083" spans="3:135" hidden="1">
      <c r="C1083" s="248" t="s">
        <v>49</v>
      </c>
      <c r="D1083" s="249"/>
      <c r="E1083" s="249"/>
      <c r="F1083" s="249"/>
      <c r="G1083" s="249"/>
      <c r="H1083" s="249"/>
      <c r="I1083" s="249"/>
      <c r="J1083" s="249"/>
      <c r="K1083" s="249"/>
      <c r="L1083" s="249"/>
      <c r="M1083" s="249"/>
      <c r="N1083" s="249"/>
      <c r="O1083" s="237">
        <f>COUNTIFS('Form Details'!$D:$D,"&lt;"&amp;'Adv. Filter'!$A$15,'Form Details'!$J:$J,$C1083)</f>
        <v>3</v>
      </c>
      <c r="P1083" s="238"/>
      <c r="Q1083" s="238"/>
      <c r="R1083" s="238"/>
      <c r="S1083" s="238"/>
      <c r="T1083" s="238"/>
      <c r="U1083" s="239"/>
      <c r="V1083" s="105"/>
      <c r="W1083" s="237">
        <f>COUNTIFS('Form Details'!$D:$D,"&lt;"&amp;'Adv. Filter'!$A$15,'Form Details'!$J:$J,$C1083,'Form Details'!$AA:$AA,"Yes")</f>
        <v>3</v>
      </c>
      <c r="X1083" s="238"/>
      <c r="Y1083" s="238"/>
      <c r="Z1083" s="238"/>
      <c r="AA1083" s="238"/>
      <c r="AB1083" s="238"/>
      <c r="AC1083" s="239"/>
      <c r="AD1083" s="237">
        <f>COUNTIFS('Form Details'!$D:$D,"&lt;"&amp;'Adv. Filter'!$A$15,'Form Details'!$J:$J,$C1083,'Form Details'!$W:$W,"Paid",'Form Details'!$S:$S,'Adv. Filter'!$A$14,'Form Details'!$S:$S,'Adv. Filter'!$B$14)</f>
        <v>3</v>
      </c>
      <c r="AE1083" s="238"/>
      <c r="AF1083" s="238"/>
      <c r="AG1083" s="238"/>
      <c r="AH1083" s="238"/>
      <c r="AI1083" s="238"/>
      <c r="AJ1083" s="239"/>
      <c r="AK1083" s="237">
        <f>COUNTIFS('Form Details'!$D:$D,"&lt;"&amp;'Adv. Filter'!$A$15,'Form Details'!$J:$J,$C1083,'Form Details'!$W:$W,"Due")</f>
        <v>0</v>
      </c>
      <c r="AL1083" s="238"/>
      <c r="AM1083" s="238"/>
      <c r="AN1083" s="238"/>
      <c r="AO1083" s="238"/>
      <c r="AP1083" s="238"/>
      <c r="AQ1083" s="239"/>
      <c r="AR1083" s="237">
        <f>COUNTIFS('Form Details'!$D:$D,"&lt;"&amp;'Adv. Filter'!$A$15,'Form Details'!$J:$J,$C1083,'Form Details'!$W:$W,"No Fee")</f>
        <v>0</v>
      </c>
      <c r="AS1083" s="238"/>
      <c r="AT1083" s="238"/>
      <c r="AU1083" s="238"/>
      <c r="AV1083" s="238"/>
      <c r="AW1083" s="238"/>
      <c r="AX1083" s="239"/>
      <c r="AY1083" s="237">
        <f>COUNTIFS('Form Details'!$D:$D,"&lt;"&amp;'Adv. Filter'!$A$15,'Form Details'!$J:$J,$C1083,'Form Details'!$W:$W,"Paid/Reject")</f>
        <v>0</v>
      </c>
      <c r="AZ1083" s="238"/>
      <c r="BA1083" s="238"/>
      <c r="BB1083" s="238"/>
      <c r="BC1083" s="238"/>
      <c r="BD1083" s="238"/>
      <c r="BE1083" s="239"/>
      <c r="BF1083" s="237">
        <f>COUNTIFS('Form Details'!$D:$D,"&lt;"&amp;'Adv. Filter'!$A$15,'Form Details'!$J:$J,$C1083,'Form Details'!$W:$W,"Staff")</f>
        <v>0</v>
      </c>
      <c r="BG1083" s="238"/>
      <c r="BH1083" s="238"/>
      <c r="BI1083" s="238"/>
      <c r="BJ1083" s="238"/>
      <c r="BK1083" s="238"/>
      <c r="BL1083" s="239"/>
      <c r="BM1083" s="237">
        <f>COUNTIFS('Form Details'!$D:$D,"&lt;"&amp;'Adv. Filter'!$A$15,'Form Details'!$J:$J,$C1083,'Form Details'!$W:$W,"File In Office")</f>
        <v>0</v>
      </c>
      <c r="BN1083" s="238"/>
      <c r="BO1083" s="238"/>
      <c r="BP1083" s="238"/>
      <c r="BQ1083" s="238"/>
      <c r="BR1083" s="238"/>
      <c r="BS1083" s="239"/>
      <c r="BT1083" s="105"/>
      <c r="BU1083" s="237">
        <f>COUNTIFS('Form Details'!$D:$D,"&lt;"&amp;'Adv. Filter'!$A$15,'Form Details'!$J:$J,$C1083,'Form Details'!$AA:$AA,"No")</f>
        <v>0</v>
      </c>
      <c r="BV1083" s="238"/>
      <c r="BW1083" s="238"/>
      <c r="BX1083" s="238"/>
      <c r="BY1083" s="238"/>
      <c r="BZ1083" s="238"/>
      <c r="CA1083" s="239"/>
      <c r="CB1083" s="237">
        <f>COUNTIFS('Form Details'!$D:$D,"&lt;"&amp;'Adv. Filter'!$A$15,'Form Details'!$J:$J,$C1083,'Form Details'!$W:$W,"Adv/Paid")</f>
        <v>0</v>
      </c>
      <c r="CC1083" s="238"/>
      <c r="CD1083" s="238"/>
      <c r="CE1083" s="238"/>
      <c r="CF1083" s="238"/>
      <c r="CG1083" s="238"/>
      <c r="CH1083" s="239"/>
      <c r="CI1083" s="237">
        <f>COUNTIFS('Form Details'!$D:$D,"&lt;"&amp;'Adv. Filter'!$A$15,'Form Details'!$J:$J,$C1083,'Form Details'!$W:$W,"Adv/Paid/Reject")</f>
        <v>0</v>
      </c>
      <c r="CJ1083" s="238"/>
      <c r="CK1083" s="238"/>
      <c r="CL1083" s="238"/>
      <c r="CM1083" s="238"/>
      <c r="CN1083" s="238"/>
      <c r="CO1083" s="239"/>
      <c r="CP1083" s="237">
        <f>COUNTIFS('Form Details'!$D:$D,"&lt;"&amp;'Adv. Filter'!$A$15,'Form Details'!$J:$J,$C1083,'Form Details'!$W:$W,"Reject")</f>
        <v>0</v>
      </c>
      <c r="CQ1083" s="238"/>
      <c r="CR1083" s="238"/>
      <c r="CS1083" s="238"/>
      <c r="CT1083" s="238"/>
      <c r="CU1083" s="238"/>
      <c r="CV1083" s="239"/>
      <c r="CW1083" s="237">
        <f>COUNTIFS('Form Details'!$D:$D,"&lt;"&amp;'Adv. Filter'!$A$15,'Form Details'!$J:$J,$C1083,'Form Details'!$W:$W,"Adv/Paid/Pending")</f>
        <v>0</v>
      </c>
      <c r="CX1083" s="238"/>
      <c r="CY1083" s="238"/>
      <c r="CZ1083" s="238"/>
      <c r="DA1083" s="238"/>
      <c r="DB1083" s="238"/>
      <c r="DC1083" s="239"/>
      <c r="DD1083" s="237">
        <f>COUNTIFS('Form Details'!$D:$D,"&lt;"&amp;'Adv. Filter'!$A$15,'Form Details'!$J:$J,$C1083,'Form Details'!$W:$W,"Pending")</f>
        <v>0</v>
      </c>
      <c r="DE1083" s="238"/>
      <c r="DF1083" s="238"/>
      <c r="DG1083" s="238"/>
      <c r="DH1083" s="238"/>
      <c r="DI1083" s="238"/>
      <c r="DJ1083" s="239"/>
      <c r="DK1083" s="237">
        <f>COUNTIFS('Form Details'!$D:$D,"&lt;"&amp;'Adv. Filter'!$A$15,'Form Details'!$J:$J,$C1083,'Form Details'!$W:$W,"Adv/Paid/NoStatus")</f>
        <v>0</v>
      </c>
      <c r="DL1083" s="238"/>
      <c r="DM1083" s="238"/>
      <c r="DN1083" s="238"/>
      <c r="DO1083" s="238"/>
      <c r="DP1083" s="238"/>
      <c r="DQ1083" s="239"/>
      <c r="DR1083" s="237">
        <f>COUNTIFS('Form Details'!$D:$D,"&lt;"&amp;'Adv. Filter'!$A$15,'Form Details'!$J:$J,$C1083,'Form Details'!$W:$W,"No Status")</f>
        <v>0</v>
      </c>
      <c r="DS1083" s="238"/>
      <c r="DT1083" s="238"/>
      <c r="DU1083" s="238"/>
      <c r="DV1083" s="238"/>
      <c r="DW1083" s="238"/>
      <c r="DX1083" s="239"/>
      <c r="DY1083" s="237">
        <f>SUM(COUNTIFS('Form Details'!$D:$D,"&lt;"&amp;'Adv. Filter'!$A$15,'Form Details'!$J:$J,$C1083,'Form Details'!$W:$W,{"Wrong Entry ","Double Entry"}))</f>
        <v>0</v>
      </c>
      <c r="DZ1083" s="238"/>
      <c r="EA1083" s="238"/>
      <c r="EB1083" s="238"/>
      <c r="EC1083" s="238"/>
      <c r="ED1083" s="238"/>
      <c r="EE1083" s="239"/>
    </row>
    <row r="1084" spans="3:135" hidden="1">
      <c r="C1084" s="248" t="s">
        <v>59</v>
      </c>
      <c r="D1084" s="249"/>
      <c r="E1084" s="249"/>
      <c r="F1084" s="249"/>
      <c r="G1084" s="249"/>
      <c r="H1084" s="249"/>
      <c r="I1084" s="249"/>
      <c r="J1084" s="249"/>
      <c r="K1084" s="249"/>
      <c r="L1084" s="249"/>
      <c r="M1084" s="249"/>
      <c r="N1084" s="249"/>
      <c r="O1084" s="237">
        <f>COUNTIFS('Form Details'!$D:$D,"&lt;"&amp;'Adv. Filter'!$A$15,'Form Details'!$J:$J,$C1084)</f>
        <v>0</v>
      </c>
      <c r="P1084" s="238"/>
      <c r="Q1084" s="238"/>
      <c r="R1084" s="238"/>
      <c r="S1084" s="238"/>
      <c r="T1084" s="238"/>
      <c r="U1084" s="239"/>
      <c r="V1084" s="105"/>
      <c r="W1084" s="237">
        <f>COUNTIFS('Form Details'!$D:$D,"&lt;"&amp;'Adv. Filter'!$A$15,'Form Details'!$J:$J,$C1084,'Form Details'!$AA:$AA,"Yes")</f>
        <v>0</v>
      </c>
      <c r="X1084" s="238"/>
      <c r="Y1084" s="238"/>
      <c r="Z1084" s="238"/>
      <c r="AA1084" s="238"/>
      <c r="AB1084" s="238"/>
      <c r="AC1084" s="239"/>
      <c r="AD1084" s="237">
        <f>COUNTIFS('Form Details'!$D:$D,"&lt;"&amp;'Adv. Filter'!$A$15,'Form Details'!$J:$J,$C1084,'Form Details'!$W:$W,"Paid",'Form Details'!$S:$S,'Adv. Filter'!$A$14,'Form Details'!$S:$S,'Adv. Filter'!$B$14)</f>
        <v>0</v>
      </c>
      <c r="AE1084" s="238"/>
      <c r="AF1084" s="238"/>
      <c r="AG1084" s="238"/>
      <c r="AH1084" s="238"/>
      <c r="AI1084" s="238"/>
      <c r="AJ1084" s="239"/>
      <c r="AK1084" s="237">
        <f>COUNTIFS('Form Details'!$D:$D,"&lt;"&amp;'Adv. Filter'!$A$15,'Form Details'!$J:$J,$C1084,'Form Details'!$W:$W,"Due")</f>
        <v>0</v>
      </c>
      <c r="AL1084" s="238"/>
      <c r="AM1084" s="238"/>
      <c r="AN1084" s="238"/>
      <c r="AO1084" s="238"/>
      <c r="AP1084" s="238"/>
      <c r="AQ1084" s="239"/>
      <c r="AR1084" s="237">
        <f>COUNTIFS('Form Details'!$D:$D,"&lt;"&amp;'Adv. Filter'!$A$15,'Form Details'!$J:$J,$C1084,'Form Details'!$W:$W,"No Fee")</f>
        <v>0</v>
      </c>
      <c r="AS1084" s="238"/>
      <c r="AT1084" s="238"/>
      <c r="AU1084" s="238"/>
      <c r="AV1084" s="238"/>
      <c r="AW1084" s="238"/>
      <c r="AX1084" s="239"/>
      <c r="AY1084" s="237">
        <f>COUNTIFS('Form Details'!$D:$D,"&lt;"&amp;'Adv. Filter'!$A$15,'Form Details'!$J:$J,$C1084,'Form Details'!$W:$W,"Paid/Reject")</f>
        <v>0</v>
      </c>
      <c r="AZ1084" s="238"/>
      <c r="BA1084" s="238"/>
      <c r="BB1084" s="238"/>
      <c r="BC1084" s="238"/>
      <c r="BD1084" s="238"/>
      <c r="BE1084" s="239"/>
      <c r="BF1084" s="237">
        <f>COUNTIFS('Form Details'!$D:$D,"&lt;"&amp;'Adv. Filter'!$A$15,'Form Details'!$J:$J,$C1084,'Form Details'!$W:$W,"Staff")</f>
        <v>0</v>
      </c>
      <c r="BG1084" s="238"/>
      <c r="BH1084" s="238"/>
      <c r="BI1084" s="238"/>
      <c r="BJ1084" s="238"/>
      <c r="BK1084" s="238"/>
      <c r="BL1084" s="239"/>
      <c r="BM1084" s="237">
        <f>COUNTIFS('Form Details'!$D:$D,"&lt;"&amp;'Adv. Filter'!$A$15,'Form Details'!$J:$J,$C1084,'Form Details'!$W:$W,"File In Office")</f>
        <v>0</v>
      </c>
      <c r="BN1084" s="238"/>
      <c r="BO1084" s="238"/>
      <c r="BP1084" s="238"/>
      <c r="BQ1084" s="238"/>
      <c r="BR1084" s="238"/>
      <c r="BS1084" s="239"/>
      <c r="BT1084" s="105"/>
      <c r="BU1084" s="237">
        <f>COUNTIFS('Form Details'!$D:$D,"&lt;"&amp;'Adv. Filter'!$A$15,'Form Details'!$J:$J,$C1084,'Form Details'!$AA:$AA,"No")</f>
        <v>0</v>
      </c>
      <c r="BV1084" s="238"/>
      <c r="BW1084" s="238"/>
      <c r="BX1084" s="238"/>
      <c r="BY1084" s="238"/>
      <c r="BZ1084" s="238"/>
      <c r="CA1084" s="239"/>
      <c r="CB1084" s="237">
        <f>COUNTIFS('Form Details'!$D:$D,"&lt;"&amp;'Adv. Filter'!$A$15,'Form Details'!$J:$J,$C1084,'Form Details'!$W:$W,"Adv/Paid")</f>
        <v>0</v>
      </c>
      <c r="CC1084" s="238"/>
      <c r="CD1084" s="238"/>
      <c r="CE1084" s="238"/>
      <c r="CF1084" s="238"/>
      <c r="CG1084" s="238"/>
      <c r="CH1084" s="239"/>
      <c r="CI1084" s="237">
        <f>COUNTIFS('Form Details'!$D:$D,"&lt;"&amp;'Adv. Filter'!$A$15,'Form Details'!$J:$J,$C1084,'Form Details'!$W:$W,"Adv/Paid/Reject")</f>
        <v>0</v>
      </c>
      <c r="CJ1084" s="238"/>
      <c r="CK1084" s="238"/>
      <c r="CL1084" s="238"/>
      <c r="CM1084" s="238"/>
      <c r="CN1084" s="238"/>
      <c r="CO1084" s="239"/>
      <c r="CP1084" s="237">
        <f>COUNTIFS('Form Details'!$D:$D,"&lt;"&amp;'Adv. Filter'!$A$15,'Form Details'!$J:$J,$C1084,'Form Details'!$W:$W,"Reject")</f>
        <v>0</v>
      </c>
      <c r="CQ1084" s="238"/>
      <c r="CR1084" s="238"/>
      <c r="CS1084" s="238"/>
      <c r="CT1084" s="238"/>
      <c r="CU1084" s="238"/>
      <c r="CV1084" s="239"/>
      <c r="CW1084" s="237">
        <f>COUNTIFS('Form Details'!$D:$D,"&lt;"&amp;'Adv. Filter'!$A$15,'Form Details'!$J:$J,$C1084,'Form Details'!$W:$W,"Adv/Paid/Pending")</f>
        <v>0</v>
      </c>
      <c r="CX1084" s="238"/>
      <c r="CY1084" s="238"/>
      <c r="CZ1084" s="238"/>
      <c r="DA1084" s="238"/>
      <c r="DB1084" s="238"/>
      <c r="DC1084" s="239"/>
      <c r="DD1084" s="237">
        <f>COUNTIFS('Form Details'!$D:$D,"&lt;"&amp;'Adv. Filter'!$A$15,'Form Details'!$J:$J,$C1084,'Form Details'!$W:$W,"Pending")</f>
        <v>0</v>
      </c>
      <c r="DE1084" s="238"/>
      <c r="DF1084" s="238"/>
      <c r="DG1084" s="238"/>
      <c r="DH1084" s="238"/>
      <c r="DI1084" s="238"/>
      <c r="DJ1084" s="239"/>
      <c r="DK1084" s="237">
        <f>COUNTIFS('Form Details'!$D:$D,"&lt;"&amp;'Adv. Filter'!$A$15,'Form Details'!$J:$J,$C1084,'Form Details'!$W:$W,"Adv/Paid/NoStatus")</f>
        <v>0</v>
      </c>
      <c r="DL1084" s="238"/>
      <c r="DM1084" s="238"/>
      <c r="DN1084" s="238"/>
      <c r="DO1084" s="238"/>
      <c r="DP1084" s="238"/>
      <c r="DQ1084" s="239"/>
      <c r="DR1084" s="237">
        <f>COUNTIFS('Form Details'!$D:$D,"&lt;"&amp;'Adv. Filter'!$A$15,'Form Details'!$J:$J,$C1084,'Form Details'!$W:$W,"No Status")</f>
        <v>0</v>
      </c>
      <c r="DS1084" s="238"/>
      <c r="DT1084" s="238"/>
      <c r="DU1084" s="238"/>
      <c r="DV1084" s="238"/>
      <c r="DW1084" s="238"/>
      <c r="DX1084" s="239"/>
      <c r="DY1084" s="237">
        <f>SUM(COUNTIFS('Form Details'!$D:$D,"&lt;"&amp;'Adv. Filter'!$A$15,'Form Details'!$J:$J,$C1084,'Form Details'!$W:$W,{"Wrong Entry ","Double Entry"}))</f>
        <v>0</v>
      </c>
      <c r="DZ1084" s="238"/>
      <c r="EA1084" s="238"/>
      <c r="EB1084" s="238"/>
      <c r="EC1084" s="238"/>
      <c r="ED1084" s="238"/>
      <c r="EE1084" s="239"/>
    </row>
    <row r="1085" spans="3:135" hidden="1">
      <c r="C1085" s="248" t="s">
        <v>70</v>
      </c>
      <c r="D1085" s="249"/>
      <c r="E1085" s="249"/>
      <c r="F1085" s="249"/>
      <c r="G1085" s="249"/>
      <c r="H1085" s="249"/>
      <c r="I1085" s="249"/>
      <c r="J1085" s="249"/>
      <c r="K1085" s="249"/>
      <c r="L1085" s="249"/>
      <c r="M1085" s="249"/>
      <c r="N1085" s="249"/>
      <c r="O1085" s="237">
        <f>COUNTIFS('Form Details'!$D:$D,"&lt;"&amp;'Adv. Filter'!$A$15,'Form Details'!$J:$J,$C1085)</f>
        <v>4</v>
      </c>
      <c r="P1085" s="238"/>
      <c r="Q1085" s="238"/>
      <c r="R1085" s="238"/>
      <c r="S1085" s="238"/>
      <c r="T1085" s="238"/>
      <c r="U1085" s="239"/>
      <c r="V1085" s="105"/>
      <c r="W1085" s="237">
        <f>COUNTIFS('Form Details'!$D:$D,"&lt;"&amp;'Adv. Filter'!$A$15,'Form Details'!$J:$J,$C1085,'Form Details'!$AA:$AA,"Yes")</f>
        <v>4</v>
      </c>
      <c r="X1085" s="238"/>
      <c r="Y1085" s="238"/>
      <c r="Z1085" s="238"/>
      <c r="AA1085" s="238"/>
      <c r="AB1085" s="238"/>
      <c r="AC1085" s="239"/>
      <c r="AD1085" s="237">
        <f>COUNTIFS('Form Details'!$D:$D,"&lt;"&amp;'Adv. Filter'!$A$15,'Form Details'!$J:$J,$C1085,'Form Details'!$W:$W,"Paid",'Form Details'!$S:$S,'Adv. Filter'!$A$14,'Form Details'!$S:$S,'Adv. Filter'!$B$14)</f>
        <v>0</v>
      </c>
      <c r="AE1085" s="238"/>
      <c r="AF1085" s="238"/>
      <c r="AG1085" s="238"/>
      <c r="AH1085" s="238"/>
      <c r="AI1085" s="238"/>
      <c r="AJ1085" s="239"/>
      <c r="AK1085" s="237">
        <f>COUNTIFS('Form Details'!$D:$D,"&lt;"&amp;'Adv. Filter'!$A$15,'Form Details'!$J:$J,$C1085,'Form Details'!$W:$W,"Due")</f>
        <v>4</v>
      </c>
      <c r="AL1085" s="238"/>
      <c r="AM1085" s="238"/>
      <c r="AN1085" s="238"/>
      <c r="AO1085" s="238"/>
      <c r="AP1085" s="238"/>
      <c r="AQ1085" s="239"/>
      <c r="AR1085" s="237">
        <f>COUNTIFS('Form Details'!$D:$D,"&lt;"&amp;'Adv. Filter'!$A$15,'Form Details'!$J:$J,$C1085,'Form Details'!$W:$W,"No Fee")</f>
        <v>0</v>
      </c>
      <c r="AS1085" s="238"/>
      <c r="AT1085" s="238"/>
      <c r="AU1085" s="238"/>
      <c r="AV1085" s="238"/>
      <c r="AW1085" s="238"/>
      <c r="AX1085" s="239"/>
      <c r="AY1085" s="237">
        <f>COUNTIFS('Form Details'!$D:$D,"&lt;"&amp;'Adv. Filter'!$A$15,'Form Details'!$J:$J,$C1085,'Form Details'!$W:$W,"Paid/Reject")</f>
        <v>0</v>
      </c>
      <c r="AZ1085" s="238"/>
      <c r="BA1085" s="238"/>
      <c r="BB1085" s="238"/>
      <c r="BC1085" s="238"/>
      <c r="BD1085" s="238"/>
      <c r="BE1085" s="239"/>
      <c r="BF1085" s="237">
        <f>COUNTIFS('Form Details'!$D:$D,"&lt;"&amp;'Adv. Filter'!$A$15,'Form Details'!$J:$J,$C1085,'Form Details'!$W:$W,"Staff")</f>
        <v>0</v>
      </c>
      <c r="BG1085" s="238"/>
      <c r="BH1085" s="238"/>
      <c r="BI1085" s="238"/>
      <c r="BJ1085" s="238"/>
      <c r="BK1085" s="238"/>
      <c r="BL1085" s="239"/>
      <c r="BM1085" s="237">
        <f>COUNTIFS('Form Details'!$D:$D,"&lt;"&amp;'Adv. Filter'!$A$15,'Form Details'!$J:$J,$C1085,'Form Details'!$W:$W,"File In Office")</f>
        <v>0</v>
      </c>
      <c r="BN1085" s="238"/>
      <c r="BO1085" s="238"/>
      <c r="BP1085" s="238"/>
      <c r="BQ1085" s="238"/>
      <c r="BR1085" s="238"/>
      <c r="BS1085" s="239"/>
      <c r="BT1085" s="105"/>
      <c r="BU1085" s="237">
        <f>COUNTIFS('Form Details'!$D:$D,"&lt;"&amp;'Adv. Filter'!$A$15,'Form Details'!$J:$J,$C1085,'Form Details'!$AA:$AA,"No")</f>
        <v>0</v>
      </c>
      <c r="BV1085" s="238"/>
      <c r="BW1085" s="238"/>
      <c r="BX1085" s="238"/>
      <c r="BY1085" s="238"/>
      <c r="BZ1085" s="238"/>
      <c r="CA1085" s="239"/>
      <c r="CB1085" s="237">
        <f>COUNTIFS('Form Details'!$D:$D,"&lt;"&amp;'Adv. Filter'!$A$15,'Form Details'!$J:$J,$C1085,'Form Details'!$W:$W,"Adv/Paid")</f>
        <v>0</v>
      </c>
      <c r="CC1085" s="238"/>
      <c r="CD1085" s="238"/>
      <c r="CE1085" s="238"/>
      <c r="CF1085" s="238"/>
      <c r="CG1085" s="238"/>
      <c r="CH1085" s="239"/>
      <c r="CI1085" s="237">
        <f>COUNTIFS('Form Details'!$D:$D,"&lt;"&amp;'Adv. Filter'!$A$15,'Form Details'!$J:$J,$C1085,'Form Details'!$W:$W,"Adv/Paid/Reject")</f>
        <v>0</v>
      </c>
      <c r="CJ1085" s="238"/>
      <c r="CK1085" s="238"/>
      <c r="CL1085" s="238"/>
      <c r="CM1085" s="238"/>
      <c r="CN1085" s="238"/>
      <c r="CO1085" s="239"/>
      <c r="CP1085" s="237">
        <f>COUNTIFS('Form Details'!$D:$D,"&lt;"&amp;'Adv. Filter'!$A$15,'Form Details'!$J:$J,$C1085,'Form Details'!$W:$W,"Reject")</f>
        <v>0</v>
      </c>
      <c r="CQ1085" s="238"/>
      <c r="CR1085" s="238"/>
      <c r="CS1085" s="238"/>
      <c r="CT1085" s="238"/>
      <c r="CU1085" s="238"/>
      <c r="CV1085" s="239"/>
      <c r="CW1085" s="237">
        <f>COUNTIFS('Form Details'!$D:$D,"&lt;"&amp;'Adv. Filter'!$A$15,'Form Details'!$J:$J,$C1085,'Form Details'!$W:$W,"Adv/Paid/Pending")</f>
        <v>0</v>
      </c>
      <c r="CX1085" s="238"/>
      <c r="CY1085" s="238"/>
      <c r="CZ1085" s="238"/>
      <c r="DA1085" s="238"/>
      <c r="DB1085" s="238"/>
      <c r="DC1085" s="239"/>
      <c r="DD1085" s="237">
        <f>COUNTIFS('Form Details'!$D:$D,"&lt;"&amp;'Adv. Filter'!$A$15,'Form Details'!$J:$J,$C1085,'Form Details'!$W:$W,"Pending")</f>
        <v>0</v>
      </c>
      <c r="DE1085" s="238"/>
      <c r="DF1085" s="238"/>
      <c r="DG1085" s="238"/>
      <c r="DH1085" s="238"/>
      <c r="DI1085" s="238"/>
      <c r="DJ1085" s="239"/>
      <c r="DK1085" s="237">
        <f>COUNTIFS('Form Details'!$D:$D,"&lt;"&amp;'Adv. Filter'!$A$15,'Form Details'!$J:$J,$C1085,'Form Details'!$W:$W,"Adv/Paid/NoStatus")</f>
        <v>0</v>
      </c>
      <c r="DL1085" s="238"/>
      <c r="DM1085" s="238"/>
      <c r="DN1085" s="238"/>
      <c r="DO1085" s="238"/>
      <c r="DP1085" s="238"/>
      <c r="DQ1085" s="239"/>
      <c r="DR1085" s="237">
        <f>COUNTIFS('Form Details'!$D:$D,"&lt;"&amp;'Adv. Filter'!$A$15,'Form Details'!$J:$J,$C1085,'Form Details'!$W:$W,"No Status")</f>
        <v>0</v>
      </c>
      <c r="DS1085" s="238"/>
      <c r="DT1085" s="238"/>
      <c r="DU1085" s="238"/>
      <c r="DV1085" s="238"/>
      <c r="DW1085" s="238"/>
      <c r="DX1085" s="239"/>
      <c r="DY1085" s="237">
        <f>SUM(COUNTIFS('Form Details'!$D:$D,"&lt;"&amp;'Adv. Filter'!$A$15,'Form Details'!$J:$J,$C1085,'Form Details'!$W:$W,{"Wrong Entry ","Double Entry"}))</f>
        <v>0</v>
      </c>
      <c r="DZ1085" s="238"/>
      <c r="EA1085" s="238"/>
      <c r="EB1085" s="238"/>
      <c r="EC1085" s="238"/>
      <c r="ED1085" s="238"/>
      <c r="EE1085" s="239"/>
    </row>
    <row r="1086" spans="3:135" hidden="1">
      <c r="C1086" s="248" t="s">
        <v>77</v>
      </c>
      <c r="D1086" s="249"/>
      <c r="E1086" s="249"/>
      <c r="F1086" s="249"/>
      <c r="G1086" s="249"/>
      <c r="H1086" s="249"/>
      <c r="I1086" s="249"/>
      <c r="J1086" s="249"/>
      <c r="K1086" s="249"/>
      <c r="L1086" s="249"/>
      <c r="M1086" s="249"/>
      <c r="N1086" s="249"/>
      <c r="O1086" s="237">
        <f>COUNTIFS('Form Details'!$D:$D,"&lt;"&amp;'Adv. Filter'!$A$15,'Form Details'!$J:$J,$C1086)</f>
        <v>30</v>
      </c>
      <c r="P1086" s="238"/>
      <c r="Q1086" s="238"/>
      <c r="R1086" s="238"/>
      <c r="S1086" s="238"/>
      <c r="T1086" s="238"/>
      <c r="U1086" s="239"/>
      <c r="V1086" s="105"/>
      <c r="W1086" s="237">
        <f>COUNTIFS('Form Details'!$D:$D,"&lt;"&amp;'Adv. Filter'!$A$15,'Form Details'!$J:$J,$C1086,'Form Details'!$AA:$AA,"Yes")</f>
        <v>29</v>
      </c>
      <c r="X1086" s="238"/>
      <c r="Y1086" s="238"/>
      <c r="Z1086" s="238"/>
      <c r="AA1086" s="238"/>
      <c r="AB1086" s="238"/>
      <c r="AC1086" s="239"/>
      <c r="AD1086" s="237">
        <f>COUNTIFS('Form Details'!$D:$D,"&lt;"&amp;'Adv. Filter'!$A$15,'Form Details'!$J:$J,$C1086,'Form Details'!$W:$W,"Paid",'Form Details'!$S:$S,'Adv. Filter'!$A$14,'Form Details'!$S:$S,'Adv. Filter'!$B$14)</f>
        <v>7</v>
      </c>
      <c r="AE1086" s="238"/>
      <c r="AF1086" s="238"/>
      <c r="AG1086" s="238"/>
      <c r="AH1086" s="238"/>
      <c r="AI1086" s="238"/>
      <c r="AJ1086" s="239"/>
      <c r="AK1086" s="237">
        <f>COUNTIFS('Form Details'!$D:$D,"&lt;"&amp;'Adv. Filter'!$A$15,'Form Details'!$J:$J,$C1086,'Form Details'!$W:$W,"Due")</f>
        <v>22</v>
      </c>
      <c r="AL1086" s="238"/>
      <c r="AM1086" s="238"/>
      <c r="AN1086" s="238"/>
      <c r="AO1086" s="238"/>
      <c r="AP1086" s="238"/>
      <c r="AQ1086" s="239"/>
      <c r="AR1086" s="237">
        <f>COUNTIFS('Form Details'!$D:$D,"&lt;"&amp;'Adv. Filter'!$A$15,'Form Details'!$J:$J,$C1086,'Form Details'!$W:$W,"No Fee")</f>
        <v>0</v>
      </c>
      <c r="AS1086" s="238"/>
      <c r="AT1086" s="238"/>
      <c r="AU1086" s="238"/>
      <c r="AV1086" s="238"/>
      <c r="AW1086" s="238"/>
      <c r="AX1086" s="239"/>
      <c r="AY1086" s="237">
        <f>COUNTIFS('Form Details'!$D:$D,"&lt;"&amp;'Adv. Filter'!$A$15,'Form Details'!$J:$J,$C1086,'Form Details'!$W:$W,"Paid/Reject")</f>
        <v>0</v>
      </c>
      <c r="AZ1086" s="238"/>
      <c r="BA1086" s="238"/>
      <c r="BB1086" s="238"/>
      <c r="BC1086" s="238"/>
      <c r="BD1086" s="238"/>
      <c r="BE1086" s="239"/>
      <c r="BF1086" s="237">
        <f>COUNTIFS('Form Details'!$D:$D,"&lt;"&amp;'Adv. Filter'!$A$15,'Form Details'!$J:$J,$C1086,'Form Details'!$W:$W,"Staff")</f>
        <v>0</v>
      </c>
      <c r="BG1086" s="238"/>
      <c r="BH1086" s="238"/>
      <c r="BI1086" s="238"/>
      <c r="BJ1086" s="238"/>
      <c r="BK1086" s="238"/>
      <c r="BL1086" s="239"/>
      <c r="BM1086" s="237">
        <f>COUNTIFS('Form Details'!$D:$D,"&lt;"&amp;'Adv. Filter'!$A$15,'Form Details'!$J:$J,$C1086,'Form Details'!$W:$W,"File In Office")</f>
        <v>0</v>
      </c>
      <c r="BN1086" s="238"/>
      <c r="BO1086" s="238"/>
      <c r="BP1086" s="238"/>
      <c r="BQ1086" s="238"/>
      <c r="BR1086" s="238"/>
      <c r="BS1086" s="239"/>
      <c r="BT1086" s="105"/>
      <c r="BU1086" s="237">
        <f>COUNTIFS('Form Details'!$D:$D,"&lt;"&amp;'Adv. Filter'!$A$15,'Form Details'!$J:$J,$C1086,'Form Details'!$AA:$AA,"No")</f>
        <v>1</v>
      </c>
      <c r="BV1086" s="238"/>
      <c r="BW1086" s="238"/>
      <c r="BX1086" s="238"/>
      <c r="BY1086" s="238"/>
      <c r="BZ1086" s="238"/>
      <c r="CA1086" s="239"/>
      <c r="CB1086" s="237">
        <f>COUNTIFS('Form Details'!$D:$D,"&lt;"&amp;'Adv. Filter'!$A$15,'Form Details'!$J:$J,$C1086,'Form Details'!$W:$W,"Adv/Paid")</f>
        <v>1</v>
      </c>
      <c r="CC1086" s="238"/>
      <c r="CD1086" s="238"/>
      <c r="CE1086" s="238"/>
      <c r="CF1086" s="238"/>
      <c r="CG1086" s="238"/>
      <c r="CH1086" s="239"/>
      <c r="CI1086" s="237">
        <f>COUNTIFS('Form Details'!$D:$D,"&lt;"&amp;'Adv. Filter'!$A$15,'Form Details'!$J:$J,$C1086,'Form Details'!$W:$W,"Adv/Paid/Reject")</f>
        <v>0</v>
      </c>
      <c r="CJ1086" s="238"/>
      <c r="CK1086" s="238"/>
      <c r="CL1086" s="238"/>
      <c r="CM1086" s="238"/>
      <c r="CN1086" s="238"/>
      <c r="CO1086" s="239"/>
      <c r="CP1086" s="237">
        <f>COUNTIFS('Form Details'!$D:$D,"&lt;"&amp;'Adv. Filter'!$A$15,'Form Details'!$J:$J,$C1086,'Form Details'!$W:$W,"Reject")</f>
        <v>0</v>
      </c>
      <c r="CQ1086" s="238"/>
      <c r="CR1086" s="238"/>
      <c r="CS1086" s="238"/>
      <c r="CT1086" s="238"/>
      <c r="CU1086" s="238"/>
      <c r="CV1086" s="239"/>
      <c r="CW1086" s="237">
        <f>COUNTIFS('Form Details'!$D:$D,"&lt;"&amp;'Adv. Filter'!$A$15,'Form Details'!$J:$J,$C1086,'Form Details'!$W:$W,"Adv/Paid/Pending")</f>
        <v>0</v>
      </c>
      <c r="CX1086" s="238"/>
      <c r="CY1086" s="238"/>
      <c r="CZ1086" s="238"/>
      <c r="DA1086" s="238"/>
      <c r="DB1086" s="238"/>
      <c r="DC1086" s="239"/>
      <c r="DD1086" s="237">
        <f>COUNTIFS('Form Details'!$D:$D,"&lt;"&amp;'Adv. Filter'!$A$15,'Form Details'!$J:$J,$C1086,'Form Details'!$W:$W,"Pending")</f>
        <v>0</v>
      </c>
      <c r="DE1086" s="238"/>
      <c r="DF1086" s="238"/>
      <c r="DG1086" s="238"/>
      <c r="DH1086" s="238"/>
      <c r="DI1086" s="238"/>
      <c r="DJ1086" s="239"/>
      <c r="DK1086" s="237">
        <f>COUNTIFS('Form Details'!$D:$D,"&lt;"&amp;'Adv. Filter'!$A$15,'Form Details'!$J:$J,$C1086,'Form Details'!$W:$W,"Adv/Paid/NoStatus")</f>
        <v>0</v>
      </c>
      <c r="DL1086" s="238"/>
      <c r="DM1086" s="238"/>
      <c r="DN1086" s="238"/>
      <c r="DO1086" s="238"/>
      <c r="DP1086" s="238"/>
      <c r="DQ1086" s="239"/>
      <c r="DR1086" s="237">
        <f>COUNTIFS('Form Details'!$D:$D,"&lt;"&amp;'Adv. Filter'!$A$15,'Form Details'!$J:$J,$C1086,'Form Details'!$W:$W,"No Status")</f>
        <v>0</v>
      </c>
      <c r="DS1086" s="238"/>
      <c r="DT1086" s="238"/>
      <c r="DU1086" s="238"/>
      <c r="DV1086" s="238"/>
      <c r="DW1086" s="238"/>
      <c r="DX1086" s="239"/>
      <c r="DY1086" s="237">
        <f>SUM(COUNTIFS('Form Details'!$D:$D,"&lt;"&amp;'Adv. Filter'!$A$15,'Form Details'!$J:$J,$C1086,'Form Details'!$W:$W,{"Wrong Entry ","Double Entry"}))</f>
        <v>0</v>
      </c>
      <c r="DZ1086" s="238"/>
      <c r="EA1086" s="238"/>
      <c r="EB1086" s="238"/>
      <c r="EC1086" s="238"/>
      <c r="ED1086" s="238"/>
      <c r="EE1086" s="239"/>
    </row>
    <row r="1087" spans="3:135" hidden="1">
      <c r="C1087" s="248" t="s">
        <v>138</v>
      </c>
      <c r="D1087" s="249"/>
      <c r="E1087" s="249"/>
      <c r="F1087" s="249"/>
      <c r="G1087" s="249"/>
      <c r="H1087" s="249"/>
      <c r="I1087" s="249"/>
      <c r="J1087" s="249"/>
      <c r="K1087" s="249"/>
      <c r="L1087" s="249"/>
      <c r="M1087" s="249"/>
      <c r="N1087" s="249"/>
      <c r="O1087" s="237">
        <f>COUNTIFS('Form Details'!$D:$D,"&lt;"&amp;'Adv. Filter'!$A$15,'Form Details'!$J:$J,$C1087)</f>
        <v>0</v>
      </c>
      <c r="P1087" s="238"/>
      <c r="Q1087" s="238"/>
      <c r="R1087" s="238"/>
      <c r="S1087" s="238"/>
      <c r="T1087" s="238"/>
      <c r="U1087" s="239"/>
      <c r="V1087" s="105"/>
      <c r="W1087" s="237">
        <f>COUNTIFS('Form Details'!$D:$D,"&lt;"&amp;'Adv. Filter'!$A$15,'Form Details'!$J:$J,$C1087,'Form Details'!$AA:$AA,"Yes")</f>
        <v>0</v>
      </c>
      <c r="X1087" s="238"/>
      <c r="Y1087" s="238"/>
      <c r="Z1087" s="238"/>
      <c r="AA1087" s="238"/>
      <c r="AB1087" s="238"/>
      <c r="AC1087" s="239"/>
      <c r="AD1087" s="237">
        <f>COUNTIFS('Form Details'!$D:$D,"&lt;"&amp;'Adv. Filter'!$A$15,'Form Details'!$J:$J,$C1087,'Form Details'!$W:$W,"Paid",'Form Details'!$S:$S,'Adv. Filter'!$A$14,'Form Details'!$S:$S,'Adv. Filter'!$B$14)</f>
        <v>0</v>
      </c>
      <c r="AE1087" s="238"/>
      <c r="AF1087" s="238"/>
      <c r="AG1087" s="238"/>
      <c r="AH1087" s="238"/>
      <c r="AI1087" s="238"/>
      <c r="AJ1087" s="239"/>
      <c r="AK1087" s="237">
        <f>COUNTIFS('Form Details'!$D:$D,"&lt;"&amp;'Adv. Filter'!$A$15,'Form Details'!$J:$J,$C1087,'Form Details'!$W:$W,"Due")</f>
        <v>0</v>
      </c>
      <c r="AL1087" s="238"/>
      <c r="AM1087" s="238"/>
      <c r="AN1087" s="238"/>
      <c r="AO1087" s="238"/>
      <c r="AP1087" s="238"/>
      <c r="AQ1087" s="239"/>
      <c r="AR1087" s="237">
        <f>COUNTIFS('Form Details'!$D:$D,"&lt;"&amp;'Adv. Filter'!$A$15,'Form Details'!$J:$J,$C1087,'Form Details'!$W:$W,"No Fee")</f>
        <v>0</v>
      </c>
      <c r="AS1087" s="238"/>
      <c r="AT1087" s="238"/>
      <c r="AU1087" s="238"/>
      <c r="AV1087" s="238"/>
      <c r="AW1087" s="238"/>
      <c r="AX1087" s="239"/>
      <c r="AY1087" s="237">
        <f>COUNTIFS('Form Details'!$D:$D,"&lt;"&amp;'Adv. Filter'!$A$15,'Form Details'!$J:$J,$C1087,'Form Details'!$W:$W,"Paid/Reject")</f>
        <v>0</v>
      </c>
      <c r="AZ1087" s="238"/>
      <c r="BA1087" s="238"/>
      <c r="BB1087" s="238"/>
      <c r="BC1087" s="238"/>
      <c r="BD1087" s="238"/>
      <c r="BE1087" s="239"/>
      <c r="BF1087" s="237">
        <f>COUNTIFS('Form Details'!$D:$D,"&lt;"&amp;'Adv. Filter'!$A$15,'Form Details'!$J:$J,$C1087,'Form Details'!$W:$W,"Staff")</f>
        <v>0</v>
      </c>
      <c r="BG1087" s="238"/>
      <c r="BH1087" s="238"/>
      <c r="BI1087" s="238"/>
      <c r="BJ1087" s="238"/>
      <c r="BK1087" s="238"/>
      <c r="BL1087" s="239"/>
      <c r="BM1087" s="237">
        <f>COUNTIFS('Form Details'!$D:$D,"&lt;"&amp;'Adv. Filter'!$A$15,'Form Details'!$J:$J,$C1087,'Form Details'!$W:$W,"File In Office")</f>
        <v>0</v>
      </c>
      <c r="BN1087" s="238"/>
      <c r="BO1087" s="238"/>
      <c r="BP1087" s="238"/>
      <c r="BQ1087" s="238"/>
      <c r="BR1087" s="238"/>
      <c r="BS1087" s="239"/>
      <c r="BT1087" s="105"/>
      <c r="BU1087" s="237">
        <f>COUNTIFS('Form Details'!$D:$D,"&lt;"&amp;'Adv. Filter'!$A$15,'Form Details'!$J:$J,$C1087,'Form Details'!$AA:$AA,"No")</f>
        <v>0</v>
      </c>
      <c r="BV1087" s="238"/>
      <c r="BW1087" s="238"/>
      <c r="BX1087" s="238"/>
      <c r="BY1087" s="238"/>
      <c r="BZ1087" s="238"/>
      <c r="CA1087" s="239"/>
      <c r="CB1087" s="237">
        <f>COUNTIFS('Form Details'!$D:$D,"&lt;"&amp;'Adv. Filter'!$A$15,'Form Details'!$J:$J,$C1087,'Form Details'!$W:$W,"Adv/Paid")</f>
        <v>0</v>
      </c>
      <c r="CC1087" s="238"/>
      <c r="CD1087" s="238"/>
      <c r="CE1087" s="238"/>
      <c r="CF1087" s="238"/>
      <c r="CG1087" s="238"/>
      <c r="CH1087" s="239"/>
      <c r="CI1087" s="237">
        <f>COUNTIFS('Form Details'!$D:$D,"&lt;"&amp;'Adv. Filter'!$A$15,'Form Details'!$J:$J,$C1087,'Form Details'!$W:$W,"Adv/Paid/Reject")</f>
        <v>0</v>
      </c>
      <c r="CJ1087" s="238"/>
      <c r="CK1087" s="238"/>
      <c r="CL1087" s="238"/>
      <c r="CM1087" s="238"/>
      <c r="CN1087" s="238"/>
      <c r="CO1087" s="239"/>
      <c r="CP1087" s="237">
        <f>COUNTIFS('Form Details'!$D:$D,"&lt;"&amp;'Adv. Filter'!$A$15,'Form Details'!$J:$J,$C1087,'Form Details'!$W:$W,"Reject")</f>
        <v>0</v>
      </c>
      <c r="CQ1087" s="238"/>
      <c r="CR1087" s="238"/>
      <c r="CS1087" s="238"/>
      <c r="CT1087" s="238"/>
      <c r="CU1087" s="238"/>
      <c r="CV1087" s="239"/>
      <c r="CW1087" s="237">
        <f>COUNTIFS('Form Details'!$D:$D,"&lt;"&amp;'Adv. Filter'!$A$15,'Form Details'!$J:$J,$C1087,'Form Details'!$W:$W,"Adv/Paid/Pending")</f>
        <v>0</v>
      </c>
      <c r="CX1087" s="238"/>
      <c r="CY1087" s="238"/>
      <c r="CZ1087" s="238"/>
      <c r="DA1087" s="238"/>
      <c r="DB1087" s="238"/>
      <c r="DC1087" s="239"/>
      <c r="DD1087" s="237">
        <f>COUNTIFS('Form Details'!$D:$D,"&lt;"&amp;'Adv. Filter'!$A$15,'Form Details'!$J:$J,$C1087,'Form Details'!$W:$W,"Pending")</f>
        <v>0</v>
      </c>
      <c r="DE1087" s="238"/>
      <c r="DF1087" s="238"/>
      <c r="DG1087" s="238"/>
      <c r="DH1087" s="238"/>
      <c r="DI1087" s="238"/>
      <c r="DJ1087" s="239"/>
      <c r="DK1087" s="237">
        <f>COUNTIFS('Form Details'!$D:$D,"&lt;"&amp;'Adv. Filter'!$A$15,'Form Details'!$J:$J,$C1087,'Form Details'!$W:$W,"Adv/Paid/NoStatus")</f>
        <v>0</v>
      </c>
      <c r="DL1087" s="238"/>
      <c r="DM1087" s="238"/>
      <c r="DN1087" s="238"/>
      <c r="DO1087" s="238"/>
      <c r="DP1087" s="238"/>
      <c r="DQ1087" s="239"/>
      <c r="DR1087" s="237">
        <f>COUNTIFS('Form Details'!$D:$D,"&lt;"&amp;'Adv. Filter'!$A$15,'Form Details'!$J:$J,$C1087,'Form Details'!$W:$W,"No Status")</f>
        <v>0</v>
      </c>
      <c r="DS1087" s="238"/>
      <c r="DT1087" s="238"/>
      <c r="DU1087" s="238"/>
      <c r="DV1087" s="238"/>
      <c r="DW1087" s="238"/>
      <c r="DX1087" s="239"/>
      <c r="DY1087" s="237">
        <f>SUM(COUNTIFS('Form Details'!$D:$D,"&lt;"&amp;'Adv. Filter'!$A$15,'Form Details'!$J:$J,$C1087,'Form Details'!$W:$W,{"Wrong Entry ","Double Entry"}))</f>
        <v>0</v>
      </c>
      <c r="DZ1087" s="238"/>
      <c r="EA1087" s="238"/>
      <c r="EB1087" s="238"/>
      <c r="EC1087" s="238"/>
      <c r="ED1087" s="238"/>
      <c r="EE1087" s="239"/>
    </row>
    <row r="1088" spans="3:135" hidden="1">
      <c r="C1088" s="248" t="s">
        <v>84</v>
      </c>
      <c r="D1088" s="249"/>
      <c r="E1088" s="249"/>
      <c r="F1088" s="249"/>
      <c r="G1088" s="249"/>
      <c r="H1088" s="249"/>
      <c r="I1088" s="249"/>
      <c r="J1088" s="249"/>
      <c r="K1088" s="249"/>
      <c r="L1088" s="249"/>
      <c r="M1088" s="249"/>
      <c r="N1088" s="249"/>
      <c r="O1088" s="237">
        <f>COUNTIFS('Form Details'!$D:$D,"&lt;"&amp;'Adv. Filter'!$A$15,'Form Details'!$J:$J,$C1088)</f>
        <v>65</v>
      </c>
      <c r="P1088" s="238"/>
      <c r="Q1088" s="238"/>
      <c r="R1088" s="238"/>
      <c r="S1088" s="238"/>
      <c r="T1088" s="238"/>
      <c r="U1088" s="239"/>
      <c r="V1088" s="105"/>
      <c r="W1088" s="237">
        <f>COUNTIFS('Form Details'!$D:$D,"&lt;"&amp;'Adv. Filter'!$A$15,'Form Details'!$J:$J,$C1088,'Form Details'!$AA:$AA,"Yes")</f>
        <v>64</v>
      </c>
      <c r="X1088" s="238"/>
      <c r="Y1088" s="238"/>
      <c r="Z1088" s="238"/>
      <c r="AA1088" s="238"/>
      <c r="AB1088" s="238"/>
      <c r="AC1088" s="239"/>
      <c r="AD1088" s="237">
        <f>COUNTIFS('Form Details'!$D:$D,"&lt;"&amp;'Adv. Filter'!$A$15,'Form Details'!$J:$J,$C1088,'Form Details'!$W:$W,"Paid",'Form Details'!$S:$S,'Adv. Filter'!$A$14,'Form Details'!$S:$S,'Adv. Filter'!$B$14)</f>
        <v>24</v>
      </c>
      <c r="AE1088" s="238"/>
      <c r="AF1088" s="238"/>
      <c r="AG1088" s="238"/>
      <c r="AH1088" s="238"/>
      <c r="AI1088" s="238"/>
      <c r="AJ1088" s="239"/>
      <c r="AK1088" s="237">
        <f>COUNTIFS('Form Details'!$D:$D,"&lt;"&amp;'Adv. Filter'!$A$15,'Form Details'!$J:$J,$C1088,'Form Details'!$W:$W,"Due")</f>
        <v>41</v>
      </c>
      <c r="AL1088" s="238"/>
      <c r="AM1088" s="238"/>
      <c r="AN1088" s="238"/>
      <c r="AO1088" s="238"/>
      <c r="AP1088" s="238"/>
      <c r="AQ1088" s="239"/>
      <c r="AR1088" s="237">
        <f>COUNTIFS('Form Details'!$D:$D,"&lt;"&amp;'Adv. Filter'!$A$15,'Form Details'!$J:$J,$C1088,'Form Details'!$W:$W,"No Fee")</f>
        <v>0</v>
      </c>
      <c r="AS1088" s="238"/>
      <c r="AT1088" s="238"/>
      <c r="AU1088" s="238"/>
      <c r="AV1088" s="238"/>
      <c r="AW1088" s="238"/>
      <c r="AX1088" s="239"/>
      <c r="AY1088" s="237">
        <f>COUNTIFS('Form Details'!$D:$D,"&lt;"&amp;'Adv. Filter'!$A$15,'Form Details'!$J:$J,$C1088,'Form Details'!$W:$W,"Paid/Reject")</f>
        <v>0</v>
      </c>
      <c r="AZ1088" s="238"/>
      <c r="BA1088" s="238"/>
      <c r="BB1088" s="238"/>
      <c r="BC1088" s="238"/>
      <c r="BD1088" s="238"/>
      <c r="BE1088" s="239"/>
      <c r="BF1088" s="237">
        <f>COUNTIFS('Form Details'!$D:$D,"&lt;"&amp;'Adv. Filter'!$A$15,'Form Details'!$J:$J,$C1088,'Form Details'!$W:$W,"Staff")</f>
        <v>0</v>
      </c>
      <c r="BG1088" s="238"/>
      <c r="BH1088" s="238"/>
      <c r="BI1088" s="238"/>
      <c r="BJ1088" s="238"/>
      <c r="BK1088" s="238"/>
      <c r="BL1088" s="239"/>
      <c r="BM1088" s="237">
        <f>COUNTIFS('Form Details'!$D:$D,"&lt;"&amp;'Adv. Filter'!$A$15,'Form Details'!$J:$J,$C1088,'Form Details'!$W:$W,"File In Office")</f>
        <v>0</v>
      </c>
      <c r="BN1088" s="238"/>
      <c r="BO1088" s="238"/>
      <c r="BP1088" s="238"/>
      <c r="BQ1088" s="238"/>
      <c r="BR1088" s="238"/>
      <c r="BS1088" s="239"/>
      <c r="BT1088" s="105"/>
      <c r="BU1088" s="237">
        <f>COUNTIFS('Form Details'!$D:$D,"&lt;"&amp;'Adv. Filter'!$A$15,'Form Details'!$J:$J,$C1088,'Form Details'!$AA:$AA,"No")</f>
        <v>1</v>
      </c>
      <c r="BV1088" s="238"/>
      <c r="BW1088" s="238"/>
      <c r="BX1088" s="238"/>
      <c r="BY1088" s="238"/>
      <c r="BZ1088" s="238"/>
      <c r="CA1088" s="239"/>
      <c r="CB1088" s="237">
        <f>COUNTIFS('Form Details'!$D:$D,"&lt;"&amp;'Adv. Filter'!$A$15,'Form Details'!$J:$J,$C1088,'Form Details'!$W:$W,"Adv/Paid")</f>
        <v>0</v>
      </c>
      <c r="CC1088" s="238"/>
      <c r="CD1088" s="238"/>
      <c r="CE1088" s="238"/>
      <c r="CF1088" s="238"/>
      <c r="CG1088" s="238"/>
      <c r="CH1088" s="239"/>
      <c r="CI1088" s="237">
        <f>COUNTIFS('Form Details'!$D:$D,"&lt;"&amp;'Adv. Filter'!$A$15,'Form Details'!$J:$J,$C1088,'Form Details'!$W:$W,"Adv/Paid/Reject")</f>
        <v>0</v>
      </c>
      <c r="CJ1088" s="238"/>
      <c r="CK1088" s="238"/>
      <c r="CL1088" s="238"/>
      <c r="CM1088" s="238"/>
      <c r="CN1088" s="238"/>
      <c r="CO1088" s="239"/>
      <c r="CP1088" s="237">
        <f>COUNTIFS('Form Details'!$D:$D,"&lt;"&amp;'Adv. Filter'!$A$15,'Form Details'!$J:$J,$C1088,'Form Details'!$W:$W,"Reject")</f>
        <v>0</v>
      </c>
      <c r="CQ1088" s="238"/>
      <c r="CR1088" s="238"/>
      <c r="CS1088" s="238"/>
      <c r="CT1088" s="238"/>
      <c r="CU1088" s="238"/>
      <c r="CV1088" s="239"/>
      <c r="CW1088" s="237">
        <f>COUNTIFS('Form Details'!$D:$D,"&lt;"&amp;'Adv. Filter'!$A$15,'Form Details'!$J:$J,$C1088,'Form Details'!$W:$W,"Adv/Paid/Pending")</f>
        <v>0</v>
      </c>
      <c r="CX1088" s="238"/>
      <c r="CY1088" s="238"/>
      <c r="CZ1088" s="238"/>
      <c r="DA1088" s="238"/>
      <c r="DB1088" s="238"/>
      <c r="DC1088" s="239"/>
      <c r="DD1088" s="237">
        <f>COUNTIFS('Form Details'!$D:$D,"&lt;"&amp;'Adv. Filter'!$A$15,'Form Details'!$J:$J,$C1088,'Form Details'!$W:$W,"Pending")</f>
        <v>0</v>
      </c>
      <c r="DE1088" s="238"/>
      <c r="DF1088" s="238"/>
      <c r="DG1088" s="238"/>
      <c r="DH1088" s="238"/>
      <c r="DI1088" s="238"/>
      <c r="DJ1088" s="239"/>
      <c r="DK1088" s="237">
        <f>COUNTIFS('Form Details'!$D:$D,"&lt;"&amp;'Adv. Filter'!$A$15,'Form Details'!$J:$J,$C1088,'Form Details'!$W:$W,"Adv/Paid/NoStatus")</f>
        <v>0</v>
      </c>
      <c r="DL1088" s="238"/>
      <c r="DM1088" s="238"/>
      <c r="DN1088" s="238"/>
      <c r="DO1088" s="238"/>
      <c r="DP1088" s="238"/>
      <c r="DQ1088" s="239"/>
      <c r="DR1088" s="237">
        <f>COUNTIFS('Form Details'!$D:$D,"&lt;"&amp;'Adv. Filter'!$A$15,'Form Details'!$J:$J,$C1088,'Form Details'!$W:$W,"No Status")</f>
        <v>0</v>
      </c>
      <c r="DS1088" s="238"/>
      <c r="DT1088" s="238"/>
      <c r="DU1088" s="238"/>
      <c r="DV1088" s="238"/>
      <c r="DW1088" s="238"/>
      <c r="DX1088" s="239"/>
      <c r="DY1088" s="237">
        <f>SUM(COUNTIFS('Form Details'!$D:$D,"&lt;"&amp;'Adv. Filter'!$A$15,'Form Details'!$J:$J,$C1088,'Form Details'!$W:$W,{"Wrong Entry ","Double Entry"}))</f>
        <v>0</v>
      </c>
      <c r="DZ1088" s="238"/>
      <c r="EA1088" s="238"/>
      <c r="EB1088" s="238"/>
      <c r="EC1088" s="238"/>
      <c r="ED1088" s="238"/>
      <c r="EE1088" s="239"/>
    </row>
    <row r="1089" spans="1:135" hidden="1">
      <c r="C1089" s="248" t="s">
        <v>551</v>
      </c>
      <c r="D1089" s="249"/>
      <c r="E1089" s="249"/>
      <c r="F1089" s="249"/>
      <c r="G1089" s="249"/>
      <c r="H1089" s="249"/>
      <c r="I1089" s="249"/>
      <c r="J1089" s="249"/>
      <c r="K1089" s="249"/>
      <c r="L1089" s="249"/>
      <c r="M1089" s="249"/>
      <c r="N1089" s="249"/>
      <c r="O1089" s="237">
        <f>COUNTIFS('Form Details'!$D:$D,"&lt;"&amp;'Adv. Filter'!$A$15,'Form Details'!$J:$J,$C1089)</f>
        <v>41</v>
      </c>
      <c r="P1089" s="238"/>
      <c r="Q1089" s="238"/>
      <c r="R1089" s="238"/>
      <c r="S1089" s="238"/>
      <c r="T1089" s="238"/>
      <c r="U1089" s="239"/>
      <c r="V1089" s="105"/>
      <c r="W1089" s="237">
        <f>COUNTIFS('Form Details'!$D:$D,"&lt;"&amp;'Adv. Filter'!$A$15,'Form Details'!$J:$J,$C1089,'Form Details'!$AA:$AA,"Yes")</f>
        <v>41</v>
      </c>
      <c r="X1089" s="238"/>
      <c r="Y1089" s="238"/>
      <c r="Z1089" s="238"/>
      <c r="AA1089" s="238"/>
      <c r="AB1089" s="238"/>
      <c r="AC1089" s="239"/>
      <c r="AD1089" s="237">
        <f>COUNTIFS('Form Details'!$D:$D,"&lt;"&amp;'Adv. Filter'!$A$15,'Form Details'!$J:$J,$C1089,'Form Details'!$W:$W,"Paid",'Form Details'!$S:$S,'Adv. Filter'!$A$14,'Form Details'!$S:$S,'Adv. Filter'!$B$14)</f>
        <v>3</v>
      </c>
      <c r="AE1089" s="238"/>
      <c r="AF1089" s="238"/>
      <c r="AG1089" s="238"/>
      <c r="AH1089" s="238"/>
      <c r="AI1089" s="238"/>
      <c r="AJ1089" s="239"/>
      <c r="AK1089" s="237">
        <f>COUNTIFS('Form Details'!$D:$D,"&lt;"&amp;'Adv. Filter'!$A$15,'Form Details'!$J:$J,$C1089,'Form Details'!$W:$W,"Due")</f>
        <v>38</v>
      </c>
      <c r="AL1089" s="238"/>
      <c r="AM1089" s="238"/>
      <c r="AN1089" s="238"/>
      <c r="AO1089" s="238"/>
      <c r="AP1089" s="238"/>
      <c r="AQ1089" s="239"/>
      <c r="AR1089" s="237">
        <f>COUNTIFS('Form Details'!$D:$D,"&lt;"&amp;'Adv. Filter'!$A$15,'Form Details'!$J:$J,$C1089,'Form Details'!$W:$W,"No Fee")</f>
        <v>0</v>
      </c>
      <c r="AS1089" s="238"/>
      <c r="AT1089" s="238"/>
      <c r="AU1089" s="238"/>
      <c r="AV1089" s="238"/>
      <c r="AW1089" s="238"/>
      <c r="AX1089" s="239"/>
      <c r="AY1089" s="237">
        <f>COUNTIFS('Form Details'!$D:$D,"&lt;"&amp;'Adv. Filter'!$A$15,'Form Details'!$J:$J,$C1089,'Form Details'!$W:$W,"Paid/Reject")</f>
        <v>0</v>
      </c>
      <c r="AZ1089" s="238"/>
      <c r="BA1089" s="238"/>
      <c r="BB1089" s="238"/>
      <c r="BC1089" s="238"/>
      <c r="BD1089" s="238"/>
      <c r="BE1089" s="239"/>
      <c r="BF1089" s="237">
        <f>COUNTIFS('Form Details'!$D:$D,"&lt;"&amp;'Adv. Filter'!$A$15,'Form Details'!$J:$J,$C1089,'Form Details'!$W:$W,"Staff")</f>
        <v>0</v>
      </c>
      <c r="BG1089" s="238"/>
      <c r="BH1089" s="238"/>
      <c r="BI1089" s="238"/>
      <c r="BJ1089" s="238"/>
      <c r="BK1089" s="238"/>
      <c r="BL1089" s="239"/>
      <c r="BM1089" s="237">
        <f>COUNTIFS('Form Details'!$D:$D,"&lt;"&amp;'Adv. Filter'!$A$15,'Form Details'!$J:$J,$C1089,'Form Details'!$W:$W,"File In Office")</f>
        <v>0</v>
      </c>
      <c r="BN1089" s="238"/>
      <c r="BO1089" s="238"/>
      <c r="BP1089" s="238"/>
      <c r="BQ1089" s="238"/>
      <c r="BR1089" s="238"/>
      <c r="BS1089" s="239"/>
      <c r="BT1089" s="105"/>
      <c r="BU1089" s="237">
        <f>COUNTIFS('Form Details'!$D:$D,"&lt;"&amp;'Adv. Filter'!$A$15,'Form Details'!$J:$J,$C1089,'Form Details'!$AA:$AA,"No")</f>
        <v>0</v>
      </c>
      <c r="BV1089" s="238"/>
      <c r="BW1089" s="238"/>
      <c r="BX1089" s="238"/>
      <c r="BY1089" s="238"/>
      <c r="BZ1089" s="238"/>
      <c r="CA1089" s="239"/>
      <c r="CB1089" s="237">
        <f>COUNTIFS('Form Details'!$D:$D,"&lt;"&amp;'Adv. Filter'!$A$15,'Form Details'!$J:$J,$C1089,'Form Details'!$W:$W,"Adv/Paid")</f>
        <v>0</v>
      </c>
      <c r="CC1089" s="238"/>
      <c r="CD1089" s="238"/>
      <c r="CE1089" s="238"/>
      <c r="CF1089" s="238"/>
      <c r="CG1089" s="238"/>
      <c r="CH1089" s="239"/>
      <c r="CI1089" s="237">
        <f>COUNTIFS('Form Details'!$D:$D,"&lt;"&amp;'Adv. Filter'!$A$15,'Form Details'!$J:$J,$C1089,'Form Details'!$W:$W,"Adv/Paid/Reject")</f>
        <v>0</v>
      </c>
      <c r="CJ1089" s="238"/>
      <c r="CK1089" s="238"/>
      <c r="CL1089" s="238"/>
      <c r="CM1089" s="238"/>
      <c r="CN1089" s="238"/>
      <c r="CO1089" s="239"/>
      <c r="CP1089" s="237">
        <f>COUNTIFS('Form Details'!$D:$D,"&lt;"&amp;'Adv. Filter'!$A$15,'Form Details'!$J:$J,$C1089,'Form Details'!$W:$W,"Reject")</f>
        <v>0</v>
      </c>
      <c r="CQ1089" s="238"/>
      <c r="CR1089" s="238"/>
      <c r="CS1089" s="238"/>
      <c r="CT1089" s="238"/>
      <c r="CU1089" s="238"/>
      <c r="CV1089" s="239"/>
      <c r="CW1089" s="237">
        <f>COUNTIFS('Form Details'!$D:$D,"&lt;"&amp;'Adv. Filter'!$A$15,'Form Details'!$J:$J,$C1089,'Form Details'!$W:$W,"Adv/Paid/Pending")</f>
        <v>0</v>
      </c>
      <c r="CX1089" s="238"/>
      <c r="CY1089" s="238"/>
      <c r="CZ1089" s="238"/>
      <c r="DA1089" s="238"/>
      <c r="DB1089" s="238"/>
      <c r="DC1089" s="239"/>
      <c r="DD1089" s="237">
        <f>COUNTIFS('Form Details'!$D:$D,"&lt;"&amp;'Adv. Filter'!$A$15,'Form Details'!$J:$J,$C1089,'Form Details'!$W:$W,"Pending")</f>
        <v>0</v>
      </c>
      <c r="DE1089" s="238"/>
      <c r="DF1089" s="238"/>
      <c r="DG1089" s="238"/>
      <c r="DH1089" s="238"/>
      <c r="DI1089" s="238"/>
      <c r="DJ1089" s="239"/>
      <c r="DK1089" s="237">
        <f>COUNTIFS('Form Details'!$D:$D,"&lt;"&amp;'Adv. Filter'!$A$15,'Form Details'!$J:$J,$C1089,'Form Details'!$W:$W,"Adv/Paid/NoStatus")</f>
        <v>0</v>
      </c>
      <c r="DL1089" s="238"/>
      <c r="DM1089" s="238"/>
      <c r="DN1089" s="238"/>
      <c r="DO1089" s="238"/>
      <c r="DP1089" s="238"/>
      <c r="DQ1089" s="239"/>
      <c r="DR1089" s="237">
        <f>COUNTIFS('Form Details'!$D:$D,"&lt;"&amp;'Adv. Filter'!$A$15,'Form Details'!$J:$J,$C1089,'Form Details'!$W:$W,"No Status")</f>
        <v>0</v>
      </c>
      <c r="DS1089" s="238"/>
      <c r="DT1089" s="238"/>
      <c r="DU1089" s="238"/>
      <c r="DV1089" s="238"/>
      <c r="DW1089" s="238"/>
      <c r="DX1089" s="239"/>
      <c r="DY1089" s="237">
        <f>SUM(COUNTIFS('Form Details'!$D:$D,"&lt;"&amp;'Adv. Filter'!$A$15,'Form Details'!$J:$J,$C1089,'Form Details'!$W:$W,{"Wrong Entry ","Double Entry"}))</f>
        <v>0</v>
      </c>
      <c r="DZ1089" s="238"/>
      <c r="EA1089" s="238"/>
      <c r="EB1089" s="238"/>
      <c r="EC1089" s="238"/>
      <c r="ED1089" s="238"/>
      <c r="EE1089" s="239"/>
    </row>
    <row r="1090" spans="1:135" hidden="1">
      <c r="C1090" s="248" t="s">
        <v>121</v>
      </c>
      <c r="D1090" s="249"/>
      <c r="E1090" s="249"/>
      <c r="F1090" s="249"/>
      <c r="G1090" s="249"/>
      <c r="H1090" s="249"/>
      <c r="I1090" s="249"/>
      <c r="J1090" s="249"/>
      <c r="K1090" s="249"/>
      <c r="L1090" s="249"/>
      <c r="M1090" s="249"/>
      <c r="N1090" s="249"/>
      <c r="O1090" s="237">
        <f>COUNTIFS('Form Details'!$D:$D,"&lt;"&amp;'Adv. Filter'!$A$15,'Form Details'!$J:$J,$C1090)</f>
        <v>86</v>
      </c>
      <c r="P1090" s="238"/>
      <c r="Q1090" s="238"/>
      <c r="R1090" s="238"/>
      <c r="S1090" s="238"/>
      <c r="T1090" s="238"/>
      <c r="U1090" s="239"/>
      <c r="V1090" s="105"/>
      <c r="W1090" s="237">
        <f>COUNTIFS('Form Details'!$D:$D,"&lt;"&amp;'Adv. Filter'!$A$15,'Form Details'!$J:$J,$C1090,'Form Details'!$AA:$AA,"Yes")</f>
        <v>86</v>
      </c>
      <c r="X1090" s="238"/>
      <c r="Y1090" s="238"/>
      <c r="Z1090" s="238"/>
      <c r="AA1090" s="238"/>
      <c r="AB1090" s="238"/>
      <c r="AC1090" s="239"/>
      <c r="AD1090" s="237">
        <f>COUNTIFS('Form Details'!$D:$D,"&lt;"&amp;'Adv. Filter'!$A$15,'Form Details'!$J:$J,$C1090,'Form Details'!$W:$W,"Paid",'Form Details'!$S:$S,'Adv. Filter'!$A$14,'Form Details'!$S:$S,'Adv. Filter'!$B$14)</f>
        <v>2</v>
      </c>
      <c r="AE1090" s="238"/>
      <c r="AF1090" s="238"/>
      <c r="AG1090" s="238"/>
      <c r="AH1090" s="238"/>
      <c r="AI1090" s="238"/>
      <c r="AJ1090" s="239"/>
      <c r="AK1090" s="237">
        <f>COUNTIFS('Form Details'!$D:$D,"&lt;"&amp;'Adv. Filter'!$A$15,'Form Details'!$J:$J,$C1090,'Form Details'!$W:$W,"Due")</f>
        <v>84</v>
      </c>
      <c r="AL1090" s="238"/>
      <c r="AM1090" s="238"/>
      <c r="AN1090" s="238"/>
      <c r="AO1090" s="238"/>
      <c r="AP1090" s="238"/>
      <c r="AQ1090" s="239"/>
      <c r="AR1090" s="237">
        <f>COUNTIFS('Form Details'!$D:$D,"&lt;"&amp;'Adv. Filter'!$A$15,'Form Details'!$J:$J,$C1090,'Form Details'!$W:$W,"No Fee")</f>
        <v>0</v>
      </c>
      <c r="AS1090" s="238"/>
      <c r="AT1090" s="238"/>
      <c r="AU1090" s="238"/>
      <c r="AV1090" s="238"/>
      <c r="AW1090" s="238"/>
      <c r="AX1090" s="239"/>
      <c r="AY1090" s="237">
        <f>COUNTIFS('Form Details'!$D:$D,"&lt;"&amp;'Adv. Filter'!$A$15,'Form Details'!$J:$J,$C1090,'Form Details'!$W:$W,"Paid/Reject")</f>
        <v>0</v>
      </c>
      <c r="AZ1090" s="238"/>
      <c r="BA1090" s="238"/>
      <c r="BB1090" s="238"/>
      <c r="BC1090" s="238"/>
      <c r="BD1090" s="238"/>
      <c r="BE1090" s="239"/>
      <c r="BF1090" s="237">
        <f>COUNTIFS('Form Details'!$D:$D,"&lt;"&amp;'Adv. Filter'!$A$15,'Form Details'!$J:$J,$C1090,'Form Details'!$W:$W,"Staff")</f>
        <v>0</v>
      </c>
      <c r="BG1090" s="238"/>
      <c r="BH1090" s="238"/>
      <c r="BI1090" s="238"/>
      <c r="BJ1090" s="238"/>
      <c r="BK1090" s="238"/>
      <c r="BL1090" s="239"/>
      <c r="BM1090" s="237">
        <f>COUNTIFS('Form Details'!$D:$D,"&lt;"&amp;'Adv. Filter'!$A$15,'Form Details'!$J:$J,$C1090,'Form Details'!$W:$W,"File In Office")</f>
        <v>0</v>
      </c>
      <c r="BN1090" s="238"/>
      <c r="BO1090" s="238"/>
      <c r="BP1090" s="238"/>
      <c r="BQ1090" s="238"/>
      <c r="BR1090" s="238"/>
      <c r="BS1090" s="239"/>
      <c r="BT1090" s="105"/>
      <c r="BU1090" s="237">
        <f>COUNTIFS('Form Details'!$D:$D,"&lt;"&amp;'Adv. Filter'!$A$15,'Form Details'!$J:$J,$C1090,'Form Details'!$AA:$AA,"No")</f>
        <v>0</v>
      </c>
      <c r="BV1090" s="238"/>
      <c r="BW1090" s="238"/>
      <c r="BX1090" s="238"/>
      <c r="BY1090" s="238"/>
      <c r="BZ1090" s="238"/>
      <c r="CA1090" s="239"/>
      <c r="CB1090" s="237">
        <f>COUNTIFS('Form Details'!$D:$D,"&lt;"&amp;'Adv. Filter'!$A$15,'Form Details'!$J:$J,$C1090,'Form Details'!$W:$W,"Adv/Paid")</f>
        <v>0</v>
      </c>
      <c r="CC1090" s="238"/>
      <c r="CD1090" s="238"/>
      <c r="CE1090" s="238"/>
      <c r="CF1090" s="238"/>
      <c r="CG1090" s="238"/>
      <c r="CH1090" s="239"/>
      <c r="CI1090" s="237">
        <f>COUNTIFS('Form Details'!$D:$D,"&lt;"&amp;'Adv. Filter'!$A$15,'Form Details'!$J:$J,$C1090,'Form Details'!$W:$W,"Adv/Paid/Reject")</f>
        <v>0</v>
      </c>
      <c r="CJ1090" s="238"/>
      <c r="CK1090" s="238"/>
      <c r="CL1090" s="238"/>
      <c r="CM1090" s="238"/>
      <c r="CN1090" s="238"/>
      <c r="CO1090" s="239"/>
      <c r="CP1090" s="237">
        <f>COUNTIFS('Form Details'!$D:$D,"&lt;"&amp;'Adv. Filter'!$A$15,'Form Details'!$J:$J,$C1090,'Form Details'!$W:$W,"Reject")</f>
        <v>0</v>
      </c>
      <c r="CQ1090" s="238"/>
      <c r="CR1090" s="238"/>
      <c r="CS1090" s="238"/>
      <c r="CT1090" s="238"/>
      <c r="CU1090" s="238"/>
      <c r="CV1090" s="239"/>
      <c r="CW1090" s="237">
        <f>COUNTIFS('Form Details'!$D:$D,"&lt;"&amp;'Adv. Filter'!$A$15,'Form Details'!$J:$J,$C1090,'Form Details'!$W:$W,"Adv/Paid/Pending")</f>
        <v>0</v>
      </c>
      <c r="CX1090" s="238"/>
      <c r="CY1090" s="238"/>
      <c r="CZ1090" s="238"/>
      <c r="DA1090" s="238"/>
      <c r="DB1090" s="238"/>
      <c r="DC1090" s="239"/>
      <c r="DD1090" s="237">
        <f>COUNTIFS('Form Details'!$D:$D,"&lt;"&amp;'Adv. Filter'!$A$15,'Form Details'!$J:$J,$C1090,'Form Details'!$W:$W,"Pending")</f>
        <v>0</v>
      </c>
      <c r="DE1090" s="238"/>
      <c r="DF1090" s="238"/>
      <c r="DG1090" s="238"/>
      <c r="DH1090" s="238"/>
      <c r="DI1090" s="238"/>
      <c r="DJ1090" s="239"/>
      <c r="DK1090" s="237">
        <f>COUNTIFS('Form Details'!$D:$D,"&lt;"&amp;'Adv. Filter'!$A$15,'Form Details'!$J:$J,$C1090,'Form Details'!$W:$W,"Adv/Paid/NoStatus")</f>
        <v>0</v>
      </c>
      <c r="DL1090" s="238"/>
      <c r="DM1090" s="238"/>
      <c r="DN1090" s="238"/>
      <c r="DO1090" s="238"/>
      <c r="DP1090" s="238"/>
      <c r="DQ1090" s="239"/>
      <c r="DR1090" s="237">
        <f>COUNTIFS('Form Details'!$D:$D,"&lt;"&amp;'Adv. Filter'!$A$15,'Form Details'!$J:$J,$C1090,'Form Details'!$W:$W,"No Status")</f>
        <v>0</v>
      </c>
      <c r="DS1090" s="238"/>
      <c r="DT1090" s="238"/>
      <c r="DU1090" s="238"/>
      <c r="DV1090" s="238"/>
      <c r="DW1090" s="238"/>
      <c r="DX1090" s="239"/>
      <c r="DY1090" s="237">
        <f>SUM(COUNTIFS('Form Details'!$D:$D,"&lt;"&amp;'Adv. Filter'!$A$15,'Form Details'!$J:$J,$C1090,'Form Details'!$W:$W,{"Wrong Entry ","Double Entry"}))</f>
        <v>0</v>
      </c>
      <c r="DZ1090" s="238"/>
      <c r="EA1090" s="238"/>
      <c r="EB1090" s="238"/>
      <c r="EC1090" s="238"/>
      <c r="ED1090" s="238"/>
      <c r="EE1090" s="239"/>
    </row>
    <row r="1091" spans="1:135" hidden="1">
      <c r="C1091" s="248" t="s">
        <v>111</v>
      </c>
      <c r="D1091" s="249"/>
      <c r="E1091" s="249"/>
      <c r="F1091" s="249"/>
      <c r="G1091" s="249"/>
      <c r="H1091" s="249"/>
      <c r="I1091" s="249"/>
      <c r="J1091" s="249"/>
      <c r="K1091" s="249"/>
      <c r="L1091" s="249"/>
      <c r="M1091" s="249"/>
      <c r="N1091" s="249"/>
      <c r="O1091" s="237">
        <f>COUNTIFS('Form Details'!$D:$D,"&lt;"&amp;'Adv. Filter'!$A$15,'Form Details'!$J:$J,$C1091)</f>
        <v>0</v>
      </c>
      <c r="P1091" s="238"/>
      <c r="Q1091" s="238"/>
      <c r="R1091" s="238"/>
      <c r="S1091" s="238"/>
      <c r="T1091" s="238"/>
      <c r="U1091" s="239"/>
      <c r="V1091" s="105"/>
      <c r="W1091" s="237">
        <f>COUNTIFS('Form Details'!$D:$D,"&lt;"&amp;'Adv. Filter'!$A$15,'Form Details'!$J:$J,$C1091,'Form Details'!$AA:$AA,"Yes")</f>
        <v>0</v>
      </c>
      <c r="X1091" s="238"/>
      <c r="Y1091" s="238"/>
      <c r="Z1091" s="238"/>
      <c r="AA1091" s="238"/>
      <c r="AB1091" s="238"/>
      <c r="AC1091" s="239"/>
      <c r="AD1091" s="237">
        <f>COUNTIFS('Form Details'!$D:$D,"&lt;"&amp;'Adv. Filter'!$A$15,'Form Details'!$J:$J,$C1091,'Form Details'!$W:$W,"Paid",'Form Details'!$S:$S,'Adv. Filter'!$A$14,'Form Details'!$S:$S,'Adv. Filter'!$B$14)</f>
        <v>0</v>
      </c>
      <c r="AE1091" s="238"/>
      <c r="AF1091" s="238"/>
      <c r="AG1091" s="238"/>
      <c r="AH1091" s="238"/>
      <c r="AI1091" s="238"/>
      <c r="AJ1091" s="239"/>
      <c r="AK1091" s="237">
        <f>COUNTIFS('Form Details'!$D:$D,"&lt;"&amp;'Adv. Filter'!$A$15,'Form Details'!$J:$J,$C1091,'Form Details'!$W:$W,"Due")</f>
        <v>0</v>
      </c>
      <c r="AL1091" s="238"/>
      <c r="AM1091" s="238"/>
      <c r="AN1091" s="238"/>
      <c r="AO1091" s="238"/>
      <c r="AP1091" s="238"/>
      <c r="AQ1091" s="239"/>
      <c r="AR1091" s="237">
        <f>COUNTIFS('Form Details'!$D:$D,"&lt;"&amp;'Adv. Filter'!$A$15,'Form Details'!$J:$J,$C1091,'Form Details'!$W:$W,"No Fee")</f>
        <v>0</v>
      </c>
      <c r="AS1091" s="238"/>
      <c r="AT1091" s="238"/>
      <c r="AU1091" s="238"/>
      <c r="AV1091" s="238"/>
      <c r="AW1091" s="238"/>
      <c r="AX1091" s="239"/>
      <c r="AY1091" s="237">
        <f>COUNTIFS('Form Details'!$D:$D,"&lt;"&amp;'Adv. Filter'!$A$15,'Form Details'!$J:$J,$C1091,'Form Details'!$W:$W,"Paid/Reject")</f>
        <v>0</v>
      </c>
      <c r="AZ1091" s="238"/>
      <c r="BA1091" s="238"/>
      <c r="BB1091" s="238"/>
      <c r="BC1091" s="238"/>
      <c r="BD1091" s="238"/>
      <c r="BE1091" s="239"/>
      <c r="BF1091" s="237">
        <f>COUNTIFS('Form Details'!$D:$D,"&lt;"&amp;'Adv. Filter'!$A$15,'Form Details'!$J:$J,$C1091,'Form Details'!$W:$W,"Staff")</f>
        <v>0</v>
      </c>
      <c r="BG1091" s="238"/>
      <c r="BH1091" s="238"/>
      <c r="BI1091" s="238"/>
      <c r="BJ1091" s="238"/>
      <c r="BK1091" s="238"/>
      <c r="BL1091" s="239"/>
      <c r="BM1091" s="237">
        <f>COUNTIFS('Form Details'!$D:$D,"&lt;"&amp;'Adv. Filter'!$A$15,'Form Details'!$J:$J,$C1091,'Form Details'!$W:$W,"File In Office")</f>
        <v>0</v>
      </c>
      <c r="BN1091" s="238"/>
      <c r="BO1091" s="238"/>
      <c r="BP1091" s="238"/>
      <c r="BQ1091" s="238"/>
      <c r="BR1091" s="238"/>
      <c r="BS1091" s="239"/>
      <c r="BT1091" s="105"/>
      <c r="BU1091" s="237">
        <f>COUNTIFS('Form Details'!$D:$D,"&lt;"&amp;'Adv. Filter'!$A$15,'Form Details'!$J:$J,$C1091,'Form Details'!$AA:$AA,"No")</f>
        <v>0</v>
      </c>
      <c r="BV1091" s="238"/>
      <c r="BW1091" s="238"/>
      <c r="BX1091" s="238"/>
      <c r="BY1091" s="238"/>
      <c r="BZ1091" s="238"/>
      <c r="CA1091" s="239"/>
      <c r="CB1091" s="237">
        <f>COUNTIFS('Form Details'!$D:$D,"&lt;"&amp;'Adv. Filter'!$A$15,'Form Details'!$J:$J,$C1091,'Form Details'!$W:$W,"Adv/Paid")</f>
        <v>0</v>
      </c>
      <c r="CC1091" s="238"/>
      <c r="CD1091" s="238"/>
      <c r="CE1091" s="238"/>
      <c r="CF1091" s="238"/>
      <c r="CG1091" s="238"/>
      <c r="CH1091" s="239"/>
      <c r="CI1091" s="237">
        <f>COUNTIFS('Form Details'!$D:$D,"&lt;"&amp;'Adv. Filter'!$A$15,'Form Details'!$J:$J,$C1091,'Form Details'!$W:$W,"Adv/Paid/Reject")</f>
        <v>0</v>
      </c>
      <c r="CJ1091" s="238"/>
      <c r="CK1091" s="238"/>
      <c r="CL1091" s="238"/>
      <c r="CM1091" s="238"/>
      <c r="CN1091" s="238"/>
      <c r="CO1091" s="239"/>
      <c r="CP1091" s="237">
        <f>COUNTIFS('Form Details'!$D:$D,"&lt;"&amp;'Adv. Filter'!$A$15,'Form Details'!$J:$J,$C1091,'Form Details'!$W:$W,"Reject")</f>
        <v>0</v>
      </c>
      <c r="CQ1091" s="238"/>
      <c r="CR1091" s="238"/>
      <c r="CS1091" s="238"/>
      <c r="CT1091" s="238"/>
      <c r="CU1091" s="238"/>
      <c r="CV1091" s="239"/>
      <c r="CW1091" s="237">
        <f>COUNTIFS('Form Details'!$D:$D,"&lt;"&amp;'Adv. Filter'!$A$15,'Form Details'!$J:$J,$C1091,'Form Details'!$W:$W,"Adv/Paid/Pending")</f>
        <v>0</v>
      </c>
      <c r="CX1091" s="238"/>
      <c r="CY1091" s="238"/>
      <c r="CZ1091" s="238"/>
      <c r="DA1091" s="238"/>
      <c r="DB1091" s="238"/>
      <c r="DC1091" s="239"/>
      <c r="DD1091" s="237">
        <f>COUNTIFS('Form Details'!$D:$D,"&lt;"&amp;'Adv. Filter'!$A$15,'Form Details'!$J:$J,$C1091,'Form Details'!$W:$W,"Pending")</f>
        <v>0</v>
      </c>
      <c r="DE1091" s="238"/>
      <c r="DF1091" s="238"/>
      <c r="DG1091" s="238"/>
      <c r="DH1091" s="238"/>
      <c r="DI1091" s="238"/>
      <c r="DJ1091" s="239"/>
      <c r="DK1091" s="237">
        <f>COUNTIFS('Form Details'!$D:$D,"&lt;"&amp;'Adv. Filter'!$A$15,'Form Details'!$J:$J,$C1091,'Form Details'!$W:$W,"Adv/Paid/NoStatus")</f>
        <v>0</v>
      </c>
      <c r="DL1091" s="238"/>
      <c r="DM1091" s="238"/>
      <c r="DN1091" s="238"/>
      <c r="DO1091" s="238"/>
      <c r="DP1091" s="238"/>
      <c r="DQ1091" s="239"/>
      <c r="DR1091" s="237">
        <f>COUNTIFS('Form Details'!$D:$D,"&lt;"&amp;'Adv. Filter'!$A$15,'Form Details'!$J:$J,$C1091,'Form Details'!$W:$W,"No Status")</f>
        <v>0</v>
      </c>
      <c r="DS1091" s="238"/>
      <c r="DT1091" s="238"/>
      <c r="DU1091" s="238"/>
      <c r="DV1091" s="238"/>
      <c r="DW1091" s="238"/>
      <c r="DX1091" s="239"/>
      <c r="DY1091" s="237">
        <f>SUM(COUNTIFS('Form Details'!$D:$D,"&lt;"&amp;'Adv. Filter'!$A$15,'Form Details'!$J:$J,$C1091,'Form Details'!$W:$W,{"Wrong Entry ","Double Entry"}))</f>
        <v>0</v>
      </c>
      <c r="DZ1091" s="238"/>
      <c r="EA1091" s="238"/>
      <c r="EB1091" s="238"/>
      <c r="EC1091" s="238"/>
      <c r="ED1091" s="238"/>
      <c r="EE1091" s="239"/>
    </row>
    <row r="1092" spans="1:135" hidden="1">
      <c r="C1092" s="248" t="s">
        <v>116</v>
      </c>
      <c r="D1092" s="249"/>
      <c r="E1092" s="249"/>
      <c r="F1092" s="249"/>
      <c r="G1092" s="249"/>
      <c r="H1092" s="249"/>
      <c r="I1092" s="249"/>
      <c r="J1092" s="249"/>
      <c r="K1092" s="249"/>
      <c r="L1092" s="249"/>
      <c r="M1092" s="249"/>
      <c r="N1092" s="249"/>
      <c r="O1092" s="237">
        <f>COUNTIFS('Form Details'!$D:$D,"&lt;"&amp;'Adv. Filter'!$A$15,'Form Details'!$J:$J,$C1092)</f>
        <v>3</v>
      </c>
      <c r="P1092" s="238"/>
      <c r="Q1092" s="238"/>
      <c r="R1092" s="238"/>
      <c r="S1092" s="238"/>
      <c r="T1092" s="238"/>
      <c r="U1092" s="239"/>
      <c r="V1092" s="105"/>
      <c r="W1092" s="237">
        <f>COUNTIFS('Form Details'!$D:$D,"&lt;"&amp;'Adv. Filter'!$A$15,'Form Details'!$J:$J,$C1092,'Form Details'!$AA:$AA,"Yes")</f>
        <v>3</v>
      </c>
      <c r="X1092" s="238"/>
      <c r="Y1092" s="238"/>
      <c r="Z1092" s="238"/>
      <c r="AA1092" s="238"/>
      <c r="AB1092" s="238"/>
      <c r="AC1092" s="239"/>
      <c r="AD1092" s="237">
        <f>COUNTIFS('Form Details'!$D:$D,"&lt;"&amp;'Adv. Filter'!$A$15,'Form Details'!$J:$J,$C1092,'Form Details'!$W:$W,"Paid",'Form Details'!$S:$S,'Adv. Filter'!$A$14,'Form Details'!$S:$S,'Adv. Filter'!$B$14)</f>
        <v>0</v>
      </c>
      <c r="AE1092" s="238"/>
      <c r="AF1092" s="238"/>
      <c r="AG1092" s="238"/>
      <c r="AH1092" s="238"/>
      <c r="AI1092" s="238"/>
      <c r="AJ1092" s="239"/>
      <c r="AK1092" s="237">
        <f>COUNTIFS('Form Details'!$D:$D,"&lt;"&amp;'Adv. Filter'!$A$15,'Form Details'!$J:$J,$C1092,'Form Details'!$W:$W,"Due")</f>
        <v>3</v>
      </c>
      <c r="AL1092" s="238"/>
      <c r="AM1092" s="238"/>
      <c r="AN1092" s="238"/>
      <c r="AO1092" s="238"/>
      <c r="AP1092" s="238"/>
      <c r="AQ1092" s="239"/>
      <c r="AR1092" s="237">
        <f>COUNTIFS('Form Details'!$D:$D,"&lt;"&amp;'Adv. Filter'!$A$15,'Form Details'!$J:$J,$C1092,'Form Details'!$W:$W,"No Fee")</f>
        <v>0</v>
      </c>
      <c r="AS1092" s="238"/>
      <c r="AT1092" s="238"/>
      <c r="AU1092" s="238"/>
      <c r="AV1092" s="238"/>
      <c r="AW1092" s="238"/>
      <c r="AX1092" s="239"/>
      <c r="AY1092" s="237">
        <f>COUNTIFS('Form Details'!$D:$D,"&lt;"&amp;'Adv. Filter'!$A$15,'Form Details'!$J:$J,$C1092,'Form Details'!$W:$W,"Paid/Reject")</f>
        <v>0</v>
      </c>
      <c r="AZ1092" s="238"/>
      <c r="BA1092" s="238"/>
      <c r="BB1092" s="238"/>
      <c r="BC1092" s="238"/>
      <c r="BD1092" s="238"/>
      <c r="BE1092" s="239"/>
      <c r="BF1092" s="237">
        <f>COUNTIFS('Form Details'!$D:$D,"&lt;"&amp;'Adv. Filter'!$A$15,'Form Details'!$J:$J,$C1092,'Form Details'!$W:$W,"Staff")</f>
        <v>0</v>
      </c>
      <c r="BG1092" s="238"/>
      <c r="BH1092" s="238"/>
      <c r="BI1092" s="238"/>
      <c r="BJ1092" s="238"/>
      <c r="BK1092" s="238"/>
      <c r="BL1092" s="239"/>
      <c r="BM1092" s="237">
        <f>COUNTIFS('Form Details'!$D:$D,"&lt;"&amp;'Adv. Filter'!$A$15,'Form Details'!$J:$J,$C1092,'Form Details'!$W:$W,"File In Office")</f>
        <v>0</v>
      </c>
      <c r="BN1092" s="238"/>
      <c r="BO1092" s="238"/>
      <c r="BP1092" s="238"/>
      <c r="BQ1092" s="238"/>
      <c r="BR1092" s="238"/>
      <c r="BS1092" s="239"/>
      <c r="BT1092" s="105"/>
      <c r="BU1092" s="237">
        <f>COUNTIFS('Form Details'!$D:$D,"&lt;"&amp;'Adv. Filter'!$A$15,'Form Details'!$J:$J,$C1092,'Form Details'!$AA:$AA,"No")</f>
        <v>0</v>
      </c>
      <c r="BV1092" s="238"/>
      <c r="BW1092" s="238"/>
      <c r="BX1092" s="238"/>
      <c r="BY1092" s="238"/>
      <c r="BZ1092" s="238"/>
      <c r="CA1092" s="239"/>
      <c r="CB1092" s="237">
        <f>COUNTIFS('Form Details'!$D:$D,"&lt;"&amp;'Adv. Filter'!$A$15,'Form Details'!$J:$J,$C1092,'Form Details'!$W:$W,"Adv/Paid")</f>
        <v>0</v>
      </c>
      <c r="CC1092" s="238"/>
      <c r="CD1092" s="238"/>
      <c r="CE1092" s="238"/>
      <c r="CF1092" s="238"/>
      <c r="CG1092" s="238"/>
      <c r="CH1092" s="239"/>
      <c r="CI1092" s="237">
        <f>COUNTIFS('Form Details'!$D:$D,"&lt;"&amp;'Adv. Filter'!$A$15,'Form Details'!$J:$J,$C1092,'Form Details'!$W:$W,"Adv/Paid/Reject")</f>
        <v>0</v>
      </c>
      <c r="CJ1092" s="238"/>
      <c r="CK1092" s="238"/>
      <c r="CL1092" s="238"/>
      <c r="CM1092" s="238"/>
      <c r="CN1092" s="238"/>
      <c r="CO1092" s="239"/>
      <c r="CP1092" s="237">
        <f>COUNTIFS('Form Details'!$D:$D,"&lt;"&amp;'Adv. Filter'!$A$15,'Form Details'!$J:$J,$C1092,'Form Details'!$W:$W,"Reject")</f>
        <v>0</v>
      </c>
      <c r="CQ1092" s="238"/>
      <c r="CR1092" s="238"/>
      <c r="CS1092" s="238"/>
      <c r="CT1092" s="238"/>
      <c r="CU1092" s="238"/>
      <c r="CV1092" s="239"/>
      <c r="CW1092" s="237">
        <f>COUNTIFS('Form Details'!$D:$D,"&lt;"&amp;'Adv. Filter'!$A$15,'Form Details'!$J:$J,$C1092,'Form Details'!$W:$W,"Adv/Paid/Pending")</f>
        <v>0</v>
      </c>
      <c r="CX1092" s="238"/>
      <c r="CY1092" s="238"/>
      <c r="CZ1092" s="238"/>
      <c r="DA1092" s="238"/>
      <c r="DB1092" s="238"/>
      <c r="DC1092" s="239"/>
      <c r="DD1092" s="237">
        <f>COUNTIFS('Form Details'!$D:$D,"&lt;"&amp;'Adv. Filter'!$A$15,'Form Details'!$J:$J,$C1092,'Form Details'!$W:$W,"Pending")</f>
        <v>0</v>
      </c>
      <c r="DE1092" s="238"/>
      <c r="DF1092" s="238"/>
      <c r="DG1092" s="238"/>
      <c r="DH1092" s="238"/>
      <c r="DI1092" s="238"/>
      <c r="DJ1092" s="239"/>
      <c r="DK1092" s="237">
        <f>COUNTIFS('Form Details'!$D:$D,"&lt;"&amp;'Adv. Filter'!$A$15,'Form Details'!$J:$J,$C1092,'Form Details'!$W:$W,"Adv/Paid/NoStatus")</f>
        <v>0</v>
      </c>
      <c r="DL1092" s="238"/>
      <c r="DM1092" s="238"/>
      <c r="DN1092" s="238"/>
      <c r="DO1092" s="238"/>
      <c r="DP1092" s="238"/>
      <c r="DQ1092" s="239"/>
      <c r="DR1092" s="237">
        <f>COUNTIFS('Form Details'!$D:$D,"&lt;"&amp;'Adv. Filter'!$A$15,'Form Details'!$J:$J,$C1092,'Form Details'!$W:$W,"No Status")</f>
        <v>0</v>
      </c>
      <c r="DS1092" s="238"/>
      <c r="DT1092" s="238"/>
      <c r="DU1092" s="238"/>
      <c r="DV1092" s="238"/>
      <c r="DW1092" s="238"/>
      <c r="DX1092" s="239"/>
      <c r="DY1092" s="237">
        <f>SUM(COUNTIFS('Form Details'!$D:$D,"&lt;"&amp;'Adv. Filter'!$A$15,'Form Details'!$J:$J,$C1092,'Form Details'!$W:$W,{"Wrong Entry ","Double Entry"}))</f>
        <v>0</v>
      </c>
      <c r="DZ1092" s="238"/>
      <c r="EA1092" s="238"/>
      <c r="EB1092" s="238"/>
      <c r="EC1092" s="238"/>
      <c r="ED1092" s="238"/>
      <c r="EE1092" s="239"/>
    </row>
    <row r="1093" spans="1:135" hidden="1">
      <c r="C1093" s="248" t="s">
        <v>119</v>
      </c>
      <c r="D1093" s="249"/>
      <c r="E1093" s="249"/>
      <c r="F1093" s="249"/>
      <c r="G1093" s="249"/>
      <c r="H1093" s="249"/>
      <c r="I1093" s="249"/>
      <c r="J1093" s="249"/>
      <c r="K1093" s="249"/>
      <c r="L1093" s="249"/>
      <c r="M1093" s="249"/>
      <c r="N1093" s="249"/>
      <c r="O1093" s="237">
        <f>COUNTIFS('Form Details'!$D:$D,"&lt;"&amp;'Adv. Filter'!$A$15,'Form Details'!$J:$J,$C1093)</f>
        <v>21</v>
      </c>
      <c r="P1093" s="238"/>
      <c r="Q1093" s="238"/>
      <c r="R1093" s="238"/>
      <c r="S1093" s="238"/>
      <c r="T1093" s="238"/>
      <c r="U1093" s="239"/>
      <c r="V1093" s="105"/>
      <c r="W1093" s="237">
        <f>COUNTIFS('Form Details'!$D:$D,"&lt;"&amp;'Adv. Filter'!$A$15,'Form Details'!$J:$J,$C1093,'Form Details'!$AA:$AA,"Yes")</f>
        <v>21</v>
      </c>
      <c r="X1093" s="238"/>
      <c r="Y1093" s="238"/>
      <c r="Z1093" s="238"/>
      <c r="AA1093" s="238"/>
      <c r="AB1093" s="238"/>
      <c r="AC1093" s="239"/>
      <c r="AD1093" s="237">
        <f>COUNTIFS('Form Details'!$D:$D,"&lt;"&amp;'Adv. Filter'!$A$15,'Form Details'!$J:$J,$C1093,'Form Details'!$W:$W,"Paid",'Form Details'!$S:$S,'Adv. Filter'!$A$14,'Form Details'!$S:$S,'Adv. Filter'!$B$14)</f>
        <v>0</v>
      </c>
      <c r="AE1093" s="238"/>
      <c r="AF1093" s="238"/>
      <c r="AG1093" s="238"/>
      <c r="AH1093" s="238"/>
      <c r="AI1093" s="238"/>
      <c r="AJ1093" s="239"/>
      <c r="AK1093" s="237">
        <f>COUNTIFS('Form Details'!$D:$D,"&lt;"&amp;'Adv. Filter'!$A$15,'Form Details'!$J:$J,$C1093,'Form Details'!$W:$W,"Due")</f>
        <v>21</v>
      </c>
      <c r="AL1093" s="238"/>
      <c r="AM1093" s="238"/>
      <c r="AN1093" s="238"/>
      <c r="AO1093" s="238"/>
      <c r="AP1093" s="238"/>
      <c r="AQ1093" s="239"/>
      <c r="AR1093" s="237">
        <f>COUNTIFS('Form Details'!$D:$D,"&lt;"&amp;'Adv. Filter'!$A$15,'Form Details'!$J:$J,$C1093,'Form Details'!$W:$W,"No Fee")</f>
        <v>0</v>
      </c>
      <c r="AS1093" s="238"/>
      <c r="AT1093" s="238"/>
      <c r="AU1093" s="238"/>
      <c r="AV1093" s="238"/>
      <c r="AW1093" s="238"/>
      <c r="AX1093" s="239"/>
      <c r="AY1093" s="237">
        <f>COUNTIFS('Form Details'!$D:$D,"&lt;"&amp;'Adv. Filter'!$A$15,'Form Details'!$J:$J,$C1093,'Form Details'!$W:$W,"Paid/Reject")</f>
        <v>0</v>
      </c>
      <c r="AZ1093" s="238"/>
      <c r="BA1093" s="238"/>
      <c r="BB1093" s="238"/>
      <c r="BC1093" s="238"/>
      <c r="BD1093" s="238"/>
      <c r="BE1093" s="239"/>
      <c r="BF1093" s="237">
        <f>COUNTIFS('Form Details'!$D:$D,"&lt;"&amp;'Adv. Filter'!$A$15,'Form Details'!$J:$J,$C1093,'Form Details'!$W:$W,"Staff")</f>
        <v>0</v>
      </c>
      <c r="BG1093" s="238"/>
      <c r="BH1093" s="238"/>
      <c r="BI1093" s="238"/>
      <c r="BJ1093" s="238"/>
      <c r="BK1093" s="238"/>
      <c r="BL1093" s="239"/>
      <c r="BM1093" s="237">
        <f>COUNTIFS('Form Details'!$D:$D,"&lt;"&amp;'Adv. Filter'!$A$15,'Form Details'!$J:$J,$C1093,'Form Details'!$W:$W,"File In Office")</f>
        <v>0</v>
      </c>
      <c r="BN1093" s="238"/>
      <c r="BO1093" s="238"/>
      <c r="BP1093" s="238"/>
      <c r="BQ1093" s="238"/>
      <c r="BR1093" s="238"/>
      <c r="BS1093" s="239"/>
      <c r="BT1093" s="105"/>
      <c r="BU1093" s="237">
        <f>COUNTIFS('Form Details'!$D:$D,"&lt;"&amp;'Adv. Filter'!$A$15,'Form Details'!$J:$J,$C1093,'Form Details'!$AA:$AA,"No")</f>
        <v>0</v>
      </c>
      <c r="BV1093" s="238"/>
      <c r="BW1093" s="238"/>
      <c r="BX1093" s="238"/>
      <c r="BY1093" s="238"/>
      <c r="BZ1093" s="238"/>
      <c r="CA1093" s="239"/>
      <c r="CB1093" s="237">
        <f>COUNTIFS('Form Details'!$D:$D,"&lt;"&amp;'Adv. Filter'!$A$15,'Form Details'!$J:$J,$C1093,'Form Details'!$W:$W,"Adv/Paid")</f>
        <v>0</v>
      </c>
      <c r="CC1093" s="238"/>
      <c r="CD1093" s="238"/>
      <c r="CE1093" s="238"/>
      <c r="CF1093" s="238"/>
      <c r="CG1093" s="238"/>
      <c r="CH1093" s="239"/>
      <c r="CI1093" s="237">
        <f>COUNTIFS('Form Details'!$D:$D,"&lt;"&amp;'Adv. Filter'!$A$15,'Form Details'!$J:$J,$C1093,'Form Details'!$W:$W,"Adv/Paid/Reject")</f>
        <v>0</v>
      </c>
      <c r="CJ1093" s="238"/>
      <c r="CK1093" s="238"/>
      <c r="CL1093" s="238"/>
      <c r="CM1093" s="238"/>
      <c r="CN1093" s="238"/>
      <c r="CO1093" s="239"/>
      <c r="CP1093" s="237">
        <f>COUNTIFS('Form Details'!$D:$D,"&lt;"&amp;'Adv. Filter'!$A$15,'Form Details'!$J:$J,$C1093,'Form Details'!$W:$W,"Reject")</f>
        <v>0</v>
      </c>
      <c r="CQ1093" s="238"/>
      <c r="CR1093" s="238"/>
      <c r="CS1093" s="238"/>
      <c r="CT1093" s="238"/>
      <c r="CU1093" s="238"/>
      <c r="CV1093" s="239"/>
      <c r="CW1093" s="237">
        <f>COUNTIFS('Form Details'!$D:$D,"&lt;"&amp;'Adv. Filter'!$A$15,'Form Details'!$J:$J,$C1093,'Form Details'!$W:$W,"Adv/Paid/Pending")</f>
        <v>0</v>
      </c>
      <c r="CX1093" s="238"/>
      <c r="CY1093" s="238"/>
      <c r="CZ1093" s="238"/>
      <c r="DA1093" s="238"/>
      <c r="DB1093" s="238"/>
      <c r="DC1093" s="239"/>
      <c r="DD1093" s="237">
        <f>COUNTIFS('Form Details'!$D:$D,"&lt;"&amp;'Adv. Filter'!$A$15,'Form Details'!$J:$J,$C1093,'Form Details'!$W:$W,"Pending")</f>
        <v>0</v>
      </c>
      <c r="DE1093" s="238"/>
      <c r="DF1093" s="238"/>
      <c r="DG1093" s="238"/>
      <c r="DH1093" s="238"/>
      <c r="DI1093" s="238"/>
      <c r="DJ1093" s="239"/>
      <c r="DK1093" s="237">
        <f>COUNTIFS('Form Details'!$D:$D,"&lt;"&amp;'Adv. Filter'!$A$15,'Form Details'!$J:$J,$C1093,'Form Details'!$W:$W,"Adv/Paid/NoStatus")</f>
        <v>0</v>
      </c>
      <c r="DL1093" s="238"/>
      <c r="DM1093" s="238"/>
      <c r="DN1093" s="238"/>
      <c r="DO1093" s="238"/>
      <c r="DP1093" s="238"/>
      <c r="DQ1093" s="239"/>
      <c r="DR1093" s="237">
        <f>COUNTIFS('Form Details'!$D:$D,"&lt;"&amp;'Adv. Filter'!$A$15,'Form Details'!$J:$J,$C1093,'Form Details'!$W:$W,"No Status")</f>
        <v>0</v>
      </c>
      <c r="DS1093" s="238"/>
      <c r="DT1093" s="238"/>
      <c r="DU1093" s="238"/>
      <c r="DV1093" s="238"/>
      <c r="DW1093" s="238"/>
      <c r="DX1093" s="239"/>
      <c r="DY1093" s="237">
        <f>SUM(COUNTIFS('Form Details'!$D:$D,"&lt;"&amp;'Adv. Filter'!$A$15,'Form Details'!$J:$J,$C1093,'Form Details'!$W:$W,{"Wrong Entry ","Double Entry"}))</f>
        <v>0</v>
      </c>
      <c r="DZ1093" s="238"/>
      <c r="EA1093" s="238"/>
      <c r="EB1093" s="238"/>
      <c r="EC1093" s="238"/>
      <c r="ED1093" s="238"/>
      <c r="EE1093" s="239"/>
    </row>
    <row r="1094" spans="1:135" hidden="1">
      <c r="C1094" s="248" t="s">
        <v>92</v>
      </c>
      <c r="D1094" s="249"/>
      <c r="E1094" s="249"/>
      <c r="F1094" s="249"/>
      <c r="G1094" s="249"/>
      <c r="H1094" s="249"/>
      <c r="I1094" s="249"/>
      <c r="J1094" s="249"/>
      <c r="K1094" s="249"/>
      <c r="L1094" s="249"/>
      <c r="M1094" s="249"/>
      <c r="N1094" s="249"/>
      <c r="O1094" s="237">
        <f>COUNTIFS('Form Details'!$D:$D,"&lt;"&amp;'Adv. Filter'!$A$15,'Form Details'!$J:$J,$C1094)</f>
        <v>2</v>
      </c>
      <c r="P1094" s="238"/>
      <c r="Q1094" s="238"/>
      <c r="R1094" s="238"/>
      <c r="S1094" s="238"/>
      <c r="T1094" s="238"/>
      <c r="U1094" s="239"/>
      <c r="V1094" s="105"/>
      <c r="W1094" s="237">
        <f>COUNTIFS('Form Details'!$D:$D,"&lt;"&amp;'Adv. Filter'!$A$15,'Form Details'!$J:$J,$C1094,'Form Details'!$AA:$AA,"Yes")</f>
        <v>2</v>
      </c>
      <c r="X1094" s="238"/>
      <c r="Y1094" s="238"/>
      <c r="Z1094" s="238"/>
      <c r="AA1094" s="238"/>
      <c r="AB1094" s="238"/>
      <c r="AC1094" s="239"/>
      <c r="AD1094" s="237">
        <f>COUNTIFS('Form Details'!$D:$D,"&lt;"&amp;'Adv. Filter'!$A$15,'Form Details'!$J:$J,$C1094,'Form Details'!$W:$W,"Paid",'Form Details'!$S:$S,'Adv. Filter'!$A$14,'Form Details'!$S:$S,'Adv. Filter'!$B$14)</f>
        <v>1</v>
      </c>
      <c r="AE1094" s="238"/>
      <c r="AF1094" s="238"/>
      <c r="AG1094" s="238"/>
      <c r="AH1094" s="238"/>
      <c r="AI1094" s="238"/>
      <c r="AJ1094" s="239"/>
      <c r="AK1094" s="237">
        <f>COUNTIFS('Form Details'!$D:$D,"&lt;"&amp;'Adv. Filter'!$A$15,'Form Details'!$J:$J,$C1094,'Form Details'!$W:$W,"Due")</f>
        <v>1</v>
      </c>
      <c r="AL1094" s="238"/>
      <c r="AM1094" s="238"/>
      <c r="AN1094" s="238"/>
      <c r="AO1094" s="238"/>
      <c r="AP1094" s="238"/>
      <c r="AQ1094" s="239"/>
      <c r="AR1094" s="237">
        <f>COUNTIFS('Form Details'!$D:$D,"&lt;"&amp;'Adv. Filter'!$A$15,'Form Details'!$J:$J,$C1094,'Form Details'!$W:$W,"No Fee")</f>
        <v>0</v>
      </c>
      <c r="AS1094" s="238"/>
      <c r="AT1094" s="238"/>
      <c r="AU1094" s="238"/>
      <c r="AV1094" s="238"/>
      <c r="AW1094" s="238"/>
      <c r="AX1094" s="239"/>
      <c r="AY1094" s="237">
        <f>COUNTIFS('Form Details'!$D:$D,"&lt;"&amp;'Adv. Filter'!$A$15,'Form Details'!$J:$J,$C1094,'Form Details'!$W:$W,"Paid/Reject")</f>
        <v>0</v>
      </c>
      <c r="AZ1094" s="238"/>
      <c r="BA1094" s="238"/>
      <c r="BB1094" s="238"/>
      <c r="BC1094" s="238"/>
      <c r="BD1094" s="238"/>
      <c r="BE1094" s="239"/>
      <c r="BF1094" s="237">
        <f>COUNTIFS('Form Details'!$D:$D,"&lt;"&amp;'Adv. Filter'!$A$15,'Form Details'!$J:$J,$C1094,'Form Details'!$W:$W,"Staff")</f>
        <v>0</v>
      </c>
      <c r="BG1094" s="238"/>
      <c r="BH1094" s="238"/>
      <c r="BI1094" s="238"/>
      <c r="BJ1094" s="238"/>
      <c r="BK1094" s="238"/>
      <c r="BL1094" s="239"/>
      <c r="BM1094" s="237">
        <f>COUNTIFS('Form Details'!$D:$D,"&lt;"&amp;'Adv. Filter'!$A$15,'Form Details'!$J:$J,$C1094,'Form Details'!$W:$W,"File In Office")</f>
        <v>0</v>
      </c>
      <c r="BN1094" s="238"/>
      <c r="BO1094" s="238"/>
      <c r="BP1094" s="238"/>
      <c r="BQ1094" s="238"/>
      <c r="BR1094" s="238"/>
      <c r="BS1094" s="239"/>
      <c r="BT1094" s="105"/>
      <c r="BU1094" s="237">
        <f>COUNTIFS('Form Details'!$D:$D,"&lt;"&amp;'Adv. Filter'!$A$15,'Form Details'!$J:$J,$C1094,'Form Details'!$AA:$AA,"No")</f>
        <v>0</v>
      </c>
      <c r="BV1094" s="238"/>
      <c r="BW1094" s="238"/>
      <c r="BX1094" s="238"/>
      <c r="BY1094" s="238"/>
      <c r="BZ1094" s="238"/>
      <c r="CA1094" s="239"/>
      <c r="CB1094" s="237">
        <f>COUNTIFS('Form Details'!$D:$D,"&lt;"&amp;'Adv. Filter'!$A$15,'Form Details'!$J:$J,$C1094,'Form Details'!$W:$W,"Adv/Paid")</f>
        <v>0</v>
      </c>
      <c r="CC1094" s="238"/>
      <c r="CD1094" s="238"/>
      <c r="CE1094" s="238"/>
      <c r="CF1094" s="238"/>
      <c r="CG1094" s="238"/>
      <c r="CH1094" s="239"/>
      <c r="CI1094" s="237">
        <f>COUNTIFS('Form Details'!$D:$D,"&lt;"&amp;'Adv. Filter'!$A$15,'Form Details'!$J:$J,$C1094,'Form Details'!$W:$W,"Adv/Paid/Reject")</f>
        <v>0</v>
      </c>
      <c r="CJ1094" s="238"/>
      <c r="CK1094" s="238"/>
      <c r="CL1094" s="238"/>
      <c r="CM1094" s="238"/>
      <c r="CN1094" s="238"/>
      <c r="CO1094" s="239"/>
      <c r="CP1094" s="237">
        <f>COUNTIFS('Form Details'!$D:$D,"&lt;"&amp;'Adv. Filter'!$A$15,'Form Details'!$J:$J,$C1094,'Form Details'!$W:$W,"Reject")</f>
        <v>0</v>
      </c>
      <c r="CQ1094" s="238"/>
      <c r="CR1094" s="238"/>
      <c r="CS1094" s="238"/>
      <c r="CT1094" s="238"/>
      <c r="CU1094" s="238"/>
      <c r="CV1094" s="239"/>
      <c r="CW1094" s="237">
        <f>COUNTIFS('Form Details'!$D:$D,"&lt;"&amp;'Adv. Filter'!$A$15,'Form Details'!$J:$J,$C1094,'Form Details'!$W:$W,"Adv/Paid/Pending")</f>
        <v>0</v>
      </c>
      <c r="CX1094" s="238"/>
      <c r="CY1094" s="238"/>
      <c r="CZ1094" s="238"/>
      <c r="DA1094" s="238"/>
      <c r="DB1094" s="238"/>
      <c r="DC1094" s="239"/>
      <c r="DD1094" s="237">
        <f>COUNTIFS('Form Details'!$D:$D,"&lt;"&amp;'Adv. Filter'!$A$15,'Form Details'!$J:$J,$C1094,'Form Details'!$W:$W,"Pending")</f>
        <v>0</v>
      </c>
      <c r="DE1094" s="238"/>
      <c r="DF1094" s="238"/>
      <c r="DG1094" s="238"/>
      <c r="DH1094" s="238"/>
      <c r="DI1094" s="238"/>
      <c r="DJ1094" s="239"/>
      <c r="DK1094" s="237">
        <f>COUNTIFS('Form Details'!$D:$D,"&lt;"&amp;'Adv. Filter'!$A$15,'Form Details'!$J:$J,$C1094,'Form Details'!$W:$W,"Adv/Paid/NoStatus")</f>
        <v>0</v>
      </c>
      <c r="DL1094" s="238"/>
      <c r="DM1094" s="238"/>
      <c r="DN1094" s="238"/>
      <c r="DO1094" s="238"/>
      <c r="DP1094" s="238"/>
      <c r="DQ1094" s="239"/>
      <c r="DR1094" s="237">
        <f>COUNTIFS('Form Details'!$D:$D,"&lt;"&amp;'Adv. Filter'!$A$15,'Form Details'!$J:$J,$C1094,'Form Details'!$W:$W,"No Status")</f>
        <v>0</v>
      </c>
      <c r="DS1094" s="238"/>
      <c r="DT1094" s="238"/>
      <c r="DU1094" s="238"/>
      <c r="DV1094" s="238"/>
      <c r="DW1094" s="238"/>
      <c r="DX1094" s="239"/>
      <c r="DY1094" s="237">
        <f>SUM(COUNTIFS('Form Details'!$D:$D,"&lt;"&amp;'Adv. Filter'!$A$15,'Form Details'!$J:$J,$C1094,'Form Details'!$W:$W,{"Wrong Entry ","Double Entry"}))</f>
        <v>0</v>
      </c>
      <c r="DZ1094" s="238"/>
      <c r="EA1094" s="238"/>
      <c r="EB1094" s="238"/>
      <c r="EC1094" s="238"/>
      <c r="ED1094" s="238"/>
      <c r="EE1094" s="239"/>
    </row>
    <row r="1095" spans="1:135" hidden="1">
      <c r="C1095" s="248" t="s">
        <v>97</v>
      </c>
      <c r="D1095" s="249"/>
      <c r="E1095" s="249"/>
      <c r="F1095" s="249"/>
      <c r="G1095" s="249"/>
      <c r="H1095" s="249"/>
      <c r="I1095" s="249"/>
      <c r="J1095" s="249"/>
      <c r="K1095" s="249"/>
      <c r="L1095" s="249"/>
      <c r="M1095" s="249"/>
      <c r="N1095" s="249"/>
      <c r="O1095" s="237">
        <f>COUNTIFS('Form Details'!$D:$D,"&lt;"&amp;'Adv. Filter'!$A$15,'Form Details'!$J:$J,$C1095)</f>
        <v>0</v>
      </c>
      <c r="P1095" s="238"/>
      <c r="Q1095" s="238"/>
      <c r="R1095" s="238"/>
      <c r="S1095" s="238"/>
      <c r="T1095" s="238"/>
      <c r="U1095" s="239"/>
      <c r="V1095" s="105"/>
      <c r="W1095" s="237">
        <f>COUNTIFS('Form Details'!$D:$D,"&lt;"&amp;'Adv. Filter'!$A$15,'Form Details'!$J:$J,$C1095,'Form Details'!$AA:$AA,"Yes")</f>
        <v>0</v>
      </c>
      <c r="X1095" s="238"/>
      <c r="Y1095" s="238"/>
      <c r="Z1095" s="238"/>
      <c r="AA1095" s="238"/>
      <c r="AB1095" s="238"/>
      <c r="AC1095" s="239"/>
      <c r="AD1095" s="237">
        <f>COUNTIFS('Form Details'!$D:$D,"&lt;"&amp;'Adv. Filter'!$A$15,'Form Details'!$J:$J,$C1095,'Form Details'!$W:$W,"Paid",'Form Details'!$S:$S,'Adv. Filter'!$A$14,'Form Details'!$S:$S,'Adv. Filter'!$B$14)</f>
        <v>0</v>
      </c>
      <c r="AE1095" s="238"/>
      <c r="AF1095" s="238"/>
      <c r="AG1095" s="238"/>
      <c r="AH1095" s="238"/>
      <c r="AI1095" s="238"/>
      <c r="AJ1095" s="239"/>
      <c r="AK1095" s="237">
        <f>COUNTIFS('Form Details'!$D:$D,"&lt;"&amp;'Adv. Filter'!$A$15,'Form Details'!$J:$J,$C1095,'Form Details'!$W:$W,"Due")</f>
        <v>0</v>
      </c>
      <c r="AL1095" s="238"/>
      <c r="AM1095" s="238"/>
      <c r="AN1095" s="238"/>
      <c r="AO1095" s="238"/>
      <c r="AP1095" s="238"/>
      <c r="AQ1095" s="239"/>
      <c r="AR1095" s="237">
        <f>COUNTIFS('Form Details'!$D:$D,"&lt;"&amp;'Adv. Filter'!$A$15,'Form Details'!$J:$J,$C1095,'Form Details'!$W:$W,"No Fee")</f>
        <v>0</v>
      </c>
      <c r="AS1095" s="238"/>
      <c r="AT1095" s="238"/>
      <c r="AU1095" s="238"/>
      <c r="AV1095" s="238"/>
      <c r="AW1095" s="238"/>
      <c r="AX1095" s="239"/>
      <c r="AY1095" s="237">
        <f>COUNTIFS('Form Details'!$D:$D,"&lt;"&amp;'Adv. Filter'!$A$15,'Form Details'!$J:$J,$C1095,'Form Details'!$W:$W,"Paid/Reject")</f>
        <v>0</v>
      </c>
      <c r="AZ1095" s="238"/>
      <c r="BA1095" s="238"/>
      <c r="BB1095" s="238"/>
      <c r="BC1095" s="238"/>
      <c r="BD1095" s="238"/>
      <c r="BE1095" s="239"/>
      <c r="BF1095" s="237">
        <f>COUNTIFS('Form Details'!$D:$D,"&lt;"&amp;'Adv. Filter'!$A$15,'Form Details'!$J:$J,$C1095,'Form Details'!$W:$W,"Staff")</f>
        <v>0</v>
      </c>
      <c r="BG1095" s="238"/>
      <c r="BH1095" s="238"/>
      <c r="BI1095" s="238"/>
      <c r="BJ1095" s="238"/>
      <c r="BK1095" s="238"/>
      <c r="BL1095" s="239"/>
      <c r="BM1095" s="237">
        <f>COUNTIFS('Form Details'!$D:$D,"&lt;"&amp;'Adv. Filter'!$A$15,'Form Details'!$J:$J,$C1095,'Form Details'!$W:$W,"File In Office")</f>
        <v>0</v>
      </c>
      <c r="BN1095" s="238"/>
      <c r="BO1095" s="238"/>
      <c r="BP1095" s="238"/>
      <c r="BQ1095" s="238"/>
      <c r="BR1095" s="238"/>
      <c r="BS1095" s="239"/>
      <c r="BT1095" s="105"/>
      <c r="BU1095" s="237">
        <f>COUNTIFS('Form Details'!$D:$D,"&lt;"&amp;'Adv. Filter'!$A$15,'Form Details'!$J:$J,$C1095,'Form Details'!$AA:$AA,"No")</f>
        <v>0</v>
      </c>
      <c r="BV1095" s="238"/>
      <c r="BW1095" s="238"/>
      <c r="BX1095" s="238"/>
      <c r="BY1095" s="238"/>
      <c r="BZ1095" s="238"/>
      <c r="CA1095" s="239"/>
      <c r="CB1095" s="237">
        <f>COUNTIFS('Form Details'!$D:$D,"&lt;"&amp;'Adv. Filter'!$A$15,'Form Details'!$J:$J,$C1095,'Form Details'!$W:$W,"Adv/Paid")</f>
        <v>0</v>
      </c>
      <c r="CC1095" s="238"/>
      <c r="CD1095" s="238"/>
      <c r="CE1095" s="238"/>
      <c r="CF1095" s="238"/>
      <c r="CG1095" s="238"/>
      <c r="CH1095" s="239"/>
      <c r="CI1095" s="237">
        <f>COUNTIFS('Form Details'!$D:$D,"&lt;"&amp;'Adv. Filter'!$A$15,'Form Details'!$J:$J,$C1095,'Form Details'!$W:$W,"Adv/Paid/Reject")</f>
        <v>0</v>
      </c>
      <c r="CJ1095" s="238"/>
      <c r="CK1095" s="238"/>
      <c r="CL1095" s="238"/>
      <c r="CM1095" s="238"/>
      <c r="CN1095" s="238"/>
      <c r="CO1095" s="239"/>
      <c r="CP1095" s="237">
        <f>COUNTIFS('Form Details'!$D:$D,"&lt;"&amp;'Adv. Filter'!$A$15,'Form Details'!$J:$J,$C1095,'Form Details'!$W:$W,"Reject")</f>
        <v>0</v>
      </c>
      <c r="CQ1095" s="238"/>
      <c r="CR1095" s="238"/>
      <c r="CS1095" s="238"/>
      <c r="CT1095" s="238"/>
      <c r="CU1095" s="238"/>
      <c r="CV1095" s="239"/>
      <c r="CW1095" s="237">
        <f>COUNTIFS('Form Details'!$D:$D,"&lt;"&amp;'Adv. Filter'!$A$15,'Form Details'!$J:$J,$C1095,'Form Details'!$W:$W,"Adv/Paid/Pending")</f>
        <v>0</v>
      </c>
      <c r="CX1095" s="238"/>
      <c r="CY1095" s="238"/>
      <c r="CZ1095" s="238"/>
      <c r="DA1095" s="238"/>
      <c r="DB1095" s="238"/>
      <c r="DC1095" s="239"/>
      <c r="DD1095" s="237">
        <f>COUNTIFS('Form Details'!$D:$D,"&lt;"&amp;'Adv. Filter'!$A$15,'Form Details'!$J:$J,$C1095,'Form Details'!$W:$W,"Pending")</f>
        <v>0</v>
      </c>
      <c r="DE1095" s="238"/>
      <c r="DF1095" s="238"/>
      <c r="DG1095" s="238"/>
      <c r="DH1095" s="238"/>
      <c r="DI1095" s="238"/>
      <c r="DJ1095" s="239"/>
      <c r="DK1095" s="237">
        <f>COUNTIFS('Form Details'!$D:$D,"&lt;"&amp;'Adv. Filter'!$A$15,'Form Details'!$J:$J,$C1095,'Form Details'!$W:$W,"Adv/Paid/NoStatus")</f>
        <v>0</v>
      </c>
      <c r="DL1095" s="238"/>
      <c r="DM1095" s="238"/>
      <c r="DN1095" s="238"/>
      <c r="DO1095" s="238"/>
      <c r="DP1095" s="238"/>
      <c r="DQ1095" s="239"/>
      <c r="DR1095" s="237">
        <f>COUNTIFS('Form Details'!$D:$D,"&lt;"&amp;'Adv. Filter'!$A$15,'Form Details'!$J:$J,$C1095,'Form Details'!$W:$W,"No Status")</f>
        <v>0</v>
      </c>
      <c r="DS1095" s="238"/>
      <c r="DT1095" s="238"/>
      <c r="DU1095" s="238"/>
      <c r="DV1095" s="238"/>
      <c r="DW1095" s="238"/>
      <c r="DX1095" s="239"/>
      <c r="DY1095" s="237">
        <f>SUM(COUNTIFS('Form Details'!$D:$D,"&lt;"&amp;'Adv. Filter'!$A$15,'Form Details'!$J:$J,$C1095,'Form Details'!$W:$W,{"Wrong Entry ","Double Entry"}))</f>
        <v>0</v>
      </c>
      <c r="DZ1095" s="238"/>
      <c r="EA1095" s="238"/>
      <c r="EB1095" s="238"/>
      <c r="EC1095" s="238"/>
      <c r="ED1095" s="238"/>
      <c r="EE1095" s="239"/>
    </row>
    <row r="1096" spans="1:135" ht="15.75" hidden="1" thickBot="1">
      <c r="C1096" s="248" t="s">
        <v>102</v>
      </c>
      <c r="D1096" s="249"/>
      <c r="E1096" s="249"/>
      <c r="F1096" s="249"/>
      <c r="G1096" s="249"/>
      <c r="H1096" s="249"/>
      <c r="I1096" s="249"/>
      <c r="J1096" s="249"/>
      <c r="K1096" s="249"/>
      <c r="L1096" s="249"/>
      <c r="M1096" s="249"/>
      <c r="N1096" s="249"/>
      <c r="O1096" s="237">
        <f>COUNTIFS('Form Details'!$D:$D,"&lt;"&amp;'Adv. Filter'!$A$15,'Form Details'!$J:$J,$C1096)</f>
        <v>20</v>
      </c>
      <c r="P1096" s="238"/>
      <c r="Q1096" s="238"/>
      <c r="R1096" s="238"/>
      <c r="S1096" s="238"/>
      <c r="T1096" s="238"/>
      <c r="U1096" s="239"/>
      <c r="V1096" s="105"/>
      <c r="W1096" s="237">
        <f>COUNTIFS('Form Details'!$D:$D,"&lt;"&amp;'Adv. Filter'!$A$15,'Form Details'!$J:$J,$C1096,'Form Details'!$AA:$AA,"Yes")</f>
        <v>20</v>
      </c>
      <c r="X1096" s="238"/>
      <c r="Y1096" s="238"/>
      <c r="Z1096" s="238"/>
      <c r="AA1096" s="238"/>
      <c r="AB1096" s="238"/>
      <c r="AC1096" s="239"/>
      <c r="AD1096" s="237">
        <f>COUNTIFS('Form Details'!$D:$D,"&lt;"&amp;'Adv. Filter'!$A$15,'Form Details'!$J:$J,$C1096,'Form Details'!$W:$W,"Paid",'Form Details'!$S:$S,'Adv. Filter'!$A$14,'Form Details'!$S:$S,'Adv. Filter'!$B$14)</f>
        <v>1</v>
      </c>
      <c r="AE1096" s="238"/>
      <c r="AF1096" s="238"/>
      <c r="AG1096" s="238"/>
      <c r="AH1096" s="238"/>
      <c r="AI1096" s="238"/>
      <c r="AJ1096" s="239"/>
      <c r="AK1096" s="237">
        <f>COUNTIFS('Form Details'!$D:$D,"&lt;"&amp;'Adv. Filter'!$A$15,'Form Details'!$J:$J,$C1096,'Form Details'!$W:$W,"Due")</f>
        <v>19</v>
      </c>
      <c r="AL1096" s="238"/>
      <c r="AM1096" s="238"/>
      <c r="AN1096" s="238"/>
      <c r="AO1096" s="238"/>
      <c r="AP1096" s="238"/>
      <c r="AQ1096" s="239"/>
      <c r="AR1096" s="237">
        <f>COUNTIFS('Form Details'!$D:$D,"&lt;"&amp;'Adv. Filter'!$A$15,'Form Details'!$J:$J,$C1096,'Form Details'!$W:$W,"No Fee")</f>
        <v>0</v>
      </c>
      <c r="AS1096" s="238"/>
      <c r="AT1096" s="238"/>
      <c r="AU1096" s="238"/>
      <c r="AV1096" s="238"/>
      <c r="AW1096" s="238"/>
      <c r="AX1096" s="239"/>
      <c r="AY1096" s="237">
        <f>COUNTIFS('Form Details'!$D:$D,"&lt;"&amp;'Adv. Filter'!$A$15,'Form Details'!$J:$J,$C1096,'Form Details'!$W:$W,"Paid/Reject")</f>
        <v>0</v>
      </c>
      <c r="AZ1096" s="238"/>
      <c r="BA1096" s="238"/>
      <c r="BB1096" s="238"/>
      <c r="BC1096" s="238"/>
      <c r="BD1096" s="238"/>
      <c r="BE1096" s="239"/>
      <c r="BF1096" s="237">
        <f>COUNTIFS('Form Details'!$D:$D,"&lt;"&amp;'Adv. Filter'!$A$15,'Form Details'!$J:$J,$C1096,'Form Details'!$W:$W,"Staff")</f>
        <v>0</v>
      </c>
      <c r="BG1096" s="238"/>
      <c r="BH1096" s="238"/>
      <c r="BI1096" s="238"/>
      <c r="BJ1096" s="238"/>
      <c r="BK1096" s="238"/>
      <c r="BL1096" s="239"/>
      <c r="BM1096" s="237">
        <f>COUNTIFS('Form Details'!$D:$D,"&lt;"&amp;'Adv. Filter'!$A$15,'Form Details'!$J:$J,$C1096,'Form Details'!$W:$W,"File In Office")</f>
        <v>0</v>
      </c>
      <c r="BN1096" s="238"/>
      <c r="BO1096" s="238"/>
      <c r="BP1096" s="238"/>
      <c r="BQ1096" s="238"/>
      <c r="BR1096" s="238"/>
      <c r="BS1096" s="239"/>
      <c r="BT1096" s="105"/>
      <c r="BU1096" s="237">
        <f>COUNTIFS('Form Details'!$D:$D,"&lt;"&amp;'Adv. Filter'!$A$15,'Form Details'!$J:$J,$C1096,'Form Details'!$AA:$AA,"No")</f>
        <v>0</v>
      </c>
      <c r="BV1096" s="238"/>
      <c r="BW1096" s="238"/>
      <c r="BX1096" s="238"/>
      <c r="BY1096" s="238"/>
      <c r="BZ1096" s="238"/>
      <c r="CA1096" s="239"/>
      <c r="CB1096" s="237">
        <f>COUNTIFS('Form Details'!$D:$D,"&lt;"&amp;'Adv. Filter'!$A$15,'Form Details'!$J:$J,$C1096,'Form Details'!$W:$W,"Adv/Paid")</f>
        <v>0</v>
      </c>
      <c r="CC1096" s="238"/>
      <c r="CD1096" s="238"/>
      <c r="CE1096" s="238"/>
      <c r="CF1096" s="238"/>
      <c r="CG1096" s="238"/>
      <c r="CH1096" s="239"/>
      <c r="CI1096" s="237">
        <f>COUNTIFS('Form Details'!$D:$D,"&lt;"&amp;'Adv. Filter'!$A$15,'Form Details'!$J:$J,$C1096,'Form Details'!$W:$W,"Adv/Paid/Reject")</f>
        <v>0</v>
      </c>
      <c r="CJ1096" s="238"/>
      <c r="CK1096" s="238"/>
      <c r="CL1096" s="238"/>
      <c r="CM1096" s="238"/>
      <c r="CN1096" s="238"/>
      <c r="CO1096" s="239"/>
      <c r="CP1096" s="237">
        <f>COUNTIFS('Form Details'!$D:$D,"&lt;"&amp;'Adv. Filter'!$A$15,'Form Details'!$J:$J,$C1096,'Form Details'!$W:$W,"Reject")</f>
        <v>0</v>
      </c>
      <c r="CQ1096" s="238"/>
      <c r="CR1096" s="238"/>
      <c r="CS1096" s="238"/>
      <c r="CT1096" s="238"/>
      <c r="CU1096" s="238"/>
      <c r="CV1096" s="239"/>
      <c r="CW1096" s="237">
        <f>COUNTIFS('Form Details'!$D:$D,"&lt;"&amp;'Adv. Filter'!$A$15,'Form Details'!$J:$J,$C1096,'Form Details'!$W:$W,"Adv/Paid/Pending")</f>
        <v>0</v>
      </c>
      <c r="CX1096" s="238"/>
      <c r="CY1096" s="238"/>
      <c r="CZ1096" s="238"/>
      <c r="DA1096" s="238"/>
      <c r="DB1096" s="238"/>
      <c r="DC1096" s="239"/>
      <c r="DD1096" s="237">
        <f>COUNTIFS('Form Details'!$D:$D,"&lt;"&amp;'Adv. Filter'!$A$15,'Form Details'!$J:$J,$C1096,'Form Details'!$W:$W,"Pending")</f>
        <v>0</v>
      </c>
      <c r="DE1096" s="238"/>
      <c r="DF1096" s="238"/>
      <c r="DG1096" s="238"/>
      <c r="DH1096" s="238"/>
      <c r="DI1096" s="238"/>
      <c r="DJ1096" s="239"/>
      <c r="DK1096" s="237">
        <f>COUNTIFS('Form Details'!$D:$D,"&lt;"&amp;'Adv. Filter'!$A$15,'Form Details'!$J:$J,$C1096,'Form Details'!$W:$W,"Adv/Paid/NoStatus")</f>
        <v>0</v>
      </c>
      <c r="DL1096" s="238"/>
      <c r="DM1096" s="238"/>
      <c r="DN1096" s="238"/>
      <c r="DO1096" s="238"/>
      <c r="DP1096" s="238"/>
      <c r="DQ1096" s="239"/>
      <c r="DR1096" s="237">
        <f>COUNTIFS('Form Details'!$D:$D,"&lt;"&amp;'Adv. Filter'!$A$15,'Form Details'!$J:$J,$C1096,'Form Details'!$W:$W,"No Status")</f>
        <v>0</v>
      </c>
      <c r="DS1096" s="238"/>
      <c r="DT1096" s="238"/>
      <c r="DU1096" s="238"/>
      <c r="DV1096" s="238"/>
      <c r="DW1096" s="238"/>
      <c r="DX1096" s="239"/>
      <c r="DY1096" s="237">
        <f>SUM(COUNTIFS('Form Details'!$D:$D,"&lt;"&amp;'Adv. Filter'!$A$15,'Form Details'!$J:$J,$C1096,'Form Details'!$W:$W,{"Wrong Entry ","Double Entry"}))</f>
        <v>0</v>
      </c>
      <c r="DZ1096" s="238"/>
      <c r="EA1096" s="238"/>
      <c r="EB1096" s="238"/>
      <c r="EC1096" s="238"/>
      <c r="ED1096" s="238"/>
      <c r="EE1096" s="239"/>
    </row>
    <row r="1097" spans="1:135" ht="15.75" hidden="1" thickBot="1">
      <c r="C1097" s="248" t="s">
        <v>108</v>
      </c>
      <c r="D1097" s="249"/>
      <c r="E1097" s="249"/>
      <c r="F1097" s="249"/>
      <c r="G1097" s="249"/>
      <c r="H1097" s="249"/>
      <c r="I1097" s="249"/>
      <c r="J1097" s="249"/>
      <c r="K1097" s="249"/>
      <c r="L1097" s="249"/>
      <c r="M1097" s="249"/>
      <c r="N1097" s="249"/>
      <c r="O1097" s="237">
        <f>COUNTIFS('Form Details'!$D:$D,"&lt;"&amp;'Adv. Filter'!$A$15,'Form Details'!$J:$J,$C1097)</f>
        <v>0</v>
      </c>
      <c r="P1097" s="238"/>
      <c r="Q1097" s="238"/>
      <c r="R1097" s="238"/>
      <c r="S1097" s="238"/>
      <c r="T1097" s="238"/>
      <c r="U1097" s="239"/>
      <c r="V1097" s="105"/>
      <c r="W1097" s="237">
        <f>COUNTIFS('Form Details'!$D:$D,"&lt;"&amp;'Adv. Filter'!$A$15,'Form Details'!$J:$J,$C1097,'Form Details'!$AA:$AA,"Yes")</f>
        <v>0</v>
      </c>
      <c r="X1097" s="238"/>
      <c r="Y1097" s="238"/>
      <c r="Z1097" s="238"/>
      <c r="AA1097" s="238"/>
      <c r="AB1097" s="238"/>
      <c r="AC1097" s="239"/>
      <c r="AD1097" s="237">
        <f>COUNTIFS('Form Details'!$D:$D,"&lt;"&amp;'Adv. Filter'!$A$15,'Form Details'!$J:$J,$C1097,'Form Details'!$W:$W,"Paid",'Form Details'!$S:$S,'Adv. Filter'!$A$14,'Form Details'!$S:$S,'Adv. Filter'!$B$14)</f>
        <v>0</v>
      </c>
      <c r="AE1097" s="238"/>
      <c r="AF1097" s="238"/>
      <c r="AG1097" s="238"/>
      <c r="AH1097" s="238"/>
      <c r="AI1097" s="238"/>
      <c r="AJ1097" s="239"/>
      <c r="AK1097" s="237">
        <f>COUNTIFS('Form Details'!$D:$D,"&lt;"&amp;'Adv. Filter'!$A$15,'Form Details'!$J:$J,$C1097,'Form Details'!$W:$W,"Due")</f>
        <v>0</v>
      </c>
      <c r="AL1097" s="238"/>
      <c r="AM1097" s="238"/>
      <c r="AN1097" s="238"/>
      <c r="AO1097" s="238"/>
      <c r="AP1097" s="238"/>
      <c r="AQ1097" s="239"/>
      <c r="AR1097" s="240">
        <f>COUNTIFS('Form Details'!$D:$D,"&lt;"&amp;'Adv. Filter'!$A$15,'Form Details'!$J:$J,$C1097,'Form Details'!$W:$W,"No Fee")</f>
        <v>0</v>
      </c>
      <c r="AS1097" s="241"/>
      <c r="AT1097" s="241"/>
      <c r="AU1097" s="241"/>
      <c r="AV1097" s="241"/>
      <c r="AW1097" s="241"/>
      <c r="AX1097" s="242"/>
      <c r="AY1097" s="240">
        <f>COUNTIFS('Form Details'!$D:$D,"&lt;"&amp;'Adv. Filter'!$A$15,'Form Details'!$J:$J,$C1097,'Form Details'!$W:$W,"Paid/Reject")</f>
        <v>0</v>
      </c>
      <c r="AZ1097" s="241"/>
      <c r="BA1097" s="241"/>
      <c r="BB1097" s="241"/>
      <c r="BC1097" s="241"/>
      <c r="BD1097" s="241"/>
      <c r="BE1097" s="242"/>
      <c r="BF1097" s="240">
        <f>COUNTIFS('Form Details'!$D:$D,"&lt;"&amp;'Adv. Filter'!$A$15,'Form Details'!$J:$J,$C1097,'Form Details'!$W:$W,"Staff")</f>
        <v>0</v>
      </c>
      <c r="BG1097" s="241"/>
      <c r="BH1097" s="241"/>
      <c r="BI1097" s="241"/>
      <c r="BJ1097" s="241"/>
      <c r="BK1097" s="241"/>
      <c r="BL1097" s="242"/>
      <c r="BM1097" s="240">
        <f>COUNTIFS('Form Details'!$D:$D,"&lt;"&amp;'Adv. Filter'!$A$15,'Form Details'!$J:$J,$C1097,'Form Details'!$W:$W,"File In Office")</f>
        <v>0</v>
      </c>
      <c r="BN1097" s="241"/>
      <c r="BO1097" s="241"/>
      <c r="BP1097" s="241"/>
      <c r="BQ1097" s="241"/>
      <c r="BR1097" s="241"/>
      <c r="BS1097" s="242"/>
      <c r="BT1097" s="105"/>
      <c r="BU1097" s="240">
        <f>COUNTIFS('Form Details'!$D:$D,"&lt;"&amp;'Adv. Filter'!$A$15,'Form Details'!$J:$J,$C1097,'Form Details'!$AA:$AA,"No")</f>
        <v>0</v>
      </c>
      <c r="BV1097" s="241"/>
      <c r="BW1097" s="241"/>
      <c r="BX1097" s="241"/>
      <c r="BY1097" s="241"/>
      <c r="BZ1097" s="241"/>
      <c r="CA1097" s="242"/>
      <c r="CB1097" s="240">
        <f>COUNTIFS('Form Details'!$D:$D,"&lt;"&amp;'Adv. Filter'!$A$15,'Form Details'!$J:$J,$C1097,'Form Details'!$W:$W,"Adv/Paid")</f>
        <v>0</v>
      </c>
      <c r="CC1097" s="241"/>
      <c r="CD1097" s="241"/>
      <c r="CE1097" s="241"/>
      <c r="CF1097" s="241"/>
      <c r="CG1097" s="241"/>
      <c r="CH1097" s="242"/>
      <c r="CI1097" s="240">
        <f>COUNTIFS('Form Details'!$D:$D,"&lt;"&amp;'Adv. Filter'!$A$15,'Form Details'!$J:$J,$C1097,'Form Details'!$W:$W,"Adv/Paid/Reject")</f>
        <v>0</v>
      </c>
      <c r="CJ1097" s="241"/>
      <c r="CK1097" s="241"/>
      <c r="CL1097" s="241"/>
      <c r="CM1097" s="241"/>
      <c r="CN1097" s="241"/>
      <c r="CO1097" s="242"/>
      <c r="CP1097" s="240">
        <f>COUNTIFS('Form Details'!$D:$D,"&lt;"&amp;'Adv. Filter'!$A$15,'Form Details'!$J:$J,$C1097,'Form Details'!$W:$W,"Reject")</f>
        <v>0</v>
      </c>
      <c r="CQ1097" s="241"/>
      <c r="CR1097" s="241"/>
      <c r="CS1097" s="241"/>
      <c r="CT1097" s="241"/>
      <c r="CU1097" s="241"/>
      <c r="CV1097" s="242"/>
      <c r="CW1097" s="240">
        <f>COUNTIFS('Form Details'!$D:$D,"&lt;"&amp;'Adv. Filter'!$A$15,'Form Details'!$J:$J,$C1097,'Form Details'!$W:$W,"Adv/Paid/Pending")</f>
        <v>0</v>
      </c>
      <c r="CX1097" s="241"/>
      <c r="CY1097" s="241"/>
      <c r="CZ1097" s="241"/>
      <c r="DA1097" s="241"/>
      <c r="DB1097" s="241"/>
      <c r="DC1097" s="242"/>
      <c r="DD1097" s="240">
        <f>COUNTIFS('Form Details'!$D:$D,"&lt;"&amp;'Adv. Filter'!$A$15,'Form Details'!$J:$J,$C1097,'Form Details'!$W:$W,"Pending")</f>
        <v>0</v>
      </c>
      <c r="DE1097" s="241"/>
      <c r="DF1097" s="241"/>
      <c r="DG1097" s="241"/>
      <c r="DH1097" s="241"/>
      <c r="DI1097" s="241"/>
      <c r="DJ1097" s="242"/>
      <c r="DK1097" s="240">
        <f>COUNTIFS('Form Details'!$D:$D,"&lt;"&amp;'Adv. Filter'!$A$15,'Form Details'!$J:$J,$C1097,'Form Details'!$W:$W,"Adv/Paid/NoStatus")</f>
        <v>0</v>
      </c>
      <c r="DL1097" s="241"/>
      <c r="DM1097" s="241"/>
      <c r="DN1097" s="241"/>
      <c r="DO1097" s="241"/>
      <c r="DP1097" s="241"/>
      <c r="DQ1097" s="242"/>
      <c r="DR1097" s="240">
        <f>COUNTIFS('Form Details'!$D:$D,"&lt;"&amp;'Adv. Filter'!$A$15,'Form Details'!$J:$J,$C1097,'Form Details'!$W:$W,"No Status")</f>
        <v>0</v>
      </c>
      <c r="DS1097" s="241"/>
      <c r="DT1097" s="241"/>
      <c r="DU1097" s="241"/>
      <c r="DV1097" s="241"/>
      <c r="DW1097" s="241"/>
      <c r="DX1097" s="242"/>
      <c r="DY1097" s="240">
        <f>SUM(COUNTIFS('Form Details'!$D:$D,"&lt;"&amp;'Adv. Filter'!$A$15,'Form Details'!$J:$J,$C1097,'Form Details'!$W:$W,{"Wrong Entry ","Double Entry"}))</f>
        <v>0</v>
      </c>
      <c r="DZ1097" s="241"/>
      <c r="EA1097" s="241"/>
      <c r="EB1097" s="241"/>
      <c r="EC1097" s="241"/>
      <c r="ED1097" s="241"/>
      <c r="EE1097" s="242"/>
    </row>
    <row r="1098" spans="1:135" ht="15.75" hidden="1" thickTop="1">
      <c r="C1098" s="246" t="s">
        <v>503</v>
      </c>
      <c r="D1098" s="247"/>
      <c r="E1098" s="247"/>
      <c r="F1098" s="247"/>
      <c r="G1098" s="247"/>
      <c r="H1098" s="247"/>
      <c r="I1098" s="247"/>
      <c r="J1098" s="247"/>
      <c r="K1098" s="247"/>
      <c r="L1098" s="247"/>
      <c r="M1098" s="247"/>
      <c r="N1098" s="247"/>
      <c r="O1098" s="243">
        <f>SUM(O1081:U1097)</f>
        <v>275</v>
      </c>
      <c r="P1098" s="244"/>
      <c r="Q1098" s="244"/>
      <c r="R1098" s="244"/>
      <c r="S1098" s="244"/>
      <c r="T1098" s="244"/>
      <c r="U1098" s="244"/>
      <c r="V1098" s="106"/>
      <c r="W1098" s="243">
        <f>SUM(W1081:AC1097)</f>
        <v>273</v>
      </c>
      <c r="X1098" s="244"/>
      <c r="Y1098" s="244"/>
      <c r="Z1098" s="244"/>
      <c r="AA1098" s="244"/>
      <c r="AB1098" s="244"/>
      <c r="AC1098" s="244"/>
      <c r="AD1098" s="243">
        <f>SUM(AD1081:AJ1097)</f>
        <v>41</v>
      </c>
      <c r="AE1098" s="244"/>
      <c r="AF1098" s="244"/>
      <c r="AG1098" s="244"/>
      <c r="AH1098" s="244"/>
      <c r="AI1098" s="244"/>
      <c r="AJ1098" s="244"/>
      <c r="AK1098" s="243">
        <f>SUM(AK1081:AQ1097)</f>
        <v>233</v>
      </c>
      <c r="AL1098" s="244"/>
      <c r="AM1098" s="244"/>
      <c r="AN1098" s="244"/>
      <c r="AO1098" s="244"/>
      <c r="AP1098" s="244"/>
      <c r="AQ1098" s="244"/>
      <c r="AR1098" s="243">
        <f>SUM(AR1081:AX1097)</f>
        <v>0</v>
      </c>
      <c r="AS1098" s="244"/>
      <c r="AT1098" s="244"/>
      <c r="AU1098" s="244"/>
      <c r="AV1098" s="244"/>
      <c r="AW1098" s="244"/>
      <c r="AX1098" s="244"/>
      <c r="AY1098" s="243">
        <f>SUM(AY1081:BE1097)</f>
        <v>0</v>
      </c>
      <c r="AZ1098" s="244"/>
      <c r="BA1098" s="244"/>
      <c r="BB1098" s="244"/>
      <c r="BC1098" s="244"/>
      <c r="BD1098" s="244"/>
      <c r="BE1098" s="244"/>
      <c r="BF1098" s="243">
        <f>SUM(BF1081:BL1097)</f>
        <v>0</v>
      </c>
      <c r="BG1098" s="244"/>
      <c r="BH1098" s="244"/>
      <c r="BI1098" s="244"/>
      <c r="BJ1098" s="244"/>
      <c r="BK1098" s="244"/>
      <c r="BL1098" s="244"/>
      <c r="BM1098" s="243">
        <f>SUM(BM1081:BS1097)</f>
        <v>0</v>
      </c>
      <c r="BN1098" s="244"/>
      <c r="BO1098" s="244"/>
      <c r="BP1098" s="244"/>
      <c r="BQ1098" s="244"/>
      <c r="BR1098" s="244"/>
      <c r="BS1098" s="244"/>
      <c r="BT1098" s="106"/>
      <c r="BU1098" s="243">
        <f>SUM(BU1081:CA1097)</f>
        <v>2</v>
      </c>
      <c r="BV1098" s="244"/>
      <c r="BW1098" s="244"/>
      <c r="BX1098" s="244"/>
      <c r="BY1098" s="244"/>
      <c r="BZ1098" s="244"/>
      <c r="CA1098" s="244"/>
      <c r="CB1098" s="243">
        <f>SUM(CB1081:CH1097)</f>
        <v>1</v>
      </c>
      <c r="CC1098" s="244"/>
      <c r="CD1098" s="244"/>
      <c r="CE1098" s="244"/>
      <c r="CF1098" s="244"/>
      <c r="CG1098" s="244"/>
      <c r="CH1098" s="244"/>
      <c r="CI1098" s="243">
        <f>SUM(CI1081:CO1097)</f>
        <v>0</v>
      </c>
      <c r="CJ1098" s="244"/>
      <c r="CK1098" s="244"/>
      <c r="CL1098" s="244"/>
      <c r="CM1098" s="244"/>
      <c r="CN1098" s="244"/>
      <c r="CO1098" s="244"/>
      <c r="CP1098" s="243">
        <f>SUM(CP1081:CV1097)</f>
        <v>0</v>
      </c>
      <c r="CQ1098" s="244"/>
      <c r="CR1098" s="244"/>
      <c r="CS1098" s="244"/>
      <c r="CT1098" s="244"/>
      <c r="CU1098" s="244"/>
      <c r="CV1098" s="244"/>
      <c r="CW1098" s="243">
        <f>SUM(CW1081:DC1097)</f>
        <v>0</v>
      </c>
      <c r="CX1098" s="244"/>
      <c r="CY1098" s="244"/>
      <c r="CZ1098" s="244"/>
      <c r="DA1098" s="244"/>
      <c r="DB1098" s="244"/>
      <c r="DC1098" s="244"/>
      <c r="DD1098" s="243">
        <f>SUM(DD1081:DJ1097)</f>
        <v>0</v>
      </c>
      <c r="DE1098" s="244"/>
      <c r="DF1098" s="244"/>
      <c r="DG1098" s="244"/>
      <c r="DH1098" s="244"/>
      <c r="DI1098" s="244"/>
      <c r="DJ1098" s="244"/>
      <c r="DK1098" s="243">
        <f>SUM(DK1081:DQ1097)</f>
        <v>0</v>
      </c>
      <c r="DL1098" s="244"/>
      <c r="DM1098" s="244"/>
      <c r="DN1098" s="244"/>
      <c r="DO1098" s="244"/>
      <c r="DP1098" s="244"/>
      <c r="DQ1098" s="244"/>
      <c r="DR1098" s="243">
        <f>SUM(DR1081:DX1097)</f>
        <v>0</v>
      </c>
      <c r="DS1098" s="244"/>
      <c r="DT1098" s="244"/>
      <c r="DU1098" s="244"/>
      <c r="DV1098" s="244"/>
      <c r="DW1098" s="244"/>
      <c r="DX1098" s="244"/>
      <c r="DY1098" s="243">
        <f>SUM(DY1081:EE1097)</f>
        <v>0</v>
      </c>
      <c r="DZ1098" s="244"/>
      <c r="EA1098" s="244"/>
      <c r="EB1098" s="244"/>
      <c r="EC1098" s="244"/>
      <c r="ED1098" s="244"/>
      <c r="EE1098" s="244"/>
    </row>
    <row r="1099" spans="1:135" hidden="1"/>
    <row r="1100" spans="1:135" hidden="1"/>
    <row r="1101" spans="1:135">
      <c r="A1101" s="229"/>
      <c r="B1101" s="229"/>
      <c r="C1101" s="229"/>
      <c r="D1101" s="229"/>
      <c r="E1101" s="229"/>
      <c r="F1101" s="229"/>
      <c r="G1101" s="229"/>
      <c r="H1101" s="229"/>
      <c r="I1101" s="229"/>
      <c r="J1101" s="229"/>
      <c r="K1101" s="229"/>
      <c r="L1101" s="229"/>
      <c r="M1101" s="229"/>
      <c r="N1101" s="229"/>
      <c r="O1101" s="229"/>
      <c r="P1101" s="229"/>
      <c r="Q1101" s="229"/>
      <c r="R1101" s="229"/>
      <c r="S1101" s="229"/>
      <c r="T1101" s="229"/>
      <c r="U1101" s="229"/>
      <c r="V1101" s="229"/>
      <c r="W1101" s="229"/>
      <c r="X1101" s="229"/>
      <c r="Y1101" s="229"/>
      <c r="Z1101" s="229"/>
      <c r="AA1101" s="229"/>
      <c r="AB1101" s="229"/>
      <c r="AC1101" s="229"/>
      <c r="AD1101" s="229"/>
      <c r="AE1101" s="229"/>
      <c r="AF1101" s="229"/>
      <c r="AG1101" s="229"/>
      <c r="AH1101" s="229"/>
      <c r="AI1101" s="229"/>
      <c r="AJ1101" s="229"/>
      <c r="AK1101" s="229"/>
      <c r="AL1101" s="229"/>
      <c r="AM1101" s="229"/>
      <c r="AN1101" s="229"/>
      <c r="AO1101" s="229"/>
      <c r="AP1101" s="229"/>
      <c r="AQ1101" s="229"/>
      <c r="AR1101" s="229"/>
      <c r="AS1101" s="229"/>
      <c r="AT1101" s="229"/>
      <c r="AU1101" s="229"/>
      <c r="AV1101" s="229"/>
      <c r="AW1101" s="229"/>
      <c r="AX1101" s="229"/>
      <c r="AY1101" s="229"/>
      <c r="AZ1101" s="229"/>
      <c r="BA1101" s="229"/>
      <c r="BB1101" s="229"/>
      <c r="BC1101" s="229"/>
      <c r="BD1101" s="229"/>
      <c r="BE1101" s="229"/>
      <c r="BF1101" s="229"/>
      <c r="BG1101" s="229"/>
      <c r="BH1101" s="229"/>
      <c r="BI1101" s="229"/>
      <c r="BJ1101" s="229"/>
      <c r="BK1101" s="229"/>
      <c r="BL1101" s="229"/>
      <c r="BM1101" s="229"/>
      <c r="BN1101" s="229"/>
      <c r="BO1101" s="229"/>
      <c r="BP1101" s="229"/>
      <c r="BQ1101" s="229"/>
      <c r="BR1101" s="229"/>
      <c r="BS1101" s="229"/>
      <c r="BT1101" s="229"/>
      <c r="BU1101" s="229"/>
      <c r="BV1101" s="229"/>
      <c r="BW1101" s="229"/>
      <c r="BX1101" s="229"/>
      <c r="BY1101" s="229"/>
      <c r="BZ1101" s="229"/>
      <c r="CA1101" s="229"/>
      <c r="CB1101" s="229"/>
      <c r="CC1101" s="229"/>
      <c r="CD1101" s="229"/>
      <c r="CE1101" s="229"/>
      <c r="CF1101" s="229"/>
      <c r="CG1101" s="229"/>
      <c r="CH1101" s="229"/>
      <c r="CI1101" s="229"/>
      <c r="CJ1101" s="229"/>
      <c r="CK1101" s="229"/>
      <c r="CL1101" s="229"/>
      <c r="CM1101" s="229"/>
      <c r="CN1101" s="229"/>
      <c r="CO1101" s="229"/>
      <c r="CP1101" s="229"/>
      <c r="CQ1101" s="229"/>
      <c r="CR1101" s="229"/>
      <c r="CS1101" s="229"/>
      <c r="CT1101" s="229"/>
      <c r="CU1101" s="229"/>
      <c r="CV1101" s="229"/>
      <c r="CW1101" s="229"/>
      <c r="CX1101" s="229"/>
    </row>
    <row r="1102" spans="1:135">
      <c r="A1102" s="229"/>
      <c r="B1102" s="229"/>
      <c r="C1102" s="229"/>
      <c r="D1102" s="229"/>
      <c r="E1102" s="229"/>
      <c r="F1102" s="229"/>
      <c r="G1102" s="229"/>
      <c r="H1102" s="229"/>
      <c r="I1102" s="229"/>
      <c r="J1102" s="229"/>
      <c r="K1102" s="229"/>
      <c r="L1102" s="229"/>
      <c r="M1102" s="229"/>
      <c r="N1102" s="229"/>
      <c r="O1102" s="229"/>
      <c r="P1102" s="229"/>
      <c r="Q1102" s="229"/>
      <c r="R1102" s="229"/>
      <c r="S1102" s="229"/>
      <c r="T1102" s="229"/>
      <c r="U1102" s="229"/>
      <c r="V1102" s="229"/>
      <c r="W1102" s="229"/>
      <c r="X1102" s="229"/>
      <c r="Y1102" s="229"/>
      <c r="Z1102" s="229"/>
      <c r="AA1102" s="229"/>
      <c r="AB1102" s="229"/>
      <c r="AC1102" s="229"/>
      <c r="AD1102" s="229"/>
      <c r="AE1102" s="229"/>
      <c r="AF1102" s="229"/>
      <c r="AG1102" s="229"/>
      <c r="AH1102" s="229"/>
      <c r="AI1102" s="229"/>
      <c r="AJ1102" s="229"/>
      <c r="AK1102" s="229"/>
      <c r="AL1102" s="229"/>
      <c r="AM1102" s="229"/>
      <c r="AN1102" s="229"/>
      <c r="AO1102" s="229"/>
      <c r="AP1102" s="229"/>
      <c r="AQ1102" s="229"/>
      <c r="AR1102" s="229"/>
      <c r="AS1102" s="229"/>
      <c r="AT1102" s="229"/>
      <c r="AU1102" s="229"/>
      <c r="AV1102" s="229"/>
      <c r="AW1102" s="229"/>
      <c r="AX1102" s="229"/>
      <c r="AY1102" s="229"/>
      <c r="AZ1102" s="229"/>
      <c r="BA1102" s="229"/>
      <c r="BB1102" s="229"/>
      <c r="BC1102" s="229"/>
      <c r="BD1102" s="229"/>
      <c r="BE1102" s="229"/>
      <c r="BF1102" s="229"/>
      <c r="BG1102" s="229"/>
      <c r="BH1102" s="229"/>
      <c r="BI1102" s="229"/>
      <c r="BJ1102" s="229"/>
      <c r="BK1102" s="229"/>
      <c r="BL1102" s="229"/>
      <c r="BM1102" s="229"/>
      <c r="BN1102" s="229"/>
      <c r="BO1102" s="229"/>
      <c r="BP1102" s="229"/>
      <c r="BQ1102" s="229"/>
      <c r="BR1102" s="229"/>
      <c r="BS1102" s="229"/>
      <c r="BT1102" s="229"/>
      <c r="BU1102" s="229"/>
      <c r="BV1102" s="229"/>
      <c r="BW1102" s="229"/>
      <c r="BX1102" s="229"/>
      <c r="BY1102" s="229"/>
      <c r="BZ1102" s="229"/>
      <c r="CA1102" s="229"/>
      <c r="CB1102" s="229"/>
      <c r="CC1102" s="229"/>
      <c r="CD1102" s="229"/>
      <c r="CE1102" s="229"/>
      <c r="CF1102" s="229"/>
      <c r="CG1102" s="229"/>
      <c r="CH1102" s="229"/>
      <c r="CI1102" s="229"/>
      <c r="CJ1102" s="229"/>
      <c r="CK1102" s="229"/>
      <c r="CL1102" s="229"/>
      <c r="CM1102" s="229"/>
      <c r="CN1102" s="229"/>
      <c r="CO1102" s="229"/>
      <c r="CP1102" s="229"/>
      <c r="CQ1102" s="229"/>
      <c r="CR1102" s="229"/>
      <c r="CS1102" s="229"/>
      <c r="CT1102" s="229"/>
      <c r="CU1102" s="229"/>
      <c r="CV1102" s="229"/>
      <c r="CW1102" s="229"/>
      <c r="CX1102" s="229"/>
    </row>
    <row r="1103" spans="1:135">
      <c r="A1103" s="229"/>
      <c r="B1103" s="229"/>
      <c r="C1103" s="229"/>
      <c r="D1103" s="229"/>
      <c r="E1103" s="229"/>
      <c r="F1103" s="229"/>
      <c r="G1103" s="229"/>
      <c r="H1103" s="229"/>
      <c r="I1103" s="229"/>
      <c r="J1103" s="229"/>
      <c r="K1103" s="229"/>
      <c r="L1103" s="229"/>
      <c r="M1103" s="229"/>
      <c r="N1103" s="229"/>
      <c r="O1103" s="229"/>
      <c r="P1103" s="229"/>
      <c r="Q1103" s="229"/>
      <c r="R1103" s="229"/>
      <c r="S1103" s="229"/>
      <c r="T1103" s="229"/>
      <c r="U1103" s="229"/>
      <c r="V1103" s="229"/>
      <c r="W1103" s="229"/>
      <c r="X1103" s="229"/>
      <c r="Y1103" s="229"/>
      <c r="Z1103" s="229"/>
      <c r="AA1103" s="229"/>
      <c r="AB1103" s="229"/>
      <c r="AC1103" s="229"/>
      <c r="AD1103" s="229"/>
      <c r="AE1103" s="229"/>
      <c r="AF1103" s="229"/>
      <c r="AG1103" s="229"/>
      <c r="AH1103" s="229"/>
      <c r="AI1103" s="229"/>
      <c r="AJ1103" s="229"/>
      <c r="AK1103" s="229"/>
      <c r="AL1103" s="229"/>
      <c r="AM1103" s="229"/>
      <c r="AN1103" s="229"/>
      <c r="AO1103" s="229"/>
      <c r="AP1103" s="229"/>
      <c r="AQ1103" s="229"/>
      <c r="AR1103" s="229"/>
      <c r="AS1103" s="229"/>
      <c r="AT1103" s="229"/>
      <c r="AU1103" s="229"/>
      <c r="AV1103" s="229"/>
      <c r="AW1103" s="229"/>
      <c r="AX1103" s="229"/>
      <c r="AY1103" s="229"/>
      <c r="AZ1103" s="229"/>
      <c r="BA1103" s="229"/>
      <c r="BB1103" s="229"/>
      <c r="BC1103" s="229"/>
      <c r="BD1103" s="229"/>
      <c r="BE1103" s="229"/>
      <c r="BF1103" s="229"/>
      <c r="BG1103" s="229"/>
      <c r="BH1103" s="229"/>
      <c r="BI1103" s="229"/>
      <c r="BJ1103" s="229"/>
      <c r="BK1103" s="229"/>
      <c r="BL1103" s="229"/>
      <c r="BM1103" s="229"/>
      <c r="BN1103" s="229"/>
      <c r="BO1103" s="229"/>
      <c r="BP1103" s="229"/>
      <c r="BQ1103" s="229"/>
      <c r="BR1103" s="229"/>
      <c r="BS1103" s="229"/>
      <c r="BT1103" s="229"/>
      <c r="BU1103" s="229"/>
      <c r="BV1103" s="229"/>
      <c r="BW1103" s="229"/>
      <c r="BX1103" s="229"/>
      <c r="BY1103" s="229"/>
      <c r="BZ1103" s="229"/>
      <c r="CA1103" s="229"/>
      <c r="CB1103" s="229"/>
      <c r="CC1103" s="229"/>
      <c r="CD1103" s="229"/>
      <c r="CE1103" s="229"/>
      <c r="CF1103" s="229"/>
      <c r="CG1103" s="229"/>
      <c r="CH1103" s="229"/>
      <c r="CI1103" s="229"/>
      <c r="CJ1103" s="229"/>
      <c r="CK1103" s="229"/>
      <c r="CL1103" s="229"/>
      <c r="CM1103" s="229"/>
      <c r="CN1103" s="229"/>
      <c r="CO1103" s="229"/>
      <c r="CP1103" s="229"/>
      <c r="CQ1103" s="229"/>
      <c r="CR1103" s="229"/>
      <c r="CS1103" s="229"/>
      <c r="CT1103" s="229"/>
      <c r="CU1103" s="229"/>
      <c r="CV1103" s="229"/>
      <c r="CW1103" s="229"/>
      <c r="CX1103" s="229"/>
    </row>
    <row r="1104" spans="1:135">
      <c r="A1104" s="229"/>
      <c r="B1104" s="229"/>
      <c r="C1104" s="229"/>
      <c r="D1104" s="229"/>
      <c r="E1104" s="229"/>
      <c r="F1104" s="229"/>
      <c r="G1104" s="229"/>
      <c r="H1104" s="229"/>
      <c r="I1104" s="229"/>
      <c r="J1104" s="229"/>
      <c r="K1104" s="229"/>
      <c r="L1104" s="229"/>
      <c r="M1104" s="229"/>
      <c r="N1104" s="229"/>
      <c r="O1104" s="229"/>
      <c r="P1104" s="229"/>
      <c r="Q1104" s="229"/>
      <c r="R1104" s="229"/>
      <c r="S1104" s="229"/>
      <c r="T1104" s="229"/>
      <c r="U1104" s="229"/>
      <c r="V1104" s="229"/>
      <c r="W1104" s="229"/>
      <c r="X1104" s="229"/>
      <c r="Y1104" s="229"/>
      <c r="Z1104" s="229"/>
      <c r="AA1104" s="229"/>
      <c r="AB1104" s="229"/>
      <c r="AC1104" s="229"/>
      <c r="AD1104" s="229"/>
      <c r="AE1104" s="229"/>
      <c r="AF1104" s="229"/>
      <c r="AG1104" s="229"/>
      <c r="AH1104" s="229"/>
      <c r="AI1104" s="229"/>
      <c r="AJ1104" s="229"/>
      <c r="AK1104" s="229"/>
      <c r="AL1104" s="229"/>
      <c r="AM1104" s="229"/>
      <c r="AN1104" s="229"/>
      <c r="AO1104" s="229"/>
      <c r="AP1104" s="229"/>
      <c r="AQ1104" s="229"/>
      <c r="AR1104" s="229"/>
      <c r="AS1104" s="229"/>
      <c r="AT1104" s="229"/>
      <c r="AU1104" s="229"/>
      <c r="AV1104" s="229"/>
      <c r="AW1104" s="229"/>
      <c r="AX1104" s="229"/>
      <c r="AY1104" s="229"/>
      <c r="AZ1104" s="229"/>
      <c r="BA1104" s="229"/>
      <c r="BB1104" s="229"/>
      <c r="BC1104" s="229"/>
      <c r="BD1104" s="229"/>
      <c r="BE1104" s="229"/>
      <c r="BF1104" s="229"/>
      <c r="BG1104" s="229"/>
      <c r="BH1104" s="229"/>
      <c r="BI1104" s="229"/>
      <c r="BJ1104" s="229"/>
      <c r="BK1104" s="229"/>
      <c r="BL1104" s="229"/>
      <c r="BM1104" s="229"/>
      <c r="BN1104" s="229"/>
      <c r="BO1104" s="229"/>
      <c r="BP1104" s="229"/>
      <c r="BQ1104" s="229"/>
      <c r="BR1104" s="229"/>
      <c r="BS1104" s="229"/>
      <c r="BT1104" s="229"/>
      <c r="BU1104" s="229"/>
      <c r="BV1104" s="229"/>
      <c r="BW1104" s="229"/>
      <c r="BX1104" s="229"/>
      <c r="BY1104" s="229"/>
      <c r="BZ1104" s="229"/>
      <c r="CA1104" s="229"/>
      <c r="CB1104" s="229"/>
      <c r="CC1104" s="229"/>
      <c r="CD1104" s="229"/>
      <c r="CE1104" s="229"/>
      <c r="CF1104" s="229"/>
      <c r="CG1104" s="229"/>
      <c r="CH1104" s="229"/>
      <c r="CI1104" s="229"/>
      <c r="CJ1104" s="229"/>
      <c r="CK1104" s="229"/>
      <c r="CL1104" s="229"/>
      <c r="CM1104" s="229"/>
      <c r="CN1104" s="229"/>
      <c r="CO1104" s="229"/>
      <c r="CP1104" s="229"/>
      <c r="CQ1104" s="229"/>
      <c r="CR1104" s="229"/>
      <c r="CS1104" s="229"/>
      <c r="CT1104" s="229"/>
      <c r="CU1104" s="229"/>
      <c r="CV1104" s="229"/>
      <c r="CW1104" s="229"/>
      <c r="CX1104" s="229"/>
    </row>
    <row r="1105" spans="1:102">
      <c r="A1105" s="229"/>
      <c r="B1105" s="229"/>
      <c r="C1105" s="229"/>
      <c r="D1105" s="229"/>
      <c r="E1105" s="229"/>
      <c r="F1105" s="229"/>
      <c r="G1105" s="229"/>
      <c r="H1105" s="229"/>
      <c r="I1105" s="229"/>
      <c r="J1105" s="229"/>
      <c r="K1105" s="229"/>
      <c r="L1105" s="229"/>
      <c r="M1105" s="229"/>
      <c r="N1105" s="229"/>
      <c r="O1105" s="229"/>
      <c r="P1105" s="229"/>
      <c r="Q1105" s="229"/>
      <c r="R1105" s="229"/>
      <c r="S1105" s="229"/>
      <c r="T1105" s="229"/>
      <c r="U1105" s="229"/>
      <c r="V1105" s="229"/>
      <c r="W1105" s="229"/>
      <c r="X1105" s="229"/>
      <c r="Y1105" s="229"/>
      <c r="Z1105" s="229"/>
      <c r="AA1105" s="229"/>
      <c r="AB1105" s="229"/>
      <c r="AC1105" s="229"/>
      <c r="AD1105" s="229"/>
      <c r="AE1105" s="229"/>
      <c r="AF1105" s="229"/>
      <c r="AG1105" s="229"/>
      <c r="AH1105" s="229"/>
      <c r="AI1105" s="229"/>
      <c r="AJ1105" s="229"/>
      <c r="AK1105" s="229"/>
      <c r="AL1105" s="229"/>
      <c r="AM1105" s="229"/>
      <c r="AN1105" s="229"/>
      <c r="AO1105" s="229"/>
      <c r="AP1105" s="229"/>
      <c r="AQ1105" s="229"/>
      <c r="AR1105" s="229"/>
      <c r="AS1105" s="229"/>
      <c r="AT1105" s="229"/>
      <c r="AU1105" s="229"/>
      <c r="AV1105" s="229"/>
      <c r="AW1105" s="229"/>
      <c r="AX1105" s="229"/>
      <c r="AY1105" s="229"/>
      <c r="AZ1105" s="229"/>
      <c r="BA1105" s="229"/>
      <c r="BB1105" s="229"/>
      <c r="BC1105" s="229"/>
      <c r="BD1105" s="229"/>
      <c r="BE1105" s="229"/>
      <c r="BF1105" s="229"/>
      <c r="BG1105" s="229"/>
      <c r="BH1105" s="229"/>
      <c r="BI1105" s="229"/>
      <c r="BJ1105" s="229"/>
      <c r="BK1105" s="229"/>
      <c r="BL1105" s="229"/>
      <c r="BM1105" s="229"/>
      <c r="BN1105" s="229"/>
      <c r="BO1105" s="229"/>
      <c r="BP1105" s="229"/>
      <c r="BQ1105" s="229"/>
      <c r="BR1105" s="229"/>
      <c r="BS1105" s="229"/>
      <c r="BT1105" s="229"/>
      <c r="BU1105" s="229"/>
      <c r="BV1105" s="229"/>
      <c r="BW1105" s="229"/>
      <c r="BX1105" s="229"/>
      <c r="BY1105" s="229"/>
      <c r="BZ1105" s="229"/>
      <c r="CA1105" s="229"/>
      <c r="CB1105" s="229"/>
      <c r="CC1105" s="229"/>
      <c r="CD1105" s="229"/>
      <c r="CE1105" s="229"/>
      <c r="CF1105" s="229"/>
      <c r="CG1105" s="229"/>
      <c r="CH1105" s="229"/>
      <c r="CI1105" s="229"/>
      <c r="CJ1105" s="229"/>
      <c r="CK1105" s="229"/>
      <c r="CL1105" s="229"/>
      <c r="CM1105" s="229"/>
      <c r="CN1105" s="229"/>
      <c r="CO1105" s="229"/>
      <c r="CP1105" s="229"/>
      <c r="CQ1105" s="229"/>
      <c r="CR1105" s="229"/>
      <c r="CS1105" s="229"/>
      <c r="CT1105" s="229"/>
      <c r="CU1105" s="229"/>
      <c r="CV1105" s="229"/>
      <c r="CW1105" s="229"/>
      <c r="CX1105" s="229"/>
    </row>
    <row r="1106" spans="1:102">
      <c r="A1106" s="119"/>
      <c r="B1106" s="119"/>
      <c r="C1106" s="119"/>
      <c r="D1106" s="117"/>
      <c r="E1106" s="119"/>
      <c r="F1106" s="119"/>
      <c r="G1106" s="119"/>
      <c r="H1106" s="119"/>
      <c r="I1106" s="119"/>
      <c r="J1106" s="119"/>
      <c r="K1106" s="119"/>
      <c r="L1106" s="119"/>
      <c r="M1106" s="119"/>
      <c r="N1106" s="119"/>
      <c r="O1106" s="119"/>
      <c r="P1106" s="119"/>
      <c r="Q1106" s="119"/>
      <c r="R1106" s="119"/>
      <c r="S1106" s="119"/>
      <c r="T1106" s="119"/>
      <c r="U1106" s="119"/>
      <c r="V1106" s="119"/>
      <c r="W1106" s="119"/>
      <c r="X1106" s="119"/>
      <c r="Y1106" s="119"/>
      <c r="Z1106" s="119"/>
      <c r="AA1106" s="119"/>
      <c r="AB1106" s="119"/>
      <c r="AC1106" s="119"/>
      <c r="AD1106" s="119"/>
      <c r="AE1106" s="119"/>
      <c r="AF1106" s="119"/>
      <c r="AG1106" s="119"/>
      <c r="AH1106" s="119"/>
      <c r="AI1106" s="119"/>
      <c r="AJ1106" s="119"/>
      <c r="AK1106" s="119"/>
      <c r="AL1106" s="119"/>
      <c r="AM1106" s="119"/>
      <c r="AN1106" s="119"/>
      <c r="AO1106" s="119"/>
      <c r="AP1106" s="119"/>
      <c r="AQ1106" s="119"/>
      <c r="AR1106" s="119"/>
      <c r="AS1106" s="119"/>
      <c r="AT1106" s="119"/>
      <c r="AU1106" s="119"/>
      <c r="AV1106" s="119"/>
      <c r="AW1106" s="119"/>
      <c r="AX1106" s="119"/>
      <c r="AY1106" s="119"/>
      <c r="AZ1106" s="119"/>
      <c r="BA1106" s="119"/>
      <c r="BB1106" s="119"/>
      <c r="BC1106" s="119"/>
      <c r="BD1106" s="119"/>
      <c r="BE1106" s="119"/>
      <c r="BF1106" s="119"/>
      <c r="BG1106" s="119"/>
      <c r="BH1106" s="119"/>
      <c r="BI1106" s="119"/>
      <c r="BJ1106" s="119"/>
      <c r="BK1106" s="119"/>
      <c r="BL1106" s="119"/>
      <c r="BM1106" s="119"/>
      <c r="BN1106" s="119"/>
      <c r="BO1106" s="119"/>
      <c r="BP1106" s="119"/>
      <c r="BQ1106" s="119"/>
      <c r="BR1106" s="119"/>
      <c r="BS1106" s="119"/>
      <c r="BT1106" s="119"/>
      <c r="BU1106" s="119"/>
      <c r="BV1106" s="119"/>
      <c r="BW1106" s="119"/>
      <c r="BX1106" s="119"/>
      <c r="BY1106" s="119"/>
      <c r="BZ1106" s="119"/>
      <c r="CA1106" s="119"/>
      <c r="CB1106" s="119"/>
      <c r="CC1106" s="119"/>
      <c r="CD1106" s="119"/>
      <c r="CE1106" s="119"/>
      <c r="CF1106" s="119"/>
      <c r="CG1106" s="119"/>
      <c r="CH1106" s="119"/>
      <c r="CI1106" s="119"/>
      <c r="CJ1106" s="119"/>
      <c r="CK1106" s="119"/>
      <c r="CL1106" s="119"/>
      <c r="CM1106" s="119"/>
      <c r="CN1106" s="119"/>
      <c r="CO1106" s="119"/>
      <c r="CP1106" s="119"/>
      <c r="CQ1106" s="119"/>
      <c r="CR1106" s="119"/>
      <c r="CS1106" s="119"/>
      <c r="CT1106" s="119"/>
      <c r="CU1106" s="119"/>
      <c r="CV1106" s="119"/>
      <c r="CW1106" s="119"/>
      <c r="CX1106" s="119"/>
    </row>
    <row r="1107" spans="1:102">
      <c r="A1107" s="230" t="str">
        <f>CONCATENATE("BALANCE SHEET AS OF ",TEXT('Adv. Filter'!$A$15,"DD-MMM-YYYY"), " TO ",TEXT('Adv. Filter'!$B$15,"DD-MMM-YYYY"))</f>
        <v>BALANCE SHEET AS OF 01-Jan-2017 TO 13-Oct-2017</v>
      </c>
      <c r="B1107" s="230"/>
      <c r="C1107" s="230"/>
      <c r="D1107" s="230"/>
      <c r="E1107" s="230"/>
      <c r="F1107" s="230"/>
      <c r="G1107" s="230"/>
      <c r="H1107" s="230"/>
      <c r="I1107" s="230"/>
      <c r="J1107" s="230"/>
      <c r="K1107" s="230"/>
      <c r="L1107" s="230"/>
      <c r="M1107" s="230"/>
      <c r="N1107" s="230"/>
      <c r="O1107" s="230"/>
      <c r="P1107" s="230"/>
      <c r="Q1107" s="230"/>
      <c r="R1107" s="230"/>
      <c r="S1107" s="230"/>
      <c r="T1107" s="230"/>
      <c r="U1107" s="230"/>
      <c r="V1107" s="230"/>
      <c r="W1107" s="230"/>
      <c r="X1107" s="230"/>
      <c r="Y1107" s="230"/>
      <c r="Z1107" s="230"/>
      <c r="AA1107" s="230"/>
      <c r="AB1107" s="230"/>
      <c r="AC1107" s="230"/>
      <c r="AD1107" s="230"/>
      <c r="AE1107" s="230"/>
      <c r="AF1107" s="230"/>
      <c r="AG1107" s="230"/>
      <c r="AH1107" s="230"/>
      <c r="AI1107" s="230"/>
      <c r="AJ1107" s="230"/>
      <c r="AK1107" s="230"/>
      <c r="AL1107" s="230"/>
      <c r="AM1107" s="230"/>
      <c r="AN1107" s="230"/>
      <c r="AO1107" s="230"/>
      <c r="AP1107" s="230"/>
      <c r="AQ1107" s="230"/>
      <c r="AR1107" s="230"/>
      <c r="AS1107" s="230"/>
      <c r="AT1107" s="230"/>
      <c r="AU1107" s="230"/>
      <c r="AV1107" s="230"/>
      <c r="AW1107" s="230"/>
      <c r="AX1107" s="230"/>
      <c r="AY1107" s="230"/>
      <c r="AZ1107" s="230"/>
      <c r="BA1107" s="230"/>
      <c r="BB1107" s="230"/>
      <c r="BC1107" s="230"/>
      <c r="BD1107" s="230"/>
      <c r="BE1107" s="230"/>
      <c r="BF1107" s="230"/>
      <c r="BG1107" s="230"/>
      <c r="BH1107" s="230"/>
      <c r="BI1107" s="230"/>
      <c r="BJ1107" s="230"/>
      <c r="BK1107" s="230"/>
      <c r="BL1107" s="230"/>
      <c r="BM1107" s="230"/>
      <c r="BN1107" s="230"/>
      <c r="BO1107" s="230"/>
      <c r="BP1107" s="230"/>
      <c r="BQ1107" s="230"/>
      <c r="BR1107" s="230"/>
      <c r="BS1107" s="230"/>
      <c r="BT1107" s="230"/>
      <c r="BU1107" s="230"/>
      <c r="BV1107" s="230"/>
      <c r="BW1107" s="230"/>
      <c r="BX1107" s="230"/>
      <c r="BY1107" s="230"/>
      <c r="BZ1107" s="230"/>
      <c r="CA1107" s="230"/>
      <c r="CB1107" s="230"/>
      <c r="CC1107" s="230"/>
      <c r="CD1107" s="230"/>
      <c r="CE1107" s="230"/>
      <c r="CF1107" s="230"/>
      <c r="CG1107" s="230"/>
      <c r="CH1107" s="230"/>
      <c r="CI1107" s="230"/>
      <c r="CJ1107" s="230"/>
      <c r="CK1107" s="230"/>
      <c r="CL1107" s="230"/>
      <c r="CM1107" s="230"/>
      <c r="CN1107" s="230"/>
      <c r="CO1107" s="230"/>
      <c r="CP1107" s="230"/>
      <c r="CQ1107" s="230"/>
      <c r="CR1107" s="230"/>
      <c r="CS1107" s="230"/>
      <c r="CT1107" s="230"/>
      <c r="CU1107" s="230"/>
      <c r="CV1107" s="230"/>
      <c r="CW1107" s="230"/>
      <c r="CX1107" s="230"/>
    </row>
    <row r="1108" spans="1:102">
      <c r="A1108" s="230"/>
      <c r="B1108" s="230"/>
      <c r="C1108" s="230"/>
      <c r="D1108" s="230"/>
      <c r="E1108" s="230"/>
      <c r="F1108" s="230"/>
      <c r="G1108" s="230"/>
      <c r="H1108" s="230"/>
      <c r="I1108" s="230"/>
      <c r="J1108" s="230"/>
      <c r="K1108" s="230"/>
      <c r="L1108" s="230"/>
      <c r="M1108" s="230"/>
      <c r="N1108" s="230"/>
      <c r="O1108" s="230"/>
      <c r="P1108" s="230"/>
      <c r="Q1108" s="230"/>
      <c r="R1108" s="230"/>
      <c r="S1108" s="230"/>
      <c r="T1108" s="230"/>
      <c r="U1108" s="230"/>
      <c r="V1108" s="230"/>
      <c r="W1108" s="230"/>
      <c r="X1108" s="230"/>
      <c r="Y1108" s="230"/>
      <c r="Z1108" s="230"/>
      <c r="AA1108" s="230"/>
      <c r="AB1108" s="230"/>
      <c r="AC1108" s="230"/>
      <c r="AD1108" s="230"/>
      <c r="AE1108" s="230"/>
      <c r="AF1108" s="230"/>
      <c r="AG1108" s="230"/>
      <c r="AH1108" s="230"/>
      <c r="AI1108" s="230"/>
      <c r="AJ1108" s="230"/>
      <c r="AK1108" s="230"/>
      <c r="AL1108" s="230"/>
      <c r="AM1108" s="230"/>
      <c r="AN1108" s="230"/>
      <c r="AO1108" s="230"/>
      <c r="AP1108" s="230"/>
      <c r="AQ1108" s="230"/>
      <c r="AR1108" s="230"/>
      <c r="AS1108" s="230"/>
      <c r="AT1108" s="230"/>
      <c r="AU1108" s="230"/>
      <c r="AV1108" s="230"/>
      <c r="AW1108" s="230"/>
      <c r="AX1108" s="230"/>
      <c r="AY1108" s="230"/>
      <c r="AZ1108" s="230"/>
      <c r="BA1108" s="230"/>
      <c r="BB1108" s="230"/>
      <c r="BC1108" s="230"/>
      <c r="BD1108" s="230"/>
      <c r="BE1108" s="230"/>
      <c r="BF1108" s="230"/>
      <c r="BG1108" s="230"/>
      <c r="BH1108" s="230"/>
      <c r="BI1108" s="230"/>
      <c r="BJ1108" s="230"/>
      <c r="BK1108" s="230"/>
      <c r="BL1108" s="230"/>
      <c r="BM1108" s="230"/>
      <c r="BN1108" s="230"/>
      <c r="BO1108" s="230"/>
      <c r="BP1108" s="230"/>
      <c r="BQ1108" s="230"/>
      <c r="BR1108" s="230"/>
      <c r="BS1108" s="230"/>
      <c r="BT1108" s="230"/>
      <c r="BU1108" s="230"/>
      <c r="BV1108" s="230"/>
      <c r="BW1108" s="230"/>
      <c r="BX1108" s="230"/>
      <c r="BY1108" s="230"/>
      <c r="BZ1108" s="230"/>
      <c r="CA1108" s="230"/>
      <c r="CB1108" s="230"/>
      <c r="CC1108" s="230"/>
      <c r="CD1108" s="230"/>
      <c r="CE1108" s="230"/>
      <c r="CF1108" s="230"/>
      <c r="CG1108" s="230"/>
      <c r="CH1108" s="230"/>
      <c r="CI1108" s="230"/>
      <c r="CJ1108" s="230"/>
      <c r="CK1108" s="230"/>
      <c r="CL1108" s="230"/>
      <c r="CM1108" s="230"/>
      <c r="CN1108" s="230"/>
      <c r="CO1108" s="230"/>
      <c r="CP1108" s="230"/>
      <c r="CQ1108" s="230"/>
      <c r="CR1108" s="230"/>
      <c r="CS1108" s="230"/>
      <c r="CT1108" s="230"/>
      <c r="CU1108" s="230"/>
      <c r="CV1108" s="230"/>
      <c r="CW1108" s="230"/>
      <c r="CX1108" s="230"/>
    </row>
    <row r="1109" spans="1:102">
      <c r="A1109" s="119"/>
      <c r="B1109" s="119"/>
      <c r="C1109" s="119"/>
      <c r="D1109" s="117"/>
      <c r="E1109" s="119"/>
      <c r="F1109" s="119"/>
      <c r="G1109" s="119"/>
      <c r="H1109" s="119"/>
      <c r="I1109" s="119"/>
      <c r="J1109" s="119"/>
      <c r="K1109" s="119"/>
      <c r="L1109" s="119"/>
      <c r="M1109" s="119"/>
      <c r="N1109" s="119"/>
      <c r="O1109" s="119"/>
      <c r="P1109" s="119"/>
      <c r="Q1109" s="119"/>
      <c r="R1109" s="119"/>
      <c r="S1109" s="119"/>
      <c r="T1109" s="119"/>
      <c r="U1109" s="119"/>
      <c r="V1109" s="119"/>
      <c r="W1109" s="119"/>
      <c r="X1109" s="119"/>
      <c r="Y1109" s="119"/>
      <c r="Z1109" s="119"/>
      <c r="AA1109" s="119"/>
      <c r="AB1109" s="119"/>
      <c r="AC1109" s="119"/>
      <c r="AD1109" s="119"/>
      <c r="AE1109" s="119"/>
      <c r="AF1109" s="119"/>
      <c r="AG1109" s="119"/>
      <c r="AH1109" s="119"/>
      <c r="AI1109" s="119"/>
      <c r="AJ1109" s="119"/>
      <c r="AK1109" s="119"/>
      <c r="AL1109" s="119"/>
      <c r="AM1109" s="119"/>
      <c r="AN1109" s="119"/>
      <c r="AO1109" s="119"/>
      <c r="AP1109" s="119"/>
      <c r="AQ1109" s="119"/>
      <c r="AR1109" s="119"/>
      <c r="AS1109" s="119"/>
      <c r="AT1109" s="119"/>
      <c r="AU1109" s="119"/>
      <c r="AV1109" s="119"/>
      <c r="AW1109" s="119"/>
      <c r="AX1109" s="119"/>
      <c r="AY1109" s="119"/>
      <c r="AZ1109" s="119"/>
      <c r="BA1109" s="119"/>
      <c r="BB1109" s="119"/>
      <c r="BC1109" s="119"/>
      <c r="BD1109" s="119"/>
      <c r="BE1109" s="119"/>
      <c r="BF1109" s="119"/>
      <c r="BG1109" s="119"/>
      <c r="BH1109" s="119"/>
      <c r="BI1109" s="119"/>
      <c r="BJ1109" s="119"/>
      <c r="BK1109" s="119"/>
      <c r="BL1109" s="119"/>
      <c r="BM1109" s="119"/>
      <c r="BN1109" s="119"/>
      <c r="BO1109" s="119"/>
      <c r="BP1109" s="119"/>
      <c r="BQ1109" s="119"/>
      <c r="BR1109" s="119"/>
      <c r="BS1109" s="119"/>
      <c r="BT1109" s="119"/>
      <c r="BU1109" s="119"/>
      <c r="BV1109" s="119"/>
      <c r="BW1109" s="119"/>
      <c r="BX1109" s="119"/>
      <c r="BY1109" s="119"/>
      <c r="BZ1109" s="119"/>
      <c r="CA1109" s="119"/>
      <c r="CB1109" s="119"/>
      <c r="CC1109" s="119"/>
      <c r="CD1109" s="119"/>
      <c r="CE1109" s="119"/>
      <c r="CF1109" s="119"/>
      <c r="CG1109" s="119"/>
      <c r="CH1109" s="119"/>
      <c r="CI1109" s="119"/>
      <c r="CJ1109" s="119"/>
      <c r="CK1109" s="119"/>
      <c r="CL1109" s="119"/>
      <c r="CM1109" s="119"/>
      <c r="CN1109" s="119"/>
      <c r="CO1109" s="119"/>
      <c r="CP1109" s="119"/>
      <c r="CQ1109" s="119"/>
      <c r="CR1109" s="119"/>
      <c r="CS1109" s="119"/>
      <c r="CT1109" s="119"/>
      <c r="CU1109" s="119"/>
      <c r="CV1109" s="119"/>
      <c r="CW1109" s="119"/>
      <c r="CX1109" s="119"/>
    </row>
    <row r="1110" spans="1:102">
      <c r="A1110" s="119"/>
      <c r="B1110" s="119"/>
      <c r="C1110" s="119"/>
      <c r="D1110" s="117"/>
      <c r="E1110" s="119"/>
      <c r="F1110" s="119"/>
      <c r="G1110" s="119"/>
      <c r="H1110" s="119"/>
      <c r="I1110" s="119"/>
      <c r="J1110" s="119"/>
      <c r="K1110" s="119"/>
      <c r="L1110" s="119"/>
      <c r="M1110" s="119"/>
      <c r="N1110" s="119"/>
      <c r="O1110" s="119"/>
      <c r="P1110" s="119"/>
      <c r="Q1110" s="119"/>
      <c r="R1110" s="119"/>
      <c r="S1110" s="119"/>
      <c r="T1110" s="119"/>
      <c r="U1110" s="119"/>
      <c r="V1110" s="119"/>
      <c r="W1110" s="119"/>
      <c r="X1110" s="119"/>
      <c r="Y1110" s="119"/>
      <c r="Z1110" s="119"/>
      <c r="AA1110" s="119"/>
      <c r="AB1110" s="119"/>
      <c r="AC1110" s="119"/>
      <c r="AD1110" s="119"/>
      <c r="AE1110" s="119"/>
      <c r="AF1110" s="119"/>
      <c r="AG1110" s="119"/>
      <c r="AH1110" s="119"/>
      <c r="AI1110" s="119"/>
      <c r="AJ1110" s="119"/>
      <c r="AK1110" s="119"/>
      <c r="AL1110" s="119"/>
      <c r="AM1110" s="119"/>
      <c r="AN1110" s="119"/>
      <c r="AO1110" s="119"/>
      <c r="AP1110" s="119"/>
      <c r="AQ1110" s="119"/>
      <c r="AR1110" s="119"/>
      <c r="AS1110" s="119"/>
      <c r="AT1110" s="119"/>
      <c r="AU1110" s="119"/>
      <c r="AV1110" s="119"/>
      <c r="AW1110" s="119"/>
      <c r="AX1110" s="119"/>
      <c r="AY1110" s="119"/>
      <c r="AZ1110" s="119"/>
      <c r="BA1110" s="119"/>
      <c r="BB1110" s="119"/>
      <c r="BC1110" s="119"/>
      <c r="BD1110" s="119"/>
      <c r="BE1110" s="119"/>
      <c r="BF1110" s="119"/>
      <c r="BG1110" s="119"/>
      <c r="BH1110" s="119"/>
      <c r="BI1110" s="119"/>
      <c r="BJ1110" s="119"/>
      <c r="BK1110" s="119"/>
      <c r="BL1110" s="119"/>
      <c r="BM1110" s="119"/>
      <c r="BN1110" s="119"/>
      <c r="BO1110" s="119"/>
      <c r="BP1110" s="119"/>
      <c r="BQ1110" s="119"/>
      <c r="BR1110" s="119"/>
      <c r="BS1110" s="119"/>
      <c r="BT1110" s="119"/>
      <c r="BU1110" s="119"/>
      <c r="BV1110" s="119"/>
      <c r="BW1110" s="119"/>
      <c r="BX1110" s="119"/>
      <c r="BY1110" s="119"/>
      <c r="BZ1110" s="119"/>
      <c r="CA1110" s="119"/>
      <c r="CB1110" s="119"/>
      <c r="CC1110" s="119"/>
      <c r="CD1110" s="119"/>
      <c r="CE1110" s="119"/>
      <c r="CF1110" s="119"/>
      <c r="CG1110" s="119"/>
      <c r="CH1110" s="119"/>
      <c r="CI1110" s="119"/>
      <c r="CJ1110" s="119"/>
      <c r="CK1110" s="119"/>
      <c r="CL1110" s="119"/>
      <c r="CM1110" s="119"/>
      <c r="CN1110" s="119"/>
      <c r="CO1110" s="119"/>
      <c r="CP1110" s="119"/>
      <c r="CQ1110" s="119"/>
      <c r="CR1110" s="119"/>
      <c r="CS1110" s="119"/>
      <c r="CT1110" s="119"/>
      <c r="CU1110" s="119"/>
      <c r="CV1110" s="119"/>
      <c r="CW1110" s="119"/>
      <c r="CX1110" s="119"/>
    </row>
    <row r="1111" spans="1:102">
      <c r="A1111" s="119"/>
      <c r="B1111" s="119"/>
      <c r="C1111" s="119"/>
      <c r="D1111" s="117"/>
      <c r="E1111" s="119"/>
      <c r="F1111" s="119"/>
      <c r="G1111" s="119"/>
      <c r="H1111" s="119"/>
      <c r="I1111" s="119"/>
      <c r="J1111" s="119"/>
      <c r="K1111" s="119"/>
      <c r="L1111" s="119"/>
      <c r="M1111" s="119"/>
      <c r="N1111" s="119"/>
      <c r="O1111" s="119"/>
      <c r="P1111" s="119"/>
      <c r="Q1111" s="119"/>
      <c r="R1111" s="119"/>
      <c r="S1111" s="119"/>
      <c r="T1111" s="119"/>
      <c r="U1111" s="119"/>
      <c r="V1111" s="119"/>
      <c r="W1111" s="119"/>
      <c r="X1111" s="119"/>
      <c r="Y1111" s="119"/>
      <c r="Z1111" s="119"/>
      <c r="AA1111" s="119"/>
      <c r="AB1111" s="119"/>
      <c r="AC1111" s="119"/>
      <c r="AD1111" s="119"/>
      <c r="AE1111" s="119"/>
      <c r="AF1111" s="119"/>
      <c r="AG1111" s="119"/>
      <c r="AH1111" s="119"/>
      <c r="AI1111" s="119"/>
      <c r="AJ1111" s="119"/>
      <c r="AK1111" s="119"/>
      <c r="AL1111" s="119"/>
      <c r="AM1111" s="119"/>
      <c r="AN1111" s="119"/>
      <c r="AO1111" s="119"/>
      <c r="AP1111" s="119"/>
      <c r="AQ1111" s="119"/>
      <c r="AR1111" s="119"/>
      <c r="AS1111" s="119"/>
      <c r="AT1111" s="119"/>
      <c r="AU1111" s="119"/>
      <c r="AV1111" s="119"/>
      <c r="AW1111" s="119"/>
      <c r="AX1111" s="119"/>
      <c r="AY1111" s="119"/>
      <c r="AZ1111" s="119"/>
      <c r="BA1111" s="119"/>
      <c r="BB1111" s="119"/>
      <c r="BC1111" s="119"/>
      <c r="BD1111" s="119"/>
      <c r="BE1111" s="119"/>
      <c r="BF1111" s="119"/>
      <c r="BG1111" s="119"/>
      <c r="BH1111" s="119"/>
      <c r="BI1111" s="119"/>
      <c r="BJ1111" s="119"/>
      <c r="BK1111" s="119"/>
      <c r="BL1111" s="119"/>
      <c r="BM1111" s="119"/>
      <c r="BN1111" s="119"/>
      <c r="BO1111" s="119"/>
      <c r="BP1111" s="119"/>
      <c r="BQ1111" s="119"/>
      <c r="BR1111" s="119"/>
      <c r="BS1111" s="119"/>
      <c r="BT1111" s="119"/>
      <c r="BU1111" s="119"/>
      <c r="BV1111" s="119"/>
      <c r="BW1111" s="119"/>
      <c r="BX1111" s="119"/>
      <c r="BY1111" s="119"/>
      <c r="BZ1111" s="119"/>
      <c r="CA1111" s="119"/>
      <c r="CB1111" s="119"/>
      <c r="CC1111" s="119"/>
      <c r="CD1111" s="119"/>
      <c r="CE1111" s="119"/>
      <c r="CF1111" s="119"/>
      <c r="CG1111" s="119"/>
      <c r="CH1111" s="119"/>
      <c r="CI1111" s="119"/>
      <c r="CJ1111" s="119"/>
      <c r="CK1111" s="119"/>
      <c r="CL1111" s="119"/>
      <c r="CM1111" s="119"/>
      <c r="CN1111" s="119"/>
      <c r="CO1111" s="119"/>
      <c r="CP1111" s="119"/>
      <c r="CQ1111" s="119"/>
      <c r="CR1111" s="119"/>
      <c r="CS1111" s="119"/>
      <c r="CT1111" s="119"/>
      <c r="CU1111" s="119"/>
      <c r="CV1111" s="119"/>
      <c r="CW1111" s="119"/>
      <c r="CX1111" s="119"/>
    </row>
    <row r="1112" spans="1:102">
      <c r="A1112" s="119"/>
      <c r="B1112" s="119"/>
      <c r="C1112" s="119"/>
      <c r="D1112" s="117"/>
      <c r="E1112" s="119"/>
      <c r="F1112" s="119"/>
      <c r="G1112" s="119"/>
      <c r="H1112" s="119"/>
      <c r="I1112" s="119"/>
      <c r="J1112" s="119"/>
      <c r="K1112" s="119"/>
      <c r="L1112" s="119"/>
      <c r="M1112" s="119"/>
      <c r="N1112" s="119"/>
      <c r="O1112" s="119"/>
      <c r="P1112" s="119"/>
      <c r="Q1112" s="119"/>
      <c r="R1112" s="119"/>
      <c r="S1112" s="119"/>
      <c r="T1112" s="119"/>
      <c r="U1112" s="119"/>
      <c r="V1112" s="119"/>
      <c r="W1112" s="119"/>
      <c r="X1112" s="119"/>
      <c r="Y1112" s="119"/>
      <c r="Z1112" s="119"/>
      <c r="AA1112" s="119"/>
      <c r="AB1112" s="119"/>
      <c r="AC1112" s="119"/>
      <c r="AD1112" s="119"/>
      <c r="AE1112" s="119"/>
      <c r="AF1112" s="119"/>
      <c r="AG1112" s="119"/>
      <c r="AH1112" s="119"/>
      <c r="AI1112" s="119"/>
      <c r="AJ1112" s="119"/>
      <c r="AK1112" s="119"/>
      <c r="AL1112" s="119"/>
      <c r="AM1112" s="119"/>
      <c r="AN1112" s="119"/>
      <c r="AO1112" s="119"/>
      <c r="AP1112" s="119"/>
      <c r="AQ1112" s="119"/>
      <c r="AR1112" s="119"/>
      <c r="AS1112" s="119"/>
      <c r="AT1112" s="119"/>
      <c r="AU1112" s="119"/>
      <c r="AV1112" s="119"/>
      <c r="AW1112" s="119"/>
      <c r="AX1112" s="119"/>
      <c r="AY1112" s="119"/>
      <c r="AZ1112" s="119"/>
      <c r="BA1112" s="119"/>
      <c r="BB1112" s="119"/>
      <c r="BC1112" s="119"/>
      <c r="BD1112" s="119"/>
      <c r="BE1112" s="119"/>
      <c r="BF1112" s="119"/>
      <c r="BG1112" s="119"/>
      <c r="BH1112" s="119"/>
      <c r="BI1112" s="119"/>
      <c r="BJ1112" s="119"/>
      <c r="BK1112" s="119"/>
      <c r="BL1112" s="119"/>
      <c r="BM1112" s="119"/>
      <c r="BN1112" s="119"/>
      <c r="BO1112" s="119"/>
      <c r="BP1112" s="119"/>
      <c r="BQ1112" s="119"/>
      <c r="BR1112" s="119"/>
      <c r="BS1112" s="119"/>
      <c r="BT1112" s="119"/>
      <c r="BU1112" s="119"/>
      <c r="BV1112" s="119"/>
      <c r="BW1112" s="119"/>
      <c r="BX1112" s="119"/>
      <c r="BY1112" s="119"/>
      <c r="BZ1112" s="119"/>
      <c r="CA1112" s="119"/>
      <c r="CB1112" s="119"/>
      <c r="CC1112" s="119"/>
      <c r="CD1112" s="119"/>
      <c r="CE1112" s="119"/>
      <c r="CF1112" s="119"/>
      <c r="CG1112" s="119"/>
      <c r="CH1112" s="119"/>
      <c r="CI1112" s="119"/>
      <c r="CJ1112" s="119"/>
      <c r="CK1112" s="119"/>
      <c r="CL1112" s="119"/>
      <c r="CM1112" s="119"/>
      <c r="CN1112" s="119"/>
      <c r="CO1112" s="119"/>
      <c r="CP1112" s="119"/>
      <c r="CQ1112" s="119"/>
      <c r="CR1112" s="119"/>
      <c r="CS1112" s="119"/>
      <c r="CT1112" s="119"/>
      <c r="CU1112" s="119"/>
      <c r="CV1112" s="119"/>
      <c r="CW1112" s="119"/>
      <c r="CX1112" s="119"/>
    </row>
    <row r="1113" spans="1:102">
      <c r="A1113" s="119"/>
      <c r="B1113" s="119"/>
      <c r="C1113" s="119"/>
      <c r="D1113" s="117"/>
      <c r="E1113" s="119"/>
      <c r="F1113" s="119"/>
      <c r="G1113" s="119"/>
      <c r="H1113" s="119"/>
      <c r="I1113" s="119"/>
      <c r="J1113" s="119"/>
      <c r="K1113" s="119"/>
      <c r="L1113" s="119"/>
      <c r="M1113" s="119"/>
      <c r="N1113" s="119"/>
      <c r="O1113" s="119"/>
      <c r="P1113" s="119"/>
      <c r="Q1113" s="119"/>
      <c r="R1113" s="119"/>
      <c r="S1113" s="119"/>
      <c r="T1113" s="119"/>
      <c r="U1113" s="119"/>
      <c r="V1113" s="119"/>
      <c r="W1113" s="119"/>
      <c r="X1113" s="119"/>
      <c r="Y1113" s="119"/>
      <c r="Z1113" s="119"/>
      <c r="AA1113" s="119"/>
      <c r="AB1113" s="119"/>
      <c r="AC1113" s="119"/>
      <c r="AD1113" s="119"/>
      <c r="AE1113" s="119"/>
      <c r="AF1113" s="119"/>
      <c r="AG1113" s="119"/>
      <c r="AH1113" s="119"/>
      <c r="AI1113" s="119"/>
      <c r="AJ1113" s="119"/>
      <c r="AK1113" s="119"/>
      <c r="AL1113" s="119"/>
      <c r="AM1113" s="119"/>
      <c r="AN1113" s="119"/>
      <c r="AO1113" s="119"/>
      <c r="AP1113" s="119"/>
      <c r="AQ1113" s="119"/>
      <c r="AR1113" s="119"/>
      <c r="AS1113" s="119"/>
      <c r="AT1113" s="119"/>
      <c r="AU1113" s="119"/>
      <c r="AV1113" s="119"/>
      <c r="AW1113" s="119"/>
      <c r="AX1113" s="119"/>
      <c r="AY1113" s="119"/>
      <c r="AZ1113" s="119"/>
      <c r="BA1113" s="119"/>
      <c r="BB1113" s="119"/>
      <c r="BC1113" s="119"/>
      <c r="BD1113" s="119"/>
      <c r="BE1113" s="119"/>
      <c r="BF1113" s="119"/>
      <c r="BG1113" s="119"/>
      <c r="BH1113" s="119"/>
      <c r="BI1113" s="119"/>
      <c r="BJ1113" s="119"/>
      <c r="BK1113" s="119"/>
      <c r="BL1113" s="119"/>
      <c r="BM1113" s="119"/>
      <c r="BN1113" s="119"/>
      <c r="BO1113" s="119"/>
      <c r="BP1113" s="119"/>
      <c r="BQ1113" s="119"/>
      <c r="BR1113" s="119"/>
      <c r="BS1113" s="119"/>
      <c r="BT1113" s="119"/>
      <c r="BU1113" s="119"/>
      <c r="BV1113" s="119"/>
      <c r="BW1113" s="119"/>
      <c r="BX1113" s="119"/>
      <c r="BY1113" s="119"/>
      <c r="BZ1113" s="119"/>
      <c r="CA1113" s="119"/>
      <c r="CB1113" s="119"/>
      <c r="CC1113" s="119"/>
      <c r="CD1113" s="119"/>
      <c r="CE1113" s="119"/>
      <c r="CF1113" s="119"/>
      <c r="CG1113" s="119"/>
      <c r="CH1113" s="119"/>
      <c r="CI1113" s="119"/>
      <c r="CJ1113" s="119"/>
      <c r="CK1113" s="119"/>
      <c r="CL1113" s="119"/>
      <c r="CM1113" s="119"/>
      <c r="CN1113" s="119"/>
      <c r="CO1113" s="119"/>
      <c r="CP1113" s="119"/>
      <c r="CQ1113" s="119"/>
      <c r="CR1113" s="119"/>
      <c r="CS1113" s="119"/>
      <c r="CT1113" s="119"/>
      <c r="CU1113" s="119"/>
      <c r="CV1113" s="119"/>
      <c r="CW1113" s="119"/>
      <c r="CX1113" s="119"/>
    </row>
    <row r="1114" spans="1:102">
      <c r="A1114" s="119"/>
      <c r="B1114" s="119"/>
      <c r="C1114" s="119"/>
      <c r="D1114" s="117"/>
      <c r="E1114" s="119"/>
      <c r="F1114" s="119"/>
      <c r="G1114" s="119"/>
      <c r="H1114" s="119"/>
      <c r="I1114" s="119"/>
      <c r="J1114" s="119"/>
      <c r="K1114" s="119"/>
      <c r="L1114" s="119"/>
      <c r="M1114" s="119"/>
      <c r="N1114" s="119"/>
      <c r="O1114" s="119"/>
      <c r="P1114" s="119"/>
      <c r="Q1114" s="119"/>
      <c r="R1114" s="119"/>
      <c r="S1114" s="119"/>
      <c r="T1114" s="119"/>
      <c r="U1114" s="119"/>
      <c r="V1114" s="119"/>
      <c r="W1114" s="119"/>
      <c r="X1114" s="119"/>
      <c r="Y1114" s="119"/>
      <c r="Z1114" s="119"/>
      <c r="AA1114" s="119"/>
      <c r="AB1114" s="119"/>
      <c r="AC1114" s="119"/>
      <c r="AD1114" s="119"/>
      <c r="AE1114" s="119"/>
      <c r="AF1114" s="119"/>
      <c r="AG1114" s="119"/>
      <c r="AH1114" s="119"/>
      <c r="AI1114" s="119"/>
      <c r="AJ1114" s="119"/>
      <c r="AK1114" s="119"/>
      <c r="AL1114" s="119"/>
      <c r="AM1114" s="119"/>
      <c r="AN1114" s="119"/>
      <c r="AO1114" s="119"/>
      <c r="AP1114" s="119"/>
      <c r="AQ1114" s="119"/>
      <c r="AR1114" s="119"/>
      <c r="AS1114" s="119"/>
      <c r="AT1114" s="119"/>
      <c r="AU1114" s="119"/>
      <c r="AV1114" s="119"/>
      <c r="AW1114" s="119"/>
      <c r="AX1114" s="119"/>
      <c r="AY1114" s="119"/>
      <c r="AZ1114" s="119"/>
      <c r="BA1114" s="119"/>
      <c r="BB1114" s="119"/>
      <c r="BC1114" s="119"/>
      <c r="BD1114" s="119"/>
      <c r="BE1114" s="119"/>
      <c r="BF1114" s="119"/>
      <c r="BG1114" s="119"/>
      <c r="BH1114" s="119"/>
      <c r="BI1114" s="119"/>
      <c r="BJ1114" s="119"/>
      <c r="BK1114" s="119"/>
      <c r="BL1114" s="119"/>
      <c r="BM1114" s="119"/>
      <c r="BN1114" s="119"/>
      <c r="BO1114" s="119"/>
      <c r="BP1114" s="119"/>
      <c r="BQ1114" s="119"/>
      <c r="BR1114" s="119"/>
      <c r="BS1114" s="119"/>
      <c r="BT1114" s="119"/>
      <c r="BU1114" s="119"/>
      <c r="BV1114" s="119"/>
      <c r="BW1114" s="119"/>
      <c r="BX1114" s="119"/>
      <c r="BY1114" s="119"/>
      <c r="BZ1114" s="119"/>
      <c r="CA1114" s="119"/>
      <c r="CB1114" s="119"/>
      <c r="CC1114" s="119"/>
      <c r="CD1114" s="119"/>
      <c r="CE1114" s="119"/>
      <c r="CF1114" s="119"/>
      <c r="CG1114" s="119"/>
      <c r="CH1114" s="119"/>
      <c r="CI1114" s="119"/>
      <c r="CJ1114" s="119"/>
      <c r="CK1114" s="119"/>
      <c r="CL1114" s="119"/>
      <c r="CM1114" s="119"/>
      <c r="CN1114" s="119"/>
      <c r="CO1114" s="119"/>
      <c r="CP1114" s="119"/>
      <c r="CQ1114" s="119"/>
      <c r="CR1114" s="119"/>
      <c r="CS1114" s="119"/>
      <c r="CT1114" s="119"/>
      <c r="CU1114" s="119"/>
      <c r="CV1114" s="119"/>
      <c r="CW1114" s="119"/>
      <c r="CX1114" s="119"/>
    </row>
    <row r="1115" spans="1:102">
      <c r="A1115" s="119"/>
      <c r="B1115" s="119"/>
      <c r="C1115" s="119"/>
      <c r="D1115" s="117"/>
      <c r="E1115" s="119"/>
      <c r="F1115" s="119"/>
      <c r="G1115" s="119"/>
      <c r="H1115" s="119"/>
      <c r="I1115" s="119"/>
      <c r="J1115" s="119"/>
      <c r="K1115" s="119"/>
      <c r="L1115" s="119"/>
      <c r="M1115" s="119"/>
      <c r="N1115" s="119"/>
      <c r="O1115" s="119"/>
      <c r="P1115" s="119"/>
      <c r="Q1115" s="119"/>
      <c r="R1115" s="119"/>
      <c r="S1115" s="119"/>
      <c r="T1115" s="119"/>
      <c r="U1115" s="119"/>
      <c r="V1115" s="119"/>
      <c r="W1115" s="119"/>
      <c r="X1115" s="119"/>
      <c r="Y1115" s="119"/>
      <c r="Z1115" s="119"/>
      <c r="AA1115" s="119"/>
      <c r="AB1115" s="119"/>
      <c r="AC1115" s="119"/>
      <c r="AD1115" s="119"/>
      <c r="AE1115" s="119"/>
      <c r="AF1115" s="119"/>
      <c r="AG1115" s="119"/>
      <c r="AH1115" s="119"/>
      <c r="AI1115" s="119"/>
      <c r="AJ1115" s="119"/>
      <c r="AK1115" s="119"/>
      <c r="AL1115" s="119"/>
      <c r="AM1115" s="119"/>
      <c r="AN1115" s="119"/>
      <c r="AO1115" s="119"/>
      <c r="AP1115" s="119"/>
      <c r="AQ1115" s="119"/>
      <c r="AR1115" s="119"/>
      <c r="AS1115" s="119"/>
      <c r="AT1115" s="119"/>
      <c r="AU1115" s="119"/>
      <c r="AV1115" s="119"/>
      <c r="AW1115" s="119"/>
      <c r="AX1115" s="119"/>
      <c r="AY1115" s="119"/>
      <c r="AZ1115" s="119"/>
      <c r="BA1115" s="119"/>
      <c r="BB1115" s="119"/>
      <c r="BC1115" s="119"/>
      <c r="BD1115" s="119"/>
      <c r="BE1115" s="119"/>
      <c r="BF1115" s="119"/>
      <c r="BG1115" s="119"/>
      <c r="BH1115" s="119"/>
      <c r="BI1115" s="119"/>
      <c r="BJ1115" s="119"/>
      <c r="BK1115" s="119"/>
      <c r="BL1115" s="119"/>
      <c r="BM1115" s="119"/>
      <c r="BN1115" s="119"/>
      <c r="BO1115" s="119"/>
      <c r="BP1115" s="119"/>
      <c r="BQ1115" s="119"/>
      <c r="BR1115" s="119"/>
      <c r="BS1115" s="119"/>
      <c r="BT1115" s="119"/>
      <c r="BU1115" s="119"/>
      <c r="BV1115" s="119"/>
      <c r="BW1115" s="119"/>
      <c r="BX1115" s="119"/>
      <c r="BY1115" s="119"/>
      <c r="BZ1115" s="119"/>
      <c r="CA1115" s="119"/>
      <c r="CB1115" s="119"/>
      <c r="CC1115" s="119"/>
      <c r="CD1115" s="119"/>
      <c r="CE1115" s="119"/>
      <c r="CF1115" s="119"/>
      <c r="CG1115" s="119"/>
      <c r="CH1115" s="119"/>
      <c r="CI1115" s="119"/>
      <c r="CJ1115" s="119"/>
      <c r="CK1115" s="119"/>
      <c r="CL1115" s="119"/>
      <c r="CM1115" s="119"/>
      <c r="CN1115" s="119"/>
      <c r="CO1115" s="119"/>
      <c r="CP1115" s="119"/>
      <c r="CQ1115" s="119"/>
      <c r="CR1115" s="119"/>
      <c r="CS1115" s="119"/>
      <c r="CT1115" s="119"/>
      <c r="CU1115" s="119"/>
      <c r="CV1115" s="119"/>
      <c r="CW1115" s="119"/>
      <c r="CX1115" s="119"/>
    </row>
    <row r="1116" spans="1:102">
      <c r="A1116" s="119"/>
      <c r="B1116" s="119"/>
      <c r="C1116" s="119"/>
      <c r="D1116" s="117"/>
      <c r="E1116" s="119"/>
      <c r="F1116" s="119"/>
      <c r="G1116" s="119"/>
      <c r="H1116" s="119"/>
      <c r="I1116" s="119"/>
      <c r="J1116" s="119"/>
      <c r="K1116" s="119"/>
      <c r="L1116" s="119"/>
      <c r="M1116" s="119"/>
      <c r="N1116" s="119"/>
      <c r="O1116" s="119"/>
      <c r="P1116" s="119"/>
      <c r="Q1116" s="119"/>
      <c r="R1116" s="119"/>
      <c r="S1116" s="119"/>
      <c r="T1116" s="119"/>
      <c r="U1116" s="119"/>
      <c r="V1116" s="119"/>
      <c r="W1116" s="119"/>
      <c r="X1116" s="119"/>
      <c r="Y1116" s="119"/>
      <c r="Z1116" s="119"/>
      <c r="AA1116" s="119"/>
      <c r="AB1116" s="119"/>
      <c r="AC1116" s="119"/>
      <c r="AD1116" s="119"/>
      <c r="AE1116" s="119"/>
      <c r="AF1116" s="119"/>
      <c r="AG1116" s="119"/>
      <c r="AH1116" s="119"/>
      <c r="AI1116" s="119"/>
      <c r="AJ1116" s="119"/>
      <c r="AK1116" s="119"/>
      <c r="AL1116" s="119"/>
      <c r="AM1116" s="119"/>
      <c r="AN1116" s="119"/>
      <c r="AO1116" s="119"/>
      <c r="AP1116" s="119"/>
      <c r="AQ1116" s="119"/>
      <c r="AR1116" s="119"/>
      <c r="AS1116" s="119"/>
      <c r="AT1116" s="119"/>
      <c r="AU1116" s="119"/>
      <c r="AV1116" s="119"/>
      <c r="AW1116" s="119"/>
      <c r="AX1116" s="119"/>
      <c r="AY1116" s="119"/>
      <c r="AZ1116" s="119"/>
      <c r="BA1116" s="119"/>
      <c r="BB1116" s="119"/>
      <c r="BC1116" s="119"/>
      <c r="BD1116" s="119"/>
      <c r="BE1116" s="119"/>
      <c r="BF1116" s="119"/>
      <c r="BG1116" s="119"/>
      <c r="BH1116" s="119"/>
      <c r="BI1116" s="119"/>
      <c r="BJ1116" s="119"/>
      <c r="BK1116" s="119"/>
      <c r="BL1116" s="119"/>
      <c r="BM1116" s="119"/>
      <c r="BN1116" s="119"/>
      <c r="BO1116" s="119"/>
      <c r="BP1116" s="119"/>
      <c r="BQ1116" s="119"/>
      <c r="BR1116" s="119"/>
      <c r="BS1116" s="119"/>
      <c r="BT1116" s="119"/>
      <c r="BU1116" s="119"/>
      <c r="BV1116" s="119"/>
      <c r="BW1116" s="119"/>
      <c r="BX1116" s="119"/>
      <c r="BY1116" s="119"/>
      <c r="BZ1116" s="119"/>
      <c r="CA1116" s="119"/>
      <c r="CB1116" s="119"/>
      <c r="CC1116" s="119"/>
      <c r="CD1116" s="119"/>
      <c r="CE1116" s="119"/>
      <c r="CF1116" s="119"/>
      <c r="CG1116" s="119"/>
      <c r="CH1116" s="119"/>
      <c r="CI1116" s="119"/>
      <c r="CJ1116" s="119"/>
      <c r="CK1116" s="119"/>
      <c r="CL1116" s="119"/>
      <c r="CM1116" s="119"/>
      <c r="CN1116" s="119"/>
      <c r="CO1116" s="119"/>
      <c r="CP1116" s="119"/>
      <c r="CQ1116" s="119"/>
      <c r="CR1116" s="119"/>
      <c r="CS1116" s="119"/>
      <c r="CT1116" s="119"/>
      <c r="CU1116" s="119"/>
      <c r="CV1116" s="119"/>
      <c r="CW1116" s="119"/>
      <c r="CX1116" s="119"/>
    </row>
    <row r="1117" spans="1:102">
      <c r="A1117" s="119"/>
      <c r="B1117" s="119"/>
      <c r="C1117" s="119"/>
      <c r="D1117" s="117"/>
      <c r="E1117" s="119"/>
      <c r="F1117" s="119"/>
      <c r="G1117" s="119"/>
      <c r="H1117" s="119"/>
      <c r="I1117" s="119"/>
      <c r="J1117" s="119"/>
      <c r="K1117" s="119"/>
      <c r="L1117" s="119"/>
      <c r="M1117" s="119"/>
      <c r="N1117" s="119"/>
      <c r="O1117" s="119"/>
      <c r="P1117" s="119"/>
      <c r="Q1117" s="119"/>
      <c r="R1117" s="119"/>
      <c r="S1117" s="119"/>
      <c r="T1117" s="119"/>
      <c r="U1117" s="119"/>
      <c r="V1117" s="119"/>
      <c r="W1117" s="119"/>
      <c r="X1117" s="119"/>
      <c r="Y1117" s="119"/>
      <c r="Z1117" s="119"/>
      <c r="AA1117" s="119"/>
      <c r="AB1117" s="119"/>
      <c r="AC1117" s="119"/>
      <c r="AD1117" s="119"/>
      <c r="AE1117" s="119"/>
      <c r="AF1117" s="119"/>
      <c r="AG1117" s="119"/>
      <c r="AH1117" s="119"/>
      <c r="AI1117" s="119"/>
      <c r="AJ1117" s="119"/>
      <c r="AK1117" s="119"/>
      <c r="AL1117" s="119"/>
      <c r="AM1117" s="119"/>
      <c r="AN1117" s="119"/>
      <c r="AO1117" s="119"/>
      <c r="AP1117" s="119"/>
      <c r="AQ1117" s="119"/>
      <c r="AR1117" s="119"/>
      <c r="AS1117" s="119"/>
      <c r="AT1117" s="119"/>
      <c r="AU1117" s="119"/>
      <c r="AV1117" s="119"/>
      <c r="AW1117" s="119"/>
      <c r="AX1117" s="119"/>
      <c r="AY1117" s="119"/>
      <c r="AZ1117" s="119"/>
      <c r="BA1117" s="119"/>
      <c r="BB1117" s="119"/>
      <c r="BC1117" s="119"/>
      <c r="BD1117" s="119"/>
      <c r="BE1117" s="119"/>
      <c r="BF1117" s="119"/>
      <c r="BG1117" s="119"/>
      <c r="BH1117" s="119"/>
      <c r="BI1117" s="119"/>
      <c r="BJ1117" s="119"/>
      <c r="BK1117" s="119"/>
      <c r="BL1117" s="119"/>
      <c r="BM1117" s="119"/>
      <c r="BN1117" s="119"/>
      <c r="BO1117" s="119"/>
      <c r="BP1117" s="119"/>
      <c r="BQ1117" s="119"/>
      <c r="BR1117" s="119"/>
      <c r="BS1117" s="119"/>
      <c r="BT1117" s="119"/>
      <c r="BU1117" s="119"/>
      <c r="BV1117" s="119"/>
      <c r="BW1117" s="119"/>
      <c r="BX1117" s="119"/>
      <c r="BY1117" s="119"/>
      <c r="BZ1117" s="119"/>
      <c r="CA1117" s="119"/>
      <c r="CB1117" s="119"/>
      <c r="CC1117" s="119"/>
      <c r="CD1117" s="119"/>
      <c r="CE1117" s="119"/>
      <c r="CF1117" s="119"/>
      <c r="CG1117" s="119"/>
      <c r="CH1117" s="119"/>
      <c r="CI1117" s="119"/>
      <c r="CJ1117" s="119"/>
      <c r="CK1117" s="119"/>
      <c r="CL1117" s="119"/>
      <c r="CM1117" s="119"/>
      <c r="CN1117" s="119"/>
      <c r="CO1117" s="119"/>
      <c r="CP1117" s="119"/>
      <c r="CQ1117" s="119"/>
      <c r="CR1117" s="119"/>
      <c r="CS1117" s="119"/>
      <c r="CT1117" s="119"/>
      <c r="CU1117" s="119"/>
      <c r="CV1117" s="119"/>
      <c r="CW1117" s="119"/>
      <c r="CX1117" s="119"/>
    </row>
    <row r="1118" spans="1:102">
      <c r="A1118" s="119"/>
      <c r="B1118" s="119"/>
      <c r="C1118" s="119"/>
      <c r="D1118" s="117"/>
      <c r="E1118" s="119"/>
      <c r="F1118" s="119"/>
      <c r="G1118" s="119"/>
      <c r="H1118" s="119"/>
      <c r="I1118" s="119"/>
      <c r="J1118" s="119"/>
      <c r="K1118" s="119"/>
      <c r="L1118" s="119"/>
      <c r="M1118" s="119"/>
      <c r="N1118" s="119"/>
      <c r="O1118" s="119"/>
      <c r="P1118" s="119"/>
      <c r="Q1118" s="119"/>
      <c r="R1118" s="119"/>
      <c r="S1118" s="119"/>
      <c r="T1118" s="119"/>
      <c r="U1118" s="119"/>
      <c r="V1118" s="119"/>
      <c r="W1118" s="119"/>
      <c r="X1118" s="119"/>
      <c r="Y1118" s="119"/>
      <c r="Z1118" s="119"/>
      <c r="AA1118" s="119"/>
      <c r="AB1118" s="119"/>
      <c r="AC1118" s="119"/>
      <c r="AD1118" s="119"/>
      <c r="AE1118" s="119"/>
      <c r="AF1118" s="119"/>
      <c r="AG1118" s="119"/>
      <c r="AH1118" s="119"/>
      <c r="AI1118" s="119"/>
      <c r="AJ1118" s="119"/>
      <c r="AK1118" s="119"/>
      <c r="AL1118" s="119"/>
      <c r="AM1118" s="119"/>
      <c r="AN1118" s="119"/>
      <c r="AO1118" s="119"/>
      <c r="AP1118" s="119"/>
      <c r="AQ1118" s="119"/>
      <c r="AR1118" s="119"/>
      <c r="AS1118" s="119"/>
      <c r="AT1118" s="119"/>
      <c r="AU1118" s="119"/>
      <c r="AV1118" s="119"/>
      <c r="AW1118" s="119"/>
      <c r="AX1118" s="119"/>
      <c r="AY1118" s="119"/>
      <c r="AZ1118" s="119"/>
      <c r="BA1118" s="119"/>
      <c r="BB1118" s="119"/>
      <c r="BC1118" s="119"/>
      <c r="BD1118" s="119"/>
      <c r="BE1118" s="119"/>
      <c r="BF1118" s="119"/>
      <c r="BG1118" s="119"/>
      <c r="BH1118" s="119"/>
      <c r="BI1118" s="119"/>
      <c r="BJ1118" s="119"/>
      <c r="BK1118" s="119"/>
      <c r="BL1118" s="119"/>
      <c r="BM1118" s="119"/>
      <c r="BN1118" s="119"/>
      <c r="BO1118" s="119"/>
      <c r="BP1118" s="119"/>
      <c r="BQ1118" s="119"/>
      <c r="BR1118" s="119"/>
      <c r="BS1118" s="119"/>
      <c r="BT1118" s="119"/>
      <c r="BU1118" s="119"/>
      <c r="BV1118" s="119"/>
      <c r="BW1118" s="119"/>
      <c r="BX1118" s="119"/>
      <c r="BY1118" s="119"/>
      <c r="BZ1118" s="119"/>
      <c r="CA1118" s="119"/>
      <c r="CB1118" s="119"/>
      <c r="CC1118" s="119"/>
      <c r="CD1118" s="119"/>
      <c r="CE1118" s="119"/>
      <c r="CF1118" s="119"/>
      <c r="CG1118" s="119"/>
      <c r="CH1118" s="119"/>
      <c r="CI1118" s="119"/>
      <c r="CJ1118" s="119"/>
      <c r="CK1118" s="119"/>
      <c r="CL1118" s="119"/>
      <c r="CM1118" s="119"/>
      <c r="CN1118" s="119"/>
      <c r="CO1118" s="119"/>
      <c r="CP1118" s="119"/>
      <c r="CQ1118" s="119"/>
      <c r="CR1118" s="119"/>
      <c r="CS1118" s="119"/>
      <c r="CT1118" s="119"/>
      <c r="CU1118" s="119"/>
      <c r="CV1118" s="119"/>
      <c r="CW1118" s="119"/>
      <c r="CX1118" s="119"/>
    </row>
    <row r="1119" spans="1:102">
      <c r="A1119" s="119"/>
      <c r="B1119" s="119"/>
      <c r="C1119" s="119"/>
      <c r="D1119" s="117"/>
      <c r="E1119" s="119"/>
      <c r="F1119" s="119"/>
      <c r="G1119" s="119"/>
      <c r="H1119" s="119"/>
      <c r="I1119" s="119"/>
      <c r="J1119" s="119"/>
      <c r="K1119" s="119"/>
      <c r="L1119" s="119"/>
      <c r="M1119" s="119"/>
      <c r="N1119" s="119"/>
      <c r="O1119" s="119"/>
      <c r="P1119" s="119"/>
      <c r="Q1119" s="119"/>
      <c r="R1119" s="119"/>
      <c r="S1119" s="119"/>
      <c r="T1119" s="119"/>
      <c r="U1119" s="119"/>
      <c r="V1119" s="119"/>
      <c r="W1119" s="119"/>
      <c r="X1119" s="119"/>
      <c r="Y1119" s="119"/>
      <c r="Z1119" s="119"/>
      <c r="AA1119" s="119"/>
      <c r="AB1119" s="119"/>
      <c r="AC1119" s="119"/>
      <c r="AD1119" s="119"/>
      <c r="AE1119" s="119"/>
      <c r="AF1119" s="119"/>
      <c r="AG1119" s="119"/>
      <c r="AH1119" s="119"/>
      <c r="AI1119" s="119"/>
      <c r="AJ1119" s="119"/>
      <c r="AK1119" s="119"/>
      <c r="AL1119" s="119"/>
      <c r="AM1119" s="119"/>
      <c r="AN1119" s="119"/>
      <c r="AO1119" s="119"/>
      <c r="AP1119" s="119"/>
      <c r="AQ1119" s="119"/>
      <c r="AR1119" s="119"/>
      <c r="AS1119" s="119"/>
      <c r="AT1119" s="119"/>
      <c r="AU1119" s="119"/>
      <c r="AV1119" s="119"/>
      <c r="AW1119" s="119"/>
      <c r="AX1119" s="119"/>
      <c r="AY1119" s="119"/>
      <c r="AZ1119" s="119"/>
      <c r="BA1119" s="119"/>
      <c r="BB1119" s="119"/>
      <c r="BC1119" s="119"/>
      <c r="BD1119" s="119"/>
      <c r="BE1119" s="119"/>
      <c r="BF1119" s="119"/>
      <c r="BG1119" s="119"/>
      <c r="BH1119" s="119"/>
      <c r="BI1119" s="119"/>
      <c r="BJ1119" s="119"/>
      <c r="BK1119" s="119"/>
      <c r="BL1119" s="119"/>
      <c r="BM1119" s="119"/>
      <c r="BN1119" s="119"/>
      <c r="BO1119" s="119"/>
      <c r="BP1119" s="119"/>
      <c r="BQ1119" s="119"/>
      <c r="BR1119" s="119"/>
      <c r="BS1119" s="119"/>
      <c r="BT1119" s="119"/>
      <c r="BU1119" s="119"/>
      <c r="BV1119" s="119"/>
      <c r="BW1119" s="119"/>
      <c r="BX1119" s="119"/>
      <c r="BY1119" s="119"/>
      <c r="BZ1119" s="119"/>
      <c r="CA1119" s="119"/>
      <c r="CB1119" s="119"/>
      <c r="CC1119" s="119"/>
      <c r="CD1119" s="119"/>
      <c r="CE1119" s="119"/>
      <c r="CF1119" s="119"/>
      <c r="CG1119" s="119"/>
      <c r="CH1119" s="119"/>
      <c r="CI1119" s="119"/>
      <c r="CJ1119" s="119"/>
      <c r="CK1119" s="119"/>
      <c r="CL1119" s="119"/>
      <c r="CM1119" s="119"/>
      <c r="CN1119" s="119"/>
      <c r="CO1119" s="119"/>
      <c r="CP1119" s="119"/>
      <c r="CQ1119" s="119"/>
      <c r="CR1119" s="119"/>
      <c r="CS1119" s="119"/>
      <c r="CT1119" s="119"/>
      <c r="CU1119" s="119"/>
      <c r="CV1119" s="119"/>
      <c r="CW1119" s="119"/>
      <c r="CX1119" s="119"/>
    </row>
    <row r="1120" spans="1:102">
      <c r="A1120" s="119"/>
      <c r="B1120" s="119"/>
      <c r="C1120" s="119"/>
      <c r="D1120" s="117"/>
      <c r="E1120" s="119"/>
      <c r="F1120" s="119"/>
      <c r="G1120" s="119"/>
      <c r="H1120" s="119"/>
      <c r="I1120" s="119"/>
      <c r="J1120" s="119"/>
      <c r="K1120" s="119"/>
      <c r="L1120" s="119"/>
      <c r="M1120" s="119"/>
      <c r="N1120" s="119"/>
      <c r="O1120" s="119"/>
      <c r="P1120" s="119"/>
      <c r="Q1120" s="119"/>
      <c r="R1120" s="119"/>
      <c r="S1120" s="119"/>
      <c r="T1120" s="119"/>
      <c r="U1120" s="119"/>
      <c r="V1120" s="119"/>
      <c r="W1120" s="119"/>
      <c r="X1120" s="119"/>
      <c r="Y1120" s="119"/>
      <c r="Z1120" s="119"/>
      <c r="AA1120" s="119"/>
      <c r="AB1120" s="119"/>
      <c r="AC1120" s="119"/>
      <c r="AD1120" s="119"/>
      <c r="AE1120" s="119"/>
      <c r="AF1120" s="119"/>
      <c r="AG1120" s="119"/>
      <c r="AH1120" s="119"/>
      <c r="AI1120" s="119"/>
      <c r="AJ1120" s="119"/>
      <c r="AK1120" s="119"/>
      <c r="AL1120" s="119"/>
      <c r="AM1120" s="119"/>
      <c r="AN1120" s="119"/>
      <c r="AO1120" s="119"/>
      <c r="AP1120" s="119"/>
      <c r="AQ1120" s="119"/>
      <c r="AR1120" s="119"/>
      <c r="AS1120" s="119"/>
      <c r="AT1120" s="119"/>
      <c r="AU1120" s="119"/>
      <c r="AV1120" s="119"/>
      <c r="AW1120" s="119"/>
      <c r="AX1120" s="119"/>
      <c r="AY1120" s="119"/>
      <c r="AZ1120" s="119"/>
      <c r="BA1120" s="119"/>
      <c r="BB1120" s="119"/>
      <c r="BC1120" s="119"/>
      <c r="BD1120" s="119"/>
      <c r="BE1120" s="119"/>
      <c r="BF1120" s="119"/>
      <c r="BG1120" s="119"/>
      <c r="BH1120" s="119"/>
      <c r="BI1120" s="119"/>
      <c r="BJ1120" s="119"/>
      <c r="BK1120" s="119"/>
      <c r="BL1120" s="119"/>
      <c r="BM1120" s="119"/>
      <c r="BN1120" s="119"/>
      <c r="BO1120" s="119"/>
      <c r="BP1120" s="119"/>
      <c r="BQ1120" s="119"/>
      <c r="BR1120" s="119"/>
      <c r="BS1120" s="119"/>
      <c r="BT1120" s="119"/>
      <c r="BU1120" s="119"/>
      <c r="BV1120" s="119"/>
      <c r="BW1120" s="119"/>
      <c r="BX1120" s="119"/>
      <c r="BY1120" s="119"/>
      <c r="BZ1120" s="119"/>
      <c r="CA1120" s="119"/>
      <c r="CB1120" s="119"/>
      <c r="CC1120" s="119"/>
      <c r="CD1120" s="119"/>
      <c r="CE1120" s="119"/>
      <c r="CF1120" s="119"/>
      <c r="CG1120" s="119"/>
      <c r="CH1120" s="119"/>
      <c r="CI1120" s="119"/>
      <c r="CJ1120" s="119"/>
      <c r="CK1120" s="119"/>
      <c r="CL1120" s="119"/>
      <c r="CM1120" s="119"/>
      <c r="CN1120" s="119"/>
      <c r="CO1120" s="119"/>
      <c r="CP1120" s="119"/>
      <c r="CQ1120" s="119"/>
      <c r="CR1120" s="119"/>
      <c r="CS1120" s="119"/>
      <c r="CT1120" s="119"/>
      <c r="CU1120" s="119"/>
      <c r="CV1120" s="119"/>
      <c r="CW1120" s="119"/>
      <c r="CX1120" s="119"/>
    </row>
    <row r="1121" spans="1:102">
      <c r="A1121" s="119"/>
      <c r="B1121" s="119"/>
      <c r="C1121" s="119"/>
      <c r="D1121" s="117"/>
      <c r="E1121" s="119"/>
      <c r="F1121" s="119"/>
      <c r="G1121" s="119"/>
      <c r="H1121" s="119"/>
      <c r="I1121" s="119"/>
      <c r="J1121" s="119"/>
      <c r="K1121" s="119"/>
      <c r="L1121" s="119"/>
      <c r="M1121" s="119"/>
      <c r="N1121" s="119"/>
      <c r="O1121" s="119"/>
      <c r="P1121" s="119"/>
      <c r="Q1121" s="119"/>
      <c r="R1121" s="119"/>
      <c r="S1121" s="119"/>
      <c r="T1121" s="119"/>
      <c r="U1121" s="119"/>
      <c r="V1121" s="119"/>
      <c r="W1121" s="119"/>
      <c r="X1121" s="119"/>
      <c r="Y1121" s="119"/>
      <c r="Z1121" s="119"/>
      <c r="AA1121" s="119"/>
      <c r="AB1121" s="119"/>
      <c r="AC1121" s="119"/>
      <c r="AD1121" s="119"/>
      <c r="AE1121" s="119"/>
      <c r="AF1121" s="119"/>
      <c r="AG1121" s="119"/>
      <c r="AH1121" s="119"/>
      <c r="AI1121" s="119"/>
      <c r="AJ1121" s="119"/>
      <c r="AK1121" s="119"/>
      <c r="AL1121" s="119"/>
      <c r="AM1121" s="119"/>
      <c r="AN1121" s="119"/>
      <c r="AO1121" s="119"/>
      <c r="AP1121" s="119"/>
      <c r="AQ1121" s="119"/>
      <c r="AR1121" s="119"/>
      <c r="AS1121" s="119"/>
      <c r="AT1121" s="119"/>
      <c r="AU1121" s="119"/>
      <c r="AV1121" s="119"/>
      <c r="AW1121" s="119"/>
      <c r="AX1121" s="119"/>
      <c r="AY1121" s="119"/>
      <c r="AZ1121" s="119"/>
      <c r="BA1121" s="119"/>
      <c r="BB1121" s="119"/>
      <c r="BC1121" s="119"/>
      <c r="BD1121" s="119"/>
      <c r="BE1121" s="119"/>
      <c r="BF1121" s="119"/>
      <c r="BG1121" s="119"/>
      <c r="BH1121" s="119"/>
      <c r="BI1121" s="119"/>
      <c r="BJ1121" s="119"/>
      <c r="BK1121" s="119"/>
      <c r="BL1121" s="119"/>
      <c r="BM1121" s="119"/>
      <c r="BN1121" s="119"/>
      <c r="BO1121" s="119"/>
      <c r="BP1121" s="119"/>
      <c r="BQ1121" s="119"/>
      <c r="BR1121" s="119"/>
      <c r="BS1121" s="119"/>
      <c r="BT1121" s="119"/>
      <c r="BU1121" s="119"/>
      <c r="BV1121" s="119"/>
      <c r="BW1121" s="119"/>
      <c r="BX1121" s="119"/>
      <c r="BY1121" s="119"/>
      <c r="BZ1121" s="119"/>
      <c r="CA1121" s="119"/>
      <c r="CB1121" s="119"/>
      <c r="CC1121" s="119"/>
      <c r="CD1121" s="119"/>
      <c r="CE1121" s="119"/>
      <c r="CF1121" s="119"/>
      <c r="CG1121" s="119"/>
      <c r="CH1121" s="119"/>
      <c r="CI1121" s="119"/>
      <c r="CJ1121" s="119"/>
      <c r="CK1121" s="119"/>
      <c r="CL1121" s="119"/>
      <c r="CM1121" s="119"/>
      <c r="CN1121" s="119"/>
      <c r="CO1121" s="119"/>
      <c r="CP1121" s="119"/>
      <c r="CQ1121" s="119"/>
      <c r="CR1121" s="119"/>
      <c r="CS1121" s="119"/>
      <c r="CT1121" s="119"/>
      <c r="CU1121" s="119"/>
      <c r="CV1121" s="119"/>
      <c r="CW1121" s="119"/>
      <c r="CX1121" s="119"/>
    </row>
    <row r="1122" spans="1:102">
      <c r="A1122" s="119"/>
      <c r="B1122" s="119"/>
      <c r="C1122" s="119"/>
      <c r="D1122" s="117"/>
      <c r="E1122" s="119"/>
      <c r="F1122" s="119"/>
      <c r="G1122" s="119"/>
      <c r="H1122" s="119"/>
      <c r="I1122" s="119"/>
      <c r="J1122" s="119"/>
      <c r="K1122" s="119"/>
      <c r="L1122" s="119"/>
      <c r="M1122" s="119"/>
      <c r="N1122" s="119"/>
      <c r="O1122" s="119"/>
      <c r="P1122" s="119"/>
      <c r="Q1122" s="119"/>
      <c r="R1122" s="119"/>
      <c r="S1122" s="119"/>
      <c r="T1122" s="119"/>
      <c r="U1122" s="119"/>
      <c r="V1122" s="119"/>
      <c r="W1122" s="119"/>
      <c r="X1122" s="119"/>
      <c r="Y1122" s="119"/>
      <c r="Z1122" s="119"/>
      <c r="AA1122" s="119"/>
      <c r="AB1122" s="119"/>
      <c r="AC1122" s="119"/>
      <c r="AD1122" s="119"/>
      <c r="AE1122" s="119"/>
      <c r="AF1122" s="119"/>
      <c r="AG1122" s="119"/>
      <c r="AH1122" s="119"/>
      <c r="AI1122" s="119"/>
      <c r="AJ1122" s="119"/>
      <c r="AK1122" s="119"/>
      <c r="AL1122" s="119"/>
      <c r="AM1122" s="119"/>
      <c r="AN1122" s="119"/>
      <c r="AO1122" s="119"/>
      <c r="AP1122" s="119"/>
      <c r="AQ1122" s="119"/>
      <c r="AR1122" s="119"/>
      <c r="AS1122" s="119"/>
      <c r="AT1122" s="119"/>
      <c r="AU1122" s="119"/>
      <c r="AV1122" s="119"/>
      <c r="AW1122" s="119"/>
      <c r="AX1122" s="119"/>
      <c r="AY1122" s="119"/>
      <c r="AZ1122" s="119"/>
      <c r="BA1122" s="119"/>
      <c r="BB1122" s="119"/>
      <c r="BC1122" s="119"/>
      <c r="BD1122" s="119"/>
      <c r="BE1122" s="119"/>
      <c r="BF1122" s="119"/>
      <c r="BG1122" s="119"/>
      <c r="BH1122" s="119"/>
      <c r="BI1122" s="119"/>
      <c r="BJ1122" s="119"/>
      <c r="BK1122" s="119"/>
      <c r="BL1122" s="119"/>
      <c r="BM1122" s="119"/>
      <c r="BN1122" s="119"/>
      <c r="BO1122" s="119"/>
      <c r="BP1122" s="119"/>
      <c r="BQ1122" s="119"/>
      <c r="BR1122" s="119"/>
      <c r="BS1122" s="119"/>
      <c r="BT1122" s="119"/>
      <c r="BU1122" s="119"/>
      <c r="BV1122" s="119"/>
      <c r="BW1122" s="119"/>
      <c r="BX1122" s="119"/>
      <c r="BY1122" s="119"/>
      <c r="BZ1122" s="119"/>
      <c r="CA1122" s="119"/>
      <c r="CB1122" s="119"/>
      <c r="CC1122" s="119"/>
      <c r="CD1122" s="119"/>
      <c r="CE1122" s="119"/>
      <c r="CF1122" s="119"/>
      <c r="CG1122" s="119"/>
      <c r="CH1122" s="119"/>
      <c r="CI1122" s="119"/>
      <c r="CJ1122" s="119"/>
      <c r="CK1122" s="119"/>
      <c r="CL1122" s="119"/>
      <c r="CM1122" s="119"/>
      <c r="CN1122" s="119"/>
      <c r="CO1122" s="119"/>
      <c r="CP1122" s="119"/>
      <c r="CQ1122" s="119"/>
      <c r="CR1122" s="119"/>
      <c r="CS1122" s="119"/>
      <c r="CT1122" s="119"/>
      <c r="CU1122" s="119"/>
      <c r="CV1122" s="119"/>
      <c r="CW1122" s="119"/>
      <c r="CX1122" s="119"/>
    </row>
    <row r="1123" spans="1:102">
      <c r="A1123" s="119"/>
      <c r="B1123" s="119"/>
      <c r="C1123" s="119"/>
      <c r="D1123" s="117"/>
      <c r="E1123" s="119"/>
      <c r="F1123" s="119"/>
      <c r="G1123" s="119"/>
      <c r="H1123" s="119"/>
      <c r="I1123" s="119"/>
      <c r="J1123" s="119"/>
      <c r="K1123" s="119"/>
      <c r="L1123" s="119"/>
      <c r="M1123" s="119"/>
      <c r="N1123" s="119"/>
      <c r="O1123" s="119"/>
      <c r="P1123" s="119"/>
      <c r="Q1123" s="119"/>
      <c r="R1123" s="119"/>
      <c r="S1123" s="119"/>
      <c r="T1123" s="119"/>
      <c r="U1123" s="119"/>
      <c r="V1123" s="119"/>
      <c r="W1123" s="119"/>
      <c r="X1123" s="119"/>
      <c r="Y1123" s="119"/>
      <c r="Z1123" s="119"/>
      <c r="AA1123" s="119"/>
      <c r="AB1123" s="119"/>
      <c r="AC1123" s="119"/>
      <c r="AD1123" s="119"/>
      <c r="AE1123" s="119"/>
      <c r="AF1123" s="119"/>
      <c r="AG1123" s="119"/>
      <c r="AH1123" s="119"/>
      <c r="AI1123" s="119"/>
      <c r="AJ1123" s="119"/>
      <c r="AK1123" s="119"/>
      <c r="AL1123" s="119"/>
      <c r="AM1123" s="119"/>
      <c r="AN1123" s="119"/>
      <c r="AO1123" s="119"/>
      <c r="AP1123" s="119"/>
      <c r="AQ1123" s="119"/>
      <c r="AR1123" s="119"/>
      <c r="AS1123" s="119"/>
      <c r="AT1123" s="119"/>
      <c r="AU1123" s="119"/>
      <c r="AV1123" s="119"/>
      <c r="AW1123" s="119"/>
      <c r="AX1123" s="119"/>
      <c r="AY1123" s="119"/>
      <c r="AZ1123" s="119"/>
      <c r="BA1123" s="119"/>
      <c r="BB1123" s="119"/>
      <c r="BC1123" s="119"/>
      <c r="BD1123" s="119"/>
      <c r="BE1123" s="119"/>
      <c r="BF1123" s="119"/>
      <c r="BG1123" s="119"/>
      <c r="BH1123" s="119"/>
      <c r="BI1123" s="119"/>
      <c r="BJ1123" s="119"/>
      <c r="BK1123" s="119"/>
      <c r="BL1123" s="119"/>
      <c r="BM1123" s="119"/>
      <c r="BN1123" s="119"/>
      <c r="BO1123" s="119"/>
      <c r="BP1123" s="119"/>
      <c r="BQ1123" s="119"/>
      <c r="BR1123" s="119"/>
      <c r="BS1123" s="119"/>
      <c r="BT1123" s="119"/>
      <c r="BU1123" s="119"/>
      <c r="BV1123" s="119"/>
      <c r="BW1123" s="119"/>
      <c r="BX1123" s="119"/>
      <c r="BY1123" s="119"/>
      <c r="BZ1123" s="119"/>
      <c r="CA1123" s="119"/>
      <c r="CB1123" s="119"/>
      <c r="CC1123" s="119"/>
      <c r="CD1123" s="119"/>
      <c r="CE1123" s="119"/>
      <c r="CF1123" s="119"/>
      <c r="CG1123" s="119"/>
      <c r="CH1123" s="119"/>
      <c r="CI1123" s="119"/>
      <c r="CJ1123" s="119"/>
      <c r="CK1123" s="119"/>
      <c r="CL1123" s="119"/>
      <c r="CM1123" s="119"/>
      <c r="CN1123" s="119"/>
      <c r="CO1123" s="119"/>
      <c r="CP1123" s="119"/>
      <c r="CQ1123" s="119"/>
      <c r="CR1123" s="119"/>
      <c r="CS1123" s="119"/>
      <c r="CT1123" s="119"/>
      <c r="CU1123" s="119"/>
      <c r="CV1123" s="119"/>
      <c r="CW1123" s="119"/>
      <c r="CX1123" s="119"/>
    </row>
    <row r="1124" spans="1:102">
      <c r="A1124" s="119"/>
      <c r="B1124" s="119"/>
      <c r="C1124" s="119"/>
      <c r="D1124" s="117"/>
      <c r="E1124" s="119"/>
      <c r="F1124" s="119"/>
      <c r="G1124" s="119"/>
      <c r="H1124" s="119"/>
      <c r="I1124" s="119"/>
      <c r="J1124" s="119"/>
      <c r="K1124" s="119"/>
      <c r="L1124" s="119"/>
      <c r="M1124" s="119"/>
      <c r="N1124" s="119"/>
      <c r="O1124" s="119"/>
      <c r="P1124" s="119"/>
      <c r="Q1124" s="119"/>
      <c r="R1124" s="119"/>
      <c r="S1124" s="119"/>
      <c r="T1124" s="119"/>
      <c r="U1124" s="119"/>
      <c r="V1124" s="119"/>
      <c r="W1124" s="119"/>
      <c r="X1124" s="119"/>
      <c r="Y1124" s="119"/>
      <c r="Z1124" s="119"/>
      <c r="AA1124" s="119"/>
      <c r="AB1124" s="119"/>
      <c r="AC1124" s="119"/>
      <c r="AD1124" s="119"/>
      <c r="AE1124" s="119"/>
      <c r="AF1124" s="119"/>
      <c r="AG1124" s="119"/>
      <c r="AH1124" s="119"/>
      <c r="AI1124" s="119"/>
      <c r="AJ1124" s="119"/>
      <c r="AK1124" s="119"/>
      <c r="AL1124" s="119"/>
      <c r="AM1124" s="119"/>
      <c r="AN1124" s="119"/>
      <c r="AO1124" s="119"/>
      <c r="AP1124" s="119"/>
      <c r="AQ1124" s="119"/>
      <c r="AR1124" s="119"/>
      <c r="AS1124" s="119"/>
      <c r="AT1124" s="119"/>
      <c r="AU1124" s="119"/>
      <c r="AV1124" s="119"/>
      <c r="AW1124" s="119"/>
      <c r="AX1124" s="119"/>
      <c r="AY1124" s="119"/>
      <c r="AZ1124" s="119"/>
      <c r="BA1124" s="119"/>
      <c r="BB1124" s="119"/>
      <c r="BC1124" s="119"/>
      <c r="BD1124" s="119"/>
      <c r="BE1124" s="119"/>
      <c r="BF1124" s="119"/>
      <c r="BG1124" s="119"/>
      <c r="BH1124" s="119"/>
      <c r="BI1124" s="119"/>
      <c r="BJ1124" s="119"/>
      <c r="BK1124" s="119"/>
      <c r="BL1124" s="119"/>
      <c r="BM1124" s="119"/>
      <c r="BN1124" s="119"/>
      <c r="BO1124" s="119"/>
      <c r="BP1124" s="119"/>
      <c r="BQ1124" s="119"/>
      <c r="BR1124" s="119"/>
      <c r="BS1124" s="119"/>
      <c r="BT1124" s="119"/>
      <c r="BU1124" s="119"/>
      <c r="BV1124" s="119"/>
      <c r="BW1124" s="119"/>
      <c r="BX1124" s="119"/>
      <c r="BY1124" s="119"/>
      <c r="BZ1124" s="119"/>
      <c r="CA1124" s="119"/>
      <c r="CB1124" s="119"/>
      <c r="CC1124" s="119"/>
      <c r="CD1124" s="119"/>
      <c r="CE1124" s="119"/>
      <c r="CF1124" s="119"/>
      <c r="CG1124" s="119"/>
      <c r="CH1124" s="119"/>
      <c r="CI1124" s="119"/>
      <c r="CJ1124" s="119"/>
      <c r="CK1124" s="119"/>
      <c r="CL1124" s="119"/>
      <c r="CM1124" s="119"/>
      <c r="CN1124" s="119"/>
      <c r="CO1124" s="119"/>
      <c r="CP1124" s="119"/>
      <c r="CQ1124" s="119"/>
      <c r="CR1124" s="119"/>
      <c r="CS1124" s="119"/>
      <c r="CT1124" s="119"/>
      <c r="CU1124" s="119"/>
      <c r="CV1124" s="119"/>
      <c r="CW1124" s="119"/>
      <c r="CX1124" s="119"/>
    </row>
    <row r="1125" spans="1:102">
      <c r="A1125" s="119"/>
      <c r="B1125" s="119"/>
      <c r="C1125" s="119"/>
      <c r="D1125" s="117"/>
      <c r="E1125" s="119"/>
      <c r="F1125" s="119"/>
      <c r="G1125" s="119"/>
      <c r="H1125" s="119"/>
      <c r="I1125" s="119"/>
      <c r="J1125" s="119"/>
      <c r="K1125" s="119"/>
      <c r="L1125" s="119"/>
      <c r="M1125" s="119"/>
      <c r="N1125" s="119"/>
      <c r="O1125" s="119"/>
      <c r="P1125" s="119"/>
      <c r="Q1125" s="119"/>
      <c r="R1125" s="119"/>
      <c r="S1125" s="119"/>
      <c r="T1125" s="119"/>
      <c r="U1125" s="119"/>
      <c r="V1125" s="119"/>
      <c r="W1125" s="119"/>
      <c r="X1125" s="119"/>
      <c r="Y1125" s="119"/>
      <c r="Z1125" s="119"/>
      <c r="AA1125" s="119"/>
      <c r="AB1125" s="119"/>
      <c r="AC1125" s="119"/>
      <c r="AD1125" s="119"/>
      <c r="AE1125" s="119"/>
      <c r="AF1125" s="119"/>
      <c r="AG1125" s="119"/>
      <c r="AH1125" s="119"/>
      <c r="AI1125" s="119"/>
      <c r="AJ1125" s="119"/>
      <c r="AK1125" s="119"/>
      <c r="AL1125" s="119"/>
      <c r="AM1125" s="119"/>
      <c r="AN1125" s="119"/>
      <c r="AO1125" s="119"/>
      <c r="AP1125" s="119"/>
      <c r="AQ1125" s="119"/>
      <c r="AR1125" s="119"/>
      <c r="AS1125" s="119"/>
      <c r="AT1125" s="119"/>
      <c r="AU1125" s="119"/>
      <c r="AV1125" s="119"/>
      <c r="AW1125" s="119"/>
      <c r="AX1125" s="119"/>
      <c r="AY1125" s="119"/>
      <c r="AZ1125" s="119"/>
      <c r="BA1125" s="119"/>
      <c r="BB1125" s="119"/>
      <c r="BC1125" s="119"/>
      <c r="BD1125" s="119"/>
      <c r="BE1125" s="119"/>
      <c r="BF1125" s="119"/>
      <c r="BG1125" s="119"/>
      <c r="BH1125" s="119"/>
      <c r="BI1125" s="119"/>
      <c r="BJ1125" s="119"/>
      <c r="BK1125" s="119"/>
      <c r="BL1125" s="119"/>
      <c r="BM1125" s="119"/>
      <c r="BN1125" s="119"/>
      <c r="BO1125" s="119"/>
      <c r="BP1125" s="119"/>
      <c r="BQ1125" s="119"/>
      <c r="BR1125" s="119"/>
      <c r="BS1125" s="119"/>
      <c r="BT1125" s="119"/>
      <c r="BU1125" s="119"/>
      <c r="BV1125" s="119"/>
      <c r="BW1125" s="119"/>
      <c r="BX1125" s="119"/>
      <c r="BY1125" s="119"/>
      <c r="BZ1125" s="119"/>
      <c r="CA1125" s="119"/>
      <c r="CB1125" s="119"/>
      <c r="CC1125" s="119"/>
      <c r="CD1125" s="119"/>
      <c r="CE1125" s="119"/>
      <c r="CF1125" s="119"/>
      <c r="CG1125" s="119"/>
      <c r="CH1125" s="119"/>
      <c r="CI1125" s="119"/>
      <c r="CJ1125" s="119"/>
      <c r="CK1125" s="119"/>
      <c r="CL1125" s="119"/>
      <c r="CM1125" s="119"/>
      <c r="CN1125" s="119"/>
      <c r="CO1125" s="119"/>
      <c r="CP1125" s="119"/>
      <c r="CQ1125" s="119"/>
      <c r="CR1125" s="119"/>
      <c r="CS1125" s="119"/>
      <c r="CT1125" s="119"/>
      <c r="CU1125" s="119"/>
      <c r="CV1125" s="119"/>
      <c r="CW1125" s="119"/>
      <c r="CX1125" s="119"/>
    </row>
    <row r="1126" spans="1:102">
      <c r="A1126" s="119"/>
      <c r="B1126" s="119"/>
      <c r="C1126" s="119"/>
      <c r="D1126" s="117"/>
      <c r="E1126" s="119"/>
      <c r="F1126" s="119"/>
      <c r="G1126" s="119"/>
      <c r="H1126" s="119"/>
      <c r="I1126" s="119"/>
      <c r="J1126" s="119"/>
      <c r="K1126" s="119"/>
      <c r="L1126" s="119"/>
      <c r="M1126" s="119"/>
      <c r="N1126" s="119"/>
      <c r="O1126" s="119"/>
      <c r="P1126" s="119"/>
      <c r="Q1126" s="119"/>
      <c r="R1126" s="119"/>
      <c r="S1126" s="119"/>
      <c r="T1126" s="119"/>
      <c r="U1126" s="119"/>
      <c r="V1126" s="119"/>
      <c r="W1126" s="119"/>
      <c r="X1126" s="119"/>
      <c r="Y1126" s="119"/>
      <c r="Z1126" s="119"/>
      <c r="AA1126" s="119"/>
      <c r="AB1126" s="119"/>
      <c r="AC1126" s="119"/>
      <c r="AD1126" s="119"/>
      <c r="AE1126" s="119"/>
      <c r="AF1126" s="119"/>
      <c r="AG1126" s="119"/>
      <c r="AH1126" s="119"/>
      <c r="AI1126" s="119"/>
      <c r="AJ1126" s="119"/>
      <c r="AK1126" s="119"/>
      <c r="AL1126" s="119"/>
      <c r="AM1126" s="119"/>
      <c r="AN1126" s="119"/>
      <c r="AO1126" s="119"/>
      <c r="AP1126" s="119"/>
      <c r="AQ1126" s="119"/>
      <c r="AR1126" s="119"/>
      <c r="AS1126" s="119"/>
      <c r="AT1126" s="119"/>
      <c r="AU1126" s="119"/>
      <c r="AV1126" s="119"/>
      <c r="AW1126" s="119"/>
      <c r="AX1126" s="119"/>
      <c r="AY1126" s="119"/>
      <c r="AZ1126" s="119"/>
      <c r="BA1126" s="119"/>
      <c r="BB1126" s="119"/>
      <c r="BC1126" s="119"/>
      <c r="BD1126" s="119"/>
      <c r="BE1126" s="119"/>
      <c r="BF1126" s="119"/>
      <c r="BG1126" s="119"/>
      <c r="BH1126" s="119"/>
      <c r="BI1126" s="119"/>
      <c r="BJ1126" s="119"/>
      <c r="BK1126" s="119"/>
      <c r="BL1126" s="119"/>
      <c r="BM1126" s="119"/>
      <c r="BN1126" s="119"/>
      <c r="BO1126" s="119"/>
      <c r="BP1126" s="119"/>
      <c r="BQ1126" s="119"/>
      <c r="BR1126" s="119"/>
      <c r="BS1126" s="119"/>
      <c r="BT1126" s="119"/>
      <c r="BU1126" s="119"/>
      <c r="BV1126" s="119"/>
      <c r="BW1126" s="119"/>
      <c r="BX1126" s="119"/>
      <c r="BY1126" s="119"/>
      <c r="BZ1126" s="119"/>
      <c r="CA1126" s="119"/>
      <c r="CB1126" s="119"/>
      <c r="CC1126" s="119"/>
      <c r="CD1126" s="119"/>
      <c r="CE1126" s="119"/>
      <c r="CF1126" s="119"/>
      <c r="CG1126" s="119"/>
      <c r="CH1126" s="119"/>
      <c r="CI1126" s="119"/>
      <c r="CJ1126" s="119"/>
      <c r="CK1126" s="119"/>
      <c r="CL1126" s="119"/>
      <c r="CM1126" s="119"/>
      <c r="CN1126" s="119"/>
      <c r="CO1126" s="119"/>
      <c r="CP1126" s="119"/>
      <c r="CQ1126" s="119"/>
      <c r="CR1126" s="119"/>
      <c r="CS1126" s="119"/>
      <c r="CT1126" s="119"/>
      <c r="CU1126" s="119"/>
      <c r="CV1126" s="119"/>
      <c r="CW1126" s="119"/>
      <c r="CX1126" s="119"/>
    </row>
    <row r="1127" spans="1:102">
      <c r="A1127" s="119"/>
      <c r="B1127" s="119"/>
      <c r="C1127" s="119"/>
      <c r="D1127" s="117"/>
      <c r="E1127" s="119"/>
      <c r="F1127" s="119"/>
      <c r="G1127" s="119"/>
      <c r="H1127" s="119"/>
      <c r="I1127" s="119"/>
      <c r="J1127" s="119"/>
      <c r="K1127" s="119"/>
      <c r="L1127" s="119"/>
      <c r="M1127" s="119"/>
      <c r="N1127" s="119"/>
      <c r="O1127" s="119"/>
      <c r="P1127" s="119"/>
      <c r="Q1127" s="119"/>
      <c r="R1127" s="119"/>
      <c r="S1127" s="119"/>
      <c r="T1127" s="119"/>
      <c r="U1127" s="119"/>
      <c r="V1127" s="119"/>
      <c r="W1127" s="119"/>
      <c r="X1127" s="119"/>
      <c r="Y1127" s="119"/>
      <c r="Z1127" s="119"/>
      <c r="AA1127" s="119"/>
      <c r="AB1127" s="119"/>
      <c r="AC1127" s="119"/>
      <c r="AD1127" s="119"/>
      <c r="AE1127" s="119"/>
      <c r="AF1127" s="119"/>
      <c r="AG1127" s="119"/>
      <c r="AH1127" s="119"/>
      <c r="AI1127" s="119"/>
      <c r="AJ1127" s="119"/>
      <c r="AK1127" s="119"/>
      <c r="AL1127" s="119"/>
      <c r="AM1127" s="119"/>
      <c r="AN1127" s="119"/>
      <c r="AO1127" s="119"/>
      <c r="AP1127" s="119"/>
      <c r="AQ1127" s="119"/>
      <c r="AR1127" s="119"/>
      <c r="AS1127" s="119"/>
      <c r="AT1127" s="119"/>
      <c r="AU1127" s="119"/>
      <c r="AV1127" s="119"/>
      <c r="AW1127" s="119"/>
      <c r="AX1127" s="119"/>
      <c r="AY1127" s="119"/>
      <c r="AZ1127" s="119"/>
      <c r="BA1127" s="119"/>
      <c r="BB1127" s="119"/>
      <c r="BC1127" s="119"/>
      <c r="BD1127" s="119"/>
      <c r="BE1127" s="119"/>
      <c r="BF1127" s="119"/>
      <c r="BG1127" s="119"/>
      <c r="BH1127" s="119"/>
      <c r="BI1127" s="119"/>
      <c r="BJ1127" s="119"/>
      <c r="BK1127" s="119"/>
      <c r="BL1127" s="119"/>
      <c r="BM1127" s="119"/>
      <c r="BN1127" s="119"/>
      <c r="BO1127" s="119"/>
      <c r="BP1127" s="119"/>
      <c r="BQ1127" s="119"/>
      <c r="BR1127" s="119"/>
      <c r="BS1127" s="119"/>
      <c r="BT1127" s="119"/>
      <c r="BU1127" s="119"/>
      <c r="BV1127" s="119"/>
      <c r="BW1127" s="119"/>
      <c r="BX1127" s="119"/>
      <c r="BY1127" s="119"/>
      <c r="BZ1127" s="119"/>
      <c r="CA1127" s="119"/>
      <c r="CB1127" s="119"/>
      <c r="CC1127" s="119"/>
      <c r="CD1127" s="119"/>
      <c r="CE1127" s="119"/>
      <c r="CF1127" s="119"/>
      <c r="CG1127" s="119"/>
      <c r="CH1127" s="119"/>
      <c r="CI1127" s="119"/>
      <c r="CJ1127" s="119"/>
      <c r="CK1127" s="119"/>
      <c r="CL1127" s="119"/>
      <c r="CM1127" s="119"/>
      <c r="CN1127" s="119"/>
      <c r="CO1127" s="119"/>
      <c r="CP1127" s="119"/>
      <c r="CQ1127" s="119"/>
      <c r="CR1127" s="119"/>
      <c r="CS1127" s="119"/>
      <c r="CT1127" s="119"/>
      <c r="CU1127" s="119"/>
      <c r="CV1127" s="119"/>
      <c r="CW1127" s="119"/>
      <c r="CX1127" s="119"/>
    </row>
    <row r="1128" spans="1:102">
      <c r="A1128" s="119"/>
      <c r="B1128" s="119"/>
      <c r="C1128" s="119"/>
      <c r="D1128" s="117"/>
      <c r="E1128" s="119"/>
      <c r="F1128" s="119"/>
      <c r="G1128" s="119"/>
      <c r="H1128" s="119"/>
      <c r="I1128" s="119"/>
      <c r="J1128" s="119"/>
      <c r="K1128" s="119"/>
      <c r="L1128" s="119"/>
      <c r="M1128" s="119"/>
      <c r="N1128" s="119"/>
      <c r="O1128" s="119"/>
      <c r="P1128" s="119"/>
      <c r="Q1128" s="119"/>
      <c r="R1128" s="119"/>
      <c r="S1128" s="119"/>
      <c r="T1128" s="119"/>
      <c r="U1128" s="119"/>
      <c r="V1128" s="119"/>
      <c r="W1128" s="119"/>
      <c r="X1128" s="119"/>
      <c r="Y1128" s="119"/>
      <c r="Z1128" s="119"/>
      <c r="AA1128" s="119"/>
      <c r="AB1128" s="119"/>
      <c r="AC1128" s="119"/>
      <c r="AD1128" s="119"/>
      <c r="AE1128" s="119"/>
      <c r="AF1128" s="119"/>
      <c r="AG1128" s="119"/>
      <c r="AH1128" s="119"/>
      <c r="AI1128" s="119"/>
      <c r="AJ1128" s="119"/>
      <c r="AK1128" s="119"/>
      <c r="AL1128" s="119"/>
      <c r="AM1128" s="119"/>
      <c r="AN1128" s="119"/>
      <c r="AO1128" s="119"/>
      <c r="AP1128" s="119"/>
      <c r="AQ1128" s="119"/>
      <c r="AR1128" s="119"/>
      <c r="AS1128" s="119"/>
      <c r="AT1128" s="119"/>
      <c r="AU1128" s="119"/>
      <c r="AV1128" s="119"/>
      <c r="AW1128" s="119"/>
      <c r="AX1128" s="119"/>
      <c r="AY1128" s="119"/>
      <c r="AZ1128" s="119"/>
      <c r="BA1128" s="119"/>
      <c r="BB1128" s="119"/>
      <c r="BC1128" s="119"/>
      <c r="BD1128" s="119"/>
      <c r="BE1128" s="119"/>
      <c r="BF1128" s="119"/>
      <c r="BG1128" s="119"/>
      <c r="BH1128" s="119"/>
      <c r="BI1128" s="119"/>
      <c r="BJ1128" s="119"/>
      <c r="BK1128" s="119"/>
      <c r="BL1128" s="119"/>
      <c r="BM1128" s="119"/>
      <c r="BN1128" s="119"/>
      <c r="BO1128" s="119"/>
      <c r="BP1128" s="119"/>
      <c r="BQ1128" s="119"/>
      <c r="BR1128" s="119"/>
      <c r="BS1128" s="119"/>
      <c r="BT1128" s="119"/>
      <c r="BU1128" s="119"/>
      <c r="BV1128" s="119"/>
      <c r="BW1128" s="119"/>
      <c r="BX1128" s="119"/>
      <c r="BY1128" s="119"/>
      <c r="BZ1128" s="119"/>
      <c r="CA1128" s="119"/>
      <c r="CB1128" s="119"/>
      <c r="CC1128" s="119"/>
      <c r="CD1128" s="119"/>
      <c r="CE1128" s="119"/>
      <c r="CF1128" s="119"/>
      <c r="CG1128" s="119"/>
      <c r="CH1128" s="119"/>
      <c r="CI1128" s="119"/>
      <c r="CJ1128" s="119"/>
      <c r="CK1128" s="119"/>
      <c r="CL1128" s="119"/>
      <c r="CM1128" s="119"/>
      <c r="CN1128" s="119"/>
      <c r="CO1128" s="119"/>
      <c r="CP1128" s="119"/>
      <c r="CQ1128" s="119"/>
      <c r="CR1128" s="119"/>
      <c r="CS1128" s="119"/>
      <c r="CT1128" s="119"/>
      <c r="CU1128" s="119"/>
      <c r="CV1128" s="119"/>
      <c r="CW1128" s="119"/>
      <c r="CX1128" s="119"/>
    </row>
    <row r="1129" spans="1:102">
      <c r="A1129" s="119"/>
      <c r="B1129" s="119"/>
      <c r="C1129" s="119"/>
      <c r="D1129" s="119"/>
      <c r="E1129" s="119"/>
      <c r="F1129" s="119"/>
      <c r="G1129" s="119"/>
      <c r="H1129" s="119"/>
      <c r="I1129" s="119"/>
      <c r="J1129" s="119"/>
      <c r="K1129" s="119"/>
      <c r="L1129" s="119"/>
      <c r="M1129" s="119"/>
      <c r="N1129" s="119"/>
      <c r="O1129" s="119"/>
      <c r="P1129" s="119"/>
      <c r="Q1129" s="119"/>
      <c r="R1129" s="119"/>
      <c r="S1129" s="119"/>
      <c r="T1129" s="119"/>
      <c r="U1129" s="119"/>
      <c r="V1129" s="119"/>
      <c r="W1129" s="119"/>
      <c r="X1129" s="119"/>
      <c r="Y1129" s="119"/>
      <c r="Z1129" s="119"/>
      <c r="AA1129" s="119"/>
      <c r="AB1129" s="119"/>
      <c r="AC1129" s="119"/>
      <c r="AD1129" s="119"/>
      <c r="AE1129" s="119"/>
      <c r="AF1129" s="119"/>
      <c r="AG1129" s="119"/>
      <c r="AH1129" s="119"/>
      <c r="AI1129" s="119"/>
      <c r="AJ1129" s="119"/>
      <c r="AK1129" s="119"/>
      <c r="AL1129" s="119"/>
      <c r="AM1129" s="119"/>
      <c r="AN1129" s="119"/>
      <c r="AO1129" s="119"/>
      <c r="AP1129" s="119"/>
      <c r="AQ1129" s="119"/>
      <c r="AR1129" s="119"/>
      <c r="AS1129" s="119"/>
      <c r="AT1129" s="119"/>
      <c r="AU1129" s="119"/>
      <c r="AV1129" s="119"/>
      <c r="AW1129" s="119"/>
      <c r="AX1129" s="119"/>
      <c r="AY1129" s="119"/>
      <c r="AZ1129" s="119"/>
      <c r="BA1129" s="119"/>
      <c r="BB1129" s="119"/>
      <c r="BC1129" s="119"/>
      <c r="BD1129" s="119"/>
      <c r="BE1129" s="119"/>
      <c r="BF1129" s="119"/>
      <c r="BG1129" s="119"/>
      <c r="BH1129" s="119"/>
      <c r="BI1129" s="119"/>
      <c r="BJ1129" s="119"/>
      <c r="BK1129" s="119"/>
      <c r="BL1129" s="119"/>
      <c r="BM1129" s="119"/>
      <c r="BN1129" s="119"/>
      <c r="BO1129" s="119"/>
      <c r="BP1129" s="119"/>
      <c r="BQ1129" s="119"/>
      <c r="BR1129" s="119"/>
      <c r="BS1129" s="119"/>
      <c r="BT1129" s="119"/>
      <c r="BU1129" s="119"/>
      <c r="BV1129" s="119"/>
      <c r="BW1129" s="119"/>
      <c r="BX1129" s="119"/>
      <c r="BY1129" s="119"/>
      <c r="BZ1129" s="119"/>
      <c r="CA1129" s="119"/>
      <c r="CB1129" s="119"/>
      <c r="CC1129" s="119"/>
      <c r="CD1129" s="119"/>
      <c r="CE1129" s="119"/>
      <c r="CF1129" s="119"/>
      <c r="CG1129" s="119"/>
      <c r="CH1129" s="119"/>
      <c r="CI1129" s="119"/>
      <c r="CJ1129" s="119"/>
      <c r="CK1129" s="119"/>
      <c r="CL1129" s="119"/>
      <c r="CM1129" s="119"/>
      <c r="CN1129" s="119"/>
      <c r="CO1129" s="119"/>
      <c r="CP1129" s="119"/>
      <c r="CQ1129" s="119"/>
      <c r="CR1129" s="119"/>
      <c r="CS1129" s="119"/>
      <c r="CT1129" s="119"/>
      <c r="CU1129" s="119"/>
      <c r="CV1129" s="119"/>
      <c r="CW1129" s="119"/>
      <c r="CX1129" s="119"/>
    </row>
    <row r="1130" spans="1:102">
      <c r="A1130" s="119"/>
      <c r="B1130" s="119"/>
      <c r="C1130" s="119"/>
      <c r="D1130" s="119"/>
      <c r="E1130" s="119"/>
      <c r="F1130" s="119"/>
      <c r="G1130" s="119"/>
      <c r="H1130" s="119"/>
      <c r="I1130" s="119"/>
      <c r="J1130" s="119"/>
      <c r="K1130" s="119"/>
      <c r="L1130" s="119"/>
      <c r="M1130" s="119"/>
      <c r="N1130" s="119"/>
      <c r="O1130" s="119"/>
      <c r="P1130" s="119"/>
      <c r="Q1130" s="119"/>
      <c r="R1130" s="119"/>
      <c r="S1130" s="119"/>
      <c r="T1130" s="119"/>
      <c r="U1130" s="119"/>
      <c r="V1130" s="119"/>
      <c r="W1130" s="119"/>
      <c r="X1130" s="119"/>
      <c r="Y1130" s="119"/>
      <c r="Z1130" s="119"/>
      <c r="AA1130" s="119"/>
      <c r="AB1130" s="119"/>
      <c r="AC1130" s="119"/>
      <c r="AD1130" s="119"/>
      <c r="AE1130" s="119"/>
      <c r="AF1130" s="119"/>
      <c r="AG1130" s="119"/>
      <c r="AH1130" s="119"/>
      <c r="AI1130" s="119"/>
      <c r="AJ1130" s="119"/>
      <c r="AK1130" s="119"/>
      <c r="AL1130" s="119"/>
      <c r="AM1130" s="119"/>
      <c r="AN1130" s="119"/>
      <c r="AO1130" s="119"/>
      <c r="AP1130" s="119"/>
      <c r="AQ1130" s="119"/>
      <c r="AR1130" s="119"/>
      <c r="AS1130" s="119"/>
      <c r="AT1130" s="119"/>
      <c r="AU1130" s="119"/>
      <c r="AV1130" s="119"/>
      <c r="AW1130" s="119"/>
      <c r="AX1130" s="119"/>
      <c r="AY1130" s="119"/>
      <c r="AZ1130" s="119"/>
      <c r="BA1130" s="119"/>
      <c r="BB1130" s="119"/>
      <c r="BC1130" s="119"/>
      <c r="BD1130" s="119"/>
      <c r="BE1130" s="119"/>
      <c r="BF1130" s="119"/>
      <c r="BG1130" s="119"/>
      <c r="BH1130" s="119"/>
      <c r="BI1130" s="119"/>
      <c r="BJ1130" s="119"/>
      <c r="BK1130" s="119"/>
      <c r="BL1130" s="119"/>
      <c r="BM1130" s="119"/>
      <c r="BN1130" s="119"/>
      <c r="BO1130" s="119"/>
      <c r="BP1130" s="119"/>
      <c r="BQ1130" s="119"/>
      <c r="BR1130" s="119"/>
      <c r="BS1130" s="119"/>
      <c r="BT1130" s="119"/>
      <c r="BU1130" s="119"/>
      <c r="BV1130" s="119"/>
      <c r="BW1130" s="119"/>
      <c r="BX1130" s="119"/>
      <c r="BY1130" s="119"/>
      <c r="BZ1130" s="119"/>
      <c r="CA1130" s="119"/>
      <c r="CB1130" s="119"/>
      <c r="CC1130" s="119"/>
      <c r="CD1130" s="119"/>
      <c r="CE1130" s="119"/>
      <c r="CF1130" s="119"/>
      <c r="CG1130" s="119"/>
      <c r="CH1130" s="119"/>
      <c r="CI1130" s="119"/>
      <c r="CJ1130" s="119"/>
      <c r="CK1130" s="119"/>
      <c r="CL1130" s="119"/>
      <c r="CM1130" s="119"/>
      <c r="CN1130" s="119"/>
      <c r="CO1130" s="119"/>
      <c r="CP1130" s="119"/>
      <c r="CQ1130" s="119"/>
      <c r="CR1130" s="119"/>
      <c r="CS1130" s="119"/>
      <c r="CT1130" s="119"/>
      <c r="CU1130" s="119"/>
      <c r="CV1130" s="119"/>
      <c r="CW1130" s="119"/>
      <c r="CX1130" s="119"/>
    </row>
    <row r="1131" spans="1:102">
      <c r="A1131" s="119"/>
      <c r="B1131" s="119"/>
      <c r="C1131" s="119"/>
      <c r="D1131" s="119"/>
      <c r="E1131" s="119"/>
      <c r="F1131" s="119"/>
      <c r="G1131" s="119"/>
      <c r="H1131" s="119"/>
      <c r="I1131" s="119"/>
      <c r="J1131" s="119"/>
      <c r="K1131" s="119"/>
      <c r="L1131" s="119"/>
      <c r="M1131" s="119"/>
      <c r="N1131" s="119"/>
      <c r="O1131" s="119"/>
      <c r="P1131" s="119"/>
      <c r="Q1131" s="119"/>
      <c r="R1131" s="119"/>
      <c r="S1131" s="119"/>
      <c r="T1131" s="119"/>
      <c r="U1131" s="119"/>
      <c r="V1131" s="119"/>
      <c r="W1131" s="119"/>
      <c r="X1131" s="119"/>
      <c r="Y1131" s="119"/>
      <c r="Z1131" s="119"/>
      <c r="AA1131" s="119"/>
      <c r="AB1131" s="119"/>
      <c r="AC1131" s="119"/>
      <c r="AD1131" s="119"/>
      <c r="AE1131" s="119"/>
      <c r="AF1131" s="119"/>
      <c r="AG1131" s="119"/>
      <c r="AH1131" s="119"/>
      <c r="AI1131" s="119"/>
      <c r="AJ1131" s="119"/>
      <c r="AK1131" s="119"/>
      <c r="AL1131" s="119"/>
      <c r="AM1131" s="119"/>
      <c r="AN1131" s="119"/>
      <c r="AO1131" s="119"/>
      <c r="AP1131" s="119"/>
      <c r="AQ1131" s="119"/>
      <c r="AR1131" s="119"/>
      <c r="AS1131" s="119"/>
      <c r="AT1131" s="119"/>
      <c r="AU1131" s="119"/>
      <c r="AV1131" s="119"/>
      <c r="AW1131" s="119"/>
      <c r="AX1131" s="119"/>
      <c r="AY1131" s="119"/>
      <c r="AZ1131" s="119"/>
      <c r="BA1131" s="119"/>
      <c r="BB1131" s="119"/>
      <c r="BC1131" s="119"/>
      <c r="BD1131" s="119"/>
      <c r="BE1131" s="119"/>
      <c r="BF1131" s="119"/>
      <c r="BG1131" s="119"/>
      <c r="BH1131" s="119"/>
      <c r="BI1131" s="119"/>
      <c r="BJ1131" s="119"/>
      <c r="BK1131" s="119"/>
      <c r="BL1131" s="119"/>
      <c r="BM1131" s="119"/>
      <c r="BN1131" s="119"/>
      <c r="BO1131" s="119"/>
      <c r="BP1131" s="119"/>
      <c r="BQ1131" s="119"/>
      <c r="BR1131" s="119"/>
      <c r="BS1131" s="119"/>
      <c r="BT1131" s="119"/>
      <c r="BU1131" s="119"/>
      <c r="BV1131" s="119"/>
      <c r="BW1131" s="119"/>
      <c r="BX1131" s="119"/>
      <c r="BY1131" s="119"/>
      <c r="BZ1131" s="119"/>
      <c r="CA1131" s="119"/>
      <c r="CB1131" s="119"/>
      <c r="CC1131" s="119"/>
      <c r="CD1131" s="119"/>
      <c r="CE1131" s="119"/>
      <c r="CF1131" s="119"/>
      <c r="CG1131" s="119"/>
      <c r="CH1131" s="119"/>
      <c r="CI1131" s="119"/>
      <c r="CJ1131" s="119"/>
      <c r="CK1131" s="119"/>
      <c r="CL1131" s="119"/>
      <c r="CM1131" s="119"/>
      <c r="CN1131" s="119"/>
      <c r="CO1131" s="119"/>
      <c r="CP1131" s="119"/>
      <c r="CQ1131" s="119"/>
      <c r="CR1131" s="119"/>
      <c r="CS1131" s="119"/>
      <c r="CT1131" s="119"/>
      <c r="CU1131" s="119"/>
      <c r="CV1131" s="119"/>
      <c r="CW1131" s="119"/>
      <c r="CX1131" s="119"/>
    </row>
    <row r="1132" spans="1:102">
      <c r="A1132" s="119"/>
      <c r="B1132" s="119"/>
      <c r="C1132" s="119"/>
      <c r="D1132" s="119"/>
      <c r="E1132" s="119"/>
      <c r="F1132" s="119"/>
      <c r="G1132" s="119"/>
      <c r="H1132" s="119"/>
      <c r="I1132" s="119"/>
      <c r="J1132" s="119"/>
      <c r="K1132" s="119"/>
      <c r="L1132" s="119"/>
      <c r="M1132" s="119"/>
      <c r="N1132" s="119"/>
      <c r="O1132" s="119"/>
      <c r="P1132" s="119"/>
      <c r="Q1132" s="119"/>
      <c r="R1132" s="119"/>
      <c r="S1132" s="119"/>
      <c r="T1132" s="119"/>
      <c r="U1132" s="119"/>
      <c r="V1132" s="119"/>
      <c r="W1132" s="119"/>
      <c r="X1132" s="119"/>
      <c r="Y1132" s="119"/>
      <c r="Z1132" s="119"/>
      <c r="AA1132" s="119"/>
      <c r="AB1132" s="119"/>
      <c r="AC1132" s="119"/>
      <c r="AD1132" s="119"/>
      <c r="AE1132" s="119"/>
      <c r="AF1132" s="119"/>
      <c r="AG1132" s="119"/>
      <c r="AH1132" s="119"/>
      <c r="AI1132" s="119"/>
      <c r="AJ1132" s="119"/>
      <c r="AK1132" s="119"/>
      <c r="AL1132" s="119"/>
      <c r="AM1132" s="119"/>
      <c r="AN1132" s="119"/>
      <c r="AO1132" s="119"/>
      <c r="AP1132" s="119"/>
      <c r="AQ1132" s="119"/>
      <c r="AR1132" s="119"/>
      <c r="AS1132" s="119"/>
      <c r="AT1132" s="119"/>
      <c r="AU1132" s="119"/>
      <c r="AV1132" s="119"/>
      <c r="AW1132" s="119"/>
      <c r="AX1132" s="119"/>
      <c r="AY1132" s="119"/>
      <c r="AZ1132" s="119"/>
      <c r="BA1132" s="119"/>
      <c r="BB1132" s="119"/>
      <c r="BC1132" s="119"/>
      <c r="BD1132" s="119"/>
      <c r="BE1132" s="119"/>
      <c r="BF1132" s="119"/>
      <c r="BG1132" s="119"/>
      <c r="BH1132" s="119"/>
      <c r="BI1132" s="119"/>
      <c r="BJ1132" s="119"/>
      <c r="BK1132" s="119"/>
      <c r="BL1132" s="119"/>
      <c r="BM1132" s="119"/>
      <c r="BN1132" s="119"/>
      <c r="BO1132" s="119"/>
      <c r="BP1132" s="119"/>
      <c r="BQ1132" s="119"/>
      <c r="BR1132" s="119"/>
      <c r="BS1132" s="119"/>
      <c r="BT1132" s="119"/>
      <c r="BU1132" s="119"/>
      <c r="BV1132" s="119"/>
      <c r="BW1132" s="119"/>
      <c r="BX1132" s="119"/>
      <c r="BY1132" s="119"/>
      <c r="BZ1132" s="119"/>
      <c r="CA1132" s="119"/>
      <c r="CB1132" s="119"/>
      <c r="CC1132" s="119"/>
      <c r="CD1132" s="119"/>
      <c r="CE1132" s="119"/>
      <c r="CF1132" s="119"/>
      <c r="CG1132" s="119"/>
      <c r="CH1132" s="119"/>
      <c r="CI1132" s="119"/>
      <c r="CJ1132" s="119"/>
      <c r="CK1132" s="119"/>
      <c r="CL1132" s="119"/>
      <c r="CM1132" s="119"/>
      <c r="CN1132" s="119"/>
      <c r="CO1132" s="119"/>
      <c r="CP1132" s="119"/>
      <c r="CQ1132" s="119"/>
      <c r="CR1132" s="119"/>
      <c r="CS1132" s="119"/>
      <c r="CT1132" s="119"/>
      <c r="CU1132" s="119"/>
      <c r="CV1132" s="119"/>
      <c r="CW1132" s="119"/>
      <c r="CX1132" s="119"/>
    </row>
    <row r="1133" spans="1:102">
      <c r="A1133" s="119"/>
      <c r="B1133" s="119"/>
      <c r="C1133" s="119"/>
      <c r="D1133" s="119"/>
      <c r="E1133" s="119"/>
      <c r="F1133" s="119"/>
      <c r="G1133" s="119"/>
      <c r="H1133" s="119"/>
      <c r="I1133" s="119"/>
      <c r="J1133" s="119"/>
      <c r="K1133" s="119"/>
      <c r="L1133" s="119"/>
      <c r="M1133" s="119"/>
      <c r="N1133" s="119"/>
      <c r="O1133" s="119"/>
      <c r="P1133" s="119"/>
      <c r="Q1133" s="119"/>
      <c r="R1133" s="119"/>
      <c r="S1133" s="119"/>
      <c r="T1133" s="119"/>
      <c r="U1133" s="119"/>
      <c r="V1133" s="119"/>
      <c r="W1133" s="119"/>
      <c r="X1133" s="119"/>
      <c r="Y1133" s="119"/>
      <c r="Z1133" s="119"/>
      <c r="AA1133" s="119"/>
      <c r="AB1133" s="119"/>
      <c r="AC1133" s="119"/>
      <c r="AD1133" s="119"/>
      <c r="AE1133" s="119"/>
      <c r="AF1133" s="119"/>
      <c r="AG1133" s="119"/>
      <c r="AH1133" s="119"/>
      <c r="AI1133" s="119"/>
      <c r="AJ1133" s="119"/>
      <c r="AK1133" s="119"/>
      <c r="AL1133" s="119"/>
      <c r="AM1133" s="119"/>
      <c r="AN1133" s="119"/>
      <c r="AO1133" s="119"/>
      <c r="AP1133" s="119"/>
      <c r="AQ1133" s="119"/>
      <c r="AR1133" s="119"/>
      <c r="AS1133" s="119"/>
      <c r="AT1133" s="119"/>
      <c r="AU1133" s="119"/>
      <c r="AV1133" s="119"/>
      <c r="AW1133" s="119"/>
      <c r="AX1133" s="119"/>
      <c r="AY1133" s="119"/>
      <c r="AZ1133" s="119"/>
      <c r="BA1133" s="119"/>
      <c r="BB1133" s="119"/>
      <c r="BC1133" s="119"/>
      <c r="BD1133" s="119"/>
      <c r="BE1133" s="119"/>
      <c r="BF1133" s="119"/>
      <c r="BG1133" s="119"/>
      <c r="BH1133" s="119"/>
      <c r="BI1133" s="119"/>
      <c r="BJ1133" s="119"/>
      <c r="BK1133" s="119"/>
      <c r="BL1133" s="119"/>
      <c r="BM1133" s="119"/>
      <c r="BN1133" s="119"/>
      <c r="BO1133" s="119"/>
      <c r="BP1133" s="119"/>
      <c r="BQ1133" s="119"/>
      <c r="BR1133" s="119"/>
      <c r="BS1133" s="119"/>
      <c r="BT1133" s="119"/>
      <c r="BU1133" s="119"/>
      <c r="BV1133" s="119"/>
      <c r="BW1133" s="119"/>
      <c r="BX1133" s="119"/>
      <c r="BY1133" s="119"/>
      <c r="BZ1133" s="119"/>
      <c r="CA1133" s="119"/>
      <c r="CB1133" s="119"/>
      <c r="CC1133" s="119"/>
      <c r="CD1133" s="119"/>
      <c r="CE1133" s="119"/>
      <c r="CF1133" s="119"/>
      <c r="CG1133" s="119"/>
      <c r="CH1133" s="119"/>
      <c r="CI1133" s="119"/>
      <c r="CJ1133" s="119"/>
      <c r="CK1133" s="119"/>
      <c r="CL1133" s="119"/>
      <c r="CM1133" s="119"/>
      <c r="CN1133" s="119"/>
      <c r="CO1133" s="119"/>
      <c r="CP1133" s="119"/>
      <c r="CQ1133" s="119"/>
      <c r="CR1133" s="119"/>
      <c r="CS1133" s="119"/>
      <c r="CT1133" s="119"/>
      <c r="CU1133" s="119"/>
      <c r="CV1133" s="119"/>
      <c r="CW1133" s="119"/>
      <c r="CX1133" s="119"/>
    </row>
    <row r="1134" spans="1:102">
      <c r="A1134" s="119"/>
      <c r="B1134" s="119"/>
      <c r="C1134" s="119"/>
      <c r="D1134" s="119"/>
      <c r="E1134" s="119"/>
      <c r="F1134" s="119"/>
      <c r="G1134" s="119"/>
      <c r="H1134" s="119"/>
      <c r="I1134" s="119"/>
      <c r="J1134" s="119"/>
      <c r="K1134" s="119"/>
      <c r="L1134" s="119"/>
      <c r="M1134" s="119"/>
      <c r="N1134" s="119"/>
      <c r="O1134" s="119"/>
      <c r="P1134" s="119"/>
      <c r="Q1134" s="119"/>
      <c r="R1134" s="119"/>
      <c r="S1134" s="119"/>
      <c r="T1134" s="119"/>
      <c r="U1134" s="119"/>
      <c r="V1134" s="119"/>
      <c r="W1134" s="119"/>
      <c r="X1134" s="119"/>
      <c r="Y1134" s="119"/>
      <c r="Z1134" s="119"/>
      <c r="AA1134" s="119"/>
      <c r="AB1134" s="119"/>
      <c r="AC1134" s="119"/>
      <c r="AD1134" s="119"/>
      <c r="AE1134" s="119"/>
      <c r="AF1134" s="119"/>
      <c r="AG1134" s="119"/>
      <c r="AH1134" s="119"/>
      <c r="AI1134" s="119"/>
      <c r="AJ1134" s="119"/>
      <c r="AK1134" s="119"/>
      <c r="AL1134" s="119"/>
      <c r="AM1134" s="119"/>
      <c r="AN1134" s="119"/>
      <c r="AO1134" s="119"/>
      <c r="AP1134" s="119"/>
      <c r="AQ1134" s="119"/>
      <c r="AR1134" s="119"/>
      <c r="AS1134" s="119"/>
      <c r="AT1134" s="119"/>
      <c r="AU1134" s="119"/>
      <c r="AV1134" s="119"/>
      <c r="AW1134" s="119"/>
      <c r="AX1134" s="119"/>
      <c r="AY1134" s="119"/>
      <c r="AZ1134" s="119"/>
      <c r="BA1134" s="119"/>
      <c r="BB1134" s="119"/>
      <c r="BC1134" s="119"/>
      <c r="BD1134" s="119"/>
      <c r="BE1134" s="119"/>
      <c r="BF1134" s="119"/>
      <c r="BG1134" s="119"/>
      <c r="BH1134" s="119"/>
      <c r="BI1134" s="119"/>
      <c r="BJ1134" s="119"/>
      <c r="BK1134" s="119"/>
      <c r="BL1134" s="119"/>
      <c r="BM1134" s="119"/>
      <c r="BN1134" s="119"/>
      <c r="BO1134" s="119"/>
      <c r="BP1134" s="119"/>
      <c r="BQ1134" s="119"/>
      <c r="BR1134" s="119"/>
      <c r="BS1134" s="119"/>
      <c r="BT1134" s="119"/>
      <c r="BU1134" s="119"/>
      <c r="BV1134" s="119"/>
      <c r="BW1134" s="119"/>
      <c r="BX1134" s="119"/>
      <c r="BY1134" s="119"/>
      <c r="BZ1134" s="119"/>
      <c r="CA1134" s="119"/>
      <c r="CB1134" s="119"/>
      <c r="CC1134" s="119"/>
      <c r="CD1134" s="119"/>
      <c r="CE1134" s="119"/>
      <c r="CF1134" s="119"/>
      <c r="CG1134" s="119"/>
      <c r="CH1134" s="119"/>
      <c r="CI1134" s="119"/>
      <c r="CJ1134" s="119"/>
      <c r="CK1134" s="119"/>
      <c r="CL1134" s="119"/>
      <c r="CM1134" s="119"/>
      <c r="CN1134" s="119"/>
      <c r="CO1134" s="119"/>
      <c r="CP1134" s="119"/>
      <c r="CQ1134" s="119"/>
      <c r="CR1134" s="119"/>
      <c r="CS1134" s="119"/>
      <c r="CT1134" s="119"/>
      <c r="CU1134" s="119"/>
      <c r="CV1134" s="119"/>
      <c r="CW1134" s="119"/>
      <c r="CX1134" s="119"/>
    </row>
    <row r="1135" spans="1:102">
      <c r="A1135" s="119"/>
      <c r="B1135" s="119"/>
      <c r="C1135" s="119"/>
      <c r="D1135" s="119"/>
      <c r="E1135" s="119"/>
      <c r="F1135" s="119"/>
      <c r="G1135" s="119"/>
      <c r="H1135" s="119"/>
      <c r="I1135" s="119"/>
      <c r="J1135" s="119"/>
      <c r="K1135" s="119"/>
      <c r="L1135" s="119"/>
      <c r="M1135" s="119"/>
      <c r="N1135" s="119"/>
      <c r="O1135" s="119"/>
      <c r="P1135" s="119"/>
      <c r="Q1135" s="119"/>
      <c r="R1135" s="119"/>
      <c r="S1135" s="119"/>
      <c r="T1135" s="119"/>
      <c r="U1135" s="119"/>
      <c r="V1135" s="119"/>
      <c r="W1135" s="119"/>
      <c r="X1135" s="119"/>
      <c r="Y1135" s="119"/>
      <c r="Z1135" s="119"/>
      <c r="AA1135" s="119"/>
      <c r="AB1135" s="119"/>
      <c r="AC1135" s="119"/>
      <c r="AD1135" s="119"/>
      <c r="AE1135" s="119"/>
      <c r="AF1135" s="119"/>
      <c r="AG1135" s="119"/>
      <c r="AH1135" s="119"/>
      <c r="AI1135" s="119"/>
      <c r="AJ1135" s="119"/>
      <c r="AK1135" s="119"/>
      <c r="AL1135" s="119"/>
      <c r="AM1135" s="119"/>
      <c r="AN1135" s="119"/>
      <c r="AO1135" s="119"/>
      <c r="AP1135" s="119"/>
      <c r="AQ1135" s="119"/>
      <c r="AR1135" s="119"/>
      <c r="AS1135" s="119"/>
      <c r="AT1135" s="119"/>
      <c r="AU1135" s="119"/>
      <c r="AV1135" s="119"/>
      <c r="AW1135" s="119"/>
      <c r="AX1135" s="119"/>
      <c r="AY1135" s="119"/>
      <c r="AZ1135" s="119"/>
      <c r="BA1135" s="119"/>
      <c r="BB1135" s="119"/>
      <c r="BC1135" s="119"/>
      <c r="BD1135" s="119"/>
      <c r="BE1135" s="119"/>
      <c r="BF1135" s="119"/>
      <c r="BG1135" s="119"/>
      <c r="BH1135" s="119"/>
      <c r="BI1135" s="119"/>
      <c r="BJ1135" s="119"/>
      <c r="BK1135" s="119"/>
      <c r="BL1135" s="119"/>
      <c r="BM1135" s="119"/>
      <c r="BN1135" s="119"/>
      <c r="BO1135" s="119"/>
      <c r="BP1135" s="119"/>
      <c r="BQ1135" s="119"/>
      <c r="BR1135" s="119"/>
      <c r="BS1135" s="119"/>
      <c r="BT1135" s="119"/>
      <c r="BU1135" s="119"/>
      <c r="BV1135" s="119"/>
      <c r="BW1135" s="119"/>
      <c r="BX1135" s="119"/>
      <c r="BY1135" s="119"/>
      <c r="BZ1135" s="119"/>
      <c r="CA1135" s="119"/>
      <c r="CB1135" s="119"/>
      <c r="CC1135" s="119"/>
      <c r="CD1135" s="119"/>
      <c r="CE1135" s="119"/>
      <c r="CF1135" s="119"/>
      <c r="CG1135" s="119"/>
      <c r="CH1135" s="119"/>
      <c r="CI1135" s="119"/>
      <c r="CJ1135" s="119"/>
      <c r="CK1135" s="119"/>
      <c r="CL1135" s="119"/>
      <c r="CM1135" s="119"/>
      <c r="CN1135" s="119"/>
      <c r="CO1135" s="119"/>
      <c r="CP1135" s="119"/>
      <c r="CQ1135" s="119"/>
      <c r="CR1135" s="119"/>
      <c r="CS1135" s="119"/>
      <c r="CT1135" s="119"/>
      <c r="CU1135" s="119"/>
      <c r="CV1135" s="119"/>
      <c r="CW1135" s="119"/>
      <c r="CX1135" s="119"/>
    </row>
    <row r="1136" spans="1:102">
      <c r="A1136" s="119"/>
      <c r="B1136" s="119"/>
      <c r="C1136" s="119"/>
      <c r="D1136" s="119"/>
      <c r="E1136" s="119"/>
      <c r="F1136" s="119"/>
      <c r="G1136" s="119"/>
      <c r="H1136" s="119"/>
      <c r="I1136" s="119"/>
      <c r="J1136" s="119"/>
      <c r="K1136" s="119"/>
      <c r="L1136" s="119"/>
      <c r="M1136" s="119"/>
      <c r="N1136" s="119"/>
      <c r="O1136" s="119"/>
      <c r="P1136" s="119"/>
      <c r="Q1136" s="119"/>
      <c r="R1136" s="119"/>
      <c r="S1136" s="119"/>
      <c r="T1136" s="119"/>
      <c r="U1136" s="119"/>
      <c r="V1136" s="119"/>
      <c r="W1136" s="119"/>
      <c r="X1136" s="119"/>
      <c r="Y1136" s="119"/>
      <c r="Z1136" s="119"/>
      <c r="AA1136" s="119"/>
      <c r="AB1136" s="119"/>
      <c r="AC1136" s="119"/>
      <c r="AD1136" s="119"/>
      <c r="AE1136" s="119"/>
      <c r="AF1136" s="119"/>
      <c r="AG1136" s="119"/>
      <c r="AH1136" s="119"/>
      <c r="AI1136" s="119"/>
      <c r="AJ1136" s="119"/>
      <c r="AK1136" s="119"/>
      <c r="AL1136" s="119"/>
      <c r="AM1136" s="119"/>
      <c r="AN1136" s="119"/>
      <c r="AO1136" s="119"/>
      <c r="AP1136" s="119"/>
      <c r="AQ1136" s="119"/>
      <c r="AR1136" s="119"/>
      <c r="AS1136" s="119"/>
      <c r="AT1136" s="119"/>
      <c r="AU1136" s="119"/>
      <c r="AV1136" s="119"/>
      <c r="AW1136" s="119"/>
      <c r="AX1136" s="119"/>
      <c r="AY1136" s="119"/>
      <c r="AZ1136" s="119"/>
      <c r="BA1136" s="119"/>
      <c r="BB1136" s="119"/>
      <c r="BC1136" s="119"/>
      <c r="BD1136" s="119"/>
      <c r="BE1136" s="119"/>
      <c r="BF1136" s="119"/>
      <c r="BG1136" s="119"/>
      <c r="BH1136" s="119"/>
      <c r="BI1136" s="119"/>
      <c r="BJ1136" s="119"/>
      <c r="BK1136" s="119"/>
      <c r="BL1136" s="119"/>
      <c r="BM1136" s="119"/>
      <c r="BN1136" s="119"/>
      <c r="BO1136" s="119"/>
      <c r="BP1136" s="119"/>
      <c r="BQ1136" s="119"/>
      <c r="BR1136" s="119"/>
      <c r="BS1136" s="119"/>
      <c r="BT1136" s="119"/>
      <c r="BU1136" s="119"/>
      <c r="BV1136" s="119"/>
      <c r="BW1136" s="119"/>
      <c r="BX1136" s="119"/>
      <c r="BY1136" s="119"/>
      <c r="BZ1136" s="119"/>
      <c r="CA1136" s="119"/>
      <c r="CB1136" s="119"/>
      <c r="CC1136" s="119"/>
      <c r="CD1136" s="119"/>
      <c r="CE1136" s="119"/>
      <c r="CF1136" s="119"/>
      <c r="CG1136" s="119"/>
      <c r="CH1136" s="119"/>
      <c r="CI1136" s="119"/>
      <c r="CJ1136" s="119"/>
      <c r="CK1136" s="119"/>
      <c r="CL1136" s="119"/>
      <c r="CM1136" s="119"/>
      <c r="CN1136" s="119"/>
      <c r="CO1136" s="119"/>
      <c r="CP1136" s="119"/>
      <c r="CQ1136" s="119"/>
      <c r="CR1136" s="119"/>
      <c r="CS1136" s="119"/>
      <c r="CT1136" s="119"/>
      <c r="CU1136" s="119"/>
      <c r="CV1136" s="119"/>
      <c r="CW1136" s="119"/>
      <c r="CX1136" s="119"/>
    </row>
    <row r="1137" spans="1:102">
      <c r="A1137" s="119"/>
      <c r="B1137" s="119"/>
      <c r="C1137" s="119"/>
      <c r="D1137" s="119"/>
      <c r="E1137" s="119"/>
      <c r="F1137" s="119"/>
      <c r="G1137" s="119"/>
      <c r="H1137" s="119"/>
      <c r="I1137" s="119"/>
      <c r="J1137" s="119"/>
      <c r="K1137" s="119"/>
      <c r="L1137" s="119"/>
      <c r="M1137" s="119"/>
      <c r="N1137" s="119"/>
      <c r="O1137" s="119"/>
      <c r="P1137" s="119"/>
      <c r="Q1137" s="119"/>
      <c r="R1137" s="119"/>
      <c r="S1137" s="119"/>
      <c r="T1137" s="119"/>
      <c r="U1137" s="119"/>
      <c r="V1137" s="119"/>
      <c r="W1137" s="119"/>
      <c r="X1137" s="119"/>
      <c r="Y1137" s="119"/>
      <c r="Z1137" s="119"/>
      <c r="AA1137" s="119"/>
      <c r="AB1137" s="119"/>
      <c r="AC1137" s="119"/>
      <c r="AD1137" s="119"/>
      <c r="AE1137" s="119"/>
      <c r="AF1137" s="119"/>
      <c r="AG1137" s="119"/>
      <c r="AH1137" s="119"/>
      <c r="AI1137" s="119"/>
      <c r="AJ1137" s="119"/>
      <c r="AK1137" s="119"/>
      <c r="AL1137" s="119"/>
      <c r="AM1137" s="119"/>
      <c r="AN1137" s="119"/>
      <c r="AO1137" s="119"/>
      <c r="AP1137" s="119"/>
      <c r="AQ1137" s="119"/>
      <c r="AR1137" s="119"/>
      <c r="AS1137" s="119"/>
      <c r="AT1137" s="119"/>
      <c r="AU1137" s="119"/>
      <c r="AV1137" s="119"/>
      <c r="AW1137" s="119"/>
      <c r="AX1137" s="119"/>
      <c r="AY1137" s="119"/>
      <c r="AZ1137" s="119"/>
      <c r="BA1137" s="119"/>
      <c r="BB1137" s="119"/>
      <c r="BC1137" s="119"/>
      <c r="BD1137" s="119"/>
      <c r="BE1137" s="119"/>
      <c r="BF1137" s="119"/>
      <c r="BG1137" s="119"/>
      <c r="BH1137" s="119"/>
      <c r="BI1137" s="119"/>
      <c r="BJ1137" s="119"/>
      <c r="BK1137" s="119"/>
      <c r="BL1137" s="119"/>
      <c r="BM1137" s="119"/>
      <c r="BN1137" s="119"/>
      <c r="BO1137" s="119"/>
      <c r="BP1137" s="119"/>
      <c r="BQ1137" s="119"/>
      <c r="BR1137" s="119"/>
      <c r="BS1137" s="119"/>
      <c r="BT1137" s="119"/>
      <c r="BU1137" s="119"/>
      <c r="BV1137" s="119"/>
      <c r="BW1137" s="119"/>
      <c r="BX1137" s="119"/>
      <c r="BY1137" s="119"/>
      <c r="BZ1137" s="119"/>
      <c r="CA1137" s="119"/>
      <c r="CB1137" s="119"/>
      <c r="CC1137" s="119"/>
      <c r="CD1137" s="119"/>
      <c r="CE1137" s="119"/>
      <c r="CF1137" s="119"/>
      <c r="CG1137" s="119"/>
      <c r="CH1137" s="119"/>
      <c r="CI1137" s="119"/>
      <c r="CJ1137" s="119"/>
      <c r="CK1137" s="119"/>
      <c r="CL1137" s="119"/>
      <c r="CM1137" s="119"/>
      <c r="CN1137" s="119"/>
      <c r="CO1137" s="119"/>
      <c r="CP1137" s="119"/>
      <c r="CQ1137" s="119"/>
      <c r="CR1137" s="119"/>
      <c r="CS1137" s="119"/>
      <c r="CT1137" s="119"/>
      <c r="CU1137" s="119"/>
      <c r="CV1137" s="119"/>
      <c r="CW1137" s="119"/>
      <c r="CX1137" s="119"/>
    </row>
    <row r="1138" spans="1:102">
      <c r="A1138" s="119"/>
      <c r="B1138" s="119"/>
      <c r="C1138" s="119"/>
      <c r="D1138" s="119"/>
      <c r="E1138" s="119"/>
      <c r="F1138" s="119"/>
      <c r="G1138" s="119"/>
      <c r="H1138" s="119"/>
      <c r="I1138" s="119"/>
      <c r="J1138" s="119"/>
      <c r="K1138" s="119"/>
      <c r="L1138" s="119"/>
      <c r="M1138" s="119"/>
      <c r="N1138" s="119"/>
      <c r="O1138" s="119"/>
      <c r="P1138" s="119"/>
      <c r="Q1138" s="119"/>
      <c r="R1138" s="119"/>
      <c r="S1138" s="119"/>
      <c r="T1138" s="119"/>
      <c r="U1138" s="119"/>
      <c r="V1138" s="119"/>
      <c r="W1138" s="119"/>
      <c r="X1138" s="119"/>
      <c r="Y1138" s="119"/>
      <c r="Z1138" s="119"/>
      <c r="AA1138" s="119"/>
      <c r="AB1138" s="119"/>
      <c r="AC1138" s="119"/>
      <c r="AD1138" s="119"/>
      <c r="AE1138" s="119"/>
      <c r="AF1138" s="119"/>
      <c r="AG1138" s="119"/>
      <c r="AH1138" s="119"/>
      <c r="AI1138" s="119"/>
      <c r="AJ1138" s="119"/>
      <c r="AK1138" s="119"/>
      <c r="AL1138" s="119"/>
      <c r="AM1138" s="119"/>
      <c r="AN1138" s="119"/>
      <c r="AO1138" s="119"/>
      <c r="AP1138" s="119"/>
      <c r="AQ1138" s="119"/>
      <c r="AR1138" s="119"/>
      <c r="AS1138" s="119"/>
      <c r="AT1138" s="119"/>
      <c r="AU1138" s="119"/>
      <c r="AV1138" s="119"/>
      <c r="AW1138" s="119"/>
      <c r="AX1138" s="119"/>
      <c r="AY1138" s="119"/>
      <c r="AZ1138" s="119"/>
      <c r="BA1138" s="119"/>
      <c r="BB1138" s="119"/>
      <c r="BC1138" s="119"/>
      <c r="BD1138" s="119"/>
      <c r="BE1138" s="119"/>
      <c r="BF1138" s="119"/>
      <c r="BG1138" s="119"/>
      <c r="BH1138" s="119"/>
      <c r="BI1138" s="119"/>
      <c r="BJ1138" s="119"/>
      <c r="BK1138" s="119"/>
      <c r="BL1138" s="119"/>
      <c r="BM1138" s="119"/>
      <c r="BN1138" s="119"/>
      <c r="BO1138" s="119"/>
      <c r="BP1138" s="119"/>
      <c r="BQ1138" s="119"/>
      <c r="BR1138" s="119"/>
      <c r="BS1138" s="119"/>
      <c r="BT1138" s="119"/>
      <c r="BU1138" s="119"/>
      <c r="BV1138" s="119"/>
      <c r="BW1138" s="119"/>
      <c r="BX1138" s="119"/>
      <c r="BY1138" s="119"/>
      <c r="BZ1138" s="119"/>
      <c r="CA1138" s="119"/>
      <c r="CB1138" s="119"/>
      <c r="CC1138" s="119"/>
      <c r="CD1138" s="119"/>
      <c r="CE1138" s="119"/>
      <c r="CF1138" s="119"/>
      <c r="CG1138" s="119"/>
      <c r="CH1138" s="119"/>
      <c r="CI1138" s="119"/>
      <c r="CJ1138" s="119"/>
      <c r="CK1138" s="119"/>
      <c r="CL1138" s="119"/>
      <c r="CM1138" s="119"/>
      <c r="CN1138" s="119"/>
      <c r="CO1138" s="119"/>
      <c r="CP1138" s="119"/>
      <c r="CQ1138" s="119"/>
      <c r="CR1138" s="119"/>
      <c r="CS1138" s="119"/>
      <c r="CT1138" s="119"/>
      <c r="CU1138" s="119"/>
      <c r="CV1138" s="119"/>
      <c r="CW1138" s="119"/>
      <c r="CX1138" s="119"/>
    </row>
    <row r="1139" spans="1:102">
      <c r="A1139" s="119"/>
      <c r="B1139" s="119"/>
      <c r="C1139" s="119"/>
      <c r="D1139" s="119"/>
      <c r="E1139" s="119"/>
      <c r="F1139" s="119"/>
      <c r="G1139" s="119"/>
      <c r="H1139" s="119"/>
      <c r="I1139" s="119"/>
      <c r="J1139" s="119"/>
      <c r="K1139" s="119"/>
      <c r="L1139" s="119"/>
      <c r="M1139" s="119"/>
      <c r="N1139" s="119"/>
      <c r="O1139" s="119"/>
      <c r="P1139" s="119"/>
      <c r="Q1139" s="119"/>
      <c r="R1139" s="119"/>
      <c r="S1139" s="119"/>
      <c r="T1139" s="119"/>
      <c r="U1139" s="119"/>
      <c r="V1139" s="119"/>
      <c r="W1139" s="119"/>
      <c r="X1139" s="119"/>
      <c r="Y1139" s="119"/>
      <c r="Z1139" s="119"/>
      <c r="AA1139" s="119"/>
      <c r="AB1139" s="119"/>
      <c r="AC1139" s="119"/>
      <c r="AD1139" s="119"/>
      <c r="AE1139" s="119"/>
      <c r="AF1139" s="119"/>
      <c r="AG1139" s="119"/>
      <c r="AH1139" s="119"/>
      <c r="AI1139" s="119"/>
      <c r="AJ1139" s="119"/>
      <c r="AK1139" s="119"/>
      <c r="AL1139" s="119"/>
      <c r="AM1139" s="119"/>
      <c r="AN1139" s="119"/>
      <c r="AO1139" s="119"/>
      <c r="AP1139" s="119"/>
      <c r="AQ1139" s="119"/>
      <c r="AR1139" s="119"/>
      <c r="AS1139" s="119"/>
      <c r="AT1139" s="119"/>
      <c r="AU1139" s="119"/>
      <c r="AV1139" s="119"/>
      <c r="AW1139" s="119"/>
      <c r="AX1139" s="119"/>
      <c r="AY1139" s="119"/>
      <c r="AZ1139" s="119"/>
      <c r="BA1139" s="119"/>
      <c r="BB1139" s="119"/>
      <c r="BC1139" s="119"/>
      <c r="BD1139" s="119"/>
      <c r="BE1139" s="119"/>
      <c r="BF1139" s="119"/>
      <c r="BG1139" s="119"/>
      <c r="BH1139" s="119"/>
      <c r="BI1139" s="119"/>
      <c r="BJ1139" s="119"/>
      <c r="BK1139" s="119"/>
      <c r="BL1139" s="119"/>
      <c r="BM1139" s="119"/>
      <c r="BN1139" s="119"/>
      <c r="BO1139" s="119"/>
      <c r="BP1139" s="119"/>
      <c r="BQ1139" s="119"/>
      <c r="BR1139" s="119"/>
      <c r="BS1139" s="119"/>
      <c r="BT1139" s="119"/>
      <c r="BU1139" s="119"/>
      <c r="BV1139" s="119"/>
      <c r="BW1139" s="119"/>
      <c r="BX1139" s="119"/>
      <c r="BY1139" s="119"/>
      <c r="BZ1139" s="119"/>
      <c r="CA1139" s="119"/>
      <c r="CB1139" s="119"/>
      <c r="CC1139" s="119"/>
      <c r="CD1139" s="119"/>
      <c r="CE1139" s="119"/>
      <c r="CF1139" s="119"/>
      <c r="CG1139" s="119"/>
      <c r="CH1139" s="119"/>
      <c r="CI1139" s="119"/>
      <c r="CJ1139" s="119"/>
      <c r="CK1139" s="119"/>
      <c r="CL1139" s="119"/>
      <c r="CM1139" s="119"/>
      <c r="CN1139" s="119"/>
      <c r="CO1139" s="119"/>
      <c r="CP1139" s="119"/>
      <c r="CQ1139" s="119"/>
      <c r="CR1139" s="119"/>
      <c r="CS1139" s="119"/>
      <c r="CT1139" s="119"/>
      <c r="CU1139" s="119"/>
      <c r="CV1139" s="119"/>
      <c r="CW1139" s="119"/>
      <c r="CX1139" s="119"/>
    </row>
    <row r="1140" spans="1:102">
      <c r="A1140" s="119"/>
      <c r="B1140" s="119"/>
      <c r="C1140" s="119"/>
      <c r="D1140" s="119"/>
      <c r="E1140" s="119"/>
      <c r="F1140" s="119"/>
      <c r="G1140" s="119"/>
      <c r="H1140" s="119"/>
      <c r="I1140" s="119"/>
      <c r="J1140" s="119"/>
      <c r="K1140" s="119"/>
      <c r="L1140" s="119"/>
      <c r="M1140" s="119"/>
      <c r="N1140" s="119"/>
      <c r="O1140" s="119"/>
      <c r="P1140" s="119"/>
      <c r="Q1140" s="119"/>
      <c r="R1140" s="119"/>
      <c r="S1140" s="119"/>
      <c r="T1140" s="119"/>
      <c r="U1140" s="119"/>
      <c r="V1140" s="119"/>
      <c r="W1140" s="119"/>
      <c r="X1140" s="119"/>
      <c r="Y1140" s="119"/>
      <c r="Z1140" s="119"/>
      <c r="AA1140" s="119"/>
      <c r="AB1140" s="119"/>
      <c r="AC1140" s="119"/>
      <c r="AD1140" s="119"/>
      <c r="AE1140" s="119"/>
      <c r="AF1140" s="119"/>
      <c r="AG1140" s="119"/>
      <c r="AH1140" s="119"/>
      <c r="AI1140" s="119"/>
      <c r="AJ1140" s="119"/>
      <c r="AK1140" s="119"/>
      <c r="AL1140" s="119"/>
      <c r="AM1140" s="119"/>
      <c r="AN1140" s="119"/>
      <c r="AO1140" s="119"/>
      <c r="AP1140" s="119"/>
      <c r="AQ1140" s="119"/>
      <c r="AR1140" s="119"/>
      <c r="AS1140" s="119"/>
      <c r="AT1140" s="119"/>
      <c r="AU1140" s="119"/>
      <c r="AV1140" s="119"/>
      <c r="AW1140" s="119"/>
      <c r="AX1140" s="119"/>
      <c r="AY1140" s="119"/>
      <c r="AZ1140" s="119"/>
      <c r="BA1140" s="119"/>
      <c r="BB1140" s="119"/>
      <c r="BC1140" s="119"/>
      <c r="BD1140" s="119"/>
      <c r="BE1140" s="119"/>
      <c r="BF1140" s="119"/>
      <c r="BG1140" s="119"/>
      <c r="BH1140" s="119"/>
      <c r="BI1140" s="119"/>
      <c r="BJ1140" s="119"/>
      <c r="BK1140" s="119"/>
      <c r="BL1140" s="119"/>
      <c r="BM1140" s="119"/>
      <c r="BN1140" s="119"/>
      <c r="BO1140" s="119"/>
      <c r="BP1140" s="119"/>
      <c r="BQ1140" s="119"/>
      <c r="BR1140" s="119"/>
      <c r="BS1140" s="119"/>
      <c r="BT1140" s="119"/>
      <c r="BU1140" s="119"/>
      <c r="BV1140" s="119"/>
      <c r="BW1140" s="119"/>
      <c r="BX1140" s="119"/>
      <c r="BY1140" s="119"/>
      <c r="BZ1140" s="119"/>
      <c r="CA1140" s="119"/>
      <c r="CB1140" s="119"/>
      <c r="CC1140" s="119"/>
      <c r="CD1140" s="119"/>
      <c r="CE1140" s="119"/>
      <c r="CF1140" s="119"/>
      <c r="CG1140" s="119"/>
      <c r="CH1140" s="119"/>
      <c r="CI1140" s="119"/>
      <c r="CJ1140" s="119"/>
      <c r="CK1140" s="119"/>
      <c r="CL1140" s="119"/>
      <c r="CM1140" s="119"/>
      <c r="CN1140" s="119"/>
      <c r="CO1140" s="119"/>
      <c r="CP1140" s="119"/>
      <c r="CQ1140" s="119"/>
      <c r="CR1140" s="119"/>
      <c r="CS1140" s="119"/>
      <c r="CT1140" s="119"/>
      <c r="CU1140" s="119"/>
      <c r="CV1140" s="119"/>
      <c r="CW1140" s="119"/>
      <c r="CX1140" s="119"/>
    </row>
    <row r="1141" spans="1:102">
      <c r="A1141" s="119"/>
      <c r="B1141" s="119"/>
      <c r="C1141" s="119"/>
      <c r="D1141" s="119"/>
      <c r="E1141" s="119"/>
      <c r="F1141" s="119"/>
      <c r="G1141" s="119"/>
      <c r="H1141" s="119"/>
      <c r="I1141" s="119"/>
      <c r="J1141" s="119"/>
      <c r="K1141" s="119"/>
      <c r="L1141" s="119"/>
      <c r="M1141" s="119"/>
      <c r="N1141" s="119"/>
      <c r="O1141" s="119"/>
      <c r="P1141" s="119"/>
      <c r="Q1141" s="119"/>
      <c r="R1141" s="119"/>
      <c r="S1141" s="119"/>
      <c r="T1141" s="119"/>
      <c r="U1141" s="119"/>
      <c r="V1141" s="119"/>
      <c r="W1141" s="119"/>
      <c r="X1141" s="119"/>
      <c r="Y1141" s="119"/>
      <c r="Z1141" s="119"/>
      <c r="AA1141" s="119"/>
      <c r="AB1141" s="119"/>
      <c r="AC1141" s="119"/>
      <c r="AD1141" s="119"/>
      <c r="AE1141" s="119"/>
      <c r="AF1141" s="119"/>
      <c r="AG1141" s="119"/>
      <c r="AH1141" s="119"/>
      <c r="AI1141" s="119"/>
      <c r="AJ1141" s="119"/>
      <c r="AK1141" s="119"/>
      <c r="AL1141" s="119"/>
      <c r="AM1141" s="119"/>
      <c r="AN1141" s="119"/>
      <c r="AO1141" s="119"/>
      <c r="AP1141" s="119"/>
      <c r="AQ1141" s="119"/>
      <c r="AR1141" s="119"/>
      <c r="AS1141" s="119"/>
      <c r="AT1141" s="119"/>
      <c r="AU1141" s="119"/>
      <c r="AV1141" s="119"/>
      <c r="AW1141" s="119"/>
      <c r="AX1141" s="119"/>
      <c r="AY1141" s="119"/>
      <c r="AZ1141" s="119"/>
      <c r="BA1141" s="119"/>
      <c r="BB1141" s="119"/>
      <c r="BC1141" s="119"/>
      <c r="BD1141" s="119"/>
      <c r="BE1141" s="119"/>
      <c r="BF1141" s="119"/>
      <c r="BG1141" s="119"/>
      <c r="BH1141" s="119"/>
      <c r="BI1141" s="119"/>
      <c r="BJ1141" s="119"/>
      <c r="BK1141" s="119"/>
      <c r="BL1141" s="119"/>
      <c r="BM1141" s="119"/>
      <c r="BN1141" s="119"/>
      <c r="BO1141" s="119"/>
      <c r="BP1141" s="119"/>
      <c r="BQ1141" s="119"/>
      <c r="BR1141" s="119"/>
      <c r="BS1141" s="119"/>
      <c r="BT1141" s="119"/>
      <c r="BU1141" s="119"/>
      <c r="BV1141" s="119"/>
      <c r="BW1141" s="119"/>
      <c r="BX1141" s="119"/>
      <c r="BY1141" s="119"/>
      <c r="BZ1141" s="119"/>
      <c r="CA1141" s="119"/>
      <c r="CB1141" s="119"/>
      <c r="CC1141" s="119"/>
      <c r="CD1141" s="119"/>
      <c r="CE1141" s="119"/>
      <c r="CF1141" s="119"/>
      <c r="CG1141" s="119"/>
      <c r="CH1141" s="119"/>
      <c r="CI1141" s="119"/>
      <c r="CJ1141" s="119"/>
      <c r="CK1141" s="119"/>
      <c r="CL1141" s="119"/>
      <c r="CM1141" s="119"/>
      <c r="CN1141" s="119"/>
      <c r="CO1141" s="119"/>
      <c r="CP1141" s="119"/>
      <c r="CQ1141" s="119"/>
      <c r="CR1141" s="119"/>
      <c r="CS1141" s="119"/>
      <c r="CT1141" s="119"/>
      <c r="CU1141" s="119"/>
      <c r="CV1141" s="119"/>
      <c r="CW1141" s="119"/>
      <c r="CX1141" s="119"/>
    </row>
    <row r="1142" spans="1:102">
      <c r="A1142" s="119"/>
      <c r="B1142" s="119"/>
      <c r="C1142" s="119"/>
      <c r="D1142" s="119"/>
      <c r="E1142" s="119"/>
      <c r="F1142" s="119"/>
      <c r="G1142" s="119"/>
      <c r="H1142" s="119"/>
      <c r="I1142" s="119"/>
      <c r="J1142" s="119"/>
      <c r="K1142" s="119"/>
      <c r="L1142" s="119"/>
      <c r="M1142" s="119"/>
      <c r="N1142" s="119"/>
      <c r="O1142" s="119"/>
      <c r="P1142" s="119"/>
      <c r="Q1142" s="119"/>
      <c r="R1142" s="119"/>
      <c r="S1142" s="119"/>
      <c r="T1142" s="119"/>
      <c r="U1142" s="119"/>
      <c r="V1142" s="119"/>
      <c r="W1142" s="119"/>
      <c r="X1142" s="119"/>
      <c r="Y1142" s="119"/>
      <c r="Z1142" s="119"/>
      <c r="AA1142" s="119"/>
      <c r="AB1142" s="119"/>
      <c r="AC1142" s="119"/>
      <c r="AD1142" s="119"/>
      <c r="AE1142" s="119"/>
      <c r="AF1142" s="119"/>
      <c r="AG1142" s="119"/>
      <c r="AH1142" s="119"/>
      <c r="AI1142" s="119"/>
      <c r="AJ1142" s="119"/>
      <c r="AK1142" s="119"/>
      <c r="AL1142" s="119"/>
      <c r="AM1142" s="119"/>
      <c r="AN1142" s="119"/>
      <c r="AO1142" s="119"/>
      <c r="AP1142" s="119"/>
      <c r="AQ1142" s="119"/>
      <c r="AR1142" s="119"/>
      <c r="AS1142" s="119"/>
      <c r="AT1142" s="119"/>
      <c r="AU1142" s="119"/>
      <c r="AV1142" s="119"/>
      <c r="AW1142" s="119"/>
      <c r="AX1142" s="119"/>
      <c r="AY1142" s="119"/>
      <c r="AZ1142" s="119"/>
      <c r="BA1142" s="119"/>
      <c r="BB1142" s="119"/>
      <c r="BC1142" s="119"/>
      <c r="BD1142" s="119"/>
      <c r="BE1142" s="119"/>
      <c r="BF1142" s="119"/>
      <c r="BG1142" s="119"/>
      <c r="BH1142" s="119"/>
      <c r="BI1142" s="119"/>
      <c r="BJ1142" s="119"/>
      <c r="BK1142" s="119"/>
      <c r="BL1142" s="119"/>
      <c r="BM1142" s="119"/>
      <c r="BN1142" s="119"/>
      <c r="BO1142" s="119"/>
      <c r="BP1142" s="119"/>
      <c r="BQ1142" s="119"/>
      <c r="BR1142" s="119"/>
      <c r="BS1142" s="119"/>
      <c r="BT1142" s="119"/>
      <c r="BU1142" s="119"/>
      <c r="BV1142" s="119"/>
      <c r="BW1142" s="119"/>
      <c r="BX1142" s="119"/>
      <c r="BY1142" s="119"/>
      <c r="BZ1142" s="119"/>
      <c r="CA1142" s="119"/>
      <c r="CB1142" s="119"/>
      <c r="CC1142" s="119"/>
      <c r="CD1142" s="119"/>
      <c r="CE1142" s="119"/>
      <c r="CF1142" s="119"/>
      <c r="CG1142" s="119"/>
      <c r="CH1142" s="119"/>
      <c r="CI1142" s="119"/>
      <c r="CJ1142" s="119"/>
      <c r="CK1142" s="119"/>
      <c r="CL1142" s="119"/>
      <c r="CM1142" s="119"/>
      <c r="CN1142" s="119"/>
      <c r="CO1142" s="119"/>
      <c r="CP1142" s="119"/>
      <c r="CQ1142" s="119"/>
      <c r="CR1142" s="119"/>
      <c r="CS1142" s="119"/>
      <c r="CT1142" s="119"/>
      <c r="CU1142" s="119"/>
      <c r="CV1142" s="119"/>
      <c r="CW1142" s="119"/>
      <c r="CX1142" s="119"/>
    </row>
    <row r="1143" spans="1:102">
      <c r="A1143" s="119"/>
      <c r="B1143" s="119"/>
      <c r="C1143" s="119"/>
      <c r="D1143" s="119"/>
      <c r="E1143" s="119"/>
      <c r="F1143" s="119"/>
      <c r="G1143" s="119"/>
      <c r="H1143" s="119"/>
      <c r="I1143" s="119"/>
      <c r="J1143" s="119"/>
      <c r="K1143" s="119"/>
      <c r="L1143" s="119"/>
      <c r="M1143" s="119"/>
      <c r="N1143" s="119"/>
      <c r="O1143" s="119"/>
      <c r="P1143" s="119"/>
      <c r="Q1143" s="119"/>
      <c r="R1143" s="119"/>
      <c r="S1143" s="119"/>
      <c r="T1143" s="119"/>
      <c r="U1143" s="119"/>
      <c r="V1143" s="119"/>
      <c r="W1143" s="119"/>
      <c r="X1143" s="119"/>
      <c r="Y1143" s="119"/>
      <c r="Z1143" s="119"/>
      <c r="AA1143" s="119"/>
      <c r="AB1143" s="119"/>
      <c r="AC1143" s="119"/>
      <c r="AD1143" s="119"/>
      <c r="AE1143" s="119"/>
      <c r="AF1143" s="119"/>
      <c r="AG1143" s="119"/>
      <c r="AH1143" s="119"/>
      <c r="AI1143" s="119"/>
      <c r="AJ1143" s="119"/>
      <c r="AK1143" s="119"/>
      <c r="AL1143" s="119"/>
      <c r="AM1143" s="119"/>
      <c r="AN1143" s="119"/>
      <c r="AO1143" s="119"/>
      <c r="AP1143" s="119"/>
      <c r="AQ1143" s="119"/>
      <c r="AR1143" s="119"/>
      <c r="AS1143" s="119"/>
      <c r="AT1143" s="119"/>
      <c r="AU1143" s="119"/>
      <c r="AV1143" s="119"/>
      <c r="AW1143" s="119"/>
      <c r="AX1143" s="119"/>
      <c r="AY1143" s="119"/>
      <c r="AZ1143" s="119"/>
      <c r="BA1143" s="119"/>
      <c r="BB1143" s="119"/>
      <c r="BC1143" s="119"/>
      <c r="BD1143" s="119"/>
      <c r="BE1143" s="119"/>
      <c r="BF1143" s="119"/>
      <c r="BG1143" s="119"/>
      <c r="BH1143" s="119"/>
      <c r="BI1143" s="119"/>
      <c r="BJ1143" s="119"/>
      <c r="BK1143" s="119"/>
      <c r="BL1143" s="119"/>
      <c r="BM1143" s="119"/>
      <c r="BN1143" s="119"/>
      <c r="BO1143" s="119"/>
      <c r="BP1143" s="119"/>
      <c r="BQ1143" s="119"/>
      <c r="BR1143" s="119"/>
      <c r="BS1143" s="119"/>
      <c r="BT1143" s="119"/>
      <c r="BU1143" s="119"/>
      <c r="BV1143" s="119"/>
      <c r="BW1143" s="119"/>
      <c r="BX1143" s="119"/>
      <c r="BY1143" s="119"/>
      <c r="BZ1143" s="119"/>
      <c r="CA1143" s="119"/>
      <c r="CB1143" s="119"/>
      <c r="CC1143" s="119"/>
      <c r="CD1143" s="119"/>
      <c r="CE1143" s="119"/>
      <c r="CF1143" s="119"/>
      <c r="CG1143" s="119"/>
      <c r="CH1143" s="119"/>
      <c r="CI1143" s="119"/>
      <c r="CJ1143" s="119"/>
      <c r="CK1143" s="119"/>
      <c r="CL1143" s="119"/>
      <c r="CM1143" s="119"/>
      <c r="CN1143" s="119"/>
      <c r="CO1143" s="119"/>
      <c r="CP1143" s="119"/>
      <c r="CQ1143" s="119"/>
      <c r="CR1143" s="119"/>
      <c r="CS1143" s="119"/>
      <c r="CT1143" s="119"/>
      <c r="CU1143" s="119"/>
      <c r="CV1143" s="119"/>
      <c r="CW1143" s="119"/>
      <c r="CX1143" s="119"/>
    </row>
    <row r="1144" spans="1:102">
      <c r="A1144" s="119"/>
      <c r="B1144" s="119"/>
      <c r="C1144" s="119"/>
      <c r="D1144" s="119"/>
      <c r="E1144" s="119"/>
      <c r="F1144" s="119"/>
      <c r="G1144" s="119"/>
      <c r="H1144" s="119"/>
      <c r="I1144" s="119"/>
      <c r="J1144" s="119"/>
      <c r="K1144" s="119"/>
      <c r="L1144" s="119"/>
      <c r="M1144" s="119"/>
      <c r="N1144" s="119"/>
      <c r="O1144" s="119"/>
      <c r="P1144" s="119"/>
      <c r="Q1144" s="119"/>
      <c r="R1144" s="119"/>
      <c r="S1144" s="119"/>
      <c r="T1144" s="119"/>
      <c r="U1144" s="119"/>
      <c r="V1144" s="119"/>
      <c r="W1144" s="119"/>
      <c r="X1144" s="119"/>
      <c r="Y1144" s="119"/>
      <c r="Z1144" s="119"/>
      <c r="AA1144" s="119"/>
      <c r="AB1144" s="119"/>
      <c r="AC1144" s="119"/>
      <c r="AD1144" s="119"/>
      <c r="AE1144" s="119"/>
      <c r="AF1144" s="119"/>
      <c r="AG1144" s="119"/>
      <c r="AH1144" s="119"/>
      <c r="AI1144" s="119"/>
      <c r="AJ1144" s="119"/>
      <c r="AK1144" s="119"/>
      <c r="AL1144" s="119"/>
      <c r="AM1144" s="119"/>
      <c r="AN1144" s="119"/>
      <c r="AO1144" s="119"/>
      <c r="AP1144" s="119"/>
      <c r="AQ1144" s="119"/>
      <c r="AR1144" s="119"/>
      <c r="AS1144" s="119"/>
      <c r="AT1144" s="119"/>
      <c r="AU1144" s="119"/>
      <c r="AV1144" s="119"/>
      <c r="AW1144" s="119"/>
      <c r="AX1144" s="119"/>
      <c r="AY1144" s="119"/>
      <c r="AZ1144" s="119"/>
      <c r="BA1144" s="119"/>
      <c r="BB1144" s="119"/>
      <c r="BC1144" s="119"/>
      <c r="BD1144" s="119"/>
      <c r="BE1144" s="119"/>
      <c r="BF1144" s="119"/>
      <c r="BG1144" s="119"/>
      <c r="BH1144" s="119"/>
      <c r="BI1144" s="119"/>
      <c r="BJ1144" s="119"/>
      <c r="BK1144" s="119"/>
      <c r="BL1144" s="119"/>
      <c r="BM1144" s="119"/>
      <c r="BN1144" s="119"/>
      <c r="BO1144" s="119"/>
      <c r="BP1144" s="119"/>
      <c r="BQ1144" s="119"/>
      <c r="BR1144" s="119"/>
      <c r="BS1144" s="119"/>
      <c r="BT1144" s="119"/>
      <c r="BU1144" s="119"/>
      <c r="BV1144" s="119"/>
      <c r="BW1144" s="119"/>
      <c r="BX1144" s="119"/>
      <c r="BY1144" s="119"/>
      <c r="BZ1144" s="119"/>
      <c r="CA1144" s="119"/>
      <c r="CB1144" s="119"/>
      <c r="CC1144" s="119"/>
      <c r="CD1144" s="119"/>
      <c r="CE1144" s="119"/>
      <c r="CF1144" s="119"/>
      <c r="CG1144" s="119"/>
      <c r="CH1144" s="119"/>
      <c r="CI1144" s="119"/>
      <c r="CJ1144" s="119"/>
      <c r="CK1144" s="119"/>
      <c r="CL1144" s="119"/>
      <c r="CM1144" s="119"/>
      <c r="CN1144" s="119"/>
      <c r="CO1144" s="119"/>
      <c r="CP1144" s="119"/>
      <c r="CQ1144" s="119"/>
      <c r="CR1144" s="119"/>
      <c r="CS1144" s="119"/>
      <c r="CT1144" s="119"/>
      <c r="CU1144" s="119"/>
      <c r="CV1144" s="119"/>
      <c r="CW1144" s="119"/>
      <c r="CX1144" s="119"/>
    </row>
    <row r="1145" spans="1:102">
      <c r="A1145" s="119"/>
      <c r="B1145" s="119"/>
      <c r="C1145" s="119"/>
      <c r="D1145" s="119"/>
      <c r="E1145" s="119"/>
      <c r="F1145" s="119"/>
      <c r="G1145" s="119"/>
      <c r="H1145" s="119"/>
      <c r="I1145" s="119"/>
      <c r="J1145" s="119"/>
      <c r="K1145" s="119"/>
      <c r="L1145" s="119"/>
      <c r="M1145" s="119"/>
      <c r="N1145" s="119"/>
      <c r="O1145" s="119"/>
      <c r="P1145" s="119"/>
      <c r="Q1145" s="119"/>
      <c r="R1145" s="119"/>
      <c r="S1145" s="119"/>
      <c r="T1145" s="119"/>
      <c r="U1145" s="119"/>
      <c r="V1145" s="119"/>
      <c r="W1145" s="119"/>
      <c r="X1145" s="119"/>
      <c r="Y1145" s="119"/>
      <c r="Z1145" s="119"/>
      <c r="AA1145" s="119"/>
      <c r="AB1145" s="119"/>
      <c r="AC1145" s="119"/>
      <c r="AD1145" s="119"/>
      <c r="AE1145" s="119"/>
      <c r="AF1145" s="119"/>
      <c r="AG1145" s="119"/>
      <c r="AH1145" s="119"/>
      <c r="AI1145" s="119"/>
      <c r="AJ1145" s="119"/>
      <c r="AK1145" s="119"/>
      <c r="AL1145" s="119"/>
      <c r="AM1145" s="119"/>
      <c r="AN1145" s="119"/>
      <c r="AO1145" s="119"/>
      <c r="AP1145" s="119"/>
      <c r="AQ1145" s="119"/>
      <c r="AR1145" s="119"/>
      <c r="AS1145" s="119"/>
      <c r="AT1145" s="119"/>
      <c r="AU1145" s="119"/>
      <c r="AV1145" s="119"/>
      <c r="AW1145" s="119"/>
      <c r="AX1145" s="119"/>
      <c r="AY1145" s="119"/>
      <c r="AZ1145" s="119"/>
      <c r="BA1145" s="119"/>
      <c r="BB1145" s="119"/>
      <c r="BC1145" s="119"/>
      <c r="BD1145" s="119"/>
      <c r="BE1145" s="119"/>
      <c r="BF1145" s="119"/>
      <c r="BG1145" s="119"/>
      <c r="BH1145" s="119"/>
      <c r="BI1145" s="119"/>
      <c r="BJ1145" s="119"/>
      <c r="BK1145" s="119"/>
      <c r="BL1145" s="119"/>
      <c r="BM1145" s="119"/>
      <c r="BN1145" s="119"/>
      <c r="BO1145" s="119"/>
      <c r="BP1145" s="119"/>
      <c r="BQ1145" s="119"/>
      <c r="BR1145" s="119"/>
      <c r="BS1145" s="119"/>
      <c r="BT1145" s="119"/>
      <c r="BU1145" s="119"/>
      <c r="BV1145" s="119"/>
      <c r="BW1145" s="119"/>
      <c r="BX1145" s="119"/>
      <c r="BY1145" s="119"/>
      <c r="BZ1145" s="119"/>
      <c r="CA1145" s="119"/>
      <c r="CB1145" s="119"/>
      <c r="CC1145" s="119"/>
      <c r="CD1145" s="119"/>
      <c r="CE1145" s="119"/>
      <c r="CF1145" s="119"/>
      <c r="CG1145" s="119"/>
      <c r="CH1145" s="119"/>
      <c r="CI1145" s="119"/>
      <c r="CJ1145" s="119"/>
      <c r="CK1145" s="119"/>
      <c r="CL1145" s="119"/>
      <c r="CM1145" s="119"/>
      <c r="CN1145" s="119"/>
      <c r="CO1145" s="119"/>
      <c r="CP1145" s="119"/>
      <c r="CQ1145" s="119"/>
      <c r="CR1145" s="119"/>
      <c r="CS1145" s="119"/>
      <c r="CT1145" s="119"/>
      <c r="CU1145" s="119"/>
      <c r="CV1145" s="119"/>
      <c r="CW1145" s="119"/>
      <c r="CX1145" s="119"/>
    </row>
    <row r="1146" spans="1:102">
      <c r="A1146" s="119"/>
      <c r="B1146" s="119"/>
      <c r="C1146" s="119"/>
      <c r="D1146" s="119"/>
      <c r="E1146" s="119"/>
      <c r="F1146" s="119"/>
      <c r="G1146" s="119"/>
      <c r="H1146" s="119"/>
      <c r="I1146" s="119"/>
      <c r="J1146" s="119"/>
      <c r="K1146" s="119"/>
      <c r="L1146" s="119"/>
      <c r="M1146" s="119"/>
      <c r="N1146" s="119"/>
      <c r="O1146" s="119"/>
      <c r="P1146" s="119"/>
      <c r="Q1146" s="119"/>
      <c r="R1146" s="119"/>
      <c r="S1146" s="119"/>
      <c r="T1146" s="119"/>
      <c r="U1146" s="119"/>
      <c r="V1146" s="119"/>
      <c r="W1146" s="119"/>
      <c r="X1146" s="119"/>
      <c r="Y1146" s="119"/>
      <c r="Z1146" s="119"/>
      <c r="AA1146" s="119"/>
      <c r="AB1146" s="119"/>
      <c r="AC1146" s="119"/>
      <c r="AD1146" s="119"/>
      <c r="AE1146" s="119"/>
      <c r="AF1146" s="119"/>
      <c r="AG1146" s="119"/>
      <c r="AH1146" s="119"/>
      <c r="AI1146" s="119"/>
      <c r="AJ1146" s="119"/>
      <c r="AK1146" s="119"/>
      <c r="AL1146" s="119"/>
      <c r="AM1146" s="119"/>
      <c r="AN1146" s="119"/>
      <c r="AO1146" s="119"/>
      <c r="AP1146" s="119"/>
      <c r="AQ1146" s="119"/>
      <c r="AR1146" s="119"/>
      <c r="AS1146" s="119"/>
      <c r="AT1146" s="119"/>
      <c r="AU1146" s="119"/>
      <c r="AV1146" s="119"/>
      <c r="AW1146" s="119"/>
      <c r="AX1146" s="119"/>
      <c r="AY1146" s="119"/>
      <c r="AZ1146" s="119"/>
      <c r="BA1146" s="119"/>
      <c r="BB1146" s="119"/>
      <c r="BC1146" s="119"/>
      <c r="BD1146" s="119"/>
      <c r="BE1146" s="119"/>
      <c r="BF1146" s="119"/>
      <c r="BG1146" s="119"/>
      <c r="BH1146" s="119"/>
      <c r="BI1146" s="119"/>
      <c r="BJ1146" s="119"/>
      <c r="BK1146" s="119"/>
      <c r="BL1146" s="119"/>
      <c r="BM1146" s="119"/>
      <c r="BN1146" s="119"/>
      <c r="BO1146" s="119"/>
      <c r="BP1146" s="119"/>
      <c r="BQ1146" s="119"/>
      <c r="BR1146" s="119"/>
      <c r="BS1146" s="119"/>
      <c r="BT1146" s="119"/>
      <c r="BU1146" s="119"/>
      <c r="BV1146" s="119"/>
      <c r="BW1146" s="119"/>
      <c r="BX1146" s="119"/>
      <c r="BY1146" s="119"/>
      <c r="BZ1146" s="119"/>
      <c r="CA1146" s="119"/>
      <c r="CB1146" s="119"/>
      <c r="CC1146" s="119"/>
      <c r="CD1146" s="119"/>
      <c r="CE1146" s="119"/>
      <c r="CF1146" s="119"/>
      <c r="CG1146" s="119"/>
      <c r="CH1146" s="119"/>
      <c r="CI1146" s="119"/>
      <c r="CJ1146" s="119"/>
      <c r="CK1146" s="119"/>
      <c r="CL1146" s="119"/>
      <c r="CM1146" s="119"/>
      <c r="CN1146" s="119"/>
      <c r="CO1146" s="119"/>
      <c r="CP1146" s="119"/>
      <c r="CQ1146" s="119"/>
      <c r="CR1146" s="119"/>
      <c r="CS1146" s="119"/>
      <c r="CT1146" s="119"/>
      <c r="CU1146" s="119"/>
      <c r="CV1146" s="119"/>
      <c r="CW1146" s="119"/>
      <c r="CX1146" s="119"/>
    </row>
    <row r="1147" spans="1:102">
      <c r="A1147" s="119"/>
      <c r="B1147" s="119"/>
      <c r="C1147" s="119"/>
      <c r="D1147" s="119"/>
      <c r="E1147" s="119"/>
      <c r="F1147" s="119"/>
      <c r="G1147" s="119"/>
      <c r="H1147" s="119"/>
      <c r="I1147" s="119"/>
      <c r="J1147" s="119"/>
      <c r="K1147" s="119"/>
      <c r="L1147" s="119"/>
      <c r="M1147" s="119"/>
      <c r="N1147" s="119"/>
      <c r="O1147" s="119"/>
      <c r="P1147" s="119"/>
      <c r="Q1147" s="119"/>
      <c r="R1147" s="119"/>
      <c r="S1147" s="119"/>
      <c r="T1147" s="119"/>
      <c r="U1147" s="119"/>
      <c r="V1147" s="119"/>
      <c r="W1147" s="119"/>
      <c r="X1147" s="119"/>
      <c r="Y1147" s="119"/>
      <c r="Z1147" s="119"/>
      <c r="AA1147" s="119"/>
      <c r="AB1147" s="119"/>
      <c r="AC1147" s="119"/>
      <c r="AD1147" s="119"/>
      <c r="AE1147" s="119"/>
      <c r="AF1147" s="119"/>
      <c r="AG1147" s="119"/>
      <c r="AH1147" s="119"/>
      <c r="AI1147" s="119"/>
      <c r="AJ1147" s="119"/>
      <c r="AK1147" s="119"/>
      <c r="AL1147" s="119"/>
      <c r="AM1147" s="119"/>
      <c r="AN1147" s="119"/>
      <c r="AO1147" s="119"/>
      <c r="AP1147" s="119"/>
      <c r="AQ1147" s="119"/>
      <c r="AR1147" s="119"/>
      <c r="AS1147" s="119"/>
      <c r="AT1147" s="119"/>
      <c r="AU1147" s="119"/>
      <c r="AV1147" s="119"/>
      <c r="AW1147" s="119"/>
      <c r="AX1147" s="119"/>
      <c r="AY1147" s="119"/>
      <c r="AZ1147" s="119"/>
      <c r="BA1147" s="119"/>
      <c r="BB1147" s="119"/>
      <c r="BC1147" s="119"/>
      <c r="BD1147" s="119"/>
      <c r="BE1147" s="119"/>
      <c r="BF1147" s="119"/>
      <c r="BG1147" s="119"/>
      <c r="BH1147" s="119"/>
      <c r="BI1147" s="119"/>
      <c r="BJ1147" s="119"/>
      <c r="BK1147" s="119"/>
      <c r="BL1147" s="119"/>
      <c r="BM1147" s="119"/>
      <c r="BN1147" s="119"/>
      <c r="BO1147" s="119"/>
      <c r="BP1147" s="119"/>
      <c r="BQ1147" s="119"/>
      <c r="BR1147" s="119"/>
      <c r="BS1147" s="119"/>
      <c r="BT1147" s="119"/>
      <c r="BU1147" s="119"/>
      <c r="BV1147" s="119"/>
      <c r="BW1147" s="119"/>
      <c r="BX1147" s="119"/>
      <c r="BY1147" s="119"/>
      <c r="BZ1147" s="119"/>
      <c r="CA1147" s="119"/>
      <c r="CB1147" s="119"/>
      <c r="CC1147" s="119"/>
      <c r="CD1147" s="119"/>
      <c r="CE1147" s="119"/>
      <c r="CF1147" s="119"/>
      <c r="CG1147" s="119"/>
      <c r="CH1147" s="119"/>
      <c r="CI1147" s="119"/>
      <c r="CJ1147" s="119"/>
      <c r="CK1147" s="119"/>
      <c r="CL1147" s="119"/>
      <c r="CM1147" s="119"/>
      <c r="CN1147" s="119"/>
      <c r="CO1147" s="119"/>
      <c r="CP1147" s="119"/>
      <c r="CQ1147" s="119"/>
      <c r="CR1147" s="119"/>
      <c r="CS1147" s="119"/>
      <c r="CT1147" s="119"/>
      <c r="CU1147" s="119"/>
      <c r="CV1147" s="119"/>
      <c r="CW1147" s="119"/>
      <c r="CX1147" s="119"/>
    </row>
    <row r="1148" spans="1:102">
      <c r="A1148" s="119"/>
      <c r="B1148" s="119"/>
      <c r="C1148" s="119"/>
      <c r="D1148" s="119"/>
      <c r="E1148" s="119"/>
      <c r="F1148" s="119"/>
      <c r="G1148" s="119"/>
      <c r="H1148" s="119"/>
      <c r="I1148" s="119"/>
      <c r="J1148" s="119"/>
      <c r="K1148" s="119"/>
      <c r="L1148" s="119"/>
      <c r="M1148" s="119"/>
      <c r="N1148" s="119"/>
      <c r="O1148" s="119"/>
      <c r="P1148" s="119"/>
      <c r="Q1148" s="119"/>
      <c r="R1148" s="119"/>
      <c r="S1148" s="119"/>
      <c r="T1148" s="119"/>
      <c r="U1148" s="119"/>
      <c r="V1148" s="119"/>
      <c r="W1148" s="119"/>
      <c r="X1148" s="119"/>
      <c r="Y1148" s="119"/>
      <c r="Z1148" s="119"/>
      <c r="AA1148" s="119"/>
      <c r="AB1148" s="119"/>
      <c r="AC1148" s="119"/>
      <c r="AD1148" s="119"/>
      <c r="AE1148" s="119"/>
      <c r="AF1148" s="119"/>
      <c r="AG1148" s="119"/>
      <c r="AH1148" s="119"/>
      <c r="AI1148" s="119"/>
      <c r="AJ1148" s="119"/>
      <c r="AK1148" s="119"/>
      <c r="AL1148" s="119"/>
      <c r="AM1148" s="119"/>
      <c r="AN1148" s="119"/>
      <c r="AO1148" s="119"/>
      <c r="AP1148" s="119"/>
      <c r="AQ1148" s="119"/>
      <c r="AR1148" s="119"/>
      <c r="AS1148" s="119"/>
      <c r="AT1148" s="119"/>
      <c r="AU1148" s="119"/>
      <c r="AV1148" s="119"/>
      <c r="AW1148" s="119"/>
      <c r="AX1148" s="119"/>
      <c r="AY1148" s="119"/>
      <c r="AZ1148" s="119"/>
      <c r="BA1148" s="119"/>
      <c r="BB1148" s="119"/>
      <c r="BC1148" s="119"/>
      <c r="BD1148" s="119"/>
      <c r="BE1148" s="119"/>
      <c r="BF1148" s="119"/>
      <c r="BG1148" s="119"/>
      <c r="BH1148" s="119"/>
      <c r="BI1148" s="119"/>
      <c r="BJ1148" s="119"/>
      <c r="BK1148" s="119"/>
      <c r="BL1148" s="119"/>
      <c r="BM1148" s="119"/>
      <c r="BN1148" s="119"/>
      <c r="BO1148" s="119"/>
      <c r="BP1148" s="119"/>
      <c r="BQ1148" s="119"/>
      <c r="BR1148" s="119"/>
      <c r="BS1148" s="119"/>
      <c r="BT1148" s="119"/>
      <c r="BU1148" s="119"/>
      <c r="BV1148" s="119"/>
      <c r="BW1148" s="119"/>
      <c r="BX1148" s="119"/>
      <c r="BY1148" s="119"/>
      <c r="BZ1148" s="119"/>
      <c r="CA1148" s="119"/>
      <c r="CB1148" s="119"/>
      <c r="CC1148" s="119"/>
      <c r="CD1148" s="119"/>
      <c r="CE1148" s="119"/>
      <c r="CF1148" s="119"/>
      <c r="CG1148" s="119"/>
      <c r="CH1148" s="119"/>
      <c r="CI1148" s="119"/>
      <c r="CJ1148" s="119"/>
      <c r="CK1148" s="119"/>
      <c r="CL1148" s="119"/>
      <c r="CM1148" s="119"/>
      <c r="CN1148" s="119"/>
      <c r="CO1148" s="119"/>
      <c r="CP1148" s="119"/>
      <c r="CQ1148" s="119"/>
      <c r="CR1148" s="119"/>
      <c r="CS1148" s="119"/>
      <c r="CT1148" s="119"/>
      <c r="CU1148" s="119"/>
      <c r="CV1148" s="119"/>
      <c r="CW1148" s="119"/>
      <c r="CX1148" s="119"/>
    </row>
    <row r="1149" spans="1:102">
      <c r="A1149" s="119"/>
      <c r="B1149" s="119"/>
      <c r="C1149" s="119"/>
      <c r="D1149" s="119"/>
      <c r="E1149" s="119"/>
      <c r="F1149" s="119"/>
      <c r="G1149" s="119"/>
      <c r="H1149" s="119"/>
      <c r="I1149" s="119"/>
      <c r="J1149" s="119"/>
      <c r="K1149" s="119"/>
      <c r="L1149" s="119"/>
      <c r="M1149" s="119"/>
      <c r="N1149" s="119"/>
      <c r="O1149" s="119"/>
      <c r="P1149" s="119"/>
      <c r="Q1149" s="119"/>
      <c r="R1149" s="119"/>
      <c r="S1149" s="119"/>
      <c r="T1149" s="119"/>
      <c r="U1149" s="119"/>
      <c r="V1149" s="119"/>
      <c r="W1149" s="119"/>
      <c r="X1149" s="119"/>
      <c r="Y1149" s="119"/>
      <c r="Z1149" s="119"/>
      <c r="AA1149" s="119"/>
      <c r="AB1149" s="119"/>
      <c r="AC1149" s="119"/>
      <c r="AD1149" s="119"/>
      <c r="AE1149" s="119"/>
      <c r="AF1149" s="119"/>
      <c r="AG1149" s="119"/>
      <c r="AH1149" s="119"/>
      <c r="AI1149" s="119"/>
      <c r="AJ1149" s="119"/>
      <c r="AK1149" s="119"/>
      <c r="AL1149" s="119"/>
      <c r="AM1149" s="119"/>
      <c r="AN1149" s="119"/>
      <c r="AO1149" s="119"/>
      <c r="AP1149" s="119"/>
      <c r="AQ1149" s="119"/>
      <c r="AR1149" s="119"/>
      <c r="AS1149" s="119"/>
      <c r="AT1149" s="119"/>
      <c r="AU1149" s="119"/>
      <c r="AV1149" s="119"/>
      <c r="AW1149" s="119"/>
      <c r="AX1149" s="119"/>
      <c r="AY1149" s="119"/>
      <c r="AZ1149" s="119"/>
      <c r="BA1149" s="119"/>
      <c r="BB1149" s="119"/>
      <c r="BC1149" s="119"/>
      <c r="BD1149" s="119"/>
      <c r="BE1149" s="119"/>
      <c r="BF1149" s="119"/>
      <c r="BG1149" s="119"/>
      <c r="BH1149" s="119"/>
      <c r="BI1149" s="119"/>
      <c r="BJ1149" s="119"/>
      <c r="BK1149" s="119"/>
      <c r="BL1149" s="119"/>
      <c r="BM1149" s="119"/>
      <c r="BN1149" s="119"/>
      <c r="BO1149" s="119"/>
      <c r="BP1149" s="119"/>
      <c r="BQ1149" s="119"/>
      <c r="BR1149" s="119"/>
      <c r="BS1149" s="119"/>
      <c r="BT1149" s="119"/>
      <c r="BU1149" s="119"/>
      <c r="BV1149" s="119"/>
      <c r="BW1149" s="119"/>
      <c r="BX1149" s="119"/>
      <c r="BY1149" s="119"/>
      <c r="BZ1149" s="119"/>
      <c r="CA1149" s="119"/>
      <c r="CB1149" s="119"/>
      <c r="CC1149" s="119"/>
      <c r="CD1149" s="119"/>
      <c r="CE1149" s="119"/>
      <c r="CF1149" s="119"/>
      <c r="CG1149" s="119"/>
      <c r="CH1149" s="119"/>
      <c r="CI1149" s="119"/>
      <c r="CJ1149" s="119"/>
      <c r="CK1149" s="119"/>
      <c r="CL1149" s="119"/>
      <c r="CM1149" s="119"/>
      <c r="CN1149" s="119"/>
      <c r="CO1149" s="119"/>
      <c r="CP1149" s="119"/>
      <c r="CQ1149" s="119"/>
      <c r="CR1149" s="119"/>
      <c r="CS1149" s="119"/>
      <c r="CT1149" s="119"/>
      <c r="CU1149" s="119"/>
      <c r="CV1149" s="119"/>
      <c r="CW1149" s="119"/>
      <c r="CX1149" s="119"/>
    </row>
    <row r="1150" spans="1:102">
      <c r="A1150" s="119"/>
      <c r="B1150" s="119"/>
      <c r="C1150" s="119"/>
      <c r="D1150" s="117"/>
      <c r="E1150" s="119"/>
      <c r="F1150" s="119"/>
      <c r="G1150" s="119"/>
      <c r="H1150" s="119"/>
      <c r="I1150" s="119"/>
      <c r="J1150" s="119"/>
      <c r="K1150" s="119"/>
      <c r="L1150" s="119"/>
      <c r="M1150" s="119"/>
      <c r="N1150" s="119"/>
      <c r="O1150" s="119"/>
      <c r="P1150" s="119"/>
      <c r="Q1150" s="119"/>
      <c r="R1150" s="119"/>
      <c r="S1150" s="119"/>
      <c r="T1150" s="119"/>
      <c r="U1150" s="119"/>
      <c r="V1150" s="119"/>
      <c r="W1150" s="119"/>
      <c r="X1150" s="119"/>
      <c r="Y1150" s="119"/>
      <c r="Z1150" s="119"/>
      <c r="AA1150" s="119"/>
      <c r="AB1150" s="119"/>
      <c r="AC1150" s="119"/>
      <c r="AD1150" s="119"/>
      <c r="AE1150" s="119"/>
      <c r="AF1150" s="119"/>
      <c r="AG1150" s="119"/>
      <c r="AH1150" s="119"/>
      <c r="AI1150" s="119"/>
      <c r="AJ1150" s="119"/>
      <c r="AK1150" s="119"/>
      <c r="AL1150" s="119"/>
      <c r="AM1150" s="119"/>
      <c r="AN1150" s="119"/>
      <c r="AO1150" s="119"/>
      <c r="AP1150" s="119"/>
      <c r="AQ1150" s="119"/>
      <c r="AR1150" s="119"/>
      <c r="AS1150" s="119"/>
      <c r="AT1150" s="119"/>
      <c r="AU1150" s="119"/>
      <c r="AV1150" s="119"/>
      <c r="AW1150" s="119"/>
      <c r="AX1150" s="119"/>
      <c r="AY1150" s="119"/>
      <c r="AZ1150" s="119"/>
      <c r="BA1150" s="119"/>
      <c r="BB1150" s="119"/>
      <c r="BC1150" s="119"/>
      <c r="BD1150" s="119"/>
      <c r="BE1150" s="119"/>
      <c r="BF1150" s="119"/>
      <c r="BG1150" s="119"/>
      <c r="BH1150" s="119"/>
      <c r="BI1150" s="119"/>
      <c r="BJ1150" s="119"/>
      <c r="BK1150" s="119"/>
      <c r="BL1150" s="119"/>
      <c r="BM1150" s="119"/>
      <c r="BN1150" s="119"/>
      <c r="BO1150" s="119"/>
      <c r="BP1150" s="119"/>
      <c r="BQ1150" s="119"/>
      <c r="BR1150" s="119"/>
      <c r="BS1150" s="119"/>
      <c r="BT1150" s="119"/>
      <c r="BU1150" s="119"/>
      <c r="BV1150" s="119"/>
      <c r="BW1150" s="119"/>
      <c r="BX1150" s="119"/>
      <c r="BY1150" s="119"/>
      <c r="BZ1150" s="119"/>
      <c r="CA1150" s="119"/>
      <c r="CB1150" s="119"/>
      <c r="CC1150" s="119"/>
      <c r="CD1150" s="119"/>
      <c r="CE1150" s="119"/>
      <c r="CF1150" s="119"/>
      <c r="CG1150" s="119"/>
      <c r="CH1150" s="119"/>
      <c r="CI1150" s="119"/>
      <c r="CJ1150" s="119"/>
      <c r="CK1150" s="119"/>
      <c r="CL1150" s="119"/>
      <c r="CM1150" s="119"/>
      <c r="CN1150" s="119"/>
      <c r="CO1150" s="119"/>
      <c r="CP1150" s="119"/>
      <c r="CQ1150" s="119"/>
      <c r="CR1150" s="119"/>
      <c r="CS1150" s="119"/>
      <c r="CT1150" s="119"/>
      <c r="CU1150" s="119"/>
      <c r="CV1150" s="119"/>
      <c r="CW1150" s="119"/>
      <c r="CX1150" s="119"/>
    </row>
    <row r="1151" spans="1:102">
      <c r="A1151" s="119"/>
      <c r="B1151" s="119"/>
      <c r="C1151" s="119"/>
      <c r="D1151" s="117"/>
      <c r="E1151" s="119"/>
      <c r="F1151" s="119"/>
      <c r="G1151" s="119"/>
      <c r="H1151" s="119"/>
      <c r="I1151" s="119"/>
      <c r="J1151" s="119"/>
      <c r="K1151" s="119"/>
      <c r="L1151" s="119"/>
      <c r="M1151" s="119"/>
      <c r="N1151" s="119"/>
      <c r="O1151" s="119"/>
      <c r="P1151" s="119"/>
      <c r="Q1151" s="119"/>
      <c r="R1151" s="119"/>
      <c r="S1151" s="119"/>
      <c r="T1151" s="119"/>
      <c r="U1151" s="119"/>
      <c r="V1151" s="119"/>
      <c r="W1151" s="119"/>
      <c r="X1151" s="119"/>
      <c r="Y1151" s="119"/>
      <c r="Z1151" s="119"/>
      <c r="AA1151" s="119"/>
      <c r="AB1151" s="119"/>
      <c r="AC1151" s="119"/>
      <c r="AD1151" s="119"/>
      <c r="AE1151" s="119"/>
      <c r="AF1151" s="119"/>
      <c r="AG1151" s="119"/>
      <c r="AH1151" s="119"/>
      <c r="AI1151" s="119"/>
      <c r="AJ1151" s="119"/>
      <c r="AK1151" s="119"/>
      <c r="AL1151" s="119"/>
      <c r="AM1151" s="119"/>
      <c r="AN1151" s="119"/>
      <c r="AO1151" s="119"/>
      <c r="AP1151" s="119"/>
      <c r="AQ1151" s="119"/>
      <c r="AR1151" s="119"/>
      <c r="AS1151" s="119"/>
      <c r="AT1151" s="119"/>
      <c r="AU1151" s="119"/>
      <c r="AV1151" s="119"/>
      <c r="AW1151" s="119"/>
      <c r="AX1151" s="119"/>
      <c r="AY1151" s="119"/>
      <c r="AZ1151" s="119"/>
      <c r="BA1151" s="119"/>
      <c r="BB1151" s="119"/>
      <c r="BC1151" s="119"/>
      <c r="BD1151" s="119"/>
      <c r="BE1151" s="119"/>
      <c r="BF1151" s="119"/>
      <c r="BG1151" s="119"/>
      <c r="BH1151" s="119"/>
      <c r="BI1151" s="119"/>
      <c r="BJ1151" s="119"/>
      <c r="BK1151" s="119"/>
      <c r="BL1151" s="119"/>
      <c r="BM1151" s="119"/>
      <c r="BN1151" s="119"/>
      <c r="BO1151" s="119"/>
      <c r="BP1151" s="119"/>
      <c r="BQ1151" s="119"/>
      <c r="BR1151" s="119"/>
      <c r="BS1151" s="119"/>
      <c r="BT1151" s="119"/>
      <c r="BU1151" s="119"/>
      <c r="BV1151" s="119"/>
      <c r="BW1151" s="119"/>
      <c r="BX1151" s="119"/>
      <c r="BY1151" s="119"/>
      <c r="BZ1151" s="119"/>
      <c r="CA1151" s="119"/>
      <c r="CB1151" s="119"/>
      <c r="CC1151" s="119"/>
      <c r="CD1151" s="119"/>
      <c r="CE1151" s="119"/>
      <c r="CF1151" s="119"/>
      <c r="CG1151" s="119"/>
      <c r="CH1151" s="119"/>
      <c r="CI1151" s="119"/>
      <c r="CJ1151" s="119"/>
      <c r="CK1151" s="119"/>
      <c r="CL1151" s="119"/>
      <c r="CM1151" s="119"/>
      <c r="CN1151" s="119"/>
      <c r="CO1151" s="119"/>
      <c r="CP1151" s="119"/>
      <c r="CQ1151" s="119"/>
      <c r="CR1151" s="119"/>
      <c r="CS1151" s="119"/>
      <c r="CT1151" s="119"/>
      <c r="CU1151" s="119"/>
      <c r="CV1151" s="119"/>
      <c r="CW1151" s="119"/>
      <c r="CX1151" s="119"/>
    </row>
    <row r="1152" spans="1:102">
      <c r="A1152" s="119"/>
      <c r="B1152" s="119"/>
      <c r="C1152" s="119"/>
      <c r="D1152" s="117"/>
      <c r="E1152" s="119"/>
      <c r="F1152" s="119"/>
      <c r="G1152" s="119"/>
      <c r="H1152" s="119"/>
      <c r="I1152" s="119"/>
      <c r="J1152" s="119"/>
      <c r="K1152" s="119"/>
      <c r="L1152" s="119"/>
      <c r="M1152" s="119"/>
      <c r="N1152" s="119"/>
      <c r="O1152" s="119"/>
      <c r="P1152" s="119"/>
      <c r="Q1152" s="119"/>
      <c r="R1152" s="119"/>
      <c r="S1152" s="119"/>
      <c r="T1152" s="119"/>
      <c r="U1152" s="119"/>
      <c r="V1152" s="119"/>
      <c r="W1152" s="119"/>
      <c r="X1152" s="119"/>
      <c r="Y1152" s="119"/>
      <c r="Z1152" s="119"/>
      <c r="AA1152" s="119"/>
      <c r="AB1152" s="119"/>
      <c r="AC1152" s="119"/>
      <c r="AD1152" s="119"/>
      <c r="AE1152" s="119"/>
      <c r="AF1152" s="119"/>
      <c r="AG1152" s="119"/>
      <c r="AH1152" s="119"/>
      <c r="AI1152" s="119"/>
      <c r="AJ1152" s="119"/>
      <c r="AK1152" s="119"/>
      <c r="AL1152" s="119"/>
      <c r="AM1152" s="119"/>
      <c r="AN1152" s="119"/>
      <c r="AO1152" s="119"/>
      <c r="AP1152" s="119"/>
      <c r="AQ1152" s="119"/>
      <c r="AR1152" s="119"/>
      <c r="AS1152" s="119"/>
      <c r="AT1152" s="119"/>
      <c r="AU1152" s="119"/>
      <c r="AV1152" s="119"/>
      <c r="AW1152" s="119"/>
      <c r="AX1152" s="119"/>
      <c r="AY1152" s="119"/>
      <c r="AZ1152" s="119"/>
      <c r="BA1152" s="119"/>
      <c r="BB1152" s="119"/>
      <c r="BC1152" s="119"/>
      <c r="BD1152" s="119"/>
      <c r="BE1152" s="119"/>
      <c r="BF1152" s="119"/>
      <c r="BG1152" s="119"/>
      <c r="BH1152" s="119"/>
      <c r="BI1152" s="119"/>
      <c r="BJ1152" s="119"/>
      <c r="BK1152" s="119"/>
      <c r="BL1152" s="119"/>
      <c r="BM1152" s="119"/>
      <c r="BN1152" s="119"/>
      <c r="BO1152" s="119"/>
      <c r="BP1152" s="119"/>
      <c r="BQ1152" s="119"/>
      <c r="BR1152" s="119"/>
      <c r="BS1152" s="119"/>
      <c r="BT1152" s="119"/>
      <c r="BU1152" s="119"/>
      <c r="BV1152" s="119"/>
      <c r="BW1152" s="119"/>
      <c r="BX1152" s="119"/>
      <c r="BY1152" s="119"/>
      <c r="BZ1152" s="119"/>
      <c r="CA1152" s="119"/>
      <c r="CB1152" s="119"/>
      <c r="CC1152" s="119"/>
      <c r="CD1152" s="119"/>
      <c r="CE1152" s="119"/>
      <c r="CF1152" s="119"/>
      <c r="CG1152" s="119"/>
      <c r="CH1152" s="119"/>
      <c r="CI1152" s="119"/>
      <c r="CJ1152" s="119"/>
      <c r="CK1152" s="119"/>
      <c r="CL1152" s="119"/>
      <c r="CM1152" s="119"/>
      <c r="CN1152" s="119"/>
      <c r="CO1152" s="119"/>
      <c r="CP1152" s="119"/>
      <c r="CQ1152" s="119"/>
      <c r="CR1152" s="119"/>
      <c r="CS1152" s="119"/>
      <c r="CT1152" s="119"/>
      <c r="CU1152" s="119"/>
      <c r="CV1152" s="119"/>
      <c r="CW1152" s="119"/>
      <c r="CX1152" s="119"/>
    </row>
    <row r="1153" spans="1:102">
      <c r="A1153" s="119"/>
      <c r="B1153" s="119"/>
      <c r="C1153" s="119"/>
      <c r="D1153" s="117"/>
      <c r="E1153" s="119"/>
      <c r="F1153" s="119"/>
      <c r="G1153" s="119"/>
      <c r="H1153" s="119"/>
      <c r="I1153" s="119"/>
      <c r="J1153" s="119"/>
      <c r="K1153" s="119"/>
      <c r="L1153" s="119"/>
      <c r="M1153" s="119"/>
      <c r="N1153" s="119"/>
      <c r="O1153" s="119"/>
      <c r="P1153" s="119"/>
      <c r="Q1153" s="120" t="s">
        <v>30</v>
      </c>
      <c r="R1153" s="24">
        <f>COUNTIFS('Form Details'!$D:$D,'Adv. Filter'!$A$14,'Form Details'!$D:$D,'Adv. Filter'!$B$14,'Form Details'!$O:$O,'Balance Sheet'!$Q1153)</f>
        <v>100</v>
      </c>
      <c r="S1153" s="119"/>
      <c r="T1153" s="119"/>
      <c r="U1153" s="119"/>
      <c r="V1153" s="119"/>
      <c r="W1153" s="119"/>
      <c r="X1153" s="119"/>
      <c r="Y1153" s="119"/>
      <c r="Z1153" s="119"/>
      <c r="AA1153" s="119"/>
      <c r="AB1153" s="119"/>
      <c r="AC1153" s="119"/>
      <c r="AD1153" s="119"/>
      <c r="AE1153" s="119"/>
      <c r="AF1153" s="119"/>
      <c r="AG1153" s="119"/>
      <c r="AH1153" s="119"/>
      <c r="AI1153" s="119"/>
      <c r="AJ1153" s="119"/>
      <c r="AK1153" s="119"/>
      <c r="AL1153" s="119"/>
      <c r="AM1153" s="119"/>
      <c r="AN1153" s="119"/>
      <c r="AO1153" s="119"/>
      <c r="AP1153" s="119"/>
      <c r="AQ1153" s="119"/>
      <c r="AR1153" s="119"/>
      <c r="AS1153" s="119"/>
      <c r="AT1153" s="119"/>
      <c r="AU1153" s="119"/>
      <c r="AV1153" s="119"/>
      <c r="AW1153" s="119"/>
      <c r="AX1153" s="119"/>
      <c r="AY1153" s="119"/>
      <c r="AZ1153" s="119"/>
      <c r="BA1153" s="119"/>
      <c r="BB1153" s="119"/>
      <c r="BC1153" s="119"/>
      <c r="BD1153" s="119"/>
      <c r="BE1153" s="119"/>
      <c r="BF1153" s="119"/>
      <c r="BG1153" s="119"/>
      <c r="BH1153" s="119"/>
      <c r="BI1153" s="119"/>
      <c r="BJ1153" s="119"/>
      <c r="BK1153" s="119"/>
      <c r="BL1153" s="119"/>
      <c r="BM1153" s="119"/>
      <c r="BN1153" s="119"/>
      <c r="BO1153" s="119"/>
      <c r="BP1153" s="119"/>
      <c r="BQ1153" s="119"/>
      <c r="BR1153" s="119"/>
      <c r="BS1153" s="119"/>
      <c r="BT1153" s="119"/>
      <c r="BU1153" s="119"/>
      <c r="BV1153" s="119"/>
      <c r="BW1153" s="119"/>
      <c r="BX1153" s="119"/>
      <c r="BY1153" s="119"/>
      <c r="BZ1153" s="119"/>
      <c r="CA1153" s="119"/>
      <c r="CB1153" s="119"/>
      <c r="CC1153" s="119"/>
      <c r="CD1153" s="119"/>
      <c r="CE1153" s="119"/>
      <c r="CF1153" s="119"/>
      <c r="CG1153" s="119"/>
      <c r="CH1153" s="119"/>
      <c r="CI1153" s="119"/>
      <c r="CJ1153" s="119"/>
      <c r="CK1153" s="119"/>
      <c r="CL1153" s="24"/>
      <c r="CM1153" s="24" t="s">
        <v>489</v>
      </c>
      <c r="CN1153" s="24" t="s">
        <v>579</v>
      </c>
      <c r="CO1153" s="111" t="s">
        <v>580</v>
      </c>
      <c r="CP1153" s="119"/>
      <c r="CQ1153" s="119"/>
      <c r="CR1153" s="119"/>
      <c r="CS1153" s="119"/>
      <c r="CT1153" s="119"/>
      <c r="CU1153" s="119"/>
      <c r="CV1153" s="119"/>
      <c r="CW1153" s="119"/>
      <c r="CX1153" s="119"/>
    </row>
    <row r="1154" spans="1:102">
      <c r="A1154" s="119"/>
      <c r="B1154" s="119"/>
      <c r="C1154" s="119"/>
      <c r="D1154" s="117"/>
      <c r="E1154" s="119"/>
      <c r="F1154" s="119"/>
      <c r="G1154" s="119"/>
      <c r="H1154" s="119"/>
      <c r="I1154" s="119"/>
      <c r="J1154" s="119"/>
      <c r="K1154" s="119"/>
      <c r="L1154" s="119"/>
      <c r="M1154" s="119"/>
      <c r="N1154" s="119"/>
      <c r="O1154" s="119"/>
      <c r="P1154" s="119"/>
      <c r="Q1154" s="120" t="s">
        <v>42</v>
      </c>
      <c r="R1154" s="24">
        <f>COUNTIFS('Form Details'!$D:$D,'Adv. Filter'!$A$14,'Form Details'!$D:$D,'Adv. Filter'!$B$14,'Form Details'!$O:$O,'Balance Sheet'!$Q1154)</f>
        <v>64</v>
      </c>
      <c r="S1154" s="119"/>
      <c r="T1154" s="119"/>
      <c r="U1154" s="119"/>
      <c r="V1154" s="119"/>
      <c r="W1154" s="119"/>
      <c r="X1154" s="119"/>
      <c r="Y1154" s="119"/>
      <c r="Z1154" s="119"/>
      <c r="AA1154" s="119"/>
      <c r="AB1154" s="119"/>
      <c r="AC1154" s="119"/>
      <c r="AD1154" s="119"/>
      <c r="AE1154" s="119"/>
      <c r="AF1154" s="119"/>
      <c r="AG1154" s="119"/>
      <c r="AH1154" s="119"/>
      <c r="AI1154" s="119"/>
      <c r="AJ1154" s="119"/>
      <c r="AK1154" s="119"/>
      <c r="AL1154" s="119"/>
      <c r="AM1154" s="119"/>
      <c r="AN1154" s="119"/>
      <c r="AO1154" s="119"/>
      <c r="AP1154" s="119"/>
      <c r="AQ1154" s="119"/>
      <c r="AR1154" s="119"/>
      <c r="AS1154" s="119"/>
      <c r="AT1154" s="119"/>
      <c r="AU1154" s="119"/>
      <c r="AV1154" s="119"/>
      <c r="AW1154" s="119"/>
      <c r="AX1154" s="119"/>
      <c r="AY1154" s="119"/>
      <c r="AZ1154" s="119"/>
      <c r="BA1154" s="119"/>
      <c r="BB1154" s="119"/>
      <c r="BC1154" s="119"/>
      <c r="BD1154" s="119"/>
      <c r="BE1154" s="119"/>
      <c r="BF1154" s="119"/>
      <c r="BG1154" s="119"/>
      <c r="BH1154" s="119"/>
      <c r="BI1154" s="119"/>
      <c r="BJ1154" s="119"/>
      <c r="BK1154" s="119"/>
      <c r="BL1154" s="119"/>
      <c r="BM1154" s="119"/>
      <c r="BN1154" s="119"/>
      <c r="BO1154" s="119"/>
      <c r="BP1154" s="119"/>
      <c r="BQ1154" s="119"/>
      <c r="BR1154" s="119"/>
      <c r="BS1154" s="119"/>
      <c r="BT1154" s="119"/>
      <c r="BU1154" s="119"/>
      <c r="BV1154" s="119"/>
      <c r="BW1154" s="119"/>
      <c r="BX1154" s="119"/>
      <c r="BY1154" s="119"/>
      <c r="BZ1154" s="119"/>
      <c r="CA1154" s="119"/>
      <c r="CB1154" s="119"/>
      <c r="CC1154" s="119"/>
      <c r="CD1154" s="119"/>
      <c r="CE1154" s="119"/>
      <c r="CF1154" s="119"/>
      <c r="CG1154" s="119"/>
      <c r="CH1154" s="119"/>
      <c r="CI1154" s="119"/>
      <c r="CJ1154" s="119"/>
      <c r="CK1154" s="119"/>
      <c r="CL1154" s="118" t="s">
        <v>63</v>
      </c>
      <c r="CM1154" s="119">
        <f>IF(DG147&gt;20,DG147,"")</f>
        <v>238</v>
      </c>
      <c r="CN1154" s="119" t="str">
        <f>IF(DG148&gt;20,DG148,"")</f>
        <v/>
      </c>
      <c r="CO1154" s="119" t="str">
        <f>IF(DG149&gt;20,DG149,"")</f>
        <v/>
      </c>
      <c r="CP1154" s="119"/>
      <c r="CQ1154" s="119"/>
      <c r="CR1154" s="119"/>
      <c r="CS1154" s="119"/>
      <c r="CT1154" s="119"/>
      <c r="CU1154" s="119"/>
      <c r="CV1154" s="119"/>
      <c r="CW1154" s="119"/>
      <c r="CX1154" s="119"/>
    </row>
    <row r="1155" spans="1:102">
      <c r="A1155" s="119"/>
      <c r="B1155" s="119"/>
      <c r="C1155" s="119"/>
      <c r="D1155" s="117"/>
      <c r="E1155" s="119"/>
      <c r="F1155" s="119"/>
      <c r="G1155" s="119"/>
      <c r="H1155" s="119"/>
      <c r="I1155" s="119"/>
      <c r="J1155" s="119"/>
      <c r="K1155" s="119"/>
      <c r="L1155" s="119"/>
      <c r="M1155" s="119"/>
      <c r="N1155" s="119"/>
      <c r="O1155" s="119"/>
      <c r="P1155" s="119"/>
      <c r="Q1155" s="120" t="s">
        <v>51</v>
      </c>
      <c r="R1155" s="24">
        <f>COUNTIFS('Form Details'!$D:$D,'Adv. Filter'!$A$14,'Form Details'!$D:$D,'Adv. Filter'!$B$14,'Form Details'!$O:$O,'Balance Sheet'!$Q1155)</f>
        <v>6</v>
      </c>
      <c r="S1155" s="119"/>
      <c r="T1155" s="119"/>
      <c r="U1155" s="119"/>
      <c r="V1155" s="119"/>
      <c r="W1155" s="119"/>
      <c r="X1155" s="119"/>
      <c r="Y1155" s="119"/>
      <c r="Z1155" s="119"/>
      <c r="AA1155" s="119"/>
      <c r="AB1155" s="119"/>
      <c r="AC1155" s="119"/>
      <c r="AD1155" s="119"/>
      <c r="AE1155" s="119"/>
      <c r="AF1155" s="119"/>
      <c r="AG1155" s="119"/>
      <c r="AH1155" s="119"/>
      <c r="AI1155" s="119"/>
      <c r="AJ1155" s="119"/>
      <c r="AK1155" s="119"/>
      <c r="AL1155" s="119"/>
      <c r="AM1155" s="119"/>
      <c r="AN1155" s="119"/>
      <c r="AO1155" s="119"/>
      <c r="AP1155" s="119"/>
      <c r="AQ1155" s="119"/>
      <c r="AR1155" s="119"/>
      <c r="AS1155" s="119"/>
      <c r="AT1155" s="119"/>
      <c r="AU1155" s="119"/>
      <c r="AV1155" s="119"/>
      <c r="AW1155" s="119"/>
      <c r="AX1155" s="119"/>
      <c r="AY1155" s="119"/>
      <c r="AZ1155" s="119"/>
      <c r="BA1155" s="119"/>
      <c r="BB1155" s="119"/>
      <c r="BC1155" s="119"/>
      <c r="BD1155" s="119"/>
      <c r="BE1155" s="119"/>
      <c r="BF1155" s="119"/>
      <c r="BG1155" s="119"/>
      <c r="BH1155" s="119"/>
      <c r="BI1155" s="119"/>
      <c r="BJ1155" s="119"/>
      <c r="BK1155" s="119"/>
      <c r="BL1155" s="119"/>
      <c r="BM1155" s="119"/>
      <c r="BN1155" s="119"/>
      <c r="BO1155" s="119"/>
      <c r="BP1155" s="119"/>
      <c r="BQ1155" s="119"/>
      <c r="BR1155" s="119"/>
      <c r="BS1155" s="119"/>
      <c r="BT1155" s="119"/>
      <c r="BU1155" s="119"/>
      <c r="BV1155" s="119"/>
      <c r="BW1155" s="119"/>
      <c r="BX1155" s="119"/>
      <c r="BY1155" s="119"/>
      <c r="BZ1155" s="119"/>
      <c r="CA1155" s="119"/>
      <c r="CB1155" s="119"/>
      <c r="CC1155" s="119"/>
      <c r="CD1155" s="119"/>
      <c r="CE1155" s="119"/>
      <c r="CF1155" s="119"/>
      <c r="CG1155" s="119"/>
      <c r="CH1155" s="119"/>
      <c r="CI1155" s="119"/>
      <c r="CJ1155" s="119"/>
      <c r="CK1155" s="119"/>
      <c r="CL1155" s="118" t="s">
        <v>42</v>
      </c>
      <c r="CM1155" s="119">
        <f>IF(DH307&gt;20,DH307,"")</f>
        <v>176</v>
      </c>
      <c r="CN1155" s="119" t="str">
        <f>IF(DH308&gt;20,DH308,"")</f>
        <v/>
      </c>
      <c r="CO1155" s="119" t="str">
        <f>IF(DH309&gt;20,DH309,"")</f>
        <v/>
      </c>
      <c r="CP1155" s="119"/>
      <c r="CQ1155" s="119"/>
      <c r="CR1155" s="119"/>
      <c r="CS1155" s="119"/>
      <c r="CT1155" s="119"/>
      <c r="CU1155" s="119"/>
      <c r="CV1155" s="119"/>
      <c r="CW1155" s="119"/>
      <c r="CX1155" s="119"/>
    </row>
    <row r="1156" spans="1:102">
      <c r="A1156" s="119"/>
      <c r="B1156" s="119"/>
      <c r="C1156" s="119"/>
      <c r="D1156" s="117"/>
      <c r="E1156" s="119"/>
      <c r="F1156" s="119"/>
      <c r="G1156" s="119"/>
      <c r="H1156" s="119"/>
      <c r="I1156" s="119"/>
      <c r="J1156" s="119"/>
      <c r="K1156" s="119"/>
      <c r="L1156" s="119"/>
      <c r="M1156" s="119"/>
      <c r="N1156" s="119"/>
      <c r="O1156" s="119"/>
      <c r="P1156" s="119"/>
      <c r="Q1156" s="120" t="s">
        <v>65</v>
      </c>
      <c r="R1156" s="24">
        <f>COUNTIFS('Form Details'!$D:$D,'Adv. Filter'!$A$14,'Form Details'!$D:$D,'Adv. Filter'!$B$14,'Form Details'!$O:$O,'Balance Sheet'!$Q1156)</f>
        <v>14</v>
      </c>
      <c r="S1156" s="119"/>
      <c r="T1156" s="119"/>
      <c r="U1156" s="119"/>
      <c r="V1156" s="119"/>
      <c r="W1156" s="119"/>
      <c r="X1156" s="119"/>
      <c r="Y1156" s="119"/>
      <c r="Z1156" s="119"/>
      <c r="AA1156" s="119"/>
      <c r="AB1156" s="119"/>
      <c r="AC1156" s="119"/>
      <c r="AD1156" s="119"/>
      <c r="AE1156" s="119"/>
      <c r="AF1156" s="119"/>
      <c r="AG1156" s="119"/>
      <c r="AH1156" s="119"/>
      <c r="AI1156" s="119"/>
      <c r="AJ1156" s="119"/>
      <c r="AK1156" s="119"/>
      <c r="AL1156" s="119"/>
      <c r="AM1156" s="119"/>
      <c r="AN1156" s="119"/>
      <c r="AO1156" s="119"/>
      <c r="AP1156" s="119"/>
      <c r="AQ1156" s="119"/>
      <c r="AR1156" s="119"/>
      <c r="AS1156" s="119"/>
      <c r="AT1156" s="119"/>
      <c r="AU1156" s="119"/>
      <c r="AV1156" s="119"/>
      <c r="AW1156" s="119"/>
      <c r="AX1156" s="119"/>
      <c r="AY1156" s="119"/>
      <c r="AZ1156" s="119"/>
      <c r="BA1156" s="119"/>
      <c r="BB1156" s="119"/>
      <c r="BC1156" s="119"/>
      <c r="BD1156" s="119"/>
      <c r="BE1156" s="119"/>
      <c r="BF1156" s="119"/>
      <c r="BG1156" s="119"/>
      <c r="BH1156" s="119"/>
      <c r="BI1156" s="119"/>
      <c r="BJ1156" s="119"/>
      <c r="BK1156" s="119"/>
      <c r="BL1156" s="119"/>
      <c r="BM1156" s="119"/>
      <c r="BN1156" s="119"/>
      <c r="BO1156" s="119"/>
      <c r="BP1156" s="119"/>
      <c r="BQ1156" s="119"/>
      <c r="BR1156" s="119"/>
      <c r="BS1156" s="119"/>
      <c r="BT1156" s="119"/>
      <c r="BU1156" s="119"/>
      <c r="BV1156" s="119"/>
      <c r="BW1156" s="119"/>
      <c r="BX1156" s="119"/>
      <c r="BY1156" s="119"/>
      <c r="BZ1156" s="119"/>
      <c r="CA1156" s="119"/>
      <c r="CB1156" s="119"/>
      <c r="CC1156" s="119"/>
      <c r="CD1156" s="119"/>
      <c r="CE1156" s="119"/>
      <c r="CF1156" s="119"/>
      <c r="CG1156" s="119"/>
      <c r="CH1156" s="119"/>
      <c r="CI1156" s="119"/>
      <c r="CJ1156" s="119"/>
      <c r="CK1156" s="119"/>
      <c r="CL1156" s="118" t="s">
        <v>85</v>
      </c>
      <c r="CM1156" s="119">
        <f>IF(DH457&gt;20,DH457,"")</f>
        <v>125</v>
      </c>
      <c r="CN1156" s="119" t="str">
        <f>IF(DH458&gt;20,DH458,"")</f>
        <v/>
      </c>
      <c r="CO1156" s="119" t="str">
        <f>IF(DH459&gt;20,DH459,"")</f>
        <v/>
      </c>
      <c r="CP1156" s="119"/>
      <c r="CQ1156" s="119"/>
      <c r="CR1156" s="119"/>
      <c r="CS1156" s="119"/>
      <c r="CT1156" s="119"/>
      <c r="CU1156" s="119"/>
      <c r="CV1156" s="119"/>
      <c r="CW1156" s="119"/>
      <c r="CX1156" s="119"/>
    </row>
    <row r="1157" spans="1:102">
      <c r="A1157" s="119"/>
      <c r="B1157" s="119"/>
      <c r="C1157" s="119"/>
      <c r="D1157" s="117"/>
      <c r="E1157" s="119"/>
      <c r="F1157" s="119"/>
      <c r="G1157" s="119"/>
      <c r="H1157" s="119"/>
      <c r="I1157" s="119"/>
      <c r="J1157" s="119"/>
      <c r="K1157" s="119"/>
      <c r="L1157" s="119"/>
      <c r="M1157" s="119"/>
      <c r="N1157" s="119"/>
      <c r="O1157" s="119"/>
      <c r="P1157" s="119"/>
      <c r="Q1157" s="120" t="s">
        <v>73</v>
      </c>
      <c r="R1157" s="24">
        <f>COUNTIFS('Form Details'!$D:$D,'Adv. Filter'!$A$14,'Form Details'!$D:$D,'Adv. Filter'!$B$14,'Form Details'!$O:$O,'Balance Sheet'!$Q1157)</f>
        <v>70</v>
      </c>
      <c r="S1157" s="119"/>
      <c r="T1157" s="119"/>
      <c r="U1157" s="119"/>
      <c r="V1157" s="119"/>
      <c r="W1157" s="119"/>
      <c r="X1157" s="119"/>
      <c r="Y1157" s="119"/>
      <c r="Z1157" s="119"/>
      <c r="AA1157" s="119"/>
      <c r="AB1157" s="119"/>
      <c r="AC1157" s="119"/>
      <c r="AD1157" s="119"/>
      <c r="AE1157" s="119"/>
      <c r="AF1157" s="119"/>
      <c r="AG1157" s="119"/>
      <c r="AH1157" s="119"/>
      <c r="AI1157" s="119"/>
      <c r="AJ1157" s="119"/>
      <c r="AK1157" s="119"/>
      <c r="AL1157" s="119"/>
      <c r="AM1157" s="119"/>
      <c r="AN1157" s="119"/>
      <c r="AO1157" s="119"/>
      <c r="AP1157" s="119"/>
      <c r="AQ1157" s="119"/>
      <c r="AR1157" s="119"/>
      <c r="AS1157" s="119"/>
      <c r="AT1157" s="119"/>
      <c r="AU1157" s="119"/>
      <c r="AV1157" s="119"/>
      <c r="AW1157" s="119"/>
      <c r="AX1157" s="119"/>
      <c r="AY1157" s="119"/>
      <c r="AZ1157" s="119"/>
      <c r="BA1157" s="119"/>
      <c r="BB1157" s="119"/>
      <c r="BC1157" s="119"/>
      <c r="BD1157" s="119"/>
      <c r="BE1157" s="119"/>
      <c r="BF1157" s="119"/>
      <c r="BG1157" s="119"/>
      <c r="BH1157" s="119"/>
      <c r="BI1157" s="119"/>
      <c r="BJ1157" s="119"/>
      <c r="BK1157" s="119"/>
      <c r="BL1157" s="119"/>
      <c r="BM1157" s="119"/>
      <c r="BN1157" s="119"/>
      <c r="BO1157" s="119"/>
      <c r="BP1157" s="119"/>
      <c r="BQ1157" s="119"/>
      <c r="BR1157" s="119"/>
      <c r="BS1157" s="119"/>
      <c r="BT1157" s="119"/>
      <c r="BU1157" s="119"/>
      <c r="BV1157" s="119"/>
      <c r="BW1157" s="119"/>
      <c r="BX1157" s="119"/>
      <c r="BY1157" s="119"/>
      <c r="BZ1157" s="119"/>
      <c r="CA1157" s="119"/>
      <c r="CB1157" s="119"/>
      <c r="CC1157" s="119"/>
      <c r="CD1157" s="119"/>
      <c r="CE1157" s="119"/>
      <c r="CF1157" s="119"/>
      <c r="CG1157" s="119"/>
      <c r="CH1157" s="119"/>
      <c r="CI1157" s="119"/>
      <c r="CJ1157" s="119"/>
      <c r="CK1157" s="119"/>
      <c r="CL1157" s="118" t="s">
        <v>79</v>
      </c>
      <c r="CM1157" s="119">
        <f>IF(DH607&gt;20,DH607,"")</f>
        <v>116</v>
      </c>
      <c r="CN1157" s="119" t="str">
        <f>IF(DH608&gt;20,DH608,"")</f>
        <v/>
      </c>
      <c r="CO1157" s="119" t="str">
        <f>IF(DH609&gt;20,DH609,"")</f>
        <v/>
      </c>
      <c r="CP1157" s="119"/>
      <c r="CQ1157" s="119"/>
      <c r="CR1157" s="119"/>
      <c r="CS1157" s="119"/>
      <c r="CT1157" s="119"/>
      <c r="CU1157" s="119"/>
      <c r="CV1157" s="119"/>
      <c r="CW1157" s="119"/>
      <c r="CX1157" s="119"/>
    </row>
    <row r="1158" spans="1:102">
      <c r="A1158" s="119"/>
      <c r="B1158" s="119"/>
      <c r="C1158" s="119"/>
      <c r="D1158" s="117"/>
      <c r="E1158" s="119"/>
      <c r="F1158" s="119"/>
      <c r="G1158" s="119"/>
      <c r="H1158" s="119"/>
      <c r="I1158" s="119"/>
      <c r="J1158" s="119"/>
      <c r="K1158" s="119"/>
      <c r="L1158" s="119"/>
      <c r="M1158" s="119"/>
      <c r="N1158" s="119"/>
      <c r="O1158" s="119"/>
      <c r="P1158" s="119"/>
      <c r="Q1158" s="120" t="s">
        <v>63</v>
      </c>
      <c r="R1158" s="24">
        <f>COUNTIFS('Form Details'!$D:$D,'Adv. Filter'!$A$14,'Form Details'!$D:$D,'Adv. Filter'!$B$14,'Form Details'!$O:$O,'Balance Sheet'!$Q1158)</f>
        <v>164</v>
      </c>
      <c r="S1158" s="119"/>
      <c r="T1158" s="119"/>
      <c r="U1158" s="119"/>
      <c r="V1158" s="119"/>
      <c r="W1158" s="119"/>
      <c r="X1158" s="119"/>
      <c r="Y1158" s="119"/>
      <c r="Z1158" s="119"/>
      <c r="AA1158" s="119"/>
      <c r="AB1158" s="119"/>
      <c r="AC1158" s="119"/>
      <c r="AD1158" s="119"/>
      <c r="AE1158" s="119"/>
      <c r="AF1158" s="119"/>
      <c r="AG1158" s="119"/>
      <c r="AH1158" s="119"/>
      <c r="AI1158" s="119"/>
      <c r="AJ1158" s="119"/>
      <c r="AK1158" s="119"/>
      <c r="AL1158" s="119"/>
      <c r="AM1158" s="119"/>
      <c r="AN1158" s="119"/>
      <c r="AO1158" s="119"/>
      <c r="AP1158" s="119"/>
      <c r="AQ1158" s="119"/>
      <c r="AR1158" s="119"/>
      <c r="AS1158" s="119"/>
      <c r="AT1158" s="119"/>
      <c r="AU1158" s="119"/>
      <c r="AV1158" s="119"/>
      <c r="AW1158" s="119"/>
      <c r="AX1158" s="119"/>
      <c r="AY1158" s="119"/>
      <c r="AZ1158" s="119"/>
      <c r="BA1158" s="119"/>
      <c r="BB1158" s="119"/>
      <c r="BC1158" s="119"/>
      <c r="BD1158" s="119"/>
      <c r="BE1158" s="119"/>
      <c r="BF1158" s="119"/>
      <c r="BG1158" s="119"/>
      <c r="BH1158" s="119"/>
      <c r="BI1158" s="119"/>
      <c r="BJ1158" s="119"/>
      <c r="BK1158" s="119"/>
      <c r="BL1158" s="119"/>
      <c r="BM1158" s="119"/>
      <c r="BN1158" s="119"/>
      <c r="BO1158" s="119"/>
      <c r="BP1158" s="119"/>
      <c r="BQ1158" s="119"/>
      <c r="BR1158" s="119"/>
      <c r="BS1158" s="119"/>
      <c r="BT1158" s="119"/>
      <c r="BU1158" s="119"/>
      <c r="BV1158" s="119"/>
      <c r="BW1158" s="119"/>
      <c r="BX1158" s="119"/>
      <c r="BY1158" s="119"/>
      <c r="BZ1158" s="119"/>
      <c r="CA1158" s="119"/>
      <c r="CB1158" s="119"/>
      <c r="CC1158" s="119"/>
      <c r="CD1158" s="119"/>
      <c r="CE1158" s="119"/>
      <c r="CF1158" s="119"/>
      <c r="CG1158" s="119"/>
      <c r="CH1158" s="119"/>
      <c r="CI1158" s="119"/>
      <c r="CJ1158" s="119"/>
      <c r="CK1158" s="119"/>
      <c r="CL1158" s="118" t="s">
        <v>30</v>
      </c>
      <c r="CM1158" s="119">
        <f>IF(DH758&gt;20,DH758,"")</f>
        <v>45</v>
      </c>
      <c r="CN1158" s="119" t="str">
        <f>IF(DH759&gt;20,DH759,"")</f>
        <v/>
      </c>
      <c r="CO1158" s="119" t="str">
        <f>IF(DH760&gt;20,DH760,"")</f>
        <v/>
      </c>
      <c r="CP1158" s="119"/>
      <c r="CQ1158" s="119"/>
      <c r="CR1158" s="119"/>
      <c r="CS1158" s="119"/>
      <c r="CT1158" s="119"/>
      <c r="CU1158" s="119"/>
      <c r="CV1158" s="119"/>
      <c r="CW1158" s="119"/>
      <c r="CX1158" s="119"/>
    </row>
    <row r="1159" spans="1:102">
      <c r="A1159" s="119"/>
      <c r="B1159" s="119"/>
      <c r="C1159" s="119"/>
      <c r="D1159" s="117"/>
      <c r="E1159" s="119"/>
      <c r="F1159" s="119"/>
      <c r="G1159" s="119"/>
      <c r="H1159" s="119"/>
      <c r="I1159" s="119"/>
      <c r="J1159" s="119"/>
      <c r="K1159" s="119"/>
      <c r="L1159" s="119"/>
      <c r="M1159" s="119"/>
      <c r="N1159" s="119"/>
      <c r="O1159" s="119"/>
      <c r="P1159" s="119"/>
      <c r="Q1159" s="120" t="s">
        <v>86</v>
      </c>
      <c r="R1159" s="24">
        <f>COUNTIFS('Form Details'!$D:$D,'Adv. Filter'!$A$14,'Form Details'!$D:$D,'Adv. Filter'!$B$14,'Form Details'!$O:$O,'Balance Sheet'!$Q1159)</f>
        <v>182</v>
      </c>
      <c r="S1159" s="119"/>
      <c r="T1159" s="119"/>
      <c r="U1159" s="119"/>
      <c r="V1159" s="119"/>
      <c r="W1159" s="119"/>
      <c r="X1159" s="119"/>
      <c r="Y1159" s="119"/>
      <c r="Z1159" s="119"/>
      <c r="AA1159" s="119"/>
      <c r="AB1159" s="119"/>
      <c r="AC1159" s="119"/>
      <c r="AD1159" s="119"/>
      <c r="AE1159" s="119"/>
      <c r="AF1159" s="119"/>
      <c r="AG1159" s="119"/>
      <c r="AH1159" s="119"/>
      <c r="AI1159" s="119"/>
      <c r="AJ1159" s="119"/>
      <c r="AK1159" s="119"/>
      <c r="AL1159" s="119"/>
      <c r="AM1159" s="119"/>
      <c r="AN1159" s="119"/>
      <c r="AO1159" s="119"/>
      <c r="AP1159" s="119"/>
      <c r="AQ1159" s="119"/>
      <c r="AR1159" s="119"/>
      <c r="AS1159" s="119"/>
      <c r="AT1159" s="119"/>
      <c r="AU1159" s="119"/>
      <c r="AV1159" s="119"/>
      <c r="AW1159" s="119"/>
      <c r="AX1159" s="119"/>
      <c r="AY1159" s="119"/>
      <c r="AZ1159" s="119"/>
      <c r="BA1159" s="119"/>
      <c r="BB1159" s="119"/>
      <c r="BC1159" s="119"/>
      <c r="BD1159" s="119"/>
      <c r="BE1159" s="119"/>
      <c r="BF1159" s="119"/>
      <c r="BG1159" s="119"/>
      <c r="BH1159" s="119"/>
      <c r="BI1159" s="119"/>
      <c r="BJ1159" s="119"/>
      <c r="BK1159" s="119"/>
      <c r="BL1159" s="119"/>
      <c r="BM1159" s="119"/>
      <c r="BN1159" s="119"/>
      <c r="BO1159" s="119"/>
      <c r="BP1159" s="119"/>
      <c r="BQ1159" s="119"/>
      <c r="BR1159" s="119"/>
      <c r="BS1159" s="119"/>
      <c r="BT1159" s="119"/>
      <c r="BU1159" s="119"/>
      <c r="BV1159" s="119"/>
      <c r="BW1159" s="119"/>
      <c r="BX1159" s="119"/>
      <c r="BY1159" s="119"/>
      <c r="BZ1159" s="119"/>
      <c r="CA1159" s="119"/>
      <c r="CB1159" s="119"/>
      <c r="CC1159" s="119"/>
      <c r="CD1159" s="119"/>
      <c r="CE1159" s="119"/>
      <c r="CF1159" s="119"/>
      <c r="CG1159" s="119"/>
      <c r="CH1159" s="119"/>
      <c r="CI1159" s="119"/>
      <c r="CJ1159" s="119"/>
      <c r="CK1159" s="119"/>
      <c r="CL1159" s="118" t="s">
        <v>73</v>
      </c>
      <c r="CM1159" s="119" t="str">
        <f>IF(DH907&gt;20,DH907,"")</f>
        <v/>
      </c>
      <c r="CN1159" s="119" t="str">
        <f>IF(DH908&gt;20,DH908,"")</f>
        <v/>
      </c>
      <c r="CO1159" s="119" t="str">
        <f>IF(DH909&gt;20,DH909,"")</f>
        <v/>
      </c>
      <c r="CP1159" s="119"/>
      <c r="CQ1159" s="119"/>
      <c r="CR1159" s="119"/>
      <c r="CS1159" s="119"/>
      <c r="CT1159" s="119"/>
      <c r="CU1159" s="119"/>
      <c r="CV1159" s="119"/>
      <c r="CW1159" s="119"/>
      <c r="CX1159" s="119"/>
    </row>
    <row r="1160" spans="1:102">
      <c r="A1160" s="119"/>
      <c r="B1160" s="119"/>
      <c r="C1160" s="119"/>
      <c r="D1160" s="117"/>
      <c r="E1160" s="119"/>
      <c r="F1160" s="119"/>
      <c r="G1160" s="119"/>
      <c r="H1160" s="119"/>
      <c r="I1160" s="119"/>
      <c r="J1160" s="119"/>
      <c r="K1160" s="119"/>
      <c r="L1160" s="119"/>
      <c r="M1160" s="119"/>
      <c r="N1160" s="119"/>
      <c r="O1160" s="119"/>
      <c r="P1160" s="119"/>
      <c r="Q1160" s="120" t="s">
        <v>79</v>
      </c>
      <c r="R1160" s="24">
        <f>COUNTIFS('Form Details'!$D:$D,'Adv. Filter'!$A$14,'Form Details'!$D:$D,'Adv. Filter'!$B$14,'Form Details'!$O:$O,'Balance Sheet'!$Q1160)</f>
        <v>144</v>
      </c>
      <c r="S1160" s="119"/>
      <c r="T1160" s="119"/>
      <c r="U1160" s="119"/>
      <c r="V1160" s="119"/>
      <c r="W1160" s="119"/>
      <c r="X1160" s="119"/>
      <c r="Y1160" s="119"/>
      <c r="Z1160" s="119"/>
      <c r="AA1160" s="119"/>
      <c r="AB1160" s="119"/>
      <c r="AC1160" s="119"/>
      <c r="AD1160" s="119"/>
      <c r="AE1160" s="119"/>
      <c r="AF1160" s="119"/>
      <c r="AG1160" s="119"/>
      <c r="AH1160" s="119"/>
      <c r="AI1160" s="119"/>
      <c r="AJ1160" s="119"/>
      <c r="AK1160" s="119"/>
      <c r="AL1160" s="119"/>
      <c r="AM1160" s="119"/>
      <c r="AN1160" s="119"/>
      <c r="AO1160" s="119"/>
      <c r="AP1160" s="119"/>
      <c r="AQ1160" s="119"/>
      <c r="AR1160" s="119"/>
      <c r="AS1160" s="119"/>
      <c r="AT1160" s="119"/>
      <c r="AU1160" s="119"/>
      <c r="AV1160" s="119"/>
      <c r="AW1160" s="119"/>
      <c r="AX1160" s="119"/>
      <c r="AY1160" s="119"/>
      <c r="AZ1160" s="119"/>
      <c r="BA1160" s="119"/>
      <c r="BB1160" s="119"/>
      <c r="BC1160" s="119"/>
      <c r="BD1160" s="119"/>
      <c r="BE1160" s="119"/>
      <c r="BF1160" s="119"/>
      <c r="BG1160" s="119"/>
      <c r="BH1160" s="119"/>
      <c r="BI1160" s="119"/>
      <c r="BJ1160" s="119"/>
      <c r="BK1160" s="119"/>
      <c r="BL1160" s="119"/>
      <c r="BM1160" s="119"/>
      <c r="BN1160" s="119"/>
      <c r="BO1160" s="119"/>
      <c r="BP1160" s="119"/>
      <c r="BQ1160" s="119"/>
      <c r="BR1160" s="119"/>
      <c r="BS1160" s="119"/>
      <c r="BT1160" s="119"/>
      <c r="BU1160" s="119"/>
      <c r="BV1160" s="119"/>
      <c r="BW1160" s="119"/>
      <c r="BX1160" s="119"/>
      <c r="BY1160" s="119"/>
      <c r="BZ1160" s="119"/>
      <c r="CA1160" s="119"/>
      <c r="CB1160" s="119"/>
      <c r="CC1160" s="119"/>
      <c r="CD1160" s="119"/>
      <c r="CE1160" s="119"/>
      <c r="CF1160" s="119"/>
      <c r="CG1160" s="119"/>
      <c r="CH1160" s="119"/>
      <c r="CI1160" s="119"/>
      <c r="CJ1160" s="119"/>
      <c r="CK1160" s="119"/>
      <c r="CL1160" s="119"/>
      <c r="CM1160" s="119"/>
      <c r="CN1160" s="119"/>
      <c r="CO1160" s="119"/>
      <c r="CP1160" s="119"/>
      <c r="CQ1160" s="119"/>
      <c r="CR1160" s="119"/>
      <c r="CS1160" s="119"/>
      <c r="CT1160" s="119"/>
      <c r="CU1160" s="119"/>
      <c r="CV1160" s="119"/>
      <c r="CW1160" s="119"/>
      <c r="CX1160" s="119"/>
    </row>
    <row r="1161" spans="1:102">
      <c r="A1161" s="119"/>
      <c r="B1161" s="119"/>
      <c r="C1161" s="119"/>
      <c r="D1161" s="117"/>
      <c r="E1161" s="119"/>
      <c r="F1161" s="119"/>
      <c r="G1161" s="119"/>
      <c r="H1161" s="119"/>
      <c r="I1161" s="119"/>
      <c r="J1161" s="119"/>
      <c r="K1161" s="119"/>
      <c r="L1161" s="119"/>
      <c r="M1161" s="119"/>
      <c r="N1161" s="119"/>
      <c r="O1161" s="119"/>
      <c r="P1161" s="119"/>
      <c r="Q1161" s="120" t="s">
        <v>98</v>
      </c>
      <c r="R1161" s="24">
        <f>COUNTIFS('Form Details'!$D:$D,'Adv. Filter'!$A$14,'Form Details'!$D:$D,'Adv. Filter'!$B$14,'Form Details'!$O:$O,'Balance Sheet'!$Q1161)</f>
        <v>34</v>
      </c>
      <c r="S1161" s="119"/>
      <c r="T1161" s="119"/>
      <c r="U1161" s="119"/>
      <c r="V1161" s="119"/>
      <c r="W1161" s="119"/>
      <c r="X1161" s="119"/>
      <c r="Y1161" s="119"/>
      <c r="Z1161" s="119"/>
      <c r="AA1161" s="119"/>
      <c r="AB1161" s="119"/>
      <c r="AC1161" s="119"/>
      <c r="AD1161" s="119"/>
      <c r="AE1161" s="119"/>
      <c r="AF1161" s="119"/>
      <c r="AG1161" s="119"/>
      <c r="AH1161" s="119"/>
      <c r="AI1161" s="119"/>
      <c r="AJ1161" s="119"/>
      <c r="AK1161" s="119"/>
      <c r="AL1161" s="119"/>
      <c r="AM1161" s="119"/>
      <c r="AN1161" s="119"/>
      <c r="AO1161" s="119"/>
      <c r="AP1161" s="119"/>
      <c r="AQ1161" s="119"/>
      <c r="AR1161" s="119"/>
      <c r="AS1161" s="119"/>
      <c r="AT1161" s="119"/>
      <c r="AU1161" s="119"/>
      <c r="AV1161" s="119"/>
      <c r="AW1161" s="119"/>
      <c r="AX1161" s="119"/>
      <c r="AY1161" s="119"/>
      <c r="AZ1161" s="119"/>
      <c r="BA1161" s="119"/>
      <c r="BB1161" s="119"/>
      <c r="BC1161" s="119"/>
      <c r="BD1161" s="119"/>
      <c r="BE1161" s="119"/>
      <c r="BF1161" s="119"/>
      <c r="BG1161" s="119"/>
      <c r="BH1161" s="119"/>
      <c r="BI1161" s="119"/>
      <c r="BJ1161" s="119"/>
      <c r="BK1161" s="119"/>
      <c r="BL1161" s="119"/>
      <c r="BM1161" s="119"/>
      <c r="BN1161" s="119"/>
      <c r="BO1161" s="119"/>
      <c r="BP1161" s="119"/>
      <c r="BQ1161" s="119"/>
      <c r="BR1161" s="119"/>
      <c r="BS1161" s="119"/>
      <c r="BT1161" s="119"/>
      <c r="BU1161" s="119"/>
      <c r="BV1161" s="119"/>
      <c r="BW1161" s="119"/>
      <c r="BX1161" s="119"/>
      <c r="BY1161" s="119"/>
      <c r="BZ1161" s="119"/>
      <c r="CA1161" s="119"/>
      <c r="CB1161" s="119"/>
      <c r="CC1161" s="119"/>
      <c r="CD1161" s="119"/>
      <c r="CE1161" s="119"/>
      <c r="CF1161" s="119"/>
      <c r="CG1161" s="119"/>
      <c r="CH1161" s="119"/>
      <c r="CI1161" s="119"/>
      <c r="CJ1161" s="119"/>
      <c r="CK1161" s="119"/>
      <c r="CL1161" s="119"/>
      <c r="CM1161" s="119"/>
      <c r="CN1161" s="119"/>
      <c r="CO1161" s="119"/>
      <c r="CP1161" s="119"/>
      <c r="CQ1161" s="119"/>
      <c r="CR1161" s="119"/>
      <c r="CS1161" s="119"/>
      <c r="CT1161" s="119"/>
      <c r="CU1161" s="119"/>
      <c r="CV1161" s="119"/>
      <c r="CW1161" s="119"/>
      <c r="CX1161" s="119"/>
    </row>
    <row r="1162" spans="1:102">
      <c r="A1162" s="119"/>
      <c r="B1162" s="119"/>
      <c r="C1162" s="119"/>
      <c r="D1162" s="117"/>
      <c r="E1162" s="119"/>
      <c r="F1162" s="119"/>
      <c r="G1162" s="119"/>
      <c r="H1162" s="119"/>
      <c r="I1162" s="119"/>
      <c r="J1162" s="119"/>
      <c r="K1162" s="119"/>
      <c r="L1162" s="119"/>
      <c r="M1162" s="119"/>
      <c r="N1162" s="119"/>
      <c r="O1162" s="119"/>
      <c r="P1162" s="119"/>
      <c r="Q1162" s="120" t="s">
        <v>103</v>
      </c>
      <c r="R1162" s="24">
        <f>COUNTIFS('Form Details'!$D:$D,'Adv. Filter'!$A$14,'Form Details'!$D:$D,'Adv. Filter'!$B$14,'Form Details'!$O:$O,'Balance Sheet'!$Q1162)</f>
        <v>0</v>
      </c>
      <c r="S1162" s="119"/>
      <c r="T1162" s="119"/>
      <c r="U1162" s="119"/>
      <c r="V1162" s="119"/>
      <c r="W1162" s="119"/>
      <c r="X1162" s="119"/>
      <c r="Y1162" s="119"/>
      <c r="Z1162" s="119"/>
      <c r="AA1162" s="119"/>
      <c r="AB1162" s="119"/>
      <c r="AC1162" s="119"/>
      <c r="AD1162" s="119"/>
      <c r="AE1162" s="119"/>
      <c r="AF1162" s="119"/>
      <c r="AG1162" s="119"/>
      <c r="AH1162" s="119"/>
      <c r="AI1162" s="119"/>
      <c r="AJ1162" s="119"/>
      <c r="AK1162" s="119"/>
      <c r="AL1162" s="119"/>
      <c r="AM1162" s="119"/>
      <c r="AN1162" s="119"/>
      <c r="AO1162" s="119"/>
      <c r="AP1162" s="119"/>
      <c r="AQ1162" s="119"/>
      <c r="AR1162" s="119"/>
      <c r="AS1162" s="119"/>
      <c r="AT1162" s="119"/>
      <c r="AU1162" s="119"/>
      <c r="AV1162" s="119"/>
      <c r="AW1162" s="119"/>
      <c r="AX1162" s="119"/>
      <c r="AY1162" s="119"/>
      <c r="AZ1162" s="119"/>
      <c r="BA1162" s="119"/>
      <c r="BB1162" s="119"/>
      <c r="BC1162" s="119"/>
      <c r="BD1162" s="119"/>
      <c r="BE1162" s="119"/>
      <c r="BF1162" s="119"/>
      <c r="BG1162" s="119"/>
      <c r="BH1162" s="119"/>
      <c r="BI1162" s="119"/>
      <c r="BJ1162" s="119"/>
      <c r="BK1162" s="119"/>
      <c r="BL1162" s="119"/>
      <c r="BM1162" s="119"/>
      <c r="BN1162" s="119"/>
      <c r="BO1162" s="119"/>
      <c r="BP1162" s="119"/>
      <c r="BQ1162" s="119"/>
      <c r="BR1162" s="119"/>
      <c r="BS1162" s="119"/>
      <c r="BT1162" s="119"/>
      <c r="BU1162" s="119"/>
      <c r="BV1162" s="119"/>
      <c r="BW1162" s="119"/>
      <c r="BX1162" s="119"/>
      <c r="BY1162" s="119"/>
      <c r="BZ1162" s="119"/>
      <c r="CA1162" s="119"/>
      <c r="CB1162" s="119"/>
      <c r="CC1162" s="119"/>
      <c r="CD1162" s="119"/>
      <c r="CE1162" s="119"/>
      <c r="CF1162" s="119"/>
      <c r="CG1162" s="119"/>
      <c r="CH1162" s="119"/>
      <c r="CI1162" s="119"/>
      <c r="CJ1162" s="119"/>
      <c r="CK1162" s="119"/>
      <c r="CL1162" s="119"/>
      <c r="CM1162" s="119"/>
      <c r="CN1162" s="119"/>
      <c r="CO1162" s="119"/>
      <c r="CP1162" s="119"/>
      <c r="CQ1162" s="119"/>
      <c r="CR1162" s="119"/>
      <c r="CS1162" s="119"/>
      <c r="CT1162" s="119"/>
      <c r="CU1162" s="119"/>
      <c r="CV1162" s="119"/>
      <c r="CW1162" s="119"/>
      <c r="CX1162" s="119"/>
    </row>
    <row r="1163" spans="1:102">
      <c r="A1163" s="119"/>
      <c r="B1163" s="119"/>
      <c r="C1163" s="119"/>
      <c r="D1163" s="117"/>
      <c r="E1163" s="119"/>
      <c r="F1163" s="119"/>
      <c r="G1163" s="119"/>
      <c r="H1163" s="119"/>
      <c r="I1163" s="119"/>
      <c r="J1163" s="119"/>
      <c r="K1163" s="119"/>
      <c r="L1163" s="119"/>
      <c r="M1163" s="119"/>
      <c r="N1163" s="119"/>
      <c r="O1163" s="119"/>
      <c r="P1163" s="119"/>
      <c r="Q1163" s="120" t="s">
        <v>85</v>
      </c>
      <c r="R1163" s="24">
        <f>COUNTIFS('Form Details'!$D:$D,'Adv. Filter'!$A$14,'Form Details'!$D:$D,'Adv. Filter'!$B$14,'Form Details'!$O:$O,'Balance Sheet'!$Q1163)</f>
        <v>39</v>
      </c>
      <c r="S1163" s="119"/>
      <c r="T1163" s="119"/>
      <c r="U1163" s="119"/>
      <c r="V1163" s="119"/>
      <c r="W1163" s="119"/>
      <c r="X1163" s="119"/>
      <c r="Y1163" s="119"/>
      <c r="Z1163" s="119"/>
      <c r="AA1163" s="119"/>
      <c r="AB1163" s="119"/>
      <c r="AC1163" s="119"/>
      <c r="AD1163" s="119"/>
      <c r="AE1163" s="119"/>
      <c r="AF1163" s="119"/>
      <c r="AG1163" s="119"/>
      <c r="AH1163" s="119"/>
      <c r="AI1163" s="119"/>
      <c r="AJ1163" s="119"/>
      <c r="AK1163" s="119"/>
      <c r="AL1163" s="119"/>
      <c r="AM1163" s="119"/>
      <c r="AN1163" s="119"/>
      <c r="AO1163" s="119"/>
      <c r="AP1163" s="119"/>
      <c r="AQ1163" s="119"/>
      <c r="AR1163" s="119"/>
      <c r="AS1163" s="119"/>
      <c r="AT1163" s="119"/>
      <c r="AU1163" s="119"/>
      <c r="AV1163" s="119"/>
      <c r="AW1163" s="119"/>
      <c r="AX1163" s="119"/>
      <c r="AY1163" s="119"/>
      <c r="AZ1163" s="119"/>
      <c r="BA1163" s="119"/>
      <c r="BB1163" s="119"/>
      <c r="BC1163" s="119"/>
      <c r="BD1163" s="119"/>
      <c r="BE1163" s="119"/>
      <c r="BF1163" s="119"/>
      <c r="BG1163" s="119"/>
      <c r="BH1163" s="119"/>
      <c r="BI1163" s="119"/>
      <c r="BJ1163" s="119"/>
      <c r="BK1163" s="119"/>
      <c r="BL1163" s="119"/>
      <c r="BM1163" s="119"/>
      <c r="BN1163" s="119"/>
      <c r="BO1163" s="119"/>
      <c r="BP1163" s="119"/>
      <c r="BQ1163" s="119"/>
      <c r="BR1163" s="119"/>
      <c r="BS1163" s="119"/>
      <c r="BT1163" s="119"/>
      <c r="BU1163" s="119"/>
      <c r="BV1163" s="119"/>
      <c r="BW1163" s="119"/>
      <c r="BX1163" s="119"/>
      <c r="BY1163" s="119"/>
      <c r="BZ1163" s="119"/>
      <c r="CA1163" s="119"/>
      <c r="CB1163" s="119"/>
      <c r="CC1163" s="119"/>
      <c r="CD1163" s="119"/>
      <c r="CE1163" s="119"/>
      <c r="CF1163" s="119"/>
      <c r="CG1163" s="119"/>
      <c r="CH1163" s="119"/>
      <c r="CI1163" s="119"/>
      <c r="CJ1163" s="119"/>
      <c r="CK1163" s="119"/>
      <c r="CL1163" s="119"/>
      <c r="CM1163" s="119"/>
      <c r="CN1163" s="119"/>
      <c r="CO1163" s="119"/>
      <c r="CP1163" s="119"/>
      <c r="CQ1163" s="119"/>
      <c r="CR1163" s="119"/>
      <c r="CS1163" s="119"/>
      <c r="CT1163" s="119"/>
      <c r="CU1163" s="119"/>
      <c r="CV1163" s="119"/>
      <c r="CW1163" s="119"/>
      <c r="CX1163" s="119"/>
    </row>
    <row r="1164" spans="1:102">
      <c r="A1164" s="119"/>
      <c r="B1164" s="119"/>
      <c r="C1164" s="119"/>
      <c r="D1164" s="117"/>
      <c r="E1164" s="119"/>
      <c r="F1164" s="119"/>
      <c r="G1164" s="119"/>
      <c r="H1164" s="119"/>
      <c r="I1164" s="119"/>
      <c r="J1164" s="119"/>
      <c r="K1164" s="119"/>
      <c r="L1164" s="119"/>
      <c r="M1164" s="119"/>
      <c r="N1164" s="119"/>
      <c r="O1164" s="119"/>
      <c r="P1164" s="119"/>
      <c r="Q1164" s="120" t="s">
        <v>112</v>
      </c>
      <c r="R1164" s="24">
        <f>COUNTIFS('Form Details'!$D:$D,'Adv. Filter'!$A$14,'Form Details'!$D:$D,'Adv. Filter'!$B$14,'Form Details'!$O:$O,'Balance Sheet'!$Q1164)</f>
        <v>164</v>
      </c>
      <c r="S1164" s="119"/>
      <c r="T1164" s="119"/>
      <c r="U1164" s="119"/>
      <c r="V1164" s="119"/>
      <c r="W1164" s="119"/>
      <c r="X1164" s="119"/>
      <c r="Y1164" s="119"/>
      <c r="Z1164" s="119"/>
      <c r="AA1164" s="119"/>
      <c r="AB1164" s="119"/>
      <c r="AC1164" s="119"/>
      <c r="AD1164" s="119"/>
      <c r="AE1164" s="119"/>
      <c r="AF1164" s="119"/>
      <c r="AG1164" s="119"/>
      <c r="AH1164" s="119"/>
      <c r="AI1164" s="119"/>
      <c r="AJ1164" s="119"/>
      <c r="AK1164" s="119"/>
      <c r="AL1164" s="119"/>
      <c r="AM1164" s="119"/>
      <c r="AN1164" s="119"/>
      <c r="AO1164" s="119"/>
      <c r="AP1164" s="119"/>
      <c r="AQ1164" s="119"/>
      <c r="AR1164" s="119"/>
      <c r="AS1164" s="119"/>
      <c r="AT1164" s="119"/>
      <c r="AU1164" s="119"/>
      <c r="AV1164" s="119"/>
      <c r="AW1164" s="119"/>
      <c r="AX1164" s="119"/>
      <c r="AY1164" s="119"/>
      <c r="AZ1164" s="119"/>
      <c r="BA1164" s="119"/>
      <c r="BB1164" s="119"/>
      <c r="BC1164" s="119"/>
      <c r="BD1164" s="119"/>
      <c r="BE1164" s="119"/>
      <c r="BF1164" s="119"/>
      <c r="BG1164" s="119"/>
      <c r="BH1164" s="119"/>
      <c r="BI1164" s="119"/>
      <c r="BJ1164" s="119"/>
      <c r="BK1164" s="119"/>
      <c r="BL1164" s="119"/>
      <c r="BM1164" s="119"/>
      <c r="BN1164" s="119"/>
      <c r="BO1164" s="119"/>
      <c r="BP1164" s="119"/>
      <c r="BQ1164" s="119"/>
      <c r="BR1164" s="119"/>
      <c r="BS1164" s="119"/>
      <c r="BT1164" s="119"/>
      <c r="BU1164" s="119"/>
      <c r="BV1164" s="119"/>
      <c r="BW1164" s="119"/>
      <c r="BX1164" s="119"/>
      <c r="BY1164" s="119"/>
      <c r="BZ1164" s="119"/>
      <c r="CA1164" s="119"/>
      <c r="CB1164" s="119"/>
      <c r="CC1164" s="119"/>
      <c r="CD1164" s="119"/>
      <c r="CE1164" s="119"/>
      <c r="CF1164" s="119"/>
      <c r="CG1164" s="119"/>
      <c r="CH1164" s="119"/>
      <c r="CI1164" s="119"/>
      <c r="CJ1164" s="119"/>
      <c r="CK1164" s="119"/>
      <c r="CL1164" s="119"/>
      <c r="CM1164" s="119"/>
      <c r="CN1164" s="119"/>
      <c r="CO1164" s="119"/>
      <c r="CP1164" s="119"/>
      <c r="CQ1164" s="119"/>
      <c r="CR1164" s="119"/>
      <c r="CS1164" s="119"/>
      <c r="CT1164" s="119"/>
      <c r="CU1164" s="119"/>
      <c r="CV1164" s="119"/>
      <c r="CW1164" s="119"/>
      <c r="CX1164" s="119"/>
    </row>
    <row r="1165" spans="1:102">
      <c r="A1165" s="119"/>
      <c r="B1165" s="119"/>
      <c r="C1165" s="119"/>
      <c r="D1165" s="117"/>
      <c r="E1165" s="119"/>
      <c r="F1165" s="119"/>
      <c r="G1165" s="119"/>
      <c r="H1165" s="119"/>
      <c r="I1165" s="119"/>
      <c r="J1165" s="119"/>
      <c r="K1165" s="119"/>
      <c r="L1165" s="119"/>
      <c r="M1165" s="119"/>
      <c r="N1165" s="119"/>
      <c r="O1165" s="119"/>
      <c r="P1165" s="119"/>
      <c r="Q1165" s="119"/>
      <c r="R1165" s="119"/>
      <c r="S1165" s="119"/>
      <c r="T1165" s="119"/>
      <c r="U1165" s="119"/>
      <c r="V1165" s="119"/>
      <c r="W1165" s="119"/>
      <c r="X1165" s="119"/>
      <c r="Y1165" s="119"/>
      <c r="Z1165" s="119"/>
      <c r="AA1165" s="119"/>
      <c r="AB1165" s="119"/>
      <c r="AC1165" s="119"/>
      <c r="AD1165" s="119"/>
      <c r="AE1165" s="119"/>
      <c r="AF1165" s="119"/>
      <c r="AG1165" s="119"/>
      <c r="AH1165" s="119"/>
      <c r="AI1165" s="119"/>
      <c r="AJ1165" s="119"/>
      <c r="AK1165" s="119"/>
      <c r="AL1165" s="119"/>
      <c r="AM1165" s="119"/>
      <c r="AN1165" s="119"/>
      <c r="AO1165" s="119"/>
      <c r="AP1165" s="119"/>
      <c r="AQ1165" s="119"/>
      <c r="AR1165" s="119"/>
      <c r="AS1165" s="119"/>
      <c r="AT1165" s="119"/>
      <c r="AU1165" s="119"/>
      <c r="AV1165" s="119"/>
      <c r="AW1165" s="119"/>
      <c r="AX1165" s="119"/>
      <c r="AY1165" s="119"/>
      <c r="AZ1165" s="119"/>
      <c r="BA1165" s="119"/>
      <c r="BB1165" s="119"/>
      <c r="BC1165" s="119"/>
      <c r="BD1165" s="119"/>
      <c r="BE1165" s="119"/>
      <c r="BF1165" s="119"/>
      <c r="BG1165" s="119"/>
      <c r="BH1165" s="119"/>
      <c r="BI1165" s="119"/>
      <c r="BJ1165" s="119"/>
      <c r="BK1165" s="119"/>
      <c r="BL1165" s="119"/>
      <c r="BM1165" s="119"/>
      <c r="BN1165" s="119"/>
      <c r="BO1165" s="119"/>
      <c r="BP1165" s="119"/>
      <c r="BQ1165" s="119"/>
      <c r="BR1165" s="119"/>
      <c r="BS1165" s="119"/>
      <c r="BT1165" s="119"/>
      <c r="BU1165" s="119"/>
      <c r="BV1165" s="119"/>
      <c r="BW1165" s="119"/>
      <c r="BX1165" s="119"/>
      <c r="BY1165" s="119"/>
      <c r="BZ1165" s="119"/>
      <c r="CA1165" s="119"/>
      <c r="CB1165" s="119"/>
      <c r="CC1165" s="119"/>
      <c r="CD1165" s="119"/>
      <c r="CE1165" s="119"/>
      <c r="CF1165" s="119"/>
      <c r="CG1165" s="119"/>
      <c r="CH1165" s="119"/>
      <c r="CI1165" s="119"/>
      <c r="CJ1165" s="119"/>
      <c r="CK1165" s="119"/>
      <c r="CL1165" s="119"/>
      <c r="CM1165" s="119"/>
      <c r="CN1165" s="119"/>
      <c r="CO1165" s="119"/>
      <c r="CP1165" s="119"/>
      <c r="CQ1165" s="119"/>
      <c r="CR1165" s="119"/>
      <c r="CS1165" s="119"/>
      <c r="CT1165" s="119"/>
      <c r="CU1165" s="119"/>
      <c r="CV1165" s="119"/>
      <c r="CW1165" s="119"/>
      <c r="CX1165" s="119"/>
    </row>
    <row r="1166" spans="1:102">
      <c r="A1166" s="119"/>
      <c r="B1166" s="119"/>
      <c r="C1166" s="119"/>
      <c r="D1166" s="117"/>
      <c r="E1166" s="119"/>
      <c r="F1166" s="119"/>
      <c r="G1166" s="119"/>
      <c r="H1166" s="119"/>
      <c r="I1166" s="119"/>
      <c r="J1166" s="119"/>
      <c r="K1166" s="119"/>
      <c r="L1166" s="119"/>
      <c r="M1166" s="119"/>
      <c r="N1166" s="119"/>
      <c r="O1166" s="119"/>
      <c r="P1166" s="119"/>
      <c r="Q1166" s="119"/>
      <c r="R1166" s="119"/>
      <c r="S1166" s="119"/>
      <c r="T1166" s="119"/>
      <c r="U1166" s="119"/>
      <c r="V1166" s="119"/>
      <c r="W1166" s="119"/>
      <c r="X1166" s="119"/>
      <c r="Y1166" s="119"/>
      <c r="Z1166" s="119"/>
      <c r="AA1166" s="119"/>
      <c r="AB1166" s="119"/>
      <c r="AC1166" s="119"/>
      <c r="AD1166" s="119"/>
      <c r="AE1166" s="119"/>
      <c r="AF1166" s="119"/>
      <c r="AG1166" s="119"/>
      <c r="AH1166" s="119"/>
      <c r="AI1166" s="119"/>
      <c r="AJ1166" s="119"/>
      <c r="AK1166" s="119"/>
      <c r="AL1166" s="119"/>
      <c r="AM1166" s="119"/>
      <c r="AN1166" s="119"/>
      <c r="AO1166" s="119"/>
      <c r="AP1166" s="119"/>
      <c r="AQ1166" s="119"/>
      <c r="AR1166" s="119"/>
      <c r="AS1166" s="119"/>
      <c r="AT1166" s="119"/>
      <c r="AU1166" s="119"/>
      <c r="AV1166" s="119"/>
      <c r="AW1166" s="119"/>
      <c r="AX1166" s="119"/>
      <c r="AY1166" s="119"/>
      <c r="AZ1166" s="119"/>
      <c r="BA1166" s="119"/>
      <c r="BB1166" s="119"/>
      <c r="BC1166" s="119"/>
      <c r="BD1166" s="119"/>
      <c r="BE1166" s="119"/>
      <c r="BF1166" s="119"/>
      <c r="BG1166" s="119"/>
      <c r="BH1166" s="119"/>
      <c r="BI1166" s="119"/>
      <c r="BJ1166" s="119"/>
      <c r="BK1166" s="119"/>
      <c r="BL1166" s="119"/>
      <c r="BM1166" s="119"/>
      <c r="BN1166" s="119"/>
      <c r="BO1166" s="119"/>
      <c r="BP1166" s="119"/>
      <c r="BQ1166" s="119"/>
      <c r="BR1166" s="119"/>
      <c r="BS1166" s="119"/>
      <c r="BT1166" s="119"/>
      <c r="BU1166" s="119"/>
      <c r="BV1166" s="119"/>
      <c r="BW1166" s="119"/>
      <c r="BX1166" s="119"/>
      <c r="BY1166" s="119"/>
      <c r="BZ1166" s="119"/>
      <c r="CA1166" s="119"/>
      <c r="CB1166" s="119"/>
      <c r="CC1166" s="119"/>
      <c r="CD1166" s="119"/>
      <c r="CE1166" s="119"/>
      <c r="CF1166" s="119"/>
      <c r="CG1166" s="119"/>
      <c r="CH1166" s="119"/>
      <c r="CI1166" s="119"/>
      <c r="CJ1166" s="119"/>
      <c r="CK1166" s="119"/>
      <c r="CL1166" s="119"/>
      <c r="CM1166" s="119"/>
      <c r="CN1166" s="119"/>
      <c r="CO1166" s="119"/>
      <c r="CP1166" s="119"/>
      <c r="CQ1166" s="119"/>
      <c r="CR1166" s="119"/>
      <c r="CS1166" s="119"/>
      <c r="CT1166" s="119"/>
      <c r="CU1166" s="119"/>
      <c r="CV1166" s="119"/>
      <c r="CW1166" s="119"/>
      <c r="CX1166" s="119"/>
    </row>
    <row r="1167" spans="1:102">
      <c r="A1167" s="119"/>
      <c r="B1167" s="119"/>
      <c r="C1167" s="119"/>
      <c r="D1167" s="117"/>
      <c r="E1167" s="119"/>
      <c r="F1167" s="119"/>
      <c r="G1167" s="119"/>
      <c r="H1167" s="119"/>
      <c r="I1167" s="119"/>
      <c r="J1167" s="119"/>
      <c r="K1167" s="119"/>
      <c r="L1167" s="119"/>
      <c r="M1167" s="119"/>
      <c r="N1167" s="119"/>
      <c r="O1167" s="119"/>
      <c r="P1167" s="119"/>
      <c r="Q1167" s="119"/>
      <c r="R1167" s="119"/>
      <c r="S1167" s="119"/>
      <c r="T1167" s="119"/>
      <c r="U1167" s="119"/>
      <c r="V1167" s="119"/>
      <c r="W1167" s="119"/>
      <c r="X1167" s="119"/>
      <c r="Y1167" s="119"/>
      <c r="Z1167" s="119"/>
      <c r="AA1167" s="119"/>
      <c r="AB1167" s="119"/>
      <c r="AC1167" s="119"/>
      <c r="AD1167" s="119"/>
      <c r="AE1167" s="119"/>
      <c r="AF1167" s="119"/>
      <c r="AG1167" s="119"/>
      <c r="AH1167" s="119"/>
      <c r="AI1167" s="119"/>
      <c r="AJ1167" s="119"/>
      <c r="AK1167" s="119"/>
      <c r="AL1167" s="119"/>
      <c r="AM1167" s="119"/>
      <c r="AN1167" s="119"/>
      <c r="AO1167" s="119"/>
      <c r="AP1167" s="119"/>
      <c r="AQ1167" s="119"/>
      <c r="AR1167" s="119"/>
      <c r="AS1167" s="119"/>
      <c r="AT1167" s="119"/>
      <c r="AU1167" s="119"/>
      <c r="AV1167" s="119"/>
      <c r="AW1167" s="119"/>
      <c r="AX1167" s="119"/>
      <c r="AY1167" s="119"/>
      <c r="AZ1167" s="119"/>
      <c r="BA1167" s="119"/>
      <c r="BB1167" s="119"/>
      <c r="BC1167" s="119"/>
      <c r="BD1167" s="119"/>
      <c r="BE1167" s="119"/>
      <c r="BF1167" s="119"/>
      <c r="BG1167" s="119"/>
      <c r="BH1167" s="119"/>
      <c r="BI1167" s="119"/>
      <c r="BJ1167" s="119"/>
      <c r="BK1167" s="119"/>
      <c r="BL1167" s="119"/>
      <c r="BM1167" s="119"/>
      <c r="BN1167" s="119"/>
      <c r="BO1167" s="119"/>
      <c r="BP1167" s="119"/>
      <c r="BQ1167" s="119"/>
      <c r="BR1167" s="119"/>
      <c r="BS1167" s="119"/>
      <c r="BT1167" s="119"/>
      <c r="BU1167" s="119"/>
      <c r="BV1167" s="119"/>
      <c r="BW1167" s="119"/>
      <c r="BX1167" s="119"/>
      <c r="BY1167" s="119"/>
      <c r="BZ1167" s="119"/>
      <c r="CA1167" s="119"/>
      <c r="CB1167" s="119"/>
      <c r="CC1167" s="119"/>
      <c r="CD1167" s="119"/>
      <c r="CE1167" s="119"/>
      <c r="CF1167" s="119"/>
      <c r="CG1167" s="119"/>
      <c r="CH1167" s="119"/>
      <c r="CI1167" s="119"/>
      <c r="CJ1167" s="119"/>
      <c r="CK1167" s="119"/>
      <c r="CL1167" s="119"/>
      <c r="CM1167" s="119"/>
      <c r="CN1167" s="119"/>
      <c r="CO1167" s="119"/>
      <c r="CP1167" s="119"/>
      <c r="CQ1167" s="119"/>
      <c r="CR1167" s="119"/>
      <c r="CS1167" s="119"/>
      <c r="CT1167" s="119"/>
      <c r="CU1167" s="119"/>
      <c r="CV1167" s="119"/>
      <c r="CW1167" s="119"/>
      <c r="CX1167" s="119"/>
    </row>
    <row r="1168" spans="1:102">
      <c r="A1168" s="119"/>
      <c r="B1168" s="119"/>
      <c r="C1168" s="119"/>
      <c r="D1168" s="117"/>
      <c r="E1168" s="119"/>
      <c r="F1168" s="119"/>
      <c r="G1168" s="119"/>
      <c r="H1168" s="119"/>
      <c r="I1168" s="119"/>
      <c r="J1168" s="119"/>
      <c r="K1168" s="119"/>
      <c r="L1168" s="119"/>
      <c r="M1168" s="119"/>
      <c r="N1168" s="119"/>
      <c r="O1168" s="119"/>
      <c r="P1168" s="119"/>
      <c r="Q1168" s="119"/>
      <c r="R1168" s="119"/>
      <c r="S1168" s="119"/>
      <c r="T1168" s="119"/>
      <c r="U1168" s="119"/>
      <c r="V1168" s="119"/>
      <c r="W1168" s="119"/>
      <c r="X1168" s="119"/>
      <c r="Y1168" s="119"/>
      <c r="Z1168" s="119"/>
      <c r="AA1168" s="119"/>
      <c r="AB1168" s="119"/>
      <c r="AC1168" s="119"/>
      <c r="AD1168" s="119"/>
      <c r="AE1168" s="119"/>
      <c r="AF1168" s="119"/>
      <c r="AG1168" s="119"/>
      <c r="AH1168" s="119"/>
      <c r="AI1168" s="119"/>
      <c r="AJ1168" s="119"/>
      <c r="AK1168" s="119"/>
      <c r="AL1168" s="119"/>
      <c r="AM1168" s="119"/>
      <c r="AN1168" s="119"/>
      <c r="AO1168" s="119"/>
      <c r="AP1168" s="119"/>
      <c r="AQ1168" s="119"/>
      <c r="AR1168" s="119"/>
      <c r="AS1168" s="119"/>
      <c r="AT1168" s="119"/>
      <c r="AU1168" s="119"/>
      <c r="AV1168" s="119"/>
      <c r="AW1168" s="119"/>
      <c r="AX1168" s="119"/>
      <c r="AY1168" s="119"/>
      <c r="AZ1168" s="119"/>
      <c r="BA1168" s="119"/>
      <c r="BB1168" s="119"/>
      <c r="BC1168" s="119"/>
      <c r="BD1168" s="119"/>
      <c r="BE1168" s="119"/>
      <c r="BF1168" s="119"/>
      <c r="BG1168" s="119"/>
      <c r="BH1168" s="119"/>
      <c r="BI1168" s="119"/>
      <c r="BJ1168" s="119"/>
      <c r="BK1168" s="119"/>
      <c r="BL1168" s="119"/>
      <c r="BM1168" s="119"/>
      <c r="BN1168" s="119"/>
      <c r="BO1168" s="119"/>
      <c r="BP1168" s="119"/>
      <c r="BQ1168" s="119"/>
      <c r="BR1168" s="119"/>
      <c r="BS1168" s="119"/>
      <c r="BT1168" s="119"/>
      <c r="BU1168" s="119"/>
      <c r="BV1168" s="119"/>
      <c r="BW1168" s="119"/>
      <c r="BX1168" s="119"/>
      <c r="BY1168" s="119"/>
      <c r="BZ1168" s="119"/>
      <c r="CA1168" s="119"/>
      <c r="CB1168" s="119"/>
      <c r="CC1168" s="119"/>
      <c r="CD1168" s="119"/>
      <c r="CE1168" s="119"/>
      <c r="CF1168" s="119"/>
      <c r="CG1168" s="119"/>
      <c r="CH1168" s="119"/>
      <c r="CI1168" s="119"/>
      <c r="CJ1168" s="119"/>
      <c r="CK1168" s="119"/>
      <c r="CL1168" s="119"/>
      <c r="CM1168" s="119"/>
      <c r="CN1168" s="119"/>
      <c r="CO1168" s="119"/>
      <c r="CP1168" s="119"/>
      <c r="CQ1168" s="119"/>
      <c r="CR1168" s="119"/>
      <c r="CS1168" s="119"/>
      <c r="CT1168" s="119"/>
      <c r="CU1168" s="119"/>
      <c r="CV1168" s="119"/>
      <c r="CW1168" s="119"/>
      <c r="CX1168" s="119"/>
    </row>
    <row r="1169" spans="1:102">
      <c r="A1169" s="119"/>
      <c r="B1169" s="119"/>
      <c r="C1169" s="119"/>
      <c r="D1169" s="117"/>
      <c r="E1169" s="119"/>
      <c r="F1169" s="119"/>
      <c r="G1169" s="119"/>
      <c r="H1169" s="119"/>
      <c r="I1169" s="119"/>
      <c r="J1169" s="119"/>
      <c r="K1169" s="119"/>
      <c r="L1169" s="119"/>
      <c r="M1169" s="119"/>
      <c r="N1169" s="119"/>
      <c r="O1169" s="119"/>
      <c r="P1169" s="119"/>
      <c r="Q1169" s="119"/>
      <c r="R1169" s="119"/>
      <c r="S1169" s="119"/>
      <c r="T1169" s="119"/>
      <c r="U1169" s="119"/>
      <c r="V1169" s="119"/>
      <c r="W1169" s="119"/>
      <c r="X1169" s="119"/>
      <c r="Y1169" s="119"/>
      <c r="Z1169" s="119"/>
      <c r="AA1169" s="119"/>
      <c r="AB1169" s="119"/>
      <c r="AC1169" s="119"/>
      <c r="AD1169" s="119"/>
      <c r="AE1169" s="119"/>
      <c r="AF1169" s="119"/>
      <c r="AG1169" s="119"/>
      <c r="AH1169" s="119"/>
      <c r="AI1169" s="119"/>
      <c r="AJ1169" s="119"/>
      <c r="AK1169" s="119"/>
      <c r="AL1169" s="119"/>
      <c r="AM1169" s="119"/>
      <c r="AN1169" s="119"/>
      <c r="AO1169" s="119"/>
      <c r="AP1169" s="119"/>
      <c r="AQ1169" s="119"/>
      <c r="AR1169" s="119"/>
      <c r="AS1169" s="119"/>
      <c r="AT1169" s="119"/>
      <c r="AU1169" s="119"/>
      <c r="AV1169" s="119"/>
      <c r="AW1169" s="119"/>
      <c r="AX1169" s="119"/>
      <c r="AY1169" s="119"/>
      <c r="AZ1169" s="119"/>
      <c r="BA1169" s="119"/>
      <c r="BB1169" s="119"/>
      <c r="BC1169" s="119"/>
      <c r="BD1169" s="119"/>
      <c r="BE1169" s="119"/>
      <c r="BF1169" s="119"/>
      <c r="BG1169" s="119"/>
      <c r="BH1169" s="119"/>
      <c r="BI1169" s="119"/>
      <c r="BJ1169" s="119"/>
      <c r="BK1169" s="119"/>
      <c r="BL1169" s="119"/>
      <c r="BM1169" s="119"/>
      <c r="BN1169" s="119"/>
      <c r="BO1169" s="119"/>
      <c r="BP1169" s="119"/>
      <c r="BQ1169" s="119"/>
      <c r="BR1169" s="119"/>
      <c r="BS1169" s="119"/>
      <c r="BT1169" s="119"/>
      <c r="BU1169" s="119"/>
      <c r="BV1169" s="119"/>
      <c r="BW1169" s="119"/>
      <c r="BX1169" s="119"/>
      <c r="BY1169" s="119"/>
      <c r="BZ1169" s="119"/>
      <c r="CA1169" s="119"/>
      <c r="CB1169" s="119"/>
      <c r="CC1169" s="119"/>
      <c r="CD1169" s="119"/>
      <c r="CE1169" s="119"/>
      <c r="CF1169" s="119"/>
      <c r="CG1169" s="119"/>
      <c r="CH1169" s="119"/>
      <c r="CI1169" s="119"/>
      <c r="CJ1169" s="119"/>
      <c r="CK1169" s="119"/>
      <c r="CL1169" s="119"/>
      <c r="CM1169" s="119"/>
      <c r="CN1169" s="119"/>
      <c r="CO1169" s="119"/>
      <c r="CP1169" s="119"/>
      <c r="CQ1169" s="119"/>
      <c r="CR1169" s="119"/>
      <c r="CS1169" s="119"/>
      <c r="CT1169" s="119"/>
      <c r="CU1169" s="119"/>
      <c r="CV1169" s="119"/>
      <c r="CW1169" s="119"/>
      <c r="CX1169" s="119"/>
    </row>
    <row r="1170" spans="1:102">
      <c r="A1170" s="119"/>
      <c r="B1170" s="119"/>
      <c r="C1170" s="119"/>
      <c r="D1170" s="117"/>
      <c r="E1170" s="119"/>
      <c r="F1170" s="119"/>
      <c r="G1170" s="119"/>
      <c r="H1170" s="119"/>
      <c r="I1170" s="119"/>
      <c r="J1170" s="119"/>
      <c r="K1170" s="119"/>
      <c r="L1170" s="119"/>
      <c r="M1170" s="119"/>
      <c r="N1170" s="119"/>
      <c r="O1170" s="119"/>
      <c r="P1170" s="119"/>
      <c r="Q1170" s="119"/>
      <c r="R1170" s="119"/>
      <c r="S1170" s="119"/>
      <c r="T1170" s="119"/>
      <c r="U1170" s="119"/>
      <c r="V1170" s="119"/>
      <c r="W1170" s="119"/>
      <c r="X1170" s="119"/>
      <c r="Y1170" s="119"/>
      <c r="Z1170" s="119"/>
      <c r="AA1170" s="119"/>
      <c r="AB1170" s="119"/>
      <c r="AC1170" s="119"/>
      <c r="AD1170" s="119"/>
      <c r="AE1170" s="119"/>
      <c r="AF1170" s="119"/>
      <c r="AG1170" s="119"/>
      <c r="AH1170" s="119"/>
      <c r="AI1170" s="119"/>
      <c r="AJ1170" s="119"/>
      <c r="AK1170" s="119"/>
      <c r="AL1170" s="119"/>
      <c r="AM1170" s="119"/>
      <c r="AN1170" s="119"/>
      <c r="AO1170" s="119"/>
      <c r="AP1170" s="119"/>
      <c r="AQ1170" s="119"/>
      <c r="AR1170" s="119"/>
      <c r="AS1170" s="119"/>
      <c r="AT1170" s="119"/>
      <c r="AU1170" s="119"/>
      <c r="AV1170" s="119"/>
      <c r="AW1170" s="119"/>
      <c r="AX1170" s="119"/>
      <c r="AY1170" s="119"/>
      <c r="AZ1170" s="119"/>
      <c r="BA1170" s="119"/>
      <c r="BB1170" s="119"/>
      <c r="BC1170" s="119"/>
      <c r="BD1170" s="119"/>
      <c r="BE1170" s="119"/>
      <c r="BF1170" s="119"/>
      <c r="BG1170" s="119"/>
      <c r="BH1170" s="119"/>
      <c r="BI1170" s="119"/>
      <c r="BJ1170" s="119"/>
      <c r="BK1170" s="119"/>
      <c r="BL1170" s="119"/>
      <c r="BM1170" s="119"/>
      <c r="BN1170" s="119"/>
      <c r="BO1170" s="119"/>
      <c r="BP1170" s="119"/>
      <c r="BQ1170" s="119"/>
      <c r="BR1170" s="119"/>
      <c r="BS1170" s="119"/>
      <c r="BT1170" s="119"/>
      <c r="BU1170" s="119"/>
      <c r="BV1170" s="119"/>
      <c r="BW1170" s="119"/>
      <c r="BX1170" s="119"/>
      <c r="BY1170" s="119"/>
      <c r="BZ1170" s="119"/>
      <c r="CA1170" s="119"/>
      <c r="CB1170" s="119"/>
      <c r="CC1170" s="119"/>
      <c r="CD1170" s="119"/>
      <c r="CE1170" s="119"/>
      <c r="CF1170" s="119"/>
      <c r="CG1170" s="119"/>
      <c r="CH1170" s="119"/>
      <c r="CI1170" s="119"/>
      <c r="CJ1170" s="119"/>
      <c r="CK1170" s="119"/>
      <c r="CL1170" s="119"/>
      <c r="CM1170" s="119"/>
      <c r="CN1170" s="119"/>
      <c r="CO1170" s="119"/>
      <c r="CP1170" s="119"/>
      <c r="CQ1170" s="119"/>
      <c r="CR1170" s="119"/>
      <c r="CS1170" s="119"/>
      <c r="CT1170" s="119"/>
      <c r="CU1170" s="119"/>
      <c r="CV1170" s="119"/>
      <c r="CW1170" s="119"/>
      <c r="CX1170" s="119"/>
    </row>
    <row r="1171" spans="1:102">
      <c r="A1171" s="119"/>
      <c r="B1171" s="119"/>
      <c r="C1171" s="119"/>
      <c r="D1171" s="117"/>
      <c r="E1171" s="119"/>
      <c r="F1171" s="119"/>
      <c r="G1171" s="119"/>
      <c r="H1171" s="119"/>
      <c r="I1171" s="119"/>
      <c r="J1171" s="119"/>
      <c r="K1171" s="119"/>
      <c r="L1171" s="119"/>
      <c r="M1171" s="119"/>
      <c r="N1171" s="119"/>
      <c r="O1171" s="119"/>
      <c r="P1171" s="119"/>
      <c r="Q1171" s="119"/>
      <c r="R1171" s="119"/>
      <c r="S1171" s="119"/>
      <c r="T1171" s="119"/>
      <c r="U1171" s="119"/>
      <c r="V1171" s="119"/>
      <c r="W1171" s="119"/>
      <c r="X1171" s="119"/>
      <c r="Y1171" s="119"/>
      <c r="Z1171" s="119"/>
      <c r="AA1171" s="119"/>
      <c r="AB1171" s="119"/>
      <c r="AC1171" s="119"/>
      <c r="AD1171" s="119"/>
      <c r="AE1171" s="119"/>
      <c r="AF1171" s="119"/>
      <c r="AG1171" s="119"/>
      <c r="AH1171" s="119"/>
      <c r="AI1171" s="119"/>
      <c r="AJ1171" s="119"/>
      <c r="AK1171" s="119"/>
      <c r="AL1171" s="119"/>
      <c r="AM1171" s="119"/>
      <c r="AN1171" s="119"/>
      <c r="AO1171" s="119"/>
      <c r="AP1171" s="119"/>
      <c r="AQ1171" s="119"/>
      <c r="AR1171" s="119"/>
      <c r="AS1171" s="119"/>
      <c r="AT1171" s="119"/>
      <c r="AU1171" s="119"/>
      <c r="AV1171" s="119"/>
      <c r="AW1171" s="119"/>
      <c r="AX1171" s="119"/>
      <c r="AY1171" s="119"/>
      <c r="AZ1171" s="119"/>
      <c r="BA1171" s="119"/>
      <c r="BB1171" s="119"/>
      <c r="BC1171" s="119"/>
      <c r="BD1171" s="119"/>
      <c r="BE1171" s="119"/>
      <c r="BF1171" s="119"/>
      <c r="BG1171" s="119"/>
      <c r="BH1171" s="119"/>
      <c r="BI1171" s="119"/>
      <c r="BJ1171" s="119"/>
      <c r="BK1171" s="119"/>
      <c r="BL1171" s="119"/>
      <c r="BM1171" s="119"/>
      <c r="BN1171" s="119"/>
      <c r="BO1171" s="119"/>
      <c r="BP1171" s="119"/>
      <c r="BQ1171" s="119"/>
      <c r="BR1171" s="119"/>
      <c r="BS1171" s="119"/>
      <c r="BT1171" s="119"/>
      <c r="BU1171" s="119"/>
      <c r="BV1171" s="119"/>
      <c r="BW1171" s="119"/>
      <c r="BX1171" s="119"/>
      <c r="BY1171" s="119"/>
      <c r="BZ1171" s="119"/>
      <c r="CA1171" s="119"/>
      <c r="CB1171" s="119"/>
      <c r="CC1171" s="119"/>
      <c r="CD1171" s="119"/>
      <c r="CE1171" s="119"/>
      <c r="CF1171" s="119"/>
      <c r="CG1171" s="119"/>
      <c r="CH1171" s="119"/>
      <c r="CI1171" s="119"/>
      <c r="CJ1171" s="119"/>
      <c r="CK1171" s="119"/>
      <c r="CL1171" s="119"/>
      <c r="CM1171" s="119"/>
      <c r="CN1171" s="119"/>
      <c r="CO1171" s="119"/>
      <c r="CP1171" s="119"/>
      <c r="CQ1171" s="119"/>
      <c r="CR1171" s="119"/>
      <c r="CS1171" s="119"/>
      <c r="CT1171" s="119"/>
      <c r="CU1171" s="119"/>
      <c r="CV1171" s="119"/>
      <c r="CW1171" s="119"/>
      <c r="CX1171" s="119"/>
    </row>
    <row r="1172" spans="1:102">
      <c r="A1172" s="119"/>
      <c r="B1172" s="119"/>
      <c r="C1172" s="119"/>
      <c r="D1172" s="117"/>
      <c r="E1172" s="119"/>
      <c r="F1172" s="119"/>
      <c r="G1172" s="119"/>
      <c r="H1172" s="119"/>
      <c r="I1172" s="119"/>
      <c r="J1172" s="119"/>
      <c r="K1172" s="119"/>
      <c r="L1172" s="119"/>
      <c r="M1172" s="119"/>
      <c r="N1172" s="119"/>
      <c r="O1172" s="119"/>
      <c r="P1172" s="119"/>
      <c r="Q1172" s="119"/>
      <c r="R1172" s="119"/>
      <c r="S1172" s="119"/>
      <c r="T1172" s="119"/>
      <c r="U1172" s="119"/>
      <c r="V1172" s="119"/>
      <c r="W1172" s="119"/>
      <c r="X1172" s="119"/>
      <c r="Y1172" s="119"/>
      <c r="Z1172" s="119"/>
      <c r="AA1172" s="119"/>
      <c r="AB1172" s="119"/>
      <c r="AC1172" s="119"/>
      <c r="AD1172" s="119"/>
      <c r="AE1172" s="119"/>
      <c r="AF1172" s="119"/>
      <c r="AG1172" s="119"/>
      <c r="AH1172" s="119"/>
      <c r="AI1172" s="119"/>
      <c r="AJ1172" s="119"/>
      <c r="AK1172" s="119"/>
      <c r="AL1172" s="119"/>
      <c r="AM1172" s="119"/>
      <c r="AN1172" s="119"/>
      <c r="AO1172" s="119"/>
      <c r="AP1172" s="119"/>
      <c r="AQ1172" s="119"/>
      <c r="AR1172" s="119"/>
      <c r="AS1172" s="119"/>
      <c r="AT1172" s="119"/>
      <c r="AU1172" s="119"/>
      <c r="AV1172" s="119"/>
      <c r="AW1172" s="119"/>
      <c r="AX1172" s="119"/>
      <c r="AY1172" s="119"/>
      <c r="AZ1172" s="119"/>
      <c r="BA1172" s="119"/>
      <c r="BB1172" s="119"/>
      <c r="BC1172" s="119"/>
      <c r="BD1172" s="119"/>
      <c r="BE1172" s="119"/>
      <c r="BF1172" s="119"/>
      <c r="BG1172" s="119"/>
      <c r="BH1172" s="119"/>
      <c r="BI1172" s="119"/>
      <c r="BJ1172" s="119"/>
      <c r="BK1172" s="119"/>
      <c r="BL1172" s="119"/>
      <c r="BM1172" s="119"/>
      <c r="BN1172" s="119"/>
      <c r="BO1172" s="119"/>
      <c r="BP1172" s="119"/>
      <c r="BQ1172" s="119"/>
      <c r="BR1172" s="119"/>
      <c r="BS1172" s="119"/>
      <c r="BT1172" s="119"/>
      <c r="BU1172" s="119"/>
      <c r="BV1172" s="119"/>
      <c r="BW1172" s="119"/>
      <c r="BX1172" s="119"/>
      <c r="BY1172" s="119"/>
      <c r="BZ1172" s="119"/>
      <c r="CA1172" s="119"/>
      <c r="CB1172" s="119"/>
      <c r="CC1172" s="119"/>
      <c r="CD1172" s="119"/>
      <c r="CE1172" s="119"/>
      <c r="CF1172" s="119"/>
      <c r="CG1172" s="119"/>
      <c r="CH1172" s="119"/>
      <c r="CI1172" s="119"/>
      <c r="CJ1172" s="119"/>
      <c r="CK1172" s="119"/>
      <c r="CL1172" s="119"/>
      <c r="CM1172" s="119"/>
      <c r="CN1172" s="119"/>
      <c r="CO1172" s="119"/>
      <c r="CP1172" s="119"/>
      <c r="CQ1172" s="119"/>
      <c r="CR1172" s="119"/>
      <c r="CS1172" s="119"/>
      <c r="CT1172" s="119"/>
      <c r="CU1172" s="119"/>
      <c r="CV1172" s="119"/>
      <c r="CW1172" s="119"/>
      <c r="CX1172" s="119"/>
    </row>
    <row r="1173" spans="1:102">
      <c r="A1173" s="119"/>
      <c r="B1173" s="119"/>
      <c r="C1173" s="119"/>
      <c r="D1173" s="117"/>
      <c r="E1173" s="119"/>
      <c r="F1173" s="119"/>
      <c r="G1173" s="119"/>
      <c r="H1173" s="119"/>
      <c r="I1173" s="119"/>
      <c r="J1173" s="119"/>
      <c r="K1173" s="119"/>
      <c r="L1173" s="119"/>
      <c r="M1173" s="119"/>
      <c r="N1173" s="119"/>
      <c r="O1173" s="119"/>
      <c r="P1173" s="119"/>
      <c r="Q1173" s="119"/>
      <c r="R1173" s="119"/>
      <c r="S1173" s="119"/>
      <c r="T1173" s="119"/>
      <c r="U1173" s="119"/>
      <c r="V1173" s="119"/>
      <c r="W1173" s="119"/>
      <c r="X1173" s="119"/>
      <c r="Y1173" s="119"/>
      <c r="Z1173" s="119"/>
      <c r="AA1173" s="119"/>
      <c r="AB1173" s="119"/>
      <c r="AC1173" s="119"/>
      <c r="AD1173" s="119"/>
      <c r="AE1173" s="119"/>
      <c r="AF1173" s="119"/>
      <c r="AG1173" s="119"/>
      <c r="AH1173" s="119"/>
      <c r="AI1173" s="119"/>
      <c r="AJ1173" s="119"/>
      <c r="AK1173" s="119"/>
      <c r="AL1173" s="119"/>
      <c r="AM1173" s="119"/>
      <c r="AN1173" s="119"/>
      <c r="AO1173" s="119"/>
      <c r="AP1173" s="119"/>
      <c r="AQ1173" s="119"/>
      <c r="AR1173" s="119"/>
      <c r="AS1173" s="119"/>
      <c r="AT1173" s="119"/>
      <c r="AU1173" s="119"/>
      <c r="AV1173" s="119"/>
      <c r="AW1173" s="119"/>
      <c r="AX1173" s="119"/>
      <c r="AY1173" s="119"/>
      <c r="AZ1173" s="119"/>
      <c r="BA1173" s="119"/>
      <c r="BB1173" s="119"/>
      <c r="BC1173" s="119"/>
      <c r="BD1173" s="119"/>
      <c r="BE1173" s="119"/>
      <c r="BF1173" s="119"/>
      <c r="BG1173" s="119"/>
      <c r="BH1173" s="119"/>
      <c r="BI1173" s="119"/>
      <c r="BJ1173" s="119"/>
      <c r="BK1173" s="119"/>
      <c r="BL1173" s="119"/>
      <c r="BM1173" s="119"/>
      <c r="BN1173" s="119"/>
      <c r="BO1173" s="119"/>
      <c r="BP1173" s="119"/>
      <c r="BQ1173" s="119"/>
      <c r="BR1173" s="119"/>
      <c r="BS1173" s="119"/>
      <c r="BT1173" s="119"/>
      <c r="BU1173" s="119"/>
      <c r="BV1173" s="119"/>
      <c r="BW1173" s="119"/>
      <c r="BX1173" s="119"/>
      <c r="BY1173" s="119"/>
      <c r="BZ1173" s="119"/>
      <c r="CA1173" s="119"/>
      <c r="CB1173" s="119"/>
      <c r="CC1173" s="119"/>
      <c r="CD1173" s="119"/>
      <c r="CE1173" s="119"/>
      <c r="CF1173" s="119"/>
      <c r="CG1173" s="119"/>
      <c r="CH1173" s="119"/>
      <c r="CI1173" s="119"/>
      <c r="CJ1173" s="119"/>
      <c r="CK1173" s="119"/>
      <c r="CL1173" s="119"/>
      <c r="CM1173" s="119"/>
      <c r="CN1173" s="119"/>
      <c r="CO1173" s="119"/>
      <c r="CP1173" s="119"/>
      <c r="CQ1173" s="119"/>
      <c r="CR1173" s="119"/>
      <c r="CS1173" s="119"/>
      <c r="CT1173" s="119"/>
      <c r="CU1173" s="119"/>
      <c r="CV1173" s="119"/>
      <c r="CW1173" s="119"/>
      <c r="CX1173" s="119"/>
    </row>
    <row r="1174" spans="1:102">
      <c r="A1174" s="119"/>
      <c r="B1174" s="119"/>
      <c r="C1174" s="119"/>
      <c r="D1174" s="117"/>
      <c r="E1174" s="119"/>
      <c r="F1174" s="119"/>
      <c r="G1174" s="119"/>
      <c r="H1174" s="119"/>
      <c r="I1174" s="119"/>
      <c r="J1174" s="119"/>
      <c r="K1174" s="119"/>
      <c r="L1174" s="119"/>
      <c r="M1174" s="119"/>
      <c r="N1174" s="119"/>
      <c r="O1174" s="119"/>
      <c r="P1174" s="119"/>
      <c r="Q1174" s="119"/>
      <c r="R1174" s="119"/>
      <c r="S1174" s="119"/>
      <c r="T1174" s="119"/>
      <c r="U1174" s="119"/>
      <c r="V1174" s="119"/>
      <c r="W1174" s="119"/>
      <c r="X1174" s="119"/>
      <c r="Y1174" s="119"/>
      <c r="Z1174" s="119"/>
      <c r="AA1174" s="119"/>
      <c r="AB1174" s="119"/>
      <c r="AC1174" s="119"/>
      <c r="AD1174" s="119"/>
      <c r="AE1174" s="119"/>
      <c r="AF1174" s="119"/>
      <c r="AG1174" s="119"/>
      <c r="AH1174" s="119"/>
      <c r="AI1174" s="119"/>
      <c r="AJ1174" s="119"/>
      <c r="AK1174" s="119"/>
      <c r="AL1174" s="119"/>
      <c r="AM1174" s="119"/>
      <c r="AN1174" s="119"/>
      <c r="AO1174" s="119"/>
      <c r="AP1174" s="119"/>
      <c r="AQ1174" s="119"/>
      <c r="AR1174" s="119"/>
      <c r="AS1174" s="119"/>
      <c r="AT1174" s="119"/>
      <c r="AU1174" s="119"/>
      <c r="AV1174" s="119"/>
      <c r="AW1174" s="119"/>
      <c r="AX1174" s="119"/>
      <c r="AY1174" s="119"/>
      <c r="AZ1174" s="119"/>
      <c r="BA1174" s="119"/>
      <c r="BB1174" s="119"/>
      <c r="BC1174" s="119"/>
      <c r="BD1174" s="119"/>
      <c r="BE1174" s="119"/>
      <c r="BF1174" s="119"/>
      <c r="BG1174" s="119"/>
      <c r="BH1174" s="119"/>
      <c r="BI1174" s="119"/>
      <c r="BJ1174" s="119"/>
      <c r="BK1174" s="119"/>
      <c r="BL1174" s="119"/>
      <c r="BM1174" s="119"/>
      <c r="BN1174" s="119"/>
      <c r="BO1174" s="119"/>
      <c r="BP1174" s="119"/>
      <c r="BQ1174" s="119"/>
      <c r="BR1174" s="119"/>
      <c r="BS1174" s="119"/>
      <c r="BT1174" s="119"/>
      <c r="BU1174" s="119"/>
      <c r="BV1174" s="119"/>
      <c r="BW1174" s="119"/>
      <c r="BX1174" s="119"/>
      <c r="BY1174" s="119"/>
      <c r="BZ1174" s="119"/>
      <c r="CA1174" s="119"/>
      <c r="CB1174" s="119"/>
      <c r="CC1174" s="119"/>
      <c r="CD1174" s="119"/>
      <c r="CE1174" s="119"/>
      <c r="CF1174" s="119"/>
      <c r="CG1174" s="119"/>
      <c r="CH1174" s="119"/>
      <c r="CI1174" s="119"/>
      <c r="CJ1174" s="119"/>
      <c r="CK1174" s="119"/>
      <c r="CL1174" s="119"/>
      <c r="CM1174" s="119"/>
      <c r="CN1174" s="119"/>
      <c r="CO1174" s="119"/>
      <c r="CP1174" s="119"/>
      <c r="CQ1174" s="119"/>
      <c r="CR1174" s="119"/>
      <c r="CS1174" s="119"/>
      <c r="CT1174" s="119"/>
      <c r="CU1174" s="119"/>
      <c r="CV1174" s="119"/>
      <c r="CW1174" s="119"/>
      <c r="CX1174" s="119"/>
    </row>
    <row r="1175" spans="1:102">
      <c r="A1175" s="119"/>
      <c r="B1175" s="119"/>
      <c r="C1175" s="119"/>
      <c r="D1175" s="117"/>
      <c r="E1175" s="119"/>
      <c r="F1175" s="119"/>
      <c r="G1175" s="119"/>
      <c r="H1175" s="119"/>
      <c r="I1175" s="119"/>
      <c r="J1175" s="119"/>
      <c r="K1175" s="119"/>
      <c r="L1175" s="119"/>
      <c r="M1175" s="119"/>
      <c r="N1175" s="119"/>
      <c r="O1175" s="119"/>
      <c r="P1175" s="119"/>
      <c r="Q1175" s="119"/>
      <c r="R1175" s="119"/>
      <c r="S1175" s="119"/>
      <c r="T1175" s="119"/>
      <c r="U1175" s="119"/>
      <c r="V1175" s="119"/>
      <c r="W1175" s="119"/>
      <c r="X1175" s="119"/>
      <c r="Y1175" s="119"/>
      <c r="Z1175" s="119"/>
      <c r="AA1175" s="119"/>
      <c r="AB1175" s="119"/>
      <c r="AC1175" s="119"/>
      <c r="AD1175" s="119"/>
      <c r="AE1175" s="119"/>
      <c r="AF1175" s="119"/>
      <c r="AG1175" s="119"/>
      <c r="AH1175" s="119"/>
      <c r="AI1175" s="119"/>
      <c r="AJ1175" s="119"/>
      <c r="AK1175" s="119"/>
      <c r="AL1175" s="119"/>
      <c r="AM1175" s="119"/>
      <c r="AN1175" s="119"/>
      <c r="AO1175" s="119"/>
      <c r="AP1175" s="119"/>
      <c r="AQ1175" s="119"/>
      <c r="AR1175" s="119"/>
      <c r="AS1175" s="119"/>
      <c r="AT1175" s="119"/>
      <c r="AU1175" s="119"/>
      <c r="AV1175" s="119"/>
      <c r="AW1175" s="119"/>
      <c r="AX1175" s="119"/>
      <c r="AY1175" s="119"/>
      <c r="AZ1175" s="119"/>
      <c r="BA1175" s="119"/>
      <c r="BB1175" s="119"/>
      <c r="BC1175" s="119"/>
      <c r="BD1175" s="119"/>
      <c r="BE1175" s="119"/>
      <c r="BF1175" s="119"/>
      <c r="BG1175" s="119"/>
      <c r="BH1175" s="119"/>
      <c r="BI1175" s="119"/>
      <c r="BJ1175" s="119"/>
      <c r="BK1175" s="119"/>
      <c r="BL1175" s="119"/>
      <c r="BM1175" s="119"/>
      <c r="BN1175" s="119"/>
      <c r="BO1175" s="119"/>
      <c r="BP1175" s="119"/>
      <c r="BQ1175" s="119"/>
      <c r="BR1175" s="119"/>
      <c r="BS1175" s="119"/>
      <c r="BT1175" s="119"/>
      <c r="BU1175" s="119"/>
      <c r="BV1175" s="119"/>
      <c r="BW1175" s="119"/>
      <c r="BX1175" s="119"/>
      <c r="BY1175" s="119"/>
      <c r="BZ1175" s="119"/>
      <c r="CA1175" s="119"/>
      <c r="CB1175" s="119"/>
      <c r="CC1175" s="119"/>
      <c r="CD1175" s="119"/>
      <c r="CE1175" s="119"/>
      <c r="CF1175" s="119"/>
      <c r="CG1175" s="119"/>
      <c r="CH1175" s="119"/>
      <c r="CI1175" s="119"/>
      <c r="CJ1175" s="119"/>
      <c r="CK1175" s="119"/>
      <c r="CL1175" s="119"/>
      <c r="CM1175" s="119"/>
      <c r="CN1175" s="119"/>
      <c r="CO1175" s="119"/>
      <c r="CP1175" s="119"/>
      <c r="CQ1175" s="119"/>
      <c r="CR1175" s="119"/>
      <c r="CS1175" s="119"/>
      <c r="CT1175" s="119"/>
      <c r="CU1175" s="119"/>
      <c r="CV1175" s="119"/>
      <c r="CW1175" s="119"/>
      <c r="CX1175" s="119"/>
    </row>
    <row r="1176" spans="1:102">
      <c r="A1176" s="119"/>
      <c r="B1176" s="119"/>
      <c r="C1176" s="119"/>
      <c r="D1176" s="117"/>
      <c r="E1176" s="119"/>
      <c r="F1176" s="119"/>
      <c r="G1176" s="119"/>
      <c r="H1176" s="119"/>
      <c r="I1176" s="119"/>
      <c r="J1176" s="119"/>
      <c r="K1176" s="119"/>
      <c r="L1176" s="119"/>
      <c r="M1176" s="119"/>
      <c r="N1176" s="119"/>
      <c r="O1176" s="119"/>
      <c r="P1176" s="119"/>
      <c r="Q1176" s="119"/>
      <c r="R1176" s="119"/>
      <c r="S1176" s="119"/>
      <c r="T1176" s="119"/>
      <c r="U1176" s="119"/>
      <c r="V1176" s="119"/>
      <c r="W1176" s="119"/>
      <c r="X1176" s="119"/>
      <c r="Y1176" s="119"/>
      <c r="Z1176" s="119"/>
      <c r="AA1176" s="119"/>
      <c r="AB1176" s="119"/>
      <c r="AC1176" s="119"/>
      <c r="AD1176" s="119"/>
      <c r="AE1176" s="119"/>
      <c r="AF1176" s="119"/>
      <c r="AG1176" s="119"/>
      <c r="AH1176" s="119"/>
      <c r="AI1176" s="119"/>
      <c r="AJ1176" s="119"/>
      <c r="AK1176" s="119"/>
      <c r="AL1176" s="119"/>
      <c r="AM1176" s="119"/>
      <c r="AN1176" s="119"/>
      <c r="AO1176" s="119"/>
      <c r="AP1176" s="119"/>
      <c r="AQ1176" s="119"/>
      <c r="AR1176" s="119"/>
      <c r="AS1176" s="119"/>
      <c r="AT1176" s="119"/>
      <c r="AU1176" s="119"/>
      <c r="AV1176" s="119"/>
      <c r="AW1176" s="119"/>
      <c r="AX1176" s="119"/>
      <c r="AY1176" s="119"/>
      <c r="AZ1176" s="119"/>
      <c r="BA1176" s="119"/>
      <c r="BB1176" s="119"/>
      <c r="BC1176" s="119"/>
      <c r="BD1176" s="119"/>
      <c r="BE1176" s="119"/>
      <c r="BF1176" s="119"/>
      <c r="BG1176" s="119"/>
      <c r="BH1176" s="119"/>
      <c r="BI1176" s="119"/>
      <c r="BJ1176" s="119"/>
      <c r="BK1176" s="119"/>
      <c r="BL1176" s="119"/>
      <c r="BM1176" s="119"/>
      <c r="BN1176" s="119"/>
      <c r="BO1176" s="119"/>
      <c r="BP1176" s="119"/>
      <c r="BQ1176" s="119"/>
      <c r="BR1176" s="119"/>
      <c r="BS1176" s="119"/>
      <c r="BT1176" s="119"/>
      <c r="BU1176" s="119"/>
      <c r="BV1176" s="119"/>
      <c r="BW1176" s="119"/>
      <c r="BX1176" s="119"/>
      <c r="BY1176" s="119"/>
      <c r="BZ1176" s="119"/>
      <c r="CA1176" s="119"/>
      <c r="CB1176" s="119"/>
      <c r="CC1176" s="119"/>
      <c r="CD1176" s="119"/>
      <c r="CE1176" s="119"/>
      <c r="CF1176" s="119"/>
      <c r="CG1176" s="119"/>
      <c r="CH1176" s="119"/>
      <c r="CI1176" s="119"/>
      <c r="CJ1176" s="119"/>
      <c r="CK1176" s="119"/>
      <c r="CL1176" s="119"/>
      <c r="CM1176" s="119"/>
      <c r="CN1176" s="119"/>
      <c r="CO1176" s="119"/>
      <c r="CP1176" s="119"/>
      <c r="CQ1176" s="119"/>
      <c r="CR1176" s="119"/>
      <c r="CS1176" s="119"/>
      <c r="CT1176" s="119"/>
      <c r="CU1176" s="119"/>
      <c r="CV1176" s="119"/>
      <c r="CW1176" s="119"/>
      <c r="CX1176" s="119"/>
    </row>
    <row r="1200" spans="1:138" hidden="1">
      <c r="A1200" s="51"/>
      <c r="B1200" s="51"/>
      <c r="C1200" s="51"/>
      <c r="D1200" s="51"/>
      <c r="E1200" s="51"/>
      <c r="F1200" s="51"/>
      <c r="G1200" s="51"/>
      <c r="H1200" s="51"/>
      <c r="I1200" s="51"/>
      <c r="J1200" s="51"/>
      <c r="K1200" s="51"/>
      <c r="L1200" s="51"/>
      <c r="M1200" s="51"/>
      <c r="N1200" s="51"/>
      <c r="O1200" s="51"/>
      <c r="P1200" s="51"/>
      <c r="Q1200" s="51"/>
      <c r="R1200" s="51"/>
      <c r="S1200" s="51"/>
      <c r="T1200" s="51"/>
      <c r="U1200" s="51"/>
      <c r="V1200" s="51"/>
      <c r="W1200" s="51"/>
      <c r="X1200" s="51"/>
      <c r="Y1200" s="51"/>
      <c r="Z1200" s="51"/>
      <c r="AA1200" s="51"/>
      <c r="AB1200" s="51"/>
      <c r="AC1200" s="51"/>
      <c r="AD1200" s="51"/>
      <c r="AE1200" s="51"/>
      <c r="AF1200" s="51"/>
      <c r="AG1200" s="51"/>
      <c r="AH1200" s="51"/>
      <c r="AI1200" s="51"/>
      <c r="AJ1200" s="51"/>
      <c r="AK1200" s="51"/>
      <c r="AL1200" s="51"/>
      <c r="AM1200" s="51"/>
      <c r="AN1200" s="51"/>
      <c r="AO1200" s="51"/>
      <c r="AP1200" s="51"/>
      <c r="AQ1200" s="51"/>
      <c r="AR1200" s="51"/>
      <c r="AS1200" s="51"/>
      <c r="AT1200" s="51"/>
      <c r="AU1200" s="51"/>
      <c r="AV1200" s="51"/>
      <c r="AW1200" s="51"/>
      <c r="AX1200" s="51"/>
      <c r="AY1200" s="51"/>
      <c r="AZ1200" s="51"/>
      <c r="BA1200" s="51"/>
      <c r="BB1200" s="51"/>
      <c r="BC1200" s="51"/>
      <c r="BD1200" s="51"/>
      <c r="BE1200" s="51"/>
      <c r="BF1200" s="51"/>
      <c r="BG1200" s="51"/>
      <c r="BH1200" s="51"/>
      <c r="BI1200" s="51"/>
      <c r="BJ1200" s="51"/>
      <c r="BK1200" s="51"/>
      <c r="BL1200" s="51"/>
      <c r="BM1200" s="51"/>
      <c r="BN1200" s="51"/>
      <c r="BO1200" s="51"/>
      <c r="BP1200" s="180"/>
      <c r="BQ1200" s="180"/>
      <c r="BR1200" s="180"/>
      <c r="BS1200" s="180"/>
      <c r="BT1200" s="180"/>
      <c r="BU1200" s="180"/>
      <c r="BV1200" s="180"/>
      <c r="BW1200" s="180"/>
      <c r="BX1200" s="180"/>
      <c r="BY1200" s="180"/>
      <c r="BZ1200" s="180"/>
      <c r="CA1200" s="180"/>
      <c r="CB1200" s="180"/>
      <c r="CC1200" s="180"/>
      <c r="CD1200" s="180"/>
      <c r="CE1200" s="180"/>
      <c r="CF1200" s="180"/>
      <c r="CG1200" s="180"/>
      <c r="CH1200" s="180"/>
      <c r="CI1200" s="180"/>
      <c r="CJ1200" s="180"/>
      <c r="CK1200" s="180"/>
      <c r="CL1200" s="180"/>
      <c r="CM1200" s="180"/>
      <c r="CN1200" s="180"/>
      <c r="CO1200" s="180"/>
      <c r="CP1200" s="180"/>
      <c r="CQ1200" s="180"/>
      <c r="CR1200" s="180"/>
      <c r="CS1200" s="180"/>
      <c r="CT1200" s="180"/>
      <c r="CU1200" s="180"/>
      <c r="CV1200" s="180"/>
      <c r="CW1200" s="180"/>
      <c r="CX1200" s="180"/>
      <c r="CY1200" s="180"/>
      <c r="CZ1200" s="180"/>
      <c r="DA1200" s="180"/>
      <c r="DB1200" s="180"/>
      <c r="DC1200" s="180"/>
      <c r="DD1200" s="180"/>
      <c r="DE1200" s="180"/>
      <c r="DF1200" s="180"/>
      <c r="DG1200" s="180"/>
      <c r="DH1200" s="180"/>
      <c r="DI1200" s="180"/>
      <c r="DJ1200" s="180"/>
      <c r="DK1200" s="180"/>
      <c r="DL1200" s="180"/>
      <c r="DM1200" s="180"/>
      <c r="DN1200" s="180"/>
      <c r="DO1200" s="180"/>
      <c r="DP1200" s="180"/>
      <c r="DQ1200" s="180"/>
      <c r="DR1200" s="180"/>
      <c r="DS1200" s="180"/>
      <c r="DT1200" s="180"/>
      <c r="DU1200" s="180"/>
      <c r="DV1200" s="51"/>
      <c r="DW1200" s="51"/>
      <c r="DX1200" s="51"/>
      <c r="DY1200" s="51"/>
      <c r="DZ1200" s="51"/>
      <c r="EA1200" s="51"/>
      <c r="EB1200" s="51"/>
      <c r="EC1200" s="51"/>
      <c r="ED1200" s="51"/>
      <c r="EE1200" s="51"/>
      <c r="EF1200" s="51"/>
      <c r="EG1200" s="51"/>
      <c r="EH1200" s="180"/>
    </row>
    <row r="1201" spans="1:138" hidden="1">
      <c r="A1201" s="180"/>
      <c r="B1201" s="180"/>
      <c r="C1201" s="180"/>
      <c r="E1201" s="180"/>
      <c r="F1201" s="180"/>
      <c r="G1201" s="180"/>
      <c r="H1201" s="180"/>
      <c r="I1201" s="180"/>
      <c r="J1201" s="180"/>
      <c r="K1201" s="180"/>
      <c r="L1201" s="180"/>
      <c r="M1201" s="180"/>
      <c r="N1201" s="180"/>
      <c r="O1201" s="180"/>
      <c r="P1201" s="180"/>
      <c r="Q1201" s="180"/>
      <c r="R1201" s="180"/>
      <c r="S1201" s="180"/>
      <c r="T1201" s="180"/>
      <c r="U1201" s="180"/>
      <c r="V1201" s="180"/>
      <c r="W1201" s="180"/>
      <c r="X1201" s="180"/>
      <c r="Y1201" s="180"/>
      <c r="Z1201" s="180"/>
      <c r="AA1201" s="180"/>
      <c r="AB1201" s="180"/>
      <c r="AC1201" s="180"/>
      <c r="AD1201" s="180"/>
      <c r="AE1201" s="180"/>
      <c r="AF1201" s="180"/>
      <c r="AG1201" s="180"/>
      <c r="AH1201" s="180"/>
      <c r="AI1201" s="180"/>
      <c r="AJ1201" s="180"/>
      <c r="AK1201" s="180"/>
      <c r="AL1201" s="180"/>
      <c r="AM1201" s="180"/>
      <c r="AN1201" s="180"/>
      <c r="AO1201" s="180"/>
      <c r="AP1201" s="180"/>
      <c r="AQ1201" s="180"/>
      <c r="AR1201" s="180"/>
      <c r="AS1201" s="180"/>
      <c r="AT1201" s="180"/>
      <c r="AU1201" s="180"/>
      <c r="AV1201" s="180"/>
      <c r="AW1201" s="180"/>
      <c r="AX1201" s="180"/>
      <c r="AY1201" s="180"/>
      <c r="AZ1201" s="180"/>
      <c r="BA1201" s="180"/>
      <c r="BB1201" s="180"/>
      <c r="BC1201" s="180"/>
      <c r="BD1201" s="180"/>
      <c r="BE1201" s="180"/>
      <c r="BF1201" s="180"/>
      <c r="BG1201" s="180"/>
      <c r="BH1201" s="180"/>
      <c r="BI1201" s="180"/>
      <c r="BJ1201" s="180"/>
      <c r="BK1201" s="180"/>
      <c r="BL1201" s="180"/>
      <c r="BM1201" s="180"/>
      <c r="BN1201" s="180"/>
      <c r="BO1201" s="180"/>
      <c r="BP1201" s="180"/>
      <c r="BQ1201" s="180"/>
      <c r="BR1201" s="180"/>
      <c r="BS1201" s="180"/>
      <c r="BT1201" s="180"/>
      <c r="BU1201" s="180"/>
      <c r="BV1201" s="180"/>
      <c r="BW1201" s="180"/>
      <c r="BX1201" s="180"/>
      <c r="BY1201" s="180"/>
      <c r="BZ1201" s="180"/>
      <c r="CA1201" s="180"/>
      <c r="CB1201" s="180"/>
      <c r="CC1201" s="180"/>
      <c r="CD1201" s="180"/>
      <c r="CE1201" s="180"/>
      <c r="CF1201" s="180"/>
      <c r="CG1201" s="180"/>
      <c r="CH1201" s="180"/>
      <c r="CI1201" s="180"/>
      <c r="CJ1201" s="180"/>
      <c r="CK1201" s="180"/>
      <c r="CL1201" s="180"/>
      <c r="CM1201" s="180"/>
      <c r="CN1201" s="180"/>
      <c r="CO1201" s="180"/>
      <c r="CP1201" s="180"/>
      <c r="CQ1201" s="180"/>
      <c r="CR1201" s="180"/>
      <c r="CS1201" s="180"/>
      <c r="CT1201" s="180"/>
      <c r="CU1201" s="180"/>
      <c r="CV1201" s="180"/>
      <c r="CW1201" s="180"/>
      <c r="CX1201" s="180"/>
      <c r="CY1201" s="180"/>
      <c r="CZ1201" s="180"/>
      <c r="DA1201" s="180"/>
      <c r="DB1201" s="180"/>
      <c r="DC1201" s="180"/>
      <c r="DD1201" s="180"/>
      <c r="DE1201" s="180"/>
      <c r="DF1201" s="180"/>
      <c r="DG1201" s="180"/>
      <c r="DH1201" s="180"/>
      <c r="DI1201" s="180"/>
      <c r="DJ1201" s="180"/>
      <c r="DK1201" s="180"/>
      <c r="DL1201" s="180"/>
      <c r="DM1201" s="180"/>
      <c r="DN1201" s="180"/>
      <c r="DO1201" s="180"/>
      <c r="DP1201" s="180"/>
      <c r="DQ1201" s="180"/>
      <c r="DR1201" s="180"/>
      <c r="DS1201" s="180"/>
      <c r="DT1201" s="180"/>
      <c r="DU1201" s="180"/>
      <c r="DV1201" s="180"/>
      <c r="DW1201" s="180"/>
      <c r="DX1201" s="180"/>
      <c r="DY1201" s="180"/>
      <c r="DZ1201" s="180"/>
      <c r="EA1201" s="180"/>
      <c r="EB1201" s="180"/>
      <c r="EC1201" s="180"/>
      <c r="ED1201" s="180"/>
      <c r="EE1201" s="180"/>
      <c r="EF1201" s="180"/>
      <c r="EG1201" s="180"/>
      <c r="EH1201" s="180"/>
    </row>
    <row r="1202" spans="1:138" ht="15.75" hidden="1" customHeight="1">
      <c r="A1202" s="180"/>
      <c r="B1202" s="180"/>
      <c r="C1202" s="180"/>
      <c r="E1202" s="180"/>
      <c r="F1202" s="180"/>
      <c r="G1202" s="180"/>
      <c r="H1202" s="180"/>
      <c r="I1202" s="180"/>
      <c r="J1202" s="180"/>
      <c r="K1202" s="180"/>
      <c r="L1202" s="180"/>
      <c r="M1202" s="180"/>
      <c r="N1202" s="180"/>
      <c r="O1202" s="180"/>
      <c r="P1202" s="180"/>
      <c r="Q1202" s="180"/>
      <c r="R1202" s="180"/>
      <c r="S1202" s="180"/>
      <c r="T1202" s="180"/>
      <c r="U1202" s="180"/>
      <c r="V1202" s="180"/>
      <c r="W1202" s="180"/>
      <c r="X1202" s="180"/>
      <c r="Y1202" s="180"/>
      <c r="Z1202" s="180"/>
      <c r="AA1202" s="180"/>
      <c r="AB1202" s="180"/>
      <c r="AC1202" s="180"/>
      <c r="AD1202" s="180"/>
      <c r="AE1202" s="180"/>
      <c r="AF1202" s="180"/>
      <c r="AG1202" s="180"/>
      <c r="AH1202" s="180"/>
      <c r="AI1202" s="180"/>
      <c r="AJ1202" s="180"/>
      <c r="AK1202" s="180"/>
      <c r="AL1202" s="180"/>
      <c r="AM1202" s="180"/>
      <c r="AN1202" s="180"/>
      <c r="AO1202" s="180"/>
      <c r="AP1202" s="180"/>
      <c r="AQ1202" s="180"/>
      <c r="AR1202" s="180"/>
      <c r="AS1202" s="180"/>
      <c r="AT1202" s="180"/>
      <c r="AU1202" s="180"/>
      <c r="AV1202" s="180"/>
      <c r="AW1202" s="180"/>
      <c r="AX1202" s="180"/>
      <c r="AY1202" s="50"/>
      <c r="AZ1202" s="50"/>
      <c r="BA1202" s="50"/>
      <c r="BB1202" s="50"/>
      <c r="BC1202" s="50"/>
      <c r="BD1202" s="180"/>
      <c r="BE1202" s="50"/>
      <c r="BF1202" s="50"/>
      <c r="BG1202" s="50"/>
      <c r="BH1202" s="50"/>
      <c r="BI1202" s="50"/>
      <c r="BJ1202" s="50"/>
      <c r="BK1202" s="50"/>
      <c r="BL1202" s="225" t="str">
        <f>CONCATENATE("TOTAL FORMS  ",TEXT(Main!F17,"DD-MMM-YYYY"), " TO ",TEXT(Main!G17,"DD-MMM-YYYY"))</f>
        <v>TOTAL FORMS  01-Jan-2017 TO 13-Oct-2017</v>
      </c>
      <c r="BM1202" s="225"/>
      <c r="BN1202" s="225"/>
      <c r="BO1202" s="225"/>
      <c r="BP1202" s="225"/>
      <c r="BQ1202" s="225"/>
      <c r="BR1202" s="225"/>
      <c r="BS1202" s="225"/>
      <c r="BT1202" s="225"/>
      <c r="BU1202" s="225"/>
      <c r="BV1202" s="225"/>
      <c r="BW1202" s="225"/>
      <c r="BX1202" s="225"/>
      <c r="BY1202" s="225"/>
      <c r="BZ1202" s="225"/>
      <c r="CA1202" s="225"/>
      <c r="CB1202" s="225"/>
      <c r="CC1202" s="225"/>
      <c r="CD1202" s="225"/>
      <c r="CE1202" s="225"/>
      <c r="CF1202" s="225"/>
      <c r="CG1202" s="225"/>
      <c r="CH1202" s="225"/>
      <c r="CI1202" s="225"/>
      <c r="CJ1202" s="225"/>
      <c r="CK1202" s="225"/>
      <c r="CL1202" s="225"/>
      <c r="CM1202" s="225"/>
      <c r="CN1202" s="225"/>
      <c r="CO1202" s="225"/>
      <c r="CP1202" s="225"/>
      <c r="CQ1202" s="225"/>
      <c r="CR1202" s="225"/>
      <c r="CS1202" s="225"/>
      <c r="CT1202" s="225"/>
      <c r="CU1202" s="225"/>
      <c r="CV1202" s="225"/>
      <c r="CW1202" s="225"/>
      <c r="CX1202" s="225"/>
      <c r="CY1202" s="225"/>
      <c r="CZ1202" s="225"/>
      <c r="DA1202" s="225"/>
      <c r="DB1202" s="225"/>
      <c r="DC1202" s="225"/>
      <c r="DD1202" s="225"/>
      <c r="DE1202" s="225"/>
      <c r="DF1202" s="225"/>
      <c r="DG1202" s="225"/>
      <c r="DH1202" s="225"/>
      <c r="DI1202" s="225"/>
      <c r="DJ1202" s="225"/>
      <c r="DK1202" s="225"/>
      <c r="DL1202" s="225"/>
      <c r="DM1202" s="225"/>
      <c r="DN1202" s="225"/>
      <c r="DO1202" s="225"/>
      <c r="DP1202" s="225"/>
      <c r="DQ1202" s="225"/>
      <c r="DR1202" s="225"/>
      <c r="DS1202" s="225"/>
      <c r="DT1202" s="225"/>
      <c r="DU1202" s="225"/>
      <c r="DV1202" s="225"/>
      <c r="DW1202" s="225"/>
      <c r="DX1202" s="225"/>
      <c r="DY1202" s="225"/>
      <c r="DZ1202" s="225"/>
      <c r="EA1202" s="180"/>
      <c r="EB1202" s="180"/>
      <c r="EC1202" s="180"/>
      <c r="ED1202" s="180"/>
      <c r="EE1202" s="180"/>
      <c r="EF1202" s="180"/>
      <c r="EG1202" s="180"/>
      <c r="EH1202" s="180"/>
    </row>
    <row r="1203" spans="1:138" ht="15.75" hidden="1" customHeight="1">
      <c r="A1203" s="180"/>
      <c r="B1203" s="180"/>
      <c r="C1203" s="180"/>
      <c r="E1203" s="180"/>
      <c r="F1203" s="180"/>
      <c r="G1203" s="180"/>
      <c r="H1203" s="180"/>
      <c r="I1203" s="180"/>
      <c r="J1203" s="180"/>
      <c r="K1203" s="180"/>
      <c r="L1203" s="180"/>
      <c r="M1203" s="180"/>
      <c r="N1203" s="180"/>
      <c r="O1203" s="180"/>
      <c r="P1203" s="180"/>
      <c r="Q1203" s="180"/>
      <c r="R1203" s="180"/>
      <c r="S1203" s="180"/>
      <c r="T1203" s="180"/>
      <c r="U1203" s="180"/>
      <c r="V1203" s="180"/>
      <c r="W1203" s="180"/>
      <c r="X1203" s="180"/>
      <c r="Y1203" s="180"/>
      <c r="Z1203" s="180"/>
      <c r="AA1203" s="180"/>
      <c r="AB1203" s="180"/>
      <c r="AC1203" s="180"/>
      <c r="AD1203" s="180"/>
      <c r="AE1203" s="180"/>
      <c r="AF1203" s="180"/>
      <c r="AG1203" s="180"/>
      <c r="AH1203" s="180"/>
      <c r="AI1203" s="180"/>
      <c r="AJ1203" s="180"/>
      <c r="AK1203" s="180"/>
      <c r="AL1203" s="180"/>
      <c r="AM1203" s="180"/>
      <c r="AN1203" s="180"/>
      <c r="AO1203" s="180"/>
      <c r="AP1203" s="180"/>
      <c r="AQ1203" s="180"/>
      <c r="AR1203" s="180"/>
      <c r="AS1203" s="180"/>
      <c r="AT1203" s="180"/>
      <c r="AU1203" s="180"/>
      <c r="AV1203" s="180"/>
      <c r="AW1203" s="180"/>
      <c r="AX1203" s="180"/>
      <c r="AY1203" s="50"/>
      <c r="AZ1203" s="50"/>
      <c r="BA1203" s="50"/>
      <c r="BB1203" s="50"/>
      <c r="BC1203" s="50"/>
      <c r="BD1203" s="180"/>
      <c r="BE1203" s="50"/>
      <c r="BF1203" s="50"/>
      <c r="BG1203" s="50"/>
      <c r="BH1203" s="50"/>
      <c r="BI1203" s="50"/>
      <c r="BJ1203" s="50"/>
      <c r="BK1203" s="50"/>
      <c r="BL1203" s="225"/>
      <c r="BM1203" s="225"/>
      <c r="BN1203" s="225"/>
      <c r="BO1203" s="225"/>
      <c r="BP1203" s="225"/>
      <c r="BQ1203" s="225"/>
      <c r="BR1203" s="225"/>
      <c r="BS1203" s="225"/>
      <c r="BT1203" s="225"/>
      <c r="BU1203" s="225"/>
      <c r="BV1203" s="225"/>
      <c r="BW1203" s="225"/>
      <c r="BX1203" s="225"/>
      <c r="BY1203" s="225"/>
      <c r="BZ1203" s="225"/>
      <c r="CA1203" s="225"/>
      <c r="CB1203" s="225"/>
      <c r="CC1203" s="225"/>
      <c r="CD1203" s="225"/>
      <c r="CE1203" s="225"/>
      <c r="CF1203" s="225"/>
      <c r="CG1203" s="225"/>
      <c r="CH1203" s="225"/>
      <c r="CI1203" s="225"/>
      <c r="CJ1203" s="225"/>
      <c r="CK1203" s="225"/>
      <c r="CL1203" s="225"/>
      <c r="CM1203" s="225"/>
      <c r="CN1203" s="225"/>
      <c r="CO1203" s="225"/>
      <c r="CP1203" s="225"/>
      <c r="CQ1203" s="225"/>
      <c r="CR1203" s="225"/>
      <c r="CS1203" s="225"/>
      <c r="CT1203" s="225"/>
      <c r="CU1203" s="225"/>
      <c r="CV1203" s="225"/>
      <c r="CW1203" s="225"/>
      <c r="CX1203" s="225"/>
      <c r="CY1203" s="225"/>
      <c r="CZ1203" s="225"/>
      <c r="DA1203" s="225"/>
      <c r="DB1203" s="225"/>
      <c r="DC1203" s="225"/>
      <c r="DD1203" s="225"/>
      <c r="DE1203" s="225"/>
      <c r="DF1203" s="225"/>
      <c r="DG1203" s="225"/>
      <c r="DH1203" s="225"/>
      <c r="DI1203" s="225"/>
      <c r="DJ1203" s="225"/>
      <c r="DK1203" s="225"/>
      <c r="DL1203" s="225"/>
      <c r="DM1203" s="225"/>
      <c r="DN1203" s="225"/>
      <c r="DO1203" s="225"/>
      <c r="DP1203" s="225"/>
      <c r="DQ1203" s="225"/>
      <c r="DR1203" s="225"/>
      <c r="DS1203" s="225"/>
      <c r="DT1203" s="225"/>
      <c r="DU1203" s="225"/>
      <c r="DV1203" s="225"/>
      <c r="DW1203" s="225"/>
      <c r="DX1203" s="225"/>
      <c r="DY1203" s="225"/>
      <c r="DZ1203" s="225"/>
      <c r="EA1203" s="180"/>
      <c r="EB1203" s="180"/>
      <c r="EC1203" s="180"/>
      <c r="ED1203" s="180"/>
      <c r="EE1203" s="180"/>
      <c r="EF1203" s="180"/>
      <c r="EG1203" s="180"/>
      <c r="EH1203" s="180"/>
    </row>
    <row r="1204" spans="1:138" ht="15.75" hidden="1">
      <c r="A1204" s="180"/>
      <c r="B1204" s="180"/>
      <c r="C1204" s="180"/>
      <c r="E1204" s="180"/>
      <c r="F1204" s="180"/>
      <c r="G1204" s="180"/>
      <c r="H1204" s="180"/>
      <c r="I1204" s="180"/>
      <c r="J1204" s="180"/>
      <c r="K1204" s="180"/>
      <c r="L1204" s="180"/>
      <c r="M1204" s="180"/>
      <c r="N1204" s="180"/>
      <c r="O1204" s="180"/>
      <c r="P1204" s="180"/>
      <c r="Q1204" s="180"/>
      <c r="R1204" s="180"/>
      <c r="S1204" s="180"/>
      <c r="T1204" s="180"/>
      <c r="U1204" s="180"/>
      <c r="V1204" s="180"/>
      <c r="W1204" s="180"/>
      <c r="X1204" s="180"/>
      <c r="Y1204" s="180"/>
      <c r="Z1204" s="180"/>
      <c r="AA1204" s="180"/>
      <c r="AB1204" s="180"/>
      <c r="AC1204" s="180"/>
      <c r="AD1204" s="180"/>
      <c r="AE1204" s="180"/>
      <c r="AF1204" s="180"/>
      <c r="AG1204" s="180"/>
      <c r="AH1204" s="180"/>
      <c r="AI1204" s="180"/>
      <c r="AJ1204" s="180"/>
      <c r="AK1204" s="180"/>
      <c r="AL1204" s="180"/>
      <c r="AM1204" s="180"/>
      <c r="AN1204" s="180"/>
      <c r="AO1204" s="180"/>
      <c r="AP1204" s="180"/>
      <c r="AQ1204" s="180"/>
      <c r="AR1204" s="180"/>
      <c r="AS1204" s="180"/>
      <c r="AT1204" s="180"/>
      <c r="AU1204" s="180"/>
      <c r="AV1204" s="180"/>
      <c r="AW1204" s="180"/>
      <c r="AX1204" s="180"/>
      <c r="AY1204" s="180"/>
      <c r="AZ1204" s="180"/>
      <c r="BA1204" s="180"/>
      <c r="BB1204" s="180"/>
      <c r="BC1204" s="180"/>
      <c r="BD1204" s="180"/>
      <c r="BE1204" s="180"/>
      <c r="BF1204" s="180"/>
      <c r="BG1204" s="180"/>
      <c r="BH1204" s="180"/>
      <c r="BI1204" s="180"/>
      <c r="BJ1204" s="180"/>
      <c r="BK1204" s="180"/>
      <c r="BL1204" s="180"/>
      <c r="BM1204" s="180"/>
      <c r="BN1204" s="180"/>
      <c r="BO1204" s="180"/>
      <c r="BP1204" s="226" t="s">
        <v>599</v>
      </c>
      <c r="BQ1204" s="226"/>
      <c r="BR1204" s="226"/>
      <c r="BS1204" s="226"/>
      <c r="BT1204" s="226"/>
      <c r="BU1204" s="226"/>
      <c r="BV1204" s="226"/>
      <c r="BW1204" s="226"/>
      <c r="BX1204" s="226"/>
      <c r="BY1204" s="226"/>
      <c r="BZ1204" s="226"/>
      <c r="CA1204" s="226"/>
      <c r="CB1204" s="226"/>
      <c r="CC1204" s="226"/>
      <c r="CD1204" s="226"/>
      <c r="CE1204" s="226"/>
      <c r="CF1204" s="226"/>
      <c r="CG1204" s="226"/>
      <c r="CH1204" s="226"/>
      <c r="CI1204" s="226"/>
      <c r="CJ1204" s="226"/>
      <c r="CK1204" s="226"/>
      <c r="CL1204" s="226"/>
      <c r="CM1204" s="226"/>
      <c r="CN1204" s="226"/>
      <c r="CO1204" s="226"/>
      <c r="CP1204" s="226"/>
      <c r="CQ1204" s="226"/>
      <c r="CR1204" s="226"/>
      <c r="CS1204" s="226"/>
      <c r="CT1204" s="226"/>
      <c r="CU1204" s="226"/>
      <c r="CV1204" s="226"/>
      <c r="CW1204" s="226"/>
      <c r="CX1204" s="226"/>
      <c r="CY1204" s="226"/>
      <c r="CZ1204" s="226"/>
      <c r="DA1204" s="226"/>
      <c r="DB1204" s="226"/>
      <c r="DC1204" s="226"/>
      <c r="DD1204" s="226"/>
      <c r="DE1204" s="226"/>
      <c r="DF1204" s="226"/>
      <c r="DG1204" s="226"/>
      <c r="DH1204" s="226"/>
      <c r="DI1204" s="226"/>
      <c r="DJ1204" s="226"/>
      <c r="DK1204" s="226"/>
      <c r="DL1204" s="226"/>
      <c r="DM1204" s="226"/>
      <c r="DN1204" s="226"/>
      <c r="DO1204" s="226"/>
      <c r="DP1204" s="226"/>
      <c r="DQ1204" s="226"/>
      <c r="DR1204" s="226"/>
      <c r="DS1204" s="226"/>
      <c r="DT1204" s="226"/>
      <c r="DU1204" s="180"/>
      <c r="DV1204" s="180"/>
      <c r="DW1204" s="180"/>
      <c r="DX1204" s="180"/>
      <c r="DY1204" s="180"/>
      <c r="DZ1204" s="180"/>
      <c r="EA1204" s="180"/>
      <c r="EB1204" s="180"/>
      <c r="EC1204" s="180"/>
      <c r="ED1204" s="180"/>
      <c r="EE1204" s="180"/>
      <c r="EF1204" s="180"/>
      <c r="EG1204" s="180"/>
      <c r="EH1204" s="180"/>
    </row>
    <row r="1205" spans="1:138" hidden="1">
      <c r="A1205" s="180"/>
      <c r="B1205" s="180"/>
      <c r="C1205" s="180"/>
      <c r="E1205" s="180"/>
      <c r="F1205" s="180"/>
      <c r="G1205" s="180"/>
      <c r="H1205" s="180"/>
      <c r="I1205" s="180"/>
      <c r="J1205" s="180"/>
      <c r="K1205" s="180"/>
      <c r="L1205" s="180"/>
      <c r="M1205" s="180"/>
      <c r="N1205" s="180"/>
      <c r="O1205" s="180"/>
      <c r="P1205" s="180"/>
      <c r="Q1205" s="180"/>
      <c r="R1205" s="180"/>
      <c r="S1205" s="180"/>
      <c r="T1205" s="180"/>
      <c r="U1205" s="180"/>
      <c r="V1205" s="180"/>
      <c r="W1205" s="180"/>
      <c r="X1205" s="180"/>
      <c r="Y1205" s="180"/>
      <c r="Z1205" s="180"/>
      <c r="AA1205" s="180"/>
      <c r="AB1205" s="180"/>
      <c r="AC1205" s="180"/>
      <c r="AD1205" s="180"/>
      <c r="AE1205" s="180"/>
      <c r="AF1205" s="180"/>
      <c r="AG1205" s="180"/>
      <c r="AH1205" s="180"/>
      <c r="AI1205" s="180"/>
      <c r="AJ1205" s="180"/>
      <c r="AK1205" s="180"/>
      <c r="AL1205" s="180"/>
      <c r="AM1205" s="180"/>
      <c r="AN1205" s="180"/>
      <c r="AO1205" s="180"/>
      <c r="AP1205" s="180"/>
      <c r="AQ1205" s="180"/>
      <c r="AR1205" s="180"/>
      <c r="AS1205" s="180"/>
      <c r="AT1205" s="180"/>
      <c r="AU1205" s="180"/>
      <c r="AV1205" s="180"/>
      <c r="AW1205" s="180"/>
      <c r="AX1205" s="180"/>
      <c r="AY1205" s="180"/>
      <c r="AZ1205" s="180"/>
      <c r="BA1205" s="180"/>
      <c r="BB1205" s="180"/>
      <c r="BC1205" s="180"/>
      <c r="BD1205" s="180"/>
      <c r="BE1205" s="180"/>
      <c r="BF1205" s="180"/>
      <c r="BG1205" s="180"/>
      <c r="BH1205" s="180"/>
      <c r="BI1205" s="180"/>
      <c r="BJ1205" s="180"/>
      <c r="BK1205" s="180"/>
      <c r="BL1205" s="180"/>
      <c r="BM1205" s="180"/>
      <c r="BN1205" s="180"/>
      <c r="BO1205" s="180"/>
      <c r="BP1205" s="180"/>
      <c r="BQ1205" s="180"/>
      <c r="BR1205" s="180"/>
      <c r="BS1205" s="180"/>
      <c r="BT1205" s="180"/>
      <c r="BU1205" s="180"/>
      <c r="BV1205" s="180"/>
      <c r="BW1205" s="180"/>
      <c r="BX1205" s="180"/>
      <c r="BY1205" s="180"/>
      <c r="BZ1205" s="180"/>
      <c r="CA1205" s="180"/>
      <c r="CB1205" s="180"/>
      <c r="CC1205" s="180"/>
      <c r="CD1205" s="180"/>
      <c r="CE1205" s="180"/>
      <c r="CF1205" s="180"/>
      <c r="CG1205" s="180"/>
      <c r="CH1205" s="180"/>
      <c r="CI1205" s="180"/>
      <c r="CJ1205" s="180"/>
      <c r="CK1205" s="180"/>
      <c r="CL1205" s="180"/>
      <c r="CM1205" s="180"/>
      <c r="CN1205" s="180"/>
      <c r="CO1205" s="180"/>
      <c r="CP1205" s="180"/>
      <c r="CQ1205" s="180"/>
      <c r="CR1205" s="180"/>
      <c r="CS1205" s="180"/>
      <c r="CT1205" s="180"/>
      <c r="CU1205" s="180"/>
      <c r="CV1205" s="180"/>
      <c r="CW1205" s="180"/>
      <c r="CX1205" s="180"/>
      <c r="CY1205" s="180"/>
      <c r="CZ1205" s="180"/>
      <c r="DA1205" s="180"/>
      <c r="DB1205" s="180"/>
      <c r="DC1205" s="180"/>
      <c r="DD1205" s="180"/>
      <c r="DE1205" s="180"/>
      <c r="DF1205" s="180"/>
      <c r="DG1205" s="180"/>
      <c r="DH1205" s="180"/>
      <c r="DI1205" s="180"/>
      <c r="DJ1205" s="180"/>
      <c r="DK1205" s="180"/>
      <c r="DL1205" s="180"/>
      <c r="DM1205" s="180"/>
      <c r="DN1205" s="180"/>
      <c r="DO1205" s="180"/>
      <c r="DP1205" s="180"/>
      <c r="DQ1205" s="180"/>
      <c r="DR1205" s="180"/>
      <c r="DS1205" s="180"/>
      <c r="DT1205" s="180"/>
      <c r="DU1205" s="180"/>
      <c r="DV1205" s="180"/>
      <c r="DW1205" s="180"/>
      <c r="DX1205" s="180"/>
      <c r="DY1205" s="180"/>
      <c r="DZ1205" s="180"/>
      <c r="EA1205" s="180"/>
      <c r="EB1205" s="180"/>
      <c r="EC1205" s="180"/>
      <c r="ED1205" s="180"/>
      <c r="EE1205" s="180"/>
      <c r="EF1205" s="180"/>
      <c r="EG1205" s="180"/>
      <c r="EH1205" s="180"/>
    </row>
    <row r="1206" spans="1:138" hidden="1">
      <c r="A1206" s="180"/>
      <c r="B1206" s="180"/>
      <c r="C1206" s="209" t="str">
        <f>CONCATENATE("PRESENT ",TEXT(Main!F17,"( DD-MMM-YYYY"), " TO ",TEXT(Main!G17,"DD-MMM-YYYY )"))</f>
        <v>PRESENT ( 01-Jan-2017 TO 13-Oct-2017 )</v>
      </c>
      <c r="D1206" s="209"/>
      <c r="E1206" s="209"/>
      <c r="F1206" s="209"/>
      <c r="G1206" s="209"/>
      <c r="H1206" s="209"/>
      <c r="I1206" s="209"/>
      <c r="J1206" s="209"/>
      <c r="K1206" s="209"/>
      <c r="L1206" s="209"/>
      <c r="M1206" s="209"/>
      <c r="N1206" s="209"/>
      <c r="O1206" s="209"/>
      <c r="P1206" s="209"/>
      <c r="Q1206" s="209"/>
      <c r="R1206" s="209"/>
      <c r="S1206" s="209"/>
      <c r="T1206" s="209"/>
      <c r="U1206" s="209"/>
      <c r="V1206" s="209"/>
      <c r="W1206" s="209"/>
      <c r="X1206" s="209"/>
      <c r="Y1206" s="209"/>
      <c r="Z1206" s="209"/>
      <c r="AA1206" s="209"/>
      <c r="AB1206" s="209"/>
      <c r="AC1206" s="209"/>
      <c r="AD1206" s="209"/>
      <c r="AE1206" s="209"/>
      <c r="AF1206" s="209"/>
      <c r="AG1206" s="209"/>
      <c r="AH1206" s="209"/>
      <c r="AI1206" s="209"/>
      <c r="AJ1206" s="209"/>
      <c r="AK1206" s="209"/>
      <c r="AL1206" s="209"/>
      <c r="AM1206" s="209"/>
      <c r="AN1206" s="209"/>
      <c r="AO1206" s="209"/>
      <c r="AP1206" s="209"/>
      <c r="AQ1206" s="209"/>
      <c r="AR1206" s="209"/>
      <c r="AS1206" s="209"/>
      <c r="AT1206" s="209"/>
      <c r="AU1206" s="209"/>
      <c r="AV1206" s="209"/>
      <c r="AW1206" s="209"/>
      <c r="AX1206" s="209"/>
      <c r="AY1206" s="209"/>
      <c r="AZ1206" s="209"/>
      <c r="BA1206" s="209"/>
      <c r="BB1206" s="209"/>
      <c r="BC1206" s="209"/>
      <c r="BD1206" s="209"/>
      <c r="BE1206" s="209"/>
      <c r="BF1206" s="209"/>
      <c r="BG1206" s="209"/>
      <c r="BH1206" s="209"/>
      <c r="BI1206" s="209"/>
      <c r="BJ1206" s="209"/>
      <c r="BK1206" s="209"/>
      <c r="BL1206" s="209"/>
      <c r="BM1206" s="209"/>
      <c r="BN1206" s="209"/>
      <c r="BO1206" s="209"/>
      <c r="BP1206" s="209"/>
      <c r="BQ1206" s="209"/>
      <c r="BR1206" s="209"/>
      <c r="BS1206" s="209"/>
      <c r="BT1206" s="209"/>
      <c r="BU1206" s="209"/>
      <c r="BV1206" s="209"/>
      <c r="BW1206" s="209"/>
      <c r="BX1206" s="209"/>
      <c r="BY1206" s="209"/>
      <c r="BZ1206" s="209"/>
      <c r="CA1206" s="209"/>
      <c r="CB1206" s="209"/>
      <c r="CC1206" s="209"/>
      <c r="CD1206" s="209"/>
      <c r="CE1206" s="209"/>
      <c r="CF1206" s="209"/>
      <c r="CG1206" s="209"/>
      <c r="CH1206" s="209"/>
      <c r="CI1206" s="209"/>
      <c r="CJ1206" s="209"/>
      <c r="CK1206" s="209"/>
      <c r="CL1206" s="209"/>
      <c r="CM1206" s="209"/>
      <c r="CN1206" s="209"/>
      <c r="CO1206" s="209"/>
      <c r="CP1206" s="209"/>
      <c r="CQ1206" s="209"/>
      <c r="CR1206" s="209"/>
      <c r="CS1206" s="209"/>
      <c r="CT1206" s="209"/>
      <c r="CU1206" s="209"/>
      <c r="CV1206" s="209"/>
      <c r="CW1206" s="209"/>
      <c r="CX1206" s="209"/>
      <c r="CY1206" s="209"/>
      <c r="CZ1206" s="209"/>
      <c r="DA1206" s="209"/>
      <c r="DB1206" s="209"/>
      <c r="DC1206" s="209"/>
      <c r="DD1206" s="209"/>
      <c r="DE1206" s="209"/>
      <c r="DF1206" s="209"/>
      <c r="DG1206" s="209"/>
      <c r="DH1206" s="209"/>
      <c r="DI1206" s="209"/>
      <c r="DJ1206" s="209"/>
      <c r="DK1206" s="209"/>
      <c r="DL1206" s="209"/>
      <c r="DM1206" s="209"/>
      <c r="DN1206" s="209"/>
      <c r="DO1206" s="209"/>
      <c r="DP1206" s="209"/>
      <c r="DQ1206" s="209"/>
      <c r="DR1206" s="209"/>
      <c r="DS1206" s="209"/>
      <c r="DT1206" s="179"/>
      <c r="DU1206" s="179"/>
      <c r="DV1206" s="179"/>
      <c r="DW1206" s="179"/>
      <c r="DX1206" s="179"/>
      <c r="DY1206" s="179"/>
      <c r="DZ1206" s="179"/>
      <c r="EA1206" s="179"/>
      <c r="EB1206" s="179"/>
      <c r="EC1206" s="179"/>
      <c r="ED1206" s="179"/>
      <c r="EE1206" s="179"/>
      <c r="EF1206" s="179"/>
      <c r="EG1206" s="179"/>
      <c r="EH1206" s="179"/>
    </row>
    <row r="1207" spans="1:138" ht="15.75" hidden="1">
      <c r="A1207" s="180"/>
      <c r="B1207" s="180"/>
      <c r="C1207" s="227" t="s">
        <v>513</v>
      </c>
      <c r="D1207" s="227"/>
      <c r="E1207" s="227"/>
      <c r="F1207" s="227"/>
      <c r="G1207" s="227"/>
      <c r="H1207" s="227"/>
      <c r="I1207" s="227"/>
      <c r="J1207" s="227"/>
      <c r="K1207" s="227"/>
      <c r="L1207" s="227"/>
      <c r="M1207" s="227"/>
      <c r="N1207" s="227"/>
      <c r="O1207" s="227"/>
      <c r="P1207" s="227"/>
      <c r="Q1207" s="227"/>
      <c r="R1207" s="210" t="s">
        <v>600</v>
      </c>
      <c r="S1207" s="210"/>
      <c r="T1207" s="210"/>
      <c r="U1207" s="210"/>
      <c r="V1207" s="210"/>
      <c r="W1207" s="210"/>
      <c r="X1207" s="210"/>
      <c r="Y1207" s="210"/>
      <c r="Z1207" s="210"/>
      <c r="AA1207" s="210"/>
      <c r="AB1207" s="210"/>
      <c r="AC1207" s="210"/>
      <c r="AD1207" s="210"/>
      <c r="AE1207" s="210"/>
      <c r="AF1207" s="210"/>
      <c r="AG1207" s="210"/>
      <c r="AH1207" s="210"/>
      <c r="AI1207" s="210"/>
      <c r="AJ1207" s="210"/>
      <c r="AK1207" s="210"/>
      <c r="AL1207" s="210"/>
      <c r="AM1207" s="210"/>
      <c r="AN1207" s="210"/>
      <c r="AO1207" s="210"/>
      <c r="AP1207" s="210"/>
      <c r="AQ1207" s="210"/>
      <c r="AR1207" s="210"/>
      <c r="AS1207" s="210"/>
      <c r="AT1207" s="210"/>
      <c r="AU1207" s="210"/>
      <c r="AV1207" s="210"/>
      <c r="AW1207" s="210"/>
      <c r="AX1207" s="210"/>
      <c r="AY1207" s="210"/>
      <c r="AZ1207" s="210"/>
      <c r="BA1207" s="210"/>
      <c r="BB1207" s="210"/>
      <c r="BC1207" s="210"/>
      <c r="BD1207" s="210"/>
      <c r="BE1207" s="210"/>
      <c r="BF1207" s="210"/>
      <c r="BG1207" s="210"/>
      <c r="BH1207" s="210"/>
      <c r="BI1207" s="210"/>
      <c r="BJ1207" s="210"/>
      <c r="BK1207" s="210"/>
      <c r="BL1207" s="210"/>
      <c r="BM1207" s="210"/>
      <c r="BN1207" s="210"/>
      <c r="BO1207" s="210"/>
      <c r="BP1207" s="210"/>
      <c r="BQ1207" s="210"/>
      <c r="BR1207" s="210"/>
      <c r="BS1207" s="210"/>
      <c r="BT1207" s="210"/>
      <c r="BU1207" s="210"/>
      <c r="BV1207" s="210"/>
      <c r="BW1207" s="210"/>
      <c r="BX1207" s="210"/>
      <c r="BY1207" s="210"/>
      <c r="BZ1207" s="210"/>
      <c r="CA1207" s="210"/>
      <c r="CB1207" s="210"/>
      <c r="CC1207" s="210"/>
      <c r="CD1207" s="210"/>
      <c r="CE1207" s="210"/>
      <c r="CF1207" s="210"/>
      <c r="CG1207" s="210"/>
      <c r="CH1207" s="210"/>
      <c r="CI1207" s="210"/>
      <c r="CJ1207" s="210"/>
      <c r="CK1207" s="210"/>
      <c r="CL1207" s="210"/>
      <c r="CM1207" s="210"/>
      <c r="CN1207" s="210"/>
      <c r="CO1207" s="210"/>
      <c r="CP1207" s="210"/>
      <c r="CQ1207" s="210"/>
      <c r="CR1207" s="210"/>
      <c r="CS1207" s="210"/>
      <c r="CT1207" s="210"/>
      <c r="CU1207" s="210"/>
      <c r="CV1207" s="210"/>
      <c r="CW1207" s="210"/>
      <c r="CX1207" s="210"/>
      <c r="CY1207" s="210"/>
      <c r="CZ1207" s="210"/>
      <c r="DA1207" s="210"/>
      <c r="DB1207" s="210"/>
      <c r="DC1207" s="210"/>
      <c r="DD1207" s="210"/>
      <c r="DE1207" s="210"/>
      <c r="DF1207" s="210"/>
      <c r="DG1207" s="210"/>
      <c r="DH1207" s="210"/>
      <c r="DI1207" s="210"/>
      <c r="DJ1207" s="210"/>
      <c r="DK1207" s="210"/>
      <c r="DL1207" s="210"/>
      <c r="DM1207" s="210"/>
      <c r="DN1207" s="210"/>
      <c r="DO1207" s="210"/>
      <c r="DP1207" s="210"/>
      <c r="DQ1207" s="210"/>
      <c r="DR1207" s="210"/>
      <c r="DS1207" s="210"/>
      <c r="DT1207" s="180"/>
      <c r="DU1207" s="180"/>
      <c r="DV1207" s="180"/>
      <c r="DW1207" s="180"/>
      <c r="DX1207" s="180"/>
      <c r="DY1207" s="180"/>
      <c r="DZ1207" s="180"/>
      <c r="EA1207" s="180"/>
      <c r="EB1207" s="180"/>
      <c r="EC1207" s="180"/>
      <c r="ED1207" s="180"/>
      <c r="EE1207" s="180"/>
      <c r="EF1207" s="180"/>
      <c r="EG1207" s="180"/>
      <c r="EH1207" s="180"/>
    </row>
    <row r="1208" spans="1:138" ht="15.75" hidden="1">
      <c r="A1208" s="180"/>
      <c r="B1208" s="180"/>
      <c r="C1208" s="227"/>
      <c r="D1208" s="227"/>
      <c r="E1208" s="227"/>
      <c r="F1208" s="227"/>
      <c r="G1208" s="227"/>
      <c r="H1208" s="227"/>
      <c r="I1208" s="227"/>
      <c r="J1208" s="227"/>
      <c r="K1208" s="227"/>
      <c r="L1208" s="227"/>
      <c r="M1208" s="227"/>
      <c r="N1208" s="227"/>
      <c r="O1208" s="227"/>
      <c r="P1208" s="227"/>
      <c r="Q1208" s="227"/>
      <c r="R1208" s="208" t="s">
        <v>601</v>
      </c>
      <c r="S1208" s="208"/>
      <c r="T1208" s="208"/>
      <c r="U1208" s="208"/>
      <c r="V1208" s="208"/>
      <c r="W1208" s="208"/>
      <c r="X1208" s="208"/>
      <c r="Y1208" s="208"/>
      <c r="Z1208" s="208" t="s">
        <v>32</v>
      </c>
      <c r="AA1208" s="208"/>
      <c r="AB1208" s="208"/>
      <c r="AC1208" s="208"/>
      <c r="AD1208" s="208"/>
      <c r="AE1208" s="208"/>
      <c r="AF1208" s="208"/>
      <c r="AG1208" s="208"/>
      <c r="AH1208" s="208" t="s">
        <v>53</v>
      </c>
      <c r="AI1208" s="208"/>
      <c r="AJ1208" s="208"/>
      <c r="AK1208" s="208"/>
      <c r="AL1208" s="208"/>
      <c r="AM1208" s="208"/>
      <c r="AN1208" s="208"/>
      <c r="AO1208" s="208"/>
      <c r="AP1208" s="208" t="s">
        <v>44</v>
      </c>
      <c r="AQ1208" s="208"/>
      <c r="AR1208" s="208"/>
      <c r="AS1208" s="208"/>
      <c r="AT1208" s="208"/>
      <c r="AU1208" s="208"/>
      <c r="AV1208" s="208"/>
      <c r="AW1208" s="208"/>
      <c r="AX1208" s="208" t="s">
        <v>67</v>
      </c>
      <c r="AY1208" s="208"/>
      <c r="AZ1208" s="208"/>
      <c r="BA1208" s="208"/>
      <c r="BB1208" s="208"/>
      <c r="BC1208" s="208"/>
      <c r="BD1208" s="208"/>
      <c r="BE1208" s="208"/>
      <c r="BF1208" s="208" t="s">
        <v>602</v>
      </c>
      <c r="BG1208" s="208"/>
      <c r="BH1208" s="208"/>
      <c r="BI1208" s="208"/>
      <c r="BJ1208" s="208"/>
      <c r="BK1208" s="208"/>
      <c r="BL1208" s="208"/>
      <c r="BM1208" s="208"/>
      <c r="BN1208" s="208" t="s">
        <v>603</v>
      </c>
      <c r="BO1208" s="208"/>
      <c r="BP1208" s="208"/>
      <c r="BQ1208" s="208"/>
      <c r="BR1208" s="208"/>
      <c r="BS1208" s="208"/>
      <c r="BT1208" s="208"/>
      <c r="BU1208" s="208"/>
      <c r="BV1208" s="208" t="s">
        <v>604</v>
      </c>
      <c r="BW1208" s="208"/>
      <c r="BX1208" s="208"/>
      <c r="BY1208" s="208"/>
      <c r="BZ1208" s="208"/>
      <c r="CA1208" s="208"/>
      <c r="CB1208" s="208"/>
      <c r="CC1208" s="208"/>
      <c r="CD1208" s="208" t="s">
        <v>605</v>
      </c>
      <c r="CE1208" s="208"/>
      <c r="CF1208" s="208"/>
      <c r="CG1208" s="208"/>
      <c r="CH1208" s="208"/>
      <c r="CI1208" s="208"/>
      <c r="CJ1208" s="208"/>
      <c r="CK1208" s="208"/>
      <c r="CL1208" s="208" t="s">
        <v>606</v>
      </c>
      <c r="CM1208" s="208"/>
      <c r="CN1208" s="208"/>
      <c r="CO1208" s="208"/>
      <c r="CP1208" s="208"/>
      <c r="CQ1208" s="208"/>
      <c r="CR1208" s="208"/>
      <c r="CS1208" s="208"/>
      <c r="CT1208" s="208" t="s">
        <v>607</v>
      </c>
      <c r="CU1208" s="208"/>
      <c r="CV1208" s="208"/>
      <c r="CW1208" s="208"/>
      <c r="CX1208" s="208"/>
      <c r="CY1208" s="208"/>
      <c r="CZ1208" s="208"/>
      <c r="DA1208" s="208"/>
      <c r="DB1208" s="208" t="s">
        <v>73</v>
      </c>
      <c r="DC1208" s="208"/>
      <c r="DD1208" s="208"/>
      <c r="DE1208" s="208"/>
      <c r="DF1208" s="208"/>
      <c r="DG1208" s="208"/>
      <c r="DH1208" s="208"/>
      <c r="DI1208" s="208"/>
      <c r="DJ1208" s="218" t="s">
        <v>503</v>
      </c>
      <c r="DK1208" s="218"/>
      <c r="DL1208" s="218"/>
      <c r="DM1208" s="218"/>
      <c r="DN1208" s="218"/>
      <c r="DO1208" s="218"/>
      <c r="DP1208" s="218"/>
      <c r="DQ1208" s="218"/>
      <c r="DR1208" s="218"/>
      <c r="DS1208" s="218"/>
    </row>
    <row r="1209" spans="1:138" hidden="1">
      <c r="A1209" s="180"/>
      <c r="B1209" s="180"/>
      <c r="C1209" s="228" t="s">
        <v>26</v>
      </c>
      <c r="D1209" s="228"/>
      <c r="E1209" s="228"/>
      <c r="F1209" s="228"/>
      <c r="G1209" s="228"/>
      <c r="H1209" s="228"/>
      <c r="I1209" s="228"/>
      <c r="J1209" s="228"/>
      <c r="K1209" s="228"/>
      <c r="L1209" s="228"/>
      <c r="M1209" s="228"/>
      <c r="N1209" s="228"/>
      <c r="O1209" s="228"/>
      <c r="P1209" s="228"/>
      <c r="Q1209" s="228"/>
      <c r="R1209" s="206">
        <f>COUNTIFS('Form Details'!$P:$P,R$1208,'Form Details'!$J:$J,$C1209,'Form Details'!$D:$D,'Adv. Filter'!$A$14,'Form Details'!$D:$D,'Adv. Filter'!$B$14)</f>
        <v>0</v>
      </c>
      <c r="S1209" s="206"/>
      <c r="T1209" s="206"/>
      <c r="U1209" s="206"/>
      <c r="V1209" s="206"/>
      <c r="W1209" s="206"/>
      <c r="X1209" s="206"/>
      <c r="Y1209" s="206"/>
      <c r="Z1209" s="206">
        <f>COUNTIFS('Form Details'!$P:$P,Z$1208,'Form Details'!$J:$J,$C1209,'Form Details'!$D:$D,'Adv. Filter'!$A$14,'Form Details'!$D:$D,'Adv. Filter'!$B$14)</f>
        <v>0</v>
      </c>
      <c r="AA1209" s="206"/>
      <c r="AB1209" s="206"/>
      <c r="AC1209" s="206"/>
      <c r="AD1209" s="206"/>
      <c r="AE1209" s="206"/>
      <c r="AF1209" s="206"/>
      <c r="AG1209" s="206"/>
      <c r="AH1209" s="206">
        <f>COUNTIFS('Form Details'!$P:$P,AH$1208,'Form Details'!$J:$J,$C1209,'Form Details'!$D:$D,'Adv. Filter'!$A$14,'Form Details'!$D:$D,'Adv. Filter'!$B$14)</f>
        <v>0</v>
      </c>
      <c r="AI1209" s="206"/>
      <c r="AJ1209" s="206"/>
      <c r="AK1209" s="206"/>
      <c r="AL1209" s="206"/>
      <c r="AM1209" s="206"/>
      <c r="AN1209" s="206"/>
      <c r="AO1209" s="206"/>
      <c r="AP1209" s="206">
        <f>COUNTIFS('Form Details'!$P:$P,AP$1208,'Form Details'!$J:$J,$C1209,'Form Details'!$D:$D,'Adv. Filter'!$A$14,'Form Details'!$D:$D,'Adv. Filter'!$B$14)</f>
        <v>0</v>
      </c>
      <c r="AQ1209" s="206"/>
      <c r="AR1209" s="206"/>
      <c r="AS1209" s="206"/>
      <c r="AT1209" s="206"/>
      <c r="AU1209" s="206"/>
      <c r="AV1209" s="206"/>
      <c r="AW1209" s="206"/>
      <c r="AX1209" s="206">
        <f>COUNTIFS('Form Details'!$P:$P,AX$1208,'Form Details'!$J:$J,$C1209,'Form Details'!$D:$D,'Adv. Filter'!$A$14,'Form Details'!$D:$D,'Adv. Filter'!$B$14)</f>
        <v>0</v>
      </c>
      <c r="AY1209" s="206"/>
      <c r="AZ1209" s="206"/>
      <c r="BA1209" s="206"/>
      <c r="BB1209" s="206"/>
      <c r="BC1209" s="206"/>
      <c r="BD1209" s="206"/>
      <c r="BE1209" s="206"/>
      <c r="BF1209" s="206">
        <f>COUNTIFS('Form Details'!$P:$P,BF$1208,'Form Details'!$J:$J,$C1209,'Form Details'!$D:$D,'Adv. Filter'!$A$14,'Form Details'!$D:$D,'Adv. Filter'!$B$14)</f>
        <v>0</v>
      </c>
      <c r="BG1209" s="206"/>
      <c r="BH1209" s="206"/>
      <c r="BI1209" s="206"/>
      <c r="BJ1209" s="206"/>
      <c r="BK1209" s="206"/>
      <c r="BL1209" s="206"/>
      <c r="BM1209" s="206"/>
      <c r="BN1209" s="206">
        <f>COUNTIFS('Form Details'!$P:$P,BN$1208,'Form Details'!$J:$J,$C1209,'Form Details'!$D:$D,'Adv. Filter'!$A$14,'Form Details'!$D:$D,'Adv. Filter'!$B$14)</f>
        <v>0</v>
      </c>
      <c r="BO1209" s="206"/>
      <c r="BP1209" s="206"/>
      <c r="BQ1209" s="206"/>
      <c r="BR1209" s="206"/>
      <c r="BS1209" s="206"/>
      <c r="BT1209" s="206"/>
      <c r="BU1209" s="206"/>
      <c r="BV1209" s="206">
        <f>COUNTIFS('Form Details'!$P:$P,BV$1208,'Form Details'!$J:$J,$C1209,'Form Details'!$D:$D,'Adv. Filter'!$A$14,'Form Details'!$D:$D,'Adv. Filter'!$B$14)</f>
        <v>0</v>
      </c>
      <c r="BW1209" s="206"/>
      <c r="BX1209" s="206"/>
      <c r="BY1209" s="206"/>
      <c r="BZ1209" s="206"/>
      <c r="CA1209" s="206"/>
      <c r="CB1209" s="206"/>
      <c r="CC1209" s="206"/>
      <c r="CD1209" s="206">
        <f>COUNTIFS('Form Details'!$P:$P,CD$1208,'Form Details'!$J:$J,$C1209,'Form Details'!$D:$D,'Adv. Filter'!$A$14,'Form Details'!$D:$D,'Adv. Filter'!$B$14)</f>
        <v>0</v>
      </c>
      <c r="CE1209" s="206"/>
      <c r="CF1209" s="206"/>
      <c r="CG1209" s="206"/>
      <c r="CH1209" s="206"/>
      <c r="CI1209" s="206"/>
      <c r="CJ1209" s="206"/>
      <c r="CK1209" s="206"/>
      <c r="CL1209" s="206">
        <f>COUNTIFS('Form Details'!$P:$P,CL$1208,'Form Details'!$J:$J,$C1209,'Form Details'!$D:$D,'Adv. Filter'!$A$14,'Form Details'!$D:$D,'Adv. Filter'!$B$14)</f>
        <v>0</v>
      </c>
      <c r="CM1209" s="206"/>
      <c r="CN1209" s="206"/>
      <c r="CO1209" s="206"/>
      <c r="CP1209" s="206"/>
      <c r="CQ1209" s="206"/>
      <c r="CR1209" s="206"/>
      <c r="CS1209" s="206"/>
      <c r="CT1209" s="206">
        <f>COUNTIFS('Form Details'!$P:$P,CT$1208,'Form Details'!$J:$J,$C1209,'Form Details'!$D:$D,'Adv. Filter'!$A$14,'Form Details'!$D:$D,'Adv. Filter'!$B$14)</f>
        <v>0</v>
      </c>
      <c r="CU1209" s="206"/>
      <c r="CV1209" s="206"/>
      <c r="CW1209" s="206"/>
      <c r="CX1209" s="206"/>
      <c r="CY1209" s="206"/>
      <c r="CZ1209" s="206"/>
      <c r="DA1209" s="206"/>
      <c r="DB1209" s="206">
        <f>COUNTIFS('Form Details'!$P:$P,DB$1208,'Form Details'!$J:$J,$C1209,'Form Details'!$D:$D,'Adv. Filter'!$A$14,'Form Details'!$D:$D,'Adv. Filter'!$B$14)</f>
        <v>0</v>
      </c>
      <c r="DC1209" s="206"/>
      <c r="DD1209" s="206"/>
      <c r="DE1209" s="206"/>
      <c r="DF1209" s="206"/>
      <c r="DG1209" s="206"/>
      <c r="DH1209" s="206"/>
      <c r="DI1209" s="206"/>
      <c r="DJ1209" s="219">
        <f t="shared" ref="DJ1209:DJ1221" si="34">SUM(R1209:DI1209)</f>
        <v>0</v>
      </c>
      <c r="DK1209" s="220"/>
      <c r="DL1209" s="220"/>
      <c r="DM1209" s="220"/>
      <c r="DN1209" s="220"/>
      <c r="DO1209" s="220"/>
      <c r="DP1209" s="220"/>
      <c r="DQ1209" s="220"/>
      <c r="DR1209" s="220"/>
      <c r="DS1209" s="221"/>
    </row>
    <row r="1210" spans="1:138" hidden="1">
      <c r="A1210" s="180"/>
      <c r="B1210" s="180"/>
      <c r="C1210" s="217" t="s">
        <v>38</v>
      </c>
      <c r="D1210" s="217"/>
      <c r="E1210" s="217"/>
      <c r="F1210" s="217"/>
      <c r="G1210" s="217"/>
      <c r="H1210" s="217"/>
      <c r="I1210" s="217"/>
      <c r="J1210" s="217"/>
      <c r="K1210" s="217"/>
      <c r="L1210" s="217"/>
      <c r="M1210" s="217"/>
      <c r="N1210" s="217"/>
      <c r="O1210" s="217"/>
      <c r="P1210" s="217"/>
      <c r="Q1210" s="217"/>
      <c r="R1210" s="207">
        <f>COUNTIFS('Form Details'!$P:$P,R$1208,'Form Details'!$J:$J,$C1210,'Form Details'!$D:$D,'Adv. Filter'!$A$14,'Form Details'!$D:$D,'Adv. Filter'!$B$14)</f>
        <v>6</v>
      </c>
      <c r="S1210" s="207"/>
      <c r="T1210" s="207"/>
      <c r="U1210" s="207"/>
      <c r="V1210" s="207"/>
      <c r="W1210" s="207"/>
      <c r="X1210" s="207"/>
      <c r="Y1210" s="207"/>
      <c r="Z1210" s="207">
        <f>COUNTIFS('Form Details'!$P:$P,Z$1208,'Form Details'!$J:$J,$C1210,'Form Details'!$D:$D,'Adv. Filter'!$A$14,'Form Details'!$D:$D,'Adv. Filter'!$B$14)</f>
        <v>6</v>
      </c>
      <c r="AA1210" s="207"/>
      <c r="AB1210" s="207"/>
      <c r="AC1210" s="207"/>
      <c r="AD1210" s="207"/>
      <c r="AE1210" s="207"/>
      <c r="AF1210" s="207"/>
      <c r="AG1210" s="207"/>
      <c r="AH1210" s="207">
        <f>COUNTIFS('Form Details'!$P:$P,AH$1208,'Form Details'!$J:$J,$C1210,'Form Details'!$D:$D,'Adv. Filter'!$A$14,'Form Details'!$D:$D,'Adv. Filter'!$B$14)</f>
        <v>7</v>
      </c>
      <c r="AI1210" s="207"/>
      <c r="AJ1210" s="207"/>
      <c r="AK1210" s="207"/>
      <c r="AL1210" s="207"/>
      <c r="AM1210" s="207"/>
      <c r="AN1210" s="207"/>
      <c r="AO1210" s="207"/>
      <c r="AP1210" s="207">
        <f>COUNTIFS('Form Details'!$P:$P,AP$1208,'Form Details'!$J:$J,$C1210,'Form Details'!$D:$D,'Adv. Filter'!$A$14,'Form Details'!$D:$D,'Adv. Filter'!$B$14)</f>
        <v>6</v>
      </c>
      <c r="AQ1210" s="207"/>
      <c r="AR1210" s="207"/>
      <c r="AS1210" s="207"/>
      <c r="AT1210" s="207"/>
      <c r="AU1210" s="207"/>
      <c r="AV1210" s="207"/>
      <c r="AW1210" s="207"/>
      <c r="AX1210" s="207">
        <f>COUNTIFS('Form Details'!$P:$P,AX$1208,'Form Details'!$J:$J,$C1210,'Form Details'!$D:$D,'Adv. Filter'!$A$14,'Form Details'!$D:$D,'Adv. Filter'!$B$14)</f>
        <v>7</v>
      </c>
      <c r="AY1210" s="207"/>
      <c r="AZ1210" s="207"/>
      <c r="BA1210" s="207"/>
      <c r="BB1210" s="207"/>
      <c r="BC1210" s="207"/>
      <c r="BD1210" s="207"/>
      <c r="BE1210" s="207"/>
      <c r="BF1210" s="207">
        <f>COUNTIFS('Form Details'!$P:$P,BF$1208,'Form Details'!$J:$J,$C1210,'Form Details'!$D:$D,'Adv. Filter'!$A$14,'Form Details'!$D:$D,'Adv. Filter'!$B$14)</f>
        <v>7</v>
      </c>
      <c r="BG1210" s="207"/>
      <c r="BH1210" s="207"/>
      <c r="BI1210" s="207"/>
      <c r="BJ1210" s="207"/>
      <c r="BK1210" s="207"/>
      <c r="BL1210" s="207"/>
      <c r="BM1210" s="207"/>
      <c r="BN1210" s="207">
        <f>COUNTIFS('Form Details'!$P:$P,BN$1208,'Form Details'!$J:$J,$C1210,'Form Details'!$D:$D,'Adv. Filter'!$A$14,'Form Details'!$D:$D,'Adv. Filter'!$B$14)</f>
        <v>7</v>
      </c>
      <c r="BO1210" s="207"/>
      <c r="BP1210" s="207"/>
      <c r="BQ1210" s="207"/>
      <c r="BR1210" s="207"/>
      <c r="BS1210" s="207"/>
      <c r="BT1210" s="207"/>
      <c r="BU1210" s="207"/>
      <c r="BV1210" s="207">
        <f>COUNTIFS('Form Details'!$P:$P,BV$1208,'Form Details'!$J:$J,$C1210,'Form Details'!$D:$D,'Adv. Filter'!$A$14,'Form Details'!$D:$D,'Adv. Filter'!$B$14)</f>
        <v>7</v>
      </c>
      <c r="BW1210" s="207"/>
      <c r="BX1210" s="207"/>
      <c r="BY1210" s="207"/>
      <c r="BZ1210" s="207"/>
      <c r="CA1210" s="207"/>
      <c r="CB1210" s="207"/>
      <c r="CC1210" s="207"/>
      <c r="CD1210" s="207">
        <f>COUNTIFS('Form Details'!$P:$P,CD$1208,'Form Details'!$J:$J,$C1210,'Form Details'!$D:$D,'Adv. Filter'!$A$14,'Form Details'!$D:$D,'Adv. Filter'!$B$14)</f>
        <v>5</v>
      </c>
      <c r="CE1210" s="207"/>
      <c r="CF1210" s="207"/>
      <c r="CG1210" s="207"/>
      <c r="CH1210" s="207"/>
      <c r="CI1210" s="207"/>
      <c r="CJ1210" s="207"/>
      <c r="CK1210" s="207"/>
      <c r="CL1210" s="207">
        <f>COUNTIFS('Form Details'!$P:$P,CL$1208,'Form Details'!$J:$J,$C1210,'Form Details'!$D:$D,'Adv. Filter'!$A$14,'Form Details'!$D:$D,'Adv. Filter'!$B$14)</f>
        <v>6</v>
      </c>
      <c r="CM1210" s="207"/>
      <c r="CN1210" s="207"/>
      <c r="CO1210" s="207"/>
      <c r="CP1210" s="207"/>
      <c r="CQ1210" s="207"/>
      <c r="CR1210" s="207"/>
      <c r="CS1210" s="207"/>
      <c r="CT1210" s="207">
        <f>COUNTIFS('Form Details'!$P:$P,CT$1208,'Form Details'!$J:$J,$C1210,'Form Details'!$D:$D,'Adv. Filter'!$A$14,'Form Details'!$D:$D,'Adv. Filter'!$B$14)</f>
        <v>2</v>
      </c>
      <c r="CU1210" s="207"/>
      <c r="CV1210" s="207"/>
      <c r="CW1210" s="207"/>
      <c r="CX1210" s="207"/>
      <c r="CY1210" s="207"/>
      <c r="CZ1210" s="207"/>
      <c r="DA1210" s="207"/>
      <c r="DB1210" s="207">
        <f>COUNTIFS('Form Details'!$P:$P,DB$1208,'Form Details'!$J:$J,$C1210,'Form Details'!$D:$D,'Adv. Filter'!$A$14,'Form Details'!$D:$D,'Adv. Filter'!$B$14)</f>
        <v>6</v>
      </c>
      <c r="DC1210" s="207"/>
      <c r="DD1210" s="207"/>
      <c r="DE1210" s="207"/>
      <c r="DF1210" s="207"/>
      <c r="DG1210" s="207"/>
      <c r="DH1210" s="207"/>
      <c r="DI1210" s="207"/>
      <c r="DJ1210" s="212">
        <f t="shared" si="34"/>
        <v>72</v>
      </c>
      <c r="DK1210" s="213"/>
      <c r="DL1210" s="213"/>
      <c r="DM1210" s="213"/>
      <c r="DN1210" s="213"/>
      <c r="DO1210" s="213"/>
      <c r="DP1210" s="213"/>
      <c r="DQ1210" s="213"/>
      <c r="DR1210" s="213"/>
      <c r="DS1210" s="214"/>
    </row>
    <row r="1211" spans="1:138" hidden="1">
      <c r="A1211" s="180"/>
      <c r="B1211" s="180"/>
      <c r="C1211" s="217" t="s">
        <v>49</v>
      </c>
      <c r="D1211" s="217"/>
      <c r="E1211" s="217"/>
      <c r="F1211" s="217"/>
      <c r="G1211" s="217"/>
      <c r="H1211" s="217"/>
      <c r="I1211" s="217"/>
      <c r="J1211" s="217"/>
      <c r="K1211" s="217"/>
      <c r="L1211" s="217"/>
      <c r="M1211" s="217"/>
      <c r="N1211" s="217"/>
      <c r="O1211" s="217"/>
      <c r="P1211" s="217"/>
      <c r="Q1211" s="217"/>
      <c r="R1211" s="207">
        <f>COUNTIFS('Form Details'!$P:$P,R$1208,'Form Details'!$J:$J,$C1211,'Form Details'!$D:$D,'Adv. Filter'!$A$14,'Form Details'!$D:$D,'Adv. Filter'!$B$14)</f>
        <v>3</v>
      </c>
      <c r="S1211" s="207"/>
      <c r="T1211" s="207"/>
      <c r="U1211" s="207"/>
      <c r="V1211" s="207"/>
      <c r="W1211" s="207"/>
      <c r="X1211" s="207"/>
      <c r="Y1211" s="207"/>
      <c r="Z1211" s="207">
        <f>COUNTIFS('Form Details'!$P:$P,Z$1208,'Form Details'!$J:$J,$C1211,'Form Details'!$D:$D,'Adv. Filter'!$A$14,'Form Details'!$D:$D,'Adv. Filter'!$B$14)</f>
        <v>3</v>
      </c>
      <c r="AA1211" s="207"/>
      <c r="AB1211" s="207"/>
      <c r="AC1211" s="207"/>
      <c r="AD1211" s="207"/>
      <c r="AE1211" s="207"/>
      <c r="AF1211" s="207"/>
      <c r="AG1211" s="207"/>
      <c r="AH1211" s="207">
        <f>COUNTIFS('Form Details'!$P:$P,AH$1208,'Form Details'!$J:$J,$C1211,'Form Details'!$D:$D,'Adv. Filter'!$A$14,'Form Details'!$D:$D,'Adv. Filter'!$B$14)</f>
        <v>3</v>
      </c>
      <c r="AI1211" s="207"/>
      <c r="AJ1211" s="207"/>
      <c r="AK1211" s="207"/>
      <c r="AL1211" s="207"/>
      <c r="AM1211" s="207"/>
      <c r="AN1211" s="207"/>
      <c r="AO1211" s="207"/>
      <c r="AP1211" s="207">
        <f>COUNTIFS('Form Details'!$P:$P,AP$1208,'Form Details'!$J:$J,$C1211,'Form Details'!$D:$D,'Adv. Filter'!$A$14,'Form Details'!$D:$D,'Adv. Filter'!$B$14)</f>
        <v>3</v>
      </c>
      <c r="AQ1211" s="207"/>
      <c r="AR1211" s="207"/>
      <c r="AS1211" s="207"/>
      <c r="AT1211" s="207"/>
      <c r="AU1211" s="207"/>
      <c r="AV1211" s="207"/>
      <c r="AW1211" s="207"/>
      <c r="AX1211" s="207">
        <f>COUNTIFS('Form Details'!$P:$P,AX$1208,'Form Details'!$J:$J,$C1211,'Form Details'!$D:$D,'Adv. Filter'!$A$14,'Form Details'!$D:$D,'Adv. Filter'!$B$14)</f>
        <v>2</v>
      </c>
      <c r="AY1211" s="207"/>
      <c r="AZ1211" s="207"/>
      <c r="BA1211" s="207"/>
      <c r="BB1211" s="207"/>
      <c r="BC1211" s="207"/>
      <c r="BD1211" s="207"/>
      <c r="BE1211" s="207"/>
      <c r="BF1211" s="207">
        <f>COUNTIFS('Form Details'!$P:$P,BF$1208,'Form Details'!$J:$J,$C1211,'Form Details'!$D:$D,'Adv. Filter'!$A$14,'Form Details'!$D:$D,'Adv. Filter'!$B$14)</f>
        <v>2</v>
      </c>
      <c r="BG1211" s="207"/>
      <c r="BH1211" s="207"/>
      <c r="BI1211" s="207"/>
      <c r="BJ1211" s="207"/>
      <c r="BK1211" s="207"/>
      <c r="BL1211" s="207"/>
      <c r="BM1211" s="207"/>
      <c r="BN1211" s="207">
        <f>COUNTIFS('Form Details'!$P:$P,BN$1208,'Form Details'!$J:$J,$C1211,'Form Details'!$D:$D,'Adv. Filter'!$A$14,'Form Details'!$D:$D,'Adv. Filter'!$B$14)</f>
        <v>2</v>
      </c>
      <c r="BO1211" s="207"/>
      <c r="BP1211" s="207"/>
      <c r="BQ1211" s="207"/>
      <c r="BR1211" s="207"/>
      <c r="BS1211" s="207"/>
      <c r="BT1211" s="207"/>
      <c r="BU1211" s="207"/>
      <c r="BV1211" s="207">
        <f>COUNTIFS('Form Details'!$P:$P,BV$1208,'Form Details'!$J:$J,$C1211,'Form Details'!$D:$D,'Adv. Filter'!$A$14,'Form Details'!$D:$D,'Adv. Filter'!$B$14)</f>
        <v>2</v>
      </c>
      <c r="BW1211" s="207"/>
      <c r="BX1211" s="207"/>
      <c r="BY1211" s="207"/>
      <c r="BZ1211" s="207"/>
      <c r="CA1211" s="207"/>
      <c r="CB1211" s="207"/>
      <c r="CC1211" s="207"/>
      <c r="CD1211" s="207">
        <f>COUNTIFS('Form Details'!$P:$P,CD$1208,'Form Details'!$J:$J,$C1211,'Form Details'!$D:$D,'Adv. Filter'!$A$14,'Form Details'!$D:$D,'Adv. Filter'!$B$14)</f>
        <v>1</v>
      </c>
      <c r="CE1211" s="207"/>
      <c r="CF1211" s="207"/>
      <c r="CG1211" s="207"/>
      <c r="CH1211" s="207"/>
      <c r="CI1211" s="207"/>
      <c r="CJ1211" s="207"/>
      <c r="CK1211" s="207"/>
      <c r="CL1211" s="207">
        <f>COUNTIFS('Form Details'!$P:$P,CL$1208,'Form Details'!$J:$J,$C1211,'Form Details'!$D:$D,'Adv. Filter'!$A$14,'Form Details'!$D:$D,'Adv. Filter'!$B$14)</f>
        <v>1</v>
      </c>
      <c r="CM1211" s="207"/>
      <c r="CN1211" s="207"/>
      <c r="CO1211" s="207"/>
      <c r="CP1211" s="207"/>
      <c r="CQ1211" s="207"/>
      <c r="CR1211" s="207"/>
      <c r="CS1211" s="207"/>
      <c r="CT1211" s="207">
        <f>COUNTIFS('Form Details'!$P:$P,CT$1208,'Form Details'!$J:$J,$C1211,'Form Details'!$D:$D,'Adv. Filter'!$A$14,'Form Details'!$D:$D,'Adv. Filter'!$B$14)</f>
        <v>1</v>
      </c>
      <c r="CU1211" s="207"/>
      <c r="CV1211" s="207"/>
      <c r="CW1211" s="207"/>
      <c r="CX1211" s="207"/>
      <c r="CY1211" s="207"/>
      <c r="CZ1211" s="207"/>
      <c r="DA1211" s="207"/>
      <c r="DB1211" s="207">
        <f>COUNTIFS('Form Details'!$P:$P,DB$1208,'Form Details'!$J:$J,$C1211,'Form Details'!$D:$D,'Adv. Filter'!$A$14,'Form Details'!$D:$D,'Adv. Filter'!$B$14)</f>
        <v>2</v>
      </c>
      <c r="DC1211" s="207"/>
      <c r="DD1211" s="207"/>
      <c r="DE1211" s="207"/>
      <c r="DF1211" s="207"/>
      <c r="DG1211" s="207"/>
      <c r="DH1211" s="207"/>
      <c r="DI1211" s="207"/>
      <c r="DJ1211" s="212">
        <f t="shared" si="34"/>
        <v>25</v>
      </c>
      <c r="DK1211" s="213"/>
      <c r="DL1211" s="213"/>
      <c r="DM1211" s="213"/>
      <c r="DN1211" s="213"/>
      <c r="DO1211" s="213"/>
      <c r="DP1211" s="213"/>
      <c r="DQ1211" s="213"/>
      <c r="DR1211" s="213"/>
      <c r="DS1211" s="214"/>
    </row>
    <row r="1212" spans="1:138" hidden="1">
      <c r="A1212" s="180"/>
      <c r="B1212" s="180"/>
      <c r="C1212" s="217" t="s">
        <v>59</v>
      </c>
      <c r="D1212" s="217"/>
      <c r="E1212" s="217"/>
      <c r="F1212" s="217"/>
      <c r="G1212" s="217"/>
      <c r="H1212" s="217"/>
      <c r="I1212" s="217"/>
      <c r="J1212" s="217"/>
      <c r="K1212" s="217"/>
      <c r="L1212" s="217"/>
      <c r="M1212" s="217"/>
      <c r="N1212" s="217"/>
      <c r="O1212" s="217"/>
      <c r="P1212" s="217"/>
      <c r="Q1212" s="217"/>
      <c r="R1212" s="207">
        <f>COUNTIFS('Form Details'!$P:$P,R$1208,'Form Details'!$J:$J,$C1212,'Form Details'!$D:$D,'Adv. Filter'!$A$14,'Form Details'!$D:$D,'Adv. Filter'!$B$14)</f>
        <v>0</v>
      </c>
      <c r="S1212" s="207"/>
      <c r="T1212" s="207"/>
      <c r="U1212" s="207"/>
      <c r="V1212" s="207"/>
      <c r="W1212" s="207"/>
      <c r="X1212" s="207"/>
      <c r="Y1212" s="207"/>
      <c r="Z1212" s="207">
        <f>COUNTIFS('Form Details'!$P:$P,Z$1208,'Form Details'!$J:$J,$C1212,'Form Details'!$D:$D,'Adv. Filter'!$A$14,'Form Details'!$D:$D,'Adv. Filter'!$B$14)</f>
        <v>0</v>
      </c>
      <c r="AA1212" s="207"/>
      <c r="AB1212" s="207"/>
      <c r="AC1212" s="207"/>
      <c r="AD1212" s="207"/>
      <c r="AE1212" s="207"/>
      <c r="AF1212" s="207"/>
      <c r="AG1212" s="207"/>
      <c r="AH1212" s="207">
        <f>COUNTIFS('Form Details'!$P:$P,AH$1208,'Form Details'!$J:$J,$C1212,'Form Details'!$D:$D,'Adv. Filter'!$A$14,'Form Details'!$D:$D,'Adv. Filter'!$B$14)</f>
        <v>0</v>
      </c>
      <c r="AI1212" s="207"/>
      <c r="AJ1212" s="207"/>
      <c r="AK1212" s="207"/>
      <c r="AL1212" s="207"/>
      <c r="AM1212" s="207"/>
      <c r="AN1212" s="207"/>
      <c r="AO1212" s="207"/>
      <c r="AP1212" s="207">
        <f>COUNTIFS('Form Details'!$P:$P,AP$1208,'Form Details'!$J:$J,$C1212,'Form Details'!$D:$D,'Adv. Filter'!$A$14,'Form Details'!$D:$D,'Adv. Filter'!$B$14)</f>
        <v>0</v>
      </c>
      <c r="AQ1212" s="207"/>
      <c r="AR1212" s="207"/>
      <c r="AS1212" s="207"/>
      <c r="AT1212" s="207"/>
      <c r="AU1212" s="207"/>
      <c r="AV1212" s="207"/>
      <c r="AW1212" s="207"/>
      <c r="AX1212" s="207">
        <f>COUNTIFS('Form Details'!$P:$P,AX$1208,'Form Details'!$J:$J,$C1212,'Form Details'!$D:$D,'Adv. Filter'!$A$14,'Form Details'!$D:$D,'Adv. Filter'!$B$14)</f>
        <v>1</v>
      </c>
      <c r="AY1212" s="207"/>
      <c r="AZ1212" s="207"/>
      <c r="BA1212" s="207"/>
      <c r="BB1212" s="207"/>
      <c r="BC1212" s="207"/>
      <c r="BD1212" s="207"/>
      <c r="BE1212" s="207"/>
      <c r="BF1212" s="207">
        <f>COUNTIFS('Form Details'!$P:$P,BF$1208,'Form Details'!$J:$J,$C1212,'Form Details'!$D:$D,'Adv. Filter'!$A$14,'Form Details'!$D:$D,'Adv. Filter'!$B$14)</f>
        <v>0</v>
      </c>
      <c r="BG1212" s="207"/>
      <c r="BH1212" s="207"/>
      <c r="BI1212" s="207"/>
      <c r="BJ1212" s="207"/>
      <c r="BK1212" s="207"/>
      <c r="BL1212" s="207"/>
      <c r="BM1212" s="207"/>
      <c r="BN1212" s="207">
        <f>COUNTIFS('Form Details'!$P:$P,BN$1208,'Form Details'!$J:$J,$C1212,'Form Details'!$D:$D,'Adv. Filter'!$A$14,'Form Details'!$D:$D,'Adv. Filter'!$B$14)</f>
        <v>0</v>
      </c>
      <c r="BO1212" s="207"/>
      <c r="BP1212" s="207"/>
      <c r="BQ1212" s="207"/>
      <c r="BR1212" s="207"/>
      <c r="BS1212" s="207"/>
      <c r="BT1212" s="207"/>
      <c r="BU1212" s="207"/>
      <c r="BV1212" s="207">
        <f>COUNTIFS('Form Details'!$P:$P,BV$1208,'Form Details'!$J:$J,$C1212,'Form Details'!$D:$D,'Adv. Filter'!$A$14,'Form Details'!$D:$D,'Adv. Filter'!$B$14)</f>
        <v>0</v>
      </c>
      <c r="BW1212" s="207"/>
      <c r="BX1212" s="207"/>
      <c r="BY1212" s="207"/>
      <c r="BZ1212" s="207"/>
      <c r="CA1212" s="207"/>
      <c r="CB1212" s="207"/>
      <c r="CC1212" s="207"/>
      <c r="CD1212" s="207">
        <f>COUNTIFS('Form Details'!$P:$P,CD$1208,'Form Details'!$J:$J,$C1212,'Form Details'!$D:$D,'Adv. Filter'!$A$14,'Form Details'!$D:$D,'Adv. Filter'!$B$14)</f>
        <v>0</v>
      </c>
      <c r="CE1212" s="207"/>
      <c r="CF1212" s="207"/>
      <c r="CG1212" s="207"/>
      <c r="CH1212" s="207"/>
      <c r="CI1212" s="207"/>
      <c r="CJ1212" s="207"/>
      <c r="CK1212" s="207"/>
      <c r="CL1212" s="207">
        <f>COUNTIFS('Form Details'!$P:$P,CL$1208,'Form Details'!$J:$J,$C1212,'Form Details'!$D:$D,'Adv. Filter'!$A$14,'Form Details'!$D:$D,'Adv. Filter'!$B$14)</f>
        <v>1</v>
      </c>
      <c r="CM1212" s="207"/>
      <c r="CN1212" s="207"/>
      <c r="CO1212" s="207"/>
      <c r="CP1212" s="207"/>
      <c r="CQ1212" s="207"/>
      <c r="CR1212" s="207"/>
      <c r="CS1212" s="207"/>
      <c r="CT1212" s="207">
        <f>COUNTIFS('Form Details'!$P:$P,CT$1208,'Form Details'!$J:$J,$C1212,'Form Details'!$D:$D,'Adv. Filter'!$A$14,'Form Details'!$D:$D,'Adv. Filter'!$B$14)</f>
        <v>0</v>
      </c>
      <c r="CU1212" s="207"/>
      <c r="CV1212" s="207"/>
      <c r="CW1212" s="207"/>
      <c r="CX1212" s="207"/>
      <c r="CY1212" s="207"/>
      <c r="CZ1212" s="207"/>
      <c r="DA1212" s="207"/>
      <c r="DB1212" s="207">
        <f>COUNTIFS('Form Details'!$P:$P,DB$1208,'Form Details'!$J:$J,$C1212,'Form Details'!$D:$D,'Adv. Filter'!$A$14,'Form Details'!$D:$D,'Adv. Filter'!$B$14)</f>
        <v>0</v>
      </c>
      <c r="DC1212" s="207"/>
      <c r="DD1212" s="207"/>
      <c r="DE1212" s="207"/>
      <c r="DF1212" s="207"/>
      <c r="DG1212" s="207"/>
      <c r="DH1212" s="207"/>
      <c r="DI1212" s="207"/>
      <c r="DJ1212" s="212">
        <f t="shared" si="34"/>
        <v>2</v>
      </c>
      <c r="DK1212" s="213"/>
      <c r="DL1212" s="213"/>
      <c r="DM1212" s="213"/>
      <c r="DN1212" s="213"/>
      <c r="DO1212" s="213"/>
      <c r="DP1212" s="213"/>
      <c r="DQ1212" s="213"/>
      <c r="DR1212" s="213"/>
      <c r="DS1212" s="214"/>
    </row>
    <row r="1213" spans="1:138" hidden="1">
      <c r="A1213" s="180"/>
      <c r="B1213" s="180"/>
      <c r="C1213" s="217" t="s">
        <v>70</v>
      </c>
      <c r="D1213" s="217"/>
      <c r="E1213" s="217"/>
      <c r="F1213" s="217"/>
      <c r="G1213" s="217"/>
      <c r="H1213" s="217"/>
      <c r="I1213" s="217"/>
      <c r="J1213" s="217"/>
      <c r="K1213" s="217"/>
      <c r="L1213" s="217"/>
      <c r="M1213" s="217"/>
      <c r="N1213" s="217"/>
      <c r="O1213" s="217"/>
      <c r="P1213" s="217"/>
      <c r="Q1213" s="217"/>
      <c r="R1213" s="207">
        <f>COUNTIFS('Form Details'!$P:$P,R$1208,'Form Details'!$J:$J,$C1213,'Form Details'!$D:$D,'Adv. Filter'!$A$14,'Form Details'!$D:$D,'Adv. Filter'!$B$14)</f>
        <v>2</v>
      </c>
      <c r="S1213" s="207"/>
      <c r="T1213" s="207"/>
      <c r="U1213" s="207"/>
      <c r="V1213" s="207"/>
      <c r="W1213" s="207"/>
      <c r="X1213" s="207"/>
      <c r="Y1213" s="207"/>
      <c r="Z1213" s="207">
        <f>COUNTIFS('Form Details'!$P:$P,Z$1208,'Form Details'!$J:$J,$C1213,'Form Details'!$D:$D,'Adv. Filter'!$A$14,'Form Details'!$D:$D,'Adv. Filter'!$B$14)</f>
        <v>2</v>
      </c>
      <c r="AA1213" s="207"/>
      <c r="AB1213" s="207"/>
      <c r="AC1213" s="207"/>
      <c r="AD1213" s="207"/>
      <c r="AE1213" s="207"/>
      <c r="AF1213" s="207"/>
      <c r="AG1213" s="207"/>
      <c r="AH1213" s="207">
        <f>COUNTIFS('Form Details'!$P:$P,AH$1208,'Form Details'!$J:$J,$C1213,'Form Details'!$D:$D,'Adv. Filter'!$A$14,'Form Details'!$D:$D,'Adv. Filter'!$B$14)</f>
        <v>2</v>
      </c>
      <c r="AI1213" s="207"/>
      <c r="AJ1213" s="207"/>
      <c r="AK1213" s="207"/>
      <c r="AL1213" s="207"/>
      <c r="AM1213" s="207"/>
      <c r="AN1213" s="207"/>
      <c r="AO1213" s="207"/>
      <c r="AP1213" s="207">
        <f>COUNTIFS('Form Details'!$P:$P,AP$1208,'Form Details'!$J:$J,$C1213,'Form Details'!$D:$D,'Adv. Filter'!$A$14,'Form Details'!$D:$D,'Adv. Filter'!$B$14)</f>
        <v>2</v>
      </c>
      <c r="AQ1213" s="207"/>
      <c r="AR1213" s="207"/>
      <c r="AS1213" s="207"/>
      <c r="AT1213" s="207"/>
      <c r="AU1213" s="207"/>
      <c r="AV1213" s="207"/>
      <c r="AW1213" s="207"/>
      <c r="AX1213" s="207">
        <f>COUNTIFS('Form Details'!$P:$P,AX$1208,'Form Details'!$J:$J,$C1213,'Form Details'!$D:$D,'Adv. Filter'!$A$14,'Form Details'!$D:$D,'Adv. Filter'!$B$14)</f>
        <v>2</v>
      </c>
      <c r="AY1213" s="207"/>
      <c r="AZ1213" s="207"/>
      <c r="BA1213" s="207"/>
      <c r="BB1213" s="207"/>
      <c r="BC1213" s="207"/>
      <c r="BD1213" s="207"/>
      <c r="BE1213" s="207"/>
      <c r="BF1213" s="207">
        <f>COUNTIFS('Form Details'!$P:$P,BF$1208,'Form Details'!$J:$J,$C1213,'Form Details'!$D:$D,'Adv. Filter'!$A$14,'Form Details'!$D:$D,'Adv. Filter'!$B$14)</f>
        <v>3</v>
      </c>
      <c r="BG1213" s="207"/>
      <c r="BH1213" s="207"/>
      <c r="BI1213" s="207"/>
      <c r="BJ1213" s="207"/>
      <c r="BK1213" s="207"/>
      <c r="BL1213" s="207"/>
      <c r="BM1213" s="207"/>
      <c r="BN1213" s="207">
        <f>COUNTIFS('Form Details'!$P:$P,BN$1208,'Form Details'!$J:$J,$C1213,'Form Details'!$D:$D,'Adv. Filter'!$A$14,'Form Details'!$D:$D,'Adv. Filter'!$B$14)</f>
        <v>2</v>
      </c>
      <c r="BO1213" s="207"/>
      <c r="BP1213" s="207"/>
      <c r="BQ1213" s="207"/>
      <c r="BR1213" s="207"/>
      <c r="BS1213" s="207"/>
      <c r="BT1213" s="207"/>
      <c r="BU1213" s="207"/>
      <c r="BV1213" s="207">
        <f>COUNTIFS('Form Details'!$P:$P,BV$1208,'Form Details'!$J:$J,$C1213,'Form Details'!$D:$D,'Adv. Filter'!$A$14,'Form Details'!$D:$D,'Adv. Filter'!$B$14)</f>
        <v>2</v>
      </c>
      <c r="BW1213" s="207"/>
      <c r="BX1213" s="207"/>
      <c r="BY1213" s="207"/>
      <c r="BZ1213" s="207"/>
      <c r="CA1213" s="207"/>
      <c r="CB1213" s="207"/>
      <c r="CC1213" s="207"/>
      <c r="CD1213" s="207">
        <f>COUNTIFS('Form Details'!$P:$P,CD$1208,'Form Details'!$J:$J,$C1213,'Form Details'!$D:$D,'Adv. Filter'!$A$14,'Form Details'!$D:$D,'Adv. Filter'!$B$14)</f>
        <v>3</v>
      </c>
      <c r="CE1213" s="207"/>
      <c r="CF1213" s="207"/>
      <c r="CG1213" s="207"/>
      <c r="CH1213" s="207"/>
      <c r="CI1213" s="207"/>
      <c r="CJ1213" s="207"/>
      <c r="CK1213" s="207"/>
      <c r="CL1213" s="207">
        <f>COUNTIFS('Form Details'!$P:$P,CL$1208,'Form Details'!$J:$J,$C1213,'Form Details'!$D:$D,'Adv. Filter'!$A$14,'Form Details'!$D:$D,'Adv. Filter'!$B$14)</f>
        <v>1</v>
      </c>
      <c r="CM1213" s="207"/>
      <c r="CN1213" s="207"/>
      <c r="CO1213" s="207"/>
      <c r="CP1213" s="207"/>
      <c r="CQ1213" s="207"/>
      <c r="CR1213" s="207"/>
      <c r="CS1213" s="207"/>
      <c r="CT1213" s="207">
        <f>COUNTIFS('Form Details'!$P:$P,CT$1208,'Form Details'!$J:$J,$C1213,'Form Details'!$D:$D,'Adv. Filter'!$A$14,'Form Details'!$D:$D,'Adv. Filter'!$B$14)</f>
        <v>1</v>
      </c>
      <c r="CU1213" s="207"/>
      <c r="CV1213" s="207"/>
      <c r="CW1213" s="207"/>
      <c r="CX1213" s="207"/>
      <c r="CY1213" s="207"/>
      <c r="CZ1213" s="207"/>
      <c r="DA1213" s="207"/>
      <c r="DB1213" s="207">
        <f>COUNTIFS('Form Details'!$P:$P,DB$1208,'Form Details'!$J:$J,$C1213,'Form Details'!$D:$D,'Adv. Filter'!$A$14,'Form Details'!$D:$D,'Adv. Filter'!$B$14)</f>
        <v>2</v>
      </c>
      <c r="DC1213" s="207"/>
      <c r="DD1213" s="207"/>
      <c r="DE1213" s="207"/>
      <c r="DF1213" s="207"/>
      <c r="DG1213" s="207"/>
      <c r="DH1213" s="207"/>
      <c r="DI1213" s="207"/>
      <c r="DJ1213" s="212">
        <f t="shared" si="34"/>
        <v>24</v>
      </c>
      <c r="DK1213" s="213"/>
      <c r="DL1213" s="213"/>
      <c r="DM1213" s="213"/>
      <c r="DN1213" s="213"/>
      <c r="DO1213" s="213"/>
      <c r="DP1213" s="213"/>
      <c r="DQ1213" s="213"/>
      <c r="DR1213" s="213"/>
      <c r="DS1213" s="214"/>
    </row>
    <row r="1214" spans="1:138" hidden="1">
      <c r="A1214" s="180"/>
      <c r="B1214" s="180"/>
      <c r="C1214" s="217" t="s">
        <v>77</v>
      </c>
      <c r="D1214" s="217"/>
      <c r="E1214" s="217"/>
      <c r="F1214" s="217"/>
      <c r="G1214" s="217"/>
      <c r="H1214" s="217"/>
      <c r="I1214" s="217"/>
      <c r="J1214" s="217"/>
      <c r="K1214" s="217"/>
      <c r="L1214" s="217"/>
      <c r="M1214" s="217"/>
      <c r="N1214" s="217"/>
      <c r="O1214" s="217"/>
      <c r="P1214" s="217"/>
      <c r="Q1214" s="217"/>
      <c r="R1214" s="207">
        <f>COUNTIFS('Form Details'!$P:$P,R$1208,'Form Details'!$J:$J,$C1214,'Form Details'!$D:$D,'Adv. Filter'!$A$14,'Form Details'!$D:$D,'Adv. Filter'!$B$14)</f>
        <v>3</v>
      </c>
      <c r="S1214" s="207"/>
      <c r="T1214" s="207"/>
      <c r="U1214" s="207"/>
      <c r="V1214" s="207"/>
      <c r="W1214" s="207"/>
      <c r="X1214" s="207"/>
      <c r="Y1214" s="207"/>
      <c r="Z1214" s="207">
        <f>COUNTIFS('Form Details'!$P:$P,Z$1208,'Form Details'!$J:$J,$C1214,'Form Details'!$D:$D,'Adv. Filter'!$A$14,'Form Details'!$D:$D,'Adv. Filter'!$B$14)</f>
        <v>2</v>
      </c>
      <c r="AA1214" s="207"/>
      <c r="AB1214" s="207"/>
      <c r="AC1214" s="207"/>
      <c r="AD1214" s="207"/>
      <c r="AE1214" s="207"/>
      <c r="AF1214" s="207"/>
      <c r="AG1214" s="207"/>
      <c r="AH1214" s="207">
        <f>COUNTIFS('Form Details'!$P:$P,AH$1208,'Form Details'!$J:$J,$C1214,'Form Details'!$D:$D,'Adv. Filter'!$A$14,'Form Details'!$D:$D,'Adv. Filter'!$B$14)</f>
        <v>3</v>
      </c>
      <c r="AI1214" s="207"/>
      <c r="AJ1214" s="207"/>
      <c r="AK1214" s="207"/>
      <c r="AL1214" s="207"/>
      <c r="AM1214" s="207"/>
      <c r="AN1214" s="207"/>
      <c r="AO1214" s="207"/>
      <c r="AP1214" s="207">
        <f>COUNTIFS('Form Details'!$P:$P,AP$1208,'Form Details'!$J:$J,$C1214,'Form Details'!$D:$D,'Adv. Filter'!$A$14,'Form Details'!$D:$D,'Adv. Filter'!$B$14)</f>
        <v>4</v>
      </c>
      <c r="AQ1214" s="207"/>
      <c r="AR1214" s="207"/>
      <c r="AS1214" s="207"/>
      <c r="AT1214" s="207"/>
      <c r="AU1214" s="207"/>
      <c r="AV1214" s="207"/>
      <c r="AW1214" s="207"/>
      <c r="AX1214" s="207">
        <f>COUNTIFS('Form Details'!$P:$P,AX$1208,'Form Details'!$J:$J,$C1214,'Form Details'!$D:$D,'Adv. Filter'!$A$14,'Form Details'!$D:$D,'Adv. Filter'!$B$14)</f>
        <v>5</v>
      </c>
      <c r="AY1214" s="207"/>
      <c r="AZ1214" s="207"/>
      <c r="BA1214" s="207"/>
      <c r="BB1214" s="207"/>
      <c r="BC1214" s="207"/>
      <c r="BD1214" s="207"/>
      <c r="BE1214" s="207"/>
      <c r="BF1214" s="207">
        <f>COUNTIFS('Form Details'!$P:$P,BF$1208,'Form Details'!$J:$J,$C1214,'Form Details'!$D:$D,'Adv. Filter'!$A$14,'Form Details'!$D:$D,'Adv. Filter'!$B$14)</f>
        <v>5</v>
      </c>
      <c r="BG1214" s="207"/>
      <c r="BH1214" s="207"/>
      <c r="BI1214" s="207"/>
      <c r="BJ1214" s="207"/>
      <c r="BK1214" s="207"/>
      <c r="BL1214" s="207"/>
      <c r="BM1214" s="207"/>
      <c r="BN1214" s="207">
        <f>COUNTIFS('Form Details'!$P:$P,BN$1208,'Form Details'!$J:$J,$C1214,'Form Details'!$D:$D,'Adv. Filter'!$A$14,'Form Details'!$D:$D,'Adv. Filter'!$B$14)</f>
        <v>5</v>
      </c>
      <c r="BO1214" s="207"/>
      <c r="BP1214" s="207"/>
      <c r="BQ1214" s="207"/>
      <c r="BR1214" s="207"/>
      <c r="BS1214" s="207"/>
      <c r="BT1214" s="207"/>
      <c r="BU1214" s="207"/>
      <c r="BV1214" s="207">
        <f>COUNTIFS('Form Details'!$P:$P,BV$1208,'Form Details'!$J:$J,$C1214,'Form Details'!$D:$D,'Adv. Filter'!$A$14,'Form Details'!$D:$D,'Adv. Filter'!$B$14)</f>
        <v>5</v>
      </c>
      <c r="BW1214" s="207"/>
      <c r="BX1214" s="207"/>
      <c r="BY1214" s="207"/>
      <c r="BZ1214" s="207"/>
      <c r="CA1214" s="207"/>
      <c r="CB1214" s="207"/>
      <c r="CC1214" s="207"/>
      <c r="CD1214" s="207">
        <f>COUNTIFS('Form Details'!$P:$P,CD$1208,'Form Details'!$J:$J,$C1214,'Form Details'!$D:$D,'Adv. Filter'!$A$14,'Form Details'!$D:$D,'Adv. Filter'!$B$14)</f>
        <v>3</v>
      </c>
      <c r="CE1214" s="207"/>
      <c r="CF1214" s="207"/>
      <c r="CG1214" s="207"/>
      <c r="CH1214" s="207"/>
      <c r="CI1214" s="207"/>
      <c r="CJ1214" s="207"/>
      <c r="CK1214" s="207"/>
      <c r="CL1214" s="207">
        <f>COUNTIFS('Form Details'!$P:$P,CL$1208,'Form Details'!$J:$J,$C1214,'Form Details'!$D:$D,'Adv. Filter'!$A$14,'Form Details'!$D:$D,'Adv. Filter'!$B$14)</f>
        <v>1</v>
      </c>
      <c r="CM1214" s="207"/>
      <c r="CN1214" s="207"/>
      <c r="CO1214" s="207"/>
      <c r="CP1214" s="207"/>
      <c r="CQ1214" s="207"/>
      <c r="CR1214" s="207"/>
      <c r="CS1214" s="207"/>
      <c r="CT1214" s="207">
        <f>COUNTIFS('Form Details'!$P:$P,CT$1208,'Form Details'!$J:$J,$C1214,'Form Details'!$D:$D,'Adv. Filter'!$A$14,'Form Details'!$D:$D,'Adv. Filter'!$B$14)</f>
        <v>1</v>
      </c>
      <c r="CU1214" s="207"/>
      <c r="CV1214" s="207"/>
      <c r="CW1214" s="207"/>
      <c r="CX1214" s="207"/>
      <c r="CY1214" s="207"/>
      <c r="CZ1214" s="207"/>
      <c r="DA1214" s="207"/>
      <c r="DB1214" s="207">
        <f>COUNTIFS('Form Details'!$P:$P,DB$1208,'Form Details'!$J:$J,$C1214,'Form Details'!$D:$D,'Adv. Filter'!$A$14,'Form Details'!$D:$D,'Adv. Filter'!$B$14)</f>
        <v>3</v>
      </c>
      <c r="DC1214" s="207"/>
      <c r="DD1214" s="207"/>
      <c r="DE1214" s="207"/>
      <c r="DF1214" s="207"/>
      <c r="DG1214" s="207"/>
      <c r="DH1214" s="207"/>
      <c r="DI1214" s="207"/>
      <c r="DJ1214" s="212">
        <f t="shared" si="34"/>
        <v>40</v>
      </c>
      <c r="DK1214" s="213"/>
      <c r="DL1214" s="213"/>
      <c r="DM1214" s="213"/>
      <c r="DN1214" s="213"/>
      <c r="DO1214" s="213"/>
      <c r="DP1214" s="213"/>
      <c r="DQ1214" s="213"/>
      <c r="DR1214" s="213"/>
      <c r="DS1214" s="214"/>
    </row>
    <row r="1215" spans="1:138" hidden="1">
      <c r="A1215" s="180"/>
      <c r="B1215" s="180"/>
      <c r="C1215" s="217" t="s">
        <v>138</v>
      </c>
      <c r="D1215" s="217"/>
      <c r="E1215" s="217"/>
      <c r="F1215" s="217"/>
      <c r="G1215" s="217"/>
      <c r="H1215" s="217"/>
      <c r="I1215" s="217"/>
      <c r="J1215" s="217"/>
      <c r="K1215" s="217"/>
      <c r="L1215" s="217"/>
      <c r="M1215" s="217"/>
      <c r="N1215" s="217"/>
      <c r="O1215" s="217"/>
      <c r="P1215" s="217"/>
      <c r="Q1215" s="217"/>
      <c r="R1215" s="207">
        <f>COUNTIFS('Form Details'!$P:$P,R$1208,'Form Details'!$J:$J,$C1215,'Form Details'!$D:$D,'Adv. Filter'!$A$14,'Form Details'!$D:$D,'Adv. Filter'!$B$14)</f>
        <v>0</v>
      </c>
      <c r="S1215" s="207"/>
      <c r="T1215" s="207"/>
      <c r="U1215" s="207"/>
      <c r="V1215" s="207"/>
      <c r="W1215" s="207"/>
      <c r="X1215" s="207"/>
      <c r="Y1215" s="207"/>
      <c r="Z1215" s="207">
        <f>COUNTIFS('Form Details'!$P:$P,Z$1208,'Form Details'!$J:$J,$C1215,'Form Details'!$D:$D,'Adv. Filter'!$A$14,'Form Details'!$D:$D,'Adv. Filter'!$B$14)</f>
        <v>0</v>
      </c>
      <c r="AA1215" s="207"/>
      <c r="AB1215" s="207"/>
      <c r="AC1215" s="207"/>
      <c r="AD1215" s="207"/>
      <c r="AE1215" s="207"/>
      <c r="AF1215" s="207"/>
      <c r="AG1215" s="207"/>
      <c r="AH1215" s="207">
        <f>COUNTIFS('Form Details'!$P:$P,AH$1208,'Form Details'!$J:$J,$C1215,'Form Details'!$D:$D,'Adv. Filter'!$A$14,'Form Details'!$D:$D,'Adv. Filter'!$B$14)</f>
        <v>0</v>
      </c>
      <c r="AI1215" s="207"/>
      <c r="AJ1215" s="207"/>
      <c r="AK1215" s="207"/>
      <c r="AL1215" s="207"/>
      <c r="AM1215" s="207"/>
      <c r="AN1215" s="207"/>
      <c r="AO1215" s="207"/>
      <c r="AP1215" s="207">
        <f>COUNTIFS('Form Details'!$P:$P,AP$1208,'Form Details'!$J:$J,$C1215,'Form Details'!$D:$D,'Adv. Filter'!$A$14,'Form Details'!$D:$D,'Adv. Filter'!$B$14)</f>
        <v>0</v>
      </c>
      <c r="AQ1215" s="207"/>
      <c r="AR1215" s="207"/>
      <c r="AS1215" s="207"/>
      <c r="AT1215" s="207"/>
      <c r="AU1215" s="207"/>
      <c r="AV1215" s="207"/>
      <c r="AW1215" s="207"/>
      <c r="AX1215" s="207">
        <f>COUNTIFS('Form Details'!$P:$P,AX$1208,'Form Details'!$J:$J,$C1215,'Form Details'!$D:$D,'Adv. Filter'!$A$14,'Form Details'!$D:$D,'Adv. Filter'!$B$14)</f>
        <v>0</v>
      </c>
      <c r="AY1215" s="207"/>
      <c r="AZ1215" s="207"/>
      <c r="BA1215" s="207"/>
      <c r="BB1215" s="207"/>
      <c r="BC1215" s="207"/>
      <c r="BD1215" s="207"/>
      <c r="BE1215" s="207"/>
      <c r="BF1215" s="207">
        <f>COUNTIFS('Form Details'!$P:$P,BF$1208,'Form Details'!$J:$J,$C1215,'Form Details'!$D:$D,'Adv. Filter'!$A$14,'Form Details'!$D:$D,'Adv. Filter'!$B$14)</f>
        <v>0</v>
      </c>
      <c r="BG1215" s="207"/>
      <c r="BH1215" s="207"/>
      <c r="BI1215" s="207"/>
      <c r="BJ1215" s="207"/>
      <c r="BK1215" s="207"/>
      <c r="BL1215" s="207"/>
      <c r="BM1215" s="207"/>
      <c r="BN1215" s="207">
        <f>COUNTIFS('Form Details'!$P:$P,BN$1208,'Form Details'!$J:$J,$C1215,'Form Details'!$D:$D,'Adv. Filter'!$A$14,'Form Details'!$D:$D,'Adv. Filter'!$B$14)</f>
        <v>0</v>
      </c>
      <c r="BO1215" s="207"/>
      <c r="BP1215" s="207"/>
      <c r="BQ1215" s="207"/>
      <c r="BR1215" s="207"/>
      <c r="BS1215" s="207"/>
      <c r="BT1215" s="207"/>
      <c r="BU1215" s="207"/>
      <c r="BV1215" s="207">
        <f>COUNTIFS('Form Details'!$P:$P,BV$1208,'Form Details'!$J:$J,$C1215,'Form Details'!$D:$D,'Adv. Filter'!$A$14,'Form Details'!$D:$D,'Adv. Filter'!$B$14)</f>
        <v>0</v>
      </c>
      <c r="BW1215" s="207"/>
      <c r="BX1215" s="207"/>
      <c r="BY1215" s="207"/>
      <c r="BZ1215" s="207"/>
      <c r="CA1215" s="207"/>
      <c r="CB1215" s="207"/>
      <c r="CC1215" s="207"/>
      <c r="CD1215" s="207">
        <f>COUNTIFS('Form Details'!$P:$P,CD$1208,'Form Details'!$J:$J,$C1215,'Form Details'!$D:$D,'Adv. Filter'!$A$14,'Form Details'!$D:$D,'Adv. Filter'!$B$14)</f>
        <v>0</v>
      </c>
      <c r="CE1215" s="207"/>
      <c r="CF1215" s="207"/>
      <c r="CG1215" s="207"/>
      <c r="CH1215" s="207"/>
      <c r="CI1215" s="207"/>
      <c r="CJ1215" s="207"/>
      <c r="CK1215" s="207"/>
      <c r="CL1215" s="207">
        <f>COUNTIFS('Form Details'!$P:$P,CL$1208,'Form Details'!$J:$J,$C1215,'Form Details'!$D:$D,'Adv. Filter'!$A$14,'Form Details'!$D:$D,'Adv. Filter'!$B$14)</f>
        <v>0</v>
      </c>
      <c r="CM1215" s="207"/>
      <c r="CN1215" s="207"/>
      <c r="CO1215" s="207"/>
      <c r="CP1215" s="207"/>
      <c r="CQ1215" s="207"/>
      <c r="CR1215" s="207"/>
      <c r="CS1215" s="207"/>
      <c r="CT1215" s="207">
        <f>COUNTIFS('Form Details'!$P:$P,CT$1208,'Form Details'!$J:$J,$C1215,'Form Details'!$D:$D,'Adv. Filter'!$A$14,'Form Details'!$D:$D,'Adv. Filter'!$B$14)</f>
        <v>0</v>
      </c>
      <c r="CU1215" s="207"/>
      <c r="CV1215" s="207"/>
      <c r="CW1215" s="207"/>
      <c r="CX1215" s="207"/>
      <c r="CY1215" s="207"/>
      <c r="CZ1215" s="207"/>
      <c r="DA1215" s="207"/>
      <c r="DB1215" s="207">
        <f>COUNTIFS('Form Details'!$P:$P,DB$1208,'Form Details'!$J:$J,$C1215,'Form Details'!$D:$D,'Adv. Filter'!$A$14,'Form Details'!$D:$D,'Adv. Filter'!$B$14)</f>
        <v>0</v>
      </c>
      <c r="DC1215" s="207"/>
      <c r="DD1215" s="207"/>
      <c r="DE1215" s="207"/>
      <c r="DF1215" s="207"/>
      <c r="DG1215" s="207"/>
      <c r="DH1215" s="207"/>
      <c r="DI1215" s="207"/>
      <c r="DJ1215" s="212">
        <f t="shared" si="34"/>
        <v>0</v>
      </c>
      <c r="DK1215" s="213"/>
      <c r="DL1215" s="213"/>
      <c r="DM1215" s="213"/>
      <c r="DN1215" s="213"/>
      <c r="DO1215" s="213"/>
      <c r="DP1215" s="213"/>
      <c r="DQ1215" s="213"/>
      <c r="DR1215" s="213"/>
      <c r="DS1215" s="214"/>
    </row>
    <row r="1216" spans="1:138" hidden="1">
      <c r="A1216" s="180"/>
      <c r="B1216" s="180"/>
      <c r="C1216" s="217" t="s">
        <v>84</v>
      </c>
      <c r="D1216" s="217"/>
      <c r="E1216" s="217"/>
      <c r="F1216" s="217"/>
      <c r="G1216" s="217"/>
      <c r="H1216" s="217"/>
      <c r="I1216" s="217"/>
      <c r="J1216" s="217"/>
      <c r="K1216" s="217"/>
      <c r="L1216" s="217"/>
      <c r="M1216" s="217"/>
      <c r="N1216" s="217"/>
      <c r="O1216" s="217"/>
      <c r="P1216" s="217"/>
      <c r="Q1216" s="217"/>
      <c r="R1216" s="207">
        <f>COUNTIFS('Form Details'!$P:$P,R$1208,'Form Details'!$J:$J,$C1216,'Form Details'!$D:$D,'Adv. Filter'!$A$14,'Form Details'!$D:$D,'Adv. Filter'!$B$14)</f>
        <v>64</v>
      </c>
      <c r="S1216" s="207"/>
      <c r="T1216" s="207"/>
      <c r="U1216" s="207"/>
      <c r="V1216" s="207"/>
      <c r="W1216" s="207"/>
      <c r="X1216" s="207"/>
      <c r="Y1216" s="207"/>
      <c r="Z1216" s="207">
        <f>COUNTIFS('Form Details'!$P:$P,Z$1208,'Form Details'!$J:$J,$C1216,'Form Details'!$D:$D,'Adv. Filter'!$A$14,'Form Details'!$D:$D,'Adv. Filter'!$B$14)</f>
        <v>51</v>
      </c>
      <c r="AA1216" s="207"/>
      <c r="AB1216" s="207"/>
      <c r="AC1216" s="207"/>
      <c r="AD1216" s="207"/>
      <c r="AE1216" s="207"/>
      <c r="AF1216" s="207"/>
      <c r="AG1216" s="207"/>
      <c r="AH1216" s="207">
        <f>COUNTIFS('Form Details'!$P:$P,AH$1208,'Form Details'!$J:$J,$C1216,'Form Details'!$D:$D,'Adv. Filter'!$A$14,'Form Details'!$D:$D,'Adv. Filter'!$B$14)</f>
        <v>52</v>
      </c>
      <c r="AI1216" s="207"/>
      <c r="AJ1216" s="207"/>
      <c r="AK1216" s="207"/>
      <c r="AL1216" s="207"/>
      <c r="AM1216" s="207"/>
      <c r="AN1216" s="207"/>
      <c r="AO1216" s="207"/>
      <c r="AP1216" s="207">
        <f>COUNTIFS('Form Details'!$P:$P,AP$1208,'Form Details'!$J:$J,$C1216,'Form Details'!$D:$D,'Adv. Filter'!$A$14,'Form Details'!$D:$D,'Adv. Filter'!$B$14)</f>
        <v>51</v>
      </c>
      <c r="AQ1216" s="207"/>
      <c r="AR1216" s="207"/>
      <c r="AS1216" s="207"/>
      <c r="AT1216" s="207"/>
      <c r="AU1216" s="207"/>
      <c r="AV1216" s="207"/>
      <c r="AW1216" s="207"/>
      <c r="AX1216" s="207">
        <f>COUNTIFS('Form Details'!$P:$P,AX$1208,'Form Details'!$J:$J,$C1216,'Form Details'!$D:$D,'Adv. Filter'!$A$14,'Form Details'!$D:$D,'Adv. Filter'!$B$14)</f>
        <v>52</v>
      </c>
      <c r="AY1216" s="207"/>
      <c r="AZ1216" s="207"/>
      <c r="BA1216" s="207"/>
      <c r="BB1216" s="207"/>
      <c r="BC1216" s="207"/>
      <c r="BD1216" s="207"/>
      <c r="BE1216" s="207"/>
      <c r="BF1216" s="207">
        <f>COUNTIFS('Form Details'!$P:$P,BF$1208,'Form Details'!$J:$J,$C1216,'Form Details'!$D:$D,'Adv. Filter'!$A$14,'Form Details'!$D:$D,'Adv. Filter'!$B$14)</f>
        <v>55</v>
      </c>
      <c r="BG1216" s="207"/>
      <c r="BH1216" s="207"/>
      <c r="BI1216" s="207"/>
      <c r="BJ1216" s="207"/>
      <c r="BK1216" s="207"/>
      <c r="BL1216" s="207"/>
      <c r="BM1216" s="207"/>
      <c r="BN1216" s="207">
        <f>COUNTIFS('Form Details'!$P:$P,BN$1208,'Form Details'!$J:$J,$C1216,'Form Details'!$D:$D,'Adv. Filter'!$A$14,'Form Details'!$D:$D,'Adv. Filter'!$B$14)</f>
        <v>55</v>
      </c>
      <c r="BO1216" s="207"/>
      <c r="BP1216" s="207"/>
      <c r="BQ1216" s="207"/>
      <c r="BR1216" s="207"/>
      <c r="BS1216" s="207"/>
      <c r="BT1216" s="207"/>
      <c r="BU1216" s="207"/>
      <c r="BV1216" s="207">
        <f>COUNTIFS('Form Details'!$P:$P,BV$1208,'Form Details'!$J:$J,$C1216,'Form Details'!$D:$D,'Adv. Filter'!$A$14,'Form Details'!$D:$D,'Adv. Filter'!$B$14)</f>
        <v>48</v>
      </c>
      <c r="BW1216" s="207"/>
      <c r="BX1216" s="207"/>
      <c r="BY1216" s="207"/>
      <c r="BZ1216" s="207"/>
      <c r="CA1216" s="207"/>
      <c r="CB1216" s="207"/>
      <c r="CC1216" s="207"/>
      <c r="CD1216" s="207">
        <f>COUNTIFS('Form Details'!$P:$P,CD$1208,'Form Details'!$J:$J,$C1216,'Form Details'!$D:$D,'Adv. Filter'!$A$14,'Form Details'!$D:$D,'Adv. Filter'!$B$14)</f>
        <v>53</v>
      </c>
      <c r="CE1216" s="207"/>
      <c r="CF1216" s="207"/>
      <c r="CG1216" s="207"/>
      <c r="CH1216" s="207"/>
      <c r="CI1216" s="207"/>
      <c r="CJ1216" s="207"/>
      <c r="CK1216" s="207"/>
      <c r="CL1216" s="207">
        <f>COUNTIFS('Form Details'!$P:$P,CL$1208,'Form Details'!$J:$J,$C1216,'Form Details'!$D:$D,'Adv. Filter'!$A$14,'Form Details'!$D:$D,'Adv. Filter'!$B$14)</f>
        <v>51</v>
      </c>
      <c r="CM1216" s="207"/>
      <c r="CN1216" s="207"/>
      <c r="CO1216" s="207"/>
      <c r="CP1216" s="207"/>
      <c r="CQ1216" s="207"/>
      <c r="CR1216" s="207"/>
      <c r="CS1216" s="207"/>
      <c r="CT1216" s="207">
        <f>COUNTIFS('Form Details'!$P:$P,CT$1208,'Form Details'!$J:$J,$C1216,'Form Details'!$D:$D,'Adv. Filter'!$A$14,'Form Details'!$D:$D,'Adv. Filter'!$B$14)</f>
        <v>42</v>
      </c>
      <c r="CU1216" s="207"/>
      <c r="CV1216" s="207"/>
      <c r="CW1216" s="207"/>
      <c r="CX1216" s="207"/>
      <c r="CY1216" s="207"/>
      <c r="CZ1216" s="207"/>
      <c r="DA1216" s="207"/>
      <c r="DB1216" s="207">
        <f>COUNTIFS('Form Details'!$P:$P,DB$1208,'Form Details'!$J:$J,$C1216,'Form Details'!$D:$D,'Adv. Filter'!$A$14,'Form Details'!$D:$D,'Adv. Filter'!$B$14)</f>
        <v>52</v>
      </c>
      <c r="DC1216" s="207"/>
      <c r="DD1216" s="207"/>
      <c r="DE1216" s="207"/>
      <c r="DF1216" s="207"/>
      <c r="DG1216" s="207"/>
      <c r="DH1216" s="207"/>
      <c r="DI1216" s="207"/>
      <c r="DJ1216" s="212">
        <f t="shared" si="34"/>
        <v>626</v>
      </c>
      <c r="DK1216" s="213"/>
      <c r="DL1216" s="213"/>
      <c r="DM1216" s="213"/>
      <c r="DN1216" s="213"/>
      <c r="DO1216" s="213"/>
      <c r="DP1216" s="213"/>
      <c r="DQ1216" s="213"/>
      <c r="DR1216" s="213"/>
      <c r="DS1216" s="214"/>
    </row>
    <row r="1217" spans="1:123" hidden="1">
      <c r="A1217" s="180"/>
      <c r="B1217" s="180"/>
      <c r="C1217" s="217" t="s">
        <v>551</v>
      </c>
      <c r="D1217" s="217"/>
      <c r="E1217" s="217"/>
      <c r="F1217" s="217"/>
      <c r="G1217" s="217"/>
      <c r="H1217" s="217"/>
      <c r="I1217" s="217"/>
      <c r="J1217" s="217"/>
      <c r="K1217" s="217"/>
      <c r="L1217" s="217"/>
      <c r="M1217" s="217"/>
      <c r="N1217" s="217"/>
      <c r="O1217" s="217"/>
      <c r="P1217" s="217"/>
      <c r="Q1217" s="217"/>
      <c r="R1217" s="207">
        <f>COUNTIFS('Form Details'!$P:$P,R$1208,'Form Details'!$J:$J,$C1217,'Form Details'!$D:$D,'Adv. Filter'!$A$14,'Form Details'!$D:$D,'Adv. Filter'!$B$14)</f>
        <v>6</v>
      </c>
      <c r="S1217" s="207"/>
      <c r="T1217" s="207"/>
      <c r="U1217" s="207"/>
      <c r="V1217" s="207"/>
      <c r="W1217" s="207"/>
      <c r="X1217" s="207"/>
      <c r="Y1217" s="207"/>
      <c r="Z1217" s="207">
        <f>COUNTIFS('Form Details'!$P:$P,Z$1208,'Form Details'!$J:$J,$C1217,'Form Details'!$D:$D,'Adv. Filter'!$A$14,'Form Details'!$D:$D,'Adv. Filter'!$B$14)</f>
        <v>5</v>
      </c>
      <c r="AA1217" s="207"/>
      <c r="AB1217" s="207"/>
      <c r="AC1217" s="207"/>
      <c r="AD1217" s="207"/>
      <c r="AE1217" s="207"/>
      <c r="AF1217" s="207"/>
      <c r="AG1217" s="207"/>
      <c r="AH1217" s="207">
        <f>COUNTIFS('Form Details'!$P:$P,AH$1208,'Form Details'!$J:$J,$C1217,'Form Details'!$D:$D,'Adv. Filter'!$A$14,'Form Details'!$D:$D,'Adv. Filter'!$B$14)</f>
        <v>5</v>
      </c>
      <c r="AI1217" s="207"/>
      <c r="AJ1217" s="207"/>
      <c r="AK1217" s="207"/>
      <c r="AL1217" s="207"/>
      <c r="AM1217" s="207"/>
      <c r="AN1217" s="207"/>
      <c r="AO1217" s="207"/>
      <c r="AP1217" s="207">
        <f>COUNTIFS('Form Details'!$P:$P,AP$1208,'Form Details'!$J:$J,$C1217,'Form Details'!$D:$D,'Adv. Filter'!$A$14,'Form Details'!$D:$D,'Adv. Filter'!$B$14)</f>
        <v>6</v>
      </c>
      <c r="AQ1217" s="207"/>
      <c r="AR1217" s="207"/>
      <c r="AS1217" s="207"/>
      <c r="AT1217" s="207"/>
      <c r="AU1217" s="207"/>
      <c r="AV1217" s="207"/>
      <c r="AW1217" s="207"/>
      <c r="AX1217" s="207">
        <f>COUNTIFS('Form Details'!$P:$P,AX$1208,'Form Details'!$J:$J,$C1217,'Form Details'!$D:$D,'Adv. Filter'!$A$14,'Form Details'!$D:$D,'Adv. Filter'!$B$14)</f>
        <v>6</v>
      </c>
      <c r="AY1217" s="207"/>
      <c r="AZ1217" s="207"/>
      <c r="BA1217" s="207"/>
      <c r="BB1217" s="207"/>
      <c r="BC1217" s="207"/>
      <c r="BD1217" s="207"/>
      <c r="BE1217" s="207"/>
      <c r="BF1217" s="207">
        <f>COUNTIFS('Form Details'!$P:$P,BF$1208,'Form Details'!$J:$J,$C1217,'Form Details'!$D:$D,'Adv. Filter'!$A$14,'Form Details'!$D:$D,'Adv. Filter'!$B$14)</f>
        <v>6</v>
      </c>
      <c r="BG1217" s="207"/>
      <c r="BH1217" s="207"/>
      <c r="BI1217" s="207"/>
      <c r="BJ1217" s="207"/>
      <c r="BK1217" s="207"/>
      <c r="BL1217" s="207"/>
      <c r="BM1217" s="207"/>
      <c r="BN1217" s="207">
        <f>COUNTIFS('Form Details'!$P:$P,BN$1208,'Form Details'!$J:$J,$C1217,'Form Details'!$D:$D,'Adv. Filter'!$A$14,'Form Details'!$D:$D,'Adv. Filter'!$B$14)</f>
        <v>5</v>
      </c>
      <c r="BO1217" s="207"/>
      <c r="BP1217" s="207"/>
      <c r="BQ1217" s="207"/>
      <c r="BR1217" s="207"/>
      <c r="BS1217" s="207"/>
      <c r="BT1217" s="207"/>
      <c r="BU1217" s="207"/>
      <c r="BV1217" s="207">
        <f>COUNTIFS('Form Details'!$P:$P,BV$1208,'Form Details'!$J:$J,$C1217,'Form Details'!$D:$D,'Adv. Filter'!$A$14,'Form Details'!$D:$D,'Adv. Filter'!$B$14)</f>
        <v>4</v>
      </c>
      <c r="BW1217" s="207"/>
      <c r="BX1217" s="207"/>
      <c r="BY1217" s="207"/>
      <c r="BZ1217" s="207"/>
      <c r="CA1217" s="207"/>
      <c r="CB1217" s="207"/>
      <c r="CC1217" s="207"/>
      <c r="CD1217" s="207">
        <f>COUNTIFS('Form Details'!$P:$P,CD$1208,'Form Details'!$J:$J,$C1217,'Form Details'!$D:$D,'Adv. Filter'!$A$14,'Form Details'!$D:$D,'Adv. Filter'!$B$14)</f>
        <v>7</v>
      </c>
      <c r="CE1217" s="207"/>
      <c r="CF1217" s="207"/>
      <c r="CG1217" s="207"/>
      <c r="CH1217" s="207"/>
      <c r="CI1217" s="207"/>
      <c r="CJ1217" s="207"/>
      <c r="CK1217" s="207"/>
      <c r="CL1217" s="207">
        <f>COUNTIFS('Form Details'!$P:$P,CL$1208,'Form Details'!$J:$J,$C1217,'Form Details'!$D:$D,'Adv. Filter'!$A$14,'Form Details'!$D:$D,'Adv. Filter'!$B$14)</f>
        <v>3</v>
      </c>
      <c r="CM1217" s="207"/>
      <c r="CN1217" s="207"/>
      <c r="CO1217" s="207"/>
      <c r="CP1217" s="207"/>
      <c r="CQ1217" s="207"/>
      <c r="CR1217" s="207"/>
      <c r="CS1217" s="207"/>
      <c r="CT1217" s="207">
        <f>COUNTIFS('Form Details'!$P:$P,CT$1208,'Form Details'!$J:$J,$C1217,'Form Details'!$D:$D,'Adv. Filter'!$A$14,'Form Details'!$D:$D,'Adv. Filter'!$B$14)</f>
        <v>5</v>
      </c>
      <c r="CU1217" s="207"/>
      <c r="CV1217" s="207"/>
      <c r="CW1217" s="207"/>
      <c r="CX1217" s="207"/>
      <c r="CY1217" s="207"/>
      <c r="CZ1217" s="207"/>
      <c r="DA1217" s="207"/>
      <c r="DB1217" s="207">
        <f>COUNTIFS('Form Details'!$P:$P,DB$1208,'Form Details'!$J:$J,$C1217,'Form Details'!$D:$D,'Adv. Filter'!$A$14,'Form Details'!$D:$D,'Adv. Filter'!$B$14)</f>
        <v>4</v>
      </c>
      <c r="DC1217" s="207"/>
      <c r="DD1217" s="207"/>
      <c r="DE1217" s="207"/>
      <c r="DF1217" s="207"/>
      <c r="DG1217" s="207"/>
      <c r="DH1217" s="207"/>
      <c r="DI1217" s="207"/>
      <c r="DJ1217" s="212">
        <f t="shared" si="34"/>
        <v>62</v>
      </c>
      <c r="DK1217" s="213"/>
      <c r="DL1217" s="213"/>
      <c r="DM1217" s="213"/>
      <c r="DN1217" s="213"/>
      <c r="DO1217" s="213"/>
      <c r="DP1217" s="213"/>
      <c r="DQ1217" s="213"/>
      <c r="DR1217" s="213"/>
      <c r="DS1217" s="214"/>
    </row>
    <row r="1218" spans="1:123" hidden="1">
      <c r="A1218" s="180"/>
      <c r="B1218" s="180"/>
      <c r="C1218" s="217" t="s">
        <v>121</v>
      </c>
      <c r="D1218" s="217"/>
      <c r="E1218" s="217"/>
      <c r="F1218" s="217"/>
      <c r="G1218" s="217"/>
      <c r="H1218" s="217"/>
      <c r="I1218" s="217"/>
      <c r="J1218" s="217"/>
      <c r="K1218" s="217"/>
      <c r="L1218" s="217"/>
      <c r="M1218" s="217"/>
      <c r="N1218" s="217"/>
      <c r="O1218" s="217"/>
      <c r="P1218" s="217"/>
      <c r="Q1218" s="217"/>
      <c r="R1218" s="207">
        <f>COUNTIFS('Form Details'!$P:$P,R$1208,'Form Details'!$J:$J,$C1218,'Form Details'!$D:$D,'Adv. Filter'!$A$14,'Form Details'!$D:$D,'Adv. Filter'!$B$14)</f>
        <v>1</v>
      </c>
      <c r="S1218" s="207"/>
      <c r="T1218" s="207"/>
      <c r="U1218" s="207"/>
      <c r="V1218" s="207"/>
      <c r="W1218" s="207"/>
      <c r="X1218" s="207"/>
      <c r="Y1218" s="207"/>
      <c r="Z1218" s="207">
        <f>COUNTIFS('Form Details'!$P:$P,Z$1208,'Form Details'!$J:$J,$C1218,'Form Details'!$D:$D,'Adv. Filter'!$A$14,'Form Details'!$D:$D,'Adv. Filter'!$B$14)</f>
        <v>1</v>
      </c>
      <c r="AA1218" s="207"/>
      <c r="AB1218" s="207"/>
      <c r="AC1218" s="207"/>
      <c r="AD1218" s="207"/>
      <c r="AE1218" s="207"/>
      <c r="AF1218" s="207"/>
      <c r="AG1218" s="207"/>
      <c r="AH1218" s="207">
        <f>COUNTIFS('Form Details'!$P:$P,AH$1208,'Form Details'!$J:$J,$C1218,'Form Details'!$D:$D,'Adv. Filter'!$A$14,'Form Details'!$D:$D,'Adv. Filter'!$B$14)</f>
        <v>0</v>
      </c>
      <c r="AI1218" s="207"/>
      <c r="AJ1218" s="207"/>
      <c r="AK1218" s="207"/>
      <c r="AL1218" s="207"/>
      <c r="AM1218" s="207"/>
      <c r="AN1218" s="207"/>
      <c r="AO1218" s="207"/>
      <c r="AP1218" s="207">
        <f>COUNTIFS('Form Details'!$P:$P,AP$1208,'Form Details'!$J:$J,$C1218,'Form Details'!$D:$D,'Adv. Filter'!$A$14,'Form Details'!$D:$D,'Adv. Filter'!$B$14)</f>
        <v>1</v>
      </c>
      <c r="AQ1218" s="207"/>
      <c r="AR1218" s="207"/>
      <c r="AS1218" s="207"/>
      <c r="AT1218" s="207"/>
      <c r="AU1218" s="207"/>
      <c r="AV1218" s="207"/>
      <c r="AW1218" s="207"/>
      <c r="AX1218" s="207">
        <f>COUNTIFS('Form Details'!$P:$P,AX$1208,'Form Details'!$J:$J,$C1218,'Form Details'!$D:$D,'Adv. Filter'!$A$14,'Form Details'!$D:$D,'Adv. Filter'!$B$14)</f>
        <v>2</v>
      </c>
      <c r="AY1218" s="207"/>
      <c r="AZ1218" s="207"/>
      <c r="BA1218" s="207"/>
      <c r="BB1218" s="207"/>
      <c r="BC1218" s="207"/>
      <c r="BD1218" s="207"/>
      <c r="BE1218" s="207"/>
      <c r="BF1218" s="207">
        <f>COUNTIFS('Form Details'!$P:$P,BF$1208,'Form Details'!$J:$J,$C1218,'Form Details'!$D:$D,'Adv. Filter'!$A$14,'Form Details'!$D:$D,'Adv. Filter'!$B$14)</f>
        <v>2</v>
      </c>
      <c r="BG1218" s="207"/>
      <c r="BH1218" s="207"/>
      <c r="BI1218" s="207"/>
      <c r="BJ1218" s="207"/>
      <c r="BK1218" s="207"/>
      <c r="BL1218" s="207"/>
      <c r="BM1218" s="207"/>
      <c r="BN1218" s="207">
        <f>COUNTIFS('Form Details'!$P:$P,BN$1208,'Form Details'!$J:$J,$C1218,'Form Details'!$D:$D,'Adv. Filter'!$A$14,'Form Details'!$D:$D,'Adv. Filter'!$B$14)</f>
        <v>1</v>
      </c>
      <c r="BO1218" s="207"/>
      <c r="BP1218" s="207"/>
      <c r="BQ1218" s="207"/>
      <c r="BR1218" s="207"/>
      <c r="BS1218" s="207"/>
      <c r="BT1218" s="207"/>
      <c r="BU1218" s="207"/>
      <c r="BV1218" s="207">
        <f>COUNTIFS('Form Details'!$P:$P,BV$1208,'Form Details'!$J:$J,$C1218,'Form Details'!$D:$D,'Adv. Filter'!$A$14,'Form Details'!$D:$D,'Adv. Filter'!$B$14)</f>
        <v>1</v>
      </c>
      <c r="BW1218" s="207"/>
      <c r="BX1218" s="207"/>
      <c r="BY1218" s="207"/>
      <c r="BZ1218" s="207"/>
      <c r="CA1218" s="207"/>
      <c r="CB1218" s="207"/>
      <c r="CC1218" s="207"/>
      <c r="CD1218" s="207">
        <f>COUNTIFS('Form Details'!$P:$P,CD$1208,'Form Details'!$J:$J,$C1218,'Form Details'!$D:$D,'Adv. Filter'!$A$14,'Form Details'!$D:$D,'Adv. Filter'!$B$14)</f>
        <v>0</v>
      </c>
      <c r="CE1218" s="207"/>
      <c r="CF1218" s="207"/>
      <c r="CG1218" s="207"/>
      <c r="CH1218" s="207"/>
      <c r="CI1218" s="207"/>
      <c r="CJ1218" s="207"/>
      <c r="CK1218" s="207"/>
      <c r="CL1218" s="207">
        <f>COUNTIFS('Form Details'!$P:$P,CL$1208,'Form Details'!$J:$J,$C1218,'Form Details'!$D:$D,'Adv. Filter'!$A$14,'Form Details'!$D:$D,'Adv. Filter'!$B$14)</f>
        <v>0</v>
      </c>
      <c r="CM1218" s="207"/>
      <c r="CN1218" s="207"/>
      <c r="CO1218" s="207"/>
      <c r="CP1218" s="207"/>
      <c r="CQ1218" s="207"/>
      <c r="CR1218" s="207"/>
      <c r="CS1218" s="207"/>
      <c r="CT1218" s="207">
        <f>COUNTIFS('Form Details'!$P:$P,CT$1208,'Form Details'!$J:$J,$C1218,'Form Details'!$D:$D,'Adv. Filter'!$A$14,'Form Details'!$D:$D,'Adv. Filter'!$B$14)</f>
        <v>0</v>
      </c>
      <c r="CU1218" s="207"/>
      <c r="CV1218" s="207"/>
      <c r="CW1218" s="207"/>
      <c r="CX1218" s="207"/>
      <c r="CY1218" s="207"/>
      <c r="CZ1218" s="207"/>
      <c r="DA1218" s="207"/>
      <c r="DB1218" s="207">
        <f>COUNTIFS('Form Details'!$P:$P,DB$1208,'Form Details'!$J:$J,$C1218,'Form Details'!$D:$D,'Adv. Filter'!$A$14,'Form Details'!$D:$D,'Adv. Filter'!$B$14)</f>
        <v>1</v>
      </c>
      <c r="DC1218" s="207"/>
      <c r="DD1218" s="207"/>
      <c r="DE1218" s="207"/>
      <c r="DF1218" s="207"/>
      <c r="DG1218" s="207"/>
      <c r="DH1218" s="207"/>
      <c r="DI1218" s="207"/>
      <c r="DJ1218" s="212">
        <f t="shared" si="34"/>
        <v>10</v>
      </c>
      <c r="DK1218" s="213"/>
      <c r="DL1218" s="213"/>
      <c r="DM1218" s="213"/>
      <c r="DN1218" s="213"/>
      <c r="DO1218" s="213"/>
      <c r="DP1218" s="213"/>
      <c r="DQ1218" s="213"/>
      <c r="DR1218" s="213"/>
      <c r="DS1218" s="214"/>
    </row>
    <row r="1219" spans="1:123" hidden="1">
      <c r="A1219" s="180"/>
      <c r="B1219" s="180"/>
      <c r="C1219" s="217" t="s">
        <v>111</v>
      </c>
      <c r="D1219" s="217"/>
      <c r="E1219" s="217"/>
      <c r="F1219" s="217"/>
      <c r="G1219" s="217"/>
      <c r="H1219" s="217"/>
      <c r="I1219" s="217"/>
      <c r="J1219" s="217"/>
      <c r="K1219" s="217"/>
      <c r="L1219" s="217"/>
      <c r="M1219" s="217"/>
      <c r="N1219" s="217"/>
      <c r="O1219" s="217"/>
      <c r="P1219" s="217"/>
      <c r="Q1219" s="217"/>
      <c r="R1219" s="207">
        <f>COUNTIFS('Form Details'!$P:$P,R$1208,'Form Details'!$J:$J,$C1219,'Form Details'!$D:$D,'Adv. Filter'!$A$14,'Form Details'!$D:$D,'Adv. Filter'!$B$14)</f>
        <v>1</v>
      </c>
      <c r="S1219" s="207"/>
      <c r="T1219" s="207"/>
      <c r="U1219" s="207"/>
      <c r="V1219" s="207"/>
      <c r="W1219" s="207"/>
      <c r="X1219" s="207"/>
      <c r="Y1219" s="207"/>
      <c r="Z1219" s="207">
        <f>COUNTIFS('Form Details'!$P:$P,Z$1208,'Form Details'!$J:$J,$C1219,'Form Details'!$D:$D,'Adv. Filter'!$A$14,'Form Details'!$D:$D,'Adv. Filter'!$B$14)</f>
        <v>1</v>
      </c>
      <c r="AA1219" s="207"/>
      <c r="AB1219" s="207"/>
      <c r="AC1219" s="207"/>
      <c r="AD1219" s="207"/>
      <c r="AE1219" s="207"/>
      <c r="AF1219" s="207"/>
      <c r="AG1219" s="207"/>
      <c r="AH1219" s="207">
        <f>COUNTIFS('Form Details'!$P:$P,AH$1208,'Form Details'!$J:$J,$C1219,'Form Details'!$D:$D,'Adv. Filter'!$A$14,'Form Details'!$D:$D,'Adv. Filter'!$B$14)</f>
        <v>0</v>
      </c>
      <c r="AI1219" s="207"/>
      <c r="AJ1219" s="207"/>
      <c r="AK1219" s="207"/>
      <c r="AL1219" s="207"/>
      <c r="AM1219" s="207"/>
      <c r="AN1219" s="207"/>
      <c r="AO1219" s="207"/>
      <c r="AP1219" s="207">
        <f>COUNTIFS('Form Details'!$P:$P,AP$1208,'Form Details'!$J:$J,$C1219,'Form Details'!$D:$D,'Adv. Filter'!$A$14,'Form Details'!$D:$D,'Adv. Filter'!$B$14)</f>
        <v>0</v>
      </c>
      <c r="AQ1219" s="207"/>
      <c r="AR1219" s="207"/>
      <c r="AS1219" s="207"/>
      <c r="AT1219" s="207"/>
      <c r="AU1219" s="207"/>
      <c r="AV1219" s="207"/>
      <c r="AW1219" s="207"/>
      <c r="AX1219" s="207">
        <f>COUNTIFS('Form Details'!$P:$P,AX$1208,'Form Details'!$J:$J,$C1219,'Form Details'!$D:$D,'Adv. Filter'!$A$14,'Form Details'!$D:$D,'Adv. Filter'!$B$14)</f>
        <v>1</v>
      </c>
      <c r="AY1219" s="207"/>
      <c r="AZ1219" s="207"/>
      <c r="BA1219" s="207"/>
      <c r="BB1219" s="207"/>
      <c r="BC1219" s="207"/>
      <c r="BD1219" s="207"/>
      <c r="BE1219" s="207"/>
      <c r="BF1219" s="207">
        <f>COUNTIFS('Form Details'!$P:$P,BF$1208,'Form Details'!$J:$J,$C1219,'Form Details'!$D:$D,'Adv. Filter'!$A$14,'Form Details'!$D:$D,'Adv. Filter'!$B$14)</f>
        <v>1</v>
      </c>
      <c r="BG1219" s="207"/>
      <c r="BH1219" s="207"/>
      <c r="BI1219" s="207"/>
      <c r="BJ1219" s="207"/>
      <c r="BK1219" s="207"/>
      <c r="BL1219" s="207"/>
      <c r="BM1219" s="207"/>
      <c r="BN1219" s="207">
        <f>COUNTIFS('Form Details'!$P:$P,BN$1208,'Form Details'!$J:$J,$C1219,'Form Details'!$D:$D,'Adv. Filter'!$A$14,'Form Details'!$D:$D,'Adv. Filter'!$B$14)</f>
        <v>0</v>
      </c>
      <c r="BO1219" s="207"/>
      <c r="BP1219" s="207"/>
      <c r="BQ1219" s="207"/>
      <c r="BR1219" s="207"/>
      <c r="BS1219" s="207"/>
      <c r="BT1219" s="207"/>
      <c r="BU1219" s="207"/>
      <c r="BV1219" s="207">
        <f>COUNTIFS('Form Details'!$P:$P,BV$1208,'Form Details'!$J:$J,$C1219,'Form Details'!$D:$D,'Adv. Filter'!$A$14,'Form Details'!$D:$D,'Adv. Filter'!$B$14)</f>
        <v>0</v>
      </c>
      <c r="BW1219" s="207"/>
      <c r="BX1219" s="207"/>
      <c r="BY1219" s="207"/>
      <c r="BZ1219" s="207"/>
      <c r="CA1219" s="207"/>
      <c r="CB1219" s="207"/>
      <c r="CC1219" s="207"/>
      <c r="CD1219" s="207">
        <f>COUNTIFS('Form Details'!$P:$P,CD$1208,'Form Details'!$J:$J,$C1219,'Form Details'!$D:$D,'Adv. Filter'!$A$14,'Form Details'!$D:$D,'Adv. Filter'!$B$14)</f>
        <v>0</v>
      </c>
      <c r="CE1219" s="207"/>
      <c r="CF1219" s="207"/>
      <c r="CG1219" s="207"/>
      <c r="CH1219" s="207"/>
      <c r="CI1219" s="207"/>
      <c r="CJ1219" s="207"/>
      <c r="CK1219" s="207"/>
      <c r="CL1219" s="207">
        <f>COUNTIFS('Form Details'!$P:$P,CL$1208,'Form Details'!$J:$J,$C1219,'Form Details'!$D:$D,'Adv. Filter'!$A$14,'Form Details'!$D:$D,'Adv. Filter'!$B$14)</f>
        <v>0</v>
      </c>
      <c r="CM1219" s="207"/>
      <c r="CN1219" s="207"/>
      <c r="CO1219" s="207"/>
      <c r="CP1219" s="207"/>
      <c r="CQ1219" s="207"/>
      <c r="CR1219" s="207"/>
      <c r="CS1219" s="207"/>
      <c r="CT1219" s="207">
        <f>COUNTIFS('Form Details'!$P:$P,CT$1208,'Form Details'!$J:$J,$C1219,'Form Details'!$D:$D,'Adv. Filter'!$A$14,'Form Details'!$D:$D,'Adv. Filter'!$B$14)</f>
        <v>0</v>
      </c>
      <c r="CU1219" s="207"/>
      <c r="CV1219" s="207"/>
      <c r="CW1219" s="207"/>
      <c r="CX1219" s="207"/>
      <c r="CY1219" s="207"/>
      <c r="CZ1219" s="207"/>
      <c r="DA1219" s="207"/>
      <c r="DB1219" s="207">
        <f>COUNTIFS('Form Details'!$P:$P,DB$1208,'Form Details'!$J:$J,$C1219,'Form Details'!$D:$D,'Adv. Filter'!$A$14,'Form Details'!$D:$D,'Adv. Filter'!$B$14)</f>
        <v>1</v>
      </c>
      <c r="DC1219" s="207"/>
      <c r="DD1219" s="207"/>
      <c r="DE1219" s="207"/>
      <c r="DF1219" s="207"/>
      <c r="DG1219" s="207"/>
      <c r="DH1219" s="207"/>
      <c r="DI1219" s="207"/>
      <c r="DJ1219" s="212">
        <f t="shared" si="34"/>
        <v>5</v>
      </c>
      <c r="DK1219" s="213"/>
      <c r="DL1219" s="213"/>
      <c r="DM1219" s="213"/>
      <c r="DN1219" s="213"/>
      <c r="DO1219" s="213"/>
      <c r="DP1219" s="213"/>
      <c r="DQ1219" s="213"/>
      <c r="DR1219" s="213"/>
      <c r="DS1219" s="214"/>
    </row>
    <row r="1220" spans="1:123" hidden="1">
      <c r="A1220" s="180"/>
      <c r="B1220" s="180"/>
      <c r="C1220" s="217" t="s">
        <v>116</v>
      </c>
      <c r="D1220" s="217"/>
      <c r="E1220" s="217"/>
      <c r="F1220" s="217"/>
      <c r="G1220" s="217"/>
      <c r="H1220" s="217"/>
      <c r="I1220" s="217"/>
      <c r="J1220" s="217"/>
      <c r="K1220" s="217"/>
      <c r="L1220" s="217"/>
      <c r="M1220" s="217"/>
      <c r="N1220" s="217"/>
      <c r="O1220" s="217"/>
      <c r="P1220" s="217"/>
      <c r="Q1220" s="217"/>
      <c r="R1220" s="207">
        <f>COUNTIFS('Form Details'!$P:$P,R$1208,'Form Details'!$J:$J,$C1220,'Form Details'!$D:$D,'Adv. Filter'!$A$14,'Form Details'!$D:$D,'Adv. Filter'!$B$14)</f>
        <v>1</v>
      </c>
      <c r="S1220" s="207"/>
      <c r="T1220" s="207"/>
      <c r="U1220" s="207"/>
      <c r="V1220" s="207"/>
      <c r="W1220" s="207"/>
      <c r="X1220" s="207"/>
      <c r="Y1220" s="207"/>
      <c r="Z1220" s="207">
        <f>COUNTIFS('Form Details'!$P:$P,Z$1208,'Form Details'!$J:$J,$C1220,'Form Details'!$D:$D,'Adv. Filter'!$A$14,'Form Details'!$D:$D,'Adv. Filter'!$B$14)</f>
        <v>0</v>
      </c>
      <c r="AA1220" s="207"/>
      <c r="AB1220" s="207"/>
      <c r="AC1220" s="207"/>
      <c r="AD1220" s="207"/>
      <c r="AE1220" s="207"/>
      <c r="AF1220" s="207"/>
      <c r="AG1220" s="207"/>
      <c r="AH1220" s="207">
        <f>COUNTIFS('Form Details'!$P:$P,AH$1208,'Form Details'!$J:$J,$C1220,'Form Details'!$D:$D,'Adv. Filter'!$A$14,'Form Details'!$D:$D,'Adv. Filter'!$B$14)</f>
        <v>1</v>
      </c>
      <c r="AI1220" s="207"/>
      <c r="AJ1220" s="207"/>
      <c r="AK1220" s="207"/>
      <c r="AL1220" s="207"/>
      <c r="AM1220" s="207"/>
      <c r="AN1220" s="207"/>
      <c r="AO1220" s="207"/>
      <c r="AP1220" s="207">
        <f>COUNTIFS('Form Details'!$P:$P,AP$1208,'Form Details'!$J:$J,$C1220,'Form Details'!$D:$D,'Adv. Filter'!$A$14,'Form Details'!$D:$D,'Adv. Filter'!$B$14)</f>
        <v>0</v>
      </c>
      <c r="AQ1220" s="207"/>
      <c r="AR1220" s="207"/>
      <c r="AS1220" s="207"/>
      <c r="AT1220" s="207"/>
      <c r="AU1220" s="207"/>
      <c r="AV1220" s="207"/>
      <c r="AW1220" s="207"/>
      <c r="AX1220" s="207">
        <f>COUNTIFS('Form Details'!$P:$P,AX$1208,'Form Details'!$J:$J,$C1220,'Form Details'!$D:$D,'Adv. Filter'!$A$14,'Form Details'!$D:$D,'Adv. Filter'!$B$14)</f>
        <v>0</v>
      </c>
      <c r="AY1220" s="207"/>
      <c r="AZ1220" s="207"/>
      <c r="BA1220" s="207"/>
      <c r="BB1220" s="207"/>
      <c r="BC1220" s="207"/>
      <c r="BD1220" s="207"/>
      <c r="BE1220" s="207"/>
      <c r="BF1220" s="207">
        <f>COUNTIFS('Form Details'!$P:$P,BF$1208,'Form Details'!$J:$J,$C1220,'Form Details'!$D:$D,'Adv. Filter'!$A$14,'Form Details'!$D:$D,'Adv. Filter'!$B$14)</f>
        <v>0</v>
      </c>
      <c r="BG1220" s="207"/>
      <c r="BH1220" s="207"/>
      <c r="BI1220" s="207"/>
      <c r="BJ1220" s="207"/>
      <c r="BK1220" s="207"/>
      <c r="BL1220" s="207"/>
      <c r="BM1220" s="207"/>
      <c r="BN1220" s="207">
        <f>COUNTIFS('Form Details'!$P:$P,BN$1208,'Form Details'!$J:$J,$C1220,'Form Details'!$D:$D,'Adv. Filter'!$A$14,'Form Details'!$D:$D,'Adv. Filter'!$B$14)</f>
        <v>0</v>
      </c>
      <c r="BO1220" s="207"/>
      <c r="BP1220" s="207"/>
      <c r="BQ1220" s="207"/>
      <c r="BR1220" s="207"/>
      <c r="BS1220" s="207"/>
      <c r="BT1220" s="207"/>
      <c r="BU1220" s="207"/>
      <c r="BV1220" s="207">
        <f>COUNTIFS('Form Details'!$P:$P,BV$1208,'Form Details'!$J:$J,$C1220,'Form Details'!$D:$D,'Adv. Filter'!$A$14,'Form Details'!$D:$D,'Adv. Filter'!$B$14)</f>
        <v>0</v>
      </c>
      <c r="BW1220" s="207"/>
      <c r="BX1220" s="207"/>
      <c r="BY1220" s="207"/>
      <c r="BZ1220" s="207"/>
      <c r="CA1220" s="207"/>
      <c r="CB1220" s="207"/>
      <c r="CC1220" s="207"/>
      <c r="CD1220" s="207">
        <f>COUNTIFS('Form Details'!$P:$P,CD$1208,'Form Details'!$J:$J,$C1220,'Form Details'!$D:$D,'Adv. Filter'!$A$14,'Form Details'!$D:$D,'Adv. Filter'!$B$14)</f>
        <v>0</v>
      </c>
      <c r="CE1220" s="207"/>
      <c r="CF1220" s="207"/>
      <c r="CG1220" s="207"/>
      <c r="CH1220" s="207"/>
      <c r="CI1220" s="207"/>
      <c r="CJ1220" s="207"/>
      <c r="CK1220" s="207"/>
      <c r="CL1220" s="207">
        <f>COUNTIFS('Form Details'!$P:$P,CL$1208,'Form Details'!$J:$J,$C1220,'Form Details'!$D:$D,'Adv. Filter'!$A$14,'Form Details'!$D:$D,'Adv. Filter'!$B$14)</f>
        <v>0</v>
      </c>
      <c r="CM1220" s="207"/>
      <c r="CN1220" s="207"/>
      <c r="CO1220" s="207"/>
      <c r="CP1220" s="207"/>
      <c r="CQ1220" s="207"/>
      <c r="CR1220" s="207"/>
      <c r="CS1220" s="207"/>
      <c r="CT1220" s="207">
        <f>COUNTIFS('Form Details'!$P:$P,CT$1208,'Form Details'!$J:$J,$C1220,'Form Details'!$D:$D,'Adv. Filter'!$A$14,'Form Details'!$D:$D,'Adv. Filter'!$B$14)</f>
        <v>0</v>
      </c>
      <c r="CU1220" s="207"/>
      <c r="CV1220" s="207"/>
      <c r="CW1220" s="207"/>
      <c r="CX1220" s="207"/>
      <c r="CY1220" s="207"/>
      <c r="CZ1220" s="207"/>
      <c r="DA1220" s="207"/>
      <c r="DB1220" s="207">
        <f>COUNTIFS('Form Details'!$P:$P,DB$1208,'Form Details'!$J:$J,$C1220,'Form Details'!$D:$D,'Adv. Filter'!$A$14,'Form Details'!$D:$D,'Adv. Filter'!$B$14)</f>
        <v>1</v>
      </c>
      <c r="DC1220" s="207"/>
      <c r="DD1220" s="207"/>
      <c r="DE1220" s="207"/>
      <c r="DF1220" s="207"/>
      <c r="DG1220" s="207"/>
      <c r="DH1220" s="207"/>
      <c r="DI1220" s="207"/>
      <c r="DJ1220" s="212">
        <f t="shared" si="34"/>
        <v>3</v>
      </c>
      <c r="DK1220" s="213"/>
      <c r="DL1220" s="213"/>
      <c r="DM1220" s="213"/>
      <c r="DN1220" s="213"/>
      <c r="DO1220" s="213"/>
      <c r="DP1220" s="213"/>
      <c r="DQ1220" s="213"/>
      <c r="DR1220" s="213"/>
      <c r="DS1220" s="214"/>
    </row>
    <row r="1221" spans="1:123" hidden="1">
      <c r="A1221" s="180"/>
      <c r="B1221" s="180"/>
      <c r="C1221" s="217" t="s">
        <v>119</v>
      </c>
      <c r="D1221" s="217"/>
      <c r="E1221" s="217"/>
      <c r="F1221" s="217"/>
      <c r="G1221" s="217"/>
      <c r="H1221" s="217"/>
      <c r="I1221" s="217"/>
      <c r="J1221" s="217"/>
      <c r="K1221" s="217"/>
      <c r="L1221" s="217"/>
      <c r="M1221" s="217"/>
      <c r="N1221" s="217"/>
      <c r="O1221" s="217"/>
      <c r="P1221" s="217"/>
      <c r="Q1221" s="217"/>
      <c r="R1221" s="207">
        <f>COUNTIFS('Form Details'!$P:$P,R$1208,'Form Details'!$J:$J,$C1221,'Form Details'!$D:$D,'Adv. Filter'!$A$14,'Form Details'!$D:$D,'Adv. Filter'!$B$14)</f>
        <v>1</v>
      </c>
      <c r="S1221" s="207"/>
      <c r="T1221" s="207"/>
      <c r="U1221" s="207"/>
      <c r="V1221" s="207"/>
      <c r="W1221" s="207"/>
      <c r="X1221" s="207"/>
      <c r="Y1221" s="207"/>
      <c r="Z1221" s="207">
        <f>COUNTIFS('Form Details'!$P:$P,Z$1208,'Form Details'!$J:$J,$C1221,'Form Details'!$D:$D,'Adv. Filter'!$A$14,'Form Details'!$D:$D,'Adv. Filter'!$B$14)</f>
        <v>1</v>
      </c>
      <c r="AA1221" s="207"/>
      <c r="AB1221" s="207"/>
      <c r="AC1221" s="207"/>
      <c r="AD1221" s="207"/>
      <c r="AE1221" s="207"/>
      <c r="AF1221" s="207"/>
      <c r="AG1221" s="207"/>
      <c r="AH1221" s="207">
        <f>COUNTIFS('Form Details'!$P:$P,AH$1208,'Form Details'!$J:$J,$C1221,'Form Details'!$D:$D,'Adv. Filter'!$A$14,'Form Details'!$D:$D,'Adv. Filter'!$B$14)</f>
        <v>0</v>
      </c>
      <c r="AI1221" s="207"/>
      <c r="AJ1221" s="207"/>
      <c r="AK1221" s="207"/>
      <c r="AL1221" s="207"/>
      <c r="AM1221" s="207"/>
      <c r="AN1221" s="207"/>
      <c r="AO1221" s="207"/>
      <c r="AP1221" s="207">
        <f>COUNTIFS('Form Details'!$P:$P,AP$1208,'Form Details'!$J:$J,$C1221,'Form Details'!$D:$D,'Adv. Filter'!$A$14,'Form Details'!$D:$D,'Adv. Filter'!$B$14)</f>
        <v>1</v>
      </c>
      <c r="AQ1221" s="207"/>
      <c r="AR1221" s="207"/>
      <c r="AS1221" s="207"/>
      <c r="AT1221" s="207"/>
      <c r="AU1221" s="207"/>
      <c r="AV1221" s="207"/>
      <c r="AW1221" s="207"/>
      <c r="AX1221" s="207">
        <f>COUNTIFS('Form Details'!$P:$P,AX$1208,'Form Details'!$J:$J,$C1221,'Form Details'!$D:$D,'Adv. Filter'!$A$14,'Form Details'!$D:$D,'Adv. Filter'!$B$14)</f>
        <v>1</v>
      </c>
      <c r="AY1221" s="207"/>
      <c r="AZ1221" s="207"/>
      <c r="BA1221" s="207"/>
      <c r="BB1221" s="207"/>
      <c r="BC1221" s="207"/>
      <c r="BD1221" s="207"/>
      <c r="BE1221" s="207"/>
      <c r="BF1221" s="207">
        <f>COUNTIFS('Form Details'!$P:$P,BF$1208,'Form Details'!$J:$J,$C1221,'Form Details'!$D:$D,'Adv. Filter'!$A$14,'Form Details'!$D:$D,'Adv. Filter'!$B$14)</f>
        <v>0</v>
      </c>
      <c r="BG1221" s="207"/>
      <c r="BH1221" s="207"/>
      <c r="BI1221" s="207"/>
      <c r="BJ1221" s="207"/>
      <c r="BK1221" s="207"/>
      <c r="BL1221" s="207"/>
      <c r="BM1221" s="207"/>
      <c r="BN1221" s="207">
        <f>COUNTIFS('Form Details'!$P:$P,BN$1208,'Form Details'!$J:$J,$C1221,'Form Details'!$D:$D,'Adv. Filter'!$A$14,'Form Details'!$D:$D,'Adv. Filter'!$B$14)</f>
        <v>0</v>
      </c>
      <c r="BO1221" s="207"/>
      <c r="BP1221" s="207"/>
      <c r="BQ1221" s="207"/>
      <c r="BR1221" s="207"/>
      <c r="BS1221" s="207"/>
      <c r="BT1221" s="207"/>
      <c r="BU1221" s="207"/>
      <c r="BV1221" s="207">
        <f>COUNTIFS('Form Details'!$P:$P,BV$1208,'Form Details'!$J:$J,$C1221,'Form Details'!$D:$D,'Adv. Filter'!$A$14,'Form Details'!$D:$D,'Adv. Filter'!$B$14)</f>
        <v>0</v>
      </c>
      <c r="BW1221" s="207"/>
      <c r="BX1221" s="207"/>
      <c r="BY1221" s="207"/>
      <c r="BZ1221" s="207"/>
      <c r="CA1221" s="207"/>
      <c r="CB1221" s="207"/>
      <c r="CC1221" s="207"/>
      <c r="CD1221" s="207">
        <f>COUNTIFS('Form Details'!$P:$P,CD$1208,'Form Details'!$J:$J,$C1221,'Form Details'!$D:$D,'Adv. Filter'!$A$14,'Form Details'!$D:$D,'Adv. Filter'!$B$14)</f>
        <v>0</v>
      </c>
      <c r="CE1221" s="207"/>
      <c r="CF1221" s="207"/>
      <c r="CG1221" s="207"/>
      <c r="CH1221" s="207"/>
      <c r="CI1221" s="207"/>
      <c r="CJ1221" s="207"/>
      <c r="CK1221" s="207"/>
      <c r="CL1221" s="207">
        <f>COUNTIFS('Form Details'!$P:$P,CL$1208,'Form Details'!$J:$J,$C1221,'Form Details'!$D:$D,'Adv. Filter'!$A$14,'Form Details'!$D:$D,'Adv. Filter'!$B$14)</f>
        <v>0</v>
      </c>
      <c r="CM1221" s="207"/>
      <c r="CN1221" s="207"/>
      <c r="CO1221" s="207"/>
      <c r="CP1221" s="207"/>
      <c r="CQ1221" s="207"/>
      <c r="CR1221" s="207"/>
      <c r="CS1221" s="207"/>
      <c r="CT1221" s="207">
        <f>COUNTIFS('Form Details'!$P:$P,CT$1208,'Form Details'!$J:$J,$C1221,'Form Details'!$D:$D,'Adv. Filter'!$A$14,'Form Details'!$D:$D,'Adv. Filter'!$B$14)</f>
        <v>0</v>
      </c>
      <c r="CU1221" s="207"/>
      <c r="CV1221" s="207"/>
      <c r="CW1221" s="207"/>
      <c r="CX1221" s="207"/>
      <c r="CY1221" s="207"/>
      <c r="CZ1221" s="207"/>
      <c r="DA1221" s="207"/>
      <c r="DB1221" s="207">
        <f>COUNTIFS('Form Details'!$P:$P,DB$1208,'Form Details'!$J:$J,$C1221,'Form Details'!$D:$D,'Adv. Filter'!$A$14,'Form Details'!$D:$D,'Adv. Filter'!$B$14)</f>
        <v>0</v>
      </c>
      <c r="DC1221" s="207"/>
      <c r="DD1221" s="207"/>
      <c r="DE1221" s="207"/>
      <c r="DF1221" s="207"/>
      <c r="DG1221" s="207"/>
      <c r="DH1221" s="207"/>
      <c r="DI1221" s="207"/>
      <c r="DJ1221" s="212">
        <f t="shared" si="34"/>
        <v>4</v>
      </c>
      <c r="DK1221" s="213"/>
      <c r="DL1221" s="213"/>
      <c r="DM1221" s="213"/>
      <c r="DN1221" s="213"/>
      <c r="DO1221" s="213"/>
      <c r="DP1221" s="213"/>
      <c r="DQ1221" s="213"/>
      <c r="DR1221" s="213"/>
      <c r="DS1221" s="214"/>
    </row>
    <row r="1222" spans="1:123" hidden="1">
      <c r="A1222" s="180"/>
      <c r="B1222" s="180"/>
      <c r="C1222" s="217" t="s">
        <v>92</v>
      </c>
      <c r="D1222" s="217"/>
      <c r="E1222" s="217"/>
      <c r="F1222" s="217"/>
      <c r="G1222" s="217"/>
      <c r="H1222" s="217"/>
      <c r="I1222" s="217"/>
      <c r="J1222" s="217"/>
      <c r="K1222" s="217"/>
      <c r="L1222" s="217"/>
      <c r="M1222" s="217"/>
      <c r="N1222" s="217"/>
      <c r="O1222" s="217"/>
      <c r="P1222" s="217"/>
      <c r="Q1222" s="217"/>
      <c r="R1222" s="207">
        <f>COUNTIFS('Form Details'!$P:$P,R$1208,'Form Details'!$J:$J,$C1222,'Form Details'!$D:$D,'Adv. Filter'!$A$14,'Form Details'!$D:$D,'Adv. Filter'!$B$14)</f>
        <v>7</v>
      </c>
      <c r="S1222" s="207"/>
      <c r="T1222" s="207"/>
      <c r="U1222" s="207"/>
      <c r="V1222" s="207"/>
      <c r="W1222" s="207"/>
      <c r="X1222" s="207"/>
      <c r="Y1222" s="207"/>
      <c r="Z1222" s="207">
        <f>COUNTIFS('Form Details'!$P:$P,Z$1208,'Form Details'!$J:$J,$C1222,'Form Details'!$D:$D,'Adv. Filter'!$A$14,'Form Details'!$D:$D,'Adv. Filter'!$B$14)</f>
        <v>6</v>
      </c>
      <c r="AA1222" s="207"/>
      <c r="AB1222" s="207"/>
      <c r="AC1222" s="207"/>
      <c r="AD1222" s="207"/>
      <c r="AE1222" s="207"/>
      <c r="AF1222" s="207"/>
      <c r="AG1222" s="207"/>
      <c r="AH1222" s="207">
        <f>COUNTIFS('Form Details'!$P:$P,AH$1208,'Form Details'!$J:$J,$C1222,'Form Details'!$D:$D,'Adv. Filter'!$A$14,'Form Details'!$D:$D,'Adv. Filter'!$B$14)</f>
        <v>6</v>
      </c>
      <c r="AI1222" s="207"/>
      <c r="AJ1222" s="207"/>
      <c r="AK1222" s="207"/>
      <c r="AL1222" s="207"/>
      <c r="AM1222" s="207"/>
      <c r="AN1222" s="207"/>
      <c r="AO1222" s="207"/>
      <c r="AP1222" s="207">
        <f>COUNTIFS('Form Details'!$P:$P,AP$1208,'Form Details'!$J:$J,$C1222,'Form Details'!$D:$D,'Adv. Filter'!$A$14,'Form Details'!$D:$D,'Adv. Filter'!$B$14)</f>
        <v>5</v>
      </c>
      <c r="AQ1222" s="207"/>
      <c r="AR1222" s="207"/>
      <c r="AS1222" s="207"/>
      <c r="AT1222" s="207"/>
      <c r="AU1222" s="207"/>
      <c r="AV1222" s="207"/>
      <c r="AW1222" s="207"/>
      <c r="AX1222" s="207">
        <f>COUNTIFS('Form Details'!$P:$P,AX$1208,'Form Details'!$J:$J,$C1222,'Form Details'!$D:$D,'Adv. Filter'!$A$14,'Form Details'!$D:$D,'Adv. Filter'!$B$14)</f>
        <v>6</v>
      </c>
      <c r="AY1222" s="207"/>
      <c r="AZ1222" s="207"/>
      <c r="BA1222" s="207"/>
      <c r="BB1222" s="207"/>
      <c r="BC1222" s="207"/>
      <c r="BD1222" s="207"/>
      <c r="BE1222" s="207"/>
      <c r="BF1222" s="207">
        <f>COUNTIFS('Form Details'!$P:$P,BF$1208,'Form Details'!$J:$J,$C1222,'Form Details'!$D:$D,'Adv. Filter'!$A$14,'Form Details'!$D:$D,'Adv. Filter'!$B$14)</f>
        <v>6</v>
      </c>
      <c r="BG1222" s="207"/>
      <c r="BH1222" s="207"/>
      <c r="BI1222" s="207"/>
      <c r="BJ1222" s="207"/>
      <c r="BK1222" s="207"/>
      <c r="BL1222" s="207"/>
      <c r="BM1222" s="207"/>
      <c r="BN1222" s="207">
        <f>COUNTIFS('Form Details'!$P:$P,BN$1208,'Form Details'!$J:$J,$C1222,'Form Details'!$D:$D,'Adv. Filter'!$A$14,'Form Details'!$D:$D,'Adv. Filter'!$B$14)</f>
        <v>6</v>
      </c>
      <c r="BO1222" s="207"/>
      <c r="BP1222" s="207"/>
      <c r="BQ1222" s="207"/>
      <c r="BR1222" s="207"/>
      <c r="BS1222" s="207"/>
      <c r="BT1222" s="207"/>
      <c r="BU1222" s="207"/>
      <c r="BV1222" s="207">
        <f>COUNTIFS('Form Details'!$P:$P,BV$1208,'Form Details'!$J:$J,$C1222,'Form Details'!$D:$D,'Adv. Filter'!$A$14,'Form Details'!$D:$D,'Adv. Filter'!$B$14)</f>
        <v>3</v>
      </c>
      <c r="BW1222" s="207"/>
      <c r="BX1222" s="207"/>
      <c r="BY1222" s="207"/>
      <c r="BZ1222" s="207"/>
      <c r="CA1222" s="207"/>
      <c r="CB1222" s="207"/>
      <c r="CC1222" s="207"/>
      <c r="CD1222" s="207">
        <f>COUNTIFS('Form Details'!$P:$P,CD$1208,'Form Details'!$J:$J,$C1222,'Form Details'!$D:$D,'Adv. Filter'!$A$14,'Form Details'!$D:$D,'Adv. Filter'!$B$14)</f>
        <v>6</v>
      </c>
      <c r="CE1222" s="207"/>
      <c r="CF1222" s="207"/>
      <c r="CG1222" s="207"/>
      <c r="CH1222" s="207"/>
      <c r="CI1222" s="207"/>
      <c r="CJ1222" s="207"/>
      <c r="CK1222" s="207"/>
      <c r="CL1222" s="207">
        <f>COUNTIFS('Form Details'!$P:$P,CL$1208,'Form Details'!$J:$J,$C1222,'Form Details'!$D:$D,'Adv. Filter'!$A$14,'Form Details'!$D:$D,'Adv. Filter'!$B$14)</f>
        <v>6</v>
      </c>
      <c r="CM1222" s="207"/>
      <c r="CN1222" s="207"/>
      <c r="CO1222" s="207"/>
      <c r="CP1222" s="207"/>
      <c r="CQ1222" s="207"/>
      <c r="CR1222" s="207"/>
      <c r="CS1222" s="207"/>
      <c r="CT1222" s="207">
        <f>COUNTIFS('Form Details'!$P:$P,CT$1208,'Form Details'!$J:$J,$C1222,'Form Details'!$D:$D,'Adv. Filter'!$A$14,'Form Details'!$D:$D,'Adv. Filter'!$B$14)</f>
        <v>3</v>
      </c>
      <c r="CU1222" s="207"/>
      <c r="CV1222" s="207"/>
      <c r="CW1222" s="207"/>
      <c r="CX1222" s="207"/>
      <c r="CY1222" s="207"/>
      <c r="CZ1222" s="207"/>
      <c r="DA1222" s="207"/>
      <c r="DB1222" s="207">
        <f>COUNTIFS('Form Details'!$P:$P,DB$1208,'Form Details'!$J:$J,$C1222,'Form Details'!$D:$D,'Adv. Filter'!$A$14,'Form Details'!$D:$D,'Adv. Filter'!$B$14)</f>
        <v>6</v>
      </c>
      <c r="DC1222" s="207"/>
      <c r="DD1222" s="207"/>
      <c r="DE1222" s="207"/>
      <c r="DF1222" s="207"/>
      <c r="DG1222" s="207"/>
      <c r="DH1222" s="207"/>
      <c r="DI1222" s="207"/>
      <c r="DJ1222" s="212">
        <f t="shared" ref="DJ1222:DJ1230" si="35">SUM(R1222:DI1222)</f>
        <v>66</v>
      </c>
      <c r="DK1222" s="213"/>
      <c r="DL1222" s="213"/>
      <c r="DM1222" s="213"/>
      <c r="DN1222" s="213"/>
      <c r="DO1222" s="213"/>
      <c r="DP1222" s="213"/>
      <c r="DQ1222" s="213"/>
      <c r="DR1222" s="213"/>
      <c r="DS1222" s="214"/>
    </row>
    <row r="1223" spans="1:123" hidden="1">
      <c r="A1223" s="180"/>
      <c r="B1223" s="180"/>
      <c r="C1223" s="217" t="s">
        <v>97</v>
      </c>
      <c r="D1223" s="217"/>
      <c r="E1223" s="217"/>
      <c r="F1223" s="217"/>
      <c r="G1223" s="217"/>
      <c r="H1223" s="217"/>
      <c r="I1223" s="217"/>
      <c r="J1223" s="217"/>
      <c r="K1223" s="217"/>
      <c r="L1223" s="217"/>
      <c r="M1223" s="217"/>
      <c r="N1223" s="217"/>
      <c r="O1223" s="217"/>
      <c r="P1223" s="217"/>
      <c r="Q1223" s="217"/>
      <c r="R1223" s="207">
        <f>COUNTIFS('Form Details'!$P:$P,R$1208,'Form Details'!$J:$J,$C1223,'Form Details'!$D:$D,'Adv. Filter'!$A$14,'Form Details'!$D:$D,'Adv. Filter'!$B$14)</f>
        <v>0</v>
      </c>
      <c r="S1223" s="207"/>
      <c r="T1223" s="207"/>
      <c r="U1223" s="207"/>
      <c r="V1223" s="207"/>
      <c r="W1223" s="207"/>
      <c r="X1223" s="207"/>
      <c r="Y1223" s="207"/>
      <c r="Z1223" s="207">
        <f>COUNTIFS('Form Details'!$P:$P,Z$1208,'Form Details'!$J:$J,$C1223,'Form Details'!$D:$D,'Adv. Filter'!$A$14,'Form Details'!$D:$D,'Adv. Filter'!$B$14)</f>
        <v>1</v>
      </c>
      <c r="AA1223" s="207"/>
      <c r="AB1223" s="207"/>
      <c r="AC1223" s="207"/>
      <c r="AD1223" s="207"/>
      <c r="AE1223" s="207"/>
      <c r="AF1223" s="207"/>
      <c r="AG1223" s="207"/>
      <c r="AH1223" s="207">
        <f>COUNTIFS('Form Details'!$P:$P,AH$1208,'Form Details'!$J:$J,$C1223,'Form Details'!$D:$D,'Adv. Filter'!$A$14,'Form Details'!$D:$D,'Adv. Filter'!$B$14)</f>
        <v>0</v>
      </c>
      <c r="AI1223" s="207"/>
      <c r="AJ1223" s="207"/>
      <c r="AK1223" s="207"/>
      <c r="AL1223" s="207"/>
      <c r="AM1223" s="207"/>
      <c r="AN1223" s="207"/>
      <c r="AO1223" s="207"/>
      <c r="AP1223" s="207">
        <f>COUNTIFS('Form Details'!$P:$P,AP$1208,'Form Details'!$J:$J,$C1223,'Form Details'!$D:$D,'Adv. Filter'!$A$14,'Form Details'!$D:$D,'Adv. Filter'!$B$14)</f>
        <v>1</v>
      </c>
      <c r="AQ1223" s="207"/>
      <c r="AR1223" s="207"/>
      <c r="AS1223" s="207"/>
      <c r="AT1223" s="207"/>
      <c r="AU1223" s="207"/>
      <c r="AV1223" s="207"/>
      <c r="AW1223" s="207"/>
      <c r="AX1223" s="207">
        <f>COUNTIFS('Form Details'!$P:$P,AX$1208,'Form Details'!$J:$J,$C1223,'Form Details'!$D:$D,'Adv. Filter'!$A$14,'Form Details'!$D:$D,'Adv. Filter'!$B$14)</f>
        <v>0</v>
      </c>
      <c r="AY1223" s="207"/>
      <c r="AZ1223" s="207"/>
      <c r="BA1223" s="207"/>
      <c r="BB1223" s="207"/>
      <c r="BC1223" s="207"/>
      <c r="BD1223" s="207"/>
      <c r="BE1223" s="207"/>
      <c r="BF1223" s="207">
        <f>COUNTIFS('Form Details'!$P:$P,BF$1208,'Form Details'!$J:$J,$C1223,'Form Details'!$D:$D,'Adv. Filter'!$A$14,'Form Details'!$D:$D,'Adv. Filter'!$B$14)</f>
        <v>0</v>
      </c>
      <c r="BG1223" s="207"/>
      <c r="BH1223" s="207"/>
      <c r="BI1223" s="207"/>
      <c r="BJ1223" s="207"/>
      <c r="BK1223" s="207"/>
      <c r="BL1223" s="207"/>
      <c r="BM1223" s="207"/>
      <c r="BN1223" s="207">
        <f>COUNTIFS('Form Details'!$P:$P,BN$1208,'Form Details'!$J:$J,$C1223,'Form Details'!$D:$D,'Adv. Filter'!$A$14,'Form Details'!$D:$D,'Adv. Filter'!$B$14)</f>
        <v>0</v>
      </c>
      <c r="BO1223" s="207"/>
      <c r="BP1223" s="207"/>
      <c r="BQ1223" s="207"/>
      <c r="BR1223" s="207"/>
      <c r="BS1223" s="207"/>
      <c r="BT1223" s="207"/>
      <c r="BU1223" s="207"/>
      <c r="BV1223" s="207">
        <f>COUNTIFS('Form Details'!$P:$P,BV$1208,'Form Details'!$J:$J,$C1223,'Form Details'!$D:$D,'Adv. Filter'!$A$14,'Form Details'!$D:$D,'Adv. Filter'!$B$14)</f>
        <v>0</v>
      </c>
      <c r="BW1223" s="207"/>
      <c r="BX1223" s="207"/>
      <c r="BY1223" s="207"/>
      <c r="BZ1223" s="207"/>
      <c r="CA1223" s="207"/>
      <c r="CB1223" s="207"/>
      <c r="CC1223" s="207"/>
      <c r="CD1223" s="207">
        <f>COUNTIFS('Form Details'!$P:$P,CD$1208,'Form Details'!$J:$J,$C1223,'Form Details'!$D:$D,'Adv. Filter'!$A$14,'Form Details'!$D:$D,'Adv. Filter'!$B$14)</f>
        <v>0</v>
      </c>
      <c r="CE1223" s="207"/>
      <c r="CF1223" s="207"/>
      <c r="CG1223" s="207"/>
      <c r="CH1223" s="207"/>
      <c r="CI1223" s="207"/>
      <c r="CJ1223" s="207"/>
      <c r="CK1223" s="207"/>
      <c r="CL1223" s="207">
        <f>COUNTIFS('Form Details'!$P:$P,CL$1208,'Form Details'!$J:$J,$C1223,'Form Details'!$D:$D,'Adv. Filter'!$A$14,'Form Details'!$D:$D,'Adv. Filter'!$B$14)</f>
        <v>0</v>
      </c>
      <c r="CM1223" s="207"/>
      <c r="CN1223" s="207"/>
      <c r="CO1223" s="207"/>
      <c r="CP1223" s="207"/>
      <c r="CQ1223" s="207"/>
      <c r="CR1223" s="207"/>
      <c r="CS1223" s="207"/>
      <c r="CT1223" s="207">
        <f>COUNTIFS('Form Details'!$P:$P,CT$1208,'Form Details'!$J:$J,$C1223,'Form Details'!$D:$D,'Adv. Filter'!$A$14,'Form Details'!$D:$D,'Adv. Filter'!$B$14)</f>
        <v>0</v>
      </c>
      <c r="CU1223" s="207"/>
      <c r="CV1223" s="207"/>
      <c r="CW1223" s="207"/>
      <c r="CX1223" s="207"/>
      <c r="CY1223" s="207"/>
      <c r="CZ1223" s="207"/>
      <c r="DA1223" s="207"/>
      <c r="DB1223" s="207">
        <f>COUNTIFS('Form Details'!$P:$P,DB$1208,'Form Details'!$J:$J,$C1223,'Form Details'!$D:$D,'Adv. Filter'!$A$14,'Form Details'!$D:$D,'Adv. Filter'!$B$14)</f>
        <v>0</v>
      </c>
      <c r="DC1223" s="207"/>
      <c r="DD1223" s="207"/>
      <c r="DE1223" s="207"/>
      <c r="DF1223" s="207"/>
      <c r="DG1223" s="207"/>
      <c r="DH1223" s="207"/>
      <c r="DI1223" s="207"/>
      <c r="DJ1223" s="212">
        <f t="shared" si="35"/>
        <v>2</v>
      </c>
      <c r="DK1223" s="213"/>
      <c r="DL1223" s="213"/>
      <c r="DM1223" s="213"/>
      <c r="DN1223" s="213"/>
      <c r="DO1223" s="213"/>
      <c r="DP1223" s="213"/>
      <c r="DQ1223" s="213"/>
      <c r="DR1223" s="213"/>
      <c r="DS1223" s="214"/>
    </row>
    <row r="1224" spans="1:123" hidden="1">
      <c r="A1224" s="180"/>
      <c r="B1224" s="180"/>
      <c r="C1224" s="217" t="s">
        <v>102</v>
      </c>
      <c r="D1224" s="217"/>
      <c r="E1224" s="217"/>
      <c r="F1224" s="217"/>
      <c r="G1224" s="217"/>
      <c r="H1224" s="217"/>
      <c r="I1224" s="217"/>
      <c r="J1224" s="217"/>
      <c r="K1224" s="217"/>
      <c r="L1224" s="217"/>
      <c r="M1224" s="217"/>
      <c r="N1224" s="217"/>
      <c r="O1224" s="217"/>
      <c r="P1224" s="217"/>
      <c r="Q1224" s="217"/>
      <c r="R1224" s="207">
        <f>COUNTIFS('Form Details'!$P:$P,R$1208,'Form Details'!$J:$J,$C1224,'Form Details'!$D:$D,'Adv. Filter'!$A$14,'Form Details'!$D:$D,'Adv. Filter'!$B$14)</f>
        <v>19</v>
      </c>
      <c r="S1224" s="207"/>
      <c r="T1224" s="207"/>
      <c r="U1224" s="207"/>
      <c r="V1224" s="207"/>
      <c r="W1224" s="207"/>
      <c r="X1224" s="207"/>
      <c r="Y1224" s="207"/>
      <c r="Z1224" s="207">
        <f>COUNTIFS('Form Details'!$P:$P,Z$1208,'Form Details'!$J:$J,$C1224,'Form Details'!$D:$D,'Adv. Filter'!$A$14,'Form Details'!$D:$D,'Adv. Filter'!$B$14)</f>
        <v>15</v>
      </c>
      <c r="AA1224" s="207"/>
      <c r="AB1224" s="207"/>
      <c r="AC1224" s="207"/>
      <c r="AD1224" s="207"/>
      <c r="AE1224" s="207"/>
      <c r="AF1224" s="207"/>
      <c r="AG1224" s="207"/>
      <c r="AH1224" s="207">
        <f>COUNTIFS('Form Details'!$P:$P,AH$1208,'Form Details'!$J:$J,$C1224,'Form Details'!$D:$D,'Adv. Filter'!$A$14,'Form Details'!$D:$D,'Adv. Filter'!$B$14)</f>
        <v>17</v>
      </c>
      <c r="AI1224" s="207"/>
      <c r="AJ1224" s="207"/>
      <c r="AK1224" s="207"/>
      <c r="AL1224" s="207"/>
      <c r="AM1224" s="207"/>
      <c r="AN1224" s="207"/>
      <c r="AO1224" s="207"/>
      <c r="AP1224" s="207">
        <f>COUNTIFS('Form Details'!$P:$P,AP$1208,'Form Details'!$J:$J,$C1224,'Form Details'!$D:$D,'Adv. Filter'!$A$14,'Form Details'!$D:$D,'Adv. Filter'!$B$14)</f>
        <v>17</v>
      </c>
      <c r="AQ1224" s="207"/>
      <c r="AR1224" s="207"/>
      <c r="AS1224" s="207"/>
      <c r="AT1224" s="207"/>
      <c r="AU1224" s="207"/>
      <c r="AV1224" s="207"/>
      <c r="AW1224" s="207"/>
      <c r="AX1224" s="207">
        <f>COUNTIFS('Form Details'!$P:$P,AX$1208,'Form Details'!$J:$J,$C1224,'Form Details'!$D:$D,'Adv. Filter'!$A$14,'Form Details'!$D:$D,'Adv. Filter'!$B$14)</f>
        <v>15</v>
      </c>
      <c r="AY1224" s="207"/>
      <c r="AZ1224" s="207"/>
      <c r="BA1224" s="207"/>
      <c r="BB1224" s="207"/>
      <c r="BC1224" s="207"/>
      <c r="BD1224" s="207"/>
      <c r="BE1224" s="207"/>
      <c r="BF1224" s="207">
        <f>COUNTIFS('Form Details'!$P:$P,BF$1208,'Form Details'!$J:$J,$C1224,'Form Details'!$D:$D,'Adv. Filter'!$A$14,'Form Details'!$D:$D,'Adv. Filter'!$B$14)</f>
        <v>15</v>
      </c>
      <c r="BG1224" s="207"/>
      <c r="BH1224" s="207"/>
      <c r="BI1224" s="207"/>
      <c r="BJ1224" s="207"/>
      <c r="BK1224" s="207"/>
      <c r="BL1224" s="207"/>
      <c r="BM1224" s="207"/>
      <c r="BN1224" s="207">
        <f>COUNTIFS('Form Details'!$P:$P,BN$1208,'Form Details'!$J:$J,$C1224,'Form Details'!$D:$D,'Adv. Filter'!$A$14,'Form Details'!$D:$D,'Adv. Filter'!$B$14)</f>
        <v>16</v>
      </c>
      <c r="BO1224" s="207"/>
      <c r="BP1224" s="207"/>
      <c r="BQ1224" s="207"/>
      <c r="BR1224" s="207"/>
      <c r="BS1224" s="207"/>
      <c r="BT1224" s="207"/>
      <c r="BU1224" s="207"/>
      <c r="BV1224" s="207">
        <f>COUNTIFS('Form Details'!$P:$P,BV$1208,'Form Details'!$J:$J,$C1224,'Form Details'!$D:$D,'Adv. Filter'!$A$14,'Form Details'!$D:$D,'Adv. Filter'!$B$14)</f>
        <v>10</v>
      </c>
      <c r="BW1224" s="207"/>
      <c r="BX1224" s="207"/>
      <c r="BY1224" s="207"/>
      <c r="BZ1224" s="207"/>
      <c r="CA1224" s="207"/>
      <c r="CB1224" s="207"/>
      <c r="CC1224" s="207"/>
      <c r="CD1224" s="207">
        <f>COUNTIFS('Form Details'!$P:$P,CD$1208,'Form Details'!$J:$J,$C1224,'Form Details'!$D:$D,'Adv. Filter'!$A$14,'Form Details'!$D:$D,'Adv. Filter'!$B$14)</f>
        <v>16</v>
      </c>
      <c r="CE1224" s="207"/>
      <c r="CF1224" s="207"/>
      <c r="CG1224" s="207"/>
      <c r="CH1224" s="207"/>
      <c r="CI1224" s="207"/>
      <c r="CJ1224" s="207"/>
      <c r="CK1224" s="207"/>
      <c r="CL1224" s="207">
        <f>COUNTIFS('Form Details'!$P:$P,CL$1208,'Form Details'!$J:$J,$C1224,'Form Details'!$D:$D,'Adv. Filter'!$A$14,'Form Details'!$D:$D,'Adv. Filter'!$B$14)</f>
        <v>19</v>
      </c>
      <c r="CM1224" s="207"/>
      <c r="CN1224" s="207"/>
      <c r="CO1224" s="207"/>
      <c r="CP1224" s="207"/>
      <c r="CQ1224" s="207"/>
      <c r="CR1224" s="207"/>
      <c r="CS1224" s="207"/>
      <c r="CT1224" s="207">
        <f>COUNTIFS('Form Details'!$P:$P,CT$1208,'Form Details'!$J:$J,$C1224,'Form Details'!$D:$D,'Adv. Filter'!$A$14,'Form Details'!$D:$D,'Adv. Filter'!$B$14)</f>
        <v>10</v>
      </c>
      <c r="CU1224" s="207"/>
      <c r="CV1224" s="207"/>
      <c r="CW1224" s="207"/>
      <c r="CX1224" s="207"/>
      <c r="CY1224" s="207"/>
      <c r="CZ1224" s="207"/>
      <c r="DA1224" s="207"/>
      <c r="DB1224" s="207">
        <f>COUNTIFS('Form Details'!$P:$P,DB$1208,'Form Details'!$J:$J,$C1224,'Form Details'!$D:$D,'Adv. Filter'!$A$14,'Form Details'!$D:$D,'Adv. Filter'!$B$14)</f>
        <v>16</v>
      </c>
      <c r="DC1224" s="207"/>
      <c r="DD1224" s="207"/>
      <c r="DE1224" s="207"/>
      <c r="DF1224" s="207"/>
      <c r="DG1224" s="207"/>
      <c r="DH1224" s="207"/>
      <c r="DI1224" s="207"/>
      <c r="DJ1224" s="212">
        <f t="shared" si="35"/>
        <v>185</v>
      </c>
      <c r="DK1224" s="213"/>
      <c r="DL1224" s="213"/>
      <c r="DM1224" s="213"/>
      <c r="DN1224" s="213"/>
      <c r="DO1224" s="213"/>
      <c r="DP1224" s="213"/>
      <c r="DQ1224" s="213"/>
      <c r="DR1224" s="213"/>
      <c r="DS1224" s="214"/>
    </row>
    <row r="1225" spans="1:123" hidden="1">
      <c r="A1225" s="180"/>
      <c r="B1225" s="180"/>
      <c r="C1225" s="217" t="s">
        <v>108</v>
      </c>
      <c r="D1225" s="217"/>
      <c r="E1225" s="217"/>
      <c r="F1225" s="217"/>
      <c r="G1225" s="217"/>
      <c r="H1225" s="217"/>
      <c r="I1225" s="217"/>
      <c r="J1225" s="217"/>
      <c r="K1225" s="217"/>
      <c r="L1225" s="217"/>
      <c r="M1225" s="217"/>
      <c r="N1225" s="217"/>
      <c r="O1225" s="217"/>
      <c r="P1225" s="217"/>
      <c r="Q1225" s="217"/>
      <c r="R1225" s="207">
        <f>COUNTIFS('Form Details'!$P:$P,R$1208,'Form Details'!$J:$J,$C1225,'Form Details'!$D:$D,'Adv. Filter'!$A$14,'Form Details'!$D:$D,'Adv. Filter'!$B$14)</f>
        <v>12</v>
      </c>
      <c r="S1225" s="207"/>
      <c r="T1225" s="207"/>
      <c r="U1225" s="207"/>
      <c r="V1225" s="207"/>
      <c r="W1225" s="207"/>
      <c r="X1225" s="207"/>
      <c r="Y1225" s="207"/>
      <c r="Z1225" s="207">
        <f>COUNTIFS('Form Details'!$P:$P,Z$1208,'Form Details'!$J:$J,$C1225,'Form Details'!$D:$D,'Adv. Filter'!$A$14,'Form Details'!$D:$D,'Adv. Filter'!$B$14)</f>
        <v>11</v>
      </c>
      <c r="AA1225" s="207"/>
      <c r="AB1225" s="207"/>
      <c r="AC1225" s="207"/>
      <c r="AD1225" s="207"/>
      <c r="AE1225" s="207"/>
      <c r="AF1225" s="207"/>
      <c r="AG1225" s="207"/>
      <c r="AH1225" s="207">
        <f>COUNTIFS('Form Details'!$P:$P,AH$1208,'Form Details'!$J:$J,$C1225,'Form Details'!$D:$D,'Adv. Filter'!$A$14,'Form Details'!$D:$D,'Adv. Filter'!$B$14)</f>
        <v>10</v>
      </c>
      <c r="AI1225" s="207"/>
      <c r="AJ1225" s="207"/>
      <c r="AK1225" s="207"/>
      <c r="AL1225" s="207"/>
      <c r="AM1225" s="207"/>
      <c r="AN1225" s="207"/>
      <c r="AO1225" s="207"/>
      <c r="AP1225" s="207">
        <f>COUNTIFS('Form Details'!$P:$P,AP$1208,'Form Details'!$J:$J,$C1225,'Form Details'!$D:$D,'Adv. Filter'!$A$14,'Form Details'!$D:$D,'Adv. Filter'!$B$14)</f>
        <v>9</v>
      </c>
      <c r="AQ1225" s="207"/>
      <c r="AR1225" s="207"/>
      <c r="AS1225" s="207"/>
      <c r="AT1225" s="207"/>
      <c r="AU1225" s="207"/>
      <c r="AV1225" s="207"/>
      <c r="AW1225" s="207"/>
      <c r="AX1225" s="207">
        <f>COUNTIFS('Form Details'!$P:$P,AX$1208,'Form Details'!$J:$J,$C1225,'Form Details'!$D:$D,'Adv. Filter'!$A$14,'Form Details'!$D:$D,'Adv. Filter'!$B$14)</f>
        <v>9</v>
      </c>
      <c r="AY1225" s="207"/>
      <c r="AZ1225" s="207"/>
      <c r="BA1225" s="207"/>
      <c r="BB1225" s="207"/>
      <c r="BC1225" s="207"/>
      <c r="BD1225" s="207"/>
      <c r="BE1225" s="207"/>
      <c r="BF1225" s="207">
        <f>COUNTIFS('Form Details'!$P:$P,BF$1208,'Form Details'!$J:$J,$C1225,'Form Details'!$D:$D,'Adv. Filter'!$A$14,'Form Details'!$D:$D,'Adv. Filter'!$B$14)</f>
        <v>9</v>
      </c>
      <c r="BG1225" s="207"/>
      <c r="BH1225" s="207"/>
      <c r="BI1225" s="207"/>
      <c r="BJ1225" s="207"/>
      <c r="BK1225" s="207"/>
      <c r="BL1225" s="207"/>
      <c r="BM1225" s="207"/>
      <c r="BN1225" s="207">
        <f>COUNTIFS('Form Details'!$P:$P,BN$1208,'Form Details'!$J:$J,$C1225,'Form Details'!$D:$D,'Adv. Filter'!$A$14,'Form Details'!$D:$D,'Adv. Filter'!$B$14)</f>
        <v>9</v>
      </c>
      <c r="BO1225" s="207"/>
      <c r="BP1225" s="207"/>
      <c r="BQ1225" s="207"/>
      <c r="BR1225" s="207"/>
      <c r="BS1225" s="207"/>
      <c r="BT1225" s="207"/>
      <c r="BU1225" s="207"/>
      <c r="BV1225" s="207">
        <f>COUNTIFS('Form Details'!$P:$P,BV$1208,'Form Details'!$J:$J,$C1225,'Form Details'!$D:$D,'Adv. Filter'!$A$14,'Form Details'!$D:$D,'Adv. Filter'!$B$14)</f>
        <v>8</v>
      </c>
      <c r="BW1225" s="207"/>
      <c r="BX1225" s="207"/>
      <c r="BY1225" s="207"/>
      <c r="BZ1225" s="207"/>
      <c r="CA1225" s="207"/>
      <c r="CB1225" s="207"/>
      <c r="CC1225" s="207"/>
      <c r="CD1225" s="207">
        <f>COUNTIFS('Form Details'!$P:$P,CD$1208,'Form Details'!$J:$J,$C1225,'Form Details'!$D:$D,'Adv. Filter'!$A$14,'Form Details'!$D:$D,'Adv. Filter'!$B$14)</f>
        <v>9</v>
      </c>
      <c r="CE1225" s="207"/>
      <c r="CF1225" s="207"/>
      <c r="CG1225" s="207"/>
      <c r="CH1225" s="207"/>
      <c r="CI1225" s="207"/>
      <c r="CJ1225" s="207"/>
      <c r="CK1225" s="207"/>
      <c r="CL1225" s="207">
        <f>COUNTIFS('Form Details'!$P:$P,CL$1208,'Form Details'!$J:$J,$C1225,'Form Details'!$D:$D,'Adv. Filter'!$A$14,'Form Details'!$D:$D,'Adv. Filter'!$B$14)</f>
        <v>9</v>
      </c>
      <c r="CM1225" s="207"/>
      <c r="CN1225" s="207"/>
      <c r="CO1225" s="207"/>
      <c r="CP1225" s="207"/>
      <c r="CQ1225" s="207"/>
      <c r="CR1225" s="207"/>
      <c r="CS1225" s="207"/>
      <c r="CT1225" s="207">
        <f>COUNTIFS('Form Details'!$P:$P,CT$1208,'Form Details'!$J:$J,$C1225,'Form Details'!$D:$D,'Adv. Filter'!$A$14,'Form Details'!$D:$D,'Adv. Filter'!$B$14)</f>
        <v>8</v>
      </c>
      <c r="CU1225" s="207"/>
      <c r="CV1225" s="207"/>
      <c r="CW1225" s="207"/>
      <c r="CX1225" s="207"/>
      <c r="CY1225" s="207"/>
      <c r="CZ1225" s="207"/>
      <c r="DA1225" s="207"/>
      <c r="DB1225" s="207">
        <f>COUNTIFS('Form Details'!$P:$P,DB$1208,'Form Details'!$J:$J,$C1225,'Form Details'!$D:$D,'Adv. Filter'!$A$14,'Form Details'!$D:$D,'Adv. Filter'!$B$14)</f>
        <v>10</v>
      </c>
      <c r="DC1225" s="207"/>
      <c r="DD1225" s="207"/>
      <c r="DE1225" s="207"/>
      <c r="DF1225" s="207"/>
      <c r="DG1225" s="207"/>
      <c r="DH1225" s="207"/>
      <c r="DI1225" s="207"/>
      <c r="DJ1225" s="212">
        <f t="shared" si="35"/>
        <v>113</v>
      </c>
      <c r="DK1225" s="213"/>
      <c r="DL1225" s="213"/>
      <c r="DM1225" s="213"/>
      <c r="DN1225" s="213"/>
      <c r="DO1225" s="213"/>
      <c r="DP1225" s="213"/>
      <c r="DQ1225" s="213"/>
      <c r="DR1225" s="213"/>
      <c r="DS1225" s="214"/>
    </row>
    <row r="1226" spans="1:123" hidden="1">
      <c r="A1226" s="180"/>
      <c r="B1226" s="180"/>
      <c r="C1226" s="215" t="s">
        <v>126</v>
      </c>
      <c r="D1226" s="215"/>
      <c r="E1226" s="215"/>
      <c r="F1226" s="215"/>
      <c r="G1226" s="215"/>
      <c r="H1226" s="215"/>
      <c r="I1226" s="215"/>
      <c r="J1226" s="215"/>
      <c r="K1226" s="215"/>
      <c r="L1226" s="215"/>
      <c r="M1226" s="215"/>
      <c r="N1226" s="215"/>
      <c r="O1226" s="215"/>
      <c r="P1226" s="215"/>
      <c r="Q1226" s="215"/>
      <c r="R1226" s="207">
        <f>COUNTIFS('Form Details'!$P:$P,R$1208,'Form Details'!$I:$I,$C1226,'Form Details'!$D:$D,'Adv. Filter'!$A$14,'Form Details'!$D:$D,'Adv. Filter'!$B$14)</f>
        <v>1</v>
      </c>
      <c r="S1226" s="207"/>
      <c r="T1226" s="207"/>
      <c r="U1226" s="207"/>
      <c r="V1226" s="207"/>
      <c r="W1226" s="207"/>
      <c r="X1226" s="207"/>
      <c r="Y1226" s="207"/>
      <c r="Z1226" s="207">
        <f>COUNTIFS('Form Details'!$P:$P,Z$1208,'Form Details'!$I:$I,$C1226,'Form Details'!$D:$D,'Adv. Filter'!$A$14,'Form Details'!$D:$D,'Adv. Filter'!$B$14)</f>
        <v>0</v>
      </c>
      <c r="AA1226" s="207"/>
      <c r="AB1226" s="207"/>
      <c r="AC1226" s="207"/>
      <c r="AD1226" s="207"/>
      <c r="AE1226" s="207"/>
      <c r="AF1226" s="207"/>
      <c r="AG1226" s="207"/>
      <c r="AH1226" s="207">
        <f>COUNTIFS('Form Details'!$P:$P,AH$1208,'Form Details'!$I:$I,$C1226,'Form Details'!$D:$D,'Adv. Filter'!$A$14,'Form Details'!$D:$D,'Adv. Filter'!$B$14)</f>
        <v>1</v>
      </c>
      <c r="AI1226" s="207"/>
      <c r="AJ1226" s="207"/>
      <c r="AK1226" s="207"/>
      <c r="AL1226" s="207"/>
      <c r="AM1226" s="207"/>
      <c r="AN1226" s="207"/>
      <c r="AO1226" s="207"/>
      <c r="AP1226" s="207">
        <f>COUNTIFS('Form Details'!$P:$P,AP$1208,'Form Details'!$I:$I,$C1226,'Form Details'!$D:$D,'Adv. Filter'!$A$14,'Form Details'!$D:$D,'Adv. Filter'!$B$14)</f>
        <v>2</v>
      </c>
      <c r="AQ1226" s="207"/>
      <c r="AR1226" s="207"/>
      <c r="AS1226" s="207"/>
      <c r="AT1226" s="207"/>
      <c r="AU1226" s="207"/>
      <c r="AV1226" s="207"/>
      <c r="AW1226" s="207"/>
      <c r="AX1226" s="207">
        <f>COUNTIFS('Form Details'!$P:$P,AX$1208,'Form Details'!$I:$I,$C1226,'Form Details'!$D:$D,'Adv. Filter'!$A$14,'Form Details'!$D:$D,'Adv. Filter'!$B$14)</f>
        <v>2</v>
      </c>
      <c r="AY1226" s="207"/>
      <c r="AZ1226" s="207"/>
      <c r="BA1226" s="207"/>
      <c r="BB1226" s="207"/>
      <c r="BC1226" s="207"/>
      <c r="BD1226" s="207"/>
      <c r="BE1226" s="207"/>
      <c r="BF1226" s="207">
        <f>COUNTIFS('Form Details'!$P:$P,BF$1208,'Form Details'!$I:$I,$C1226,'Form Details'!$D:$D,'Adv. Filter'!$A$14,'Form Details'!$D:$D,'Adv. Filter'!$B$14)</f>
        <v>0</v>
      </c>
      <c r="BG1226" s="207"/>
      <c r="BH1226" s="207"/>
      <c r="BI1226" s="207"/>
      <c r="BJ1226" s="207"/>
      <c r="BK1226" s="207"/>
      <c r="BL1226" s="207"/>
      <c r="BM1226" s="207"/>
      <c r="BN1226" s="207">
        <f>COUNTIFS('Form Details'!$P:$P,BN$1208,'Form Details'!$I:$I,$C1226,'Form Details'!$D:$D,'Adv. Filter'!$A$14,'Form Details'!$D:$D,'Adv. Filter'!$B$14)</f>
        <v>3</v>
      </c>
      <c r="BO1226" s="207"/>
      <c r="BP1226" s="207"/>
      <c r="BQ1226" s="207"/>
      <c r="BR1226" s="207"/>
      <c r="BS1226" s="207"/>
      <c r="BT1226" s="207"/>
      <c r="BU1226" s="207"/>
      <c r="BV1226" s="207">
        <f>COUNTIFS('Form Details'!$P:$P,BV$1208,'Form Details'!$I:$I,$C1226,'Form Details'!$D:$D,'Adv. Filter'!$A$14,'Form Details'!$D:$D,'Adv. Filter'!$B$14)</f>
        <v>2</v>
      </c>
      <c r="BW1226" s="207"/>
      <c r="BX1226" s="207"/>
      <c r="BY1226" s="207"/>
      <c r="BZ1226" s="207"/>
      <c r="CA1226" s="207"/>
      <c r="CB1226" s="207"/>
      <c r="CC1226" s="207"/>
      <c r="CD1226" s="207">
        <f>COUNTIFS('Form Details'!$P:$P,CD$1208,'Form Details'!$I:$I,$C1226,'Form Details'!$D:$D,'Adv. Filter'!$A$14,'Form Details'!$D:$D,'Adv. Filter'!$B$14)</f>
        <v>1</v>
      </c>
      <c r="CE1226" s="207"/>
      <c r="CF1226" s="207"/>
      <c r="CG1226" s="207"/>
      <c r="CH1226" s="207"/>
      <c r="CI1226" s="207"/>
      <c r="CJ1226" s="207"/>
      <c r="CK1226" s="207"/>
      <c r="CL1226" s="207">
        <f>COUNTIFS('Form Details'!$P:$P,CL$1208,'Form Details'!$I:$I,$C1226,'Form Details'!$D:$D,'Adv. Filter'!$A$14,'Form Details'!$D:$D,'Adv. Filter'!$B$14)</f>
        <v>1</v>
      </c>
      <c r="CM1226" s="207"/>
      <c r="CN1226" s="207"/>
      <c r="CO1226" s="207"/>
      <c r="CP1226" s="207"/>
      <c r="CQ1226" s="207"/>
      <c r="CR1226" s="207"/>
      <c r="CS1226" s="207"/>
      <c r="CT1226" s="207">
        <f>COUNTIFS('Form Details'!$P:$P,CT$1208,'Form Details'!$I:$I,$C1226,'Form Details'!$D:$D,'Adv. Filter'!$A$14,'Form Details'!$D:$D,'Adv. Filter'!$B$14)</f>
        <v>3</v>
      </c>
      <c r="CU1226" s="207"/>
      <c r="CV1226" s="207"/>
      <c r="CW1226" s="207"/>
      <c r="CX1226" s="207"/>
      <c r="CY1226" s="207"/>
      <c r="CZ1226" s="207"/>
      <c r="DA1226" s="207"/>
      <c r="DB1226" s="207">
        <f>COUNTIFS('Form Details'!$P:$P,DB$1208,'Form Details'!$I:$I,$C1226,'Form Details'!$D:$D,'Adv. Filter'!$A$14,'Form Details'!$D:$D,'Adv. Filter'!$B$14)</f>
        <v>3</v>
      </c>
      <c r="DC1226" s="207"/>
      <c r="DD1226" s="207"/>
      <c r="DE1226" s="207"/>
      <c r="DF1226" s="207"/>
      <c r="DG1226" s="207"/>
      <c r="DH1226" s="207"/>
      <c r="DI1226" s="207"/>
      <c r="DJ1226" s="212">
        <f t="shared" si="35"/>
        <v>19</v>
      </c>
      <c r="DK1226" s="213"/>
      <c r="DL1226" s="213"/>
      <c r="DM1226" s="213"/>
      <c r="DN1226" s="213"/>
      <c r="DO1226" s="213"/>
      <c r="DP1226" s="213"/>
      <c r="DQ1226" s="213"/>
      <c r="DR1226" s="213"/>
      <c r="DS1226" s="214"/>
    </row>
    <row r="1227" spans="1:123" hidden="1">
      <c r="A1227" s="180"/>
      <c r="B1227" s="180"/>
      <c r="C1227" s="215" t="s">
        <v>83</v>
      </c>
      <c r="D1227" s="215"/>
      <c r="E1227" s="215"/>
      <c r="F1227" s="215"/>
      <c r="G1227" s="215"/>
      <c r="H1227" s="215"/>
      <c r="I1227" s="215"/>
      <c r="J1227" s="215"/>
      <c r="K1227" s="215"/>
      <c r="L1227" s="215"/>
      <c r="M1227" s="215"/>
      <c r="N1227" s="215"/>
      <c r="O1227" s="215"/>
      <c r="P1227" s="215"/>
      <c r="Q1227" s="215"/>
      <c r="R1227" s="207">
        <f>COUNTIFS('Form Details'!$P:$P,R$1208,'Form Details'!$I:$I,$C1227,'Form Details'!$D:$D,'Adv. Filter'!$A$14,'Form Details'!$D:$D,'Adv. Filter'!$B$14)</f>
        <v>1</v>
      </c>
      <c r="S1227" s="207"/>
      <c r="T1227" s="207"/>
      <c r="U1227" s="207"/>
      <c r="V1227" s="207"/>
      <c r="W1227" s="207"/>
      <c r="X1227" s="207"/>
      <c r="Y1227" s="207"/>
      <c r="Z1227" s="207">
        <f>COUNTIFS('Form Details'!$P:$P,Z$1208,'Form Details'!$I:$I,$C1227,'Form Details'!$D:$D,'Adv. Filter'!$A$14,'Form Details'!$D:$D,'Adv. Filter'!$B$14)</f>
        <v>1</v>
      </c>
      <c r="AA1227" s="207"/>
      <c r="AB1227" s="207"/>
      <c r="AC1227" s="207"/>
      <c r="AD1227" s="207"/>
      <c r="AE1227" s="207"/>
      <c r="AF1227" s="207"/>
      <c r="AG1227" s="207"/>
      <c r="AH1227" s="207">
        <f>COUNTIFS('Form Details'!$P:$P,AH$1208,'Form Details'!$I:$I,$C1227,'Form Details'!$D:$D,'Adv. Filter'!$A$14,'Form Details'!$D:$D,'Adv. Filter'!$B$14)</f>
        <v>0</v>
      </c>
      <c r="AI1227" s="207"/>
      <c r="AJ1227" s="207"/>
      <c r="AK1227" s="207"/>
      <c r="AL1227" s="207"/>
      <c r="AM1227" s="207"/>
      <c r="AN1227" s="207"/>
      <c r="AO1227" s="207"/>
      <c r="AP1227" s="207">
        <f>COUNTIFS('Form Details'!$P:$P,AP$1208,'Form Details'!$I:$I,$C1227,'Form Details'!$D:$D,'Adv. Filter'!$A$14,'Form Details'!$D:$D,'Adv. Filter'!$B$14)</f>
        <v>0</v>
      </c>
      <c r="AQ1227" s="207"/>
      <c r="AR1227" s="207"/>
      <c r="AS1227" s="207"/>
      <c r="AT1227" s="207"/>
      <c r="AU1227" s="207"/>
      <c r="AV1227" s="207"/>
      <c r="AW1227" s="207"/>
      <c r="AX1227" s="207">
        <f>COUNTIFS('Form Details'!$P:$P,AX$1208,'Form Details'!$I:$I,$C1227,'Form Details'!$D:$D,'Adv. Filter'!$A$14,'Form Details'!$D:$D,'Adv. Filter'!$B$14)</f>
        <v>0</v>
      </c>
      <c r="AY1227" s="207"/>
      <c r="AZ1227" s="207"/>
      <c r="BA1227" s="207"/>
      <c r="BB1227" s="207"/>
      <c r="BC1227" s="207"/>
      <c r="BD1227" s="207"/>
      <c r="BE1227" s="207"/>
      <c r="BF1227" s="207">
        <f>COUNTIFS('Form Details'!$P:$P,BF$1208,'Form Details'!$I:$I,$C1227,'Form Details'!$D:$D,'Adv. Filter'!$A$14,'Form Details'!$D:$D,'Adv. Filter'!$B$14)</f>
        <v>1</v>
      </c>
      <c r="BG1227" s="207"/>
      <c r="BH1227" s="207"/>
      <c r="BI1227" s="207"/>
      <c r="BJ1227" s="207"/>
      <c r="BK1227" s="207"/>
      <c r="BL1227" s="207"/>
      <c r="BM1227" s="207"/>
      <c r="BN1227" s="207">
        <f>COUNTIFS('Form Details'!$P:$P,BN$1208,'Form Details'!$I:$I,$C1227,'Form Details'!$D:$D,'Adv. Filter'!$A$14,'Form Details'!$D:$D,'Adv. Filter'!$B$14)</f>
        <v>0</v>
      </c>
      <c r="BO1227" s="207"/>
      <c r="BP1227" s="207"/>
      <c r="BQ1227" s="207"/>
      <c r="BR1227" s="207"/>
      <c r="BS1227" s="207"/>
      <c r="BT1227" s="207"/>
      <c r="BU1227" s="207"/>
      <c r="BV1227" s="207">
        <f>COUNTIFS('Form Details'!$P:$P,BV$1208,'Form Details'!$I:$I,$C1227,'Form Details'!$D:$D,'Adv. Filter'!$A$14,'Form Details'!$D:$D,'Adv. Filter'!$B$14)</f>
        <v>0</v>
      </c>
      <c r="BW1227" s="207"/>
      <c r="BX1227" s="207"/>
      <c r="BY1227" s="207"/>
      <c r="BZ1227" s="207"/>
      <c r="CA1227" s="207"/>
      <c r="CB1227" s="207"/>
      <c r="CC1227" s="207"/>
      <c r="CD1227" s="207">
        <f>COUNTIFS('Form Details'!$P:$P,CD$1208,'Form Details'!$I:$I,$C1227,'Form Details'!$D:$D,'Adv. Filter'!$A$14,'Form Details'!$D:$D,'Adv. Filter'!$B$14)</f>
        <v>0</v>
      </c>
      <c r="CE1227" s="207"/>
      <c r="CF1227" s="207"/>
      <c r="CG1227" s="207"/>
      <c r="CH1227" s="207"/>
      <c r="CI1227" s="207"/>
      <c r="CJ1227" s="207"/>
      <c r="CK1227" s="207"/>
      <c r="CL1227" s="207">
        <f>COUNTIFS('Form Details'!$P:$P,CL$1208,'Form Details'!$I:$I,$C1227,'Form Details'!$D:$D,'Adv. Filter'!$A$14,'Form Details'!$D:$D,'Adv. Filter'!$B$14)</f>
        <v>0</v>
      </c>
      <c r="CM1227" s="207"/>
      <c r="CN1227" s="207"/>
      <c r="CO1227" s="207"/>
      <c r="CP1227" s="207"/>
      <c r="CQ1227" s="207"/>
      <c r="CR1227" s="207"/>
      <c r="CS1227" s="207"/>
      <c r="CT1227" s="207">
        <f>COUNTIFS('Form Details'!$P:$P,CT$1208,'Form Details'!$I:$I,$C1227,'Form Details'!$D:$D,'Adv. Filter'!$A$14,'Form Details'!$D:$D,'Adv. Filter'!$B$14)</f>
        <v>1</v>
      </c>
      <c r="CU1227" s="207"/>
      <c r="CV1227" s="207"/>
      <c r="CW1227" s="207"/>
      <c r="CX1227" s="207"/>
      <c r="CY1227" s="207"/>
      <c r="CZ1227" s="207"/>
      <c r="DA1227" s="207"/>
      <c r="DB1227" s="207">
        <f>COUNTIFS('Form Details'!$P:$P,DB$1208,'Form Details'!$I:$I,$C1227,'Form Details'!$D:$D,'Adv. Filter'!$A$14,'Form Details'!$D:$D,'Adv. Filter'!$B$14)</f>
        <v>1</v>
      </c>
      <c r="DC1227" s="207"/>
      <c r="DD1227" s="207"/>
      <c r="DE1227" s="207"/>
      <c r="DF1227" s="207"/>
      <c r="DG1227" s="207"/>
      <c r="DH1227" s="207"/>
      <c r="DI1227" s="207"/>
      <c r="DJ1227" s="212">
        <f t="shared" si="35"/>
        <v>5</v>
      </c>
      <c r="DK1227" s="213"/>
      <c r="DL1227" s="213"/>
      <c r="DM1227" s="213"/>
      <c r="DN1227" s="213"/>
      <c r="DO1227" s="213"/>
      <c r="DP1227" s="213"/>
      <c r="DQ1227" s="213"/>
      <c r="DR1227" s="213"/>
      <c r="DS1227" s="214"/>
    </row>
    <row r="1228" spans="1:123" hidden="1">
      <c r="C1228" s="215" t="s">
        <v>137</v>
      </c>
      <c r="D1228" s="215"/>
      <c r="E1228" s="215"/>
      <c r="F1228" s="215"/>
      <c r="G1228" s="215"/>
      <c r="H1228" s="215"/>
      <c r="I1228" s="215"/>
      <c r="J1228" s="215"/>
      <c r="K1228" s="215"/>
      <c r="L1228" s="215"/>
      <c r="M1228" s="215"/>
      <c r="N1228" s="215"/>
      <c r="O1228" s="215"/>
      <c r="P1228" s="215"/>
      <c r="Q1228" s="215"/>
      <c r="R1228" s="207">
        <f>COUNTIFS('Form Details'!$P:$P,R$1208,'Form Details'!$I:$I,$C1228,'Form Details'!$D:$D,'Adv. Filter'!$A$14,'Form Details'!$D:$D,'Adv. Filter'!$B$14)</f>
        <v>0</v>
      </c>
      <c r="S1228" s="207"/>
      <c r="T1228" s="207"/>
      <c r="U1228" s="207"/>
      <c r="V1228" s="207"/>
      <c r="W1228" s="207"/>
      <c r="X1228" s="207"/>
      <c r="Y1228" s="207"/>
      <c r="Z1228" s="207">
        <f>COUNTIFS('Form Details'!$P:$P,Z$1208,'Form Details'!$I:$I,$C1228,'Form Details'!$D:$D,'Adv. Filter'!$A$14,'Form Details'!$D:$D,'Adv. Filter'!$B$14)</f>
        <v>0</v>
      </c>
      <c r="AA1228" s="207"/>
      <c r="AB1228" s="207"/>
      <c r="AC1228" s="207"/>
      <c r="AD1228" s="207"/>
      <c r="AE1228" s="207"/>
      <c r="AF1228" s="207"/>
      <c r="AG1228" s="207"/>
      <c r="AH1228" s="207">
        <f>COUNTIFS('Form Details'!$P:$P,AH$1208,'Form Details'!$I:$I,$C1228,'Form Details'!$D:$D,'Adv. Filter'!$A$14,'Form Details'!$D:$D,'Adv. Filter'!$B$14)</f>
        <v>0</v>
      </c>
      <c r="AI1228" s="207"/>
      <c r="AJ1228" s="207"/>
      <c r="AK1228" s="207"/>
      <c r="AL1228" s="207"/>
      <c r="AM1228" s="207"/>
      <c r="AN1228" s="207"/>
      <c r="AO1228" s="207"/>
      <c r="AP1228" s="207">
        <f>COUNTIFS('Form Details'!$P:$P,AP$1208,'Form Details'!$I:$I,$C1228,'Form Details'!$D:$D,'Adv. Filter'!$A$14,'Form Details'!$D:$D,'Adv. Filter'!$B$14)</f>
        <v>0</v>
      </c>
      <c r="AQ1228" s="207"/>
      <c r="AR1228" s="207"/>
      <c r="AS1228" s="207"/>
      <c r="AT1228" s="207"/>
      <c r="AU1228" s="207"/>
      <c r="AV1228" s="207"/>
      <c r="AW1228" s="207"/>
      <c r="AX1228" s="207">
        <f>COUNTIFS('Form Details'!$P:$P,AX$1208,'Form Details'!$I:$I,$C1228,'Form Details'!$D:$D,'Adv. Filter'!$A$14,'Form Details'!$D:$D,'Adv. Filter'!$B$14)</f>
        <v>0</v>
      </c>
      <c r="AY1228" s="207"/>
      <c r="AZ1228" s="207"/>
      <c r="BA1228" s="207"/>
      <c r="BB1228" s="207"/>
      <c r="BC1228" s="207"/>
      <c r="BD1228" s="207"/>
      <c r="BE1228" s="207"/>
      <c r="BF1228" s="207">
        <f>COUNTIFS('Form Details'!$P:$P,BF$1208,'Form Details'!$I:$I,$C1228,'Form Details'!$D:$D,'Adv. Filter'!$A$14,'Form Details'!$D:$D,'Adv. Filter'!$B$14)</f>
        <v>0</v>
      </c>
      <c r="BG1228" s="207"/>
      <c r="BH1228" s="207"/>
      <c r="BI1228" s="207"/>
      <c r="BJ1228" s="207"/>
      <c r="BK1228" s="207"/>
      <c r="BL1228" s="207"/>
      <c r="BM1228" s="207"/>
      <c r="BN1228" s="207">
        <f>COUNTIFS('Form Details'!$P:$P,BN$1208,'Form Details'!$I:$I,$C1228,'Form Details'!$D:$D,'Adv. Filter'!$A$14,'Form Details'!$D:$D,'Adv. Filter'!$B$14)</f>
        <v>0</v>
      </c>
      <c r="BO1228" s="207"/>
      <c r="BP1228" s="207"/>
      <c r="BQ1228" s="207"/>
      <c r="BR1228" s="207"/>
      <c r="BS1228" s="207"/>
      <c r="BT1228" s="207"/>
      <c r="BU1228" s="207"/>
      <c r="BV1228" s="207">
        <f>COUNTIFS('Form Details'!$P:$P,BV$1208,'Form Details'!$I:$I,$C1228,'Form Details'!$D:$D,'Adv. Filter'!$A$14,'Form Details'!$D:$D,'Adv. Filter'!$B$14)</f>
        <v>0</v>
      </c>
      <c r="BW1228" s="207"/>
      <c r="BX1228" s="207"/>
      <c r="BY1228" s="207"/>
      <c r="BZ1228" s="207"/>
      <c r="CA1228" s="207"/>
      <c r="CB1228" s="207"/>
      <c r="CC1228" s="207"/>
      <c r="CD1228" s="207">
        <f>COUNTIFS('Form Details'!$P:$P,CD$1208,'Form Details'!$I:$I,$C1228,'Form Details'!$D:$D,'Adv. Filter'!$A$14,'Form Details'!$D:$D,'Adv. Filter'!$B$14)</f>
        <v>0</v>
      </c>
      <c r="CE1228" s="207"/>
      <c r="CF1228" s="207"/>
      <c r="CG1228" s="207"/>
      <c r="CH1228" s="207"/>
      <c r="CI1228" s="207"/>
      <c r="CJ1228" s="207"/>
      <c r="CK1228" s="207"/>
      <c r="CL1228" s="207">
        <f>COUNTIFS('Form Details'!$P:$P,CL$1208,'Form Details'!$I:$I,$C1228,'Form Details'!$D:$D,'Adv. Filter'!$A$14,'Form Details'!$D:$D,'Adv. Filter'!$B$14)</f>
        <v>0</v>
      </c>
      <c r="CM1228" s="207"/>
      <c r="CN1228" s="207"/>
      <c r="CO1228" s="207"/>
      <c r="CP1228" s="207"/>
      <c r="CQ1228" s="207"/>
      <c r="CR1228" s="207"/>
      <c r="CS1228" s="207"/>
      <c r="CT1228" s="207">
        <f>COUNTIFS('Form Details'!$P:$P,CT$1208,'Form Details'!$I:$I,$C1228,'Form Details'!$D:$D,'Adv. Filter'!$A$14,'Form Details'!$D:$D,'Adv. Filter'!$B$14)</f>
        <v>0</v>
      </c>
      <c r="CU1228" s="207"/>
      <c r="CV1228" s="207"/>
      <c r="CW1228" s="207"/>
      <c r="CX1228" s="207"/>
      <c r="CY1228" s="207"/>
      <c r="CZ1228" s="207"/>
      <c r="DA1228" s="207"/>
      <c r="DB1228" s="207">
        <f>COUNTIFS('Form Details'!$P:$P,DB$1208,'Form Details'!$I:$I,$C1228,'Form Details'!$D:$D,'Adv. Filter'!$A$14,'Form Details'!$D:$D,'Adv. Filter'!$B$14)</f>
        <v>0</v>
      </c>
      <c r="DC1228" s="207"/>
      <c r="DD1228" s="207"/>
      <c r="DE1228" s="207"/>
      <c r="DF1228" s="207"/>
      <c r="DG1228" s="207"/>
      <c r="DH1228" s="207"/>
      <c r="DI1228" s="207"/>
      <c r="DJ1228" s="212">
        <f t="shared" si="35"/>
        <v>0</v>
      </c>
      <c r="DK1228" s="213"/>
      <c r="DL1228" s="213"/>
      <c r="DM1228" s="213"/>
      <c r="DN1228" s="213"/>
      <c r="DO1228" s="213"/>
      <c r="DP1228" s="213"/>
      <c r="DQ1228" s="213"/>
      <c r="DR1228" s="213"/>
      <c r="DS1228" s="214"/>
    </row>
    <row r="1229" spans="1:123" hidden="1">
      <c r="C1229" s="215" t="s">
        <v>115</v>
      </c>
      <c r="D1229" s="215"/>
      <c r="E1229" s="215"/>
      <c r="F1229" s="215"/>
      <c r="G1229" s="215"/>
      <c r="H1229" s="215"/>
      <c r="I1229" s="215"/>
      <c r="J1229" s="215"/>
      <c r="K1229" s="215"/>
      <c r="L1229" s="215"/>
      <c r="M1229" s="215"/>
      <c r="N1229" s="215"/>
      <c r="O1229" s="215"/>
      <c r="P1229" s="215"/>
      <c r="Q1229" s="215"/>
      <c r="R1229" s="207">
        <f>COUNTIFS('Form Details'!$P:$P,R$1208,'Form Details'!$I:$I,$C1229,'Form Details'!$D:$D,'Adv. Filter'!$A$14,'Form Details'!$D:$D,'Adv. Filter'!$B$14)</f>
        <v>5</v>
      </c>
      <c r="S1229" s="207"/>
      <c r="T1229" s="207"/>
      <c r="U1229" s="207"/>
      <c r="V1229" s="207"/>
      <c r="W1229" s="207"/>
      <c r="X1229" s="207"/>
      <c r="Y1229" s="207"/>
      <c r="Z1229" s="207">
        <f>COUNTIFS('Form Details'!$P:$P,Z$1208,'Form Details'!$I:$I,$C1229,'Form Details'!$D:$D,'Adv. Filter'!$A$14,'Form Details'!$D:$D,'Adv. Filter'!$B$14)</f>
        <v>3</v>
      </c>
      <c r="AA1229" s="207"/>
      <c r="AB1229" s="207"/>
      <c r="AC1229" s="207"/>
      <c r="AD1229" s="207"/>
      <c r="AE1229" s="207"/>
      <c r="AF1229" s="207"/>
      <c r="AG1229" s="207"/>
      <c r="AH1229" s="207">
        <f>COUNTIFS('Form Details'!$P:$P,AH$1208,'Form Details'!$I:$I,$C1229,'Form Details'!$D:$D,'Adv. Filter'!$A$14,'Form Details'!$D:$D,'Adv. Filter'!$B$14)</f>
        <v>2</v>
      </c>
      <c r="AI1229" s="207"/>
      <c r="AJ1229" s="207"/>
      <c r="AK1229" s="207"/>
      <c r="AL1229" s="207"/>
      <c r="AM1229" s="207"/>
      <c r="AN1229" s="207"/>
      <c r="AO1229" s="207"/>
      <c r="AP1229" s="207">
        <f>COUNTIFS('Form Details'!$P:$P,AP$1208,'Form Details'!$I:$I,$C1229,'Form Details'!$D:$D,'Adv. Filter'!$A$14,'Form Details'!$D:$D,'Adv. Filter'!$B$14)</f>
        <v>2</v>
      </c>
      <c r="AQ1229" s="207"/>
      <c r="AR1229" s="207"/>
      <c r="AS1229" s="207"/>
      <c r="AT1229" s="207"/>
      <c r="AU1229" s="207"/>
      <c r="AV1229" s="207"/>
      <c r="AW1229" s="207"/>
      <c r="AX1229" s="207">
        <f>COUNTIFS('Form Details'!$P:$P,AX$1208,'Form Details'!$I:$I,$C1229,'Form Details'!$D:$D,'Adv. Filter'!$A$14,'Form Details'!$D:$D,'Adv. Filter'!$B$14)</f>
        <v>4</v>
      </c>
      <c r="AY1229" s="207"/>
      <c r="AZ1229" s="207"/>
      <c r="BA1229" s="207"/>
      <c r="BB1229" s="207"/>
      <c r="BC1229" s="207"/>
      <c r="BD1229" s="207"/>
      <c r="BE1229" s="207"/>
      <c r="BF1229" s="207">
        <f>COUNTIFS('Form Details'!$P:$P,BF$1208,'Form Details'!$I:$I,$C1229,'Form Details'!$D:$D,'Adv. Filter'!$A$14,'Form Details'!$D:$D,'Adv. Filter'!$B$14)</f>
        <v>2</v>
      </c>
      <c r="BG1229" s="207"/>
      <c r="BH1229" s="207"/>
      <c r="BI1229" s="207"/>
      <c r="BJ1229" s="207"/>
      <c r="BK1229" s="207"/>
      <c r="BL1229" s="207"/>
      <c r="BM1229" s="207"/>
      <c r="BN1229" s="207">
        <f>COUNTIFS('Form Details'!$P:$P,BN$1208,'Form Details'!$I:$I,$C1229,'Form Details'!$D:$D,'Adv. Filter'!$A$14,'Form Details'!$D:$D,'Adv. Filter'!$B$14)</f>
        <v>3</v>
      </c>
      <c r="BO1229" s="207"/>
      <c r="BP1229" s="207"/>
      <c r="BQ1229" s="207"/>
      <c r="BR1229" s="207"/>
      <c r="BS1229" s="207"/>
      <c r="BT1229" s="207"/>
      <c r="BU1229" s="207"/>
      <c r="BV1229" s="207">
        <f>COUNTIFS('Form Details'!$P:$P,BV$1208,'Form Details'!$I:$I,$C1229,'Form Details'!$D:$D,'Adv. Filter'!$A$14,'Form Details'!$D:$D,'Adv. Filter'!$B$14)</f>
        <v>2</v>
      </c>
      <c r="BW1229" s="207"/>
      <c r="BX1229" s="207"/>
      <c r="BY1229" s="207"/>
      <c r="BZ1229" s="207"/>
      <c r="CA1229" s="207"/>
      <c r="CB1229" s="207"/>
      <c r="CC1229" s="207"/>
      <c r="CD1229" s="207">
        <f>COUNTIFS('Form Details'!$P:$P,CD$1208,'Form Details'!$I:$I,$C1229,'Form Details'!$D:$D,'Adv. Filter'!$A$14,'Form Details'!$D:$D,'Adv. Filter'!$B$14)</f>
        <v>1</v>
      </c>
      <c r="CE1229" s="207"/>
      <c r="CF1229" s="207"/>
      <c r="CG1229" s="207"/>
      <c r="CH1229" s="207"/>
      <c r="CI1229" s="207"/>
      <c r="CJ1229" s="207"/>
      <c r="CK1229" s="207"/>
      <c r="CL1229" s="207">
        <f>COUNTIFS('Form Details'!$P:$P,CL$1208,'Form Details'!$I:$I,$C1229,'Form Details'!$D:$D,'Adv. Filter'!$A$14,'Form Details'!$D:$D,'Adv. Filter'!$B$14)</f>
        <v>3</v>
      </c>
      <c r="CM1229" s="207"/>
      <c r="CN1229" s="207"/>
      <c r="CO1229" s="207"/>
      <c r="CP1229" s="207"/>
      <c r="CQ1229" s="207"/>
      <c r="CR1229" s="207"/>
      <c r="CS1229" s="207"/>
      <c r="CT1229" s="207">
        <f>COUNTIFS('Form Details'!$P:$P,CT$1208,'Form Details'!$I:$I,$C1229,'Form Details'!$D:$D,'Adv. Filter'!$A$14,'Form Details'!$D:$D,'Adv. Filter'!$B$14)</f>
        <v>0</v>
      </c>
      <c r="CU1229" s="207"/>
      <c r="CV1229" s="207"/>
      <c r="CW1229" s="207"/>
      <c r="CX1229" s="207"/>
      <c r="CY1229" s="207"/>
      <c r="CZ1229" s="207"/>
      <c r="DA1229" s="207"/>
      <c r="DB1229" s="207">
        <f>COUNTIFS('Form Details'!$P:$P,DB$1208,'Form Details'!$I:$I,$C1229,'Form Details'!$D:$D,'Adv. Filter'!$A$14,'Form Details'!$D:$D,'Adv. Filter'!$B$14)</f>
        <v>5</v>
      </c>
      <c r="DC1229" s="207"/>
      <c r="DD1229" s="207"/>
      <c r="DE1229" s="207"/>
      <c r="DF1229" s="207"/>
      <c r="DG1229" s="207"/>
      <c r="DH1229" s="207"/>
      <c r="DI1229" s="207"/>
      <c r="DJ1229" s="212">
        <f t="shared" si="35"/>
        <v>32</v>
      </c>
      <c r="DK1229" s="213"/>
      <c r="DL1229" s="213"/>
      <c r="DM1229" s="213"/>
      <c r="DN1229" s="213"/>
      <c r="DO1229" s="213"/>
      <c r="DP1229" s="213"/>
      <c r="DQ1229" s="213"/>
      <c r="DR1229" s="213"/>
      <c r="DS1229" s="214"/>
    </row>
    <row r="1230" spans="1:123" ht="15.75" hidden="1" thickBot="1">
      <c r="C1230" s="216" t="s">
        <v>123</v>
      </c>
      <c r="D1230" s="216"/>
      <c r="E1230" s="216"/>
      <c r="F1230" s="216"/>
      <c r="G1230" s="216"/>
      <c r="H1230" s="216"/>
      <c r="I1230" s="216"/>
      <c r="J1230" s="216"/>
      <c r="K1230" s="216"/>
      <c r="L1230" s="216"/>
      <c r="M1230" s="216"/>
      <c r="N1230" s="216"/>
      <c r="O1230" s="216"/>
      <c r="P1230" s="216"/>
      <c r="Q1230" s="216"/>
      <c r="R1230" s="211">
        <f>COUNTIFS('Form Details'!$P:$P,R$1208,'Form Details'!$I:$I,$C1230,'Form Details'!$D:$D,'Adv. Filter'!$A$14,'Form Details'!$D:$D,'Adv. Filter'!$B$14)</f>
        <v>2</v>
      </c>
      <c r="S1230" s="211"/>
      <c r="T1230" s="211"/>
      <c r="U1230" s="211"/>
      <c r="V1230" s="211"/>
      <c r="W1230" s="211"/>
      <c r="X1230" s="211"/>
      <c r="Y1230" s="211"/>
      <c r="Z1230" s="211">
        <f>COUNTIFS('Form Details'!$P:$P,Z$1208,'Form Details'!$I:$I,$C1230,'Form Details'!$D:$D,'Adv. Filter'!$A$14,'Form Details'!$D:$D,'Adv. Filter'!$B$14)</f>
        <v>0</v>
      </c>
      <c r="AA1230" s="211"/>
      <c r="AB1230" s="211"/>
      <c r="AC1230" s="211"/>
      <c r="AD1230" s="211"/>
      <c r="AE1230" s="211"/>
      <c r="AF1230" s="211"/>
      <c r="AG1230" s="211"/>
      <c r="AH1230" s="211">
        <f>COUNTIFS('Form Details'!$P:$P,AH$1208,'Form Details'!$I:$I,$C1230,'Form Details'!$D:$D,'Adv. Filter'!$A$14,'Form Details'!$D:$D,'Adv. Filter'!$B$14)</f>
        <v>0</v>
      </c>
      <c r="AI1230" s="211"/>
      <c r="AJ1230" s="211"/>
      <c r="AK1230" s="211"/>
      <c r="AL1230" s="211"/>
      <c r="AM1230" s="211"/>
      <c r="AN1230" s="211"/>
      <c r="AO1230" s="211"/>
      <c r="AP1230" s="211">
        <f>COUNTIFS('Form Details'!$P:$P,AP$1208,'Form Details'!$I:$I,$C1230,'Form Details'!$D:$D,'Adv. Filter'!$A$14,'Form Details'!$D:$D,'Adv. Filter'!$B$14)</f>
        <v>3</v>
      </c>
      <c r="AQ1230" s="211"/>
      <c r="AR1230" s="211"/>
      <c r="AS1230" s="211"/>
      <c r="AT1230" s="211"/>
      <c r="AU1230" s="211"/>
      <c r="AV1230" s="211"/>
      <c r="AW1230" s="211"/>
      <c r="AX1230" s="211">
        <f>COUNTIFS('Form Details'!$P:$P,AX$1208,'Form Details'!$I:$I,$C1230,'Form Details'!$D:$D,'Adv. Filter'!$A$14,'Form Details'!$D:$D,'Adv. Filter'!$B$14)</f>
        <v>1</v>
      </c>
      <c r="AY1230" s="211"/>
      <c r="AZ1230" s="211"/>
      <c r="BA1230" s="211"/>
      <c r="BB1230" s="211"/>
      <c r="BC1230" s="211"/>
      <c r="BD1230" s="211"/>
      <c r="BE1230" s="211"/>
      <c r="BF1230" s="211">
        <f>COUNTIFS('Form Details'!$P:$P,BF$1208,'Form Details'!$I:$I,$C1230,'Form Details'!$D:$D,'Adv. Filter'!$A$14,'Form Details'!$D:$D,'Adv. Filter'!$B$14)</f>
        <v>1</v>
      </c>
      <c r="BG1230" s="211"/>
      <c r="BH1230" s="211"/>
      <c r="BI1230" s="211"/>
      <c r="BJ1230" s="211"/>
      <c r="BK1230" s="211"/>
      <c r="BL1230" s="211"/>
      <c r="BM1230" s="211"/>
      <c r="BN1230" s="211">
        <f>COUNTIFS('Form Details'!$P:$P,BN$1208,'Form Details'!$I:$I,$C1230,'Form Details'!$D:$D,'Adv. Filter'!$A$14,'Form Details'!$D:$D,'Adv. Filter'!$B$14)</f>
        <v>0</v>
      </c>
      <c r="BO1230" s="211"/>
      <c r="BP1230" s="211"/>
      <c r="BQ1230" s="211"/>
      <c r="BR1230" s="211"/>
      <c r="BS1230" s="211"/>
      <c r="BT1230" s="211"/>
      <c r="BU1230" s="211"/>
      <c r="BV1230" s="211">
        <f>COUNTIFS('Form Details'!$P:$P,BV$1208,'Form Details'!$I:$I,$C1230,'Form Details'!$D:$D,'Adv. Filter'!$A$14,'Form Details'!$D:$D,'Adv. Filter'!$B$14)</f>
        <v>1</v>
      </c>
      <c r="BW1230" s="211"/>
      <c r="BX1230" s="211"/>
      <c r="BY1230" s="211"/>
      <c r="BZ1230" s="211"/>
      <c r="CA1230" s="211"/>
      <c r="CB1230" s="211"/>
      <c r="CC1230" s="211"/>
      <c r="CD1230" s="211">
        <f>COUNTIFS('Form Details'!$P:$P,CD$1208,'Form Details'!$I:$I,$C1230,'Form Details'!$D:$D,'Adv. Filter'!$A$14,'Form Details'!$D:$D,'Adv. Filter'!$B$14)</f>
        <v>0</v>
      </c>
      <c r="CE1230" s="211"/>
      <c r="CF1230" s="211"/>
      <c r="CG1230" s="211"/>
      <c r="CH1230" s="211"/>
      <c r="CI1230" s="211"/>
      <c r="CJ1230" s="211"/>
      <c r="CK1230" s="211"/>
      <c r="CL1230" s="211">
        <f>COUNTIFS('Form Details'!$P:$P,CL$1208,'Form Details'!$I:$I,$C1230,'Form Details'!$D:$D,'Adv. Filter'!$A$14,'Form Details'!$D:$D,'Adv. Filter'!$B$14)</f>
        <v>0</v>
      </c>
      <c r="CM1230" s="211"/>
      <c r="CN1230" s="211"/>
      <c r="CO1230" s="211"/>
      <c r="CP1230" s="211"/>
      <c r="CQ1230" s="211"/>
      <c r="CR1230" s="211"/>
      <c r="CS1230" s="211"/>
      <c r="CT1230" s="211">
        <f>COUNTIFS('Form Details'!$P:$P,CT$1208,'Form Details'!$I:$I,$C1230,'Form Details'!$D:$D,'Adv. Filter'!$A$14,'Form Details'!$D:$D,'Adv. Filter'!$B$14)</f>
        <v>0</v>
      </c>
      <c r="CU1230" s="211"/>
      <c r="CV1230" s="211"/>
      <c r="CW1230" s="211"/>
      <c r="CX1230" s="211"/>
      <c r="CY1230" s="211"/>
      <c r="CZ1230" s="211"/>
      <c r="DA1230" s="211"/>
      <c r="DB1230" s="211">
        <f>COUNTIFS('Form Details'!$P:$P,DB$1208,'Form Details'!$I:$I,$C1230,'Form Details'!$D:$D,'Adv. Filter'!$A$14,'Form Details'!$D:$D,'Adv. Filter'!$B$14)</f>
        <v>0</v>
      </c>
      <c r="DC1230" s="211"/>
      <c r="DD1230" s="211"/>
      <c r="DE1230" s="211"/>
      <c r="DF1230" s="211"/>
      <c r="DG1230" s="211"/>
      <c r="DH1230" s="211"/>
      <c r="DI1230" s="211"/>
      <c r="DJ1230" s="212">
        <f t="shared" si="35"/>
        <v>8</v>
      </c>
      <c r="DK1230" s="213"/>
      <c r="DL1230" s="213"/>
      <c r="DM1230" s="213"/>
      <c r="DN1230" s="213"/>
      <c r="DO1230" s="213"/>
      <c r="DP1230" s="213"/>
      <c r="DQ1230" s="213"/>
      <c r="DR1230" s="213"/>
      <c r="DS1230" s="214"/>
    </row>
    <row r="1231" spans="1:123" ht="16.5" hidden="1" thickTop="1" thickBot="1">
      <c r="C1231" s="223" t="s">
        <v>503</v>
      </c>
      <c r="D1231" s="224"/>
      <c r="E1231" s="224"/>
      <c r="F1231" s="224"/>
      <c r="G1231" s="224"/>
      <c r="H1231" s="224"/>
      <c r="I1231" s="224"/>
      <c r="J1231" s="224"/>
      <c r="K1231" s="224"/>
      <c r="L1231" s="224"/>
      <c r="M1231" s="224"/>
      <c r="N1231" s="224"/>
      <c r="O1231" s="224"/>
      <c r="P1231" s="224"/>
      <c r="Q1231" s="224"/>
      <c r="R1231" s="203">
        <f>SUM(R1209:Y1230)</f>
        <v>135</v>
      </c>
      <c r="S1231" s="204"/>
      <c r="T1231" s="204"/>
      <c r="U1231" s="204"/>
      <c r="V1231" s="204"/>
      <c r="W1231" s="204"/>
      <c r="X1231" s="204"/>
      <c r="Y1231" s="205"/>
      <c r="Z1231" s="203">
        <f>SUM(Z1209:AG1230)</f>
        <v>109</v>
      </c>
      <c r="AA1231" s="204"/>
      <c r="AB1231" s="204"/>
      <c r="AC1231" s="204"/>
      <c r="AD1231" s="204"/>
      <c r="AE1231" s="204"/>
      <c r="AF1231" s="204"/>
      <c r="AG1231" s="205"/>
      <c r="AH1231" s="203">
        <f t="shared" ref="AH1231" si="36">SUM(AH1209:AO1230)</f>
        <v>109</v>
      </c>
      <c r="AI1231" s="204"/>
      <c r="AJ1231" s="204"/>
      <c r="AK1231" s="204"/>
      <c r="AL1231" s="204"/>
      <c r="AM1231" s="204"/>
      <c r="AN1231" s="204"/>
      <c r="AO1231" s="205"/>
      <c r="AP1231" s="203">
        <f t="shared" ref="AP1231" si="37">SUM(AP1209:AW1230)</f>
        <v>113</v>
      </c>
      <c r="AQ1231" s="204"/>
      <c r="AR1231" s="204"/>
      <c r="AS1231" s="204"/>
      <c r="AT1231" s="204"/>
      <c r="AU1231" s="204"/>
      <c r="AV1231" s="204"/>
      <c r="AW1231" s="205"/>
      <c r="AX1231" s="203">
        <f t="shared" ref="AX1231" si="38">SUM(AX1209:BE1230)</f>
        <v>116</v>
      </c>
      <c r="AY1231" s="204"/>
      <c r="AZ1231" s="204"/>
      <c r="BA1231" s="204"/>
      <c r="BB1231" s="204"/>
      <c r="BC1231" s="204"/>
      <c r="BD1231" s="204"/>
      <c r="BE1231" s="205"/>
      <c r="BF1231" s="203">
        <f>SUM(BF1209:BM1230)</f>
        <v>115</v>
      </c>
      <c r="BG1231" s="204"/>
      <c r="BH1231" s="204"/>
      <c r="BI1231" s="204"/>
      <c r="BJ1231" s="204"/>
      <c r="BK1231" s="204"/>
      <c r="BL1231" s="204"/>
      <c r="BM1231" s="205"/>
      <c r="BN1231" s="203">
        <f>SUM(BN1209:BU1230)</f>
        <v>114</v>
      </c>
      <c r="BO1231" s="204"/>
      <c r="BP1231" s="204"/>
      <c r="BQ1231" s="204"/>
      <c r="BR1231" s="204"/>
      <c r="BS1231" s="204"/>
      <c r="BT1231" s="204"/>
      <c r="BU1231" s="205"/>
      <c r="BV1231" s="203">
        <f>SUM(BV1209:CC1230)</f>
        <v>95</v>
      </c>
      <c r="BW1231" s="204"/>
      <c r="BX1231" s="204"/>
      <c r="BY1231" s="204"/>
      <c r="BZ1231" s="204"/>
      <c r="CA1231" s="204"/>
      <c r="CB1231" s="204"/>
      <c r="CC1231" s="205"/>
      <c r="CD1231" s="203">
        <f>SUM(CD1209:CK1230)</f>
        <v>105</v>
      </c>
      <c r="CE1231" s="204"/>
      <c r="CF1231" s="204"/>
      <c r="CG1231" s="204"/>
      <c r="CH1231" s="204"/>
      <c r="CI1231" s="204"/>
      <c r="CJ1231" s="204"/>
      <c r="CK1231" s="205"/>
      <c r="CL1231" s="203">
        <f>SUM(CL1209:CS1230)</f>
        <v>102</v>
      </c>
      <c r="CM1231" s="204"/>
      <c r="CN1231" s="204"/>
      <c r="CO1231" s="204"/>
      <c r="CP1231" s="204"/>
      <c r="CQ1231" s="204"/>
      <c r="CR1231" s="204"/>
      <c r="CS1231" s="205"/>
      <c r="CT1231" s="203">
        <f>SUM(CT1209:DA1230)</f>
        <v>77</v>
      </c>
      <c r="CU1231" s="204"/>
      <c r="CV1231" s="204"/>
      <c r="CW1231" s="204"/>
      <c r="CX1231" s="204"/>
      <c r="CY1231" s="204"/>
      <c r="CZ1231" s="204"/>
      <c r="DA1231" s="205"/>
      <c r="DB1231" s="203">
        <f>SUM(DB1209:DI1230)</f>
        <v>113</v>
      </c>
      <c r="DC1231" s="204"/>
      <c r="DD1231" s="204"/>
      <c r="DE1231" s="204"/>
      <c r="DF1231" s="204"/>
      <c r="DG1231" s="204"/>
      <c r="DH1231" s="204"/>
      <c r="DI1231" s="205"/>
      <c r="DJ1231" s="222">
        <f>SUM(DJ1209:DS1225)</f>
        <v>1239</v>
      </c>
      <c r="DK1231" s="222"/>
      <c r="DL1231" s="222"/>
      <c r="DM1231" s="222"/>
      <c r="DN1231" s="222"/>
      <c r="DO1231" s="222"/>
      <c r="DP1231" s="222"/>
      <c r="DQ1231" s="222"/>
      <c r="DR1231" s="222"/>
      <c r="DS1231" s="222"/>
    </row>
    <row r="1232" spans="1:123" ht="15.75" hidden="1" thickTop="1"/>
    <row r="1233" spans="29:31" hidden="1"/>
    <row r="1234" spans="29:31" hidden="1">
      <c r="AC1234" s="131" t="s">
        <v>601</v>
      </c>
      <c r="AD1234" s="181">
        <f>R1231</f>
        <v>135</v>
      </c>
      <c r="AE1234">
        <v>30</v>
      </c>
    </row>
    <row r="1235" spans="29:31" hidden="1">
      <c r="AC1235" s="131" t="s">
        <v>32</v>
      </c>
      <c r="AD1235" s="181">
        <f>Z1231</f>
        <v>109</v>
      </c>
      <c r="AE1235">
        <v>25</v>
      </c>
    </row>
    <row r="1236" spans="29:31" hidden="1">
      <c r="AC1236" s="131" t="s">
        <v>53</v>
      </c>
      <c r="AD1236" s="181">
        <f>AH1231</f>
        <v>109</v>
      </c>
      <c r="AE1236">
        <v>40</v>
      </c>
    </row>
    <row r="1237" spans="29:31" hidden="1">
      <c r="AC1237" s="131" t="s">
        <v>44</v>
      </c>
      <c r="AD1237" s="181">
        <f>AP1231</f>
        <v>113</v>
      </c>
      <c r="AE1237">
        <v>20</v>
      </c>
    </row>
    <row r="1238" spans="29:31" hidden="1">
      <c r="AC1238" s="131" t="s">
        <v>67</v>
      </c>
      <c r="AD1238" s="181">
        <f>AX1231</f>
        <v>116</v>
      </c>
      <c r="AE1238">
        <v>30</v>
      </c>
    </row>
    <row r="1239" spans="29:31" hidden="1">
      <c r="AC1239" s="131" t="s">
        <v>602</v>
      </c>
      <c r="AD1239" s="181">
        <f>BF1231</f>
        <v>115</v>
      </c>
      <c r="AE1239">
        <v>20</v>
      </c>
    </row>
    <row r="1240" spans="29:31" hidden="1">
      <c r="AC1240" s="131" t="s">
        <v>603</v>
      </c>
      <c r="AD1240" s="181">
        <f>BN1231</f>
        <v>114</v>
      </c>
      <c r="AE1240">
        <v>20</v>
      </c>
    </row>
    <row r="1241" spans="29:31" hidden="1">
      <c r="AC1241" s="131" t="s">
        <v>604</v>
      </c>
      <c r="AD1241" s="181">
        <f>BV1231</f>
        <v>95</v>
      </c>
      <c r="AE1241">
        <v>25</v>
      </c>
    </row>
    <row r="1242" spans="29:31" hidden="1">
      <c r="AC1242" s="131" t="s">
        <v>605</v>
      </c>
      <c r="AD1242" s="181">
        <f>CD1231</f>
        <v>105</v>
      </c>
      <c r="AE1242">
        <v>20</v>
      </c>
    </row>
    <row r="1243" spans="29:31" hidden="1">
      <c r="AC1243" s="131" t="s">
        <v>606</v>
      </c>
      <c r="AD1243" s="181">
        <f>CL1231</f>
        <v>102</v>
      </c>
      <c r="AE1243">
        <v>10</v>
      </c>
    </row>
    <row r="1244" spans="29:31" hidden="1">
      <c r="AC1244" s="131" t="s">
        <v>607</v>
      </c>
      <c r="AD1244" s="181">
        <f>CT1231</f>
        <v>77</v>
      </c>
      <c r="AE1244">
        <v>20</v>
      </c>
    </row>
    <row r="1245" spans="29:31" hidden="1">
      <c r="AC1245" s="131" t="s">
        <v>73</v>
      </c>
      <c r="AD1245" s="181">
        <f>DB1231</f>
        <v>113</v>
      </c>
      <c r="AE1245">
        <v>10</v>
      </c>
    </row>
    <row r="1246" spans="29:31" hidden="1"/>
    <row r="1247" spans="29:31" hidden="1"/>
    <row r="1248" spans="29:31" hidden="1"/>
    <row r="1249" hidden="1"/>
    <row r="1250" hidden="1"/>
    <row r="1251" hidden="1"/>
    <row r="1252" hidden="1"/>
    <row r="1253" hidden="1"/>
    <row r="1254" hidden="1"/>
    <row r="1255" hidden="1"/>
    <row r="1256" hidden="1"/>
    <row r="1257" hidden="1"/>
    <row r="1258" hidden="1"/>
    <row r="1259" hidden="1"/>
    <row r="1260" hidden="1"/>
    <row r="1261" hidden="1"/>
    <row r="1262" hidden="1"/>
    <row r="1263" hidden="1"/>
    <row r="1264" hidden="1"/>
    <row r="1265" hidden="1"/>
    <row r="1266" hidden="1"/>
    <row r="1267" hidden="1"/>
    <row r="1268" hidden="1"/>
    <row r="1269" hidden="1"/>
    <row r="1270" hidden="1"/>
    <row r="1271" hidden="1"/>
    <row r="1272" hidden="1"/>
    <row r="1273" hidden="1"/>
    <row r="1274" hidden="1"/>
    <row r="1275" hidden="1"/>
    <row r="1276" hidden="1"/>
    <row r="1277" hidden="1"/>
    <row r="1278" hidden="1"/>
    <row r="1279" hidden="1"/>
    <row r="1280" hidden="1"/>
    <row r="1281" hidden="1"/>
    <row r="1282" hidden="1"/>
    <row r="1283" hidden="1"/>
    <row r="1284" hidden="1"/>
    <row r="1285" hidden="1"/>
    <row r="1286" hidden="1"/>
    <row r="1287" hidden="1"/>
    <row r="1288" hidden="1"/>
    <row r="1289" hidden="1"/>
    <row r="1290" hidden="1"/>
    <row r="1291" hidden="1"/>
    <row r="1292" hidden="1"/>
    <row r="1293" hidden="1"/>
    <row r="1294" hidden="1"/>
    <row r="1295" hidden="1"/>
    <row r="1296" hidden="1"/>
    <row r="1297" hidden="1"/>
    <row r="1298" hidden="1"/>
    <row r="1299" hidden="1"/>
  </sheetData>
  <sheetProtection selectLockedCells="1"/>
  <sortState ref="C1226:C1230">
    <sortCondition ref="C1233"/>
  </sortState>
  <mergeCells count="9592">
    <mergeCell ref="CT456:DA456"/>
    <mergeCell ref="CT606:DA606"/>
    <mergeCell ref="BL1052:DZ1053"/>
    <mergeCell ref="BP1054:DT1054"/>
    <mergeCell ref="DY1097:EE1097"/>
    <mergeCell ref="C1098:N1098"/>
    <mergeCell ref="O1098:U1098"/>
    <mergeCell ref="W1098:AC1098"/>
    <mergeCell ref="AD1098:AJ1098"/>
    <mergeCell ref="AK1098:AQ1098"/>
    <mergeCell ref="AR1098:AX1098"/>
    <mergeCell ref="AY1098:BE1098"/>
    <mergeCell ref="BF1098:BL1098"/>
    <mergeCell ref="BM1098:BS1098"/>
    <mergeCell ref="BU1098:CA1098"/>
    <mergeCell ref="CB1098:CH1098"/>
    <mergeCell ref="CI1098:CO1098"/>
    <mergeCell ref="CP1098:CV1098"/>
    <mergeCell ref="CW1098:DC1098"/>
    <mergeCell ref="DD1098:DJ1098"/>
    <mergeCell ref="DK1098:DQ1098"/>
    <mergeCell ref="DR1098:DX1098"/>
    <mergeCell ref="DY1098:EE1098"/>
    <mergeCell ref="C1097:N1097"/>
    <mergeCell ref="O1097:U1097"/>
    <mergeCell ref="W1097:AC1097"/>
    <mergeCell ref="AD1097:AJ1097"/>
    <mergeCell ref="AK1097:AQ1097"/>
    <mergeCell ref="AR1097:AX1097"/>
    <mergeCell ref="AY1097:BE1097"/>
    <mergeCell ref="BF1097:BL1097"/>
    <mergeCell ref="BM1097:BS1097"/>
    <mergeCell ref="BU1097:CA1097"/>
    <mergeCell ref="CB1097:CH1097"/>
    <mergeCell ref="CI1097:CO1097"/>
    <mergeCell ref="CP1097:CV1097"/>
    <mergeCell ref="CW1097:DC1097"/>
    <mergeCell ref="DD1097:DJ1097"/>
    <mergeCell ref="DK1097:DQ1097"/>
    <mergeCell ref="DR1097:DX1097"/>
    <mergeCell ref="DY1095:EE1095"/>
    <mergeCell ref="C1096:N1096"/>
    <mergeCell ref="O1096:U1096"/>
    <mergeCell ref="W1096:AC1096"/>
    <mergeCell ref="AD1096:AJ1096"/>
    <mergeCell ref="AK1096:AQ1096"/>
    <mergeCell ref="AR1096:AX1096"/>
    <mergeCell ref="AY1096:BE1096"/>
    <mergeCell ref="BF1096:BL1096"/>
    <mergeCell ref="BM1096:BS1096"/>
    <mergeCell ref="BU1096:CA1096"/>
    <mergeCell ref="CB1096:CH1096"/>
    <mergeCell ref="CI1096:CO1096"/>
    <mergeCell ref="CP1096:CV1096"/>
    <mergeCell ref="CW1096:DC1096"/>
    <mergeCell ref="DD1096:DJ1096"/>
    <mergeCell ref="DK1096:DQ1096"/>
    <mergeCell ref="DR1096:DX1096"/>
    <mergeCell ref="DY1096:EE1096"/>
    <mergeCell ref="C1095:N1095"/>
    <mergeCell ref="O1095:U1095"/>
    <mergeCell ref="W1095:AC1095"/>
    <mergeCell ref="AD1095:AJ1095"/>
    <mergeCell ref="AK1095:AQ1095"/>
    <mergeCell ref="AR1095:AX1095"/>
    <mergeCell ref="AY1095:BE1095"/>
    <mergeCell ref="BF1095:BL1095"/>
    <mergeCell ref="BM1095:BS1095"/>
    <mergeCell ref="BU1095:CA1095"/>
    <mergeCell ref="CB1095:CH1095"/>
    <mergeCell ref="CI1095:CO1095"/>
    <mergeCell ref="CP1095:CV1095"/>
    <mergeCell ref="CW1095:DC1095"/>
    <mergeCell ref="DD1095:DJ1095"/>
    <mergeCell ref="DK1095:DQ1095"/>
    <mergeCell ref="DR1095:DX1095"/>
    <mergeCell ref="DY1093:EE1093"/>
    <mergeCell ref="C1094:N1094"/>
    <mergeCell ref="O1094:U1094"/>
    <mergeCell ref="W1094:AC1094"/>
    <mergeCell ref="AD1094:AJ1094"/>
    <mergeCell ref="AK1094:AQ1094"/>
    <mergeCell ref="AR1094:AX1094"/>
    <mergeCell ref="AY1094:BE1094"/>
    <mergeCell ref="BF1094:BL1094"/>
    <mergeCell ref="BM1094:BS1094"/>
    <mergeCell ref="BU1094:CA1094"/>
    <mergeCell ref="CB1094:CH1094"/>
    <mergeCell ref="CI1094:CO1094"/>
    <mergeCell ref="CP1094:CV1094"/>
    <mergeCell ref="CW1094:DC1094"/>
    <mergeCell ref="DD1094:DJ1094"/>
    <mergeCell ref="DK1094:DQ1094"/>
    <mergeCell ref="DR1094:DX1094"/>
    <mergeCell ref="DY1094:EE1094"/>
    <mergeCell ref="C1093:N1093"/>
    <mergeCell ref="O1093:U1093"/>
    <mergeCell ref="W1093:AC1093"/>
    <mergeCell ref="AD1093:AJ1093"/>
    <mergeCell ref="AK1093:AQ1093"/>
    <mergeCell ref="AR1093:AX1093"/>
    <mergeCell ref="AY1093:BE1093"/>
    <mergeCell ref="BF1093:BL1093"/>
    <mergeCell ref="BM1093:BS1093"/>
    <mergeCell ref="BU1093:CA1093"/>
    <mergeCell ref="CB1093:CH1093"/>
    <mergeCell ref="CI1093:CO1093"/>
    <mergeCell ref="CP1093:CV1093"/>
    <mergeCell ref="CW1093:DC1093"/>
    <mergeCell ref="DD1093:DJ1093"/>
    <mergeCell ref="DK1093:DQ1093"/>
    <mergeCell ref="DR1093:DX1093"/>
    <mergeCell ref="DY1091:EE1091"/>
    <mergeCell ref="DY1092:EE1092"/>
    <mergeCell ref="C1092:N1092"/>
    <mergeCell ref="O1092:U1092"/>
    <mergeCell ref="W1092:AC1092"/>
    <mergeCell ref="AD1092:AJ1092"/>
    <mergeCell ref="AK1092:AQ1092"/>
    <mergeCell ref="AR1092:AX1092"/>
    <mergeCell ref="AY1092:BE1092"/>
    <mergeCell ref="BF1092:BL1092"/>
    <mergeCell ref="BM1092:BS1092"/>
    <mergeCell ref="BU1092:CA1092"/>
    <mergeCell ref="CB1092:CH1092"/>
    <mergeCell ref="CI1092:CO1092"/>
    <mergeCell ref="CP1092:CV1092"/>
    <mergeCell ref="CW1092:DC1092"/>
    <mergeCell ref="DD1092:DJ1092"/>
    <mergeCell ref="DK1092:DQ1092"/>
    <mergeCell ref="DR1092:DX1092"/>
    <mergeCell ref="C1091:N1091"/>
    <mergeCell ref="O1091:U1091"/>
    <mergeCell ref="W1091:AC1091"/>
    <mergeCell ref="AD1091:AJ1091"/>
    <mergeCell ref="AK1091:AQ1091"/>
    <mergeCell ref="AR1091:AX1091"/>
    <mergeCell ref="AY1091:BE1091"/>
    <mergeCell ref="BF1091:BL1091"/>
    <mergeCell ref="BM1091:BS1091"/>
    <mergeCell ref="BU1091:CA1091"/>
    <mergeCell ref="CB1091:CH1091"/>
    <mergeCell ref="CI1091:CO1091"/>
    <mergeCell ref="CP1091:CV1091"/>
    <mergeCell ref="CW1091:DC1091"/>
    <mergeCell ref="DD1091:DJ1091"/>
    <mergeCell ref="DK1091:DQ1091"/>
    <mergeCell ref="DR1091:DX1091"/>
    <mergeCell ref="DY1089:EE1089"/>
    <mergeCell ref="C1090:N1090"/>
    <mergeCell ref="O1090:U1090"/>
    <mergeCell ref="W1090:AC1090"/>
    <mergeCell ref="AD1090:AJ1090"/>
    <mergeCell ref="AK1090:AQ1090"/>
    <mergeCell ref="AR1090:AX1090"/>
    <mergeCell ref="AY1090:BE1090"/>
    <mergeCell ref="BF1090:BL1090"/>
    <mergeCell ref="BM1090:BS1090"/>
    <mergeCell ref="BU1090:CA1090"/>
    <mergeCell ref="CB1090:CH1090"/>
    <mergeCell ref="CI1090:CO1090"/>
    <mergeCell ref="CP1090:CV1090"/>
    <mergeCell ref="CW1090:DC1090"/>
    <mergeCell ref="DD1090:DJ1090"/>
    <mergeCell ref="DK1090:DQ1090"/>
    <mergeCell ref="DR1090:DX1090"/>
    <mergeCell ref="DY1090:EE1090"/>
    <mergeCell ref="C1089:N1089"/>
    <mergeCell ref="O1089:U1089"/>
    <mergeCell ref="W1089:AC1089"/>
    <mergeCell ref="AD1089:AJ1089"/>
    <mergeCell ref="AK1089:AQ1089"/>
    <mergeCell ref="AR1089:AX1089"/>
    <mergeCell ref="AY1089:BE1089"/>
    <mergeCell ref="BF1089:BL1089"/>
    <mergeCell ref="BM1089:BS1089"/>
    <mergeCell ref="BU1089:CA1089"/>
    <mergeCell ref="CB1089:CH1089"/>
    <mergeCell ref="CI1089:CO1089"/>
    <mergeCell ref="CP1089:CV1089"/>
    <mergeCell ref="CW1089:DC1089"/>
    <mergeCell ref="DD1089:DJ1089"/>
    <mergeCell ref="DK1089:DQ1089"/>
    <mergeCell ref="DR1089:DX1089"/>
    <mergeCell ref="DY1087:EE1087"/>
    <mergeCell ref="C1088:N1088"/>
    <mergeCell ref="O1088:U1088"/>
    <mergeCell ref="W1088:AC1088"/>
    <mergeCell ref="AD1088:AJ1088"/>
    <mergeCell ref="AK1088:AQ1088"/>
    <mergeCell ref="AR1088:AX1088"/>
    <mergeCell ref="AY1088:BE1088"/>
    <mergeCell ref="BF1088:BL1088"/>
    <mergeCell ref="BM1088:BS1088"/>
    <mergeCell ref="BU1088:CA1088"/>
    <mergeCell ref="CB1088:CH1088"/>
    <mergeCell ref="CI1088:CO1088"/>
    <mergeCell ref="CP1088:CV1088"/>
    <mergeCell ref="CW1088:DC1088"/>
    <mergeCell ref="DD1088:DJ1088"/>
    <mergeCell ref="DK1088:DQ1088"/>
    <mergeCell ref="DR1088:DX1088"/>
    <mergeCell ref="DY1088:EE1088"/>
    <mergeCell ref="C1087:N1087"/>
    <mergeCell ref="O1087:U1087"/>
    <mergeCell ref="W1087:AC1087"/>
    <mergeCell ref="AD1087:AJ1087"/>
    <mergeCell ref="AK1087:AQ1087"/>
    <mergeCell ref="AR1087:AX1087"/>
    <mergeCell ref="AY1087:BE1087"/>
    <mergeCell ref="BF1087:BL1087"/>
    <mergeCell ref="BM1087:BS1087"/>
    <mergeCell ref="BU1087:CA1087"/>
    <mergeCell ref="CB1087:CH1087"/>
    <mergeCell ref="CI1087:CO1087"/>
    <mergeCell ref="CP1087:CV1087"/>
    <mergeCell ref="CW1087:DC1087"/>
    <mergeCell ref="DD1087:DJ1087"/>
    <mergeCell ref="DK1087:DQ1087"/>
    <mergeCell ref="DR1087:DX1087"/>
    <mergeCell ref="DY1085:EE1085"/>
    <mergeCell ref="C1086:N1086"/>
    <mergeCell ref="O1086:U1086"/>
    <mergeCell ref="W1086:AC1086"/>
    <mergeCell ref="AD1086:AJ1086"/>
    <mergeCell ref="AK1086:AQ1086"/>
    <mergeCell ref="AR1086:AX1086"/>
    <mergeCell ref="AY1086:BE1086"/>
    <mergeCell ref="BF1086:BL1086"/>
    <mergeCell ref="BM1086:BS1086"/>
    <mergeCell ref="BU1086:CA1086"/>
    <mergeCell ref="CB1086:CH1086"/>
    <mergeCell ref="CI1086:CO1086"/>
    <mergeCell ref="CP1086:CV1086"/>
    <mergeCell ref="CW1086:DC1086"/>
    <mergeCell ref="DD1086:DJ1086"/>
    <mergeCell ref="DK1086:DQ1086"/>
    <mergeCell ref="DR1086:DX1086"/>
    <mergeCell ref="DY1086:EE1086"/>
    <mergeCell ref="C1085:N1085"/>
    <mergeCell ref="O1085:U1085"/>
    <mergeCell ref="W1085:AC1085"/>
    <mergeCell ref="AD1085:AJ1085"/>
    <mergeCell ref="AK1085:AQ1085"/>
    <mergeCell ref="AR1085:AX1085"/>
    <mergeCell ref="AY1085:BE1085"/>
    <mergeCell ref="BF1085:BL1085"/>
    <mergeCell ref="BM1085:BS1085"/>
    <mergeCell ref="BU1085:CA1085"/>
    <mergeCell ref="CB1085:CH1085"/>
    <mergeCell ref="CI1085:CO1085"/>
    <mergeCell ref="CP1085:CV1085"/>
    <mergeCell ref="CW1085:DC1085"/>
    <mergeCell ref="DD1085:DJ1085"/>
    <mergeCell ref="DK1085:DQ1085"/>
    <mergeCell ref="DR1085:DX1085"/>
    <mergeCell ref="DY1083:EE1083"/>
    <mergeCell ref="C1084:N1084"/>
    <mergeCell ref="O1084:U1084"/>
    <mergeCell ref="W1084:AC1084"/>
    <mergeCell ref="AD1084:AJ1084"/>
    <mergeCell ref="AK1084:AQ1084"/>
    <mergeCell ref="AR1084:AX1084"/>
    <mergeCell ref="AY1084:BE1084"/>
    <mergeCell ref="BF1084:BL1084"/>
    <mergeCell ref="BM1084:BS1084"/>
    <mergeCell ref="BU1084:CA1084"/>
    <mergeCell ref="CB1084:CH1084"/>
    <mergeCell ref="CI1084:CO1084"/>
    <mergeCell ref="CP1084:CV1084"/>
    <mergeCell ref="CW1084:DC1084"/>
    <mergeCell ref="DD1084:DJ1084"/>
    <mergeCell ref="DK1084:DQ1084"/>
    <mergeCell ref="DR1084:DX1084"/>
    <mergeCell ref="DY1084:EE1084"/>
    <mergeCell ref="C1083:N1083"/>
    <mergeCell ref="O1083:U1083"/>
    <mergeCell ref="W1083:AC1083"/>
    <mergeCell ref="AD1083:AJ1083"/>
    <mergeCell ref="AK1083:AQ1083"/>
    <mergeCell ref="AR1083:AX1083"/>
    <mergeCell ref="AY1083:BE1083"/>
    <mergeCell ref="BF1083:BL1083"/>
    <mergeCell ref="BM1083:BS1083"/>
    <mergeCell ref="BU1083:CA1083"/>
    <mergeCell ref="CB1083:CH1083"/>
    <mergeCell ref="CI1083:CO1083"/>
    <mergeCell ref="CP1083:CV1083"/>
    <mergeCell ref="CW1083:DC1083"/>
    <mergeCell ref="DD1083:DJ1083"/>
    <mergeCell ref="DK1083:DQ1083"/>
    <mergeCell ref="DR1083:DX1083"/>
    <mergeCell ref="DY1081:EE1081"/>
    <mergeCell ref="DY1082:EE1082"/>
    <mergeCell ref="C1082:N1082"/>
    <mergeCell ref="O1082:U1082"/>
    <mergeCell ref="W1082:AC1082"/>
    <mergeCell ref="AD1082:AJ1082"/>
    <mergeCell ref="AK1082:AQ1082"/>
    <mergeCell ref="AR1082:AX1082"/>
    <mergeCell ref="AY1082:BE1082"/>
    <mergeCell ref="BF1082:BL1082"/>
    <mergeCell ref="BM1082:BS1082"/>
    <mergeCell ref="BU1082:CA1082"/>
    <mergeCell ref="CB1082:CH1082"/>
    <mergeCell ref="CI1082:CO1082"/>
    <mergeCell ref="CP1082:CV1082"/>
    <mergeCell ref="CW1082:DC1082"/>
    <mergeCell ref="DD1082:DJ1082"/>
    <mergeCell ref="DK1082:DQ1082"/>
    <mergeCell ref="DR1082:DX1082"/>
    <mergeCell ref="C1081:N1081"/>
    <mergeCell ref="O1081:U1081"/>
    <mergeCell ref="W1081:AC1081"/>
    <mergeCell ref="AD1081:AJ1081"/>
    <mergeCell ref="AK1081:AQ1081"/>
    <mergeCell ref="AR1081:AX1081"/>
    <mergeCell ref="AY1081:BE1081"/>
    <mergeCell ref="BF1081:BL1081"/>
    <mergeCell ref="BM1081:BS1081"/>
    <mergeCell ref="BU1081:CA1081"/>
    <mergeCell ref="CB1081:CH1081"/>
    <mergeCell ref="CI1081:CO1081"/>
    <mergeCell ref="CP1081:CV1081"/>
    <mergeCell ref="CW1081:DC1081"/>
    <mergeCell ref="DD1081:DJ1081"/>
    <mergeCell ref="DK1081:DQ1081"/>
    <mergeCell ref="DR1081:DX1081"/>
    <mergeCell ref="C1078:EE1078"/>
    <mergeCell ref="C1079:N1080"/>
    <mergeCell ref="O1079:U1079"/>
    <mergeCell ref="W1079:BS1079"/>
    <mergeCell ref="BU1079:EE1079"/>
    <mergeCell ref="O1080:U1080"/>
    <mergeCell ref="W1080:AC1080"/>
    <mergeCell ref="AD1080:AJ1080"/>
    <mergeCell ref="AK1080:AQ1080"/>
    <mergeCell ref="AR1080:AX1080"/>
    <mergeCell ref="AY1080:BE1080"/>
    <mergeCell ref="BF1080:BL1080"/>
    <mergeCell ref="BM1080:BS1080"/>
    <mergeCell ref="BU1080:CA1080"/>
    <mergeCell ref="CB1080:CH1080"/>
    <mergeCell ref="CI1080:CO1080"/>
    <mergeCell ref="CP1080:CV1080"/>
    <mergeCell ref="CW1080:DC1080"/>
    <mergeCell ref="DD1080:DJ1080"/>
    <mergeCell ref="DK1080:DQ1080"/>
    <mergeCell ref="DR1080:DX1080"/>
    <mergeCell ref="DY1080:EE1080"/>
    <mergeCell ref="DY1075:EE1075"/>
    <mergeCell ref="C1076:N1076"/>
    <mergeCell ref="O1076:U1076"/>
    <mergeCell ref="W1076:AC1076"/>
    <mergeCell ref="AD1076:AJ1076"/>
    <mergeCell ref="AK1076:AQ1076"/>
    <mergeCell ref="AR1076:AX1076"/>
    <mergeCell ref="AY1076:BE1076"/>
    <mergeCell ref="BF1076:BL1076"/>
    <mergeCell ref="BM1076:BS1076"/>
    <mergeCell ref="BU1076:CA1076"/>
    <mergeCell ref="CB1076:CH1076"/>
    <mergeCell ref="CI1076:CO1076"/>
    <mergeCell ref="CP1076:CV1076"/>
    <mergeCell ref="CW1076:DC1076"/>
    <mergeCell ref="DD1076:DJ1076"/>
    <mergeCell ref="DK1076:DQ1076"/>
    <mergeCell ref="DR1076:DX1076"/>
    <mergeCell ref="DY1076:EE1076"/>
    <mergeCell ref="C1075:N1075"/>
    <mergeCell ref="O1075:U1075"/>
    <mergeCell ref="W1075:AC1075"/>
    <mergeCell ref="AD1075:AJ1075"/>
    <mergeCell ref="AK1075:AQ1075"/>
    <mergeCell ref="AR1075:AX1075"/>
    <mergeCell ref="AY1075:BE1075"/>
    <mergeCell ref="BF1075:BL1075"/>
    <mergeCell ref="BM1075:BS1075"/>
    <mergeCell ref="BU1075:CA1075"/>
    <mergeCell ref="CB1075:CH1075"/>
    <mergeCell ref="CI1075:CO1075"/>
    <mergeCell ref="CP1075:CV1075"/>
    <mergeCell ref="CW1075:DC1075"/>
    <mergeCell ref="DD1075:DJ1075"/>
    <mergeCell ref="DK1075:DQ1075"/>
    <mergeCell ref="DR1075:DX1075"/>
    <mergeCell ref="DY1073:EE1073"/>
    <mergeCell ref="C1074:N1074"/>
    <mergeCell ref="O1074:U1074"/>
    <mergeCell ref="W1074:AC1074"/>
    <mergeCell ref="AD1074:AJ1074"/>
    <mergeCell ref="AK1074:AQ1074"/>
    <mergeCell ref="AR1074:AX1074"/>
    <mergeCell ref="AY1074:BE1074"/>
    <mergeCell ref="BF1074:BL1074"/>
    <mergeCell ref="BM1074:BS1074"/>
    <mergeCell ref="BU1074:CA1074"/>
    <mergeCell ref="CB1074:CH1074"/>
    <mergeCell ref="CI1074:CO1074"/>
    <mergeCell ref="CP1074:CV1074"/>
    <mergeCell ref="CW1074:DC1074"/>
    <mergeCell ref="DD1074:DJ1074"/>
    <mergeCell ref="DK1074:DQ1074"/>
    <mergeCell ref="DR1074:DX1074"/>
    <mergeCell ref="DY1074:EE1074"/>
    <mergeCell ref="C1073:N1073"/>
    <mergeCell ref="O1073:U1073"/>
    <mergeCell ref="W1073:AC1073"/>
    <mergeCell ref="AD1073:AJ1073"/>
    <mergeCell ref="AK1073:AQ1073"/>
    <mergeCell ref="AR1073:AX1073"/>
    <mergeCell ref="AY1073:BE1073"/>
    <mergeCell ref="BF1073:BL1073"/>
    <mergeCell ref="BM1073:BS1073"/>
    <mergeCell ref="BU1073:CA1073"/>
    <mergeCell ref="CB1073:CH1073"/>
    <mergeCell ref="CI1073:CO1073"/>
    <mergeCell ref="CP1073:CV1073"/>
    <mergeCell ref="CW1073:DC1073"/>
    <mergeCell ref="DD1073:DJ1073"/>
    <mergeCell ref="DK1073:DQ1073"/>
    <mergeCell ref="DR1073:DX1073"/>
    <mergeCell ref="DY1071:EE1071"/>
    <mergeCell ref="C1072:N1072"/>
    <mergeCell ref="O1072:U1072"/>
    <mergeCell ref="W1072:AC1072"/>
    <mergeCell ref="AD1072:AJ1072"/>
    <mergeCell ref="AK1072:AQ1072"/>
    <mergeCell ref="AR1072:AX1072"/>
    <mergeCell ref="AY1072:BE1072"/>
    <mergeCell ref="BF1072:BL1072"/>
    <mergeCell ref="BM1072:BS1072"/>
    <mergeCell ref="BU1072:CA1072"/>
    <mergeCell ref="CB1072:CH1072"/>
    <mergeCell ref="CI1072:CO1072"/>
    <mergeCell ref="CP1072:CV1072"/>
    <mergeCell ref="CW1072:DC1072"/>
    <mergeCell ref="DD1072:DJ1072"/>
    <mergeCell ref="DK1072:DQ1072"/>
    <mergeCell ref="DR1072:DX1072"/>
    <mergeCell ref="DY1072:EE1072"/>
    <mergeCell ref="C1071:N1071"/>
    <mergeCell ref="O1071:U1071"/>
    <mergeCell ref="W1071:AC1071"/>
    <mergeCell ref="AD1071:AJ1071"/>
    <mergeCell ref="AK1071:AQ1071"/>
    <mergeCell ref="AR1071:AX1071"/>
    <mergeCell ref="AY1071:BE1071"/>
    <mergeCell ref="BF1071:BL1071"/>
    <mergeCell ref="BM1071:BS1071"/>
    <mergeCell ref="BU1071:CA1071"/>
    <mergeCell ref="CB1071:CH1071"/>
    <mergeCell ref="CI1071:CO1071"/>
    <mergeCell ref="CP1071:CV1071"/>
    <mergeCell ref="CW1071:DC1071"/>
    <mergeCell ref="DD1071:DJ1071"/>
    <mergeCell ref="DK1071:DQ1071"/>
    <mergeCell ref="DR1071:DX1071"/>
    <mergeCell ref="DY1069:EE1069"/>
    <mergeCell ref="C1070:N1070"/>
    <mergeCell ref="O1070:U1070"/>
    <mergeCell ref="W1070:AC1070"/>
    <mergeCell ref="AD1070:AJ1070"/>
    <mergeCell ref="AK1070:AQ1070"/>
    <mergeCell ref="AR1070:AX1070"/>
    <mergeCell ref="AY1070:BE1070"/>
    <mergeCell ref="BF1070:BL1070"/>
    <mergeCell ref="BM1070:BS1070"/>
    <mergeCell ref="BU1070:CA1070"/>
    <mergeCell ref="CB1070:CH1070"/>
    <mergeCell ref="CI1070:CO1070"/>
    <mergeCell ref="CP1070:CV1070"/>
    <mergeCell ref="CW1070:DC1070"/>
    <mergeCell ref="DD1070:DJ1070"/>
    <mergeCell ref="DK1070:DQ1070"/>
    <mergeCell ref="DR1070:DX1070"/>
    <mergeCell ref="DY1070:EE1070"/>
    <mergeCell ref="C1069:N1069"/>
    <mergeCell ref="O1069:U1069"/>
    <mergeCell ref="W1069:AC1069"/>
    <mergeCell ref="AD1069:AJ1069"/>
    <mergeCell ref="AK1069:AQ1069"/>
    <mergeCell ref="AR1069:AX1069"/>
    <mergeCell ref="AY1069:BE1069"/>
    <mergeCell ref="BF1069:BL1069"/>
    <mergeCell ref="BM1069:BS1069"/>
    <mergeCell ref="BU1069:CA1069"/>
    <mergeCell ref="CB1069:CH1069"/>
    <mergeCell ref="CI1069:CO1069"/>
    <mergeCell ref="CP1069:CV1069"/>
    <mergeCell ref="CW1069:DC1069"/>
    <mergeCell ref="DD1069:DJ1069"/>
    <mergeCell ref="DK1069:DQ1069"/>
    <mergeCell ref="DR1069:DX1069"/>
    <mergeCell ref="DY1067:EE1067"/>
    <mergeCell ref="DY1068:EE1068"/>
    <mergeCell ref="C1068:N1068"/>
    <mergeCell ref="O1068:U1068"/>
    <mergeCell ref="W1068:AC1068"/>
    <mergeCell ref="AD1068:AJ1068"/>
    <mergeCell ref="AK1068:AQ1068"/>
    <mergeCell ref="AR1068:AX1068"/>
    <mergeCell ref="AY1068:BE1068"/>
    <mergeCell ref="BF1068:BL1068"/>
    <mergeCell ref="BM1068:BS1068"/>
    <mergeCell ref="BU1068:CA1068"/>
    <mergeCell ref="CB1068:CH1068"/>
    <mergeCell ref="CI1068:CO1068"/>
    <mergeCell ref="CP1068:CV1068"/>
    <mergeCell ref="CW1068:DC1068"/>
    <mergeCell ref="DD1068:DJ1068"/>
    <mergeCell ref="DK1068:DQ1068"/>
    <mergeCell ref="DR1068:DX1068"/>
    <mergeCell ref="C1067:N1067"/>
    <mergeCell ref="O1067:U1067"/>
    <mergeCell ref="W1067:AC1067"/>
    <mergeCell ref="AD1067:AJ1067"/>
    <mergeCell ref="AK1067:AQ1067"/>
    <mergeCell ref="AR1067:AX1067"/>
    <mergeCell ref="AY1067:BE1067"/>
    <mergeCell ref="BF1067:BL1067"/>
    <mergeCell ref="BM1067:BS1067"/>
    <mergeCell ref="BU1067:CA1067"/>
    <mergeCell ref="CB1067:CH1067"/>
    <mergeCell ref="CI1067:CO1067"/>
    <mergeCell ref="CP1067:CV1067"/>
    <mergeCell ref="CW1067:DC1067"/>
    <mergeCell ref="DD1067:DJ1067"/>
    <mergeCell ref="DK1067:DQ1067"/>
    <mergeCell ref="DR1067:DX1067"/>
    <mergeCell ref="DY1065:EE1065"/>
    <mergeCell ref="C1066:N1066"/>
    <mergeCell ref="O1066:U1066"/>
    <mergeCell ref="W1066:AC1066"/>
    <mergeCell ref="AD1066:AJ1066"/>
    <mergeCell ref="AK1066:AQ1066"/>
    <mergeCell ref="AR1066:AX1066"/>
    <mergeCell ref="AY1066:BE1066"/>
    <mergeCell ref="BF1066:BL1066"/>
    <mergeCell ref="BM1066:BS1066"/>
    <mergeCell ref="BU1066:CA1066"/>
    <mergeCell ref="CB1066:CH1066"/>
    <mergeCell ref="CI1066:CO1066"/>
    <mergeCell ref="CP1066:CV1066"/>
    <mergeCell ref="CW1066:DC1066"/>
    <mergeCell ref="DD1066:DJ1066"/>
    <mergeCell ref="DK1066:DQ1066"/>
    <mergeCell ref="DR1066:DX1066"/>
    <mergeCell ref="DY1066:EE1066"/>
    <mergeCell ref="C1065:N1065"/>
    <mergeCell ref="O1065:U1065"/>
    <mergeCell ref="W1065:AC1065"/>
    <mergeCell ref="AD1065:AJ1065"/>
    <mergeCell ref="AK1065:AQ1065"/>
    <mergeCell ref="AR1065:AX1065"/>
    <mergeCell ref="AY1065:BE1065"/>
    <mergeCell ref="BF1065:BL1065"/>
    <mergeCell ref="BM1065:BS1065"/>
    <mergeCell ref="BU1065:CA1065"/>
    <mergeCell ref="CB1065:CH1065"/>
    <mergeCell ref="CI1065:CO1065"/>
    <mergeCell ref="CP1065:CV1065"/>
    <mergeCell ref="CW1065:DC1065"/>
    <mergeCell ref="DD1065:DJ1065"/>
    <mergeCell ref="DK1065:DQ1065"/>
    <mergeCell ref="DR1065:DX1065"/>
    <mergeCell ref="DY1063:EE1063"/>
    <mergeCell ref="C1064:N1064"/>
    <mergeCell ref="O1064:U1064"/>
    <mergeCell ref="W1064:AC1064"/>
    <mergeCell ref="AD1064:AJ1064"/>
    <mergeCell ref="AK1064:AQ1064"/>
    <mergeCell ref="AR1064:AX1064"/>
    <mergeCell ref="AY1064:BE1064"/>
    <mergeCell ref="BF1064:BL1064"/>
    <mergeCell ref="BM1064:BS1064"/>
    <mergeCell ref="BU1064:CA1064"/>
    <mergeCell ref="CB1064:CH1064"/>
    <mergeCell ref="CI1064:CO1064"/>
    <mergeCell ref="CP1064:CV1064"/>
    <mergeCell ref="CW1064:DC1064"/>
    <mergeCell ref="DD1064:DJ1064"/>
    <mergeCell ref="DK1064:DQ1064"/>
    <mergeCell ref="DR1064:DX1064"/>
    <mergeCell ref="DY1064:EE1064"/>
    <mergeCell ref="C1063:N1063"/>
    <mergeCell ref="O1063:U1063"/>
    <mergeCell ref="W1063:AC1063"/>
    <mergeCell ref="AD1063:AJ1063"/>
    <mergeCell ref="AK1063:AQ1063"/>
    <mergeCell ref="AR1063:AX1063"/>
    <mergeCell ref="AY1063:BE1063"/>
    <mergeCell ref="BF1063:BL1063"/>
    <mergeCell ref="BM1063:BS1063"/>
    <mergeCell ref="BU1063:CA1063"/>
    <mergeCell ref="CB1063:CH1063"/>
    <mergeCell ref="CI1063:CO1063"/>
    <mergeCell ref="CP1063:CV1063"/>
    <mergeCell ref="CW1063:DC1063"/>
    <mergeCell ref="DD1063:DJ1063"/>
    <mergeCell ref="DK1063:DQ1063"/>
    <mergeCell ref="DR1063:DX1063"/>
    <mergeCell ref="DY1061:EE1061"/>
    <mergeCell ref="C1062:N1062"/>
    <mergeCell ref="O1062:U1062"/>
    <mergeCell ref="W1062:AC1062"/>
    <mergeCell ref="AD1062:AJ1062"/>
    <mergeCell ref="AK1062:AQ1062"/>
    <mergeCell ref="AR1062:AX1062"/>
    <mergeCell ref="AY1062:BE1062"/>
    <mergeCell ref="BF1062:BL1062"/>
    <mergeCell ref="BM1062:BS1062"/>
    <mergeCell ref="BU1062:CA1062"/>
    <mergeCell ref="CB1062:CH1062"/>
    <mergeCell ref="CI1062:CO1062"/>
    <mergeCell ref="CP1062:CV1062"/>
    <mergeCell ref="CW1062:DC1062"/>
    <mergeCell ref="DD1062:DJ1062"/>
    <mergeCell ref="DK1062:DQ1062"/>
    <mergeCell ref="DR1062:DX1062"/>
    <mergeCell ref="DY1062:EE1062"/>
    <mergeCell ref="C1061:N1061"/>
    <mergeCell ref="O1061:U1061"/>
    <mergeCell ref="W1061:AC1061"/>
    <mergeCell ref="AD1061:AJ1061"/>
    <mergeCell ref="AK1061:AQ1061"/>
    <mergeCell ref="AR1061:AX1061"/>
    <mergeCell ref="AY1061:BE1061"/>
    <mergeCell ref="BF1061:BL1061"/>
    <mergeCell ref="BM1061:BS1061"/>
    <mergeCell ref="BU1061:CA1061"/>
    <mergeCell ref="CB1061:CH1061"/>
    <mergeCell ref="CI1061:CO1061"/>
    <mergeCell ref="CP1061:CV1061"/>
    <mergeCell ref="CW1061:DC1061"/>
    <mergeCell ref="DD1061:DJ1061"/>
    <mergeCell ref="DK1061:DQ1061"/>
    <mergeCell ref="DR1061:DX1061"/>
    <mergeCell ref="DY1059:EE1059"/>
    <mergeCell ref="C1060:N1060"/>
    <mergeCell ref="O1060:U1060"/>
    <mergeCell ref="W1060:AC1060"/>
    <mergeCell ref="AD1060:AJ1060"/>
    <mergeCell ref="AK1060:AQ1060"/>
    <mergeCell ref="AR1060:AX1060"/>
    <mergeCell ref="AY1060:BE1060"/>
    <mergeCell ref="BF1060:BL1060"/>
    <mergeCell ref="BM1060:BS1060"/>
    <mergeCell ref="BU1060:CA1060"/>
    <mergeCell ref="CB1060:CH1060"/>
    <mergeCell ref="CI1060:CO1060"/>
    <mergeCell ref="CP1060:CV1060"/>
    <mergeCell ref="CW1060:DC1060"/>
    <mergeCell ref="DD1060:DJ1060"/>
    <mergeCell ref="DK1060:DQ1060"/>
    <mergeCell ref="DR1060:DX1060"/>
    <mergeCell ref="DY1060:EE1060"/>
    <mergeCell ref="C1059:N1059"/>
    <mergeCell ref="O1059:U1059"/>
    <mergeCell ref="W1059:AC1059"/>
    <mergeCell ref="AD1059:AJ1059"/>
    <mergeCell ref="AK1059:AQ1059"/>
    <mergeCell ref="AR1059:AX1059"/>
    <mergeCell ref="AY1059:BE1059"/>
    <mergeCell ref="BF1059:BL1059"/>
    <mergeCell ref="BM1059:BS1059"/>
    <mergeCell ref="BU1059:CA1059"/>
    <mergeCell ref="CB1059:CH1059"/>
    <mergeCell ref="CI1059:CO1059"/>
    <mergeCell ref="CP1059:CV1059"/>
    <mergeCell ref="CW1059:DC1059"/>
    <mergeCell ref="DD1059:DJ1059"/>
    <mergeCell ref="DK1059:DQ1059"/>
    <mergeCell ref="DR1059:DX1059"/>
    <mergeCell ref="C1056:EE1056"/>
    <mergeCell ref="C1057:N1058"/>
    <mergeCell ref="O1057:U1057"/>
    <mergeCell ref="W1057:BS1057"/>
    <mergeCell ref="BU1057:EE1057"/>
    <mergeCell ref="O1058:U1058"/>
    <mergeCell ref="W1058:AC1058"/>
    <mergeCell ref="AD1058:AJ1058"/>
    <mergeCell ref="AK1058:AQ1058"/>
    <mergeCell ref="AR1058:AX1058"/>
    <mergeCell ref="AY1058:BE1058"/>
    <mergeCell ref="BF1058:BL1058"/>
    <mergeCell ref="BM1058:BS1058"/>
    <mergeCell ref="BU1058:CA1058"/>
    <mergeCell ref="CB1058:CH1058"/>
    <mergeCell ref="CI1058:CO1058"/>
    <mergeCell ref="CP1058:CV1058"/>
    <mergeCell ref="CW1058:DC1058"/>
    <mergeCell ref="DD1058:DJ1058"/>
    <mergeCell ref="DK1058:DQ1058"/>
    <mergeCell ref="DR1058:DX1058"/>
    <mergeCell ref="DY1058:EE1058"/>
    <mergeCell ref="DY1026:EE1026"/>
    <mergeCell ref="C1027:N1027"/>
    <mergeCell ref="O1027:U1027"/>
    <mergeCell ref="W1027:AC1027"/>
    <mergeCell ref="AD1027:AJ1027"/>
    <mergeCell ref="AK1027:AQ1027"/>
    <mergeCell ref="AR1027:AX1027"/>
    <mergeCell ref="AY1027:BE1027"/>
    <mergeCell ref="BF1027:BL1027"/>
    <mergeCell ref="BM1027:BS1027"/>
    <mergeCell ref="BU1027:CA1027"/>
    <mergeCell ref="CB1027:CH1027"/>
    <mergeCell ref="CI1027:CO1027"/>
    <mergeCell ref="CP1027:CV1027"/>
    <mergeCell ref="CW1027:DC1027"/>
    <mergeCell ref="DD1027:DJ1027"/>
    <mergeCell ref="DK1027:DQ1027"/>
    <mergeCell ref="DR1027:DX1027"/>
    <mergeCell ref="DY1027:EE1027"/>
    <mergeCell ref="C1026:N1026"/>
    <mergeCell ref="O1026:U1026"/>
    <mergeCell ref="W1026:AC1026"/>
    <mergeCell ref="AD1026:AJ1026"/>
    <mergeCell ref="AK1026:AQ1026"/>
    <mergeCell ref="AR1026:AX1026"/>
    <mergeCell ref="AY1026:BE1026"/>
    <mergeCell ref="BF1026:BL1026"/>
    <mergeCell ref="BM1026:BS1026"/>
    <mergeCell ref="BU1026:CA1026"/>
    <mergeCell ref="CB1026:CH1026"/>
    <mergeCell ref="CI1026:CO1026"/>
    <mergeCell ref="CP1026:CV1026"/>
    <mergeCell ref="CW1026:DC1026"/>
    <mergeCell ref="DD1026:DJ1026"/>
    <mergeCell ref="DK1026:DQ1026"/>
    <mergeCell ref="DR1026:DX1026"/>
    <mergeCell ref="DY1024:EE1024"/>
    <mergeCell ref="C1025:N1025"/>
    <mergeCell ref="O1025:U1025"/>
    <mergeCell ref="W1025:AC1025"/>
    <mergeCell ref="AD1025:AJ1025"/>
    <mergeCell ref="AK1025:AQ1025"/>
    <mergeCell ref="AR1025:AX1025"/>
    <mergeCell ref="AY1025:BE1025"/>
    <mergeCell ref="BF1025:BL1025"/>
    <mergeCell ref="BM1025:BS1025"/>
    <mergeCell ref="BU1025:CA1025"/>
    <mergeCell ref="CB1025:CH1025"/>
    <mergeCell ref="CI1025:CO1025"/>
    <mergeCell ref="CP1025:CV1025"/>
    <mergeCell ref="CW1025:DC1025"/>
    <mergeCell ref="DD1025:DJ1025"/>
    <mergeCell ref="DK1025:DQ1025"/>
    <mergeCell ref="DR1025:DX1025"/>
    <mergeCell ref="DY1025:EE1025"/>
    <mergeCell ref="C1024:N1024"/>
    <mergeCell ref="O1024:U1024"/>
    <mergeCell ref="W1024:AC1024"/>
    <mergeCell ref="AD1024:AJ1024"/>
    <mergeCell ref="AK1024:AQ1024"/>
    <mergeCell ref="AR1024:AX1024"/>
    <mergeCell ref="AY1024:BE1024"/>
    <mergeCell ref="BF1024:BL1024"/>
    <mergeCell ref="BM1024:BS1024"/>
    <mergeCell ref="BU1024:CA1024"/>
    <mergeCell ref="CB1024:CH1024"/>
    <mergeCell ref="CI1024:CO1024"/>
    <mergeCell ref="CP1024:CV1024"/>
    <mergeCell ref="CW1024:DC1024"/>
    <mergeCell ref="DD1024:DJ1024"/>
    <mergeCell ref="DK1024:DQ1024"/>
    <mergeCell ref="DR1024:DX1024"/>
    <mergeCell ref="DY1022:EE1022"/>
    <mergeCell ref="C1023:N1023"/>
    <mergeCell ref="O1023:U1023"/>
    <mergeCell ref="W1023:AC1023"/>
    <mergeCell ref="AD1023:AJ1023"/>
    <mergeCell ref="AK1023:AQ1023"/>
    <mergeCell ref="AR1023:AX1023"/>
    <mergeCell ref="AY1023:BE1023"/>
    <mergeCell ref="BF1023:BL1023"/>
    <mergeCell ref="BM1023:BS1023"/>
    <mergeCell ref="BU1023:CA1023"/>
    <mergeCell ref="CB1023:CH1023"/>
    <mergeCell ref="CI1023:CO1023"/>
    <mergeCell ref="CP1023:CV1023"/>
    <mergeCell ref="CW1023:DC1023"/>
    <mergeCell ref="DD1023:DJ1023"/>
    <mergeCell ref="DK1023:DQ1023"/>
    <mergeCell ref="DR1023:DX1023"/>
    <mergeCell ref="DY1023:EE1023"/>
    <mergeCell ref="C1022:N1022"/>
    <mergeCell ref="O1022:U1022"/>
    <mergeCell ref="W1022:AC1022"/>
    <mergeCell ref="AD1022:AJ1022"/>
    <mergeCell ref="AK1022:AQ1022"/>
    <mergeCell ref="AR1022:AX1022"/>
    <mergeCell ref="AY1022:BE1022"/>
    <mergeCell ref="BF1022:BL1022"/>
    <mergeCell ref="BM1022:BS1022"/>
    <mergeCell ref="BU1022:CA1022"/>
    <mergeCell ref="CB1022:CH1022"/>
    <mergeCell ref="CI1022:CO1022"/>
    <mergeCell ref="CP1022:CV1022"/>
    <mergeCell ref="CW1022:DC1022"/>
    <mergeCell ref="DD1022:DJ1022"/>
    <mergeCell ref="DK1022:DQ1022"/>
    <mergeCell ref="DR1022:DX1022"/>
    <mergeCell ref="DY1020:EE1020"/>
    <mergeCell ref="C1021:N1021"/>
    <mergeCell ref="O1021:U1021"/>
    <mergeCell ref="W1021:AC1021"/>
    <mergeCell ref="AD1021:AJ1021"/>
    <mergeCell ref="AK1021:AQ1021"/>
    <mergeCell ref="AR1021:AX1021"/>
    <mergeCell ref="AY1021:BE1021"/>
    <mergeCell ref="BF1021:BL1021"/>
    <mergeCell ref="BM1021:BS1021"/>
    <mergeCell ref="BU1021:CA1021"/>
    <mergeCell ref="CB1021:CH1021"/>
    <mergeCell ref="CI1021:CO1021"/>
    <mergeCell ref="CP1021:CV1021"/>
    <mergeCell ref="CW1021:DC1021"/>
    <mergeCell ref="DD1021:DJ1021"/>
    <mergeCell ref="DK1021:DQ1021"/>
    <mergeCell ref="DR1021:DX1021"/>
    <mergeCell ref="DY1021:EE1021"/>
    <mergeCell ref="C1020:N1020"/>
    <mergeCell ref="O1020:U1020"/>
    <mergeCell ref="W1020:AC1020"/>
    <mergeCell ref="AD1020:AJ1020"/>
    <mergeCell ref="AK1020:AQ1020"/>
    <mergeCell ref="AR1020:AX1020"/>
    <mergeCell ref="AY1020:BE1020"/>
    <mergeCell ref="BF1020:BL1020"/>
    <mergeCell ref="BM1020:BS1020"/>
    <mergeCell ref="BU1020:CA1020"/>
    <mergeCell ref="CB1020:CH1020"/>
    <mergeCell ref="CI1020:CO1020"/>
    <mergeCell ref="CP1020:CV1020"/>
    <mergeCell ref="CW1020:DC1020"/>
    <mergeCell ref="DD1020:DJ1020"/>
    <mergeCell ref="DK1020:DQ1020"/>
    <mergeCell ref="DR1020:DX1020"/>
    <mergeCell ref="DY1018:EE1018"/>
    <mergeCell ref="DY1019:EE1019"/>
    <mergeCell ref="C1019:N1019"/>
    <mergeCell ref="O1019:U1019"/>
    <mergeCell ref="W1019:AC1019"/>
    <mergeCell ref="AD1019:AJ1019"/>
    <mergeCell ref="AK1019:AQ1019"/>
    <mergeCell ref="AR1019:AX1019"/>
    <mergeCell ref="AY1019:BE1019"/>
    <mergeCell ref="BF1019:BL1019"/>
    <mergeCell ref="BM1019:BS1019"/>
    <mergeCell ref="BU1019:CA1019"/>
    <mergeCell ref="CB1019:CH1019"/>
    <mergeCell ref="CI1019:CO1019"/>
    <mergeCell ref="CP1019:CV1019"/>
    <mergeCell ref="CW1019:DC1019"/>
    <mergeCell ref="DD1019:DJ1019"/>
    <mergeCell ref="DK1019:DQ1019"/>
    <mergeCell ref="DR1019:DX1019"/>
    <mergeCell ref="C1018:N1018"/>
    <mergeCell ref="O1018:U1018"/>
    <mergeCell ref="W1018:AC1018"/>
    <mergeCell ref="AD1018:AJ1018"/>
    <mergeCell ref="AK1018:AQ1018"/>
    <mergeCell ref="AR1018:AX1018"/>
    <mergeCell ref="AY1018:BE1018"/>
    <mergeCell ref="BF1018:BL1018"/>
    <mergeCell ref="BM1018:BS1018"/>
    <mergeCell ref="BU1018:CA1018"/>
    <mergeCell ref="CB1018:CH1018"/>
    <mergeCell ref="CI1018:CO1018"/>
    <mergeCell ref="CP1018:CV1018"/>
    <mergeCell ref="CW1018:DC1018"/>
    <mergeCell ref="DD1018:DJ1018"/>
    <mergeCell ref="DK1018:DQ1018"/>
    <mergeCell ref="DR1018:DX1018"/>
    <mergeCell ref="DY1016:EE1016"/>
    <mergeCell ref="C1017:N1017"/>
    <mergeCell ref="O1017:U1017"/>
    <mergeCell ref="W1017:AC1017"/>
    <mergeCell ref="AD1017:AJ1017"/>
    <mergeCell ref="AK1017:AQ1017"/>
    <mergeCell ref="AR1017:AX1017"/>
    <mergeCell ref="AY1017:BE1017"/>
    <mergeCell ref="BF1017:BL1017"/>
    <mergeCell ref="BM1017:BS1017"/>
    <mergeCell ref="BU1017:CA1017"/>
    <mergeCell ref="CB1017:CH1017"/>
    <mergeCell ref="CI1017:CO1017"/>
    <mergeCell ref="CP1017:CV1017"/>
    <mergeCell ref="CW1017:DC1017"/>
    <mergeCell ref="DD1017:DJ1017"/>
    <mergeCell ref="DK1017:DQ1017"/>
    <mergeCell ref="DR1017:DX1017"/>
    <mergeCell ref="DY1017:EE1017"/>
    <mergeCell ref="C1016:N1016"/>
    <mergeCell ref="O1016:U1016"/>
    <mergeCell ref="W1016:AC1016"/>
    <mergeCell ref="AD1016:AJ1016"/>
    <mergeCell ref="AK1016:AQ1016"/>
    <mergeCell ref="AR1016:AX1016"/>
    <mergeCell ref="AY1016:BE1016"/>
    <mergeCell ref="BF1016:BL1016"/>
    <mergeCell ref="BM1016:BS1016"/>
    <mergeCell ref="BU1016:CA1016"/>
    <mergeCell ref="CB1016:CH1016"/>
    <mergeCell ref="CI1016:CO1016"/>
    <mergeCell ref="CP1016:CV1016"/>
    <mergeCell ref="CW1016:DC1016"/>
    <mergeCell ref="DD1016:DJ1016"/>
    <mergeCell ref="DK1016:DQ1016"/>
    <mergeCell ref="DR1016:DX1016"/>
    <mergeCell ref="DY1014:EE1014"/>
    <mergeCell ref="C1015:N1015"/>
    <mergeCell ref="O1015:U1015"/>
    <mergeCell ref="W1015:AC1015"/>
    <mergeCell ref="AD1015:AJ1015"/>
    <mergeCell ref="AK1015:AQ1015"/>
    <mergeCell ref="AR1015:AX1015"/>
    <mergeCell ref="AY1015:BE1015"/>
    <mergeCell ref="BF1015:BL1015"/>
    <mergeCell ref="BM1015:BS1015"/>
    <mergeCell ref="BU1015:CA1015"/>
    <mergeCell ref="CB1015:CH1015"/>
    <mergeCell ref="CI1015:CO1015"/>
    <mergeCell ref="CP1015:CV1015"/>
    <mergeCell ref="CW1015:DC1015"/>
    <mergeCell ref="DD1015:DJ1015"/>
    <mergeCell ref="DK1015:DQ1015"/>
    <mergeCell ref="DR1015:DX1015"/>
    <mergeCell ref="DY1015:EE1015"/>
    <mergeCell ref="C1014:N1014"/>
    <mergeCell ref="O1014:U1014"/>
    <mergeCell ref="W1014:AC1014"/>
    <mergeCell ref="AD1014:AJ1014"/>
    <mergeCell ref="AK1014:AQ1014"/>
    <mergeCell ref="AR1014:AX1014"/>
    <mergeCell ref="AY1014:BE1014"/>
    <mergeCell ref="BF1014:BL1014"/>
    <mergeCell ref="BM1014:BS1014"/>
    <mergeCell ref="BU1014:CA1014"/>
    <mergeCell ref="CB1014:CH1014"/>
    <mergeCell ref="CI1014:CO1014"/>
    <mergeCell ref="CP1014:CV1014"/>
    <mergeCell ref="CW1014:DC1014"/>
    <mergeCell ref="DD1014:DJ1014"/>
    <mergeCell ref="DK1014:DQ1014"/>
    <mergeCell ref="DR1014:DX1014"/>
    <mergeCell ref="DY1012:EE1012"/>
    <mergeCell ref="DY1013:EE1013"/>
    <mergeCell ref="C1013:N1013"/>
    <mergeCell ref="O1013:U1013"/>
    <mergeCell ref="W1013:AC1013"/>
    <mergeCell ref="AD1013:AJ1013"/>
    <mergeCell ref="AK1013:AQ1013"/>
    <mergeCell ref="AR1013:AX1013"/>
    <mergeCell ref="AY1013:BE1013"/>
    <mergeCell ref="BF1013:BL1013"/>
    <mergeCell ref="BM1013:BS1013"/>
    <mergeCell ref="BU1013:CA1013"/>
    <mergeCell ref="CB1013:CH1013"/>
    <mergeCell ref="CI1013:CO1013"/>
    <mergeCell ref="CP1013:CV1013"/>
    <mergeCell ref="CW1013:DC1013"/>
    <mergeCell ref="DD1013:DJ1013"/>
    <mergeCell ref="DK1013:DQ1013"/>
    <mergeCell ref="DR1013:DX1013"/>
    <mergeCell ref="DY1011:EE1011"/>
    <mergeCell ref="C1010:N1010"/>
    <mergeCell ref="O1010:U1010"/>
    <mergeCell ref="W1010:AC1010"/>
    <mergeCell ref="AD1010:AJ1010"/>
    <mergeCell ref="AK1010:AQ1010"/>
    <mergeCell ref="AR1010:AX1010"/>
    <mergeCell ref="AY1010:BE1010"/>
    <mergeCell ref="BF1010:BL1010"/>
    <mergeCell ref="BM1010:BS1010"/>
    <mergeCell ref="BU1010:CA1010"/>
    <mergeCell ref="CB1010:CH1010"/>
    <mergeCell ref="CI1010:CO1010"/>
    <mergeCell ref="CP1010:CV1010"/>
    <mergeCell ref="C1012:N1012"/>
    <mergeCell ref="O1012:U1012"/>
    <mergeCell ref="W1012:AC1012"/>
    <mergeCell ref="AD1012:AJ1012"/>
    <mergeCell ref="AK1012:AQ1012"/>
    <mergeCell ref="AR1012:AX1012"/>
    <mergeCell ref="AY1012:BE1012"/>
    <mergeCell ref="BF1012:BL1012"/>
    <mergeCell ref="BM1012:BS1012"/>
    <mergeCell ref="BU1012:CA1012"/>
    <mergeCell ref="CB1012:CH1012"/>
    <mergeCell ref="CI1012:CO1012"/>
    <mergeCell ref="CP1012:CV1012"/>
    <mergeCell ref="CW1012:DC1012"/>
    <mergeCell ref="DD1012:DJ1012"/>
    <mergeCell ref="DK1012:DQ1012"/>
    <mergeCell ref="DR1012:DX1012"/>
    <mergeCell ref="C1011:N1011"/>
    <mergeCell ref="O1011:U1011"/>
    <mergeCell ref="W1011:AC1011"/>
    <mergeCell ref="AD1011:AJ1011"/>
    <mergeCell ref="AK1011:AQ1011"/>
    <mergeCell ref="AR1011:AX1011"/>
    <mergeCell ref="AY1011:BE1011"/>
    <mergeCell ref="BF1011:BL1011"/>
    <mergeCell ref="BM1011:BS1011"/>
    <mergeCell ref="BU1011:CA1011"/>
    <mergeCell ref="CB1011:CH1011"/>
    <mergeCell ref="CI1011:CO1011"/>
    <mergeCell ref="CP1011:CV1011"/>
    <mergeCell ref="CW1011:DC1011"/>
    <mergeCell ref="DD1011:DJ1011"/>
    <mergeCell ref="DK1011:DQ1011"/>
    <mergeCell ref="DR1011:DX1011"/>
    <mergeCell ref="CW1010:DC1010"/>
    <mergeCell ref="DD1010:DJ1010"/>
    <mergeCell ref="DK1010:DQ1010"/>
    <mergeCell ref="DR1010:DX1010"/>
    <mergeCell ref="C1007:EE1007"/>
    <mergeCell ref="C1008:N1009"/>
    <mergeCell ref="O1008:U1008"/>
    <mergeCell ref="W1008:BS1008"/>
    <mergeCell ref="BU1008:EE1008"/>
    <mergeCell ref="O1009:U1009"/>
    <mergeCell ref="W1009:AC1009"/>
    <mergeCell ref="AD1009:AJ1009"/>
    <mergeCell ref="AK1009:AQ1009"/>
    <mergeCell ref="AR1009:AX1009"/>
    <mergeCell ref="AY1009:BE1009"/>
    <mergeCell ref="BF1009:BL1009"/>
    <mergeCell ref="BM1009:BS1009"/>
    <mergeCell ref="BU1009:CA1009"/>
    <mergeCell ref="CB1009:CH1009"/>
    <mergeCell ref="CI1009:CO1009"/>
    <mergeCell ref="CP1009:CV1009"/>
    <mergeCell ref="CW1009:DC1009"/>
    <mergeCell ref="DD1009:DJ1009"/>
    <mergeCell ref="DK1009:DQ1009"/>
    <mergeCell ref="DR1009:DX1009"/>
    <mergeCell ref="DY1009:EE1009"/>
    <mergeCell ref="DY1010:EE1010"/>
    <mergeCell ref="DY1004:EE1004"/>
    <mergeCell ref="C1005:N1005"/>
    <mergeCell ref="O1005:U1005"/>
    <mergeCell ref="W1005:AC1005"/>
    <mergeCell ref="AD1005:AJ1005"/>
    <mergeCell ref="AK1005:AQ1005"/>
    <mergeCell ref="AR1005:AX1005"/>
    <mergeCell ref="AY1005:BE1005"/>
    <mergeCell ref="BF1005:BL1005"/>
    <mergeCell ref="BM1005:BS1005"/>
    <mergeCell ref="BU1005:CA1005"/>
    <mergeCell ref="CB1005:CH1005"/>
    <mergeCell ref="CI1005:CO1005"/>
    <mergeCell ref="CP1005:CV1005"/>
    <mergeCell ref="CW1005:DC1005"/>
    <mergeCell ref="DD1005:DJ1005"/>
    <mergeCell ref="DK1005:DQ1005"/>
    <mergeCell ref="DR1005:DX1005"/>
    <mergeCell ref="DY1005:EE1005"/>
    <mergeCell ref="C1004:N1004"/>
    <mergeCell ref="O1004:U1004"/>
    <mergeCell ref="W1004:AC1004"/>
    <mergeCell ref="AD1004:AJ1004"/>
    <mergeCell ref="AK1004:AQ1004"/>
    <mergeCell ref="AR1004:AX1004"/>
    <mergeCell ref="AY1004:BE1004"/>
    <mergeCell ref="BF1004:BL1004"/>
    <mergeCell ref="BM1004:BS1004"/>
    <mergeCell ref="BU1004:CA1004"/>
    <mergeCell ref="CB1004:CH1004"/>
    <mergeCell ref="CI1004:CO1004"/>
    <mergeCell ref="CP1004:CV1004"/>
    <mergeCell ref="CW1004:DC1004"/>
    <mergeCell ref="DD1004:DJ1004"/>
    <mergeCell ref="DK1004:DQ1004"/>
    <mergeCell ref="DR1004:DX1004"/>
    <mergeCell ref="DY1002:EE1002"/>
    <mergeCell ref="C1003:N1003"/>
    <mergeCell ref="O1003:U1003"/>
    <mergeCell ref="W1003:AC1003"/>
    <mergeCell ref="AD1003:AJ1003"/>
    <mergeCell ref="AK1003:AQ1003"/>
    <mergeCell ref="AR1003:AX1003"/>
    <mergeCell ref="AY1003:BE1003"/>
    <mergeCell ref="BF1003:BL1003"/>
    <mergeCell ref="BM1003:BS1003"/>
    <mergeCell ref="BU1003:CA1003"/>
    <mergeCell ref="CB1003:CH1003"/>
    <mergeCell ref="CI1003:CO1003"/>
    <mergeCell ref="CP1003:CV1003"/>
    <mergeCell ref="CW1003:DC1003"/>
    <mergeCell ref="DD1003:DJ1003"/>
    <mergeCell ref="DK1003:DQ1003"/>
    <mergeCell ref="DR1003:DX1003"/>
    <mergeCell ref="DY1003:EE1003"/>
    <mergeCell ref="C1002:N1002"/>
    <mergeCell ref="O1002:U1002"/>
    <mergeCell ref="W1002:AC1002"/>
    <mergeCell ref="AD1002:AJ1002"/>
    <mergeCell ref="AK1002:AQ1002"/>
    <mergeCell ref="AR1002:AX1002"/>
    <mergeCell ref="AY1002:BE1002"/>
    <mergeCell ref="BF1002:BL1002"/>
    <mergeCell ref="BM1002:BS1002"/>
    <mergeCell ref="BU1002:CA1002"/>
    <mergeCell ref="CB1002:CH1002"/>
    <mergeCell ref="CI1002:CO1002"/>
    <mergeCell ref="CP1002:CV1002"/>
    <mergeCell ref="CW1002:DC1002"/>
    <mergeCell ref="DD1002:DJ1002"/>
    <mergeCell ref="DK1002:DQ1002"/>
    <mergeCell ref="DR1002:DX1002"/>
    <mergeCell ref="DY1000:EE1000"/>
    <mergeCell ref="C1001:N1001"/>
    <mergeCell ref="O1001:U1001"/>
    <mergeCell ref="W1001:AC1001"/>
    <mergeCell ref="AD1001:AJ1001"/>
    <mergeCell ref="AK1001:AQ1001"/>
    <mergeCell ref="AR1001:AX1001"/>
    <mergeCell ref="AY1001:BE1001"/>
    <mergeCell ref="BF1001:BL1001"/>
    <mergeCell ref="BM1001:BS1001"/>
    <mergeCell ref="BU1001:CA1001"/>
    <mergeCell ref="CB1001:CH1001"/>
    <mergeCell ref="CI1001:CO1001"/>
    <mergeCell ref="CP1001:CV1001"/>
    <mergeCell ref="CW1001:DC1001"/>
    <mergeCell ref="DD1001:DJ1001"/>
    <mergeCell ref="DK1001:DQ1001"/>
    <mergeCell ref="DR1001:DX1001"/>
    <mergeCell ref="DY999:EE999"/>
    <mergeCell ref="C998:N998"/>
    <mergeCell ref="O998:U998"/>
    <mergeCell ref="W998:AC998"/>
    <mergeCell ref="AD998:AJ998"/>
    <mergeCell ref="AK998:AQ998"/>
    <mergeCell ref="AR998:AX998"/>
    <mergeCell ref="AY998:BE998"/>
    <mergeCell ref="BF998:BL998"/>
    <mergeCell ref="BM998:BS998"/>
    <mergeCell ref="BU998:CA998"/>
    <mergeCell ref="CB998:CH998"/>
    <mergeCell ref="CI998:CO998"/>
    <mergeCell ref="CP998:CV998"/>
    <mergeCell ref="DY1001:EE1001"/>
    <mergeCell ref="C1000:N1000"/>
    <mergeCell ref="O1000:U1000"/>
    <mergeCell ref="W1000:AC1000"/>
    <mergeCell ref="AD1000:AJ1000"/>
    <mergeCell ref="AK1000:AQ1000"/>
    <mergeCell ref="AR1000:AX1000"/>
    <mergeCell ref="AY1000:BE1000"/>
    <mergeCell ref="BF1000:BL1000"/>
    <mergeCell ref="BM1000:BS1000"/>
    <mergeCell ref="BU1000:CA1000"/>
    <mergeCell ref="CB1000:CH1000"/>
    <mergeCell ref="CI1000:CO1000"/>
    <mergeCell ref="CP1000:CV1000"/>
    <mergeCell ref="CW1000:DC1000"/>
    <mergeCell ref="DD1000:DJ1000"/>
    <mergeCell ref="DK1000:DQ1000"/>
    <mergeCell ref="DR1000:DX1000"/>
    <mergeCell ref="C999:N999"/>
    <mergeCell ref="O999:U999"/>
    <mergeCell ref="W999:AC999"/>
    <mergeCell ref="AD999:AJ999"/>
    <mergeCell ref="AK999:AQ999"/>
    <mergeCell ref="AR999:AX999"/>
    <mergeCell ref="AY999:BE999"/>
    <mergeCell ref="BF999:BL999"/>
    <mergeCell ref="BM999:BS999"/>
    <mergeCell ref="BU999:CA999"/>
    <mergeCell ref="CB999:CH999"/>
    <mergeCell ref="CI999:CO999"/>
    <mergeCell ref="CP999:CV999"/>
    <mergeCell ref="CW999:DC999"/>
    <mergeCell ref="DD999:DJ999"/>
    <mergeCell ref="DK999:DQ999"/>
    <mergeCell ref="DR999:DX999"/>
    <mergeCell ref="CW998:DC998"/>
    <mergeCell ref="DD998:DJ998"/>
    <mergeCell ref="DK998:DQ998"/>
    <mergeCell ref="DR998:DX998"/>
    <mergeCell ref="AR996:AX996"/>
    <mergeCell ref="AY996:BE996"/>
    <mergeCell ref="BF996:BL996"/>
    <mergeCell ref="BM996:BS996"/>
    <mergeCell ref="BU996:CA996"/>
    <mergeCell ref="CB996:CH996"/>
    <mergeCell ref="CI996:CO996"/>
    <mergeCell ref="CP996:CV996"/>
    <mergeCell ref="CW996:DC996"/>
    <mergeCell ref="DD996:DJ996"/>
    <mergeCell ref="DK996:DQ996"/>
    <mergeCell ref="DR996:DX996"/>
    <mergeCell ref="DY996:EE996"/>
    <mergeCell ref="DY997:EE997"/>
    <mergeCell ref="DY998:EE998"/>
    <mergeCell ref="C997:N997"/>
    <mergeCell ref="O997:U997"/>
    <mergeCell ref="W997:AC997"/>
    <mergeCell ref="AD997:AJ997"/>
    <mergeCell ref="AK997:AQ997"/>
    <mergeCell ref="AR997:AX997"/>
    <mergeCell ref="AY997:BE997"/>
    <mergeCell ref="BF997:BL997"/>
    <mergeCell ref="BM997:BS997"/>
    <mergeCell ref="BU997:CA997"/>
    <mergeCell ref="CB997:CH997"/>
    <mergeCell ref="CI997:CO997"/>
    <mergeCell ref="CP997:CV997"/>
    <mergeCell ref="CW997:DC997"/>
    <mergeCell ref="DD997:DJ997"/>
    <mergeCell ref="DK997:DQ997"/>
    <mergeCell ref="DR997:DX997"/>
    <mergeCell ref="DY994:EE994"/>
    <mergeCell ref="C995:N995"/>
    <mergeCell ref="O995:U995"/>
    <mergeCell ref="W995:AC995"/>
    <mergeCell ref="AD995:AJ995"/>
    <mergeCell ref="AK995:AQ995"/>
    <mergeCell ref="AR995:AX995"/>
    <mergeCell ref="AY995:BE995"/>
    <mergeCell ref="BF995:BL995"/>
    <mergeCell ref="BM995:BS995"/>
    <mergeCell ref="BU995:CA995"/>
    <mergeCell ref="CB995:CH995"/>
    <mergeCell ref="CI995:CO995"/>
    <mergeCell ref="CP995:CV995"/>
    <mergeCell ref="CW995:DC995"/>
    <mergeCell ref="DD995:DJ995"/>
    <mergeCell ref="DK995:DQ995"/>
    <mergeCell ref="DR995:DX995"/>
    <mergeCell ref="DY995:EE995"/>
    <mergeCell ref="C994:N994"/>
    <mergeCell ref="O994:U994"/>
    <mergeCell ref="W994:AC994"/>
    <mergeCell ref="AD994:AJ994"/>
    <mergeCell ref="AK994:AQ994"/>
    <mergeCell ref="AR994:AX994"/>
    <mergeCell ref="AY994:BE994"/>
    <mergeCell ref="BF994:BL994"/>
    <mergeCell ref="BM994:BS994"/>
    <mergeCell ref="BU994:CA994"/>
    <mergeCell ref="CB994:CH994"/>
    <mergeCell ref="CI994:CO994"/>
    <mergeCell ref="CP994:CV994"/>
    <mergeCell ref="CW994:DC994"/>
    <mergeCell ref="DD994:DJ994"/>
    <mergeCell ref="DK994:DQ994"/>
    <mergeCell ref="DR994:DX994"/>
    <mergeCell ref="BM992:BS992"/>
    <mergeCell ref="BU992:CA992"/>
    <mergeCell ref="CB992:CH992"/>
    <mergeCell ref="CI992:CO992"/>
    <mergeCell ref="CP992:CV992"/>
    <mergeCell ref="CW992:DC992"/>
    <mergeCell ref="DD992:DJ992"/>
    <mergeCell ref="DK992:DQ992"/>
    <mergeCell ref="DR992:DX992"/>
    <mergeCell ref="DY992:EE992"/>
    <mergeCell ref="C993:N993"/>
    <mergeCell ref="O993:U993"/>
    <mergeCell ref="W993:AC993"/>
    <mergeCell ref="AD993:AJ993"/>
    <mergeCell ref="AK993:AQ993"/>
    <mergeCell ref="AR993:AX993"/>
    <mergeCell ref="AY993:BE993"/>
    <mergeCell ref="BF993:BL993"/>
    <mergeCell ref="BM993:BS993"/>
    <mergeCell ref="BU993:CA993"/>
    <mergeCell ref="CB993:CH993"/>
    <mergeCell ref="CI993:CO993"/>
    <mergeCell ref="CP993:CV993"/>
    <mergeCell ref="CW993:DC993"/>
    <mergeCell ref="DD993:DJ993"/>
    <mergeCell ref="DK993:DQ993"/>
    <mergeCell ref="DR993:DX993"/>
    <mergeCell ref="DY993:EE993"/>
    <mergeCell ref="DY990:EE990"/>
    <mergeCell ref="C991:N991"/>
    <mergeCell ref="O991:U991"/>
    <mergeCell ref="W991:AC991"/>
    <mergeCell ref="AD991:AJ991"/>
    <mergeCell ref="AK991:AQ991"/>
    <mergeCell ref="AR991:AX991"/>
    <mergeCell ref="AY991:BE991"/>
    <mergeCell ref="BF991:BL991"/>
    <mergeCell ref="BM991:BS991"/>
    <mergeCell ref="BU991:CA991"/>
    <mergeCell ref="CB991:CH991"/>
    <mergeCell ref="CI991:CO991"/>
    <mergeCell ref="CP991:CV991"/>
    <mergeCell ref="CW991:DC991"/>
    <mergeCell ref="DD991:DJ991"/>
    <mergeCell ref="DK991:DQ991"/>
    <mergeCell ref="DR991:DX991"/>
    <mergeCell ref="DY991:EE991"/>
    <mergeCell ref="C990:N990"/>
    <mergeCell ref="O990:U990"/>
    <mergeCell ref="W990:AC990"/>
    <mergeCell ref="AD990:AJ990"/>
    <mergeCell ref="AK990:AQ990"/>
    <mergeCell ref="AR990:AX990"/>
    <mergeCell ref="AY990:BE990"/>
    <mergeCell ref="BF990:BL990"/>
    <mergeCell ref="BM990:BS990"/>
    <mergeCell ref="BU990:CA990"/>
    <mergeCell ref="CB990:CH990"/>
    <mergeCell ref="CI990:CO990"/>
    <mergeCell ref="CP990:CV990"/>
    <mergeCell ref="CW990:DC990"/>
    <mergeCell ref="DD990:DJ990"/>
    <mergeCell ref="DK990:DQ990"/>
    <mergeCell ref="DR990:DX990"/>
    <mergeCell ref="DY988:EE988"/>
    <mergeCell ref="C989:N989"/>
    <mergeCell ref="O989:U989"/>
    <mergeCell ref="W989:AC989"/>
    <mergeCell ref="AD989:AJ989"/>
    <mergeCell ref="AK989:AQ989"/>
    <mergeCell ref="AR989:AX989"/>
    <mergeCell ref="AY989:BE989"/>
    <mergeCell ref="BF989:BL989"/>
    <mergeCell ref="BM989:BS989"/>
    <mergeCell ref="BU989:CA989"/>
    <mergeCell ref="CB989:CH989"/>
    <mergeCell ref="CI989:CO989"/>
    <mergeCell ref="CP989:CV989"/>
    <mergeCell ref="CW989:DC989"/>
    <mergeCell ref="DD989:DJ989"/>
    <mergeCell ref="DK989:DQ989"/>
    <mergeCell ref="DR989:DX989"/>
    <mergeCell ref="DY989:EE989"/>
    <mergeCell ref="C988:N988"/>
    <mergeCell ref="O988:U988"/>
    <mergeCell ref="W988:AC988"/>
    <mergeCell ref="AD988:AJ988"/>
    <mergeCell ref="AK988:AQ988"/>
    <mergeCell ref="AR988:AX988"/>
    <mergeCell ref="AY988:BE988"/>
    <mergeCell ref="BF988:BL988"/>
    <mergeCell ref="BM988:BS988"/>
    <mergeCell ref="CB988:CH988"/>
    <mergeCell ref="CI988:CO988"/>
    <mergeCell ref="CP988:CV988"/>
    <mergeCell ref="CW988:DC988"/>
    <mergeCell ref="DD988:DJ988"/>
    <mergeCell ref="DK988:DQ988"/>
    <mergeCell ref="DR988:DX988"/>
    <mergeCell ref="C985:EE985"/>
    <mergeCell ref="C986:N987"/>
    <mergeCell ref="O986:U986"/>
    <mergeCell ref="W986:BS986"/>
    <mergeCell ref="BU986:EE986"/>
    <mergeCell ref="O987:U987"/>
    <mergeCell ref="W987:AC987"/>
    <mergeCell ref="AD987:AJ987"/>
    <mergeCell ref="AK987:AQ987"/>
    <mergeCell ref="AR987:AX987"/>
    <mergeCell ref="AY987:BE987"/>
    <mergeCell ref="BF987:BL987"/>
    <mergeCell ref="BM987:BS987"/>
    <mergeCell ref="BU987:CA987"/>
    <mergeCell ref="CB987:CH987"/>
    <mergeCell ref="CI987:CO987"/>
    <mergeCell ref="CP987:CV987"/>
    <mergeCell ref="CW987:DC987"/>
    <mergeCell ref="DD987:DJ987"/>
    <mergeCell ref="DK987:DQ987"/>
    <mergeCell ref="DR987:DX987"/>
    <mergeCell ref="DY987:EE987"/>
    <mergeCell ref="DY876:EE876"/>
    <mergeCell ref="C877:N877"/>
    <mergeCell ref="O877:U877"/>
    <mergeCell ref="W877:AC877"/>
    <mergeCell ref="AD877:AJ877"/>
    <mergeCell ref="AK877:AQ877"/>
    <mergeCell ref="AR877:AX877"/>
    <mergeCell ref="AY877:BE877"/>
    <mergeCell ref="BF877:BL877"/>
    <mergeCell ref="BM877:BS877"/>
    <mergeCell ref="BU877:CA877"/>
    <mergeCell ref="CB877:CH877"/>
    <mergeCell ref="CI877:CO877"/>
    <mergeCell ref="CP877:CV877"/>
    <mergeCell ref="CW877:DC877"/>
    <mergeCell ref="DD877:DJ877"/>
    <mergeCell ref="DK877:DQ877"/>
    <mergeCell ref="DR877:DX877"/>
    <mergeCell ref="DY877:EE877"/>
    <mergeCell ref="C876:N876"/>
    <mergeCell ref="O876:U876"/>
    <mergeCell ref="W876:AC876"/>
    <mergeCell ref="AD876:AJ876"/>
    <mergeCell ref="AK876:AQ876"/>
    <mergeCell ref="AR876:AX876"/>
    <mergeCell ref="AY876:BE876"/>
    <mergeCell ref="BF876:BL876"/>
    <mergeCell ref="BM876:BS876"/>
    <mergeCell ref="BU876:CA876"/>
    <mergeCell ref="CB876:CH876"/>
    <mergeCell ref="CI876:CO876"/>
    <mergeCell ref="CP876:CV876"/>
    <mergeCell ref="CW876:DC876"/>
    <mergeCell ref="DD876:DJ876"/>
    <mergeCell ref="DK876:DQ876"/>
    <mergeCell ref="DR876:DX876"/>
    <mergeCell ref="DY874:EE874"/>
    <mergeCell ref="C875:N875"/>
    <mergeCell ref="O875:U875"/>
    <mergeCell ref="W875:AC875"/>
    <mergeCell ref="AD875:AJ875"/>
    <mergeCell ref="AK875:AQ875"/>
    <mergeCell ref="AR875:AX875"/>
    <mergeCell ref="AY875:BE875"/>
    <mergeCell ref="BF875:BL875"/>
    <mergeCell ref="BM875:BS875"/>
    <mergeCell ref="BU875:CA875"/>
    <mergeCell ref="CB875:CH875"/>
    <mergeCell ref="CI875:CO875"/>
    <mergeCell ref="CP875:CV875"/>
    <mergeCell ref="CW875:DC875"/>
    <mergeCell ref="DD875:DJ875"/>
    <mergeCell ref="DK875:DQ875"/>
    <mergeCell ref="DR875:DX875"/>
    <mergeCell ref="DY875:EE875"/>
    <mergeCell ref="C874:N874"/>
    <mergeCell ref="O874:U874"/>
    <mergeCell ref="W874:AC874"/>
    <mergeCell ref="AD874:AJ874"/>
    <mergeCell ref="AK874:AQ874"/>
    <mergeCell ref="AR874:AX874"/>
    <mergeCell ref="AY874:BE874"/>
    <mergeCell ref="BF874:BL874"/>
    <mergeCell ref="BM874:BS874"/>
    <mergeCell ref="BU874:CA874"/>
    <mergeCell ref="CB874:CH874"/>
    <mergeCell ref="CI874:CO874"/>
    <mergeCell ref="CP874:CV874"/>
    <mergeCell ref="CW874:DC874"/>
    <mergeCell ref="DD874:DJ874"/>
    <mergeCell ref="DK874:DQ874"/>
    <mergeCell ref="DR874:DX874"/>
    <mergeCell ref="DY872:EE872"/>
    <mergeCell ref="C873:N873"/>
    <mergeCell ref="O873:U873"/>
    <mergeCell ref="W873:AC873"/>
    <mergeCell ref="AD873:AJ873"/>
    <mergeCell ref="AK873:AQ873"/>
    <mergeCell ref="AR873:AX873"/>
    <mergeCell ref="AY873:BE873"/>
    <mergeCell ref="BF873:BL873"/>
    <mergeCell ref="BM873:BS873"/>
    <mergeCell ref="BU873:CA873"/>
    <mergeCell ref="CB873:CH873"/>
    <mergeCell ref="CI873:CO873"/>
    <mergeCell ref="CP873:CV873"/>
    <mergeCell ref="CW873:DC873"/>
    <mergeCell ref="DD873:DJ873"/>
    <mergeCell ref="DK873:DQ873"/>
    <mergeCell ref="DR873:DX873"/>
    <mergeCell ref="DY873:EE873"/>
    <mergeCell ref="C872:N872"/>
    <mergeCell ref="O872:U872"/>
    <mergeCell ref="W872:AC872"/>
    <mergeCell ref="AD872:AJ872"/>
    <mergeCell ref="AK872:AQ872"/>
    <mergeCell ref="AR872:AX872"/>
    <mergeCell ref="AY872:BE872"/>
    <mergeCell ref="BF872:BL872"/>
    <mergeCell ref="BM872:BS872"/>
    <mergeCell ref="BU872:CA872"/>
    <mergeCell ref="CB872:CH872"/>
    <mergeCell ref="CI872:CO872"/>
    <mergeCell ref="CP872:CV872"/>
    <mergeCell ref="CW872:DC872"/>
    <mergeCell ref="DD872:DJ872"/>
    <mergeCell ref="DK872:DQ872"/>
    <mergeCell ref="DR872:DX872"/>
    <mergeCell ref="DY870:EE870"/>
    <mergeCell ref="C871:N871"/>
    <mergeCell ref="O871:U871"/>
    <mergeCell ref="W871:AC871"/>
    <mergeCell ref="AD871:AJ871"/>
    <mergeCell ref="AK871:AQ871"/>
    <mergeCell ref="AR871:AX871"/>
    <mergeCell ref="AY871:BE871"/>
    <mergeCell ref="BF871:BL871"/>
    <mergeCell ref="BM871:BS871"/>
    <mergeCell ref="BU871:CA871"/>
    <mergeCell ref="CB871:CH871"/>
    <mergeCell ref="CI871:CO871"/>
    <mergeCell ref="CP871:CV871"/>
    <mergeCell ref="CW871:DC871"/>
    <mergeCell ref="DD871:DJ871"/>
    <mergeCell ref="DK871:DQ871"/>
    <mergeCell ref="DR871:DX871"/>
    <mergeCell ref="DY871:EE871"/>
    <mergeCell ref="C870:N870"/>
    <mergeCell ref="O870:U870"/>
    <mergeCell ref="W870:AC870"/>
    <mergeCell ref="AD870:AJ870"/>
    <mergeCell ref="AK870:AQ870"/>
    <mergeCell ref="AR870:AX870"/>
    <mergeCell ref="AY870:BE870"/>
    <mergeCell ref="BF870:BL870"/>
    <mergeCell ref="BM870:BS870"/>
    <mergeCell ref="BU870:CA870"/>
    <mergeCell ref="CB870:CH870"/>
    <mergeCell ref="CI870:CO870"/>
    <mergeCell ref="CP870:CV870"/>
    <mergeCell ref="CW870:DC870"/>
    <mergeCell ref="DD870:DJ870"/>
    <mergeCell ref="DK870:DQ870"/>
    <mergeCell ref="DR870:DX870"/>
    <mergeCell ref="DY868:EE868"/>
    <mergeCell ref="DY869:EE869"/>
    <mergeCell ref="C869:N869"/>
    <mergeCell ref="O869:U869"/>
    <mergeCell ref="W869:AC869"/>
    <mergeCell ref="AD869:AJ869"/>
    <mergeCell ref="AK869:AQ869"/>
    <mergeCell ref="AR869:AX869"/>
    <mergeCell ref="AY869:BE869"/>
    <mergeCell ref="BF869:BL869"/>
    <mergeCell ref="BM869:BS869"/>
    <mergeCell ref="BU869:CA869"/>
    <mergeCell ref="CB869:CH869"/>
    <mergeCell ref="CI869:CO869"/>
    <mergeCell ref="CP869:CV869"/>
    <mergeCell ref="CW869:DC869"/>
    <mergeCell ref="DD869:DJ869"/>
    <mergeCell ref="DK869:DQ869"/>
    <mergeCell ref="DR869:DX869"/>
    <mergeCell ref="C868:N868"/>
    <mergeCell ref="O868:U868"/>
    <mergeCell ref="W868:AC868"/>
    <mergeCell ref="AD868:AJ868"/>
    <mergeCell ref="AK868:AQ868"/>
    <mergeCell ref="AR868:AX868"/>
    <mergeCell ref="AY868:BE868"/>
    <mergeCell ref="BF868:BL868"/>
    <mergeCell ref="BM868:BS868"/>
    <mergeCell ref="BU868:CA868"/>
    <mergeCell ref="CB868:CH868"/>
    <mergeCell ref="CI868:CO868"/>
    <mergeCell ref="CP868:CV868"/>
    <mergeCell ref="CW868:DC868"/>
    <mergeCell ref="DD868:DJ868"/>
    <mergeCell ref="DK868:DQ868"/>
    <mergeCell ref="DR868:DX868"/>
    <mergeCell ref="DY866:EE866"/>
    <mergeCell ref="C867:N867"/>
    <mergeCell ref="O867:U867"/>
    <mergeCell ref="W867:AC867"/>
    <mergeCell ref="AD867:AJ867"/>
    <mergeCell ref="AK867:AQ867"/>
    <mergeCell ref="AR867:AX867"/>
    <mergeCell ref="AY867:BE867"/>
    <mergeCell ref="BF867:BL867"/>
    <mergeCell ref="BM867:BS867"/>
    <mergeCell ref="BU867:CA867"/>
    <mergeCell ref="CB867:CH867"/>
    <mergeCell ref="CI867:CO867"/>
    <mergeCell ref="CP867:CV867"/>
    <mergeCell ref="CW867:DC867"/>
    <mergeCell ref="DD867:DJ867"/>
    <mergeCell ref="DK867:DQ867"/>
    <mergeCell ref="DR867:DX867"/>
    <mergeCell ref="DY867:EE867"/>
    <mergeCell ref="C866:N866"/>
    <mergeCell ref="O866:U866"/>
    <mergeCell ref="W866:AC866"/>
    <mergeCell ref="AD866:AJ866"/>
    <mergeCell ref="AK866:AQ866"/>
    <mergeCell ref="AR866:AX866"/>
    <mergeCell ref="AY866:BE866"/>
    <mergeCell ref="BF866:BL866"/>
    <mergeCell ref="BM866:BS866"/>
    <mergeCell ref="BU866:CA866"/>
    <mergeCell ref="CB866:CH866"/>
    <mergeCell ref="CI866:CO866"/>
    <mergeCell ref="CP866:CV866"/>
    <mergeCell ref="CW866:DC866"/>
    <mergeCell ref="DD866:DJ866"/>
    <mergeCell ref="DK866:DQ866"/>
    <mergeCell ref="DR866:DX866"/>
    <mergeCell ref="DY864:EE864"/>
    <mergeCell ref="C865:N865"/>
    <mergeCell ref="O865:U865"/>
    <mergeCell ref="W865:AC865"/>
    <mergeCell ref="AD865:AJ865"/>
    <mergeCell ref="AK865:AQ865"/>
    <mergeCell ref="AR865:AX865"/>
    <mergeCell ref="AY865:BE865"/>
    <mergeCell ref="BF865:BL865"/>
    <mergeCell ref="BM865:BS865"/>
    <mergeCell ref="BU865:CA865"/>
    <mergeCell ref="CB865:CH865"/>
    <mergeCell ref="CI865:CO865"/>
    <mergeCell ref="CP865:CV865"/>
    <mergeCell ref="CW865:DC865"/>
    <mergeCell ref="DD865:DJ865"/>
    <mergeCell ref="DK865:DQ865"/>
    <mergeCell ref="DR865:DX865"/>
    <mergeCell ref="DY865:EE865"/>
    <mergeCell ref="C864:N864"/>
    <mergeCell ref="O864:U864"/>
    <mergeCell ref="W864:AC864"/>
    <mergeCell ref="AD864:AJ864"/>
    <mergeCell ref="AK864:AQ864"/>
    <mergeCell ref="AR864:AX864"/>
    <mergeCell ref="AY864:BE864"/>
    <mergeCell ref="BF864:BL864"/>
    <mergeCell ref="BM864:BS864"/>
    <mergeCell ref="BU864:CA864"/>
    <mergeCell ref="CB864:CH864"/>
    <mergeCell ref="CI864:CO864"/>
    <mergeCell ref="CP864:CV864"/>
    <mergeCell ref="CW864:DC864"/>
    <mergeCell ref="DD864:DJ864"/>
    <mergeCell ref="DK864:DQ864"/>
    <mergeCell ref="DR864:DX864"/>
    <mergeCell ref="DY862:EE862"/>
    <mergeCell ref="C863:N863"/>
    <mergeCell ref="O863:U863"/>
    <mergeCell ref="W863:AC863"/>
    <mergeCell ref="AD863:AJ863"/>
    <mergeCell ref="AK863:AQ863"/>
    <mergeCell ref="AR863:AX863"/>
    <mergeCell ref="AY863:BE863"/>
    <mergeCell ref="BF863:BL863"/>
    <mergeCell ref="BM863:BS863"/>
    <mergeCell ref="BU863:CA863"/>
    <mergeCell ref="CB863:CH863"/>
    <mergeCell ref="CI863:CO863"/>
    <mergeCell ref="CP863:CV863"/>
    <mergeCell ref="CW863:DC863"/>
    <mergeCell ref="DD863:DJ863"/>
    <mergeCell ref="DK863:DQ863"/>
    <mergeCell ref="DR863:DX863"/>
    <mergeCell ref="DY863:EE863"/>
    <mergeCell ref="C862:N862"/>
    <mergeCell ref="O862:U862"/>
    <mergeCell ref="W862:AC862"/>
    <mergeCell ref="AD862:AJ862"/>
    <mergeCell ref="AK862:AQ862"/>
    <mergeCell ref="AR862:AX862"/>
    <mergeCell ref="AY862:BE862"/>
    <mergeCell ref="BF862:BL862"/>
    <mergeCell ref="BM862:BS862"/>
    <mergeCell ref="BU862:CA862"/>
    <mergeCell ref="CB862:CH862"/>
    <mergeCell ref="CI862:CO862"/>
    <mergeCell ref="CP862:CV862"/>
    <mergeCell ref="CW862:DC862"/>
    <mergeCell ref="DD862:DJ862"/>
    <mergeCell ref="DK862:DQ862"/>
    <mergeCell ref="DR862:DX862"/>
    <mergeCell ref="DY860:EE860"/>
    <mergeCell ref="C861:N861"/>
    <mergeCell ref="O861:U861"/>
    <mergeCell ref="W861:AC861"/>
    <mergeCell ref="AD861:AJ861"/>
    <mergeCell ref="AK861:AQ861"/>
    <mergeCell ref="AR861:AX861"/>
    <mergeCell ref="AY861:BE861"/>
    <mergeCell ref="BF861:BL861"/>
    <mergeCell ref="BM861:BS861"/>
    <mergeCell ref="BU861:CA861"/>
    <mergeCell ref="CB861:CH861"/>
    <mergeCell ref="CI861:CO861"/>
    <mergeCell ref="CP861:CV861"/>
    <mergeCell ref="CW861:DC861"/>
    <mergeCell ref="DD861:DJ861"/>
    <mergeCell ref="DK861:DQ861"/>
    <mergeCell ref="DR861:DX861"/>
    <mergeCell ref="DY861:EE861"/>
    <mergeCell ref="C860:N860"/>
    <mergeCell ref="O860:U860"/>
    <mergeCell ref="W860:AC860"/>
    <mergeCell ref="AD860:AJ860"/>
    <mergeCell ref="AK860:AQ860"/>
    <mergeCell ref="AR860:AX860"/>
    <mergeCell ref="AY860:BE860"/>
    <mergeCell ref="BF860:BL860"/>
    <mergeCell ref="BM860:BS860"/>
    <mergeCell ref="BU860:CA860"/>
    <mergeCell ref="CB860:CH860"/>
    <mergeCell ref="CI860:CO860"/>
    <mergeCell ref="CP860:CV860"/>
    <mergeCell ref="CW860:DC860"/>
    <mergeCell ref="DD860:DJ860"/>
    <mergeCell ref="DK860:DQ860"/>
    <mergeCell ref="DR860:DX860"/>
    <mergeCell ref="C857:EE857"/>
    <mergeCell ref="C858:N859"/>
    <mergeCell ref="O858:U858"/>
    <mergeCell ref="W858:BS858"/>
    <mergeCell ref="BU858:EE858"/>
    <mergeCell ref="O859:U859"/>
    <mergeCell ref="W859:AC859"/>
    <mergeCell ref="AD859:AJ859"/>
    <mergeCell ref="AK859:AQ859"/>
    <mergeCell ref="AR859:AX859"/>
    <mergeCell ref="AY859:BE859"/>
    <mergeCell ref="BF859:BL859"/>
    <mergeCell ref="BM859:BS859"/>
    <mergeCell ref="BU859:CA859"/>
    <mergeCell ref="CB859:CH859"/>
    <mergeCell ref="CI859:CO859"/>
    <mergeCell ref="CP859:CV859"/>
    <mergeCell ref="CW859:DC859"/>
    <mergeCell ref="DD859:DJ859"/>
    <mergeCell ref="DK859:DQ859"/>
    <mergeCell ref="DR859:DX859"/>
    <mergeCell ref="DY859:EE859"/>
    <mergeCell ref="DY854:EE854"/>
    <mergeCell ref="C855:N855"/>
    <mergeCell ref="O855:U855"/>
    <mergeCell ref="W855:AC855"/>
    <mergeCell ref="AD855:AJ855"/>
    <mergeCell ref="AK855:AQ855"/>
    <mergeCell ref="AR855:AX855"/>
    <mergeCell ref="AY855:BE855"/>
    <mergeCell ref="BF855:BL855"/>
    <mergeCell ref="BM855:BS855"/>
    <mergeCell ref="BU855:CA855"/>
    <mergeCell ref="CB855:CH855"/>
    <mergeCell ref="CI855:CO855"/>
    <mergeCell ref="CP855:CV855"/>
    <mergeCell ref="CW855:DC855"/>
    <mergeCell ref="DD855:DJ855"/>
    <mergeCell ref="DK855:DQ855"/>
    <mergeCell ref="DR855:DX855"/>
    <mergeCell ref="DY855:EE855"/>
    <mergeCell ref="C854:N854"/>
    <mergeCell ref="O854:U854"/>
    <mergeCell ref="W854:AC854"/>
    <mergeCell ref="AD854:AJ854"/>
    <mergeCell ref="AK854:AQ854"/>
    <mergeCell ref="AR854:AX854"/>
    <mergeCell ref="AY854:BE854"/>
    <mergeCell ref="BF854:BL854"/>
    <mergeCell ref="BM854:BS854"/>
    <mergeCell ref="BU854:CA854"/>
    <mergeCell ref="CB854:CH854"/>
    <mergeCell ref="CI854:CO854"/>
    <mergeCell ref="CP854:CV854"/>
    <mergeCell ref="CW854:DC854"/>
    <mergeCell ref="DD854:DJ854"/>
    <mergeCell ref="DK854:DQ854"/>
    <mergeCell ref="DR854:DX854"/>
    <mergeCell ref="DY852:EE852"/>
    <mergeCell ref="C853:N853"/>
    <mergeCell ref="O853:U853"/>
    <mergeCell ref="W853:AC853"/>
    <mergeCell ref="AD853:AJ853"/>
    <mergeCell ref="AK853:AQ853"/>
    <mergeCell ref="AR853:AX853"/>
    <mergeCell ref="AY853:BE853"/>
    <mergeCell ref="BF853:BL853"/>
    <mergeCell ref="BM853:BS853"/>
    <mergeCell ref="BU853:CA853"/>
    <mergeCell ref="CB853:CH853"/>
    <mergeCell ref="CI853:CO853"/>
    <mergeCell ref="CP853:CV853"/>
    <mergeCell ref="CW853:DC853"/>
    <mergeCell ref="DD853:DJ853"/>
    <mergeCell ref="DK853:DQ853"/>
    <mergeCell ref="DR853:DX853"/>
    <mergeCell ref="DY853:EE853"/>
    <mergeCell ref="C852:N852"/>
    <mergeCell ref="O852:U852"/>
    <mergeCell ref="W852:AC852"/>
    <mergeCell ref="AD852:AJ852"/>
    <mergeCell ref="AK852:AQ852"/>
    <mergeCell ref="AR852:AX852"/>
    <mergeCell ref="AY852:BE852"/>
    <mergeCell ref="BF852:BL852"/>
    <mergeCell ref="BM852:BS852"/>
    <mergeCell ref="BU852:CA852"/>
    <mergeCell ref="CB852:CH852"/>
    <mergeCell ref="CI852:CO852"/>
    <mergeCell ref="CP852:CV852"/>
    <mergeCell ref="CW852:DC852"/>
    <mergeCell ref="DD852:DJ852"/>
    <mergeCell ref="DK852:DQ852"/>
    <mergeCell ref="DR852:DX852"/>
    <mergeCell ref="DY850:EE850"/>
    <mergeCell ref="C851:N851"/>
    <mergeCell ref="O851:U851"/>
    <mergeCell ref="W851:AC851"/>
    <mergeCell ref="AD851:AJ851"/>
    <mergeCell ref="AK851:AQ851"/>
    <mergeCell ref="AR851:AX851"/>
    <mergeCell ref="AY851:BE851"/>
    <mergeCell ref="BF851:BL851"/>
    <mergeCell ref="BM851:BS851"/>
    <mergeCell ref="BU851:CA851"/>
    <mergeCell ref="CB851:CH851"/>
    <mergeCell ref="CI851:CO851"/>
    <mergeCell ref="CP851:CV851"/>
    <mergeCell ref="CW851:DC851"/>
    <mergeCell ref="DD851:DJ851"/>
    <mergeCell ref="DK851:DQ851"/>
    <mergeCell ref="DR851:DX851"/>
    <mergeCell ref="DY849:EE849"/>
    <mergeCell ref="C848:N848"/>
    <mergeCell ref="O848:U848"/>
    <mergeCell ref="W848:AC848"/>
    <mergeCell ref="AD848:AJ848"/>
    <mergeCell ref="AK848:AQ848"/>
    <mergeCell ref="AR848:AX848"/>
    <mergeCell ref="AY848:BE848"/>
    <mergeCell ref="BF848:BL848"/>
    <mergeCell ref="BM848:BS848"/>
    <mergeCell ref="BU848:CA848"/>
    <mergeCell ref="CB848:CH848"/>
    <mergeCell ref="CI848:CO848"/>
    <mergeCell ref="CP848:CV848"/>
    <mergeCell ref="DY851:EE851"/>
    <mergeCell ref="C850:N850"/>
    <mergeCell ref="O850:U850"/>
    <mergeCell ref="W850:AC850"/>
    <mergeCell ref="AD850:AJ850"/>
    <mergeCell ref="AK850:AQ850"/>
    <mergeCell ref="AR850:AX850"/>
    <mergeCell ref="AY850:BE850"/>
    <mergeCell ref="BF850:BL850"/>
    <mergeCell ref="BM850:BS850"/>
    <mergeCell ref="BU850:CA850"/>
    <mergeCell ref="CB850:CH850"/>
    <mergeCell ref="CI850:CO850"/>
    <mergeCell ref="CP850:CV850"/>
    <mergeCell ref="CW850:DC850"/>
    <mergeCell ref="DD850:DJ850"/>
    <mergeCell ref="DK850:DQ850"/>
    <mergeCell ref="DR850:DX850"/>
    <mergeCell ref="C849:N849"/>
    <mergeCell ref="O849:U849"/>
    <mergeCell ref="W849:AC849"/>
    <mergeCell ref="AD849:AJ849"/>
    <mergeCell ref="AK849:AQ849"/>
    <mergeCell ref="AR849:AX849"/>
    <mergeCell ref="AY849:BE849"/>
    <mergeCell ref="BF849:BL849"/>
    <mergeCell ref="BM849:BS849"/>
    <mergeCell ref="BU849:CA849"/>
    <mergeCell ref="CB849:CH849"/>
    <mergeCell ref="CI849:CO849"/>
    <mergeCell ref="CP849:CV849"/>
    <mergeCell ref="CW849:DC849"/>
    <mergeCell ref="DD849:DJ849"/>
    <mergeCell ref="DK849:DQ849"/>
    <mergeCell ref="DR849:DX849"/>
    <mergeCell ref="CW848:DC848"/>
    <mergeCell ref="DD848:DJ848"/>
    <mergeCell ref="DK848:DQ848"/>
    <mergeCell ref="DR848:DX848"/>
    <mergeCell ref="AR846:AX846"/>
    <mergeCell ref="AY846:BE846"/>
    <mergeCell ref="BF846:BL846"/>
    <mergeCell ref="BM846:BS846"/>
    <mergeCell ref="BU846:CA846"/>
    <mergeCell ref="CB846:CH846"/>
    <mergeCell ref="CI846:CO846"/>
    <mergeCell ref="CP846:CV846"/>
    <mergeCell ref="CW846:DC846"/>
    <mergeCell ref="DD846:DJ846"/>
    <mergeCell ref="DK846:DQ846"/>
    <mergeCell ref="DR846:DX846"/>
    <mergeCell ref="DY846:EE846"/>
    <mergeCell ref="DY847:EE847"/>
    <mergeCell ref="DY848:EE848"/>
    <mergeCell ref="C847:N847"/>
    <mergeCell ref="O847:U847"/>
    <mergeCell ref="W847:AC847"/>
    <mergeCell ref="AD847:AJ847"/>
    <mergeCell ref="AK847:AQ847"/>
    <mergeCell ref="AR847:AX847"/>
    <mergeCell ref="AY847:BE847"/>
    <mergeCell ref="BF847:BL847"/>
    <mergeCell ref="BM847:BS847"/>
    <mergeCell ref="BU847:CA847"/>
    <mergeCell ref="CB847:CH847"/>
    <mergeCell ref="CI847:CO847"/>
    <mergeCell ref="CP847:CV847"/>
    <mergeCell ref="CW847:DC847"/>
    <mergeCell ref="DD847:DJ847"/>
    <mergeCell ref="DK847:DQ847"/>
    <mergeCell ref="DR847:DX847"/>
    <mergeCell ref="DY844:EE844"/>
    <mergeCell ref="C845:N845"/>
    <mergeCell ref="O845:U845"/>
    <mergeCell ref="W845:AC845"/>
    <mergeCell ref="AD845:AJ845"/>
    <mergeCell ref="AK845:AQ845"/>
    <mergeCell ref="AR845:AX845"/>
    <mergeCell ref="AY845:BE845"/>
    <mergeCell ref="BF845:BL845"/>
    <mergeCell ref="BM845:BS845"/>
    <mergeCell ref="BU845:CA845"/>
    <mergeCell ref="CB845:CH845"/>
    <mergeCell ref="CI845:CO845"/>
    <mergeCell ref="CP845:CV845"/>
    <mergeCell ref="CW845:DC845"/>
    <mergeCell ref="DD845:DJ845"/>
    <mergeCell ref="DK845:DQ845"/>
    <mergeCell ref="DR845:DX845"/>
    <mergeCell ref="DY845:EE845"/>
    <mergeCell ref="C844:N844"/>
    <mergeCell ref="O844:U844"/>
    <mergeCell ref="W844:AC844"/>
    <mergeCell ref="AD844:AJ844"/>
    <mergeCell ref="AK844:AQ844"/>
    <mergeCell ref="AR844:AX844"/>
    <mergeCell ref="AY844:BE844"/>
    <mergeCell ref="BF844:BL844"/>
    <mergeCell ref="BM844:BS844"/>
    <mergeCell ref="BU844:CA844"/>
    <mergeCell ref="CB844:CH844"/>
    <mergeCell ref="CI844:CO844"/>
    <mergeCell ref="CP844:CV844"/>
    <mergeCell ref="CW844:DC844"/>
    <mergeCell ref="DD844:DJ844"/>
    <mergeCell ref="DK844:DQ844"/>
    <mergeCell ref="DR844:DX844"/>
    <mergeCell ref="BM842:BS842"/>
    <mergeCell ref="BU842:CA842"/>
    <mergeCell ref="CB842:CH842"/>
    <mergeCell ref="CI842:CO842"/>
    <mergeCell ref="CP842:CV842"/>
    <mergeCell ref="CW842:DC842"/>
    <mergeCell ref="DD842:DJ842"/>
    <mergeCell ref="DK842:DQ842"/>
    <mergeCell ref="DR842:DX842"/>
    <mergeCell ref="DY842:EE842"/>
    <mergeCell ref="C843:N843"/>
    <mergeCell ref="O843:U843"/>
    <mergeCell ref="W843:AC843"/>
    <mergeCell ref="AD843:AJ843"/>
    <mergeCell ref="AK843:AQ843"/>
    <mergeCell ref="AR843:AX843"/>
    <mergeCell ref="AY843:BE843"/>
    <mergeCell ref="BF843:BL843"/>
    <mergeCell ref="BM843:BS843"/>
    <mergeCell ref="BU843:CA843"/>
    <mergeCell ref="CB843:CH843"/>
    <mergeCell ref="CI843:CO843"/>
    <mergeCell ref="CP843:CV843"/>
    <mergeCell ref="CW843:DC843"/>
    <mergeCell ref="DD843:DJ843"/>
    <mergeCell ref="DK843:DQ843"/>
    <mergeCell ref="DR843:DX843"/>
    <mergeCell ref="DY843:EE843"/>
    <mergeCell ref="BU841:CA841"/>
    <mergeCell ref="CB841:CH841"/>
    <mergeCell ref="CI841:CO841"/>
    <mergeCell ref="CP841:CV841"/>
    <mergeCell ref="CW841:DC841"/>
    <mergeCell ref="DD841:DJ841"/>
    <mergeCell ref="DK841:DQ841"/>
    <mergeCell ref="DR841:DX841"/>
    <mergeCell ref="DY841:EE841"/>
    <mergeCell ref="C840:N840"/>
    <mergeCell ref="O840:U840"/>
    <mergeCell ref="W840:AC840"/>
    <mergeCell ref="AD840:AJ840"/>
    <mergeCell ref="AK840:AQ840"/>
    <mergeCell ref="AR840:AX840"/>
    <mergeCell ref="AY840:BE840"/>
    <mergeCell ref="BF840:BL840"/>
    <mergeCell ref="BM840:BS840"/>
    <mergeCell ref="BU840:CA840"/>
    <mergeCell ref="CB840:CH840"/>
    <mergeCell ref="CI840:CO840"/>
    <mergeCell ref="CP840:CV840"/>
    <mergeCell ref="DD840:DJ840"/>
    <mergeCell ref="DK840:DQ840"/>
    <mergeCell ref="DR840:DX840"/>
    <mergeCell ref="DY840:EE840"/>
    <mergeCell ref="CW840:DC840"/>
    <mergeCell ref="C841:N841"/>
    <mergeCell ref="O841:U841"/>
    <mergeCell ref="W841:AC841"/>
    <mergeCell ref="DY838:EE838"/>
    <mergeCell ref="C839:N839"/>
    <mergeCell ref="O839:U839"/>
    <mergeCell ref="W839:AC839"/>
    <mergeCell ref="AD839:AJ839"/>
    <mergeCell ref="AK839:AQ839"/>
    <mergeCell ref="AR839:AX839"/>
    <mergeCell ref="AY839:BE839"/>
    <mergeCell ref="BF839:BL839"/>
    <mergeCell ref="BM839:BS839"/>
    <mergeCell ref="BU839:CA839"/>
    <mergeCell ref="CB839:CH839"/>
    <mergeCell ref="CI839:CO839"/>
    <mergeCell ref="CP839:CV839"/>
    <mergeCell ref="CW839:DC839"/>
    <mergeCell ref="DD839:DJ839"/>
    <mergeCell ref="DK839:DQ839"/>
    <mergeCell ref="DR839:DX839"/>
    <mergeCell ref="DY839:EE839"/>
    <mergeCell ref="C838:N838"/>
    <mergeCell ref="O838:U838"/>
    <mergeCell ref="W838:AC838"/>
    <mergeCell ref="AD838:AJ838"/>
    <mergeCell ref="AK838:AQ838"/>
    <mergeCell ref="AR838:AX838"/>
    <mergeCell ref="AY838:BE838"/>
    <mergeCell ref="BF838:BL838"/>
    <mergeCell ref="BM838:BS838"/>
    <mergeCell ref="DD838:DJ838"/>
    <mergeCell ref="DK838:DQ838"/>
    <mergeCell ref="DR838:DX838"/>
    <mergeCell ref="C835:EE835"/>
    <mergeCell ref="C836:N837"/>
    <mergeCell ref="O836:U836"/>
    <mergeCell ref="W836:BS836"/>
    <mergeCell ref="BU836:EE836"/>
    <mergeCell ref="O837:U837"/>
    <mergeCell ref="W837:AC837"/>
    <mergeCell ref="AD837:AJ837"/>
    <mergeCell ref="AK837:AQ837"/>
    <mergeCell ref="AR837:AX837"/>
    <mergeCell ref="AY837:BE837"/>
    <mergeCell ref="BF837:BL837"/>
    <mergeCell ref="BM837:BS837"/>
    <mergeCell ref="BU837:CA837"/>
    <mergeCell ref="CB837:CH837"/>
    <mergeCell ref="CI837:CO837"/>
    <mergeCell ref="CP837:CV837"/>
    <mergeCell ref="CW837:DC837"/>
    <mergeCell ref="DD837:DJ837"/>
    <mergeCell ref="DK837:DQ837"/>
    <mergeCell ref="DR837:DX837"/>
    <mergeCell ref="DY837:EE837"/>
    <mergeCell ref="DY726:EE726"/>
    <mergeCell ref="C727:N727"/>
    <mergeCell ref="O727:U727"/>
    <mergeCell ref="W727:AC727"/>
    <mergeCell ref="AD727:AJ727"/>
    <mergeCell ref="AK727:AQ727"/>
    <mergeCell ref="AR727:AX727"/>
    <mergeCell ref="AY727:BE727"/>
    <mergeCell ref="BF727:BL727"/>
    <mergeCell ref="BM727:BS727"/>
    <mergeCell ref="BU727:CA727"/>
    <mergeCell ref="CB727:CH727"/>
    <mergeCell ref="CI727:CO727"/>
    <mergeCell ref="CP727:CV727"/>
    <mergeCell ref="CW727:DC727"/>
    <mergeCell ref="DD727:DJ727"/>
    <mergeCell ref="DK727:DQ727"/>
    <mergeCell ref="DR727:DX727"/>
    <mergeCell ref="DY727:EE727"/>
    <mergeCell ref="C726:N726"/>
    <mergeCell ref="O726:U726"/>
    <mergeCell ref="W726:AC726"/>
    <mergeCell ref="AD726:AJ726"/>
    <mergeCell ref="AK726:AQ726"/>
    <mergeCell ref="AR726:AX726"/>
    <mergeCell ref="AY726:BE726"/>
    <mergeCell ref="BF726:BL726"/>
    <mergeCell ref="BM726:BS726"/>
    <mergeCell ref="BU726:CA726"/>
    <mergeCell ref="CB726:CH726"/>
    <mergeCell ref="CI726:CO726"/>
    <mergeCell ref="CP726:CV726"/>
    <mergeCell ref="CW726:DC726"/>
    <mergeCell ref="DD726:DJ726"/>
    <mergeCell ref="DK726:DQ726"/>
    <mergeCell ref="DR726:DX726"/>
    <mergeCell ref="DY724:EE724"/>
    <mergeCell ref="C725:N725"/>
    <mergeCell ref="O725:U725"/>
    <mergeCell ref="W725:AC725"/>
    <mergeCell ref="AD725:AJ725"/>
    <mergeCell ref="AK725:AQ725"/>
    <mergeCell ref="AR725:AX725"/>
    <mergeCell ref="AY725:BE725"/>
    <mergeCell ref="BF725:BL725"/>
    <mergeCell ref="BM725:BS725"/>
    <mergeCell ref="BU725:CA725"/>
    <mergeCell ref="CB725:CH725"/>
    <mergeCell ref="CI725:CO725"/>
    <mergeCell ref="CP725:CV725"/>
    <mergeCell ref="CW725:DC725"/>
    <mergeCell ref="DD725:DJ725"/>
    <mergeCell ref="DK725:DQ725"/>
    <mergeCell ref="DR725:DX725"/>
    <mergeCell ref="DY725:EE725"/>
    <mergeCell ref="C724:N724"/>
    <mergeCell ref="O724:U724"/>
    <mergeCell ref="W724:AC724"/>
    <mergeCell ref="AD724:AJ724"/>
    <mergeCell ref="AK724:AQ724"/>
    <mergeCell ref="AR724:AX724"/>
    <mergeCell ref="AY724:BE724"/>
    <mergeCell ref="BF724:BL724"/>
    <mergeCell ref="BM724:BS724"/>
    <mergeCell ref="BU724:CA724"/>
    <mergeCell ref="CB724:CH724"/>
    <mergeCell ref="CI724:CO724"/>
    <mergeCell ref="CP724:CV724"/>
    <mergeCell ref="CW724:DC724"/>
    <mergeCell ref="DD724:DJ724"/>
    <mergeCell ref="DK724:DQ724"/>
    <mergeCell ref="DR724:DX724"/>
    <mergeCell ref="DY722:EE722"/>
    <mergeCell ref="C723:N723"/>
    <mergeCell ref="O723:U723"/>
    <mergeCell ref="W723:AC723"/>
    <mergeCell ref="AD723:AJ723"/>
    <mergeCell ref="AK723:AQ723"/>
    <mergeCell ref="AR723:AX723"/>
    <mergeCell ref="AY723:BE723"/>
    <mergeCell ref="BF723:BL723"/>
    <mergeCell ref="BM723:BS723"/>
    <mergeCell ref="BU723:CA723"/>
    <mergeCell ref="CB723:CH723"/>
    <mergeCell ref="CI723:CO723"/>
    <mergeCell ref="CP723:CV723"/>
    <mergeCell ref="CW723:DC723"/>
    <mergeCell ref="DD723:DJ723"/>
    <mergeCell ref="DK723:DQ723"/>
    <mergeCell ref="DR723:DX723"/>
    <mergeCell ref="DY723:EE723"/>
    <mergeCell ref="C722:N722"/>
    <mergeCell ref="O722:U722"/>
    <mergeCell ref="W722:AC722"/>
    <mergeCell ref="AD722:AJ722"/>
    <mergeCell ref="AK722:AQ722"/>
    <mergeCell ref="AR722:AX722"/>
    <mergeCell ref="AY722:BE722"/>
    <mergeCell ref="BF722:BL722"/>
    <mergeCell ref="BM722:BS722"/>
    <mergeCell ref="BU722:CA722"/>
    <mergeCell ref="CB722:CH722"/>
    <mergeCell ref="CI722:CO722"/>
    <mergeCell ref="CP722:CV722"/>
    <mergeCell ref="CW722:DC722"/>
    <mergeCell ref="DD722:DJ722"/>
    <mergeCell ref="DK722:DQ722"/>
    <mergeCell ref="DR722:DX722"/>
    <mergeCell ref="DY720:EE720"/>
    <mergeCell ref="C721:N721"/>
    <mergeCell ref="O721:U721"/>
    <mergeCell ref="W721:AC721"/>
    <mergeCell ref="AD721:AJ721"/>
    <mergeCell ref="AK721:AQ721"/>
    <mergeCell ref="AR721:AX721"/>
    <mergeCell ref="AY721:BE721"/>
    <mergeCell ref="BF721:BL721"/>
    <mergeCell ref="BM721:BS721"/>
    <mergeCell ref="BU721:CA721"/>
    <mergeCell ref="CB721:CH721"/>
    <mergeCell ref="CI721:CO721"/>
    <mergeCell ref="CP721:CV721"/>
    <mergeCell ref="CW721:DC721"/>
    <mergeCell ref="DD721:DJ721"/>
    <mergeCell ref="DK721:DQ721"/>
    <mergeCell ref="DR721:DX721"/>
    <mergeCell ref="DY721:EE721"/>
    <mergeCell ref="C720:N720"/>
    <mergeCell ref="O720:U720"/>
    <mergeCell ref="W720:AC720"/>
    <mergeCell ref="AD720:AJ720"/>
    <mergeCell ref="AK720:AQ720"/>
    <mergeCell ref="AR720:AX720"/>
    <mergeCell ref="AY720:BE720"/>
    <mergeCell ref="BF720:BL720"/>
    <mergeCell ref="BM720:BS720"/>
    <mergeCell ref="BU720:CA720"/>
    <mergeCell ref="CB720:CH720"/>
    <mergeCell ref="CI720:CO720"/>
    <mergeCell ref="CP720:CV720"/>
    <mergeCell ref="CW720:DC720"/>
    <mergeCell ref="DD720:DJ720"/>
    <mergeCell ref="DK720:DQ720"/>
    <mergeCell ref="DR720:DX720"/>
    <mergeCell ref="DY718:EE718"/>
    <mergeCell ref="DY719:EE719"/>
    <mergeCell ref="C719:N719"/>
    <mergeCell ref="O719:U719"/>
    <mergeCell ref="W719:AC719"/>
    <mergeCell ref="AD719:AJ719"/>
    <mergeCell ref="AK719:AQ719"/>
    <mergeCell ref="AR719:AX719"/>
    <mergeCell ref="AY719:BE719"/>
    <mergeCell ref="BF719:BL719"/>
    <mergeCell ref="BM719:BS719"/>
    <mergeCell ref="BU719:CA719"/>
    <mergeCell ref="CB719:CH719"/>
    <mergeCell ref="CI719:CO719"/>
    <mergeCell ref="CP719:CV719"/>
    <mergeCell ref="CW719:DC719"/>
    <mergeCell ref="DD719:DJ719"/>
    <mergeCell ref="DK719:DQ719"/>
    <mergeCell ref="DR719:DX719"/>
    <mergeCell ref="C718:N718"/>
    <mergeCell ref="O718:U718"/>
    <mergeCell ref="W718:AC718"/>
    <mergeCell ref="AD718:AJ718"/>
    <mergeCell ref="AK718:AQ718"/>
    <mergeCell ref="AR718:AX718"/>
    <mergeCell ref="AY718:BE718"/>
    <mergeCell ref="BF718:BL718"/>
    <mergeCell ref="BM718:BS718"/>
    <mergeCell ref="BU718:CA718"/>
    <mergeCell ref="CB718:CH718"/>
    <mergeCell ref="CI718:CO718"/>
    <mergeCell ref="CP718:CV718"/>
    <mergeCell ref="CW718:DC718"/>
    <mergeCell ref="DD718:DJ718"/>
    <mergeCell ref="DK718:DQ718"/>
    <mergeCell ref="DR718:DX718"/>
    <mergeCell ref="DY716:EE716"/>
    <mergeCell ref="C717:N717"/>
    <mergeCell ref="O717:U717"/>
    <mergeCell ref="W717:AC717"/>
    <mergeCell ref="AD717:AJ717"/>
    <mergeCell ref="AK717:AQ717"/>
    <mergeCell ref="AR717:AX717"/>
    <mergeCell ref="AY717:BE717"/>
    <mergeCell ref="BF717:BL717"/>
    <mergeCell ref="BM717:BS717"/>
    <mergeCell ref="BU717:CA717"/>
    <mergeCell ref="CB717:CH717"/>
    <mergeCell ref="CI717:CO717"/>
    <mergeCell ref="CP717:CV717"/>
    <mergeCell ref="CW717:DC717"/>
    <mergeCell ref="DD717:DJ717"/>
    <mergeCell ref="DK717:DQ717"/>
    <mergeCell ref="DR717:DX717"/>
    <mergeCell ref="DY717:EE717"/>
    <mergeCell ref="C716:N716"/>
    <mergeCell ref="O716:U716"/>
    <mergeCell ref="W716:AC716"/>
    <mergeCell ref="AD716:AJ716"/>
    <mergeCell ref="AK716:AQ716"/>
    <mergeCell ref="AR716:AX716"/>
    <mergeCell ref="AY716:BE716"/>
    <mergeCell ref="BF716:BL716"/>
    <mergeCell ref="BM716:BS716"/>
    <mergeCell ref="BU716:CA716"/>
    <mergeCell ref="CB716:CH716"/>
    <mergeCell ref="CI716:CO716"/>
    <mergeCell ref="CP716:CV716"/>
    <mergeCell ref="CW716:DC716"/>
    <mergeCell ref="DD716:DJ716"/>
    <mergeCell ref="DK716:DQ716"/>
    <mergeCell ref="DR716:DX716"/>
    <mergeCell ref="DY714:EE714"/>
    <mergeCell ref="C715:N715"/>
    <mergeCell ref="O715:U715"/>
    <mergeCell ref="W715:AC715"/>
    <mergeCell ref="AD715:AJ715"/>
    <mergeCell ref="AK715:AQ715"/>
    <mergeCell ref="AR715:AX715"/>
    <mergeCell ref="AY715:BE715"/>
    <mergeCell ref="BF715:BL715"/>
    <mergeCell ref="BM715:BS715"/>
    <mergeCell ref="BU715:CA715"/>
    <mergeCell ref="CB715:CH715"/>
    <mergeCell ref="CI715:CO715"/>
    <mergeCell ref="CP715:CV715"/>
    <mergeCell ref="CW715:DC715"/>
    <mergeCell ref="DD715:DJ715"/>
    <mergeCell ref="DK715:DQ715"/>
    <mergeCell ref="DR715:DX715"/>
    <mergeCell ref="DY715:EE715"/>
    <mergeCell ref="C714:N714"/>
    <mergeCell ref="O714:U714"/>
    <mergeCell ref="W714:AC714"/>
    <mergeCell ref="AD714:AJ714"/>
    <mergeCell ref="AK714:AQ714"/>
    <mergeCell ref="AR714:AX714"/>
    <mergeCell ref="AY714:BE714"/>
    <mergeCell ref="BF714:BL714"/>
    <mergeCell ref="BM714:BS714"/>
    <mergeCell ref="BU714:CA714"/>
    <mergeCell ref="CB714:CH714"/>
    <mergeCell ref="CI714:CO714"/>
    <mergeCell ref="CP714:CV714"/>
    <mergeCell ref="CW714:DC714"/>
    <mergeCell ref="DD714:DJ714"/>
    <mergeCell ref="DK714:DQ714"/>
    <mergeCell ref="DR714:DX714"/>
    <mergeCell ref="DY712:EE712"/>
    <mergeCell ref="C713:N713"/>
    <mergeCell ref="O713:U713"/>
    <mergeCell ref="W713:AC713"/>
    <mergeCell ref="AD713:AJ713"/>
    <mergeCell ref="AK713:AQ713"/>
    <mergeCell ref="AR713:AX713"/>
    <mergeCell ref="AY713:BE713"/>
    <mergeCell ref="BF713:BL713"/>
    <mergeCell ref="BM713:BS713"/>
    <mergeCell ref="BU713:CA713"/>
    <mergeCell ref="CB713:CH713"/>
    <mergeCell ref="CI713:CO713"/>
    <mergeCell ref="CP713:CV713"/>
    <mergeCell ref="CW713:DC713"/>
    <mergeCell ref="DD713:DJ713"/>
    <mergeCell ref="DK713:DQ713"/>
    <mergeCell ref="DR713:DX713"/>
    <mergeCell ref="DY713:EE713"/>
    <mergeCell ref="C712:N712"/>
    <mergeCell ref="O712:U712"/>
    <mergeCell ref="W712:AC712"/>
    <mergeCell ref="AD712:AJ712"/>
    <mergeCell ref="AK712:AQ712"/>
    <mergeCell ref="AR712:AX712"/>
    <mergeCell ref="AY712:BE712"/>
    <mergeCell ref="BF712:BL712"/>
    <mergeCell ref="BM712:BS712"/>
    <mergeCell ref="BU712:CA712"/>
    <mergeCell ref="CB712:CH712"/>
    <mergeCell ref="CI712:CO712"/>
    <mergeCell ref="CP712:CV712"/>
    <mergeCell ref="CW712:DC712"/>
    <mergeCell ref="DD712:DJ712"/>
    <mergeCell ref="DK712:DQ712"/>
    <mergeCell ref="DR712:DX712"/>
    <mergeCell ref="DY710:EE710"/>
    <mergeCell ref="C711:N711"/>
    <mergeCell ref="O711:U711"/>
    <mergeCell ref="W711:AC711"/>
    <mergeCell ref="AD711:AJ711"/>
    <mergeCell ref="AK711:AQ711"/>
    <mergeCell ref="AR711:AX711"/>
    <mergeCell ref="AY711:BE711"/>
    <mergeCell ref="BF711:BL711"/>
    <mergeCell ref="BM711:BS711"/>
    <mergeCell ref="BU711:CA711"/>
    <mergeCell ref="CB711:CH711"/>
    <mergeCell ref="CI711:CO711"/>
    <mergeCell ref="CP711:CV711"/>
    <mergeCell ref="CW711:DC711"/>
    <mergeCell ref="DD711:DJ711"/>
    <mergeCell ref="DK711:DQ711"/>
    <mergeCell ref="DR711:DX711"/>
    <mergeCell ref="DY711:EE711"/>
    <mergeCell ref="C710:N710"/>
    <mergeCell ref="O710:U710"/>
    <mergeCell ref="W710:AC710"/>
    <mergeCell ref="AD710:AJ710"/>
    <mergeCell ref="AK710:AQ710"/>
    <mergeCell ref="AR710:AX710"/>
    <mergeCell ref="AY710:BE710"/>
    <mergeCell ref="BF710:BL710"/>
    <mergeCell ref="BM710:BS710"/>
    <mergeCell ref="BU710:CA710"/>
    <mergeCell ref="CB710:CH710"/>
    <mergeCell ref="CI710:CO710"/>
    <mergeCell ref="CP710:CV710"/>
    <mergeCell ref="CW710:DC710"/>
    <mergeCell ref="DD710:DJ710"/>
    <mergeCell ref="DK710:DQ710"/>
    <mergeCell ref="DR710:DX710"/>
    <mergeCell ref="C707:EE707"/>
    <mergeCell ref="C708:N709"/>
    <mergeCell ref="O708:U708"/>
    <mergeCell ref="W708:BS708"/>
    <mergeCell ref="BU708:EE708"/>
    <mergeCell ref="O709:U709"/>
    <mergeCell ref="W709:AC709"/>
    <mergeCell ref="AD709:AJ709"/>
    <mergeCell ref="AK709:AQ709"/>
    <mergeCell ref="AR709:AX709"/>
    <mergeCell ref="AY709:BE709"/>
    <mergeCell ref="BF709:BL709"/>
    <mergeCell ref="BM709:BS709"/>
    <mergeCell ref="BU709:CA709"/>
    <mergeCell ref="CB709:CH709"/>
    <mergeCell ref="CI709:CO709"/>
    <mergeCell ref="CP709:CV709"/>
    <mergeCell ref="CW709:DC709"/>
    <mergeCell ref="DD709:DJ709"/>
    <mergeCell ref="DK709:DQ709"/>
    <mergeCell ref="DR709:DX709"/>
    <mergeCell ref="DY709:EE709"/>
    <mergeCell ref="DY704:EE704"/>
    <mergeCell ref="C705:N705"/>
    <mergeCell ref="O705:U705"/>
    <mergeCell ref="W705:AC705"/>
    <mergeCell ref="AD705:AJ705"/>
    <mergeCell ref="AK705:AQ705"/>
    <mergeCell ref="AR705:AX705"/>
    <mergeCell ref="AY705:BE705"/>
    <mergeCell ref="BF705:BL705"/>
    <mergeCell ref="BM705:BS705"/>
    <mergeCell ref="BU705:CA705"/>
    <mergeCell ref="CB705:CH705"/>
    <mergeCell ref="CI705:CO705"/>
    <mergeCell ref="CP705:CV705"/>
    <mergeCell ref="CW705:DC705"/>
    <mergeCell ref="DD705:DJ705"/>
    <mergeCell ref="DK705:DQ705"/>
    <mergeCell ref="DR705:DX705"/>
    <mergeCell ref="DY705:EE705"/>
    <mergeCell ref="C704:N704"/>
    <mergeCell ref="O704:U704"/>
    <mergeCell ref="W704:AC704"/>
    <mergeCell ref="AD704:AJ704"/>
    <mergeCell ref="AK704:AQ704"/>
    <mergeCell ref="AR704:AX704"/>
    <mergeCell ref="AY704:BE704"/>
    <mergeCell ref="BF704:BL704"/>
    <mergeCell ref="BM704:BS704"/>
    <mergeCell ref="BU704:CA704"/>
    <mergeCell ref="CB704:CH704"/>
    <mergeCell ref="CI704:CO704"/>
    <mergeCell ref="CP704:CV704"/>
    <mergeCell ref="CW704:DC704"/>
    <mergeCell ref="DD704:DJ704"/>
    <mergeCell ref="DK704:DQ704"/>
    <mergeCell ref="DR704:DX704"/>
    <mergeCell ref="DY702:EE702"/>
    <mergeCell ref="C703:N703"/>
    <mergeCell ref="O703:U703"/>
    <mergeCell ref="W703:AC703"/>
    <mergeCell ref="AD703:AJ703"/>
    <mergeCell ref="AK703:AQ703"/>
    <mergeCell ref="AR703:AX703"/>
    <mergeCell ref="AY703:BE703"/>
    <mergeCell ref="BF703:BL703"/>
    <mergeCell ref="BM703:BS703"/>
    <mergeCell ref="BU703:CA703"/>
    <mergeCell ref="CB703:CH703"/>
    <mergeCell ref="CI703:CO703"/>
    <mergeCell ref="CP703:CV703"/>
    <mergeCell ref="CW703:DC703"/>
    <mergeCell ref="DD703:DJ703"/>
    <mergeCell ref="DK703:DQ703"/>
    <mergeCell ref="DR703:DX703"/>
    <mergeCell ref="DY703:EE703"/>
    <mergeCell ref="C702:N702"/>
    <mergeCell ref="O702:U702"/>
    <mergeCell ref="W702:AC702"/>
    <mergeCell ref="AD702:AJ702"/>
    <mergeCell ref="AK702:AQ702"/>
    <mergeCell ref="AR702:AX702"/>
    <mergeCell ref="AY702:BE702"/>
    <mergeCell ref="BF702:BL702"/>
    <mergeCell ref="BM702:BS702"/>
    <mergeCell ref="BU702:CA702"/>
    <mergeCell ref="CB702:CH702"/>
    <mergeCell ref="CI702:CO702"/>
    <mergeCell ref="CP702:CV702"/>
    <mergeCell ref="CW702:DC702"/>
    <mergeCell ref="DD702:DJ702"/>
    <mergeCell ref="DK702:DQ702"/>
    <mergeCell ref="DR702:DX702"/>
    <mergeCell ref="DY700:EE700"/>
    <mergeCell ref="C701:N701"/>
    <mergeCell ref="O701:U701"/>
    <mergeCell ref="W701:AC701"/>
    <mergeCell ref="AD701:AJ701"/>
    <mergeCell ref="AK701:AQ701"/>
    <mergeCell ref="AR701:AX701"/>
    <mergeCell ref="AY701:BE701"/>
    <mergeCell ref="BF701:BL701"/>
    <mergeCell ref="BM701:BS701"/>
    <mergeCell ref="BU701:CA701"/>
    <mergeCell ref="CB701:CH701"/>
    <mergeCell ref="CI701:CO701"/>
    <mergeCell ref="CP701:CV701"/>
    <mergeCell ref="CW701:DC701"/>
    <mergeCell ref="DD701:DJ701"/>
    <mergeCell ref="DK701:DQ701"/>
    <mergeCell ref="DR701:DX701"/>
    <mergeCell ref="DY699:EE699"/>
    <mergeCell ref="C698:N698"/>
    <mergeCell ref="O698:U698"/>
    <mergeCell ref="W698:AC698"/>
    <mergeCell ref="AD698:AJ698"/>
    <mergeCell ref="AK698:AQ698"/>
    <mergeCell ref="AR698:AX698"/>
    <mergeCell ref="AY698:BE698"/>
    <mergeCell ref="BF698:BL698"/>
    <mergeCell ref="BM698:BS698"/>
    <mergeCell ref="BU698:CA698"/>
    <mergeCell ref="CB698:CH698"/>
    <mergeCell ref="CI698:CO698"/>
    <mergeCell ref="CP698:CV698"/>
    <mergeCell ref="DY701:EE701"/>
    <mergeCell ref="C700:N700"/>
    <mergeCell ref="O700:U700"/>
    <mergeCell ref="W700:AC700"/>
    <mergeCell ref="AD700:AJ700"/>
    <mergeCell ref="AK700:AQ700"/>
    <mergeCell ref="AR700:AX700"/>
    <mergeCell ref="AY700:BE700"/>
    <mergeCell ref="BF700:BL700"/>
    <mergeCell ref="BM700:BS700"/>
    <mergeCell ref="BU700:CA700"/>
    <mergeCell ref="CB700:CH700"/>
    <mergeCell ref="CI700:CO700"/>
    <mergeCell ref="CP700:CV700"/>
    <mergeCell ref="CW700:DC700"/>
    <mergeCell ref="DD700:DJ700"/>
    <mergeCell ref="DK700:DQ700"/>
    <mergeCell ref="DR700:DX700"/>
    <mergeCell ref="C699:N699"/>
    <mergeCell ref="O699:U699"/>
    <mergeCell ref="W699:AC699"/>
    <mergeCell ref="AD699:AJ699"/>
    <mergeCell ref="AK699:AQ699"/>
    <mergeCell ref="AR699:AX699"/>
    <mergeCell ref="AY699:BE699"/>
    <mergeCell ref="BF699:BL699"/>
    <mergeCell ref="BM699:BS699"/>
    <mergeCell ref="BU699:CA699"/>
    <mergeCell ref="CB699:CH699"/>
    <mergeCell ref="CI699:CO699"/>
    <mergeCell ref="CP699:CV699"/>
    <mergeCell ref="CW699:DC699"/>
    <mergeCell ref="DD699:DJ699"/>
    <mergeCell ref="DK699:DQ699"/>
    <mergeCell ref="DR699:DX699"/>
    <mergeCell ref="CW698:DC698"/>
    <mergeCell ref="DD698:DJ698"/>
    <mergeCell ref="DK698:DQ698"/>
    <mergeCell ref="DR698:DX698"/>
    <mergeCell ref="AR696:AX696"/>
    <mergeCell ref="AY696:BE696"/>
    <mergeCell ref="BF696:BL696"/>
    <mergeCell ref="BM696:BS696"/>
    <mergeCell ref="BU696:CA696"/>
    <mergeCell ref="CB696:CH696"/>
    <mergeCell ref="CI696:CO696"/>
    <mergeCell ref="CP696:CV696"/>
    <mergeCell ref="CW696:DC696"/>
    <mergeCell ref="DD696:DJ696"/>
    <mergeCell ref="DK696:DQ696"/>
    <mergeCell ref="DR696:DX696"/>
    <mergeCell ref="DY696:EE696"/>
    <mergeCell ref="DY697:EE697"/>
    <mergeCell ref="DY698:EE698"/>
    <mergeCell ref="C697:N697"/>
    <mergeCell ref="O697:U697"/>
    <mergeCell ref="W697:AC697"/>
    <mergeCell ref="AD697:AJ697"/>
    <mergeCell ref="AK697:AQ697"/>
    <mergeCell ref="AR697:AX697"/>
    <mergeCell ref="AY697:BE697"/>
    <mergeCell ref="BF697:BL697"/>
    <mergeCell ref="BM697:BS697"/>
    <mergeCell ref="BU697:CA697"/>
    <mergeCell ref="CB697:CH697"/>
    <mergeCell ref="CI697:CO697"/>
    <mergeCell ref="CP697:CV697"/>
    <mergeCell ref="CW697:DC697"/>
    <mergeCell ref="DD697:DJ697"/>
    <mergeCell ref="DK697:DQ697"/>
    <mergeCell ref="DR697:DX697"/>
    <mergeCell ref="DY694:EE694"/>
    <mergeCell ref="C695:N695"/>
    <mergeCell ref="O695:U695"/>
    <mergeCell ref="W695:AC695"/>
    <mergeCell ref="AD695:AJ695"/>
    <mergeCell ref="AK695:AQ695"/>
    <mergeCell ref="AR695:AX695"/>
    <mergeCell ref="AY695:BE695"/>
    <mergeCell ref="BF695:BL695"/>
    <mergeCell ref="BM695:BS695"/>
    <mergeCell ref="BU695:CA695"/>
    <mergeCell ref="CB695:CH695"/>
    <mergeCell ref="CI695:CO695"/>
    <mergeCell ref="CP695:CV695"/>
    <mergeCell ref="CW695:DC695"/>
    <mergeCell ref="DD695:DJ695"/>
    <mergeCell ref="DK695:DQ695"/>
    <mergeCell ref="DR695:DX695"/>
    <mergeCell ref="DY695:EE695"/>
    <mergeCell ref="C694:N694"/>
    <mergeCell ref="O694:U694"/>
    <mergeCell ref="W694:AC694"/>
    <mergeCell ref="AD694:AJ694"/>
    <mergeCell ref="AK694:AQ694"/>
    <mergeCell ref="AR694:AX694"/>
    <mergeCell ref="AY694:BE694"/>
    <mergeCell ref="BF694:BL694"/>
    <mergeCell ref="BM694:BS694"/>
    <mergeCell ref="BU694:CA694"/>
    <mergeCell ref="CB694:CH694"/>
    <mergeCell ref="CI694:CO694"/>
    <mergeCell ref="CP694:CV694"/>
    <mergeCell ref="CW694:DC694"/>
    <mergeCell ref="DD694:DJ694"/>
    <mergeCell ref="DK694:DQ694"/>
    <mergeCell ref="DR694:DX694"/>
    <mergeCell ref="BM692:BS692"/>
    <mergeCell ref="BU692:CA692"/>
    <mergeCell ref="CB692:CH692"/>
    <mergeCell ref="CI692:CO692"/>
    <mergeCell ref="CP692:CV692"/>
    <mergeCell ref="CW692:DC692"/>
    <mergeCell ref="DD692:DJ692"/>
    <mergeCell ref="DK692:DQ692"/>
    <mergeCell ref="DR692:DX692"/>
    <mergeCell ref="DY692:EE692"/>
    <mergeCell ref="C693:N693"/>
    <mergeCell ref="O693:U693"/>
    <mergeCell ref="W693:AC693"/>
    <mergeCell ref="AD693:AJ693"/>
    <mergeCell ref="AK693:AQ693"/>
    <mergeCell ref="AR693:AX693"/>
    <mergeCell ref="AY693:BE693"/>
    <mergeCell ref="BF693:BL693"/>
    <mergeCell ref="BM693:BS693"/>
    <mergeCell ref="BU693:CA693"/>
    <mergeCell ref="CB693:CH693"/>
    <mergeCell ref="CI693:CO693"/>
    <mergeCell ref="CP693:CV693"/>
    <mergeCell ref="CW693:DC693"/>
    <mergeCell ref="DD693:DJ693"/>
    <mergeCell ref="DK693:DQ693"/>
    <mergeCell ref="DR693:DX693"/>
    <mergeCell ref="DY693:EE693"/>
    <mergeCell ref="BU691:CA691"/>
    <mergeCell ref="CB691:CH691"/>
    <mergeCell ref="CI691:CO691"/>
    <mergeCell ref="CP691:CV691"/>
    <mergeCell ref="CW691:DC691"/>
    <mergeCell ref="DD691:DJ691"/>
    <mergeCell ref="DK691:DQ691"/>
    <mergeCell ref="DR691:DX691"/>
    <mergeCell ref="DY691:EE691"/>
    <mergeCell ref="C690:N690"/>
    <mergeCell ref="O690:U690"/>
    <mergeCell ref="W690:AC690"/>
    <mergeCell ref="AD690:AJ690"/>
    <mergeCell ref="AK690:AQ690"/>
    <mergeCell ref="AR690:AX690"/>
    <mergeCell ref="AY690:BE690"/>
    <mergeCell ref="BF690:BL690"/>
    <mergeCell ref="BM690:BS690"/>
    <mergeCell ref="BU690:CA690"/>
    <mergeCell ref="CB690:CH690"/>
    <mergeCell ref="CI690:CO690"/>
    <mergeCell ref="CP690:CV690"/>
    <mergeCell ref="DD690:DJ690"/>
    <mergeCell ref="DK690:DQ690"/>
    <mergeCell ref="DR690:DX690"/>
    <mergeCell ref="DY690:EE690"/>
    <mergeCell ref="DY688:EE688"/>
    <mergeCell ref="C689:N689"/>
    <mergeCell ref="O689:U689"/>
    <mergeCell ref="W689:AC689"/>
    <mergeCell ref="AD689:AJ689"/>
    <mergeCell ref="AK689:AQ689"/>
    <mergeCell ref="AR689:AX689"/>
    <mergeCell ref="AY689:BE689"/>
    <mergeCell ref="BF689:BL689"/>
    <mergeCell ref="BM689:BS689"/>
    <mergeCell ref="BU689:CA689"/>
    <mergeCell ref="CB689:CH689"/>
    <mergeCell ref="CI689:CO689"/>
    <mergeCell ref="CP689:CV689"/>
    <mergeCell ref="CW689:DC689"/>
    <mergeCell ref="DD689:DJ689"/>
    <mergeCell ref="DK689:DQ689"/>
    <mergeCell ref="DR689:DX689"/>
    <mergeCell ref="DY689:EE689"/>
    <mergeCell ref="C688:N688"/>
    <mergeCell ref="O688:U688"/>
    <mergeCell ref="W688:AC688"/>
    <mergeCell ref="AD688:AJ688"/>
    <mergeCell ref="AK688:AQ688"/>
    <mergeCell ref="AR688:AX688"/>
    <mergeCell ref="AY688:BE688"/>
    <mergeCell ref="BF688:BL688"/>
    <mergeCell ref="BM688:BS688"/>
    <mergeCell ref="DD688:DJ688"/>
    <mergeCell ref="DK688:DQ688"/>
    <mergeCell ref="DR688:DX688"/>
    <mergeCell ref="C685:EE685"/>
    <mergeCell ref="C686:N687"/>
    <mergeCell ref="O686:U686"/>
    <mergeCell ref="W686:BS686"/>
    <mergeCell ref="BU686:EE686"/>
    <mergeCell ref="O687:U687"/>
    <mergeCell ref="W687:AC687"/>
    <mergeCell ref="AD687:AJ687"/>
    <mergeCell ref="AK687:AQ687"/>
    <mergeCell ref="AR687:AX687"/>
    <mergeCell ref="AY687:BE687"/>
    <mergeCell ref="BF687:BL687"/>
    <mergeCell ref="BM687:BS687"/>
    <mergeCell ref="BU687:CA687"/>
    <mergeCell ref="CB687:CH687"/>
    <mergeCell ref="CI687:CO687"/>
    <mergeCell ref="CP687:CV687"/>
    <mergeCell ref="CW687:DC687"/>
    <mergeCell ref="DD687:DJ687"/>
    <mergeCell ref="DK687:DQ687"/>
    <mergeCell ref="DR687:DX687"/>
    <mergeCell ref="DY687:EE687"/>
    <mergeCell ref="DY576:EE576"/>
    <mergeCell ref="C577:N577"/>
    <mergeCell ref="O577:U577"/>
    <mergeCell ref="W577:AC577"/>
    <mergeCell ref="AD577:AJ577"/>
    <mergeCell ref="AK577:AQ577"/>
    <mergeCell ref="AR577:AX577"/>
    <mergeCell ref="AY577:BE577"/>
    <mergeCell ref="BF577:BL577"/>
    <mergeCell ref="BM577:BS577"/>
    <mergeCell ref="BU577:CA577"/>
    <mergeCell ref="CB577:CH577"/>
    <mergeCell ref="CI577:CO577"/>
    <mergeCell ref="CP577:CV577"/>
    <mergeCell ref="CW577:DC577"/>
    <mergeCell ref="DD577:DJ577"/>
    <mergeCell ref="DK577:DQ577"/>
    <mergeCell ref="DR577:DX577"/>
    <mergeCell ref="DY577:EE577"/>
    <mergeCell ref="C576:N576"/>
    <mergeCell ref="O576:U576"/>
    <mergeCell ref="W576:AC576"/>
    <mergeCell ref="AD576:AJ576"/>
    <mergeCell ref="AK576:AQ576"/>
    <mergeCell ref="AR576:AX576"/>
    <mergeCell ref="AY576:BE576"/>
    <mergeCell ref="BF576:BL576"/>
    <mergeCell ref="BM576:BS576"/>
    <mergeCell ref="BU576:CA576"/>
    <mergeCell ref="CB576:CH576"/>
    <mergeCell ref="CI576:CO576"/>
    <mergeCell ref="CP576:CV576"/>
    <mergeCell ref="CW576:DC576"/>
    <mergeCell ref="DD576:DJ576"/>
    <mergeCell ref="DK576:DQ576"/>
    <mergeCell ref="DR576:DX576"/>
    <mergeCell ref="DY574:EE574"/>
    <mergeCell ref="C575:N575"/>
    <mergeCell ref="O575:U575"/>
    <mergeCell ref="W575:AC575"/>
    <mergeCell ref="AD575:AJ575"/>
    <mergeCell ref="AK575:AQ575"/>
    <mergeCell ref="AR575:AX575"/>
    <mergeCell ref="AY575:BE575"/>
    <mergeCell ref="BF575:BL575"/>
    <mergeCell ref="BM575:BS575"/>
    <mergeCell ref="BU575:CA575"/>
    <mergeCell ref="CB575:CH575"/>
    <mergeCell ref="CI575:CO575"/>
    <mergeCell ref="CP575:CV575"/>
    <mergeCell ref="CW575:DC575"/>
    <mergeCell ref="DD575:DJ575"/>
    <mergeCell ref="DK575:DQ575"/>
    <mergeCell ref="DR575:DX575"/>
    <mergeCell ref="DY575:EE575"/>
    <mergeCell ref="C574:N574"/>
    <mergeCell ref="O574:U574"/>
    <mergeCell ref="W574:AC574"/>
    <mergeCell ref="AD574:AJ574"/>
    <mergeCell ref="AK574:AQ574"/>
    <mergeCell ref="AR574:AX574"/>
    <mergeCell ref="AY574:BE574"/>
    <mergeCell ref="BF574:BL574"/>
    <mergeCell ref="BM574:BS574"/>
    <mergeCell ref="BU574:CA574"/>
    <mergeCell ref="CB574:CH574"/>
    <mergeCell ref="CI574:CO574"/>
    <mergeCell ref="CP574:CV574"/>
    <mergeCell ref="CW574:DC574"/>
    <mergeCell ref="DD574:DJ574"/>
    <mergeCell ref="DK574:DQ574"/>
    <mergeCell ref="DR574:DX574"/>
    <mergeCell ref="DY572:EE572"/>
    <mergeCell ref="C573:N573"/>
    <mergeCell ref="O573:U573"/>
    <mergeCell ref="W573:AC573"/>
    <mergeCell ref="AD573:AJ573"/>
    <mergeCell ref="AK573:AQ573"/>
    <mergeCell ref="AR573:AX573"/>
    <mergeCell ref="AY573:BE573"/>
    <mergeCell ref="BF573:BL573"/>
    <mergeCell ref="BM573:BS573"/>
    <mergeCell ref="BU573:CA573"/>
    <mergeCell ref="CB573:CH573"/>
    <mergeCell ref="CI573:CO573"/>
    <mergeCell ref="CP573:CV573"/>
    <mergeCell ref="CW573:DC573"/>
    <mergeCell ref="DD573:DJ573"/>
    <mergeCell ref="DK573:DQ573"/>
    <mergeCell ref="DR573:DX573"/>
    <mergeCell ref="DY573:EE573"/>
    <mergeCell ref="C572:N572"/>
    <mergeCell ref="O572:U572"/>
    <mergeCell ref="W572:AC572"/>
    <mergeCell ref="AD572:AJ572"/>
    <mergeCell ref="AK572:AQ572"/>
    <mergeCell ref="AR572:AX572"/>
    <mergeCell ref="AY572:BE572"/>
    <mergeCell ref="BF572:BL572"/>
    <mergeCell ref="BM572:BS572"/>
    <mergeCell ref="BU572:CA572"/>
    <mergeCell ref="CB572:CH572"/>
    <mergeCell ref="CI572:CO572"/>
    <mergeCell ref="CP572:CV572"/>
    <mergeCell ref="CW572:DC572"/>
    <mergeCell ref="DD572:DJ572"/>
    <mergeCell ref="DK572:DQ572"/>
    <mergeCell ref="DR572:DX572"/>
    <mergeCell ref="DY570:EE570"/>
    <mergeCell ref="C571:N571"/>
    <mergeCell ref="O571:U571"/>
    <mergeCell ref="W571:AC571"/>
    <mergeCell ref="AD571:AJ571"/>
    <mergeCell ref="AK571:AQ571"/>
    <mergeCell ref="AR571:AX571"/>
    <mergeCell ref="AY571:BE571"/>
    <mergeCell ref="BF571:BL571"/>
    <mergeCell ref="BM571:BS571"/>
    <mergeCell ref="BU571:CA571"/>
    <mergeCell ref="CB571:CH571"/>
    <mergeCell ref="CI571:CO571"/>
    <mergeCell ref="CP571:CV571"/>
    <mergeCell ref="CW571:DC571"/>
    <mergeCell ref="DD571:DJ571"/>
    <mergeCell ref="DK571:DQ571"/>
    <mergeCell ref="DR571:DX571"/>
    <mergeCell ref="DY571:EE571"/>
    <mergeCell ref="C570:N570"/>
    <mergeCell ref="O570:U570"/>
    <mergeCell ref="W570:AC570"/>
    <mergeCell ref="AD570:AJ570"/>
    <mergeCell ref="AK570:AQ570"/>
    <mergeCell ref="AR570:AX570"/>
    <mergeCell ref="AY570:BE570"/>
    <mergeCell ref="BF570:BL570"/>
    <mergeCell ref="BM570:BS570"/>
    <mergeCell ref="BU570:CA570"/>
    <mergeCell ref="CB570:CH570"/>
    <mergeCell ref="CI570:CO570"/>
    <mergeCell ref="CP570:CV570"/>
    <mergeCell ref="CW570:DC570"/>
    <mergeCell ref="DD570:DJ570"/>
    <mergeCell ref="DK570:DQ570"/>
    <mergeCell ref="DR570:DX570"/>
    <mergeCell ref="DY568:EE568"/>
    <mergeCell ref="DY569:EE569"/>
    <mergeCell ref="C569:N569"/>
    <mergeCell ref="O569:U569"/>
    <mergeCell ref="W569:AC569"/>
    <mergeCell ref="AD569:AJ569"/>
    <mergeCell ref="AK569:AQ569"/>
    <mergeCell ref="AR569:AX569"/>
    <mergeCell ref="AY569:BE569"/>
    <mergeCell ref="BF569:BL569"/>
    <mergeCell ref="BM569:BS569"/>
    <mergeCell ref="BU569:CA569"/>
    <mergeCell ref="CB569:CH569"/>
    <mergeCell ref="CI569:CO569"/>
    <mergeCell ref="CP569:CV569"/>
    <mergeCell ref="CW569:DC569"/>
    <mergeCell ref="DD569:DJ569"/>
    <mergeCell ref="DK569:DQ569"/>
    <mergeCell ref="DR569:DX569"/>
    <mergeCell ref="C568:N568"/>
    <mergeCell ref="O568:U568"/>
    <mergeCell ref="W568:AC568"/>
    <mergeCell ref="AD568:AJ568"/>
    <mergeCell ref="AK568:AQ568"/>
    <mergeCell ref="AR568:AX568"/>
    <mergeCell ref="AY568:BE568"/>
    <mergeCell ref="BF568:BL568"/>
    <mergeCell ref="BM568:BS568"/>
    <mergeCell ref="BU568:CA568"/>
    <mergeCell ref="CB568:CH568"/>
    <mergeCell ref="CI568:CO568"/>
    <mergeCell ref="CP568:CV568"/>
    <mergeCell ref="CW568:DC568"/>
    <mergeCell ref="DD568:DJ568"/>
    <mergeCell ref="DK568:DQ568"/>
    <mergeCell ref="DR568:DX568"/>
    <mergeCell ref="DY566:EE566"/>
    <mergeCell ref="C567:N567"/>
    <mergeCell ref="O567:U567"/>
    <mergeCell ref="W567:AC567"/>
    <mergeCell ref="AD567:AJ567"/>
    <mergeCell ref="AK567:AQ567"/>
    <mergeCell ref="AR567:AX567"/>
    <mergeCell ref="AY567:BE567"/>
    <mergeCell ref="BF567:BL567"/>
    <mergeCell ref="BM567:BS567"/>
    <mergeCell ref="BU567:CA567"/>
    <mergeCell ref="CB567:CH567"/>
    <mergeCell ref="CI567:CO567"/>
    <mergeCell ref="CP567:CV567"/>
    <mergeCell ref="CW567:DC567"/>
    <mergeCell ref="DD567:DJ567"/>
    <mergeCell ref="DK567:DQ567"/>
    <mergeCell ref="DR567:DX567"/>
    <mergeCell ref="DY567:EE567"/>
    <mergeCell ref="C566:N566"/>
    <mergeCell ref="O566:U566"/>
    <mergeCell ref="W566:AC566"/>
    <mergeCell ref="AD566:AJ566"/>
    <mergeCell ref="AK566:AQ566"/>
    <mergeCell ref="AR566:AX566"/>
    <mergeCell ref="AY566:BE566"/>
    <mergeCell ref="BF566:BL566"/>
    <mergeCell ref="BM566:BS566"/>
    <mergeCell ref="BU566:CA566"/>
    <mergeCell ref="CB566:CH566"/>
    <mergeCell ref="CI566:CO566"/>
    <mergeCell ref="CP566:CV566"/>
    <mergeCell ref="CW566:DC566"/>
    <mergeCell ref="DD566:DJ566"/>
    <mergeCell ref="DK566:DQ566"/>
    <mergeCell ref="DR566:DX566"/>
    <mergeCell ref="DY564:EE564"/>
    <mergeCell ref="C565:N565"/>
    <mergeCell ref="O565:U565"/>
    <mergeCell ref="W565:AC565"/>
    <mergeCell ref="AD565:AJ565"/>
    <mergeCell ref="AK565:AQ565"/>
    <mergeCell ref="AR565:AX565"/>
    <mergeCell ref="AY565:BE565"/>
    <mergeCell ref="BF565:BL565"/>
    <mergeCell ref="BM565:BS565"/>
    <mergeCell ref="BU565:CA565"/>
    <mergeCell ref="CB565:CH565"/>
    <mergeCell ref="CI565:CO565"/>
    <mergeCell ref="CP565:CV565"/>
    <mergeCell ref="CW565:DC565"/>
    <mergeCell ref="DD565:DJ565"/>
    <mergeCell ref="DK565:DQ565"/>
    <mergeCell ref="DR565:DX565"/>
    <mergeCell ref="DY565:EE565"/>
    <mergeCell ref="C564:N564"/>
    <mergeCell ref="O564:U564"/>
    <mergeCell ref="W564:AC564"/>
    <mergeCell ref="AD564:AJ564"/>
    <mergeCell ref="AK564:AQ564"/>
    <mergeCell ref="AR564:AX564"/>
    <mergeCell ref="AY564:BE564"/>
    <mergeCell ref="BF564:BL564"/>
    <mergeCell ref="BM564:BS564"/>
    <mergeCell ref="BU564:CA564"/>
    <mergeCell ref="CB564:CH564"/>
    <mergeCell ref="CI564:CO564"/>
    <mergeCell ref="CP564:CV564"/>
    <mergeCell ref="CW564:DC564"/>
    <mergeCell ref="DD564:DJ564"/>
    <mergeCell ref="DK564:DQ564"/>
    <mergeCell ref="DR564:DX564"/>
    <mergeCell ref="DY562:EE562"/>
    <mergeCell ref="C563:N563"/>
    <mergeCell ref="O563:U563"/>
    <mergeCell ref="W563:AC563"/>
    <mergeCell ref="AD563:AJ563"/>
    <mergeCell ref="AK563:AQ563"/>
    <mergeCell ref="AR563:AX563"/>
    <mergeCell ref="AY563:BE563"/>
    <mergeCell ref="BF563:BL563"/>
    <mergeCell ref="BM563:BS563"/>
    <mergeCell ref="BU563:CA563"/>
    <mergeCell ref="CB563:CH563"/>
    <mergeCell ref="CI563:CO563"/>
    <mergeCell ref="CP563:CV563"/>
    <mergeCell ref="CW563:DC563"/>
    <mergeCell ref="DD563:DJ563"/>
    <mergeCell ref="DK563:DQ563"/>
    <mergeCell ref="DR563:DX563"/>
    <mergeCell ref="DY563:EE563"/>
    <mergeCell ref="C562:N562"/>
    <mergeCell ref="O562:U562"/>
    <mergeCell ref="W562:AC562"/>
    <mergeCell ref="AD562:AJ562"/>
    <mergeCell ref="AK562:AQ562"/>
    <mergeCell ref="AR562:AX562"/>
    <mergeCell ref="AY562:BE562"/>
    <mergeCell ref="BF562:BL562"/>
    <mergeCell ref="BM562:BS562"/>
    <mergeCell ref="BU562:CA562"/>
    <mergeCell ref="CB562:CH562"/>
    <mergeCell ref="CI562:CO562"/>
    <mergeCell ref="CP562:CV562"/>
    <mergeCell ref="CW562:DC562"/>
    <mergeCell ref="DD562:DJ562"/>
    <mergeCell ref="DK562:DQ562"/>
    <mergeCell ref="DR562:DX562"/>
    <mergeCell ref="DY560:EE560"/>
    <mergeCell ref="C561:N561"/>
    <mergeCell ref="O561:U561"/>
    <mergeCell ref="W561:AC561"/>
    <mergeCell ref="AD561:AJ561"/>
    <mergeCell ref="AK561:AQ561"/>
    <mergeCell ref="AR561:AX561"/>
    <mergeCell ref="AY561:BE561"/>
    <mergeCell ref="BF561:BL561"/>
    <mergeCell ref="BM561:BS561"/>
    <mergeCell ref="BU561:CA561"/>
    <mergeCell ref="CB561:CH561"/>
    <mergeCell ref="CI561:CO561"/>
    <mergeCell ref="CP561:CV561"/>
    <mergeCell ref="CW561:DC561"/>
    <mergeCell ref="DD561:DJ561"/>
    <mergeCell ref="DK561:DQ561"/>
    <mergeCell ref="DR561:DX561"/>
    <mergeCell ref="DY561:EE561"/>
    <mergeCell ref="C560:N560"/>
    <mergeCell ref="O560:U560"/>
    <mergeCell ref="W560:AC560"/>
    <mergeCell ref="AD560:AJ560"/>
    <mergeCell ref="AK560:AQ560"/>
    <mergeCell ref="AR560:AX560"/>
    <mergeCell ref="AY560:BE560"/>
    <mergeCell ref="BF560:BL560"/>
    <mergeCell ref="BM560:BS560"/>
    <mergeCell ref="BU560:CA560"/>
    <mergeCell ref="CB560:CH560"/>
    <mergeCell ref="CI560:CO560"/>
    <mergeCell ref="CP560:CV560"/>
    <mergeCell ref="CW560:DC560"/>
    <mergeCell ref="DD560:DJ560"/>
    <mergeCell ref="DK560:DQ560"/>
    <mergeCell ref="DR560:DX560"/>
    <mergeCell ref="C557:EE557"/>
    <mergeCell ref="C558:N559"/>
    <mergeCell ref="O558:U558"/>
    <mergeCell ref="W558:BS558"/>
    <mergeCell ref="BU558:EE558"/>
    <mergeCell ref="O559:U559"/>
    <mergeCell ref="W559:AC559"/>
    <mergeCell ref="AD559:AJ559"/>
    <mergeCell ref="AK559:AQ559"/>
    <mergeCell ref="AR559:AX559"/>
    <mergeCell ref="AY559:BE559"/>
    <mergeCell ref="BF559:BL559"/>
    <mergeCell ref="BM559:BS559"/>
    <mergeCell ref="BU559:CA559"/>
    <mergeCell ref="CB559:CH559"/>
    <mergeCell ref="CI559:CO559"/>
    <mergeCell ref="CP559:CV559"/>
    <mergeCell ref="CW559:DC559"/>
    <mergeCell ref="DD559:DJ559"/>
    <mergeCell ref="DK559:DQ559"/>
    <mergeCell ref="DR559:DX559"/>
    <mergeCell ref="DY559:EE559"/>
    <mergeCell ref="DY554:EE554"/>
    <mergeCell ref="C555:N555"/>
    <mergeCell ref="O555:U555"/>
    <mergeCell ref="W555:AC555"/>
    <mergeCell ref="AD555:AJ555"/>
    <mergeCell ref="AK555:AQ555"/>
    <mergeCell ref="AR555:AX555"/>
    <mergeCell ref="AY555:BE555"/>
    <mergeCell ref="BF555:BL555"/>
    <mergeCell ref="BM555:BS555"/>
    <mergeCell ref="BU555:CA555"/>
    <mergeCell ref="CB555:CH555"/>
    <mergeCell ref="CI555:CO555"/>
    <mergeCell ref="CP555:CV555"/>
    <mergeCell ref="CW555:DC555"/>
    <mergeCell ref="DD555:DJ555"/>
    <mergeCell ref="DK555:DQ555"/>
    <mergeCell ref="DR555:DX555"/>
    <mergeCell ref="DY555:EE555"/>
    <mergeCell ref="C554:N554"/>
    <mergeCell ref="O554:U554"/>
    <mergeCell ref="W554:AC554"/>
    <mergeCell ref="AD554:AJ554"/>
    <mergeCell ref="AK554:AQ554"/>
    <mergeCell ref="AR554:AX554"/>
    <mergeCell ref="AY554:BE554"/>
    <mergeCell ref="BF554:BL554"/>
    <mergeCell ref="BM554:BS554"/>
    <mergeCell ref="BU554:CA554"/>
    <mergeCell ref="CB554:CH554"/>
    <mergeCell ref="CI554:CO554"/>
    <mergeCell ref="CP554:CV554"/>
    <mergeCell ref="CW554:DC554"/>
    <mergeCell ref="DD554:DJ554"/>
    <mergeCell ref="DK554:DQ554"/>
    <mergeCell ref="DR554:DX554"/>
    <mergeCell ref="DY552:EE552"/>
    <mergeCell ref="C553:N553"/>
    <mergeCell ref="O553:U553"/>
    <mergeCell ref="W553:AC553"/>
    <mergeCell ref="AD553:AJ553"/>
    <mergeCell ref="AK553:AQ553"/>
    <mergeCell ref="AR553:AX553"/>
    <mergeCell ref="AY553:BE553"/>
    <mergeCell ref="BF553:BL553"/>
    <mergeCell ref="BM553:BS553"/>
    <mergeCell ref="BU553:CA553"/>
    <mergeCell ref="CB553:CH553"/>
    <mergeCell ref="CI553:CO553"/>
    <mergeCell ref="CP553:CV553"/>
    <mergeCell ref="CW553:DC553"/>
    <mergeCell ref="DD553:DJ553"/>
    <mergeCell ref="DK553:DQ553"/>
    <mergeCell ref="DR553:DX553"/>
    <mergeCell ref="DY553:EE553"/>
    <mergeCell ref="C552:N552"/>
    <mergeCell ref="O552:U552"/>
    <mergeCell ref="W552:AC552"/>
    <mergeCell ref="AD552:AJ552"/>
    <mergeCell ref="AK552:AQ552"/>
    <mergeCell ref="AR552:AX552"/>
    <mergeCell ref="AY552:BE552"/>
    <mergeCell ref="BF552:BL552"/>
    <mergeCell ref="BM552:BS552"/>
    <mergeCell ref="BU552:CA552"/>
    <mergeCell ref="CB552:CH552"/>
    <mergeCell ref="CI552:CO552"/>
    <mergeCell ref="CP552:CV552"/>
    <mergeCell ref="CW552:DC552"/>
    <mergeCell ref="DD552:DJ552"/>
    <mergeCell ref="DK552:DQ552"/>
    <mergeCell ref="DR552:DX552"/>
    <mergeCell ref="DY550:EE550"/>
    <mergeCell ref="C551:N551"/>
    <mergeCell ref="O551:U551"/>
    <mergeCell ref="W551:AC551"/>
    <mergeCell ref="AD551:AJ551"/>
    <mergeCell ref="AK551:AQ551"/>
    <mergeCell ref="AR551:AX551"/>
    <mergeCell ref="AY551:BE551"/>
    <mergeCell ref="BF551:BL551"/>
    <mergeCell ref="BM551:BS551"/>
    <mergeCell ref="BU551:CA551"/>
    <mergeCell ref="CB551:CH551"/>
    <mergeCell ref="CI551:CO551"/>
    <mergeCell ref="CP551:CV551"/>
    <mergeCell ref="CW551:DC551"/>
    <mergeCell ref="DD551:DJ551"/>
    <mergeCell ref="DK551:DQ551"/>
    <mergeCell ref="DR551:DX551"/>
    <mergeCell ref="DY549:EE549"/>
    <mergeCell ref="C548:N548"/>
    <mergeCell ref="O548:U548"/>
    <mergeCell ref="W548:AC548"/>
    <mergeCell ref="AD548:AJ548"/>
    <mergeCell ref="AK548:AQ548"/>
    <mergeCell ref="AR548:AX548"/>
    <mergeCell ref="AY548:BE548"/>
    <mergeCell ref="BF548:BL548"/>
    <mergeCell ref="BM548:BS548"/>
    <mergeCell ref="BU548:CA548"/>
    <mergeCell ref="CB548:CH548"/>
    <mergeCell ref="CI548:CO548"/>
    <mergeCell ref="CP548:CV548"/>
    <mergeCell ref="DY551:EE551"/>
    <mergeCell ref="C550:N550"/>
    <mergeCell ref="O550:U550"/>
    <mergeCell ref="W550:AC550"/>
    <mergeCell ref="AD550:AJ550"/>
    <mergeCell ref="AK550:AQ550"/>
    <mergeCell ref="AR550:AX550"/>
    <mergeCell ref="AY550:BE550"/>
    <mergeCell ref="BF550:BL550"/>
    <mergeCell ref="BM550:BS550"/>
    <mergeCell ref="BU550:CA550"/>
    <mergeCell ref="CB550:CH550"/>
    <mergeCell ref="CI550:CO550"/>
    <mergeCell ref="CP550:CV550"/>
    <mergeCell ref="CW550:DC550"/>
    <mergeCell ref="DD550:DJ550"/>
    <mergeCell ref="DK550:DQ550"/>
    <mergeCell ref="DR550:DX550"/>
    <mergeCell ref="C549:N549"/>
    <mergeCell ref="O549:U549"/>
    <mergeCell ref="W549:AC549"/>
    <mergeCell ref="AD549:AJ549"/>
    <mergeCell ref="AK549:AQ549"/>
    <mergeCell ref="AR549:AX549"/>
    <mergeCell ref="AY549:BE549"/>
    <mergeCell ref="BF549:BL549"/>
    <mergeCell ref="BM549:BS549"/>
    <mergeCell ref="BU549:CA549"/>
    <mergeCell ref="CB549:CH549"/>
    <mergeCell ref="CI549:CO549"/>
    <mergeCell ref="CP549:CV549"/>
    <mergeCell ref="CW549:DC549"/>
    <mergeCell ref="DD549:DJ549"/>
    <mergeCell ref="DK549:DQ549"/>
    <mergeCell ref="DR549:DX549"/>
    <mergeCell ref="CW548:DC548"/>
    <mergeCell ref="DD548:DJ548"/>
    <mergeCell ref="DK548:DQ548"/>
    <mergeCell ref="DR548:DX548"/>
    <mergeCell ref="AR546:AX546"/>
    <mergeCell ref="AY546:BE546"/>
    <mergeCell ref="BF546:BL546"/>
    <mergeCell ref="BM546:BS546"/>
    <mergeCell ref="BU546:CA546"/>
    <mergeCell ref="CB546:CH546"/>
    <mergeCell ref="CI546:CO546"/>
    <mergeCell ref="CP546:CV546"/>
    <mergeCell ref="CW546:DC546"/>
    <mergeCell ref="DD546:DJ546"/>
    <mergeCell ref="DK546:DQ546"/>
    <mergeCell ref="DR546:DX546"/>
    <mergeCell ref="DY546:EE546"/>
    <mergeCell ref="DY547:EE547"/>
    <mergeCell ref="DY548:EE548"/>
    <mergeCell ref="C547:N547"/>
    <mergeCell ref="O547:U547"/>
    <mergeCell ref="W547:AC547"/>
    <mergeCell ref="AD547:AJ547"/>
    <mergeCell ref="AK547:AQ547"/>
    <mergeCell ref="AR547:AX547"/>
    <mergeCell ref="AY547:BE547"/>
    <mergeCell ref="BF547:BL547"/>
    <mergeCell ref="BM547:BS547"/>
    <mergeCell ref="BU547:CA547"/>
    <mergeCell ref="CB547:CH547"/>
    <mergeCell ref="CI547:CO547"/>
    <mergeCell ref="CP547:CV547"/>
    <mergeCell ref="CW547:DC547"/>
    <mergeCell ref="DD547:DJ547"/>
    <mergeCell ref="DK547:DQ547"/>
    <mergeCell ref="DR547:DX547"/>
    <mergeCell ref="DY544:EE544"/>
    <mergeCell ref="C545:N545"/>
    <mergeCell ref="O545:U545"/>
    <mergeCell ref="W545:AC545"/>
    <mergeCell ref="AD545:AJ545"/>
    <mergeCell ref="AK545:AQ545"/>
    <mergeCell ref="AR545:AX545"/>
    <mergeCell ref="AY545:BE545"/>
    <mergeCell ref="BF545:BL545"/>
    <mergeCell ref="BM545:BS545"/>
    <mergeCell ref="BU545:CA545"/>
    <mergeCell ref="CB545:CH545"/>
    <mergeCell ref="CI545:CO545"/>
    <mergeCell ref="CP545:CV545"/>
    <mergeCell ref="CW545:DC545"/>
    <mergeCell ref="DD545:DJ545"/>
    <mergeCell ref="DK545:DQ545"/>
    <mergeCell ref="DR545:DX545"/>
    <mergeCell ref="DY545:EE545"/>
    <mergeCell ref="C544:N544"/>
    <mergeCell ref="O544:U544"/>
    <mergeCell ref="W544:AC544"/>
    <mergeCell ref="AD544:AJ544"/>
    <mergeCell ref="AK544:AQ544"/>
    <mergeCell ref="AR544:AX544"/>
    <mergeCell ref="AY544:BE544"/>
    <mergeCell ref="BF544:BL544"/>
    <mergeCell ref="BM544:BS544"/>
    <mergeCell ref="BU544:CA544"/>
    <mergeCell ref="CB544:CH544"/>
    <mergeCell ref="CI544:CO544"/>
    <mergeCell ref="CP544:CV544"/>
    <mergeCell ref="CW544:DC544"/>
    <mergeCell ref="DD544:DJ544"/>
    <mergeCell ref="DK544:DQ544"/>
    <mergeCell ref="DR544:DX544"/>
    <mergeCell ref="BM542:BS542"/>
    <mergeCell ref="BU542:CA542"/>
    <mergeCell ref="CB542:CH542"/>
    <mergeCell ref="CI542:CO542"/>
    <mergeCell ref="CP542:CV542"/>
    <mergeCell ref="CW542:DC542"/>
    <mergeCell ref="DD542:DJ542"/>
    <mergeCell ref="DK542:DQ542"/>
    <mergeCell ref="DR542:DX542"/>
    <mergeCell ref="DY542:EE542"/>
    <mergeCell ref="C543:N543"/>
    <mergeCell ref="O543:U543"/>
    <mergeCell ref="W543:AC543"/>
    <mergeCell ref="AD543:AJ543"/>
    <mergeCell ref="AK543:AQ543"/>
    <mergeCell ref="AR543:AX543"/>
    <mergeCell ref="AY543:BE543"/>
    <mergeCell ref="BF543:BL543"/>
    <mergeCell ref="BM543:BS543"/>
    <mergeCell ref="BU543:CA543"/>
    <mergeCell ref="CB543:CH543"/>
    <mergeCell ref="CI543:CO543"/>
    <mergeCell ref="CP543:CV543"/>
    <mergeCell ref="CW543:DC543"/>
    <mergeCell ref="DD543:DJ543"/>
    <mergeCell ref="DK543:DQ543"/>
    <mergeCell ref="DR543:DX543"/>
    <mergeCell ref="DY543:EE543"/>
    <mergeCell ref="BU541:CA541"/>
    <mergeCell ref="CB541:CH541"/>
    <mergeCell ref="CI541:CO541"/>
    <mergeCell ref="CP541:CV541"/>
    <mergeCell ref="CW541:DC541"/>
    <mergeCell ref="DD541:DJ541"/>
    <mergeCell ref="DK541:DQ541"/>
    <mergeCell ref="DR541:DX541"/>
    <mergeCell ref="DY541:EE541"/>
    <mergeCell ref="C540:N540"/>
    <mergeCell ref="O540:U540"/>
    <mergeCell ref="W540:AC540"/>
    <mergeCell ref="AD540:AJ540"/>
    <mergeCell ref="AK540:AQ540"/>
    <mergeCell ref="AR540:AX540"/>
    <mergeCell ref="AY540:BE540"/>
    <mergeCell ref="BF540:BL540"/>
    <mergeCell ref="BM540:BS540"/>
    <mergeCell ref="BU540:CA540"/>
    <mergeCell ref="CB540:CH540"/>
    <mergeCell ref="CI540:CO540"/>
    <mergeCell ref="CP540:CV540"/>
    <mergeCell ref="DD540:DJ540"/>
    <mergeCell ref="DK540:DQ540"/>
    <mergeCell ref="DR540:DX540"/>
    <mergeCell ref="DY540:EE540"/>
    <mergeCell ref="DY538:EE538"/>
    <mergeCell ref="C539:N539"/>
    <mergeCell ref="O539:U539"/>
    <mergeCell ref="W539:AC539"/>
    <mergeCell ref="AD539:AJ539"/>
    <mergeCell ref="AK539:AQ539"/>
    <mergeCell ref="AR539:AX539"/>
    <mergeCell ref="AY539:BE539"/>
    <mergeCell ref="BF539:BL539"/>
    <mergeCell ref="BM539:BS539"/>
    <mergeCell ref="BU539:CA539"/>
    <mergeCell ref="CB539:CH539"/>
    <mergeCell ref="CI539:CO539"/>
    <mergeCell ref="CP539:CV539"/>
    <mergeCell ref="CW539:DC539"/>
    <mergeCell ref="DD539:DJ539"/>
    <mergeCell ref="DK539:DQ539"/>
    <mergeCell ref="DR539:DX539"/>
    <mergeCell ref="DY539:EE539"/>
    <mergeCell ref="C538:N538"/>
    <mergeCell ref="O538:U538"/>
    <mergeCell ref="W538:AC538"/>
    <mergeCell ref="AD538:AJ538"/>
    <mergeCell ref="AK538:AQ538"/>
    <mergeCell ref="AR538:AX538"/>
    <mergeCell ref="AY538:BE538"/>
    <mergeCell ref="BF538:BL538"/>
    <mergeCell ref="BM538:BS538"/>
    <mergeCell ref="DD538:DJ538"/>
    <mergeCell ref="DK538:DQ538"/>
    <mergeCell ref="DR538:DX538"/>
    <mergeCell ref="C535:EE535"/>
    <mergeCell ref="C536:N537"/>
    <mergeCell ref="O536:U536"/>
    <mergeCell ref="W536:BS536"/>
    <mergeCell ref="BU536:EE536"/>
    <mergeCell ref="O537:U537"/>
    <mergeCell ref="W537:AC537"/>
    <mergeCell ref="AD537:AJ537"/>
    <mergeCell ref="AK537:AQ537"/>
    <mergeCell ref="AR537:AX537"/>
    <mergeCell ref="AY537:BE537"/>
    <mergeCell ref="BF537:BL537"/>
    <mergeCell ref="BM537:BS537"/>
    <mergeCell ref="BU537:CA537"/>
    <mergeCell ref="CB537:CH537"/>
    <mergeCell ref="CI537:CO537"/>
    <mergeCell ref="CP537:CV537"/>
    <mergeCell ref="CW537:DC537"/>
    <mergeCell ref="DD537:DJ537"/>
    <mergeCell ref="DK537:DQ537"/>
    <mergeCell ref="DR537:DX537"/>
    <mergeCell ref="DY537:EE537"/>
    <mergeCell ref="DY426:EE426"/>
    <mergeCell ref="C427:N427"/>
    <mergeCell ref="O427:U427"/>
    <mergeCell ref="W427:AC427"/>
    <mergeCell ref="AD427:AJ427"/>
    <mergeCell ref="AK427:AQ427"/>
    <mergeCell ref="AR427:AX427"/>
    <mergeCell ref="AY427:BE427"/>
    <mergeCell ref="BF427:BL427"/>
    <mergeCell ref="BM427:BS427"/>
    <mergeCell ref="BU427:CA427"/>
    <mergeCell ref="CB427:CH427"/>
    <mergeCell ref="CI427:CO427"/>
    <mergeCell ref="CP427:CV427"/>
    <mergeCell ref="CW427:DC427"/>
    <mergeCell ref="DD427:DJ427"/>
    <mergeCell ref="DK427:DQ427"/>
    <mergeCell ref="DR427:DX427"/>
    <mergeCell ref="DY427:EE427"/>
    <mergeCell ref="C426:N426"/>
    <mergeCell ref="O426:U426"/>
    <mergeCell ref="W426:AC426"/>
    <mergeCell ref="AD426:AJ426"/>
    <mergeCell ref="AK426:AQ426"/>
    <mergeCell ref="AR426:AX426"/>
    <mergeCell ref="AY426:BE426"/>
    <mergeCell ref="BF426:BL426"/>
    <mergeCell ref="BM426:BS426"/>
    <mergeCell ref="BU426:CA426"/>
    <mergeCell ref="CB426:CH426"/>
    <mergeCell ref="CI426:CO426"/>
    <mergeCell ref="CP426:CV426"/>
    <mergeCell ref="CW426:DC426"/>
    <mergeCell ref="DD426:DJ426"/>
    <mergeCell ref="DK426:DQ426"/>
    <mergeCell ref="DR426:DX426"/>
    <mergeCell ref="DY424:EE424"/>
    <mergeCell ref="C425:N425"/>
    <mergeCell ref="O425:U425"/>
    <mergeCell ref="W425:AC425"/>
    <mergeCell ref="AD425:AJ425"/>
    <mergeCell ref="AK425:AQ425"/>
    <mergeCell ref="AR425:AX425"/>
    <mergeCell ref="AY425:BE425"/>
    <mergeCell ref="BF425:BL425"/>
    <mergeCell ref="BM425:BS425"/>
    <mergeCell ref="BU425:CA425"/>
    <mergeCell ref="CB425:CH425"/>
    <mergeCell ref="CI425:CO425"/>
    <mergeCell ref="CP425:CV425"/>
    <mergeCell ref="CW425:DC425"/>
    <mergeCell ref="DD425:DJ425"/>
    <mergeCell ref="DK425:DQ425"/>
    <mergeCell ref="DR425:DX425"/>
    <mergeCell ref="DY425:EE425"/>
    <mergeCell ref="C424:N424"/>
    <mergeCell ref="O424:U424"/>
    <mergeCell ref="W424:AC424"/>
    <mergeCell ref="AD424:AJ424"/>
    <mergeCell ref="AK424:AQ424"/>
    <mergeCell ref="AR424:AX424"/>
    <mergeCell ref="AY424:BE424"/>
    <mergeCell ref="BF424:BL424"/>
    <mergeCell ref="BM424:BS424"/>
    <mergeCell ref="BU424:CA424"/>
    <mergeCell ref="CB424:CH424"/>
    <mergeCell ref="CI424:CO424"/>
    <mergeCell ref="CP424:CV424"/>
    <mergeCell ref="CW424:DC424"/>
    <mergeCell ref="DD424:DJ424"/>
    <mergeCell ref="DK424:DQ424"/>
    <mergeCell ref="DR424:DX424"/>
    <mergeCell ref="DY422:EE422"/>
    <mergeCell ref="C423:N423"/>
    <mergeCell ref="O423:U423"/>
    <mergeCell ref="W423:AC423"/>
    <mergeCell ref="AD423:AJ423"/>
    <mergeCell ref="AK423:AQ423"/>
    <mergeCell ref="AR423:AX423"/>
    <mergeCell ref="AY423:BE423"/>
    <mergeCell ref="BF423:BL423"/>
    <mergeCell ref="BM423:BS423"/>
    <mergeCell ref="BU423:CA423"/>
    <mergeCell ref="CB423:CH423"/>
    <mergeCell ref="CI423:CO423"/>
    <mergeCell ref="CP423:CV423"/>
    <mergeCell ref="CW423:DC423"/>
    <mergeCell ref="DD423:DJ423"/>
    <mergeCell ref="DK423:DQ423"/>
    <mergeCell ref="DR423:DX423"/>
    <mergeCell ref="DY423:EE423"/>
    <mergeCell ref="C422:N422"/>
    <mergeCell ref="O422:U422"/>
    <mergeCell ref="W422:AC422"/>
    <mergeCell ref="AD422:AJ422"/>
    <mergeCell ref="AK422:AQ422"/>
    <mergeCell ref="AR422:AX422"/>
    <mergeCell ref="AY422:BE422"/>
    <mergeCell ref="BF422:BL422"/>
    <mergeCell ref="BM422:BS422"/>
    <mergeCell ref="BU422:CA422"/>
    <mergeCell ref="CB422:CH422"/>
    <mergeCell ref="CI422:CO422"/>
    <mergeCell ref="CP422:CV422"/>
    <mergeCell ref="CW422:DC422"/>
    <mergeCell ref="DD422:DJ422"/>
    <mergeCell ref="DK422:DQ422"/>
    <mergeCell ref="DR422:DX422"/>
    <mergeCell ref="DY420:EE420"/>
    <mergeCell ref="C421:N421"/>
    <mergeCell ref="O421:U421"/>
    <mergeCell ref="W421:AC421"/>
    <mergeCell ref="AD421:AJ421"/>
    <mergeCell ref="AK421:AQ421"/>
    <mergeCell ref="AR421:AX421"/>
    <mergeCell ref="AY421:BE421"/>
    <mergeCell ref="BF421:BL421"/>
    <mergeCell ref="BM421:BS421"/>
    <mergeCell ref="BU421:CA421"/>
    <mergeCell ref="CB421:CH421"/>
    <mergeCell ref="CI421:CO421"/>
    <mergeCell ref="CP421:CV421"/>
    <mergeCell ref="CW421:DC421"/>
    <mergeCell ref="DD421:DJ421"/>
    <mergeCell ref="DK421:DQ421"/>
    <mergeCell ref="DR421:DX421"/>
    <mergeCell ref="DY421:EE421"/>
    <mergeCell ref="C420:N420"/>
    <mergeCell ref="O420:U420"/>
    <mergeCell ref="W420:AC420"/>
    <mergeCell ref="AD420:AJ420"/>
    <mergeCell ref="AK420:AQ420"/>
    <mergeCell ref="AR420:AX420"/>
    <mergeCell ref="AY420:BE420"/>
    <mergeCell ref="BF420:BL420"/>
    <mergeCell ref="BM420:BS420"/>
    <mergeCell ref="BU420:CA420"/>
    <mergeCell ref="CB420:CH420"/>
    <mergeCell ref="CI420:CO420"/>
    <mergeCell ref="CP420:CV420"/>
    <mergeCell ref="CW420:DC420"/>
    <mergeCell ref="DD420:DJ420"/>
    <mergeCell ref="DK420:DQ420"/>
    <mergeCell ref="DR420:DX420"/>
    <mergeCell ref="DY418:EE418"/>
    <mergeCell ref="DY419:EE419"/>
    <mergeCell ref="C419:N419"/>
    <mergeCell ref="O419:U419"/>
    <mergeCell ref="W419:AC419"/>
    <mergeCell ref="AD419:AJ419"/>
    <mergeCell ref="AK419:AQ419"/>
    <mergeCell ref="AR419:AX419"/>
    <mergeCell ref="AY419:BE419"/>
    <mergeCell ref="BF419:BL419"/>
    <mergeCell ref="BM419:BS419"/>
    <mergeCell ref="BU419:CA419"/>
    <mergeCell ref="CB419:CH419"/>
    <mergeCell ref="CI419:CO419"/>
    <mergeCell ref="CP419:CV419"/>
    <mergeCell ref="CW419:DC419"/>
    <mergeCell ref="DD419:DJ419"/>
    <mergeCell ref="DK419:DQ419"/>
    <mergeCell ref="DR419:DX419"/>
    <mergeCell ref="C418:N418"/>
    <mergeCell ref="O418:U418"/>
    <mergeCell ref="W418:AC418"/>
    <mergeCell ref="AD418:AJ418"/>
    <mergeCell ref="AK418:AQ418"/>
    <mergeCell ref="AR418:AX418"/>
    <mergeCell ref="AY418:BE418"/>
    <mergeCell ref="BF418:BL418"/>
    <mergeCell ref="BM418:BS418"/>
    <mergeCell ref="BU418:CA418"/>
    <mergeCell ref="CB418:CH418"/>
    <mergeCell ref="CI418:CO418"/>
    <mergeCell ref="CP418:CV418"/>
    <mergeCell ref="CW418:DC418"/>
    <mergeCell ref="DD418:DJ418"/>
    <mergeCell ref="DK418:DQ418"/>
    <mergeCell ref="DR418:DX418"/>
    <mergeCell ref="DY416:EE416"/>
    <mergeCell ref="C417:N417"/>
    <mergeCell ref="O417:U417"/>
    <mergeCell ref="W417:AC417"/>
    <mergeCell ref="AD417:AJ417"/>
    <mergeCell ref="AK417:AQ417"/>
    <mergeCell ref="AR417:AX417"/>
    <mergeCell ref="AY417:BE417"/>
    <mergeCell ref="BF417:BL417"/>
    <mergeCell ref="BM417:BS417"/>
    <mergeCell ref="BU417:CA417"/>
    <mergeCell ref="CB417:CH417"/>
    <mergeCell ref="CI417:CO417"/>
    <mergeCell ref="CP417:CV417"/>
    <mergeCell ref="CW417:DC417"/>
    <mergeCell ref="DD417:DJ417"/>
    <mergeCell ref="DK417:DQ417"/>
    <mergeCell ref="DR417:DX417"/>
    <mergeCell ref="DY417:EE417"/>
    <mergeCell ref="C416:N416"/>
    <mergeCell ref="O416:U416"/>
    <mergeCell ref="W416:AC416"/>
    <mergeCell ref="AD416:AJ416"/>
    <mergeCell ref="AK416:AQ416"/>
    <mergeCell ref="AR416:AX416"/>
    <mergeCell ref="AY416:BE416"/>
    <mergeCell ref="BF416:BL416"/>
    <mergeCell ref="BM416:BS416"/>
    <mergeCell ref="BU416:CA416"/>
    <mergeCell ref="CB416:CH416"/>
    <mergeCell ref="CI416:CO416"/>
    <mergeCell ref="CP416:CV416"/>
    <mergeCell ref="CW416:DC416"/>
    <mergeCell ref="DD416:DJ416"/>
    <mergeCell ref="DK416:DQ416"/>
    <mergeCell ref="DR416:DX416"/>
    <mergeCell ref="DY414:EE414"/>
    <mergeCell ref="C415:N415"/>
    <mergeCell ref="O415:U415"/>
    <mergeCell ref="W415:AC415"/>
    <mergeCell ref="AD415:AJ415"/>
    <mergeCell ref="AK415:AQ415"/>
    <mergeCell ref="AR415:AX415"/>
    <mergeCell ref="AY415:BE415"/>
    <mergeCell ref="BF415:BL415"/>
    <mergeCell ref="BM415:BS415"/>
    <mergeCell ref="BU415:CA415"/>
    <mergeCell ref="CB415:CH415"/>
    <mergeCell ref="CI415:CO415"/>
    <mergeCell ref="CP415:CV415"/>
    <mergeCell ref="CW415:DC415"/>
    <mergeCell ref="DD415:DJ415"/>
    <mergeCell ref="DK415:DQ415"/>
    <mergeCell ref="DR415:DX415"/>
    <mergeCell ref="DY415:EE415"/>
    <mergeCell ref="C414:N414"/>
    <mergeCell ref="O414:U414"/>
    <mergeCell ref="W414:AC414"/>
    <mergeCell ref="AD414:AJ414"/>
    <mergeCell ref="AK414:AQ414"/>
    <mergeCell ref="AR414:AX414"/>
    <mergeCell ref="AY414:BE414"/>
    <mergeCell ref="BF414:BL414"/>
    <mergeCell ref="BM414:BS414"/>
    <mergeCell ref="BU414:CA414"/>
    <mergeCell ref="CB414:CH414"/>
    <mergeCell ref="CI414:CO414"/>
    <mergeCell ref="CP414:CV414"/>
    <mergeCell ref="CW414:DC414"/>
    <mergeCell ref="DD414:DJ414"/>
    <mergeCell ref="DK414:DQ414"/>
    <mergeCell ref="DR414:DX414"/>
    <mergeCell ref="DY412:EE412"/>
    <mergeCell ref="C413:N413"/>
    <mergeCell ref="O413:U413"/>
    <mergeCell ref="W413:AC413"/>
    <mergeCell ref="AD413:AJ413"/>
    <mergeCell ref="AK413:AQ413"/>
    <mergeCell ref="AR413:AX413"/>
    <mergeCell ref="AY413:BE413"/>
    <mergeCell ref="BF413:BL413"/>
    <mergeCell ref="BM413:BS413"/>
    <mergeCell ref="BU413:CA413"/>
    <mergeCell ref="CB413:CH413"/>
    <mergeCell ref="CI413:CO413"/>
    <mergeCell ref="CP413:CV413"/>
    <mergeCell ref="CW413:DC413"/>
    <mergeCell ref="DD413:DJ413"/>
    <mergeCell ref="DK413:DQ413"/>
    <mergeCell ref="DR413:DX413"/>
    <mergeCell ref="DY413:EE413"/>
    <mergeCell ref="C412:N412"/>
    <mergeCell ref="O412:U412"/>
    <mergeCell ref="W412:AC412"/>
    <mergeCell ref="AD412:AJ412"/>
    <mergeCell ref="AK412:AQ412"/>
    <mergeCell ref="AR412:AX412"/>
    <mergeCell ref="AY412:BE412"/>
    <mergeCell ref="BF412:BL412"/>
    <mergeCell ref="BM412:BS412"/>
    <mergeCell ref="BU412:CA412"/>
    <mergeCell ref="CB412:CH412"/>
    <mergeCell ref="CI412:CO412"/>
    <mergeCell ref="CP412:CV412"/>
    <mergeCell ref="CW412:DC412"/>
    <mergeCell ref="DD412:DJ412"/>
    <mergeCell ref="DK412:DQ412"/>
    <mergeCell ref="DR412:DX412"/>
    <mergeCell ref="DY410:EE410"/>
    <mergeCell ref="C411:N411"/>
    <mergeCell ref="O411:U411"/>
    <mergeCell ref="W411:AC411"/>
    <mergeCell ref="AD411:AJ411"/>
    <mergeCell ref="AK411:AQ411"/>
    <mergeCell ref="AR411:AX411"/>
    <mergeCell ref="AY411:BE411"/>
    <mergeCell ref="BF411:BL411"/>
    <mergeCell ref="BM411:BS411"/>
    <mergeCell ref="BU411:CA411"/>
    <mergeCell ref="CB411:CH411"/>
    <mergeCell ref="CI411:CO411"/>
    <mergeCell ref="CP411:CV411"/>
    <mergeCell ref="CW411:DC411"/>
    <mergeCell ref="DD411:DJ411"/>
    <mergeCell ref="DK411:DQ411"/>
    <mergeCell ref="DR411:DX411"/>
    <mergeCell ref="DY411:EE411"/>
    <mergeCell ref="C410:N410"/>
    <mergeCell ref="O410:U410"/>
    <mergeCell ref="W410:AC410"/>
    <mergeCell ref="AD410:AJ410"/>
    <mergeCell ref="AK410:AQ410"/>
    <mergeCell ref="AR410:AX410"/>
    <mergeCell ref="AY410:BE410"/>
    <mergeCell ref="BF410:BL410"/>
    <mergeCell ref="BM410:BS410"/>
    <mergeCell ref="BU410:CA410"/>
    <mergeCell ref="CB410:CH410"/>
    <mergeCell ref="CI410:CO410"/>
    <mergeCell ref="CP410:CV410"/>
    <mergeCell ref="CW410:DC410"/>
    <mergeCell ref="DD410:DJ410"/>
    <mergeCell ref="DK410:DQ410"/>
    <mergeCell ref="DR410:DX410"/>
    <mergeCell ref="C407:EE407"/>
    <mergeCell ref="C408:N409"/>
    <mergeCell ref="O408:U408"/>
    <mergeCell ref="W408:BS408"/>
    <mergeCell ref="BU408:EE408"/>
    <mergeCell ref="O409:U409"/>
    <mergeCell ref="W409:AC409"/>
    <mergeCell ref="AD409:AJ409"/>
    <mergeCell ref="AK409:AQ409"/>
    <mergeCell ref="AR409:AX409"/>
    <mergeCell ref="AY409:BE409"/>
    <mergeCell ref="BF409:BL409"/>
    <mergeCell ref="BM409:BS409"/>
    <mergeCell ref="BU409:CA409"/>
    <mergeCell ref="CB409:CH409"/>
    <mergeCell ref="CI409:CO409"/>
    <mergeCell ref="CP409:CV409"/>
    <mergeCell ref="CW409:DC409"/>
    <mergeCell ref="DD409:DJ409"/>
    <mergeCell ref="DK409:DQ409"/>
    <mergeCell ref="DR409:DX409"/>
    <mergeCell ref="DY409:EE409"/>
    <mergeCell ref="DY404:EE404"/>
    <mergeCell ref="C405:N405"/>
    <mergeCell ref="O405:U405"/>
    <mergeCell ref="W405:AC405"/>
    <mergeCell ref="AD405:AJ405"/>
    <mergeCell ref="AK405:AQ405"/>
    <mergeCell ref="AR405:AX405"/>
    <mergeCell ref="AY405:BE405"/>
    <mergeCell ref="BF405:BL405"/>
    <mergeCell ref="BM405:BS405"/>
    <mergeCell ref="BU405:CA405"/>
    <mergeCell ref="CB405:CH405"/>
    <mergeCell ref="CI405:CO405"/>
    <mergeCell ref="CP405:CV405"/>
    <mergeCell ref="CW405:DC405"/>
    <mergeCell ref="DD405:DJ405"/>
    <mergeCell ref="DK405:DQ405"/>
    <mergeCell ref="DR405:DX405"/>
    <mergeCell ref="DY405:EE405"/>
    <mergeCell ref="C404:N404"/>
    <mergeCell ref="O404:U404"/>
    <mergeCell ref="W404:AC404"/>
    <mergeCell ref="AD404:AJ404"/>
    <mergeCell ref="AK404:AQ404"/>
    <mergeCell ref="AR404:AX404"/>
    <mergeCell ref="AY404:BE404"/>
    <mergeCell ref="BF404:BL404"/>
    <mergeCell ref="BM404:BS404"/>
    <mergeCell ref="BU404:CA404"/>
    <mergeCell ref="CB404:CH404"/>
    <mergeCell ref="CI404:CO404"/>
    <mergeCell ref="CP404:CV404"/>
    <mergeCell ref="CW404:DC404"/>
    <mergeCell ref="DD404:DJ404"/>
    <mergeCell ref="DK404:DQ404"/>
    <mergeCell ref="DR404:DX404"/>
    <mergeCell ref="DY402:EE402"/>
    <mergeCell ref="C403:N403"/>
    <mergeCell ref="O403:U403"/>
    <mergeCell ref="W403:AC403"/>
    <mergeCell ref="AD403:AJ403"/>
    <mergeCell ref="AK403:AQ403"/>
    <mergeCell ref="AR403:AX403"/>
    <mergeCell ref="AY403:BE403"/>
    <mergeCell ref="BF403:BL403"/>
    <mergeCell ref="BM403:BS403"/>
    <mergeCell ref="BU403:CA403"/>
    <mergeCell ref="CB403:CH403"/>
    <mergeCell ref="CI403:CO403"/>
    <mergeCell ref="CP403:CV403"/>
    <mergeCell ref="CW403:DC403"/>
    <mergeCell ref="DD403:DJ403"/>
    <mergeCell ref="DK403:DQ403"/>
    <mergeCell ref="DR403:DX403"/>
    <mergeCell ref="DY403:EE403"/>
    <mergeCell ref="C402:N402"/>
    <mergeCell ref="O402:U402"/>
    <mergeCell ref="W402:AC402"/>
    <mergeCell ref="AD402:AJ402"/>
    <mergeCell ref="AK402:AQ402"/>
    <mergeCell ref="AR402:AX402"/>
    <mergeCell ref="AY402:BE402"/>
    <mergeCell ref="BF402:BL402"/>
    <mergeCell ref="BM402:BS402"/>
    <mergeCell ref="BU402:CA402"/>
    <mergeCell ref="CB402:CH402"/>
    <mergeCell ref="CI402:CO402"/>
    <mergeCell ref="CP402:CV402"/>
    <mergeCell ref="CW402:DC402"/>
    <mergeCell ref="DD402:DJ402"/>
    <mergeCell ref="DK402:DQ402"/>
    <mergeCell ref="DR402:DX402"/>
    <mergeCell ref="DY400:EE400"/>
    <mergeCell ref="C401:N401"/>
    <mergeCell ref="O401:U401"/>
    <mergeCell ref="W401:AC401"/>
    <mergeCell ref="AD401:AJ401"/>
    <mergeCell ref="AK401:AQ401"/>
    <mergeCell ref="AR401:AX401"/>
    <mergeCell ref="AY401:BE401"/>
    <mergeCell ref="BF401:BL401"/>
    <mergeCell ref="BM401:BS401"/>
    <mergeCell ref="BU401:CA401"/>
    <mergeCell ref="CB401:CH401"/>
    <mergeCell ref="CI401:CO401"/>
    <mergeCell ref="CP401:CV401"/>
    <mergeCell ref="CW401:DC401"/>
    <mergeCell ref="DD401:DJ401"/>
    <mergeCell ref="DK401:DQ401"/>
    <mergeCell ref="DR401:DX401"/>
    <mergeCell ref="DY399:EE399"/>
    <mergeCell ref="C398:N398"/>
    <mergeCell ref="O398:U398"/>
    <mergeCell ref="W398:AC398"/>
    <mergeCell ref="AD398:AJ398"/>
    <mergeCell ref="AK398:AQ398"/>
    <mergeCell ref="AR398:AX398"/>
    <mergeCell ref="AY398:BE398"/>
    <mergeCell ref="BF398:BL398"/>
    <mergeCell ref="BM398:BS398"/>
    <mergeCell ref="BU398:CA398"/>
    <mergeCell ref="CB398:CH398"/>
    <mergeCell ref="CI398:CO398"/>
    <mergeCell ref="CP398:CV398"/>
    <mergeCell ref="DY401:EE401"/>
    <mergeCell ref="C400:N400"/>
    <mergeCell ref="O400:U400"/>
    <mergeCell ref="W400:AC400"/>
    <mergeCell ref="AD400:AJ400"/>
    <mergeCell ref="AK400:AQ400"/>
    <mergeCell ref="AR400:AX400"/>
    <mergeCell ref="AY400:BE400"/>
    <mergeCell ref="BF400:BL400"/>
    <mergeCell ref="BM400:BS400"/>
    <mergeCell ref="BU400:CA400"/>
    <mergeCell ref="CB400:CH400"/>
    <mergeCell ref="CI400:CO400"/>
    <mergeCell ref="CP400:CV400"/>
    <mergeCell ref="CW400:DC400"/>
    <mergeCell ref="DD400:DJ400"/>
    <mergeCell ref="DK400:DQ400"/>
    <mergeCell ref="DR400:DX400"/>
    <mergeCell ref="C399:N399"/>
    <mergeCell ref="O399:U399"/>
    <mergeCell ref="W399:AC399"/>
    <mergeCell ref="AD399:AJ399"/>
    <mergeCell ref="AK399:AQ399"/>
    <mergeCell ref="AR399:AX399"/>
    <mergeCell ref="AY399:BE399"/>
    <mergeCell ref="BF399:BL399"/>
    <mergeCell ref="BM399:BS399"/>
    <mergeCell ref="BU399:CA399"/>
    <mergeCell ref="CB399:CH399"/>
    <mergeCell ref="CI399:CO399"/>
    <mergeCell ref="CP399:CV399"/>
    <mergeCell ref="CW399:DC399"/>
    <mergeCell ref="DD399:DJ399"/>
    <mergeCell ref="DK399:DQ399"/>
    <mergeCell ref="DR399:DX399"/>
    <mergeCell ref="CW398:DC398"/>
    <mergeCell ref="DD398:DJ398"/>
    <mergeCell ref="DK398:DQ398"/>
    <mergeCell ref="DR398:DX398"/>
    <mergeCell ref="AR396:AX396"/>
    <mergeCell ref="AY396:BE396"/>
    <mergeCell ref="BF396:BL396"/>
    <mergeCell ref="BM396:BS396"/>
    <mergeCell ref="BU396:CA396"/>
    <mergeCell ref="CB396:CH396"/>
    <mergeCell ref="CI396:CO396"/>
    <mergeCell ref="CP396:CV396"/>
    <mergeCell ref="CW396:DC396"/>
    <mergeCell ref="DD396:DJ396"/>
    <mergeCell ref="DK396:DQ396"/>
    <mergeCell ref="DR396:DX396"/>
    <mergeCell ref="DY396:EE396"/>
    <mergeCell ref="DY397:EE397"/>
    <mergeCell ref="DY398:EE398"/>
    <mergeCell ref="C397:N397"/>
    <mergeCell ref="O397:U397"/>
    <mergeCell ref="W397:AC397"/>
    <mergeCell ref="AD397:AJ397"/>
    <mergeCell ref="AK397:AQ397"/>
    <mergeCell ref="AR397:AX397"/>
    <mergeCell ref="AY397:BE397"/>
    <mergeCell ref="BF397:BL397"/>
    <mergeCell ref="BM397:BS397"/>
    <mergeCell ref="BU397:CA397"/>
    <mergeCell ref="CB397:CH397"/>
    <mergeCell ref="CI397:CO397"/>
    <mergeCell ref="CP397:CV397"/>
    <mergeCell ref="CW397:DC397"/>
    <mergeCell ref="DD397:DJ397"/>
    <mergeCell ref="DK397:DQ397"/>
    <mergeCell ref="DR397:DX397"/>
    <mergeCell ref="DY394:EE394"/>
    <mergeCell ref="C395:N395"/>
    <mergeCell ref="O395:U395"/>
    <mergeCell ref="W395:AC395"/>
    <mergeCell ref="AD395:AJ395"/>
    <mergeCell ref="AK395:AQ395"/>
    <mergeCell ref="AR395:AX395"/>
    <mergeCell ref="AY395:BE395"/>
    <mergeCell ref="BF395:BL395"/>
    <mergeCell ref="BM395:BS395"/>
    <mergeCell ref="BU395:CA395"/>
    <mergeCell ref="CB395:CH395"/>
    <mergeCell ref="CI395:CO395"/>
    <mergeCell ref="CP395:CV395"/>
    <mergeCell ref="CW395:DC395"/>
    <mergeCell ref="DD395:DJ395"/>
    <mergeCell ref="DK395:DQ395"/>
    <mergeCell ref="DR395:DX395"/>
    <mergeCell ref="DY395:EE395"/>
    <mergeCell ref="C394:N394"/>
    <mergeCell ref="O394:U394"/>
    <mergeCell ref="W394:AC394"/>
    <mergeCell ref="AD394:AJ394"/>
    <mergeCell ref="AK394:AQ394"/>
    <mergeCell ref="AR394:AX394"/>
    <mergeCell ref="AY394:BE394"/>
    <mergeCell ref="BF394:BL394"/>
    <mergeCell ref="BM394:BS394"/>
    <mergeCell ref="BU394:CA394"/>
    <mergeCell ref="CB394:CH394"/>
    <mergeCell ref="CI394:CO394"/>
    <mergeCell ref="CP394:CV394"/>
    <mergeCell ref="CW394:DC394"/>
    <mergeCell ref="DD394:DJ394"/>
    <mergeCell ref="DK394:DQ394"/>
    <mergeCell ref="DR394:DX394"/>
    <mergeCell ref="BM392:BS392"/>
    <mergeCell ref="BU392:CA392"/>
    <mergeCell ref="CB392:CH392"/>
    <mergeCell ref="CI392:CO392"/>
    <mergeCell ref="CP392:CV392"/>
    <mergeCell ref="CW392:DC392"/>
    <mergeCell ref="DD392:DJ392"/>
    <mergeCell ref="DK392:DQ392"/>
    <mergeCell ref="DR392:DX392"/>
    <mergeCell ref="DY392:EE392"/>
    <mergeCell ref="C393:N393"/>
    <mergeCell ref="O393:U393"/>
    <mergeCell ref="W393:AC393"/>
    <mergeCell ref="AD393:AJ393"/>
    <mergeCell ref="AK393:AQ393"/>
    <mergeCell ref="AR393:AX393"/>
    <mergeCell ref="AY393:BE393"/>
    <mergeCell ref="BF393:BL393"/>
    <mergeCell ref="BM393:BS393"/>
    <mergeCell ref="BU393:CA393"/>
    <mergeCell ref="CB393:CH393"/>
    <mergeCell ref="CI393:CO393"/>
    <mergeCell ref="CP393:CV393"/>
    <mergeCell ref="CW393:DC393"/>
    <mergeCell ref="DD393:DJ393"/>
    <mergeCell ref="DK393:DQ393"/>
    <mergeCell ref="DR393:DX393"/>
    <mergeCell ref="DY393:EE393"/>
    <mergeCell ref="BU391:CA391"/>
    <mergeCell ref="CB391:CH391"/>
    <mergeCell ref="CI391:CO391"/>
    <mergeCell ref="CP391:CV391"/>
    <mergeCell ref="CW391:DC391"/>
    <mergeCell ref="DD391:DJ391"/>
    <mergeCell ref="DK391:DQ391"/>
    <mergeCell ref="DR391:DX391"/>
    <mergeCell ref="DY391:EE391"/>
    <mergeCell ref="C390:N390"/>
    <mergeCell ref="O390:U390"/>
    <mergeCell ref="W390:AC390"/>
    <mergeCell ref="AD390:AJ390"/>
    <mergeCell ref="AK390:AQ390"/>
    <mergeCell ref="AR390:AX390"/>
    <mergeCell ref="AY390:BE390"/>
    <mergeCell ref="BF390:BL390"/>
    <mergeCell ref="BM390:BS390"/>
    <mergeCell ref="BU390:CA390"/>
    <mergeCell ref="CB390:CH390"/>
    <mergeCell ref="CI390:CO390"/>
    <mergeCell ref="CP390:CV390"/>
    <mergeCell ref="DD390:DJ390"/>
    <mergeCell ref="DK390:DQ390"/>
    <mergeCell ref="DR390:DX390"/>
    <mergeCell ref="DY390:EE390"/>
    <mergeCell ref="DY388:EE388"/>
    <mergeCell ref="C389:N389"/>
    <mergeCell ref="O389:U389"/>
    <mergeCell ref="W389:AC389"/>
    <mergeCell ref="AD389:AJ389"/>
    <mergeCell ref="AK389:AQ389"/>
    <mergeCell ref="AR389:AX389"/>
    <mergeCell ref="AY389:BE389"/>
    <mergeCell ref="BF389:BL389"/>
    <mergeCell ref="BM389:BS389"/>
    <mergeCell ref="BU389:CA389"/>
    <mergeCell ref="CB389:CH389"/>
    <mergeCell ref="CI389:CO389"/>
    <mergeCell ref="CP389:CV389"/>
    <mergeCell ref="CW389:DC389"/>
    <mergeCell ref="DD389:DJ389"/>
    <mergeCell ref="DK389:DQ389"/>
    <mergeCell ref="DR389:DX389"/>
    <mergeCell ref="DY389:EE389"/>
    <mergeCell ref="C388:N388"/>
    <mergeCell ref="O388:U388"/>
    <mergeCell ref="W388:AC388"/>
    <mergeCell ref="AD388:AJ388"/>
    <mergeCell ref="AK388:AQ388"/>
    <mergeCell ref="AR388:AX388"/>
    <mergeCell ref="AY388:BE388"/>
    <mergeCell ref="BF388:BL388"/>
    <mergeCell ref="BM388:BS388"/>
    <mergeCell ref="DD388:DJ388"/>
    <mergeCell ref="DK388:DQ388"/>
    <mergeCell ref="DR388:DX388"/>
    <mergeCell ref="C385:EE385"/>
    <mergeCell ref="C386:N387"/>
    <mergeCell ref="O386:U386"/>
    <mergeCell ref="W386:BS386"/>
    <mergeCell ref="BU386:EE386"/>
    <mergeCell ref="O387:U387"/>
    <mergeCell ref="W387:AC387"/>
    <mergeCell ref="AD387:AJ387"/>
    <mergeCell ref="AK387:AQ387"/>
    <mergeCell ref="AR387:AX387"/>
    <mergeCell ref="AY387:BE387"/>
    <mergeCell ref="BF387:BL387"/>
    <mergeCell ref="BM387:BS387"/>
    <mergeCell ref="BU387:CA387"/>
    <mergeCell ref="CB387:CH387"/>
    <mergeCell ref="CI387:CO387"/>
    <mergeCell ref="CP387:CV387"/>
    <mergeCell ref="CW387:DC387"/>
    <mergeCell ref="DD387:DJ387"/>
    <mergeCell ref="DK387:DQ387"/>
    <mergeCell ref="DR387:DX387"/>
    <mergeCell ref="DY387:EE387"/>
    <mergeCell ref="AD267:AJ267"/>
    <mergeCell ref="AK267:AQ267"/>
    <mergeCell ref="AR267:AX267"/>
    <mergeCell ref="AY267:BE267"/>
    <mergeCell ref="BF267:BL267"/>
    <mergeCell ref="BM267:BS267"/>
    <mergeCell ref="CB267:CH267"/>
    <mergeCell ref="CI267:CO267"/>
    <mergeCell ref="CP267:CV267"/>
    <mergeCell ref="CW267:DC267"/>
    <mergeCell ref="DD267:DJ267"/>
    <mergeCell ref="DK267:DQ267"/>
    <mergeCell ref="DR267:DX267"/>
    <mergeCell ref="DY267:EE267"/>
    <mergeCell ref="AD265:AJ265"/>
    <mergeCell ref="AK265:AQ265"/>
    <mergeCell ref="AR265:AX265"/>
    <mergeCell ref="AY265:BE265"/>
    <mergeCell ref="BF265:BL265"/>
    <mergeCell ref="BM265:BS265"/>
    <mergeCell ref="CB265:CH265"/>
    <mergeCell ref="CI265:CO265"/>
    <mergeCell ref="CP265:CV265"/>
    <mergeCell ref="CW265:DC265"/>
    <mergeCell ref="DD265:DJ265"/>
    <mergeCell ref="DK265:DQ265"/>
    <mergeCell ref="DR265:DX265"/>
    <mergeCell ref="DY265:EE265"/>
    <mergeCell ref="AD266:AJ266"/>
    <mergeCell ref="AK266:AQ266"/>
    <mergeCell ref="AR266:AX266"/>
    <mergeCell ref="AY266:BE266"/>
    <mergeCell ref="BF266:BL266"/>
    <mergeCell ref="BM266:BS266"/>
    <mergeCell ref="CB266:CH266"/>
    <mergeCell ref="CI266:CO266"/>
    <mergeCell ref="CP266:CV266"/>
    <mergeCell ref="CW266:DC266"/>
    <mergeCell ref="DD266:DJ266"/>
    <mergeCell ref="DK266:DQ266"/>
    <mergeCell ref="DR266:DX266"/>
    <mergeCell ref="DY266:EE266"/>
    <mergeCell ref="AD263:AJ263"/>
    <mergeCell ref="AK263:AQ263"/>
    <mergeCell ref="AR263:AX263"/>
    <mergeCell ref="AY263:BE263"/>
    <mergeCell ref="BF263:BL263"/>
    <mergeCell ref="BM263:BS263"/>
    <mergeCell ref="CB263:CH263"/>
    <mergeCell ref="CI263:CO263"/>
    <mergeCell ref="CP263:CV263"/>
    <mergeCell ref="CW263:DC263"/>
    <mergeCell ref="DD263:DJ263"/>
    <mergeCell ref="DK263:DQ263"/>
    <mergeCell ref="DR263:DX263"/>
    <mergeCell ref="DY263:EE263"/>
    <mergeCell ref="AD264:AJ264"/>
    <mergeCell ref="AK264:AQ264"/>
    <mergeCell ref="AR264:AX264"/>
    <mergeCell ref="AY264:BE264"/>
    <mergeCell ref="BF264:BL264"/>
    <mergeCell ref="BM264:BS264"/>
    <mergeCell ref="CB264:CH264"/>
    <mergeCell ref="CI264:CO264"/>
    <mergeCell ref="CP264:CV264"/>
    <mergeCell ref="CW264:DC264"/>
    <mergeCell ref="DD264:DJ264"/>
    <mergeCell ref="DK264:DQ264"/>
    <mergeCell ref="DR264:DX264"/>
    <mergeCell ref="DY264:EE264"/>
    <mergeCell ref="AR261:AX261"/>
    <mergeCell ref="AY261:BE261"/>
    <mergeCell ref="BF261:BL261"/>
    <mergeCell ref="BM261:BS261"/>
    <mergeCell ref="CB261:CH261"/>
    <mergeCell ref="CI261:CO261"/>
    <mergeCell ref="CP261:CV261"/>
    <mergeCell ref="CW261:DC261"/>
    <mergeCell ref="DD261:DJ261"/>
    <mergeCell ref="DK261:DQ261"/>
    <mergeCell ref="DR261:DX261"/>
    <mergeCell ref="DY261:EE261"/>
    <mergeCell ref="AR262:AX262"/>
    <mergeCell ref="AY262:BE262"/>
    <mergeCell ref="BF262:BL262"/>
    <mergeCell ref="BM262:BS262"/>
    <mergeCell ref="CB262:CH262"/>
    <mergeCell ref="CI262:CO262"/>
    <mergeCell ref="CP262:CV262"/>
    <mergeCell ref="CW262:DC262"/>
    <mergeCell ref="DD262:DJ262"/>
    <mergeCell ref="DK262:DQ262"/>
    <mergeCell ref="DR262:DX262"/>
    <mergeCell ref="DY262:EE262"/>
    <mergeCell ref="BU263:CA263"/>
    <mergeCell ref="BU264:CA264"/>
    <mergeCell ref="BF259:BL259"/>
    <mergeCell ref="BM259:BS259"/>
    <mergeCell ref="CB259:CH259"/>
    <mergeCell ref="CI259:CO259"/>
    <mergeCell ref="CP259:CV259"/>
    <mergeCell ref="CW259:DC259"/>
    <mergeCell ref="DD259:DJ259"/>
    <mergeCell ref="DK259:DQ259"/>
    <mergeCell ref="DR259:DX259"/>
    <mergeCell ref="DY259:EE259"/>
    <mergeCell ref="AR260:AX260"/>
    <mergeCell ref="AY260:BE260"/>
    <mergeCell ref="BF260:BL260"/>
    <mergeCell ref="BM260:BS260"/>
    <mergeCell ref="CB260:CH260"/>
    <mergeCell ref="CI260:CO260"/>
    <mergeCell ref="CP260:CV260"/>
    <mergeCell ref="CW260:DC260"/>
    <mergeCell ref="DD260:DJ260"/>
    <mergeCell ref="DK260:DQ260"/>
    <mergeCell ref="DR260:DX260"/>
    <mergeCell ref="DY260:EE260"/>
    <mergeCell ref="BM257:BS257"/>
    <mergeCell ref="CB257:CH257"/>
    <mergeCell ref="CI257:CO257"/>
    <mergeCell ref="CP257:CV257"/>
    <mergeCell ref="CW257:DC257"/>
    <mergeCell ref="DD257:DJ257"/>
    <mergeCell ref="DK257:DQ257"/>
    <mergeCell ref="DR257:DX257"/>
    <mergeCell ref="DY257:EE257"/>
    <mergeCell ref="AR258:AX258"/>
    <mergeCell ref="AY258:BE258"/>
    <mergeCell ref="BF258:BL258"/>
    <mergeCell ref="BM258:BS258"/>
    <mergeCell ref="CB258:CH258"/>
    <mergeCell ref="CI258:CO258"/>
    <mergeCell ref="CP258:CV258"/>
    <mergeCell ref="CW258:DC258"/>
    <mergeCell ref="DD258:DJ258"/>
    <mergeCell ref="DK258:DQ258"/>
    <mergeCell ref="DR258:DX258"/>
    <mergeCell ref="DY258:EE258"/>
    <mergeCell ref="BF257:BL257"/>
    <mergeCell ref="AR257:AX257"/>
    <mergeCell ref="AY257:BE257"/>
    <mergeCell ref="CB255:CH255"/>
    <mergeCell ref="CI255:CO255"/>
    <mergeCell ref="CP255:CV255"/>
    <mergeCell ref="CW255:DC255"/>
    <mergeCell ref="DD255:DJ255"/>
    <mergeCell ref="DK255:DQ255"/>
    <mergeCell ref="DR255:DX255"/>
    <mergeCell ref="DY255:EE255"/>
    <mergeCell ref="AR256:AX256"/>
    <mergeCell ref="AY256:BE256"/>
    <mergeCell ref="BF256:BL256"/>
    <mergeCell ref="BM256:BS256"/>
    <mergeCell ref="CB256:CH256"/>
    <mergeCell ref="CI256:CO256"/>
    <mergeCell ref="CP256:CV256"/>
    <mergeCell ref="CW256:DC256"/>
    <mergeCell ref="DD256:DJ256"/>
    <mergeCell ref="DK256:DQ256"/>
    <mergeCell ref="DR256:DX256"/>
    <mergeCell ref="DY256:EE256"/>
    <mergeCell ref="BF255:BL255"/>
    <mergeCell ref="BM255:BS255"/>
    <mergeCell ref="CB253:CH253"/>
    <mergeCell ref="CI253:CO253"/>
    <mergeCell ref="CP253:CV253"/>
    <mergeCell ref="CW253:DC253"/>
    <mergeCell ref="DD253:DJ253"/>
    <mergeCell ref="DK253:DQ253"/>
    <mergeCell ref="DR253:DX253"/>
    <mergeCell ref="DY253:EE253"/>
    <mergeCell ref="AR254:AX254"/>
    <mergeCell ref="AY254:BE254"/>
    <mergeCell ref="BF254:BL254"/>
    <mergeCell ref="BM254:BS254"/>
    <mergeCell ref="CB254:CH254"/>
    <mergeCell ref="CI254:CO254"/>
    <mergeCell ref="CP254:CV254"/>
    <mergeCell ref="CW254:DC254"/>
    <mergeCell ref="DD254:DJ254"/>
    <mergeCell ref="DK254:DQ254"/>
    <mergeCell ref="DR254:DX254"/>
    <mergeCell ref="DY254:EE254"/>
    <mergeCell ref="BF253:BL253"/>
    <mergeCell ref="BM253:BS253"/>
    <mergeCell ref="CB251:CH251"/>
    <mergeCell ref="CI251:CO251"/>
    <mergeCell ref="CP251:CV251"/>
    <mergeCell ref="CW251:DC251"/>
    <mergeCell ref="DD251:DJ251"/>
    <mergeCell ref="DK251:DQ251"/>
    <mergeCell ref="DR251:DX251"/>
    <mergeCell ref="DY251:EE251"/>
    <mergeCell ref="AR252:AX252"/>
    <mergeCell ref="AY252:BE252"/>
    <mergeCell ref="BF252:BL252"/>
    <mergeCell ref="BM252:BS252"/>
    <mergeCell ref="CB252:CH252"/>
    <mergeCell ref="CI252:CO252"/>
    <mergeCell ref="CP252:CV252"/>
    <mergeCell ref="CW252:DC252"/>
    <mergeCell ref="DD252:DJ252"/>
    <mergeCell ref="DK252:DQ252"/>
    <mergeCell ref="DR252:DX252"/>
    <mergeCell ref="DY252:EE252"/>
    <mergeCell ref="BF251:BL251"/>
    <mergeCell ref="BM251:BS251"/>
    <mergeCell ref="CW249:DC249"/>
    <mergeCell ref="DD249:DJ249"/>
    <mergeCell ref="DK249:DQ249"/>
    <mergeCell ref="DR249:DX249"/>
    <mergeCell ref="DY249:EE249"/>
    <mergeCell ref="AR250:AX250"/>
    <mergeCell ref="AY250:BE250"/>
    <mergeCell ref="BF250:BL250"/>
    <mergeCell ref="BM250:BS250"/>
    <mergeCell ref="CB250:CH250"/>
    <mergeCell ref="CI250:CO250"/>
    <mergeCell ref="CP250:CV250"/>
    <mergeCell ref="CW250:DC250"/>
    <mergeCell ref="DD250:DJ250"/>
    <mergeCell ref="DK250:DQ250"/>
    <mergeCell ref="DR250:DX250"/>
    <mergeCell ref="DY250:EE250"/>
    <mergeCell ref="AR249:AX249"/>
    <mergeCell ref="AY249:BE249"/>
    <mergeCell ref="BF249:BL249"/>
    <mergeCell ref="BM249:BS249"/>
    <mergeCell ref="CB249:CH249"/>
    <mergeCell ref="C225:EE225"/>
    <mergeCell ref="BU226:EE226"/>
    <mergeCell ref="AD230:AJ230"/>
    <mergeCell ref="AK230:AQ230"/>
    <mergeCell ref="AR230:AX230"/>
    <mergeCell ref="AY230:BE230"/>
    <mergeCell ref="BF230:BL230"/>
    <mergeCell ref="BM230:BS230"/>
    <mergeCell ref="AD232:AJ232"/>
    <mergeCell ref="AK232:AQ232"/>
    <mergeCell ref="AR232:AX232"/>
    <mergeCell ref="AY232:BE232"/>
    <mergeCell ref="BF232:BL232"/>
    <mergeCell ref="BM232:BS232"/>
    <mergeCell ref="AD234:AJ234"/>
    <mergeCell ref="AK234:AQ234"/>
    <mergeCell ref="AR234:AX234"/>
    <mergeCell ref="AY234:BE234"/>
    <mergeCell ref="BF234:BL234"/>
    <mergeCell ref="BM234:BS234"/>
    <mergeCell ref="AD228:AJ228"/>
    <mergeCell ref="AK228:AQ228"/>
    <mergeCell ref="DK228:DQ228"/>
    <mergeCell ref="DR228:DX228"/>
    <mergeCell ref="DY228:EE228"/>
    <mergeCell ref="O229:U229"/>
    <mergeCell ref="W229:AC229"/>
    <mergeCell ref="AD229:AJ229"/>
    <mergeCell ref="AK229:AQ229"/>
    <mergeCell ref="AR229:AX229"/>
    <mergeCell ref="AY229:BE229"/>
    <mergeCell ref="BF229:BL229"/>
    <mergeCell ref="C248:N249"/>
    <mergeCell ref="O249:U249"/>
    <mergeCell ref="O250:U250"/>
    <mergeCell ref="O248:U248"/>
    <mergeCell ref="C247:EE247"/>
    <mergeCell ref="C226:N227"/>
    <mergeCell ref="O226:U226"/>
    <mergeCell ref="W226:BS226"/>
    <mergeCell ref="C230:N230"/>
    <mergeCell ref="O230:U230"/>
    <mergeCell ref="W230:AC230"/>
    <mergeCell ref="C232:N232"/>
    <mergeCell ref="O232:U232"/>
    <mergeCell ref="W232:AC232"/>
    <mergeCell ref="C234:N234"/>
    <mergeCell ref="O234:U234"/>
    <mergeCell ref="W234:AC234"/>
    <mergeCell ref="C236:N236"/>
    <mergeCell ref="O236:U236"/>
    <mergeCell ref="W236:AC236"/>
    <mergeCell ref="C238:N238"/>
    <mergeCell ref="O238:U238"/>
    <mergeCell ref="C228:N228"/>
    <mergeCell ref="C229:N229"/>
    <mergeCell ref="C240:N240"/>
    <mergeCell ref="C242:N242"/>
    <mergeCell ref="C244:N244"/>
    <mergeCell ref="AD236:AJ236"/>
    <mergeCell ref="AK236:AQ236"/>
    <mergeCell ref="AR236:AX236"/>
    <mergeCell ref="AY236:BE236"/>
    <mergeCell ref="BM238:BS238"/>
    <mergeCell ref="E980:S980"/>
    <mergeCell ref="T980:AC980"/>
    <mergeCell ref="AD980:AM980"/>
    <mergeCell ref="AN980:AW980"/>
    <mergeCell ref="AY980:BM980"/>
    <mergeCell ref="BN980:BW980"/>
    <mergeCell ref="BX980:CG980"/>
    <mergeCell ref="CH980:CQ980"/>
    <mergeCell ref="E981:S981"/>
    <mergeCell ref="T981:AC981"/>
    <mergeCell ref="AD981:AM981"/>
    <mergeCell ref="AN981:AW981"/>
    <mergeCell ref="BX981:CG981"/>
    <mergeCell ref="CH981:CQ981"/>
    <mergeCell ref="E982:S982"/>
    <mergeCell ref="T982:AC982"/>
    <mergeCell ref="AD982:AM982"/>
    <mergeCell ref="AN982:AW982"/>
    <mergeCell ref="AY982:BM982"/>
    <mergeCell ref="BN982:BW982"/>
    <mergeCell ref="BX982:CG982"/>
    <mergeCell ref="CH982:CQ982"/>
    <mergeCell ref="AY977:CQ977"/>
    <mergeCell ref="E978:S978"/>
    <mergeCell ref="T978:AC978"/>
    <mergeCell ref="AD978:AM978"/>
    <mergeCell ref="AN978:AW978"/>
    <mergeCell ref="AY978:BM978"/>
    <mergeCell ref="BN978:BW978"/>
    <mergeCell ref="BX978:CG978"/>
    <mergeCell ref="CH978:CQ978"/>
    <mergeCell ref="E979:S979"/>
    <mergeCell ref="T979:AC979"/>
    <mergeCell ref="AD979:AM979"/>
    <mergeCell ref="AN979:AW979"/>
    <mergeCell ref="AY979:BM979"/>
    <mergeCell ref="BN979:BW979"/>
    <mergeCell ref="BX979:CG979"/>
    <mergeCell ref="CH979:CQ979"/>
    <mergeCell ref="C996:N996"/>
    <mergeCell ref="O996:U996"/>
    <mergeCell ref="W996:AC996"/>
    <mergeCell ref="AD996:AJ996"/>
    <mergeCell ref="AK996:AQ996"/>
    <mergeCell ref="C992:N992"/>
    <mergeCell ref="O992:U992"/>
    <mergeCell ref="W992:AC992"/>
    <mergeCell ref="AD992:AJ992"/>
    <mergeCell ref="AK992:AQ992"/>
    <mergeCell ref="AR992:AX992"/>
    <mergeCell ref="AY992:BE992"/>
    <mergeCell ref="BF992:BL992"/>
    <mergeCell ref="C975:S975"/>
    <mergeCell ref="T975:AC975"/>
    <mergeCell ref="AD975:AM975"/>
    <mergeCell ref="AN975:AW975"/>
    <mergeCell ref="AY975:BO975"/>
    <mergeCell ref="E983:S983"/>
    <mergeCell ref="T983:AC983"/>
    <mergeCell ref="AD983:AM983"/>
    <mergeCell ref="AN983:AW983"/>
    <mergeCell ref="AY983:BM983"/>
    <mergeCell ref="BN983:BW983"/>
    <mergeCell ref="AY981:BM981"/>
    <mergeCell ref="BN981:BW981"/>
    <mergeCell ref="BU988:CA988"/>
    <mergeCell ref="BP975:BY975"/>
    <mergeCell ref="BZ975:CI975"/>
    <mergeCell ref="BX983:CG983"/>
    <mergeCell ref="CH983:CQ983"/>
    <mergeCell ref="E977:AW977"/>
    <mergeCell ref="CJ975:CS975"/>
    <mergeCell ref="C971:S971"/>
    <mergeCell ref="T971:AC971"/>
    <mergeCell ref="AD971:AM971"/>
    <mergeCell ref="AN971:AW971"/>
    <mergeCell ref="AY971:BO971"/>
    <mergeCell ref="BP971:BY971"/>
    <mergeCell ref="BZ971:CI971"/>
    <mergeCell ref="CJ971:CS971"/>
    <mergeCell ref="C972:S972"/>
    <mergeCell ref="T972:AC972"/>
    <mergeCell ref="AD972:AM972"/>
    <mergeCell ref="AN972:AW972"/>
    <mergeCell ref="AY972:BO972"/>
    <mergeCell ref="BP972:BY972"/>
    <mergeCell ref="BZ972:CI972"/>
    <mergeCell ref="CJ972:CS972"/>
    <mergeCell ref="C973:S973"/>
    <mergeCell ref="T973:AC973"/>
    <mergeCell ref="AD973:AM973"/>
    <mergeCell ref="AN973:AW973"/>
    <mergeCell ref="AY973:BO973"/>
    <mergeCell ref="BP973:BY973"/>
    <mergeCell ref="BZ973:CI973"/>
    <mergeCell ref="CJ973:CS973"/>
    <mergeCell ref="T974:AC974"/>
    <mergeCell ref="AD974:AM974"/>
    <mergeCell ref="AN974:AW974"/>
    <mergeCell ref="BP974:BY974"/>
    <mergeCell ref="BZ974:CI974"/>
    <mergeCell ref="CJ974:CS974"/>
    <mergeCell ref="C967:S967"/>
    <mergeCell ref="T967:AC967"/>
    <mergeCell ref="AD967:AM967"/>
    <mergeCell ref="AN967:AW967"/>
    <mergeCell ref="AY967:BO967"/>
    <mergeCell ref="BP967:BY967"/>
    <mergeCell ref="BZ967:CI967"/>
    <mergeCell ref="CJ967:CS967"/>
    <mergeCell ref="C968:S968"/>
    <mergeCell ref="T968:AC968"/>
    <mergeCell ref="AD968:AM968"/>
    <mergeCell ref="AN968:AW968"/>
    <mergeCell ref="AY968:BO968"/>
    <mergeCell ref="BP968:BY968"/>
    <mergeCell ref="BZ968:CI968"/>
    <mergeCell ref="CJ968:CS968"/>
    <mergeCell ref="C969:S969"/>
    <mergeCell ref="T969:AC969"/>
    <mergeCell ref="AD969:AM969"/>
    <mergeCell ref="AN969:AW969"/>
    <mergeCell ref="AY969:BO969"/>
    <mergeCell ref="BP969:BY969"/>
    <mergeCell ref="BZ969:CI969"/>
    <mergeCell ref="CJ969:CS969"/>
    <mergeCell ref="T970:AC970"/>
    <mergeCell ref="AD970:AM970"/>
    <mergeCell ref="AN970:AW970"/>
    <mergeCell ref="BP970:BY970"/>
    <mergeCell ref="BZ970:CI970"/>
    <mergeCell ref="CJ970:CS970"/>
    <mergeCell ref="C963:S963"/>
    <mergeCell ref="T963:AC963"/>
    <mergeCell ref="AD963:AM963"/>
    <mergeCell ref="AN963:AW963"/>
    <mergeCell ref="AY963:BO963"/>
    <mergeCell ref="BP963:BY963"/>
    <mergeCell ref="BZ963:CI963"/>
    <mergeCell ref="CJ963:CS963"/>
    <mergeCell ref="C964:S964"/>
    <mergeCell ref="T964:AC964"/>
    <mergeCell ref="AD964:AM964"/>
    <mergeCell ref="AN964:AW964"/>
    <mergeCell ref="AY964:BO964"/>
    <mergeCell ref="BP964:BY964"/>
    <mergeCell ref="BZ964:CI964"/>
    <mergeCell ref="CJ964:CS964"/>
    <mergeCell ref="C965:S965"/>
    <mergeCell ref="T965:AC965"/>
    <mergeCell ref="AD965:AM965"/>
    <mergeCell ref="AN965:AW965"/>
    <mergeCell ref="AY965:BO965"/>
    <mergeCell ref="BP965:BY965"/>
    <mergeCell ref="BZ965:CI965"/>
    <mergeCell ref="CJ965:CS965"/>
    <mergeCell ref="T966:AC966"/>
    <mergeCell ref="AD966:AM966"/>
    <mergeCell ref="AN966:AW966"/>
    <mergeCell ref="BP966:BY966"/>
    <mergeCell ref="BZ966:CI966"/>
    <mergeCell ref="CJ966:CS966"/>
    <mergeCell ref="C959:S959"/>
    <mergeCell ref="T959:AC959"/>
    <mergeCell ref="AD959:AM959"/>
    <mergeCell ref="AN959:AW959"/>
    <mergeCell ref="AY959:BO959"/>
    <mergeCell ref="BP959:BY959"/>
    <mergeCell ref="BZ959:CI959"/>
    <mergeCell ref="CJ959:CS959"/>
    <mergeCell ref="C960:S960"/>
    <mergeCell ref="T960:AC960"/>
    <mergeCell ref="AD960:AM960"/>
    <mergeCell ref="AN960:AW960"/>
    <mergeCell ref="AY960:BO960"/>
    <mergeCell ref="BP960:BY960"/>
    <mergeCell ref="BZ960:CI960"/>
    <mergeCell ref="CJ960:CS960"/>
    <mergeCell ref="C961:S961"/>
    <mergeCell ref="T961:AC961"/>
    <mergeCell ref="AD961:AM961"/>
    <mergeCell ref="AN961:AW961"/>
    <mergeCell ref="AY961:BO961"/>
    <mergeCell ref="BP961:BY961"/>
    <mergeCell ref="BZ961:CI961"/>
    <mergeCell ref="CJ961:CS961"/>
    <mergeCell ref="T962:AC962"/>
    <mergeCell ref="AD962:AM962"/>
    <mergeCell ref="AN962:AW962"/>
    <mergeCell ref="BP962:BY962"/>
    <mergeCell ref="BZ962:CI962"/>
    <mergeCell ref="CJ962:CS962"/>
    <mergeCell ref="C955:S955"/>
    <mergeCell ref="T955:AC955"/>
    <mergeCell ref="AD955:AM955"/>
    <mergeCell ref="AN955:AW955"/>
    <mergeCell ref="AY955:BO955"/>
    <mergeCell ref="BP955:BY955"/>
    <mergeCell ref="BZ955:CI955"/>
    <mergeCell ref="CJ955:CS955"/>
    <mergeCell ref="C956:S956"/>
    <mergeCell ref="T956:AC956"/>
    <mergeCell ref="AD956:AM956"/>
    <mergeCell ref="AN956:AW956"/>
    <mergeCell ref="AY956:BO956"/>
    <mergeCell ref="BP956:BY956"/>
    <mergeCell ref="BZ956:CI956"/>
    <mergeCell ref="CJ956:CS956"/>
    <mergeCell ref="C957:S957"/>
    <mergeCell ref="T957:AC957"/>
    <mergeCell ref="AD957:AM957"/>
    <mergeCell ref="AN957:AW957"/>
    <mergeCell ref="AY957:BO957"/>
    <mergeCell ref="BP957:BY957"/>
    <mergeCell ref="BZ957:CI957"/>
    <mergeCell ref="CJ957:CS957"/>
    <mergeCell ref="T958:AC958"/>
    <mergeCell ref="AD958:AM958"/>
    <mergeCell ref="AN958:AW958"/>
    <mergeCell ref="BP958:BY958"/>
    <mergeCell ref="BZ958:CI958"/>
    <mergeCell ref="CJ958:CS958"/>
    <mergeCell ref="C951:S951"/>
    <mergeCell ref="T951:AC951"/>
    <mergeCell ref="AD951:AM951"/>
    <mergeCell ref="AN951:AW951"/>
    <mergeCell ref="AY951:BO951"/>
    <mergeCell ref="BP951:BY951"/>
    <mergeCell ref="BZ951:CI951"/>
    <mergeCell ref="CJ951:CS951"/>
    <mergeCell ref="C952:S952"/>
    <mergeCell ref="T952:AC952"/>
    <mergeCell ref="AD952:AM952"/>
    <mergeCell ref="AN952:AW952"/>
    <mergeCell ref="AY952:BO952"/>
    <mergeCell ref="BP952:BY952"/>
    <mergeCell ref="BZ952:CI952"/>
    <mergeCell ref="CJ952:CS952"/>
    <mergeCell ref="C953:S953"/>
    <mergeCell ref="T953:AC953"/>
    <mergeCell ref="AD953:AM953"/>
    <mergeCell ref="AN953:AW953"/>
    <mergeCell ref="AY953:BO953"/>
    <mergeCell ref="BP953:BY953"/>
    <mergeCell ref="BZ953:CI953"/>
    <mergeCell ref="CJ953:CS953"/>
    <mergeCell ref="T954:AC954"/>
    <mergeCell ref="AD954:AM954"/>
    <mergeCell ref="AN954:AW954"/>
    <mergeCell ref="BP954:BY954"/>
    <mergeCell ref="BZ954:CI954"/>
    <mergeCell ref="CJ954:CS954"/>
    <mergeCell ref="AY947:BO947"/>
    <mergeCell ref="BP947:BY947"/>
    <mergeCell ref="BZ947:CI947"/>
    <mergeCell ref="CJ947:CS947"/>
    <mergeCell ref="C948:S948"/>
    <mergeCell ref="T948:AC948"/>
    <mergeCell ref="AD948:AM948"/>
    <mergeCell ref="AN948:AW948"/>
    <mergeCell ref="AY948:BO948"/>
    <mergeCell ref="BP948:BY948"/>
    <mergeCell ref="BZ948:CI948"/>
    <mergeCell ref="CJ948:CS948"/>
    <mergeCell ref="C949:S949"/>
    <mergeCell ref="T949:AC949"/>
    <mergeCell ref="AD949:AM949"/>
    <mergeCell ref="AN949:AW949"/>
    <mergeCell ref="AY949:BO949"/>
    <mergeCell ref="BP949:BY949"/>
    <mergeCell ref="BZ949:CI949"/>
    <mergeCell ref="CJ949:CS949"/>
    <mergeCell ref="T950:AC950"/>
    <mergeCell ref="AD950:AM950"/>
    <mergeCell ref="AN950:AW950"/>
    <mergeCell ref="BP950:BY950"/>
    <mergeCell ref="BZ950:CI950"/>
    <mergeCell ref="CJ950:CS950"/>
    <mergeCell ref="C944:S944"/>
    <mergeCell ref="T944:AC944"/>
    <mergeCell ref="AD944:AM944"/>
    <mergeCell ref="AN944:AW944"/>
    <mergeCell ref="AY944:BO944"/>
    <mergeCell ref="BP944:BY944"/>
    <mergeCell ref="BZ944:CI944"/>
    <mergeCell ref="CJ944:CS944"/>
    <mergeCell ref="C945:S945"/>
    <mergeCell ref="T945:AC945"/>
    <mergeCell ref="AD945:AM945"/>
    <mergeCell ref="AN945:AW945"/>
    <mergeCell ref="AY945:BO945"/>
    <mergeCell ref="BP945:BY945"/>
    <mergeCell ref="BZ945:CI945"/>
    <mergeCell ref="CJ945:CS945"/>
    <mergeCell ref="T946:AC946"/>
    <mergeCell ref="AD946:AM946"/>
    <mergeCell ref="AN946:AW946"/>
    <mergeCell ref="BP946:BY946"/>
    <mergeCell ref="BZ946:CI946"/>
    <mergeCell ref="CJ946:CS946"/>
    <mergeCell ref="C947:S947"/>
    <mergeCell ref="T947:AC947"/>
    <mergeCell ref="AD947:AM947"/>
    <mergeCell ref="AN947:AW947"/>
    <mergeCell ref="C940:S940"/>
    <mergeCell ref="T940:AC940"/>
    <mergeCell ref="AD940:AM940"/>
    <mergeCell ref="AN940:AW940"/>
    <mergeCell ref="AY940:BO940"/>
    <mergeCell ref="BP940:BY940"/>
    <mergeCell ref="BZ940:CI940"/>
    <mergeCell ref="CJ940:CS940"/>
    <mergeCell ref="C941:S941"/>
    <mergeCell ref="T941:AC941"/>
    <mergeCell ref="AD941:AM941"/>
    <mergeCell ref="AN941:AW941"/>
    <mergeCell ref="AY941:BO941"/>
    <mergeCell ref="BP941:BY941"/>
    <mergeCell ref="BZ941:CI941"/>
    <mergeCell ref="CJ941:CS941"/>
    <mergeCell ref="C942:S942"/>
    <mergeCell ref="T942:AC942"/>
    <mergeCell ref="AD942:AM942"/>
    <mergeCell ref="AN942:AW942"/>
    <mergeCell ref="AY942:BO942"/>
    <mergeCell ref="BP942:BY942"/>
    <mergeCell ref="BZ942:CI942"/>
    <mergeCell ref="CJ942:CS942"/>
    <mergeCell ref="C943:S943"/>
    <mergeCell ref="T943:AC943"/>
    <mergeCell ref="AD943:AM943"/>
    <mergeCell ref="AN943:AW943"/>
    <mergeCell ref="AY943:BO943"/>
    <mergeCell ref="BP943:BY943"/>
    <mergeCell ref="BZ943:CI943"/>
    <mergeCell ref="CJ943:CS943"/>
    <mergeCell ref="C936:S936"/>
    <mergeCell ref="T936:AC936"/>
    <mergeCell ref="AD936:AM936"/>
    <mergeCell ref="AN936:AW936"/>
    <mergeCell ref="AY936:BO936"/>
    <mergeCell ref="BP936:BY936"/>
    <mergeCell ref="BZ936:CI936"/>
    <mergeCell ref="CJ936:CS936"/>
    <mergeCell ref="C937:S937"/>
    <mergeCell ref="T937:AC937"/>
    <mergeCell ref="AD937:AM937"/>
    <mergeCell ref="AN937:AW937"/>
    <mergeCell ref="AY937:BO937"/>
    <mergeCell ref="BP937:BY937"/>
    <mergeCell ref="BZ937:CI937"/>
    <mergeCell ref="CJ937:CS937"/>
    <mergeCell ref="C938:S938"/>
    <mergeCell ref="T938:AC938"/>
    <mergeCell ref="AD938:AM938"/>
    <mergeCell ref="AN938:AW938"/>
    <mergeCell ref="AY938:BO938"/>
    <mergeCell ref="BP938:BY938"/>
    <mergeCell ref="BZ938:CI938"/>
    <mergeCell ref="CJ938:CS938"/>
    <mergeCell ref="T939:AC939"/>
    <mergeCell ref="AD939:AM939"/>
    <mergeCell ref="AN939:AW939"/>
    <mergeCell ref="BP939:BY939"/>
    <mergeCell ref="BZ939:CI939"/>
    <mergeCell ref="CJ939:CS939"/>
    <mergeCell ref="C932:S932"/>
    <mergeCell ref="T932:AC932"/>
    <mergeCell ref="AD932:AM932"/>
    <mergeCell ref="AN932:AW932"/>
    <mergeCell ref="AY932:BO932"/>
    <mergeCell ref="BP932:BY932"/>
    <mergeCell ref="BZ932:CI932"/>
    <mergeCell ref="CJ932:CS932"/>
    <mergeCell ref="C933:S933"/>
    <mergeCell ref="T933:AC933"/>
    <mergeCell ref="AD933:AM933"/>
    <mergeCell ref="AN933:AW933"/>
    <mergeCell ref="AY933:BO933"/>
    <mergeCell ref="BP933:BY933"/>
    <mergeCell ref="BZ933:CI933"/>
    <mergeCell ref="CJ933:CS933"/>
    <mergeCell ref="C934:S934"/>
    <mergeCell ref="T934:AC934"/>
    <mergeCell ref="AD934:AM934"/>
    <mergeCell ref="AN934:AW934"/>
    <mergeCell ref="AY934:BO934"/>
    <mergeCell ref="BP934:BY934"/>
    <mergeCell ref="BZ934:CI934"/>
    <mergeCell ref="CJ934:CS934"/>
    <mergeCell ref="T935:AC935"/>
    <mergeCell ref="AD935:AM935"/>
    <mergeCell ref="AN935:AW935"/>
    <mergeCell ref="BP935:BY935"/>
    <mergeCell ref="BZ935:CI935"/>
    <mergeCell ref="CJ935:CS935"/>
    <mergeCell ref="C928:S928"/>
    <mergeCell ref="T928:AC928"/>
    <mergeCell ref="AD928:AM928"/>
    <mergeCell ref="AN928:AW928"/>
    <mergeCell ref="AY928:BO928"/>
    <mergeCell ref="BP928:BY928"/>
    <mergeCell ref="BZ928:CI928"/>
    <mergeCell ref="CJ928:CS928"/>
    <mergeCell ref="C929:S929"/>
    <mergeCell ref="T929:AC929"/>
    <mergeCell ref="AD929:AM929"/>
    <mergeCell ref="AN929:AW929"/>
    <mergeCell ref="AY929:BO929"/>
    <mergeCell ref="BP929:BY929"/>
    <mergeCell ref="BZ929:CI929"/>
    <mergeCell ref="CJ929:CS929"/>
    <mergeCell ref="C930:S930"/>
    <mergeCell ref="T930:AC930"/>
    <mergeCell ref="AD930:AM930"/>
    <mergeCell ref="AN930:AW930"/>
    <mergeCell ref="AY930:BO930"/>
    <mergeCell ref="BP930:BY930"/>
    <mergeCell ref="BZ930:CI930"/>
    <mergeCell ref="CJ930:CS930"/>
    <mergeCell ref="T931:AC931"/>
    <mergeCell ref="AD931:AM931"/>
    <mergeCell ref="AN931:AW931"/>
    <mergeCell ref="BP931:BY931"/>
    <mergeCell ref="BZ931:CI931"/>
    <mergeCell ref="CJ931:CS931"/>
    <mergeCell ref="C924:S924"/>
    <mergeCell ref="T924:AC924"/>
    <mergeCell ref="AD924:AM924"/>
    <mergeCell ref="AN924:AW924"/>
    <mergeCell ref="AY924:BO924"/>
    <mergeCell ref="BP924:BY924"/>
    <mergeCell ref="BZ924:CI924"/>
    <mergeCell ref="CJ924:CS924"/>
    <mergeCell ref="C925:S925"/>
    <mergeCell ref="T925:AC925"/>
    <mergeCell ref="AD925:AM925"/>
    <mergeCell ref="AN925:AW925"/>
    <mergeCell ref="AY925:BO925"/>
    <mergeCell ref="BP925:BY925"/>
    <mergeCell ref="BZ925:CI925"/>
    <mergeCell ref="CJ925:CS925"/>
    <mergeCell ref="C926:S926"/>
    <mergeCell ref="T926:AC926"/>
    <mergeCell ref="AD926:AM926"/>
    <mergeCell ref="AN926:AW926"/>
    <mergeCell ref="AY926:BO926"/>
    <mergeCell ref="BP926:BY926"/>
    <mergeCell ref="BZ926:CI926"/>
    <mergeCell ref="CJ926:CS926"/>
    <mergeCell ref="T927:AC927"/>
    <mergeCell ref="AD927:AM927"/>
    <mergeCell ref="AN927:AW927"/>
    <mergeCell ref="BP927:BY927"/>
    <mergeCell ref="BZ927:CI927"/>
    <mergeCell ref="CJ927:CS927"/>
    <mergeCell ref="C920:S920"/>
    <mergeCell ref="T920:AC920"/>
    <mergeCell ref="AD920:AM920"/>
    <mergeCell ref="AN920:AW920"/>
    <mergeCell ref="AY920:BO920"/>
    <mergeCell ref="BP920:BY920"/>
    <mergeCell ref="BZ920:CI920"/>
    <mergeCell ref="CJ920:CS920"/>
    <mergeCell ref="C921:S921"/>
    <mergeCell ref="T921:AC921"/>
    <mergeCell ref="AD921:AM921"/>
    <mergeCell ref="AN921:AW921"/>
    <mergeCell ref="AY921:BO921"/>
    <mergeCell ref="BP921:BY921"/>
    <mergeCell ref="BZ921:CI921"/>
    <mergeCell ref="CJ921:CS921"/>
    <mergeCell ref="C922:S922"/>
    <mergeCell ref="T922:AC922"/>
    <mergeCell ref="AD922:AM922"/>
    <mergeCell ref="AN922:AW922"/>
    <mergeCell ref="AY922:BO922"/>
    <mergeCell ref="BP922:BY922"/>
    <mergeCell ref="BZ922:CI922"/>
    <mergeCell ref="CJ922:CS922"/>
    <mergeCell ref="T923:AC923"/>
    <mergeCell ref="AD923:AM923"/>
    <mergeCell ref="AN923:AW923"/>
    <mergeCell ref="BP923:BY923"/>
    <mergeCell ref="BZ923:CI923"/>
    <mergeCell ref="CJ923:CS923"/>
    <mergeCell ref="C916:S916"/>
    <mergeCell ref="T916:AC916"/>
    <mergeCell ref="AD916:AM916"/>
    <mergeCell ref="AN916:AW916"/>
    <mergeCell ref="AY916:BO916"/>
    <mergeCell ref="BP916:BY916"/>
    <mergeCell ref="BZ916:CI916"/>
    <mergeCell ref="CJ916:CS916"/>
    <mergeCell ref="C917:S917"/>
    <mergeCell ref="T917:AC917"/>
    <mergeCell ref="AD917:AM917"/>
    <mergeCell ref="AN917:AW917"/>
    <mergeCell ref="AY917:BO917"/>
    <mergeCell ref="BP917:BY917"/>
    <mergeCell ref="BZ917:CI917"/>
    <mergeCell ref="CJ917:CS917"/>
    <mergeCell ref="C918:S918"/>
    <mergeCell ref="T918:AC918"/>
    <mergeCell ref="AD918:AM918"/>
    <mergeCell ref="AN918:AW918"/>
    <mergeCell ref="AY918:BO918"/>
    <mergeCell ref="BP918:BY918"/>
    <mergeCell ref="BZ918:CI918"/>
    <mergeCell ref="CJ918:CS918"/>
    <mergeCell ref="T919:AC919"/>
    <mergeCell ref="AD919:AM919"/>
    <mergeCell ref="AN919:AW919"/>
    <mergeCell ref="BP919:BY919"/>
    <mergeCell ref="BZ919:CI919"/>
    <mergeCell ref="CJ919:CS919"/>
    <mergeCell ref="C912:S912"/>
    <mergeCell ref="T912:AC912"/>
    <mergeCell ref="AD912:AM912"/>
    <mergeCell ref="AN912:AW912"/>
    <mergeCell ref="AY912:BO912"/>
    <mergeCell ref="BP912:BY912"/>
    <mergeCell ref="BZ912:CI912"/>
    <mergeCell ref="CJ912:CS912"/>
    <mergeCell ref="C913:S913"/>
    <mergeCell ref="T913:AC913"/>
    <mergeCell ref="AD913:AM913"/>
    <mergeCell ref="AN913:AW913"/>
    <mergeCell ref="AY913:BO913"/>
    <mergeCell ref="BP913:BY913"/>
    <mergeCell ref="BZ913:CI913"/>
    <mergeCell ref="CJ913:CS913"/>
    <mergeCell ref="C914:S914"/>
    <mergeCell ref="T914:AC914"/>
    <mergeCell ref="AD914:AM914"/>
    <mergeCell ref="AN914:AW914"/>
    <mergeCell ref="AY914:BO914"/>
    <mergeCell ref="BP914:BY914"/>
    <mergeCell ref="BZ914:CI914"/>
    <mergeCell ref="CJ914:CS914"/>
    <mergeCell ref="T915:AC915"/>
    <mergeCell ref="AD915:AM915"/>
    <mergeCell ref="AN915:AW915"/>
    <mergeCell ref="BP915:BY915"/>
    <mergeCell ref="C908:S908"/>
    <mergeCell ref="T908:AC908"/>
    <mergeCell ref="AD908:AM908"/>
    <mergeCell ref="AN908:AW908"/>
    <mergeCell ref="AY908:BO908"/>
    <mergeCell ref="BP908:BY908"/>
    <mergeCell ref="BZ908:CI908"/>
    <mergeCell ref="BZ915:CI915"/>
    <mergeCell ref="CJ915:CS915"/>
    <mergeCell ref="CJ908:CS908"/>
    <mergeCell ref="C909:S909"/>
    <mergeCell ref="T909:AC909"/>
    <mergeCell ref="AD909:AM909"/>
    <mergeCell ref="AN909:AW909"/>
    <mergeCell ref="AY909:BO909"/>
    <mergeCell ref="BP909:BY909"/>
    <mergeCell ref="BZ909:CI909"/>
    <mergeCell ref="CJ909:CS909"/>
    <mergeCell ref="C910:S910"/>
    <mergeCell ref="T910:AC910"/>
    <mergeCell ref="AD910:AM910"/>
    <mergeCell ref="AN910:AW910"/>
    <mergeCell ref="AY910:BO910"/>
    <mergeCell ref="BP910:BY910"/>
    <mergeCell ref="BZ910:CI910"/>
    <mergeCell ref="CJ910:CS910"/>
    <mergeCell ref="T911:AC911"/>
    <mergeCell ref="AD911:AM911"/>
    <mergeCell ref="AN911:AW911"/>
    <mergeCell ref="BP911:BY911"/>
    <mergeCell ref="BZ911:CI911"/>
    <mergeCell ref="CJ911:CS911"/>
    <mergeCell ref="BX831:CG831"/>
    <mergeCell ref="CH831:CQ831"/>
    <mergeCell ref="E832:S832"/>
    <mergeCell ref="T832:AC832"/>
    <mergeCell ref="AD832:AM832"/>
    <mergeCell ref="AN832:AW832"/>
    <mergeCell ref="AY832:BM832"/>
    <mergeCell ref="BN832:BW832"/>
    <mergeCell ref="BX832:CG832"/>
    <mergeCell ref="CH832:CQ832"/>
    <mergeCell ref="A900:CZ900"/>
    <mergeCell ref="AR903:CL903"/>
    <mergeCell ref="AR904:CL904"/>
    <mergeCell ref="C906:S907"/>
    <mergeCell ref="T906:AW906"/>
    <mergeCell ref="AY906:BO907"/>
    <mergeCell ref="BP906:CS906"/>
    <mergeCell ref="T907:AC907"/>
    <mergeCell ref="AD907:AM907"/>
    <mergeCell ref="AN907:AW907"/>
    <mergeCell ref="BP907:BY907"/>
    <mergeCell ref="BZ907:CI907"/>
    <mergeCell ref="CJ907:CS907"/>
    <mergeCell ref="BU838:CA838"/>
    <mergeCell ref="CB838:CH838"/>
    <mergeCell ref="CI838:CO838"/>
    <mergeCell ref="CP838:CV838"/>
    <mergeCell ref="CW838:DC838"/>
    <mergeCell ref="BX833:CG833"/>
    <mergeCell ref="CH833:CQ833"/>
    <mergeCell ref="E827:AW827"/>
    <mergeCell ref="AY827:CQ827"/>
    <mergeCell ref="E828:S828"/>
    <mergeCell ref="T828:AC828"/>
    <mergeCell ref="AD828:AM828"/>
    <mergeCell ref="AN828:AW828"/>
    <mergeCell ref="AY828:BM828"/>
    <mergeCell ref="BN828:BW828"/>
    <mergeCell ref="BX828:CG828"/>
    <mergeCell ref="CH828:CQ828"/>
    <mergeCell ref="E829:S829"/>
    <mergeCell ref="T829:AC829"/>
    <mergeCell ref="AD829:AM829"/>
    <mergeCell ref="AN829:AW829"/>
    <mergeCell ref="AY829:BM829"/>
    <mergeCell ref="BN829:BW829"/>
    <mergeCell ref="BX829:CG829"/>
    <mergeCell ref="CH829:CQ829"/>
    <mergeCell ref="E830:S830"/>
    <mergeCell ref="T830:AC830"/>
    <mergeCell ref="AD830:AM830"/>
    <mergeCell ref="AN830:AW830"/>
    <mergeCell ref="AY830:BM830"/>
    <mergeCell ref="BN830:BW830"/>
    <mergeCell ref="BX830:CG830"/>
    <mergeCell ref="CH830:CQ830"/>
    <mergeCell ref="E831:S831"/>
    <mergeCell ref="T831:AC831"/>
    <mergeCell ref="AD831:AM831"/>
    <mergeCell ref="AN831:AW831"/>
    <mergeCell ref="C846:N846"/>
    <mergeCell ref="O846:U846"/>
    <mergeCell ref="W846:AC846"/>
    <mergeCell ref="AD846:AJ846"/>
    <mergeCell ref="AK846:AQ846"/>
    <mergeCell ref="C842:N842"/>
    <mergeCell ref="O842:U842"/>
    <mergeCell ref="W842:AC842"/>
    <mergeCell ref="AD842:AJ842"/>
    <mergeCell ref="AK842:AQ842"/>
    <mergeCell ref="AR842:AX842"/>
    <mergeCell ref="AY842:BE842"/>
    <mergeCell ref="BF842:BL842"/>
    <mergeCell ref="C825:S825"/>
    <mergeCell ref="T825:AC825"/>
    <mergeCell ref="AD825:AM825"/>
    <mergeCell ref="AN825:AW825"/>
    <mergeCell ref="AY825:BO825"/>
    <mergeCell ref="E833:S833"/>
    <mergeCell ref="T833:AC833"/>
    <mergeCell ref="AD833:AM833"/>
    <mergeCell ref="AN833:AW833"/>
    <mergeCell ref="AY833:BM833"/>
    <mergeCell ref="BN833:BW833"/>
    <mergeCell ref="AY831:BM831"/>
    <mergeCell ref="BN831:BW831"/>
    <mergeCell ref="AD841:AJ841"/>
    <mergeCell ref="AK841:AQ841"/>
    <mergeCell ref="AR841:AX841"/>
    <mergeCell ref="AY841:BE841"/>
    <mergeCell ref="BF841:BL841"/>
    <mergeCell ref="BM841:BS841"/>
    <mergeCell ref="BP825:BY825"/>
    <mergeCell ref="BZ825:CI825"/>
    <mergeCell ref="CJ825:CS825"/>
    <mergeCell ref="C821:S821"/>
    <mergeCell ref="T821:AC821"/>
    <mergeCell ref="AD821:AM821"/>
    <mergeCell ref="AN821:AW821"/>
    <mergeCell ref="AY821:BO821"/>
    <mergeCell ref="BP821:BY821"/>
    <mergeCell ref="BZ821:CI821"/>
    <mergeCell ref="CJ821:CS821"/>
    <mergeCell ref="C822:S822"/>
    <mergeCell ref="T822:AC822"/>
    <mergeCell ref="AD822:AM822"/>
    <mergeCell ref="AN822:AW822"/>
    <mergeCell ref="AY822:BO822"/>
    <mergeCell ref="BP822:BY822"/>
    <mergeCell ref="BZ822:CI822"/>
    <mergeCell ref="CJ822:CS822"/>
    <mergeCell ref="C823:S823"/>
    <mergeCell ref="T823:AC823"/>
    <mergeCell ref="AD823:AM823"/>
    <mergeCell ref="AN823:AW823"/>
    <mergeCell ref="AY823:BO823"/>
    <mergeCell ref="BP823:BY823"/>
    <mergeCell ref="BZ823:CI823"/>
    <mergeCell ref="CJ823:CS823"/>
    <mergeCell ref="T824:AC824"/>
    <mergeCell ref="AD824:AM824"/>
    <mergeCell ref="AN824:AW824"/>
    <mergeCell ref="BP824:BY824"/>
    <mergeCell ref="BZ824:CI824"/>
    <mergeCell ref="CJ824:CS824"/>
    <mergeCell ref="C817:S817"/>
    <mergeCell ref="T817:AC817"/>
    <mergeCell ref="AD817:AM817"/>
    <mergeCell ref="AN817:AW817"/>
    <mergeCell ref="AY817:BO817"/>
    <mergeCell ref="BP817:BY817"/>
    <mergeCell ref="BZ817:CI817"/>
    <mergeCell ref="CJ817:CS817"/>
    <mergeCell ref="C818:S818"/>
    <mergeCell ref="T818:AC818"/>
    <mergeCell ref="AD818:AM818"/>
    <mergeCell ref="AN818:AW818"/>
    <mergeCell ref="AY818:BO818"/>
    <mergeCell ref="BP818:BY818"/>
    <mergeCell ref="BZ818:CI818"/>
    <mergeCell ref="CJ818:CS818"/>
    <mergeCell ref="C819:S819"/>
    <mergeCell ref="T819:AC819"/>
    <mergeCell ref="AD819:AM819"/>
    <mergeCell ref="AN819:AW819"/>
    <mergeCell ref="AY819:BO819"/>
    <mergeCell ref="BP819:BY819"/>
    <mergeCell ref="BZ819:CI819"/>
    <mergeCell ref="CJ819:CS819"/>
    <mergeCell ref="T820:AC820"/>
    <mergeCell ref="AD820:AM820"/>
    <mergeCell ref="AN820:AW820"/>
    <mergeCell ref="BP820:BY820"/>
    <mergeCell ref="BZ820:CI820"/>
    <mergeCell ref="CJ820:CS820"/>
    <mergeCell ref="C813:S813"/>
    <mergeCell ref="T813:AC813"/>
    <mergeCell ref="AD813:AM813"/>
    <mergeCell ref="AN813:AW813"/>
    <mergeCell ref="AY813:BO813"/>
    <mergeCell ref="BP813:BY813"/>
    <mergeCell ref="BZ813:CI813"/>
    <mergeCell ref="CJ813:CS813"/>
    <mergeCell ref="C814:S814"/>
    <mergeCell ref="T814:AC814"/>
    <mergeCell ref="AD814:AM814"/>
    <mergeCell ref="AN814:AW814"/>
    <mergeCell ref="AY814:BO814"/>
    <mergeCell ref="BP814:BY814"/>
    <mergeCell ref="BZ814:CI814"/>
    <mergeCell ref="CJ814:CS814"/>
    <mergeCell ref="C815:S815"/>
    <mergeCell ref="T815:AC815"/>
    <mergeCell ref="AD815:AM815"/>
    <mergeCell ref="AN815:AW815"/>
    <mergeCell ref="AY815:BO815"/>
    <mergeCell ref="BP815:BY815"/>
    <mergeCell ref="BZ815:CI815"/>
    <mergeCell ref="CJ815:CS815"/>
    <mergeCell ref="T816:AC816"/>
    <mergeCell ref="AD816:AM816"/>
    <mergeCell ref="AN816:AW816"/>
    <mergeCell ref="BP816:BY816"/>
    <mergeCell ref="BZ816:CI816"/>
    <mergeCell ref="CJ816:CS816"/>
    <mergeCell ref="C809:S809"/>
    <mergeCell ref="T809:AC809"/>
    <mergeCell ref="AD809:AM809"/>
    <mergeCell ref="AN809:AW809"/>
    <mergeCell ref="AY809:BO809"/>
    <mergeCell ref="BP809:BY809"/>
    <mergeCell ref="BZ809:CI809"/>
    <mergeCell ref="CJ809:CS809"/>
    <mergeCell ref="C810:S810"/>
    <mergeCell ref="T810:AC810"/>
    <mergeCell ref="AD810:AM810"/>
    <mergeCell ref="AN810:AW810"/>
    <mergeCell ref="AY810:BO810"/>
    <mergeCell ref="BP810:BY810"/>
    <mergeCell ref="BZ810:CI810"/>
    <mergeCell ref="CJ810:CS810"/>
    <mergeCell ref="C811:S811"/>
    <mergeCell ref="T811:AC811"/>
    <mergeCell ref="AD811:AM811"/>
    <mergeCell ref="AN811:AW811"/>
    <mergeCell ref="AY811:BO811"/>
    <mergeCell ref="BP811:BY811"/>
    <mergeCell ref="BZ811:CI811"/>
    <mergeCell ref="CJ811:CS811"/>
    <mergeCell ref="T812:AC812"/>
    <mergeCell ref="AD812:AM812"/>
    <mergeCell ref="AN812:AW812"/>
    <mergeCell ref="BP812:BY812"/>
    <mergeCell ref="BZ812:CI812"/>
    <mergeCell ref="CJ812:CS812"/>
    <mergeCell ref="C805:S805"/>
    <mergeCell ref="T805:AC805"/>
    <mergeCell ref="AD805:AM805"/>
    <mergeCell ref="AN805:AW805"/>
    <mergeCell ref="AY805:BO805"/>
    <mergeCell ref="BP805:BY805"/>
    <mergeCell ref="BZ805:CI805"/>
    <mergeCell ref="CJ805:CS805"/>
    <mergeCell ref="C806:S806"/>
    <mergeCell ref="T806:AC806"/>
    <mergeCell ref="AD806:AM806"/>
    <mergeCell ref="AN806:AW806"/>
    <mergeCell ref="AY806:BO806"/>
    <mergeCell ref="BP806:BY806"/>
    <mergeCell ref="BZ806:CI806"/>
    <mergeCell ref="CJ806:CS806"/>
    <mergeCell ref="C807:S807"/>
    <mergeCell ref="T807:AC807"/>
    <mergeCell ref="AD807:AM807"/>
    <mergeCell ref="AN807:AW807"/>
    <mergeCell ref="AY807:BO807"/>
    <mergeCell ref="BP807:BY807"/>
    <mergeCell ref="BZ807:CI807"/>
    <mergeCell ref="CJ807:CS807"/>
    <mergeCell ref="T808:AC808"/>
    <mergeCell ref="AD808:AM808"/>
    <mergeCell ref="AN808:AW808"/>
    <mergeCell ref="BP808:BY808"/>
    <mergeCell ref="BZ808:CI808"/>
    <mergeCell ref="CJ808:CS808"/>
    <mergeCell ref="C801:S801"/>
    <mergeCell ref="T801:AC801"/>
    <mergeCell ref="AD801:AM801"/>
    <mergeCell ref="AN801:AW801"/>
    <mergeCell ref="AY801:BO801"/>
    <mergeCell ref="BP801:BY801"/>
    <mergeCell ref="BZ801:CI801"/>
    <mergeCell ref="CJ801:CS801"/>
    <mergeCell ref="C802:S802"/>
    <mergeCell ref="T802:AC802"/>
    <mergeCell ref="AD802:AM802"/>
    <mergeCell ref="AN802:AW802"/>
    <mergeCell ref="AY802:BO802"/>
    <mergeCell ref="BP802:BY802"/>
    <mergeCell ref="BZ802:CI802"/>
    <mergeCell ref="CJ802:CS802"/>
    <mergeCell ref="C803:S803"/>
    <mergeCell ref="T803:AC803"/>
    <mergeCell ref="AD803:AM803"/>
    <mergeCell ref="AN803:AW803"/>
    <mergeCell ref="AY803:BO803"/>
    <mergeCell ref="BP803:BY803"/>
    <mergeCell ref="BZ803:CI803"/>
    <mergeCell ref="CJ803:CS803"/>
    <mergeCell ref="T804:AC804"/>
    <mergeCell ref="AD804:AM804"/>
    <mergeCell ref="AN804:AW804"/>
    <mergeCell ref="BP804:BY804"/>
    <mergeCell ref="BZ804:CI804"/>
    <mergeCell ref="CJ804:CS804"/>
    <mergeCell ref="AY797:BO797"/>
    <mergeCell ref="BP797:BY797"/>
    <mergeCell ref="BZ797:CI797"/>
    <mergeCell ref="CJ797:CS797"/>
    <mergeCell ref="C798:S798"/>
    <mergeCell ref="T798:AC798"/>
    <mergeCell ref="AD798:AM798"/>
    <mergeCell ref="AN798:AW798"/>
    <mergeCell ref="AY798:BO798"/>
    <mergeCell ref="BP798:BY798"/>
    <mergeCell ref="BZ798:CI798"/>
    <mergeCell ref="CJ798:CS798"/>
    <mergeCell ref="C799:S799"/>
    <mergeCell ref="T799:AC799"/>
    <mergeCell ref="AD799:AM799"/>
    <mergeCell ref="AN799:AW799"/>
    <mergeCell ref="AY799:BO799"/>
    <mergeCell ref="BP799:BY799"/>
    <mergeCell ref="BZ799:CI799"/>
    <mergeCell ref="CJ799:CS799"/>
    <mergeCell ref="T800:AC800"/>
    <mergeCell ref="AD800:AM800"/>
    <mergeCell ref="AN800:AW800"/>
    <mergeCell ref="BP800:BY800"/>
    <mergeCell ref="BZ800:CI800"/>
    <mergeCell ref="CJ800:CS800"/>
    <mergeCell ref="C794:S794"/>
    <mergeCell ref="T794:AC794"/>
    <mergeCell ref="AD794:AM794"/>
    <mergeCell ref="AN794:AW794"/>
    <mergeCell ref="AY794:BO794"/>
    <mergeCell ref="BP794:BY794"/>
    <mergeCell ref="BZ794:CI794"/>
    <mergeCell ref="CJ794:CS794"/>
    <mergeCell ref="C795:S795"/>
    <mergeCell ref="T795:AC795"/>
    <mergeCell ref="AD795:AM795"/>
    <mergeCell ref="AN795:AW795"/>
    <mergeCell ref="AY795:BO795"/>
    <mergeCell ref="BP795:BY795"/>
    <mergeCell ref="BZ795:CI795"/>
    <mergeCell ref="CJ795:CS795"/>
    <mergeCell ref="T796:AC796"/>
    <mergeCell ref="AD796:AM796"/>
    <mergeCell ref="AN796:AW796"/>
    <mergeCell ref="BP796:BY796"/>
    <mergeCell ref="BZ796:CI796"/>
    <mergeCell ref="CJ796:CS796"/>
    <mergeCell ref="C797:S797"/>
    <mergeCell ref="T797:AC797"/>
    <mergeCell ref="AD797:AM797"/>
    <mergeCell ref="AN797:AW797"/>
    <mergeCell ref="C790:S790"/>
    <mergeCell ref="T790:AC790"/>
    <mergeCell ref="AD790:AM790"/>
    <mergeCell ref="AN790:AW790"/>
    <mergeCell ref="AY790:BO790"/>
    <mergeCell ref="BP790:BY790"/>
    <mergeCell ref="BZ790:CI790"/>
    <mergeCell ref="CJ790:CS790"/>
    <mergeCell ref="C791:S791"/>
    <mergeCell ref="T791:AC791"/>
    <mergeCell ref="AD791:AM791"/>
    <mergeCell ref="AN791:AW791"/>
    <mergeCell ref="AY791:BO791"/>
    <mergeCell ref="BP791:BY791"/>
    <mergeCell ref="BZ791:CI791"/>
    <mergeCell ref="CJ791:CS791"/>
    <mergeCell ref="C792:S792"/>
    <mergeCell ref="T792:AC792"/>
    <mergeCell ref="AD792:AM792"/>
    <mergeCell ref="AN792:AW792"/>
    <mergeCell ref="AY792:BO792"/>
    <mergeCell ref="BP792:BY792"/>
    <mergeCell ref="BZ792:CI792"/>
    <mergeCell ref="CJ792:CS792"/>
    <mergeCell ref="C793:S793"/>
    <mergeCell ref="T793:AC793"/>
    <mergeCell ref="AD793:AM793"/>
    <mergeCell ref="AN793:AW793"/>
    <mergeCell ref="AY793:BO793"/>
    <mergeCell ref="BP793:BY793"/>
    <mergeCell ref="BZ793:CI793"/>
    <mergeCell ref="CJ793:CS793"/>
    <mergeCell ref="C786:S786"/>
    <mergeCell ref="T786:AC786"/>
    <mergeCell ref="AD786:AM786"/>
    <mergeCell ref="AN786:AW786"/>
    <mergeCell ref="AY786:BO786"/>
    <mergeCell ref="BP786:BY786"/>
    <mergeCell ref="BZ786:CI786"/>
    <mergeCell ref="CJ786:CS786"/>
    <mergeCell ref="C787:S787"/>
    <mergeCell ref="T787:AC787"/>
    <mergeCell ref="AD787:AM787"/>
    <mergeCell ref="AN787:AW787"/>
    <mergeCell ref="AY787:BO787"/>
    <mergeCell ref="BP787:BY787"/>
    <mergeCell ref="BZ787:CI787"/>
    <mergeCell ref="CJ787:CS787"/>
    <mergeCell ref="C788:S788"/>
    <mergeCell ref="T788:AC788"/>
    <mergeCell ref="AD788:AM788"/>
    <mergeCell ref="AN788:AW788"/>
    <mergeCell ref="AY788:BO788"/>
    <mergeCell ref="BP788:BY788"/>
    <mergeCell ref="BZ788:CI788"/>
    <mergeCell ref="CJ788:CS788"/>
    <mergeCell ref="T789:AC789"/>
    <mergeCell ref="AD789:AM789"/>
    <mergeCell ref="AN789:AW789"/>
    <mergeCell ref="BP789:BY789"/>
    <mergeCell ref="BZ789:CI789"/>
    <mergeCell ref="CJ789:CS789"/>
    <mergeCell ref="C782:S782"/>
    <mergeCell ref="T782:AC782"/>
    <mergeCell ref="AD782:AM782"/>
    <mergeCell ref="AN782:AW782"/>
    <mergeCell ref="AY782:BO782"/>
    <mergeCell ref="BP782:BY782"/>
    <mergeCell ref="BZ782:CI782"/>
    <mergeCell ref="CJ782:CS782"/>
    <mergeCell ref="C783:S783"/>
    <mergeCell ref="T783:AC783"/>
    <mergeCell ref="AD783:AM783"/>
    <mergeCell ref="AN783:AW783"/>
    <mergeCell ref="AY783:BO783"/>
    <mergeCell ref="BP783:BY783"/>
    <mergeCell ref="BZ783:CI783"/>
    <mergeCell ref="CJ783:CS783"/>
    <mergeCell ref="C784:S784"/>
    <mergeCell ref="T784:AC784"/>
    <mergeCell ref="AD784:AM784"/>
    <mergeCell ref="AN784:AW784"/>
    <mergeCell ref="AY784:BO784"/>
    <mergeCell ref="BP784:BY784"/>
    <mergeCell ref="BZ784:CI784"/>
    <mergeCell ref="CJ784:CS784"/>
    <mergeCell ref="T785:AC785"/>
    <mergeCell ref="AD785:AM785"/>
    <mergeCell ref="AN785:AW785"/>
    <mergeCell ref="BP785:BY785"/>
    <mergeCell ref="BZ785:CI785"/>
    <mergeCell ref="CJ785:CS785"/>
    <mergeCell ref="C778:S778"/>
    <mergeCell ref="T778:AC778"/>
    <mergeCell ref="AD778:AM778"/>
    <mergeCell ref="AN778:AW778"/>
    <mergeCell ref="AY778:BO778"/>
    <mergeCell ref="BP778:BY778"/>
    <mergeCell ref="BZ778:CI778"/>
    <mergeCell ref="CJ778:CS778"/>
    <mergeCell ref="C779:S779"/>
    <mergeCell ref="T779:AC779"/>
    <mergeCell ref="AD779:AM779"/>
    <mergeCell ref="AN779:AW779"/>
    <mergeCell ref="AY779:BO779"/>
    <mergeCell ref="BP779:BY779"/>
    <mergeCell ref="BZ779:CI779"/>
    <mergeCell ref="CJ779:CS779"/>
    <mergeCell ref="C780:S780"/>
    <mergeCell ref="T780:AC780"/>
    <mergeCell ref="AD780:AM780"/>
    <mergeCell ref="AN780:AW780"/>
    <mergeCell ref="AY780:BO780"/>
    <mergeCell ref="BP780:BY780"/>
    <mergeCell ref="BZ780:CI780"/>
    <mergeCell ref="CJ780:CS780"/>
    <mergeCell ref="T781:AC781"/>
    <mergeCell ref="AD781:AM781"/>
    <mergeCell ref="AN781:AW781"/>
    <mergeCell ref="BP781:BY781"/>
    <mergeCell ref="BZ781:CI781"/>
    <mergeCell ref="CJ781:CS781"/>
    <mergeCell ref="C774:S774"/>
    <mergeCell ref="T774:AC774"/>
    <mergeCell ref="AD774:AM774"/>
    <mergeCell ref="AN774:AW774"/>
    <mergeCell ref="AY774:BO774"/>
    <mergeCell ref="BP774:BY774"/>
    <mergeCell ref="BZ774:CI774"/>
    <mergeCell ref="CJ774:CS774"/>
    <mergeCell ref="C775:S775"/>
    <mergeCell ref="T775:AC775"/>
    <mergeCell ref="AD775:AM775"/>
    <mergeCell ref="AN775:AW775"/>
    <mergeCell ref="AY775:BO775"/>
    <mergeCell ref="BP775:BY775"/>
    <mergeCell ref="BZ775:CI775"/>
    <mergeCell ref="CJ775:CS775"/>
    <mergeCell ref="C776:S776"/>
    <mergeCell ref="T776:AC776"/>
    <mergeCell ref="AD776:AM776"/>
    <mergeCell ref="AN776:AW776"/>
    <mergeCell ref="AY776:BO776"/>
    <mergeCell ref="BP776:BY776"/>
    <mergeCell ref="BZ776:CI776"/>
    <mergeCell ref="CJ776:CS776"/>
    <mergeCell ref="T777:AC777"/>
    <mergeCell ref="AD777:AM777"/>
    <mergeCell ref="AN777:AW777"/>
    <mergeCell ref="BP777:BY777"/>
    <mergeCell ref="BZ777:CI777"/>
    <mergeCell ref="CJ777:CS777"/>
    <mergeCell ref="C770:S770"/>
    <mergeCell ref="T770:AC770"/>
    <mergeCell ref="AD770:AM770"/>
    <mergeCell ref="AN770:AW770"/>
    <mergeCell ref="AY770:BO770"/>
    <mergeCell ref="BP770:BY770"/>
    <mergeCell ref="BZ770:CI770"/>
    <mergeCell ref="CJ770:CS770"/>
    <mergeCell ref="C771:S771"/>
    <mergeCell ref="T771:AC771"/>
    <mergeCell ref="AD771:AM771"/>
    <mergeCell ref="AN771:AW771"/>
    <mergeCell ref="AY771:BO771"/>
    <mergeCell ref="BP771:BY771"/>
    <mergeCell ref="BZ771:CI771"/>
    <mergeCell ref="CJ771:CS771"/>
    <mergeCell ref="C772:S772"/>
    <mergeCell ref="T772:AC772"/>
    <mergeCell ref="AD772:AM772"/>
    <mergeCell ref="AN772:AW772"/>
    <mergeCell ref="AY772:BO772"/>
    <mergeCell ref="BP772:BY772"/>
    <mergeCell ref="BZ772:CI772"/>
    <mergeCell ref="CJ772:CS772"/>
    <mergeCell ref="T773:AC773"/>
    <mergeCell ref="AD773:AM773"/>
    <mergeCell ref="AN773:AW773"/>
    <mergeCell ref="BP773:BY773"/>
    <mergeCell ref="BZ773:CI773"/>
    <mergeCell ref="CJ773:CS773"/>
    <mergeCell ref="C766:S766"/>
    <mergeCell ref="T766:AC766"/>
    <mergeCell ref="AD766:AM766"/>
    <mergeCell ref="AN766:AW766"/>
    <mergeCell ref="AY766:BO766"/>
    <mergeCell ref="BP766:BY766"/>
    <mergeCell ref="BZ766:CI766"/>
    <mergeCell ref="CJ766:CS766"/>
    <mergeCell ref="C767:S767"/>
    <mergeCell ref="T767:AC767"/>
    <mergeCell ref="AD767:AM767"/>
    <mergeCell ref="AN767:AW767"/>
    <mergeCell ref="AY767:BO767"/>
    <mergeCell ref="BP767:BY767"/>
    <mergeCell ref="BZ767:CI767"/>
    <mergeCell ref="CJ767:CS767"/>
    <mergeCell ref="C768:S768"/>
    <mergeCell ref="T768:AC768"/>
    <mergeCell ref="AD768:AM768"/>
    <mergeCell ref="AN768:AW768"/>
    <mergeCell ref="AY768:BO768"/>
    <mergeCell ref="BP768:BY768"/>
    <mergeCell ref="BZ768:CI768"/>
    <mergeCell ref="CJ768:CS768"/>
    <mergeCell ref="T769:AC769"/>
    <mergeCell ref="AD769:AM769"/>
    <mergeCell ref="AN769:AW769"/>
    <mergeCell ref="BP769:BY769"/>
    <mergeCell ref="BZ769:CI769"/>
    <mergeCell ref="CJ769:CS769"/>
    <mergeCell ref="C762:S762"/>
    <mergeCell ref="T762:AC762"/>
    <mergeCell ref="AD762:AM762"/>
    <mergeCell ref="AN762:AW762"/>
    <mergeCell ref="AY762:BO762"/>
    <mergeCell ref="BP762:BY762"/>
    <mergeCell ref="BZ762:CI762"/>
    <mergeCell ref="CJ762:CS762"/>
    <mergeCell ref="C763:S763"/>
    <mergeCell ref="T763:AC763"/>
    <mergeCell ref="AD763:AM763"/>
    <mergeCell ref="AN763:AW763"/>
    <mergeCell ref="AY763:BO763"/>
    <mergeCell ref="BP763:BY763"/>
    <mergeCell ref="BZ763:CI763"/>
    <mergeCell ref="CJ763:CS763"/>
    <mergeCell ref="C764:S764"/>
    <mergeCell ref="T764:AC764"/>
    <mergeCell ref="AD764:AM764"/>
    <mergeCell ref="AN764:AW764"/>
    <mergeCell ref="AY764:BO764"/>
    <mergeCell ref="BP764:BY764"/>
    <mergeCell ref="BZ764:CI764"/>
    <mergeCell ref="CJ764:CS764"/>
    <mergeCell ref="T765:AC765"/>
    <mergeCell ref="AD765:AM765"/>
    <mergeCell ref="AN765:AW765"/>
    <mergeCell ref="BP765:BY765"/>
    <mergeCell ref="C758:S758"/>
    <mergeCell ref="T758:AC758"/>
    <mergeCell ref="AD758:AM758"/>
    <mergeCell ref="AN758:AW758"/>
    <mergeCell ref="AY758:BO758"/>
    <mergeCell ref="BP758:BY758"/>
    <mergeCell ref="BZ758:CI758"/>
    <mergeCell ref="BZ765:CI765"/>
    <mergeCell ref="CJ765:CS765"/>
    <mergeCell ref="CJ758:CS758"/>
    <mergeCell ref="C759:S759"/>
    <mergeCell ref="T759:AC759"/>
    <mergeCell ref="AD759:AM759"/>
    <mergeCell ref="AN759:AW759"/>
    <mergeCell ref="AY759:BO759"/>
    <mergeCell ref="BP759:BY759"/>
    <mergeCell ref="BZ759:CI759"/>
    <mergeCell ref="CJ759:CS759"/>
    <mergeCell ref="C760:S760"/>
    <mergeCell ref="T760:AC760"/>
    <mergeCell ref="AD760:AM760"/>
    <mergeCell ref="AN760:AW760"/>
    <mergeCell ref="AY760:BO760"/>
    <mergeCell ref="BP760:BY760"/>
    <mergeCell ref="BZ760:CI760"/>
    <mergeCell ref="CJ760:CS760"/>
    <mergeCell ref="T761:AC761"/>
    <mergeCell ref="AD761:AM761"/>
    <mergeCell ref="AN761:AW761"/>
    <mergeCell ref="BP761:BY761"/>
    <mergeCell ref="BZ761:CI761"/>
    <mergeCell ref="CJ761:CS761"/>
    <mergeCell ref="BX681:CG681"/>
    <mergeCell ref="CH681:CQ681"/>
    <mergeCell ref="E682:S682"/>
    <mergeCell ref="T682:AC682"/>
    <mergeCell ref="AD682:AM682"/>
    <mergeCell ref="AN682:AW682"/>
    <mergeCell ref="AY682:BM682"/>
    <mergeCell ref="BN682:BW682"/>
    <mergeCell ref="BX682:CG682"/>
    <mergeCell ref="CH682:CQ682"/>
    <mergeCell ref="A750:CZ750"/>
    <mergeCell ref="AR753:CL753"/>
    <mergeCell ref="AR754:CL754"/>
    <mergeCell ref="C756:S757"/>
    <mergeCell ref="T756:AW756"/>
    <mergeCell ref="AY756:BO757"/>
    <mergeCell ref="BP756:CS756"/>
    <mergeCell ref="T757:AC757"/>
    <mergeCell ref="AD757:AM757"/>
    <mergeCell ref="AN757:AW757"/>
    <mergeCell ref="BP757:BY757"/>
    <mergeCell ref="BZ757:CI757"/>
    <mergeCell ref="CJ757:CS757"/>
    <mergeCell ref="BU688:CA688"/>
    <mergeCell ref="CB688:CH688"/>
    <mergeCell ref="CI688:CO688"/>
    <mergeCell ref="CP688:CV688"/>
    <mergeCell ref="CW688:DC688"/>
    <mergeCell ref="CW690:DC690"/>
    <mergeCell ref="C691:N691"/>
    <mergeCell ref="O691:U691"/>
    <mergeCell ref="W691:AC691"/>
    <mergeCell ref="BX683:CG683"/>
    <mergeCell ref="CH683:CQ683"/>
    <mergeCell ref="E677:AW677"/>
    <mergeCell ref="AY677:CQ677"/>
    <mergeCell ref="E678:S678"/>
    <mergeCell ref="T678:AC678"/>
    <mergeCell ref="AD678:AM678"/>
    <mergeCell ref="AN678:AW678"/>
    <mergeCell ref="AY678:BM678"/>
    <mergeCell ref="BN678:BW678"/>
    <mergeCell ref="BX678:CG678"/>
    <mergeCell ref="CH678:CQ678"/>
    <mergeCell ref="E679:S679"/>
    <mergeCell ref="T679:AC679"/>
    <mergeCell ref="AD679:AM679"/>
    <mergeCell ref="AN679:AW679"/>
    <mergeCell ref="AY679:BM679"/>
    <mergeCell ref="BN679:BW679"/>
    <mergeCell ref="BX679:CG679"/>
    <mergeCell ref="CH679:CQ679"/>
    <mergeCell ref="E680:S680"/>
    <mergeCell ref="T680:AC680"/>
    <mergeCell ref="AD680:AM680"/>
    <mergeCell ref="AN680:AW680"/>
    <mergeCell ref="AY680:BM680"/>
    <mergeCell ref="BN680:BW680"/>
    <mergeCell ref="BX680:CG680"/>
    <mergeCell ref="CH680:CQ680"/>
    <mergeCell ref="E681:S681"/>
    <mergeCell ref="T681:AC681"/>
    <mergeCell ref="AD681:AM681"/>
    <mergeCell ref="AN681:AW681"/>
    <mergeCell ref="C696:N696"/>
    <mergeCell ref="O696:U696"/>
    <mergeCell ref="W696:AC696"/>
    <mergeCell ref="AD696:AJ696"/>
    <mergeCell ref="AK696:AQ696"/>
    <mergeCell ref="C692:N692"/>
    <mergeCell ref="O692:U692"/>
    <mergeCell ref="W692:AC692"/>
    <mergeCell ref="AD692:AJ692"/>
    <mergeCell ref="AK692:AQ692"/>
    <mergeCell ref="AR692:AX692"/>
    <mergeCell ref="AY692:BE692"/>
    <mergeCell ref="BF692:BL692"/>
    <mergeCell ref="C675:S675"/>
    <mergeCell ref="T675:AC675"/>
    <mergeCell ref="AD675:AM675"/>
    <mergeCell ref="AN675:AW675"/>
    <mergeCell ref="AY675:BO675"/>
    <mergeCell ref="E683:S683"/>
    <mergeCell ref="T683:AC683"/>
    <mergeCell ref="AD683:AM683"/>
    <mergeCell ref="AN683:AW683"/>
    <mergeCell ref="AY683:BM683"/>
    <mergeCell ref="BN683:BW683"/>
    <mergeCell ref="AY681:BM681"/>
    <mergeCell ref="BN681:BW681"/>
    <mergeCell ref="AD691:AJ691"/>
    <mergeCell ref="AK691:AQ691"/>
    <mergeCell ref="AR691:AX691"/>
    <mergeCell ref="AY691:BE691"/>
    <mergeCell ref="BF691:BL691"/>
    <mergeCell ref="BM691:BS691"/>
    <mergeCell ref="BP675:BY675"/>
    <mergeCell ref="BZ675:CI675"/>
    <mergeCell ref="CJ675:CS675"/>
    <mergeCell ref="C671:S671"/>
    <mergeCell ref="T671:AC671"/>
    <mergeCell ref="AD671:AM671"/>
    <mergeCell ref="AN671:AW671"/>
    <mergeCell ref="AY671:BO671"/>
    <mergeCell ref="BP671:BY671"/>
    <mergeCell ref="BZ671:CI671"/>
    <mergeCell ref="CJ671:CS671"/>
    <mergeCell ref="C672:S672"/>
    <mergeCell ref="T672:AC672"/>
    <mergeCell ref="AD672:AM672"/>
    <mergeCell ref="AN672:AW672"/>
    <mergeCell ref="AY672:BO672"/>
    <mergeCell ref="BP672:BY672"/>
    <mergeCell ref="BZ672:CI672"/>
    <mergeCell ref="CJ672:CS672"/>
    <mergeCell ref="C673:S673"/>
    <mergeCell ref="T673:AC673"/>
    <mergeCell ref="AD673:AM673"/>
    <mergeCell ref="AN673:AW673"/>
    <mergeCell ref="AY673:BO673"/>
    <mergeCell ref="BP673:BY673"/>
    <mergeCell ref="BZ673:CI673"/>
    <mergeCell ref="CJ673:CS673"/>
    <mergeCell ref="T674:AC674"/>
    <mergeCell ref="AD674:AM674"/>
    <mergeCell ref="AN674:AW674"/>
    <mergeCell ref="BP674:BY674"/>
    <mergeCell ref="BZ674:CI674"/>
    <mergeCell ref="CJ674:CS674"/>
    <mergeCell ref="C667:S667"/>
    <mergeCell ref="T667:AC667"/>
    <mergeCell ref="AD667:AM667"/>
    <mergeCell ref="AN667:AW667"/>
    <mergeCell ref="AY667:BO667"/>
    <mergeCell ref="BP667:BY667"/>
    <mergeCell ref="BZ667:CI667"/>
    <mergeCell ref="CJ667:CS667"/>
    <mergeCell ref="C668:S668"/>
    <mergeCell ref="T668:AC668"/>
    <mergeCell ref="AD668:AM668"/>
    <mergeCell ref="AN668:AW668"/>
    <mergeCell ref="AY668:BO668"/>
    <mergeCell ref="BP668:BY668"/>
    <mergeCell ref="BZ668:CI668"/>
    <mergeCell ref="CJ668:CS668"/>
    <mergeCell ref="C669:S669"/>
    <mergeCell ref="T669:AC669"/>
    <mergeCell ref="AD669:AM669"/>
    <mergeCell ref="AN669:AW669"/>
    <mergeCell ref="AY669:BO669"/>
    <mergeCell ref="BP669:BY669"/>
    <mergeCell ref="BZ669:CI669"/>
    <mergeCell ref="CJ669:CS669"/>
    <mergeCell ref="T670:AC670"/>
    <mergeCell ref="AD670:AM670"/>
    <mergeCell ref="AN670:AW670"/>
    <mergeCell ref="BP670:BY670"/>
    <mergeCell ref="BZ670:CI670"/>
    <mergeCell ref="CJ670:CS670"/>
    <mergeCell ref="C663:S663"/>
    <mergeCell ref="T663:AC663"/>
    <mergeCell ref="AD663:AM663"/>
    <mergeCell ref="AN663:AW663"/>
    <mergeCell ref="AY663:BO663"/>
    <mergeCell ref="BP663:BY663"/>
    <mergeCell ref="BZ663:CI663"/>
    <mergeCell ref="CJ663:CS663"/>
    <mergeCell ref="C664:S664"/>
    <mergeCell ref="T664:AC664"/>
    <mergeCell ref="AD664:AM664"/>
    <mergeCell ref="AN664:AW664"/>
    <mergeCell ref="AY664:BO664"/>
    <mergeCell ref="BP664:BY664"/>
    <mergeCell ref="BZ664:CI664"/>
    <mergeCell ref="CJ664:CS664"/>
    <mergeCell ref="C665:S665"/>
    <mergeCell ref="T665:AC665"/>
    <mergeCell ref="AD665:AM665"/>
    <mergeCell ref="AN665:AW665"/>
    <mergeCell ref="AY665:BO665"/>
    <mergeCell ref="BP665:BY665"/>
    <mergeCell ref="BZ665:CI665"/>
    <mergeCell ref="CJ665:CS665"/>
    <mergeCell ref="T666:AC666"/>
    <mergeCell ref="AD666:AM666"/>
    <mergeCell ref="AN666:AW666"/>
    <mergeCell ref="BP666:BY666"/>
    <mergeCell ref="BZ666:CI666"/>
    <mergeCell ref="CJ666:CS666"/>
    <mergeCell ref="C659:S659"/>
    <mergeCell ref="T659:AC659"/>
    <mergeCell ref="AD659:AM659"/>
    <mergeCell ref="AN659:AW659"/>
    <mergeCell ref="AY659:BO659"/>
    <mergeCell ref="BP659:BY659"/>
    <mergeCell ref="BZ659:CI659"/>
    <mergeCell ref="CJ659:CS659"/>
    <mergeCell ref="C660:S660"/>
    <mergeCell ref="T660:AC660"/>
    <mergeCell ref="AD660:AM660"/>
    <mergeCell ref="AN660:AW660"/>
    <mergeCell ref="AY660:BO660"/>
    <mergeCell ref="BP660:BY660"/>
    <mergeCell ref="BZ660:CI660"/>
    <mergeCell ref="CJ660:CS660"/>
    <mergeCell ref="C661:S661"/>
    <mergeCell ref="T661:AC661"/>
    <mergeCell ref="AD661:AM661"/>
    <mergeCell ref="AN661:AW661"/>
    <mergeCell ref="AY661:BO661"/>
    <mergeCell ref="BP661:BY661"/>
    <mergeCell ref="BZ661:CI661"/>
    <mergeCell ref="CJ661:CS661"/>
    <mergeCell ref="T662:AC662"/>
    <mergeCell ref="AD662:AM662"/>
    <mergeCell ref="AN662:AW662"/>
    <mergeCell ref="BP662:BY662"/>
    <mergeCell ref="BZ662:CI662"/>
    <mergeCell ref="CJ662:CS662"/>
    <mergeCell ref="C655:S655"/>
    <mergeCell ref="T655:AC655"/>
    <mergeCell ref="AD655:AM655"/>
    <mergeCell ref="AN655:AW655"/>
    <mergeCell ref="AY655:BO655"/>
    <mergeCell ref="BP655:BY655"/>
    <mergeCell ref="BZ655:CI655"/>
    <mergeCell ref="CJ655:CS655"/>
    <mergeCell ref="C656:S656"/>
    <mergeCell ref="T656:AC656"/>
    <mergeCell ref="AD656:AM656"/>
    <mergeCell ref="AN656:AW656"/>
    <mergeCell ref="AY656:BO656"/>
    <mergeCell ref="BP656:BY656"/>
    <mergeCell ref="BZ656:CI656"/>
    <mergeCell ref="CJ656:CS656"/>
    <mergeCell ref="C657:S657"/>
    <mergeCell ref="T657:AC657"/>
    <mergeCell ref="AD657:AM657"/>
    <mergeCell ref="AN657:AW657"/>
    <mergeCell ref="AY657:BO657"/>
    <mergeCell ref="BP657:BY657"/>
    <mergeCell ref="BZ657:CI657"/>
    <mergeCell ref="CJ657:CS657"/>
    <mergeCell ref="T658:AC658"/>
    <mergeCell ref="AD658:AM658"/>
    <mergeCell ref="AN658:AW658"/>
    <mergeCell ref="BP658:BY658"/>
    <mergeCell ref="BZ658:CI658"/>
    <mergeCell ref="CJ658:CS658"/>
    <mergeCell ref="C651:S651"/>
    <mergeCell ref="T651:AC651"/>
    <mergeCell ref="AD651:AM651"/>
    <mergeCell ref="AN651:AW651"/>
    <mergeCell ref="AY651:BO651"/>
    <mergeCell ref="BP651:BY651"/>
    <mergeCell ref="BZ651:CI651"/>
    <mergeCell ref="CJ651:CS651"/>
    <mergeCell ref="C652:S652"/>
    <mergeCell ref="T652:AC652"/>
    <mergeCell ref="AD652:AM652"/>
    <mergeCell ref="AN652:AW652"/>
    <mergeCell ref="AY652:BO652"/>
    <mergeCell ref="BP652:BY652"/>
    <mergeCell ref="BZ652:CI652"/>
    <mergeCell ref="CJ652:CS652"/>
    <mergeCell ref="C653:S653"/>
    <mergeCell ref="T653:AC653"/>
    <mergeCell ref="AD653:AM653"/>
    <mergeCell ref="AN653:AW653"/>
    <mergeCell ref="AY653:BO653"/>
    <mergeCell ref="BP653:BY653"/>
    <mergeCell ref="BZ653:CI653"/>
    <mergeCell ref="CJ653:CS653"/>
    <mergeCell ref="T654:AC654"/>
    <mergeCell ref="AD654:AM654"/>
    <mergeCell ref="AN654:AW654"/>
    <mergeCell ref="BP654:BY654"/>
    <mergeCell ref="BZ654:CI654"/>
    <mergeCell ref="CJ654:CS654"/>
    <mergeCell ref="AY647:BO647"/>
    <mergeCell ref="BP647:BY647"/>
    <mergeCell ref="BZ647:CI647"/>
    <mergeCell ref="CJ647:CS647"/>
    <mergeCell ref="C648:S648"/>
    <mergeCell ref="T648:AC648"/>
    <mergeCell ref="AD648:AM648"/>
    <mergeCell ref="AN648:AW648"/>
    <mergeCell ref="AY648:BO648"/>
    <mergeCell ref="BP648:BY648"/>
    <mergeCell ref="BZ648:CI648"/>
    <mergeCell ref="CJ648:CS648"/>
    <mergeCell ref="C649:S649"/>
    <mergeCell ref="T649:AC649"/>
    <mergeCell ref="AD649:AM649"/>
    <mergeCell ref="AN649:AW649"/>
    <mergeCell ref="AY649:BO649"/>
    <mergeCell ref="BP649:BY649"/>
    <mergeCell ref="BZ649:CI649"/>
    <mergeCell ref="CJ649:CS649"/>
    <mergeCell ref="T650:AC650"/>
    <mergeCell ref="AD650:AM650"/>
    <mergeCell ref="AN650:AW650"/>
    <mergeCell ref="BP650:BY650"/>
    <mergeCell ref="BZ650:CI650"/>
    <mergeCell ref="CJ650:CS650"/>
    <mergeCell ref="C644:S644"/>
    <mergeCell ref="T644:AC644"/>
    <mergeCell ref="AD644:AM644"/>
    <mergeCell ref="AN644:AW644"/>
    <mergeCell ref="AY644:BO644"/>
    <mergeCell ref="BP644:BY644"/>
    <mergeCell ref="BZ644:CI644"/>
    <mergeCell ref="CJ644:CS644"/>
    <mergeCell ref="C645:S645"/>
    <mergeCell ref="T645:AC645"/>
    <mergeCell ref="AD645:AM645"/>
    <mergeCell ref="AN645:AW645"/>
    <mergeCell ref="AY645:BO645"/>
    <mergeCell ref="BP645:BY645"/>
    <mergeCell ref="BZ645:CI645"/>
    <mergeCell ref="CJ645:CS645"/>
    <mergeCell ref="T646:AC646"/>
    <mergeCell ref="AD646:AM646"/>
    <mergeCell ref="AN646:AW646"/>
    <mergeCell ref="BP646:BY646"/>
    <mergeCell ref="BZ646:CI646"/>
    <mergeCell ref="CJ646:CS646"/>
    <mergeCell ref="C647:S647"/>
    <mergeCell ref="T647:AC647"/>
    <mergeCell ref="AD647:AM647"/>
    <mergeCell ref="AN647:AW647"/>
    <mergeCell ref="C640:S640"/>
    <mergeCell ref="T640:AC640"/>
    <mergeCell ref="AD640:AM640"/>
    <mergeCell ref="AN640:AW640"/>
    <mergeCell ref="AY640:BO640"/>
    <mergeCell ref="BP640:BY640"/>
    <mergeCell ref="BZ640:CI640"/>
    <mergeCell ref="CJ640:CS640"/>
    <mergeCell ref="C641:S641"/>
    <mergeCell ref="T641:AC641"/>
    <mergeCell ref="AD641:AM641"/>
    <mergeCell ref="AN641:AW641"/>
    <mergeCell ref="AY641:BO641"/>
    <mergeCell ref="BP641:BY641"/>
    <mergeCell ref="BZ641:CI641"/>
    <mergeCell ref="CJ641:CS641"/>
    <mergeCell ref="C642:S642"/>
    <mergeCell ref="T642:AC642"/>
    <mergeCell ref="AD642:AM642"/>
    <mergeCell ref="AN642:AW642"/>
    <mergeCell ref="AY642:BO642"/>
    <mergeCell ref="BP642:BY642"/>
    <mergeCell ref="BZ642:CI642"/>
    <mergeCell ref="CJ642:CS642"/>
    <mergeCell ref="C643:S643"/>
    <mergeCell ref="T643:AC643"/>
    <mergeCell ref="AD643:AM643"/>
    <mergeCell ref="AN643:AW643"/>
    <mergeCell ref="AY643:BO643"/>
    <mergeCell ref="BP643:BY643"/>
    <mergeCell ref="BZ643:CI643"/>
    <mergeCell ref="CJ643:CS643"/>
    <mergeCell ref="C636:S636"/>
    <mergeCell ref="T636:AC636"/>
    <mergeCell ref="AD636:AM636"/>
    <mergeCell ref="AN636:AW636"/>
    <mergeCell ref="AY636:BO636"/>
    <mergeCell ref="BP636:BY636"/>
    <mergeCell ref="BZ636:CI636"/>
    <mergeCell ref="CJ636:CS636"/>
    <mergeCell ref="C637:S637"/>
    <mergeCell ref="T637:AC637"/>
    <mergeCell ref="AD637:AM637"/>
    <mergeCell ref="AN637:AW637"/>
    <mergeCell ref="AY637:BO637"/>
    <mergeCell ref="BP637:BY637"/>
    <mergeCell ref="BZ637:CI637"/>
    <mergeCell ref="CJ637:CS637"/>
    <mergeCell ref="C638:S638"/>
    <mergeCell ref="T638:AC638"/>
    <mergeCell ref="AD638:AM638"/>
    <mergeCell ref="AN638:AW638"/>
    <mergeCell ref="AY638:BO638"/>
    <mergeCell ref="BP638:BY638"/>
    <mergeCell ref="BZ638:CI638"/>
    <mergeCell ref="CJ638:CS638"/>
    <mergeCell ref="T639:AC639"/>
    <mergeCell ref="AD639:AM639"/>
    <mergeCell ref="AN639:AW639"/>
    <mergeCell ref="BP639:BY639"/>
    <mergeCell ref="BZ639:CI639"/>
    <mergeCell ref="CJ639:CS639"/>
    <mergeCell ref="C632:S632"/>
    <mergeCell ref="T632:AC632"/>
    <mergeCell ref="AD632:AM632"/>
    <mergeCell ref="AN632:AW632"/>
    <mergeCell ref="AY632:BO632"/>
    <mergeCell ref="BP632:BY632"/>
    <mergeCell ref="BZ632:CI632"/>
    <mergeCell ref="CJ632:CS632"/>
    <mergeCell ref="C633:S633"/>
    <mergeCell ref="T633:AC633"/>
    <mergeCell ref="AD633:AM633"/>
    <mergeCell ref="AN633:AW633"/>
    <mergeCell ref="AY633:BO633"/>
    <mergeCell ref="BP633:BY633"/>
    <mergeCell ref="BZ633:CI633"/>
    <mergeCell ref="CJ633:CS633"/>
    <mergeCell ref="C634:S634"/>
    <mergeCell ref="T634:AC634"/>
    <mergeCell ref="AD634:AM634"/>
    <mergeCell ref="AN634:AW634"/>
    <mergeCell ref="AY634:BO634"/>
    <mergeCell ref="BP634:BY634"/>
    <mergeCell ref="BZ634:CI634"/>
    <mergeCell ref="CJ634:CS634"/>
    <mergeCell ref="T635:AC635"/>
    <mergeCell ref="AD635:AM635"/>
    <mergeCell ref="AN635:AW635"/>
    <mergeCell ref="BP635:BY635"/>
    <mergeCell ref="BZ635:CI635"/>
    <mergeCell ref="CJ635:CS635"/>
    <mergeCell ref="C628:S628"/>
    <mergeCell ref="T628:AC628"/>
    <mergeCell ref="AD628:AM628"/>
    <mergeCell ref="AN628:AW628"/>
    <mergeCell ref="AY628:BO628"/>
    <mergeCell ref="BP628:BY628"/>
    <mergeCell ref="BZ628:CI628"/>
    <mergeCell ref="CJ628:CS628"/>
    <mergeCell ref="C629:S629"/>
    <mergeCell ref="T629:AC629"/>
    <mergeCell ref="AD629:AM629"/>
    <mergeCell ref="AN629:AW629"/>
    <mergeCell ref="AY629:BO629"/>
    <mergeCell ref="BP629:BY629"/>
    <mergeCell ref="BZ629:CI629"/>
    <mergeCell ref="CJ629:CS629"/>
    <mergeCell ref="C630:S630"/>
    <mergeCell ref="T630:AC630"/>
    <mergeCell ref="AD630:AM630"/>
    <mergeCell ref="AN630:AW630"/>
    <mergeCell ref="AY630:BO630"/>
    <mergeCell ref="BP630:BY630"/>
    <mergeCell ref="BZ630:CI630"/>
    <mergeCell ref="CJ630:CS630"/>
    <mergeCell ref="T631:AC631"/>
    <mergeCell ref="AD631:AM631"/>
    <mergeCell ref="AN631:AW631"/>
    <mergeCell ref="BP631:BY631"/>
    <mergeCell ref="BZ631:CI631"/>
    <mergeCell ref="CJ631:CS631"/>
    <mergeCell ref="C624:S624"/>
    <mergeCell ref="T624:AC624"/>
    <mergeCell ref="AD624:AM624"/>
    <mergeCell ref="AN624:AW624"/>
    <mergeCell ref="AY624:BO624"/>
    <mergeCell ref="BP624:BY624"/>
    <mergeCell ref="BZ624:CI624"/>
    <mergeCell ref="CJ624:CS624"/>
    <mergeCell ref="C625:S625"/>
    <mergeCell ref="T625:AC625"/>
    <mergeCell ref="AD625:AM625"/>
    <mergeCell ref="AN625:AW625"/>
    <mergeCell ref="AY625:BO625"/>
    <mergeCell ref="BP625:BY625"/>
    <mergeCell ref="BZ625:CI625"/>
    <mergeCell ref="CJ625:CS625"/>
    <mergeCell ref="C626:S626"/>
    <mergeCell ref="T626:AC626"/>
    <mergeCell ref="AD626:AM626"/>
    <mergeCell ref="AN626:AW626"/>
    <mergeCell ref="AY626:BO626"/>
    <mergeCell ref="BP626:BY626"/>
    <mergeCell ref="BZ626:CI626"/>
    <mergeCell ref="CJ626:CS626"/>
    <mergeCell ref="T627:AC627"/>
    <mergeCell ref="AD627:AM627"/>
    <mergeCell ref="AN627:AW627"/>
    <mergeCell ref="BP627:BY627"/>
    <mergeCell ref="BZ627:CI627"/>
    <mergeCell ref="CJ627:CS627"/>
    <mergeCell ref="C620:S620"/>
    <mergeCell ref="T620:AC620"/>
    <mergeCell ref="AD620:AM620"/>
    <mergeCell ref="AN620:AW620"/>
    <mergeCell ref="AY620:BO620"/>
    <mergeCell ref="BP620:BY620"/>
    <mergeCell ref="BZ620:CI620"/>
    <mergeCell ref="CJ620:CS620"/>
    <mergeCell ref="C621:S621"/>
    <mergeCell ref="T621:AC621"/>
    <mergeCell ref="AD621:AM621"/>
    <mergeCell ref="AN621:AW621"/>
    <mergeCell ref="AY621:BO621"/>
    <mergeCell ref="BP621:BY621"/>
    <mergeCell ref="BZ621:CI621"/>
    <mergeCell ref="CJ621:CS621"/>
    <mergeCell ref="C622:S622"/>
    <mergeCell ref="T622:AC622"/>
    <mergeCell ref="AD622:AM622"/>
    <mergeCell ref="AN622:AW622"/>
    <mergeCell ref="AY622:BO622"/>
    <mergeCell ref="BP622:BY622"/>
    <mergeCell ref="BZ622:CI622"/>
    <mergeCell ref="CJ622:CS622"/>
    <mergeCell ref="T623:AC623"/>
    <mergeCell ref="AD623:AM623"/>
    <mergeCell ref="AN623:AW623"/>
    <mergeCell ref="BP623:BY623"/>
    <mergeCell ref="BZ623:CI623"/>
    <mergeCell ref="CJ623:CS623"/>
    <mergeCell ref="C616:S616"/>
    <mergeCell ref="T616:AC616"/>
    <mergeCell ref="AD616:AM616"/>
    <mergeCell ref="AN616:AW616"/>
    <mergeCell ref="AY616:BO616"/>
    <mergeCell ref="BP616:BY616"/>
    <mergeCell ref="BZ616:CI616"/>
    <mergeCell ref="CJ616:CS616"/>
    <mergeCell ref="C617:S617"/>
    <mergeCell ref="T617:AC617"/>
    <mergeCell ref="AD617:AM617"/>
    <mergeCell ref="AN617:AW617"/>
    <mergeCell ref="AY617:BO617"/>
    <mergeCell ref="BP617:BY617"/>
    <mergeCell ref="BZ617:CI617"/>
    <mergeCell ref="CJ617:CS617"/>
    <mergeCell ref="C618:S618"/>
    <mergeCell ref="T618:AC618"/>
    <mergeCell ref="AD618:AM618"/>
    <mergeCell ref="AN618:AW618"/>
    <mergeCell ref="AY618:BO618"/>
    <mergeCell ref="BP618:BY618"/>
    <mergeCell ref="BZ618:CI618"/>
    <mergeCell ref="CJ618:CS618"/>
    <mergeCell ref="T619:AC619"/>
    <mergeCell ref="AD619:AM619"/>
    <mergeCell ref="AN619:AW619"/>
    <mergeCell ref="BP619:BY619"/>
    <mergeCell ref="BZ619:CI619"/>
    <mergeCell ref="CJ619:CS619"/>
    <mergeCell ref="C612:S612"/>
    <mergeCell ref="T612:AC612"/>
    <mergeCell ref="AD612:AM612"/>
    <mergeCell ref="AN612:AW612"/>
    <mergeCell ref="AY612:BO612"/>
    <mergeCell ref="BP612:BY612"/>
    <mergeCell ref="BZ612:CI612"/>
    <mergeCell ref="CJ612:CS612"/>
    <mergeCell ref="C613:S613"/>
    <mergeCell ref="T613:AC613"/>
    <mergeCell ref="AD613:AM613"/>
    <mergeCell ref="AN613:AW613"/>
    <mergeCell ref="AY613:BO613"/>
    <mergeCell ref="BP613:BY613"/>
    <mergeCell ref="BZ613:CI613"/>
    <mergeCell ref="CJ613:CS613"/>
    <mergeCell ref="C614:S614"/>
    <mergeCell ref="T614:AC614"/>
    <mergeCell ref="AD614:AM614"/>
    <mergeCell ref="AN614:AW614"/>
    <mergeCell ref="AY614:BO614"/>
    <mergeCell ref="BP614:BY614"/>
    <mergeCell ref="BZ614:CI614"/>
    <mergeCell ref="CJ614:CS614"/>
    <mergeCell ref="T615:AC615"/>
    <mergeCell ref="AD615:AM615"/>
    <mergeCell ref="AN615:AW615"/>
    <mergeCell ref="BP615:BY615"/>
    <mergeCell ref="C608:S608"/>
    <mergeCell ref="T608:AC608"/>
    <mergeCell ref="AD608:AM608"/>
    <mergeCell ref="AN608:AW608"/>
    <mergeCell ref="AY608:BO608"/>
    <mergeCell ref="BP608:BY608"/>
    <mergeCell ref="BZ608:CI608"/>
    <mergeCell ref="BZ615:CI615"/>
    <mergeCell ref="CJ615:CS615"/>
    <mergeCell ref="CJ608:CS608"/>
    <mergeCell ref="C609:S609"/>
    <mergeCell ref="T609:AC609"/>
    <mergeCell ref="AD609:AM609"/>
    <mergeCell ref="AN609:AW609"/>
    <mergeCell ref="AY609:BO609"/>
    <mergeCell ref="BP609:BY609"/>
    <mergeCell ref="BZ609:CI609"/>
    <mergeCell ref="CJ609:CS609"/>
    <mergeCell ref="C610:S610"/>
    <mergeCell ref="T610:AC610"/>
    <mergeCell ref="AD610:AM610"/>
    <mergeCell ref="AN610:AW610"/>
    <mergeCell ref="AY610:BO610"/>
    <mergeCell ref="BP610:BY610"/>
    <mergeCell ref="BZ610:CI610"/>
    <mergeCell ref="CJ610:CS610"/>
    <mergeCell ref="T611:AC611"/>
    <mergeCell ref="AD611:AM611"/>
    <mergeCell ref="AN611:AW611"/>
    <mergeCell ref="BP611:BY611"/>
    <mergeCell ref="BZ611:CI611"/>
    <mergeCell ref="CJ611:CS611"/>
    <mergeCell ref="BX531:CG531"/>
    <mergeCell ref="CH531:CQ531"/>
    <mergeCell ref="E532:S532"/>
    <mergeCell ref="T532:AC532"/>
    <mergeCell ref="AD532:AM532"/>
    <mergeCell ref="AN532:AW532"/>
    <mergeCell ref="AY532:BM532"/>
    <mergeCell ref="BN532:BW532"/>
    <mergeCell ref="BX532:CG532"/>
    <mergeCell ref="CH532:CQ532"/>
    <mergeCell ref="A600:CZ600"/>
    <mergeCell ref="AR603:CL603"/>
    <mergeCell ref="AR604:CL604"/>
    <mergeCell ref="C606:S607"/>
    <mergeCell ref="T606:AW606"/>
    <mergeCell ref="AY606:BO607"/>
    <mergeCell ref="BP606:CS606"/>
    <mergeCell ref="T607:AC607"/>
    <mergeCell ref="AD607:AM607"/>
    <mergeCell ref="AN607:AW607"/>
    <mergeCell ref="BP607:BY607"/>
    <mergeCell ref="BZ607:CI607"/>
    <mergeCell ref="CJ607:CS607"/>
    <mergeCell ref="BU538:CA538"/>
    <mergeCell ref="CB538:CH538"/>
    <mergeCell ref="CI538:CO538"/>
    <mergeCell ref="CP538:CV538"/>
    <mergeCell ref="CW538:DC538"/>
    <mergeCell ref="CW540:DC540"/>
    <mergeCell ref="C541:N541"/>
    <mergeCell ref="O541:U541"/>
    <mergeCell ref="W541:AC541"/>
    <mergeCell ref="BX533:CG533"/>
    <mergeCell ref="CH533:CQ533"/>
    <mergeCell ref="E527:AW527"/>
    <mergeCell ref="AY527:CQ527"/>
    <mergeCell ref="E528:S528"/>
    <mergeCell ref="T528:AC528"/>
    <mergeCell ref="AD528:AM528"/>
    <mergeCell ref="AN528:AW528"/>
    <mergeCell ref="AY528:BM528"/>
    <mergeCell ref="BN528:BW528"/>
    <mergeCell ref="BX528:CG528"/>
    <mergeCell ref="CH528:CQ528"/>
    <mergeCell ref="E529:S529"/>
    <mergeCell ref="T529:AC529"/>
    <mergeCell ref="AD529:AM529"/>
    <mergeCell ref="AN529:AW529"/>
    <mergeCell ref="AY529:BM529"/>
    <mergeCell ref="BN529:BW529"/>
    <mergeCell ref="BX529:CG529"/>
    <mergeCell ref="CH529:CQ529"/>
    <mergeCell ref="E530:S530"/>
    <mergeCell ref="T530:AC530"/>
    <mergeCell ref="AD530:AM530"/>
    <mergeCell ref="AN530:AW530"/>
    <mergeCell ref="AY530:BM530"/>
    <mergeCell ref="BN530:BW530"/>
    <mergeCell ref="BX530:CG530"/>
    <mergeCell ref="CH530:CQ530"/>
    <mergeCell ref="E531:S531"/>
    <mergeCell ref="T531:AC531"/>
    <mergeCell ref="AD531:AM531"/>
    <mergeCell ref="AN531:AW531"/>
    <mergeCell ref="C546:N546"/>
    <mergeCell ref="O546:U546"/>
    <mergeCell ref="W546:AC546"/>
    <mergeCell ref="AD546:AJ546"/>
    <mergeCell ref="AK546:AQ546"/>
    <mergeCell ref="C542:N542"/>
    <mergeCell ref="O542:U542"/>
    <mergeCell ref="W542:AC542"/>
    <mergeCell ref="AD542:AJ542"/>
    <mergeCell ref="AK542:AQ542"/>
    <mergeCell ref="AR542:AX542"/>
    <mergeCell ref="AY542:BE542"/>
    <mergeCell ref="BF542:BL542"/>
    <mergeCell ref="C525:S525"/>
    <mergeCell ref="T525:AC525"/>
    <mergeCell ref="AD525:AM525"/>
    <mergeCell ref="AN525:AW525"/>
    <mergeCell ref="AY525:BO525"/>
    <mergeCell ref="E533:S533"/>
    <mergeCell ref="T533:AC533"/>
    <mergeCell ref="AD533:AM533"/>
    <mergeCell ref="AN533:AW533"/>
    <mergeCell ref="AY533:BM533"/>
    <mergeCell ref="BN533:BW533"/>
    <mergeCell ref="AY531:BM531"/>
    <mergeCell ref="BN531:BW531"/>
    <mergeCell ref="AD541:AJ541"/>
    <mergeCell ref="AK541:AQ541"/>
    <mergeCell ref="AR541:AX541"/>
    <mergeCell ref="AY541:BE541"/>
    <mergeCell ref="BF541:BL541"/>
    <mergeCell ref="BM541:BS541"/>
    <mergeCell ref="BP525:BY525"/>
    <mergeCell ref="BZ525:CI525"/>
    <mergeCell ref="CJ525:CS525"/>
    <mergeCell ref="C521:S521"/>
    <mergeCell ref="T521:AC521"/>
    <mergeCell ref="AD521:AM521"/>
    <mergeCell ref="AN521:AW521"/>
    <mergeCell ref="AY521:BO521"/>
    <mergeCell ref="BP521:BY521"/>
    <mergeCell ref="BZ521:CI521"/>
    <mergeCell ref="CJ521:CS521"/>
    <mergeCell ref="C522:S522"/>
    <mergeCell ref="T522:AC522"/>
    <mergeCell ref="AD522:AM522"/>
    <mergeCell ref="AN522:AW522"/>
    <mergeCell ref="AY522:BO522"/>
    <mergeCell ref="BP522:BY522"/>
    <mergeCell ref="BZ522:CI522"/>
    <mergeCell ref="CJ522:CS522"/>
    <mergeCell ref="C523:S523"/>
    <mergeCell ref="T523:AC523"/>
    <mergeCell ref="AD523:AM523"/>
    <mergeCell ref="AN523:AW523"/>
    <mergeCell ref="AY523:BO523"/>
    <mergeCell ref="BP523:BY523"/>
    <mergeCell ref="BZ523:CI523"/>
    <mergeCell ref="CJ523:CS523"/>
    <mergeCell ref="T524:AC524"/>
    <mergeCell ref="AD524:AM524"/>
    <mergeCell ref="AN524:AW524"/>
    <mergeCell ref="BP524:BY524"/>
    <mergeCell ref="BZ524:CI524"/>
    <mergeCell ref="CJ524:CS524"/>
    <mergeCell ref="C517:S517"/>
    <mergeCell ref="T517:AC517"/>
    <mergeCell ref="AD517:AM517"/>
    <mergeCell ref="AN517:AW517"/>
    <mergeCell ref="AY517:BO517"/>
    <mergeCell ref="BP517:BY517"/>
    <mergeCell ref="BZ517:CI517"/>
    <mergeCell ref="CJ517:CS517"/>
    <mergeCell ref="C518:S518"/>
    <mergeCell ref="T518:AC518"/>
    <mergeCell ref="AD518:AM518"/>
    <mergeCell ref="AN518:AW518"/>
    <mergeCell ref="AY518:BO518"/>
    <mergeCell ref="BP518:BY518"/>
    <mergeCell ref="BZ518:CI518"/>
    <mergeCell ref="CJ518:CS518"/>
    <mergeCell ref="C519:S519"/>
    <mergeCell ref="T519:AC519"/>
    <mergeCell ref="AD519:AM519"/>
    <mergeCell ref="AN519:AW519"/>
    <mergeCell ref="AY519:BO519"/>
    <mergeCell ref="BP519:BY519"/>
    <mergeCell ref="BZ519:CI519"/>
    <mergeCell ref="CJ519:CS519"/>
    <mergeCell ref="T520:AC520"/>
    <mergeCell ref="AD520:AM520"/>
    <mergeCell ref="AN520:AW520"/>
    <mergeCell ref="BP520:BY520"/>
    <mergeCell ref="BZ520:CI520"/>
    <mergeCell ref="CJ520:CS520"/>
    <mergeCell ref="C513:S513"/>
    <mergeCell ref="T513:AC513"/>
    <mergeCell ref="AD513:AM513"/>
    <mergeCell ref="AN513:AW513"/>
    <mergeCell ref="AY513:BO513"/>
    <mergeCell ref="BP513:BY513"/>
    <mergeCell ref="BZ513:CI513"/>
    <mergeCell ref="CJ513:CS513"/>
    <mergeCell ref="C514:S514"/>
    <mergeCell ref="T514:AC514"/>
    <mergeCell ref="AD514:AM514"/>
    <mergeCell ref="AN514:AW514"/>
    <mergeCell ref="AY514:BO514"/>
    <mergeCell ref="BP514:BY514"/>
    <mergeCell ref="BZ514:CI514"/>
    <mergeCell ref="CJ514:CS514"/>
    <mergeCell ref="C515:S515"/>
    <mergeCell ref="T515:AC515"/>
    <mergeCell ref="AD515:AM515"/>
    <mergeCell ref="AN515:AW515"/>
    <mergeCell ref="AY515:BO515"/>
    <mergeCell ref="BP515:BY515"/>
    <mergeCell ref="BZ515:CI515"/>
    <mergeCell ref="CJ515:CS515"/>
    <mergeCell ref="T516:AC516"/>
    <mergeCell ref="AD516:AM516"/>
    <mergeCell ref="AN516:AW516"/>
    <mergeCell ref="BP516:BY516"/>
    <mergeCell ref="BZ516:CI516"/>
    <mergeCell ref="CJ516:CS516"/>
    <mergeCell ref="C509:S509"/>
    <mergeCell ref="T509:AC509"/>
    <mergeCell ref="AD509:AM509"/>
    <mergeCell ref="AN509:AW509"/>
    <mergeCell ref="AY509:BO509"/>
    <mergeCell ref="BP509:BY509"/>
    <mergeCell ref="BZ509:CI509"/>
    <mergeCell ref="CJ509:CS509"/>
    <mergeCell ref="C510:S510"/>
    <mergeCell ref="T510:AC510"/>
    <mergeCell ref="AD510:AM510"/>
    <mergeCell ref="AN510:AW510"/>
    <mergeCell ref="AY510:BO510"/>
    <mergeCell ref="BP510:BY510"/>
    <mergeCell ref="BZ510:CI510"/>
    <mergeCell ref="CJ510:CS510"/>
    <mergeCell ref="C511:S511"/>
    <mergeCell ref="T511:AC511"/>
    <mergeCell ref="AD511:AM511"/>
    <mergeCell ref="AN511:AW511"/>
    <mergeCell ref="AY511:BO511"/>
    <mergeCell ref="BP511:BY511"/>
    <mergeCell ref="BZ511:CI511"/>
    <mergeCell ref="CJ511:CS511"/>
    <mergeCell ref="T512:AC512"/>
    <mergeCell ref="AD512:AM512"/>
    <mergeCell ref="AN512:AW512"/>
    <mergeCell ref="BP512:BY512"/>
    <mergeCell ref="BZ512:CI512"/>
    <mergeCell ref="CJ512:CS512"/>
    <mergeCell ref="C505:S505"/>
    <mergeCell ref="T505:AC505"/>
    <mergeCell ref="AD505:AM505"/>
    <mergeCell ref="AN505:AW505"/>
    <mergeCell ref="AY505:BO505"/>
    <mergeCell ref="BP505:BY505"/>
    <mergeCell ref="BZ505:CI505"/>
    <mergeCell ref="CJ505:CS505"/>
    <mergeCell ref="C506:S506"/>
    <mergeCell ref="T506:AC506"/>
    <mergeCell ref="AD506:AM506"/>
    <mergeCell ref="AN506:AW506"/>
    <mergeCell ref="AY506:BO506"/>
    <mergeCell ref="BP506:BY506"/>
    <mergeCell ref="BZ506:CI506"/>
    <mergeCell ref="CJ506:CS506"/>
    <mergeCell ref="C507:S507"/>
    <mergeCell ref="T507:AC507"/>
    <mergeCell ref="AD507:AM507"/>
    <mergeCell ref="AN507:AW507"/>
    <mergeCell ref="AY507:BO507"/>
    <mergeCell ref="BP507:BY507"/>
    <mergeCell ref="BZ507:CI507"/>
    <mergeCell ref="CJ507:CS507"/>
    <mergeCell ref="T508:AC508"/>
    <mergeCell ref="AD508:AM508"/>
    <mergeCell ref="AN508:AW508"/>
    <mergeCell ref="BP508:BY508"/>
    <mergeCell ref="BZ508:CI508"/>
    <mergeCell ref="CJ508:CS508"/>
    <mergeCell ref="C501:S501"/>
    <mergeCell ref="T501:AC501"/>
    <mergeCell ref="AD501:AM501"/>
    <mergeCell ref="AN501:AW501"/>
    <mergeCell ref="AY501:BO501"/>
    <mergeCell ref="BP501:BY501"/>
    <mergeCell ref="BZ501:CI501"/>
    <mergeCell ref="CJ501:CS501"/>
    <mergeCell ref="C502:S502"/>
    <mergeCell ref="T502:AC502"/>
    <mergeCell ref="AD502:AM502"/>
    <mergeCell ref="AN502:AW502"/>
    <mergeCell ref="AY502:BO502"/>
    <mergeCell ref="BP502:BY502"/>
    <mergeCell ref="BZ502:CI502"/>
    <mergeCell ref="CJ502:CS502"/>
    <mergeCell ref="C503:S503"/>
    <mergeCell ref="T503:AC503"/>
    <mergeCell ref="AD503:AM503"/>
    <mergeCell ref="AN503:AW503"/>
    <mergeCell ref="AY503:BO503"/>
    <mergeCell ref="BP503:BY503"/>
    <mergeCell ref="BZ503:CI503"/>
    <mergeCell ref="CJ503:CS503"/>
    <mergeCell ref="T504:AC504"/>
    <mergeCell ref="AD504:AM504"/>
    <mergeCell ref="AN504:AW504"/>
    <mergeCell ref="BP504:BY504"/>
    <mergeCell ref="BZ504:CI504"/>
    <mergeCell ref="CJ504:CS504"/>
    <mergeCell ref="AY497:BO497"/>
    <mergeCell ref="BP497:BY497"/>
    <mergeCell ref="BZ497:CI497"/>
    <mergeCell ref="CJ497:CS497"/>
    <mergeCell ref="C498:S498"/>
    <mergeCell ref="T498:AC498"/>
    <mergeCell ref="AD498:AM498"/>
    <mergeCell ref="AN498:AW498"/>
    <mergeCell ref="AY498:BO498"/>
    <mergeCell ref="BP498:BY498"/>
    <mergeCell ref="BZ498:CI498"/>
    <mergeCell ref="CJ498:CS498"/>
    <mergeCell ref="C499:S499"/>
    <mergeCell ref="T499:AC499"/>
    <mergeCell ref="AD499:AM499"/>
    <mergeCell ref="AN499:AW499"/>
    <mergeCell ref="AY499:BO499"/>
    <mergeCell ref="BP499:BY499"/>
    <mergeCell ref="BZ499:CI499"/>
    <mergeCell ref="CJ499:CS499"/>
    <mergeCell ref="T500:AC500"/>
    <mergeCell ref="AD500:AM500"/>
    <mergeCell ref="AN500:AW500"/>
    <mergeCell ref="BP500:BY500"/>
    <mergeCell ref="BZ500:CI500"/>
    <mergeCell ref="CJ500:CS500"/>
    <mergeCell ref="C494:S494"/>
    <mergeCell ref="T494:AC494"/>
    <mergeCell ref="AD494:AM494"/>
    <mergeCell ref="AN494:AW494"/>
    <mergeCell ref="AY494:BO494"/>
    <mergeCell ref="BP494:BY494"/>
    <mergeCell ref="BZ494:CI494"/>
    <mergeCell ref="CJ494:CS494"/>
    <mergeCell ref="C495:S495"/>
    <mergeCell ref="T495:AC495"/>
    <mergeCell ref="AD495:AM495"/>
    <mergeCell ref="AN495:AW495"/>
    <mergeCell ref="AY495:BO495"/>
    <mergeCell ref="BP495:BY495"/>
    <mergeCell ref="BZ495:CI495"/>
    <mergeCell ref="CJ495:CS495"/>
    <mergeCell ref="T496:AC496"/>
    <mergeCell ref="AD496:AM496"/>
    <mergeCell ref="AN496:AW496"/>
    <mergeCell ref="BP496:BY496"/>
    <mergeCell ref="BZ496:CI496"/>
    <mergeCell ref="CJ496:CS496"/>
    <mergeCell ref="C497:S497"/>
    <mergeCell ref="T497:AC497"/>
    <mergeCell ref="AD497:AM497"/>
    <mergeCell ref="AN497:AW497"/>
    <mergeCell ref="C490:S490"/>
    <mergeCell ref="T490:AC490"/>
    <mergeCell ref="AD490:AM490"/>
    <mergeCell ref="AN490:AW490"/>
    <mergeCell ref="AY490:BO490"/>
    <mergeCell ref="BP490:BY490"/>
    <mergeCell ref="BZ490:CI490"/>
    <mergeCell ref="CJ490:CS490"/>
    <mergeCell ref="C491:S491"/>
    <mergeCell ref="T491:AC491"/>
    <mergeCell ref="AD491:AM491"/>
    <mergeCell ref="AN491:AW491"/>
    <mergeCell ref="AY491:BO491"/>
    <mergeCell ref="BP491:BY491"/>
    <mergeCell ref="BZ491:CI491"/>
    <mergeCell ref="CJ491:CS491"/>
    <mergeCell ref="C492:S492"/>
    <mergeCell ref="T492:AC492"/>
    <mergeCell ref="AD492:AM492"/>
    <mergeCell ref="AN492:AW492"/>
    <mergeCell ref="AY492:BO492"/>
    <mergeCell ref="BP492:BY492"/>
    <mergeCell ref="BZ492:CI492"/>
    <mergeCell ref="CJ492:CS492"/>
    <mergeCell ref="C493:S493"/>
    <mergeCell ref="T493:AC493"/>
    <mergeCell ref="AD493:AM493"/>
    <mergeCell ref="AN493:AW493"/>
    <mergeCell ref="AY493:BO493"/>
    <mergeCell ref="BP493:BY493"/>
    <mergeCell ref="BZ493:CI493"/>
    <mergeCell ref="CJ493:CS493"/>
    <mergeCell ref="C486:S486"/>
    <mergeCell ref="T486:AC486"/>
    <mergeCell ref="AD486:AM486"/>
    <mergeCell ref="AN486:AW486"/>
    <mergeCell ref="AY486:BO486"/>
    <mergeCell ref="BP486:BY486"/>
    <mergeCell ref="BZ486:CI486"/>
    <mergeCell ref="CJ486:CS486"/>
    <mergeCell ref="C487:S487"/>
    <mergeCell ref="T487:AC487"/>
    <mergeCell ref="AD487:AM487"/>
    <mergeCell ref="AN487:AW487"/>
    <mergeCell ref="AY487:BO487"/>
    <mergeCell ref="BP487:BY487"/>
    <mergeCell ref="BZ487:CI487"/>
    <mergeCell ref="CJ487:CS487"/>
    <mergeCell ref="C488:S488"/>
    <mergeCell ref="T488:AC488"/>
    <mergeCell ref="AD488:AM488"/>
    <mergeCell ref="AN488:AW488"/>
    <mergeCell ref="AY488:BO488"/>
    <mergeCell ref="BP488:BY488"/>
    <mergeCell ref="BZ488:CI488"/>
    <mergeCell ref="CJ488:CS488"/>
    <mergeCell ref="T489:AC489"/>
    <mergeCell ref="AD489:AM489"/>
    <mergeCell ref="AN489:AW489"/>
    <mergeCell ref="BP489:BY489"/>
    <mergeCell ref="BZ489:CI489"/>
    <mergeCell ref="CJ489:CS489"/>
    <mergeCell ref="C482:S482"/>
    <mergeCell ref="T482:AC482"/>
    <mergeCell ref="AD482:AM482"/>
    <mergeCell ref="AN482:AW482"/>
    <mergeCell ref="AY482:BO482"/>
    <mergeCell ref="BP482:BY482"/>
    <mergeCell ref="BZ482:CI482"/>
    <mergeCell ref="CJ482:CS482"/>
    <mergeCell ref="C483:S483"/>
    <mergeCell ref="T483:AC483"/>
    <mergeCell ref="AD483:AM483"/>
    <mergeCell ref="AN483:AW483"/>
    <mergeCell ref="AY483:BO483"/>
    <mergeCell ref="BP483:BY483"/>
    <mergeCell ref="BZ483:CI483"/>
    <mergeCell ref="CJ483:CS483"/>
    <mergeCell ref="C484:S484"/>
    <mergeCell ref="T484:AC484"/>
    <mergeCell ref="AD484:AM484"/>
    <mergeCell ref="AN484:AW484"/>
    <mergeCell ref="AY484:BO484"/>
    <mergeCell ref="BP484:BY484"/>
    <mergeCell ref="BZ484:CI484"/>
    <mergeCell ref="CJ484:CS484"/>
    <mergeCell ref="T485:AC485"/>
    <mergeCell ref="AD485:AM485"/>
    <mergeCell ref="AN485:AW485"/>
    <mergeCell ref="BP485:BY485"/>
    <mergeCell ref="BZ485:CI485"/>
    <mergeCell ref="CJ485:CS485"/>
    <mergeCell ref="C478:S478"/>
    <mergeCell ref="T478:AC478"/>
    <mergeCell ref="AD478:AM478"/>
    <mergeCell ref="AN478:AW478"/>
    <mergeCell ref="AY478:BO478"/>
    <mergeCell ref="BP478:BY478"/>
    <mergeCell ref="BZ478:CI478"/>
    <mergeCell ref="CJ478:CS478"/>
    <mergeCell ref="C479:S479"/>
    <mergeCell ref="T479:AC479"/>
    <mergeCell ref="AD479:AM479"/>
    <mergeCell ref="AN479:AW479"/>
    <mergeCell ref="AY479:BO479"/>
    <mergeCell ref="BP479:BY479"/>
    <mergeCell ref="BZ479:CI479"/>
    <mergeCell ref="CJ479:CS479"/>
    <mergeCell ref="C480:S480"/>
    <mergeCell ref="T480:AC480"/>
    <mergeCell ref="AD480:AM480"/>
    <mergeCell ref="AN480:AW480"/>
    <mergeCell ref="AY480:BO480"/>
    <mergeCell ref="BP480:BY480"/>
    <mergeCell ref="BZ480:CI480"/>
    <mergeCell ref="CJ480:CS480"/>
    <mergeCell ref="T481:AC481"/>
    <mergeCell ref="AD481:AM481"/>
    <mergeCell ref="AN481:AW481"/>
    <mergeCell ref="BP481:BY481"/>
    <mergeCell ref="BZ481:CI481"/>
    <mergeCell ref="CJ481:CS481"/>
    <mergeCell ref="C474:S474"/>
    <mergeCell ref="T474:AC474"/>
    <mergeCell ref="AD474:AM474"/>
    <mergeCell ref="AN474:AW474"/>
    <mergeCell ref="AY474:BO474"/>
    <mergeCell ref="BP474:BY474"/>
    <mergeCell ref="BZ474:CI474"/>
    <mergeCell ref="CJ474:CS474"/>
    <mergeCell ref="C475:S475"/>
    <mergeCell ref="T475:AC475"/>
    <mergeCell ref="AD475:AM475"/>
    <mergeCell ref="AN475:AW475"/>
    <mergeCell ref="AY475:BO475"/>
    <mergeCell ref="BP475:BY475"/>
    <mergeCell ref="BZ475:CI475"/>
    <mergeCell ref="CJ475:CS475"/>
    <mergeCell ref="C476:S476"/>
    <mergeCell ref="T476:AC476"/>
    <mergeCell ref="AD476:AM476"/>
    <mergeCell ref="AN476:AW476"/>
    <mergeCell ref="AY476:BO476"/>
    <mergeCell ref="BP476:BY476"/>
    <mergeCell ref="BZ476:CI476"/>
    <mergeCell ref="CJ476:CS476"/>
    <mergeCell ref="T477:AC477"/>
    <mergeCell ref="AD477:AM477"/>
    <mergeCell ref="AN477:AW477"/>
    <mergeCell ref="BP477:BY477"/>
    <mergeCell ref="BZ477:CI477"/>
    <mergeCell ref="CJ477:CS477"/>
    <mergeCell ref="C470:S470"/>
    <mergeCell ref="T470:AC470"/>
    <mergeCell ref="AD470:AM470"/>
    <mergeCell ref="AN470:AW470"/>
    <mergeCell ref="AY470:BO470"/>
    <mergeCell ref="BP470:BY470"/>
    <mergeCell ref="BZ470:CI470"/>
    <mergeCell ref="CJ470:CS470"/>
    <mergeCell ref="C471:S471"/>
    <mergeCell ref="T471:AC471"/>
    <mergeCell ref="AD471:AM471"/>
    <mergeCell ref="AN471:AW471"/>
    <mergeCell ref="AY471:BO471"/>
    <mergeCell ref="BP471:BY471"/>
    <mergeCell ref="BZ471:CI471"/>
    <mergeCell ref="CJ471:CS471"/>
    <mergeCell ref="C472:S472"/>
    <mergeCell ref="T472:AC472"/>
    <mergeCell ref="AD472:AM472"/>
    <mergeCell ref="AN472:AW472"/>
    <mergeCell ref="AY472:BO472"/>
    <mergeCell ref="BP472:BY472"/>
    <mergeCell ref="BZ472:CI472"/>
    <mergeCell ref="CJ472:CS472"/>
    <mergeCell ref="T473:AC473"/>
    <mergeCell ref="AD473:AM473"/>
    <mergeCell ref="AN473:AW473"/>
    <mergeCell ref="BP473:BY473"/>
    <mergeCell ref="BZ473:CI473"/>
    <mergeCell ref="CJ473:CS473"/>
    <mergeCell ref="C466:S466"/>
    <mergeCell ref="T466:AC466"/>
    <mergeCell ref="AD466:AM466"/>
    <mergeCell ref="AN466:AW466"/>
    <mergeCell ref="AY466:BO466"/>
    <mergeCell ref="BP466:BY466"/>
    <mergeCell ref="BZ466:CI466"/>
    <mergeCell ref="CJ466:CS466"/>
    <mergeCell ref="C467:S467"/>
    <mergeCell ref="T467:AC467"/>
    <mergeCell ref="AD467:AM467"/>
    <mergeCell ref="AN467:AW467"/>
    <mergeCell ref="AY467:BO467"/>
    <mergeCell ref="BP467:BY467"/>
    <mergeCell ref="BZ467:CI467"/>
    <mergeCell ref="CJ467:CS467"/>
    <mergeCell ref="C468:S468"/>
    <mergeCell ref="T468:AC468"/>
    <mergeCell ref="AD468:AM468"/>
    <mergeCell ref="AN468:AW468"/>
    <mergeCell ref="AY468:BO468"/>
    <mergeCell ref="BP468:BY468"/>
    <mergeCell ref="BZ468:CI468"/>
    <mergeCell ref="CJ468:CS468"/>
    <mergeCell ref="T469:AC469"/>
    <mergeCell ref="AD469:AM469"/>
    <mergeCell ref="AN469:AW469"/>
    <mergeCell ref="BP469:BY469"/>
    <mergeCell ref="BZ469:CI469"/>
    <mergeCell ref="CJ469:CS469"/>
    <mergeCell ref="C462:S462"/>
    <mergeCell ref="T462:AC462"/>
    <mergeCell ref="AD462:AM462"/>
    <mergeCell ref="AN462:AW462"/>
    <mergeCell ref="AY462:BO462"/>
    <mergeCell ref="BP462:BY462"/>
    <mergeCell ref="BZ462:CI462"/>
    <mergeCell ref="CJ462:CS462"/>
    <mergeCell ref="C463:S463"/>
    <mergeCell ref="T463:AC463"/>
    <mergeCell ref="AD463:AM463"/>
    <mergeCell ref="AN463:AW463"/>
    <mergeCell ref="AY463:BO463"/>
    <mergeCell ref="BP463:BY463"/>
    <mergeCell ref="BZ463:CI463"/>
    <mergeCell ref="CJ463:CS463"/>
    <mergeCell ref="C464:S464"/>
    <mergeCell ref="T464:AC464"/>
    <mergeCell ref="AD464:AM464"/>
    <mergeCell ref="AN464:AW464"/>
    <mergeCell ref="AY464:BO464"/>
    <mergeCell ref="BP464:BY464"/>
    <mergeCell ref="BZ464:CI464"/>
    <mergeCell ref="CJ464:CS464"/>
    <mergeCell ref="T465:AC465"/>
    <mergeCell ref="AD465:AM465"/>
    <mergeCell ref="AN465:AW465"/>
    <mergeCell ref="BP465:BY465"/>
    <mergeCell ref="C458:S458"/>
    <mergeCell ref="T458:AC458"/>
    <mergeCell ref="AD458:AM458"/>
    <mergeCell ref="AN458:AW458"/>
    <mergeCell ref="AY458:BO458"/>
    <mergeCell ref="BP458:BY458"/>
    <mergeCell ref="BZ458:CI458"/>
    <mergeCell ref="BZ465:CI465"/>
    <mergeCell ref="CJ465:CS465"/>
    <mergeCell ref="CJ458:CS458"/>
    <mergeCell ref="C459:S459"/>
    <mergeCell ref="T459:AC459"/>
    <mergeCell ref="AD459:AM459"/>
    <mergeCell ref="AN459:AW459"/>
    <mergeCell ref="AY459:BO459"/>
    <mergeCell ref="BP459:BY459"/>
    <mergeCell ref="BZ459:CI459"/>
    <mergeCell ref="CJ459:CS459"/>
    <mergeCell ref="C460:S460"/>
    <mergeCell ref="T460:AC460"/>
    <mergeCell ref="AD460:AM460"/>
    <mergeCell ref="AN460:AW460"/>
    <mergeCell ref="AY460:BO460"/>
    <mergeCell ref="BP460:BY460"/>
    <mergeCell ref="BZ460:CI460"/>
    <mergeCell ref="CJ460:CS460"/>
    <mergeCell ref="T461:AC461"/>
    <mergeCell ref="AD461:AM461"/>
    <mergeCell ref="AN461:AW461"/>
    <mergeCell ref="BP461:BY461"/>
    <mergeCell ref="BZ461:CI461"/>
    <mergeCell ref="CJ461:CS461"/>
    <mergeCell ref="BX381:CG381"/>
    <mergeCell ref="CH381:CQ381"/>
    <mergeCell ref="E382:S382"/>
    <mergeCell ref="T382:AC382"/>
    <mergeCell ref="AD382:AM382"/>
    <mergeCell ref="AN382:AW382"/>
    <mergeCell ref="AY382:BM382"/>
    <mergeCell ref="BN382:BW382"/>
    <mergeCell ref="BX382:CG382"/>
    <mergeCell ref="CH382:CQ382"/>
    <mergeCell ref="A450:CZ450"/>
    <mergeCell ref="AR453:CL453"/>
    <mergeCell ref="AR454:CL454"/>
    <mergeCell ref="C456:S457"/>
    <mergeCell ref="T456:AW456"/>
    <mergeCell ref="AY456:BO457"/>
    <mergeCell ref="BP456:CS456"/>
    <mergeCell ref="T457:AC457"/>
    <mergeCell ref="AD457:AM457"/>
    <mergeCell ref="AN457:AW457"/>
    <mergeCell ref="BP457:BY457"/>
    <mergeCell ref="BZ457:CI457"/>
    <mergeCell ref="CJ457:CS457"/>
    <mergeCell ref="BU388:CA388"/>
    <mergeCell ref="CB388:CH388"/>
    <mergeCell ref="CI388:CO388"/>
    <mergeCell ref="CP388:CV388"/>
    <mergeCell ref="CW388:DC388"/>
    <mergeCell ref="CW390:DC390"/>
    <mergeCell ref="C391:N391"/>
    <mergeCell ref="O391:U391"/>
    <mergeCell ref="W391:AC391"/>
    <mergeCell ref="BX383:CG383"/>
    <mergeCell ref="CH383:CQ383"/>
    <mergeCell ref="E377:AW377"/>
    <mergeCell ref="AY377:CQ377"/>
    <mergeCell ref="E378:S378"/>
    <mergeCell ref="T378:AC378"/>
    <mergeCell ref="AD378:AM378"/>
    <mergeCell ref="AN378:AW378"/>
    <mergeCell ref="AY378:BM378"/>
    <mergeCell ref="BN378:BW378"/>
    <mergeCell ref="BX378:CG378"/>
    <mergeCell ref="CH378:CQ378"/>
    <mergeCell ref="E379:S379"/>
    <mergeCell ref="T379:AC379"/>
    <mergeCell ref="AD379:AM379"/>
    <mergeCell ref="AN379:AW379"/>
    <mergeCell ref="AY379:BM379"/>
    <mergeCell ref="BN379:BW379"/>
    <mergeCell ref="BX379:CG379"/>
    <mergeCell ref="CH379:CQ379"/>
    <mergeCell ref="E380:S380"/>
    <mergeCell ref="T380:AC380"/>
    <mergeCell ref="AD380:AM380"/>
    <mergeCell ref="AN380:AW380"/>
    <mergeCell ref="AY380:BM380"/>
    <mergeCell ref="BN380:BW380"/>
    <mergeCell ref="BX380:CG380"/>
    <mergeCell ref="CH380:CQ380"/>
    <mergeCell ref="E381:S381"/>
    <mergeCell ref="T381:AC381"/>
    <mergeCell ref="AD381:AM381"/>
    <mergeCell ref="AN381:AW381"/>
    <mergeCell ref="C396:N396"/>
    <mergeCell ref="O396:U396"/>
    <mergeCell ref="W396:AC396"/>
    <mergeCell ref="AD396:AJ396"/>
    <mergeCell ref="AK396:AQ396"/>
    <mergeCell ref="C392:N392"/>
    <mergeCell ref="O392:U392"/>
    <mergeCell ref="W392:AC392"/>
    <mergeCell ref="AD392:AJ392"/>
    <mergeCell ref="AK392:AQ392"/>
    <mergeCell ref="AR392:AX392"/>
    <mergeCell ref="AY392:BE392"/>
    <mergeCell ref="BF392:BL392"/>
    <mergeCell ref="C375:S375"/>
    <mergeCell ref="T375:AC375"/>
    <mergeCell ref="AD375:AM375"/>
    <mergeCell ref="AN375:AW375"/>
    <mergeCell ref="AY375:BO375"/>
    <mergeCell ref="E383:S383"/>
    <mergeCell ref="T383:AC383"/>
    <mergeCell ref="AD383:AM383"/>
    <mergeCell ref="AN383:AW383"/>
    <mergeCell ref="AY383:BM383"/>
    <mergeCell ref="BN383:BW383"/>
    <mergeCell ref="AY381:BM381"/>
    <mergeCell ref="BN381:BW381"/>
    <mergeCell ref="AD391:AJ391"/>
    <mergeCell ref="AK391:AQ391"/>
    <mergeCell ref="AR391:AX391"/>
    <mergeCell ref="AY391:BE391"/>
    <mergeCell ref="BF391:BL391"/>
    <mergeCell ref="BM391:BS391"/>
    <mergeCell ref="BP375:BY375"/>
    <mergeCell ref="BZ375:CI375"/>
    <mergeCell ref="CJ375:CS375"/>
    <mergeCell ref="C371:S371"/>
    <mergeCell ref="T371:AC371"/>
    <mergeCell ref="AD371:AM371"/>
    <mergeCell ref="AN371:AW371"/>
    <mergeCell ref="AY371:BO371"/>
    <mergeCell ref="BP371:BY371"/>
    <mergeCell ref="BZ371:CI371"/>
    <mergeCell ref="CJ371:CS371"/>
    <mergeCell ref="C372:S372"/>
    <mergeCell ref="T372:AC372"/>
    <mergeCell ref="AD372:AM372"/>
    <mergeCell ref="AN372:AW372"/>
    <mergeCell ref="AY372:BO372"/>
    <mergeCell ref="BP372:BY372"/>
    <mergeCell ref="BZ372:CI372"/>
    <mergeCell ref="CJ372:CS372"/>
    <mergeCell ref="C373:S373"/>
    <mergeCell ref="T373:AC373"/>
    <mergeCell ref="AD373:AM373"/>
    <mergeCell ref="AN373:AW373"/>
    <mergeCell ref="AY373:BO373"/>
    <mergeCell ref="BP373:BY373"/>
    <mergeCell ref="BZ373:CI373"/>
    <mergeCell ref="CJ373:CS373"/>
    <mergeCell ref="T374:AC374"/>
    <mergeCell ref="AD374:AM374"/>
    <mergeCell ref="AN374:AW374"/>
    <mergeCell ref="BP374:BY374"/>
    <mergeCell ref="BZ374:CI374"/>
    <mergeCell ref="CJ374:CS374"/>
    <mergeCell ref="C367:S367"/>
    <mergeCell ref="T367:AC367"/>
    <mergeCell ref="AD367:AM367"/>
    <mergeCell ref="AN367:AW367"/>
    <mergeCell ref="AY367:BO367"/>
    <mergeCell ref="BP367:BY367"/>
    <mergeCell ref="BZ367:CI367"/>
    <mergeCell ref="CJ367:CS367"/>
    <mergeCell ref="C368:S368"/>
    <mergeCell ref="T368:AC368"/>
    <mergeCell ref="AD368:AM368"/>
    <mergeCell ref="AN368:AW368"/>
    <mergeCell ref="AY368:BO368"/>
    <mergeCell ref="BP368:BY368"/>
    <mergeCell ref="BZ368:CI368"/>
    <mergeCell ref="CJ368:CS368"/>
    <mergeCell ref="C369:S369"/>
    <mergeCell ref="T369:AC369"/>
    <mergeCell ref="AD369:AM369"/>
    <mergeCell ref="AN369:AW369"/>
    <mergeCell ref="AY369:BO369"/>
    <mergeCell ref="BP369:BY369"/>
    <mergeCell ref="BZ369:CI369"/>
    <mergeCell ref="CJ369:CS369"/>
    <mergeCell ref="T370:AC370"/>
    <mergeCell ref="AD370:AM370"/>
    <mergeCell ref="AN370:AW370"/>
    <mergeCell ref="BP370:BY370"/>
    <mergeCell ref="BZ370:CI370"/>
    <mergeCell ref="CJ370:CS370"/>
    <mergeCell ref="C363:S363"/>
    <mergeCell ref="T363:AC363"/>
    <mergeCell ref="AD363:AM363"/>
    <mergeCell ref="AN363:AW363"/>
    <mergeCell ref="AY363:BO363"/>
    <mergeCell ref="BP363:BY363"/>
    <mergeCell ref="BZ363:CI363"/>
    <mergeCell ref="CJ363:CS363"/>
    <mergeCell ref="C364:S364"/>
    <mergeCell ref="T364:AC364"/>
    <mergeCell ref="AD364:AM364"/>
    <mergeCell ref="AN364:AW364"/>
    <mergeCell ref="AY364:BO364"/>
    <mergeCell ref="BP364:BY364"/>
    <mergeCell ref="BZ364:CI364"/>
    <mergeCell ref="CJ364:CS364"/>
    <mergeCell ref="C365:S365"/>
    <mergeCell ref="T365:AC365"/>
    <mergeCell ref="AD365:AM365"/>
    <mergeCell ref="AN365:AW365"/>
    <mergeCell ref="AY365:BO365"/>
    <mergeCell ref="BP365:BY365"/>
    <mergeCell ref="BZ365:CI365"/>
    <mergeCell ref="CJ365:CS365"/>
    <mergeCell ref="T366:AC366"/>
    <mergeCell ref="AD366:AM366"/>
    <mergeCell ref="AN366:AW366"/>
    <mergeCell ref="BP366:BY366"/>
    <mergeCell ref="BZ366:CI366"/>
    <mergeCell ref="CJ366:CS366"/>
    <mergeCell ref="C359:S359"/>
    <mergeCell ref="T359:AC359"/>
    <mergeCell ref="AD359:AM359"/>
    <mergeCell ref="AN359:AW359"/>
    <mergeCell ref="AY359:BO359"/>
    <mergeCell ref="BP359:BY359"/>
    <mergeCell ref="BZ359:CI359"/>
    <mergeCell ref="CJ359:CS359"/>
    <mergeCell ref="C360:S360"/>
    <mergeCell ref="T360:AC360"/>
    <mergeCell ref="AD360:AM360"/>
    <mergeCell ref="AN360:AW360"/>
    <mergeCell ref="AY360:BO360"/>
    <mergeCell ref="BP360:BY360"/>
    <mergeCell ref="BZ360:CI360"/>
    <mergeCell ref="CJ360:CS360"/>
    <mergeCell ref="C361:S361"/>
    <mergeCell ref="T361:AC361"/>
    <mergeCell ref="AD361:AM361"/>
    <mergeCell ref="AN361:AW361"/>
    <mergeCell ref="AY361:BO361"/>
    <mergeCell ref="BP361:BY361"/>
    <mergeCell ref="BZ361:CI361"/>
    <mergeCell ref="CJ361:CS361"/>
    <mergeCell ref="T362:AC362"/>
    <mergeCell ref="AD362:AM362"/>
    <mergeCell ref="AN362:AW362"/>
    <mergeCell ref="BP362:BY362"/>
    <mergeCell ref="BZ362:CI362"/>
    <mergeCell ref="CJ362:CS362"/>
    <mergeCell ref="C355:S355"/>
    <mergeCell ref="T355:AC355"/>
    <mergeCell ref="AD355:AM355"/>
    <mergeCell ref="AN355:AW355"/>
    <mergeCell ref="AY355:BO355"/>
    <mergeCell ref="BP355:BY355"/>
    <mergeCell ref="BZ355:CI355"/>
    <mergeCell ref="CJ355:CS355"/>
    <mergeCell ref="C356:S356"/>
    <mergeCell ref="T356:AC356"/>
    <mergeCell ref="AD356:AM356"/>
    <mergeCell ref="AN356:AW356"/>
    <mergeCell ref="AY356:BO356"/>
    <mergeCell ref="BP356:BY356"/>
    <mergeCell ref="BZ356:CI356"/>
    <mergeCell ref="CJ356:CS356"/>
    <mergeCell ref="C357:S357"/>
    <mergeCell ref="T357:AC357"/>
    <mergeCell ref="AD357:AM357"/>
    <mergeCell ref="AN357:AW357"/>
    <mergeCell ref="AY357:BO357"/>
    <mergeCell ref="BP357:BY357"/>
    <mergeCell ref="BZ357:CI357"/>
    <mergeCell ref="CJ357:CS357"/>
    <mergeCell ref="T358:AC358"/>
    <mergeCell ref="AD358:AM358"/>
    <mergeCell ref="AN358:AW358"/>
    <mergeCell ref="BP358:BY358"/>
    <mergeCell ref="BZ358:CI358"/>
    <mergeCell ref="CJ358:CS358"/>
    <mergeCell ref="C351:S351"/>
    <mergeCell ref="T351:AC351"/>
    <mergeCell ref="AD351:AM351"/>
    <mergeCell ref="AN351:AW351"/>
    <mergeCell ref="AY351:BO351"/>
    <mergeCell ref="BP351:BY351"/>
    <mergeCell ref="BZ351:CI351"/>
    <mergeCell ref="CJ351:CS351"/>
    <mergeCell ref="C352:S352"/>
    <mergeCell ref="T352:AC352"/>
    <mergeCell ref="AD352:AM352"/>
    <mergeCell ref="AN352:AW352"/>
    <mergeCell ref="AY352:BO352"/>
    <mergeCell ref="BP352:BY352"/>
    <mergeCell ref="BZ352:CI352"/>
    <mergeCell ref="CJ352:CS352"/>
    <mergeCell ref="C353:S353"/>
    <mergeCell ref="T353:AC353"/>
    <mergeCell ref="AD353:AM353"/>
    <mergeCell ref="AN353:AW353"/>
    <mergeCell ref="AY353:BO353"/>
    <mergeCell ref="BP353:BY353"/>
    <mergeCell ref="BZ353:CI353"/>
    <mergeCell ref="CJ353:CS353"/>
    <mergeCell ref="T354:AC354"/>
    <mergeCell ref="AD354:AM354"/>
    <mergeCell ref="AN354:AW354"/>
    <mergeCell ref="BP354:BY354"/>
    <mergeCell ref="BZ354:CI354"/>
    <mergeCell ref="CJ354:CS354"/>
    <mergeCell ref="AY347:BO347"/>
    <mergeCell ref="BP347:BY347"/>
    <mergeCell ref="BZ347:CI347"/>
    <mergeCell ref="CJ347:CS347"/>
    <mergeCell ref="C348:S348"/>
    <mergeCell ref="T348:AC348"/>
    <mergeCell ref="AD348:AM348"/>
    <mergeCell ref="AN348:AW348"/>
    <mergeCell ref="AY348:BO348"/>
    <mergeCell ref="BP348:BY348"/>
    <mergeCell ref="BZ348:CI348"/>
    <mergeCell ref="CJ348:CS348"/>
    <mergeCell ref="C349:S349"/>
    <mergeCell ref="T349:AC349"/>
    <mergeCell ref="AD349:AM349"/>
    <mergeCell ref="AN349:AW349"/>
    <mergeCell ref="AY349:BO349"/>
    <mergeCell ref="BP349:BY349"/>
    <mergeCell ref="BZ349:CI349"/>
    <mergeCell ref="CJ349:CS349"/>
    <mergeCell ref="T350:AC350"/>
    <mergeCell ref="AD350:AM350"/>
    <mergeCell ref="AN350:AW350"/>
    <mergeCell ref="BP350:BY350"/>
    <mergeCell ref="BZ350:CI350"/>
    <mergeCell ref="CJ350:CS350"/>
    <mergeCell ref="C344:S344"/>
    <mergeCell ref="T344:AC344"/>
    <mergeCell ref="AD344:AM344"/>
    <mergeCell ref="AN344:AW344"/>
    <mergeCell ref="AY344:BO344"/>
    <mergeCell ref="BP344:BY344"/>
    <mergeCell ref="BZ344:CI344"/>
    <mergeCell ref="CJ344:CS344"/>
    <mergeCell ref="C345:S345"/>
    <mergeCell ref="T345:AC345"/>
    <mergeCell ref="AD345:AM345"/>
    <mergeCell ref="AN345:AW345"/>
    <mergeCell ref="AY345:BO345"/>
    <mergeCell ref="BP345:BY345"/>
    <mergeCell ref="BZ345:CI345"/>
    <mergeCell ref="CJ345:CS345"/>
    <mergeCell ref="T346:AC346"/>
    <mergeCell ref="AD346:AM346"/>
    <mergeCell ref="AN346:AW346"/>
    <mergeCell ref="BP346:BY346"/>
    <mergeCell ref="BZ346:CI346"/>
    <mergeCell ref="CJ346:CS346"/>
    <mergeCell ref="C347:S347"/>
    <mergeCell ref="T347:AC347"/>
    <mergeCell ref="AD347:AM347"/>
    <mergeCell ref="AN347:AW347"/>
    <mergeCell ref="C340:S340"/>
    <mergeCell ref="T340:AC340"/>
    <mergeCell ref="AD340:AM340"/>
    <mergeCell ref="AN340:AW340"/>
    <mergeCell ref="AY340:BO340"/>
    <mergeCell ref="BP340:BY340"/>
    <mergeCell ref="BZ340:CI340"/>
    <mergeCell ref="CJ340:CS340"/>
    <mergeCell ref="C341:S341"/>
    <mergeCell ref="T341:AC341"/>
    <mergeCell ref="AD341:AM341"/>
    <mergeCell ref="AN341:AW341"/>
    <mergeCell ref="AY341:BO341"/>
    <mergeCell ref="BP341:BY341"/>
    <mergeCell ref="BZ341:CI341"/>
    <mergeCell ref="CJ341:CS341"/>
    <mergeCell ref="C342:S342"/>
    <mergeCell ref="T342:AC342"/>
    <mergeCell ref="AD342:AM342"/>
    <mergeCell ref="AN342:AW342"/>
    <mergeCell ref="AY342:BO342"/>
    <mergeCell ref="BP342:BY342"/>
    <mergeCell ref="BZ342:CI342"/>
    <mergeCell ref="CJ342:CS342"/>
    <mergeCell ref="C343:S343"/>
    <mergeCell ref="T343:AC343"/>
    <mergeCell ref="AD343:AM343"/>
    <mergeCell ref="AN343:AW343"/>
    <mergeCell ref="AY343:BO343"/>
    <mergeCell ref="BP343:BY343"/>
    <mergeCell ref="BZ343:CI343"/>
    <mergeCell ref="CJ343:CS343"/>
    <mergeCell ref="C336:S336"/>
    <mergeCell ref="T336:AC336"/>
    <mergeCell ref="AD336:AM336"/>
    <mergeCell ref="AN336:AW336"/>
    <mergeCell ref="AY336:BO336"/>
    <mergeCell ref="BP336:BY336"/>
    <mergeCell ref="BZ336:CI336"/>
    <mergeCell ref="CJ336:CS336"/>
    <mergeCell ref="C337:S337"/>
    <mergeCell ref="T337:AC337"/>
    <mergeCell ref="AD337:AM337"/>
    <mergeCell ref="AN337:AW337"/>
    <mergeCell ref="AY337:BO337"/>
    <mergeCell ref="BP337:BY337"/>
    <mergeCell ref="BZ337:CI337"/>
    <mergeCell ref="CJ337:CS337"/>
    <mergeCell ref="C338:S338"/>
    <mergeCell ref="T338:AC338"/>
    <mergeCell ref="AD338:AM338"/>
    <mergeCell ref="AN338:AW338"/>
    <mergeCell ref="AY338:BO338"/>
    <mergeCell ref="BP338:BY338"/>
    <mergeCell ref="BZ338:CI338"/>
    <mergeCell ref="CJ338:CS338"/>
    <mergeCell ref="T339:AC339"/>
    <mergeCell ref="AD339:AM339"/>
    <mergeCell ref="AN339:AW339"/>
    <mergeCell ref="BP339:BY339"/>
    <mergeCell ref="BZ339:CI339"/>
    <mergeCell ref="CJ339:CS339"/>
    <mergeCell ref="C332:S332"/>
    <mergeCell ref="T332:AC332"/>
    <mergeCell ref="AD332:AM332"/>
    <mergeCell ref="AN332:AW332"/>
    <mergeCell ref="AY332:BO332"/>
    <mergeCell ref="BP332:BY332"/>
    <mergeCell ref="BZ332:CI332"/>
    <mergeCell ref="CJ332:CS332"/>
    <mergeCell ref="C333:S333"/>
    <mergeCell ref="T333:AC333"/>
    <mergeCell ref="AD333:AM333"/>
    <mergeCell ref="AN333:AW333"/>
    <mergeCell ref="AY333:BO333"/>
    <mergeCell ref="BP333:BY333"/>
    <mergeCell ref="BZ333:CI333"/>
    <mergeCell ref="CJ333:CS333"/>
    <mergeCell ref="C334:S334"/>
    <mergeCell ref="T334:AC334"/>
    <mergeCell ref="AD334:AM334"/>
    <mergeCell ref="AN334:AW334"/>
    <mergeCell ref="AY334:BO334"/>
    <mergeCell ref="BP334:BY334"/>
    <mergeCell ref="BZ334:CI334"/>
    <mergeCell ref="CJ334:CS334"/>
    <mergeCell ref="T335:AC335"/>
    <mergeCell ref="AD335:AM335"/>
    <mergeCell ref="AN335:AW335"/>
    <mergeCell ref="BP335:BY335"/>
    <mergeCell ref="BZ335:CI335"/>
    <mergeCell ref="CJ335:CS335"/>
    <mergeCell ref="C328:S328"/>
    <mergeCell ref="T328:AC328"/>
    <mergeCell ref="AD328:AM328"/>
    <mergeCell ref="AN328:AW328"/>
    <mergeCell ref="AY328:BO328"/>
    <mergeCell ref="BP328:BY328"/>
    <mergeCell ref="BZ328:CI328"/>
    <mergeCell ref="CJ328:CS328"/>
    <mergeCell ref="C329:S329"/>
    <mergeCell ref="T329:AC329"/>
    <mergeCell ref="AD329:AM329"/>
    <mergeCell ref="AN329:AW329"/>
    <mergeCell ref="AY329:BO329"/>
    <mergeCell ref="BP329:BY329"/>
    <mergeCell ref="BZ329:CI329"/>
    <mergeCell ref="CJ329:CS329"/>
    <mergeCell ref="C330:S330"/>
    <mergeCell ref="T330:AC330"/>
    <mergeCell ref="AD330:AM330"/>
    <mergeCell ref="AN330:AW330"/>
    <mergeCell ref="AY330:BO330"/>
    <mergeCell ref="BP330:BY330"/>
    <mergeCell ref="BZ330:CI330"/>
    <mergeCell ref="CJ330:CS330"/>
    <mergeCell ref="T331:AC331"/>
    <mergeCell ref="AD331:AM331"/>
    <mergeCell ref="AN331:AW331"/>
    <mergeCell ref="BP331:BY331"/>
    <mergeCell ref="BZ331:CI331"/>
    <mergeCell ref="CJ331:CS331"/>
    <mergeCell ref="C324:S324"/>
    <mergeCell ref="T324:AC324"/>
    <mergeCell ref="AD324:AM324"/>
    <mergeCell ref="AN324:AW324"/>
    <mergeCell ref="AY324:BO324"/>
    <mergeCell ref="BP324:BY324"/>
    <mergeCell ref="BZ324:CI324"/>
    <mergeCell ref="CJ324:CS324"/>
    <mergeCell ref="C325:S325"/>
    <mergeCell ref="T325:AC325"/>
    <mergeCell ref="AD325:AM325"/>
    <mergeCell ref="AN325:AW325"/>
    <mergeCell ref="AY325:BO325"/>
    <mergeCell ref="BP325:BY325"/>
    <mergeCell ref="BZ325:CI325"/>
    <mergeCell ref="CJ325:CS325"/>
    <mergeCell ref="C326:S326"/>
    <mergeCell ref="T326:AC326"/>
    <mergeCell ref="AD326:AM326"/>
    <mergeCell ref="AN326:AW326"/>
    <mergeCell ref="AY326:BO326"/>
    <mergeCell ref="BP326:BY326"/>
    <mergeCell ref="BZ326:CI326"/>
    <mergeCell ref="CJ326:CS326"/>
    <mergeCell ref="T327:AC327"/>
    <mergeCell ref="AD327:AM327"/>
    <mergeCell ref="AN327:AW327"/>
    <mergeCell ref="BP327:BY327"/>
    <mergeCell ref="BZ327:CI327"/>
    <mergeCell ref="CJ327:CS327"/>
    <mergeCell ref="C320:S320"/>
    <mergeCell ref="T320:AC320"/>
    <mergeCell ref="AD320:AM320"/>
    <mergeCell ref="AN320:AW320"/>
    <mergeCell ref="AY320:BO320"/>
    <mergeCell ref="BP320:BY320"/>
    <mergeCell ref="BZ320:CI320"/>
    <mergeCell ref="CJ320:CS320"/>
    <mergeCell ref="C321:S321"/>
    <mergeCell ref="T321:AC321"/>
    <mergeCell ref="AD321:AM321"/>
    <mergeCell ref="AN321:AW321"/>
    <mergeCell ref="AY321:BO321"/>
    <mergeCell ref="BP321:BY321"/>
    <mergeCell ref="BZ321:CI321"/>
    <mergeCell ref="CJ321:CS321"/>
    <mergeCell ref="C322:S322"/>
    <mergeCell ref="T322:AC322"/>
    <mergeCell ref="AD322:AM322"/>
    <mergeCell ref="AN322:AW322"/>
    <mergeCell ref="AY322:BO322"/>
    <mergeCell ref="BP322:BY322"/>
    <mergeCell ref="BZ322:CI322"/>
    <mergeCell ref="CJ322:CS322"/>
    <mergeCell ref="T323:AC323"/>
    <mergeCell ref="AD323:AM323"/>
    <mergeCell ref="AN323:AW323"/>
    <mergeCell ref="BP323:BY323"/>
    <mergeCell ref="BZ323:CI323"/>
    <mergeCell ref="CJ323:CS323"/>
    <mergeCell ref="C316:S316"/>
    <mergeCell ref="T316:AC316"/>
    <mergeCell ref="AD316:AM316"/>
    <mergeCell ref="AN316:AW316"/>
    <mergeCell ref="AY316:BO316"/>
    <mergeCell ref="BP316:BY316"/>
    <mergeCell ref="BZ316:CI316"/>
    <mergeCell ref="CJ316:CS316"/>
    <mergeCell ref="C317:S317"/>
    <mergeCell ref="T317:AC317"/>
    <mergeCell ref="AD317:AM317"/>
    <mergeCell ref="AN317:AW317"/>
    <mergeCell ref="AY317:BO317"/>
    <mergeCell ref="BP317:BY317"/>
    <mergeCell ref="BZ317:CI317"/>
    <mergeCell ref="CJ317:CS317"/>
    <mergeCell ref="C318:S318"/>
    <mergeCell ref="T318:AC318"/>
    <mergeCell ref="AD318:AM318"/>
    <mergeCell ref="AN318:AW318"/>
    <mergeCell ref="AY318:BO318"/>
    <mergeCell ref="BP318:BY318"/>
    <mergeCell ref="BZ318:CI318"/>
    <mergeCell ref="CJ318:CS318"/>
    <mergeCell ref="T319:AC319"/>
    <mergeCell ref="AD319:AM319"/>
    <mergeCell ref="AN319:AW319"/>
    <mergeCell ref="BP319:BY319"/>
    <mergeCell ref="BZ319:CI319"/>
    <mergeCell ref="CJ319:CS319"/>
    <mergeCell ref="C312:S312"/>
    <mergeCell ref="T312:AC312"/>
    <mergeCell ref="AD312:AM312"/>
    <mergeCell ref="AN312:AW312"/>
    <mergeCell ref="AY312:BO312"/>
    <mergeCell ref="BP312:BY312"/>
    <mergeCell ref="BZ312:CI312"/>
    <mergeCell ref="CJ312:CS312"/>
    <mergeCell ref="C313:S313"/>
    <mergeCell ref="T313:AC313"/>
    <mergeCell ref="AD313:AM313"/>
    <mergeCell ref="AN313:AW313"/>
    <mergeCell ref="AY313:BO313"/>
    <mergeCell ref="BP313:BY313"/>
    <mergeCell ref="BZ313:CI313"/>
    <mergeCell ref="CJ313:CS313"/>
    <mergeCell ref="C314:S314"/>
    <mergeCell ref="T314:AC314"/>
    <mergeCell ref="AD314:AM314"/>
    <mergeCell ref="AN314:AW314"/>
    <mergeCell ref="AY314:BO314"/>
    <mergeCell ref="BP314:BY314"/>
    <mergeCell ref="BZ314:CI314"/>
    <mergeCell ref="CJ314:CS314"/>
    <mergeCell ref="T315:AC315"/>
    <mergeCell ref="AD315:AM315"/>
    <mergeCell ref="AN315:AW315"/>
    <mergeCell ref="BP315:BY315"/>
    <mergeCell ref="BZ315:CI315"/>
    <mergeCell ref="CJ315:CS315"/>
    <mergeCell ref="CJ308:CS308"/>
    <mergeCell ref="C309:S309"/>
    <mergeCell ref="T309:AC309"/>
    <mergeCell ref="AD309:AM309"/>
    <mergeCell ref="AN309:AW309"/>
    <mergeCell ref="AY309:BO309"/>
    <mergeCell ref="BP309:BY309"/>
    <mergeCell ref="BZ309:CI309"/>
    <mergeCell ref="CJ309:CS309"/>
    <mergeCell ref="C310:S310"/>
    <mergeCell ref="T310:AC310"/>
    <mergeCell ref="AD310:AM310"/>
    <mergeCell ref="AN310:AW310"/>
    <mergeCell ref="AY310:BO310"/>
    <mergeCell ref="BP310:BY310"/>
    <mergeCell ref="AD307:AM307"/>
    <mergeCell ref="AN307:AW307"/>
    <mergeCell ref="BZ310:CI310"/>
    <mergeCell ref="CJ310:CS310"/>
    <mergeCell ref="T311:AC311"/>
    <mergeCell ref="AD311:AM311"/>
    <mergeCell ref="AN311:AW311"/>
    <mergeCell ref="BP311:BY311"/>
    <mergeCell ref="BZ311:CI311"/>
    <mergeCell ref="CJ311:CS311"/>
    <mergeCell ref="BP308:BY308"/>
    <mergeCell ref="BZ308:CI308"/>
    <mergeCell ref="A300:CZ300"/>
    <mergeCell ref="AR303:CL303"/>
    <mergeCell ref="AR304:CL304"/>
    <mergeCell ref="C306:S307"/>
    <mergeCell ref="T306:AW306"/>
    <mergeCell ref="AY306:BO307"/>
    <mergeCell ref="BP306:CS306"/>
    <mergeCell ref="T307:AC307"/>
    <mergeCell ref="BX218:CG218"/>
    <mergeCell ref="CH218:CQ218"/>
    <mergeCell ref="BP307:BY307"/>
    <mergeCell ref="BZ307:CI307"/>
    <mergeCell ref="CJ307:CS307"/>
    <mergeCell ref="C308:S308"/>
    <mergeCell ref="T308:AC308"/>
    <mergeCell ref="AD308:AM308"/>
    <mergeCell ref="AN308:AW308"/>
    <mergeCell ref="AY308:BO308"/>
    <mergeCell ref="E218:S218"/>
    <mergeCell ref="T218:AC218"/>
    <mergeCell ref="AD218:AM218"/>
    <mergeCell ref="AN218:AW218"/>
    <mergeCell ref="AY218:BM218"/>
    <mergeCell ref="BN218:BW218"/>
    <mergeCell ref="CH220:CQ220"/>
    <mergeCell ref="E219:S219"/>
    <mergeCell ref="T219:AC219"/>
    <mergeCell ref="AD219:AM219"/>
    <mergeCell ref="AN219:AW219"/>
    <mergeCell ref="AY219:BM219"/>
    <mergeCell ref="BN219:BW219"/>
    <mergeCell ref="CH222:CQ222"/>
    <mergeCell ref="BX219:CG219"/>
    <mergeCell ref="CH219:CQ219"/>
    <mergeCell ref="E220:S220"/>
    <mergeCell ref="T220:AC220"/>
    <mergeCell ref="AD220:AM220"/>
    <mergeCell ref="AN220:AW220"/>
    <mergeCell ref="AY220:BM220"/>
    <mergeCell ref="BN220:BW220"/>
    <mergeCell ref="BP213:BY213"/>
    <mergeCell ref="C211:S211"/>
    <mergeCell ref="AY211:BO211"/>
    <mergeCell ref="BZ212:CI212"/>
    <mergeCell ref="CJ212:CS212"/>
    <mergeCell ref="AD208:AM208"/>
    <mergeCell ref="AN208:AW208"/>
    <mergeCell ref="AY208:BO208"/>
    <mergeCell ref="BP208:BY208"/>
    <mergeCell ref="C209:S209"/>
    <mergeCell ref="T209:AC209"/>
    <mergeCell ref="AD209:AM209"/>
    <mergeCell ref="AN209:AW209"/>
    <mergeCell ref="AY209:BO209"/>
    <mergeCell ref="BP209:BY209"/>
    <mergeCell ref="T210:AC210"/>
    <mergeCell ref="AD210:AM210"/>
    <mergeCell ref="AN210:AW210"/>
    <mergeCell ref="BP210:BY210"/>
    <mergeCell ref="BZ208:CI208"/>
    <mergeCell ref="BZ209:CI209"/>
    <mergeCell ref="C208:S208"/>
    <mergeCell ref="T208:AC208"/>
    <mergeCell ref="AN206:AW206"/>
    <mergeCell ref="BP206:BY206"/>
    <mergeCell ref="BZ204:CI204"/>
    <mergeCell ref="CJ204:CS204"/>
    <mergeCell ref="BZ205:CI205"/>
    <mergeCell ref="CJ205:CS205"/>
    <mergeCell ref="BP215:BY215"/>
    <mergeCell ref="C212:S212"/>
    <mergeCell ref="T212:AC212"/>
    <mergeCell ref="AD212:AM212"/>
    <mergeCell ref="AN212:AW212"/>
    <mergeCell ref="AY212:BO212"/>
    <mergeCell ref="CJ213:CS213"/>
    <mergeCell ref="CJ214:CS214"/>
    <mergeCell ref="C215:S215"/>
    <mergeCell ref="T215:AC215"/>
    <mergeCell ref="AD215:AM215"/>
    <mergeCell ref="AN215:AW215"/>
    <mergeCell ref="AY215:BO215"/>
    <mergeCell ref="CJ215:CS215"/>
    <mergeCell ref="T214:AC214"/>
    <mergeCell ref="AD214:AM214"/>
    <mergeCell ref="AN214:AW214"/>
    <mergeCell ref="BP214:BY214"/>
    <mergeCell ref="BZ214:CI214"/>
    <mergeCell ref="BZ213:CI213"/>
    <mergeCell ref="BP212:BY212"/>
    <mergeCell ref="C213:S213"/>
    <mergeCell ref="T213:AC213"/>
    <mergeCell ref="AD213:AM213"/>
    <mergeCell ref="AN213:AW213"/>
    <mergeCell ref="AY213:BO213"/>
    <mergeCell ref="BZ200:CI200"/>
    <mergeCell ref="CJ200:CS200"/>
    <mergeCell ref="BZ201:CI201"/>
    <mergeCell ref="CJ201:CS201"/>
    <mergeCell ref="BZ202:CI202"/>
    <mergeCell ref="CJ202:CS202"/>
    <mergeCell ref="C207:S207"/>
    <mergeCell ref="AY207:BO207"/>
    <mergeCell ref="BZ210:CI210"/>
    <mergeCell ref="CJ210:CS210"/>
    <mergeCell ref="T211:AC211"/>
    <mergeCell ref="AD211:AM211"/>
    <mergeCell ref="AN211:AW211"/>
    <mergeCell ref="BP211:BY211"/>
    <mergeCell ref="BZ211:CI211"/>
    <mergeCell ref="CJ211:CS211"/>
    <mergeCell ref="CJ208:CS208"/>
    <mergeCell ref="CJ209:CS209"/>
    <mergeCell ref="C204:S204"/>
    <mergeCell ref="T204:AC204"/>
    <mergeCell ref="AD204:AM204"/>
    <mergeCell ref="AN204:AW204"/>
    <mergeCell ref="AY204:BO204"/>
    <mergeCell ref="BP204:BY204"/>
    <mergeCell ref="C205:S205"/>
    <mergeCell ref="T205:AC205"/>
    <mergeCell ref="AD205:AM205"/>
    <mergeCell ref="AN205:AW205"/>
    <mergeCell ref="AY205:BO205"/>
    <mergeCell ref="BP205:BY205"/>
    <mergeCell ref="T206:AC206"/>
    <mergeCell ref="AD206:AM206"/>
    <mergeCell ref="BZ198:CI198"/>
    <mergeCell ref="CJ198:CS198"/>
    <mergeCell ref="T199:AC199"/>
    <mergeCell ref="AD199:AM199"/>
    <mergeCell ref="AN199:AW199"/>
    <mergeCell ref="BP199:BY199"/>
    <mergeCell ref="C203:S203"/>
    <mergeCell ref="AY203:BO203"/>
    <mergeCell ref="BZ206:CI206"/>
    <mergeCell ref="CJ206:CS206"/>
    <mergeCell ref="T207:AC207"/>
    <mergeCell ref="AD207:AM207"/>
    <mergeCell ref="AN207:AW207"/>
    <mergeCell ref="BP207:BY207"/>
    <mergeCell ref="BZ207:CI207"/>
    <mergeCell ref="CJ207:CS207"/>
    <mergeCell ref="C200:S200"/>
    <mergeCell ref="T200:AC200"/>
    <mergeCell ref="AD200:AM200"/>
    <mergeCell ref="AN200:AW200"/>
    <mergeCell ref="AY200:BO200"/>
    <mergeCell ref="BP200:BY200"/>
    <mergeCell ref="C201:S201"/>
    <mergeCell ref="T201:AC201"/>
    <mergeCell ref="AD201:AM201"/>
    <mergeCell ref="AN201:AW201"/>
    <mergeCell ref="AY201:BO201"/>
    <mergeCell ref="BP201:BY201"/>
    <mergeCell ref="T202:AC202"/>
    <mergeCell ref="AD202:AM202"/>
    <mergeCell ref="AN202:AW202"/>
    <mergeCell ref="BP202:BY202"/>
    <mergeCell ref="BZ192:CI192"/>
    <mergeCell ref="BZ193:CI193"/>
    <mergeCell ref="T190:AC190"/>
    <mergeCell ref="AD190:AM190"/>
    <mergeCell ref="AN190:AW190"/>
    <mergeCell ref="BP190:BY190"/>
    <mergeCell ref="T203:AC203"/>
    <mergeCell ref="AD203:AM203"/>
    <mergeCell ref="AN203:AW203"/>
    <mergeCell ref="BP203:BY203"/>
    <mergeCell ref="BZ203:CI203"/>
    <mergeCell ref="CJ203:CS203"/>
    <mergeCell ref="C196:S196"/>
    <mergeCell ref="T196:AC196"/>
    <mergeCell ref="AD196:AM196"/>
    <mergeCell ref="AN196:AW196"/>
    <mergeCell ref="AY196:BO196"/>
    <mergeCell ref="BP196:BY196"/>
    <mergeCell ref="C197:S197"/>
    <mergeCell ref="T197:AC197"/>
    <mergeCell ref="AD197:AM197"/>
    <mergeCell ref="AN197:AW197"/>
    <mergeCell ref="AY197:BO197"/>
    <mergeCell ref="BP197:BY197"/>
    <mergeCell ref="T198:AC198"/>
    <mergeCell ref="AD198:AM198"/>
    <mergeCell ref="AN198:AW198"/>
    <mergeCell ref="BP198:BY198"/>
    <mergeCell ref="BZ196:CI196"/>
    <mergeCell ref="CJ196:CS196"/>
    <mergeCell ref="BZ197:CI197"/>
    <mergeCell ref="CJ197:CS197"/>
    <mergeCell ref="C195:S195"/>
    <mergeCell ref="AY195:BO195"/>
    <mergeCell ref="C192:S192"/>
    <mergeCell ref="T192:AC192"/>
    <mergeCell ref="AD192:AM192"/>
    <mergeCell ref="AN192:AW192"/>
    <mergeCell ref="AY192:BO192"/>
    <mergeCell ref="BP192:BY192"/>
    <mergeCell ref="C193:S193"/>
    <mergeCell ref="T193:AC193"/>
    <mergeCell ref="AD193:AM193"/>
    <mergeCell ref="AN193:AW193"/>
    <mergeCell ref="AY193:BO193"/>
    <mergeCell ref="BP193:BY193"/>
    <mergeCell ref="T194:AC194"/>
    <mergeCell ref="AD194:AM194"/>
    <mergeCell ref="AN194:AW194"/>
    <mergeCell ref="BP194:BY194"/>
    <mergeCell ref="BZ199:CI199"/>
    <mergeCell ref="CJ199:CS199"/>
    <mergeCell ref="CJ192:CS192"/>
    <mergeCell ref="CJ193:CS193"/>
    <mergeCell ref="BZ184:CI184"/>
    <mergeCell ref="CJ184:CS184"/>
    <mergeCell ref="BZ185:CI185"/>
    <mergeCell ref="CJ185:CS185"/>
    <mergeCell ref="C191:S191"/>
    <mergeCell ref="AY191:BO191"/>
    <mergeCell ref="C199:S199"/>
    <mergeCell ref="AY199:BO199"/>
    <mergeCell ref="BZ194:CI194"/>
    <mergeCell ref="CJ194:CS194"/>
    <mergeCell ref="T195:AC195"/>
    <mergeCell ref="AD195:AM195"/>
    <mergeCell ref="AN195:AW195"/>
    <mergeCell ref="BP195:BY195"/>
    <mergeCell ref="BZ195:CI195"/>
    <mergeCell ref="CJ195:CS195"/>
    <mergeCell ref="C188:S188"/>
    <mergeCell ref="T188:AC188"/>
    <mergeCell ref="AD188:AM188"/>
    <mergeCell ref="AN188:AW188"/>
    <mergeCell ref="AY188:BO188"/>
    <mergeCell ref="BP188:BY188"/>
    <mergeCell ref="C189:S189"/>
    <mergeCell ref="T189:AC189"/>
    <mergeCell ref="AD189:AM189"/>
    <mergeCell ref="AN189:AW189"/>
    <mergeCell ref="AY189:BO189"/>
    <mergeCell ref="BP189:BY189"/>
    <mergeCell ref="C187:S187"/>
    <mergeCell ref="AY187:BO187"/>
    <mergeCell ref="BZ190:CI190"/>
    <mergeCell ref="CJ190:CS190"/>
    <mergeCell ref="T191:AC191"/>
    <mergeCell ref="AD191:AM191"/>
    <mergeCell ref="AN191:AW191"/>
    <mergeCell ref="BP191:BY191"/>
    <mergeCell ref="BZ191:CI191"/>
    <mergeCell ref="CJ191:CS191"/>
    <mergeCell ref="C184:S184"/>
    <mergeCell ref="T184:AC184"/>
    <mergeCell ref="AD184:AM184"/>
    <mergeCell ref="AN184:AW184"/>
    <mergeCell ref="AY184:BO184"/>
    <mergeCell ref="BP184:BY184"/>
    <mergeCell ref="C185:S185"/>
    <mergeCell ref="T185:AC185"/>
    <mergeCell ref="AD185:AM185"/>
    <mergeCell ref="AN185:AW185"/>
    <mergeCell ref="AY185:BO185"/>
    <mergeCell ref="BP185:BY185"/>
    <mergeCell ref="T186:AC186"/>
    <mergeCell ref="AD186:AM186"/>
    <mergeCell ref="AN186:AW186"/>
    <mergeCell ref="BP186:BY186"/>
    <mergeCell ref="BZ188:CI188"/>
    <mergeCell ref="CJ188:CS188"/>
    <mergeCell ref="BZ189:CI189"/>
    <mergeCell ref="CJ189:CS189"/>
    <mergeCell ref="C183:S183"/>
    <mergeCell ref="AY183:BO183"/>
    <mergeCell ref="BZ186:CI186"/>
    <mergeCell ref="CJ186:CS186"/>
    <mergeCell ref="T187:AC187"/>
    <mergeCell ref="AD187:AM187"/>
    <mergeCell ref="AN187:AW187"/>
    <mergeCell ref="BP187:BY187"/>
    <mergeCell ref="BZ187:CI187"/>
    <mergeCell ref="CJ187:CS187"/>
    <mergeCell ref="C181:S181"/>
    <mergeCell ref="T181:AC181"/>
    <mergeCell ref="AD181:AM181"/>
    <mergeCell ref="AN181:AW181"/>
    <mergeCell ref="AY181:BO181"/>
    <mergeCell ref="BP181:BY181"/>
    <mergeCell ref="BZ181:CI181"/>
    <mergeCell ref="CJ181:CS181"/>
    <mergeCell ref="C182:S182"/>
    <mergeCell ref="T182:AC182"/>
    <mergeCell ref="AD182:AM182"/>
    <mergeCell ref="AN182:AW182"/>
    <mergeCell ref="AY182:BO182"/>
    <mergeCell ref="BP182:BY182"/>
    <mergeCell ref="BZ182:CI182"/>
    <mergeCell ref="CJ182:CS182"/>
    <mergeCell ref="T183:AC183"/>
    <mergeCell ref="AD183:AM183"/>
    <mergeCell ref="AN183:AW183"/>
    <mergeCell ref="BP183:BY183"/>
    <mergeCell ref="BZ183:CI183"/>
    <mergeCell ref="CJ183:CS183"/>
    <mergeCell ref="AD177:AM177"/>
    <mergeCell ref="AN177:AW177"/>
    <mergeCell ref="AY177:BO177"/>
    <mergeCell ref="BP177:BY177"/>
    <mergeCell ref="BZ177:CI177"/>
    <mergeCell ref="CJ177:CS177"/>
    <mergeCell ref="C178:S178"/>
    <mergeCell ref="T178:AC178"/>
    <mergeCell ref="AD178:AM178"/>
    <mergeCell ref="AN178:AW178"/>
    <mergeCell ref="AY178:BO178"/>
    <mergeCell ref="BP178:BY178"/>
    <mergeCell ref="BZ178:CI178"/>
    <mergeCell ref="CJ178:CS178"/>
    <mergeCell ref="BZ180:CI180"/>
    <mergeCell ref="CJ180:CS180"/>
    <mergeCell ref="T179:AC179"/>
    <mergeCell ref="AD179:AM179"/>
    <mergeCell ref="AN179:AW179"/>
    <mergeCell ref="BP179:BY179"/>
    <mergeCell ref="C176:S176"/>
    <mergeCell ref="AY176:BO176"/>
    <mergeCell ref="BZ179:CI179"/>
    <mergeCell ref="CJ179:CS179"/>
    <mergeCell ref="C180:S180"/>
    <mergeCell ref="T180:AC180"/>
    <mergeCell ref="AD180:AM180"/>
    <mergeCell ref="AN180:AW180"/>
    <mergeCell ref="AY180:BO180"/>
    <mergeCell ref="BP180:BY180"/>
    <mergeCell ref="C173:S173"/>
    <mergeCell ref="T173:AC173"/>
    <mergeCell ref="AD173:AM173"/>
    <mergeCell ref="AN173:AW173"/>
    <mergeCell ref="AY173:BO173"/>
    <mergeCell ref="BP173:BY173"/>
    <mergeCell ref="C174:S174"/>
    <mergeCell ref="T174:AC174"/>
    <mergeCell ref="AD174:AM174"/>
    <mergeCell ref="AN174:AW174"/>
    <mergeCell ref="AY174:BO174"/>
    <mergeCell ref="BP174:BY174"/>
    <mergeCell ref="T175:AC175"/>
    <mergeCell ref="AD175:AM175"/>
    <mergeCell ref="AN175:AW175"/>
    <mergeCell ref="BP175:BY175"/>
    <mergeCell ref="BZ173:CI173"/>
    <mergeCell ref="CJ173:CS173"/>
    <mergeCell ref="BZ174:CI174"/>
    <mergeCell ref="CJ174:CS174"/>
    <mergeCell ref="C177:S177"/>
    <mergeCell ref="T177:AC177"/>
    <mergeCell ref="C172:S172"/>
    <mergeCell ref="AY172:BO172"/>
    <mergeCell ref="BZ175:CI175"/>
    <mergeCell ref="CJ175:CS175"/>
    <mergeCell ref="T176:AC176"/>
    <mergeCell ref="AD176:AM176"/>
    <mergeCell ref="AN176:AW176"/>
    <mergeCell ref="BP176:BY176"/>
    <mergeCell ref="BZ176:CI176"/>
    <mergeCell ref="CJ176:CS176"/>
    <mergeCell ref="BZ170:CI170"/>
    <mergeCell ref="CJ170:CS170"/>
    <mergeCell ref="C169:S169"/>
    <mergeCell ref="T169:AC169"/>
    <mergeCell ref="AD169:AM169"/>
    <mergeCell ref="AN169:AW169"/>
    <mergeCell ref="AY169:BO169"/>
    <mergeCell ref="BP169:BY169"/>
    <mergeCell ref="AN171:AW171"/>
    <mergeCell ref="BP171:BY171"/>
    <mergeCell ref="BZ169:CI169"/>
    <mergeCell ref="CJ169:CS169"/>
    <mergeCell ref="C170:S170"/>
    <mergeCell ref="T170:AC170"/>
    <mergeCell ref="AD170:AM170"/>
    <mergeCell ref="AN170:AW170"/>
    <mergeCell ref="AY170:BO170"/>
    <mergeCell ref="BP170:BY170"/>
    <mergeCell ref="BZ171:CI171"/>
    <mergeCell ref="CJ171:CS171"/>
    <mergeCell ref="T172:AC172"/>
    <mergeCell ref="AD172:AM172"/>
    <mergeCell ref="AN165:AW165"/>
    <mergeCell ref="AY165:BO165"/>
    <mergeCell ref="BP165:BY165"/>
    <mergeCell ref="AN167:AW167"/>
    <mergeCell ref="BP167:BY167"/>
    <mergeCell ref="BZ165:CI165"/>
    <mergeCell ref="CJ165:CS165"/>
    <mergeCell ref="C166:S166"/>
    <mergeCell ref="T166:AC166"/>
    <mergeCell ref="AD166:AM166"/>
    <mergeCell ref="AN166:AW166"/>
    <mergeCell ref="AY166:BO166"/>
    <mergeCell ref="BP166:BY166"/>
    <mergeCell ref="BZ167:CI167"/>
    <mergeCell ref="CJ167:CS167"/>
    <mergeCell ref="T168:AC168"/>
    <mergeCell ref="AD168:AM168"/>
    <mergeCell ref="AN168:AW168"/>
    <mergeCell ref="BP168:BY168"/>
    <mergeCell ref="BZ168:CI168"/>
    <mergeCell ref="CJ168:CS168"/>
    <mergeCell ref="C168:S168"/>
    <mergeCell ref="AY168:BO168"/>
    <mergeCell ref="C161:S161"/>
    <mergeCell ref="T161:AC161"/>
    <mergeCell ref="AD161:AM161"/>
    <mergeCell ref="AN161:AW161"/>
    <mergeCell ref="AY161:BO161"/>
    <mergeCell ref="BP161:BY161"/>
    <mergeCell ref="BP163:BY163"/>
    <mergeCell ref="BZ161:CI161"/>
    <mergeCell ref="CJ161:CS161"/>
    <mergeCell ref="C162:S162"/>
    <mergeCell ref="T162:AC162"/>
    <mergeCell ref="AD162:AM162"/>
    <mergeCell ref="AN162:AW162"/>
    <mergeCell ref="AY162:BO162"/>
    <mergeCell ref="BP162:BY162"/>
    <mergeCell ref="BZ162:CI162"/>
    <mergeCell ref="BZ163:CI163"/>
    <mergeCell ref="CJ163:CS163"/>
    <mergeCell ref="T163:AC163"/>
    <mergeCell ref="AD163:AM163"/>
    <mergeCell ref="AN163:AW163"/>
    <mergeCell ref="C157:S157"/>
    <mergeCell ref="T157:AC157"/>
    <mergeCell ref="AD157:AM157"/>
    <mergeCell ref="AN157:AW157"/>
    <mergeCell ref="AY157:BO157"/>
    <mergeCell ref="BP157:BY157"/>
    <mergeCell ref="BP159:BY159"/>
    <mergeCell ref="BZ157:CI157"/>
    <mergeCell ref="CJ157:CS157"/>
    <mergeCell ref="C158:S158"/>
    <mergeCell ref="T158:AC158"/>
    <mergeCell ref="AD158:AM158"/>
    <mergeCell ref="AN158:AW158"/>
    <mergeCell ref="AY158:BO158"/>
    <mergeCell ref="BP158:BY158"/>
    <mergeCell ref="BZ158:CI158"/>
    <mergeCell ref="BZ159:CI159"/>
    <mergeCell ref="CJ159:CS159"/>
    <mergeCell ref="CJ158:CS158"/>
    <mergeCell ref="AD159:AM159"/>
    <mergeCell ref="AN159:AW159"/>
    <mergeCell ref="C154:S154"/>
    <mergeCell ref="T154:AC154"/>
    <mergeCell ref="AD154:AM154"/>
    <mergeCell ref="AN154:AW154"/>
    <mergeCell ref="AY154:BO154"/>
    <mergeCell ref="BP154:BY154"/>
    <mergeCell ref="BZ154:CI154"/>
    <mergeCell ref="CJ154:CS154"/>
    <mergeCell ref="BP156:BY156"/>
    <mergeCell ref="BZ156:CI156"/>
    <mergeCell ref="CJ156:CS156"/>
    <mergeCell ref="T155:AC155"/>
    <mergeCell ref="AD155:AM155"/>
    <mergeCell ref="AN155:AW155"/>
    <mergeCell ref="BP155:BY155"/>
    <mergeCell ref="AD153:AM153"/>
    <mergeCell ref="AN153:AW153"/>
    <mergeCell ref="AY153:BO153"/>
    <mergeCell ref="BP153:BY153"/>
    <mergeCell ref="BZ153:CI153"/>
    <mergeCell ref="CJ153:CS153"/>
    <mergeCell ref="C153:S153"/>
    <mergeCell ref="T153:AC153"/>
    <mergeCell ref="AN156:AW156"/>
    <mergeCell ref="C150:S150"/>
    <mergeCell ref="T150:AC150"/>
    <mergeCell ref="AD150:AM150"/>
    <mergeCell ref="AN150:AW150"/>
    <mergeCell ref="T152:AC152"/>
    <mergeCell ref="AD152:AM152"/>
    <mergeCell ref="AN152:AW152"/>
    <mergeCell ref="BP152:BY152"/>
    <mergeCell ref="BZ152:CI152"/>
    <mergeCell ref="CJ152:CS152"/>
    <mergeCell ref="T147:AC147"/>
    <mergeCell ref="AD147:AM147"/>
    <mergeCell ref="AN147:AW147"/>
    <mergeCell ref="BP147:BY147"/>
    <mergeCell ref="BZ151:CI151"/>
    <mergeCell ref="CJ151:CS151"/>
    <mergeCell ref="T151:AC151"/>
    <mergeCell ref="AD151:AM151"/>
    <mergeCell ref="AN151:AW151"/>
    <mergeCell ref="BP151:BY151"/>
    <mergeCell ref="C152:S152"/>
    <mergeCell ref="AY152:BO152"/>
    <mergeCell ref="C149:S149"/>
    <mergeCell ref="T149:AC149"/>
    <mergeCell ref="AD149:AM149"/>
    <mergeCell ref="AN149:AW149"/>
    <mergeCell ref="AY149:BO149"/>
    <mergeCell ref="BP149:BY149"/>
    <mergeCell ref="BZ149:CI149"/>
    <mergeCell ref="CJ149:CS149"/>
    <mergeCell ref="AY150:BO150"/>
    <mergeCell ref="BP150:BY150"/>
    <mergeCell ref="AV135:BE135"/>
    <mergeCell ref="BZ135:CI136"/>
    <mergeCell ref="A140:CZ140"/>
    <mergeCell ref="AR143:CL143"/>
    <mergeCell ref="BZ147:CI147"/>
    <mergeCell ref="CJ147:CS147"/>
    <mergeCell ref="T148:AC148"/>
    <mergeCell ref="AD148:AM148"/>
    <mergeCell ref="AN148:AW148"/>
    <mergeCell ref="BP148:BY148"/>
    <mergeCell ref="BZ148:CI148"/>
    <mergeCell ref="CJ148:CS148"/>
    <mergeCell ref="BP137:BY137"/>
    <mergeCell ref="C136:Q136"/>
    <mergeCell ref="R136:AA136"/>
    <mergeCell ref="AB136:AK136"/>
    <mergeCell ref="AL136:AU136"/>
    <mergeCell ref="AV136:BE136"/>
    <mergeCell ref="BF136:BO136"/>
    <mergeCell ref="CK137:CT137"/>
    <mergeCell ref="CU137:DD137"/>
    <mergeCell ref="AR144:CL144"/>
    <mergeCell ref="C146:S147"/>
    <mergeCell ref="T146:AW146"/>
    <mergeCell ref="AY146:BO147"/>
    <mergeCell ref="BP146:CS146"/>
    <mergeCell ref="C148:S148"/>
    <mergeCell ref="AY148:BO148"/>
    <mergeCell ref="BZ137:CI137"/>
    <mergeCell ref="CT146:DA146"/>
    <mergeCell ref="DO133:DX133"/>
    <mergeCell ref="DY133:EH133"/>
    <mergeCell ref="BZ133:CI133"/>
    <mergeCell ref="DE137:DN137"/>
    <mergeCell ref="BP136:BY136"/>
    <mergeCell ref="C137:Q137"/>
    <mergeCell ref="R137:AA137"/>
    <mergeCell ref="AB137:AK137"/>
    <mergeCell ref="AL137:AU137"/>
    <mergeCell ref="AV137:BE137"/>
    <mergeCell ref="BF137:BO137"/>
    <mergeCell ref="C134:Q134"/>
    <mergeCell ref="R134:AA134"/>
    <mergeCell ref="AB134:AK134"/>
    <mergeCell ref="AL134:AU134"/>
    <mergeCell ref="AV134:BE134"/>
    <mergeCell ref="BF134:BO134"/>
    <mergeCell ref="DO134:DX134"/>
    <mergeCell ref="DY134:EH134"/>
    <mergeCell ref="BF135:BO135"/>
    <mergeCell ref="BP135:BY135"/>
    <mergeCell ref="BP134:BY134"/>
    <mergeCell ref="CK134:CT134"/>
    <mergeCell ref="CU134:DD134"/>
    <mergeCell ref="DE134:DN134"/>
    <mergeCell ref="DO137:DX137"/>
    <mergeCell ref="DY137:EH137"/>
    <mergeCell ref="BZ134:CI134"/>
    <mergeCell ref="C135:Q135"/>
    <mergeCell ref="R135:AA135"/>
    <mergeCell ref="AB135:AK135"/>
    <mergeCell ref="AL135:AU135"/>
    <mergeCell ref="CK133:CT133"/>
    <mergeCell ref="CU133:DD133"/>
    <mergeCell ref="BP132:BY132"/>
    <mergeCell ref="CK132:CT132"/>
    <mergeCell ref="CU132:DD132"/>
    <mergeCell ref="DE132:DN132"/>
    <mergeCell ref="BZ132:CI132"/>
    <mergeCell ref="C133:Q133"/>
    <mergeCell ref="R133:AA133"/>
    <mergeCell ref="AB133:AK133"/>
    <mergeCell ref="AL133:AU133"/>
    <mergeCell ref="AV133:BE133"/>
    <mergeCell ref="BF133:BO133"/>
    <mergeCell ref="BP133:BY133"/>
    <mergeCell ref="C132:Q132"/>
    <mergeCell ref="R132:AA132"/>
    <mergeCell ref="C131:Q131"/>
    <mergeCell ref="R131:AA131"/>
    <mergeCell ref="DE133:DN133"/>
    <mergeCell ref="AV130:BE130"/>
    <mergeCell ref="BF130:BO130"/>
    <mergeCell ref="DE130:DN130"/>
    <mergeCell ref="DO130:DX130"/>
    <mergeCell ref="DY130:EH130"/>
    <mergeCell ref="DE129:DN129"/>
    <mergeCell ref="DO129:DX129"/>
    <mergeCell ref="DY129:EH129"/>
    <mergeCell ref="BF131:BO131"/>
    <mergeCell ref="BP131:BY131"/>
    <mergeCell ref="CK131:CT131"/>
    <mergeCell ref="CU131:DD131"/>
    <mergeCell ref="BP130:BY130"/>
    <mergeCell ref="CK130:CT130"/>
    <mergeCell ref="CU130:DD130"/>
    <mergeCell ref="AB132:AK132"/>
    <mergeCell ref="AL132:AU132"/>
    <mergeCell ref="AV132:BE132"/>
    <mergeCell ref="BF132:BO132"/>
    <mergeCell ref="BZ130:CI130"/>
    <mergeCell ref="AB131:AK131"/>
    <mergeCell ref="AL131:AU131"/>
    <mergeCell ref="AV131:BE131"/>
    <mergeCell ref="DO132:DX132"/>
    <mergeCell ref="DY132:EH132"/>
    <mergeCell ref="DE131:DN131"/>
    <mergeCell ref="DO131:DX131"/>
    <mergeCell ref="DY131:EH131"/>
    <mergeCell ref="BZ131:CI131"/>
    <mergeCell ref="DO128:DX128"/>
    <mergeCell ref="DY128:EH128"/>
    <mergeCell ref="DE127:DN127"/>
    <mergeCell ref="DO127:DX127"/>
    <mergeCell ref="DY127:EH127"/>
    <mergeCell ref="BZ127:CI127"/>
    <mergeCell ref="CK129:CT129"/>
    <mergeCell ref="CU129:DD129"/>
    <mergeCell ref="BP128:BY128"/>
    <mergeCell ref="CK128:CT128"/>
    <mergeCell ref="CU128:DD128"/>
    <mergeCell ref="DE128:DN128"/>
    <mergeCell ref="BZ129:CI129"/>
    <mergeCell ref="BZ128:CI128"/>
    <mergeCell ref="C129:Q129"/>
    <mergeCell ref="R129:AA129"/>
    <mergeCell ref="AB129:AK129"/>
    <mergeCell ref="AL129:AU129"/>
    <mergeCell ref="AV129:BE129"/>
    <mergeCell ref="BF129:BO129"/>
    <mergeCell ref="BP129:BY129"/>
    <mergeCell ref="C128:Q128"/>
    <mergeCell ref="AL127:AU127"/>
    <mergeCell ref="AV127:BE127"/>
    <mergeCell ref="C130:Q130"/>
    <mergeCell ref="R130:AA130"/>
    <mergeCell ref="AB130:AK130"/>
    <mergeCell ref="AL130:AU130"/>
    <mergeCell ref="R128:AA128"/>
    <mergeCell ref="C126:Q126"/>
    <mergeCell ref="R126:AA126"/>
    <mergeCell ref="AB126:AK126"/>
    <mergeCell ref="AL126:AU126"/>
    <mergeCell ref="AV126:BE126"/>
    <mergeCell ref="BF126:BO126"/>
    <mergeCell ref="DE126:DN126"/>
    <mergeCell ref="DO126:DX126"/>
    <mergeCell ref="DY126:EH126"/>
    <mergeCell ref="DE125:DN125"/>
    <mergeCell ref="DO125:DX125"/>
    <mergeCell ref="DY125:EH125"/>
    <mergeCell ref="BF127:BO127"/>
    <mergeCell ref="BP127:BY127"/>
    <mergeCell ref="CK127:CT127"/>
    <mergeCell ref="CU127:DD127"/>
    <mergeCell ref="BP126:BY126"/>
    <mergeCell ref="CK126:CT126"/>
    <mergeCell ref="CU126:DD126"/>
    <mergeCell ref="AB128:AK128"/>
    <mergeCell ref="AL128:AU128"/>
    <mergeCell ref="AV128:BE128"/>
    <mergeCell ref="BF128:BO128"/>
    <mergeCell ref="BZ126:CI126"/>
    <mergeCell ref="C127:Q127"/>
    <mergeCell ref="R127:AA127"/>
    <mergeCell ref="AB127:AK127"/>
    <mergeCell ref="DO124:DX124"/>
    <mergeCell ref="DY124:EH124"/>
    <mergeCell ref="DE123:DN123"/>
    <mergeCell ref="DO123:DX123"/>
    <mergeCell ref="DY123:EH123"/>
    <mergeCell ref="BZ123:CI123"/>
    <mergeCell ref="CK125:CT125"/>
    <mergeCell ref="CU125:DD125"/>
    <mergeCell ref="BP124:BY124"/>
    <mergeCell ref="CK124:CT124"/>
    <mergeCell ref="CU124:DD124"/>
    <mergeCell ref="DE124:DN124"/>
    <mergeCell ref="BZ125:CI125"/>
    <mergeCell ref="BZ124:CI124"/>
    <mergeCell ref="C125:Q125"/>
    <mergeCell ref="R125:AA125"/>
    <mergeCell ref="AB125:AK125"/>
    <mergeCell ref="AL125:AU125"/>
    <mergeCell ref="AV125:BE125"/>
    <mergeCell ref="BF125:BO125"/>
    <mergeCell ref="BP125:BY125"/>
    <mergeCell ref="C124:Q124"/>
    <mergeCell ref="R124:AA124"/>
    <mergeCell ref="AB124:AK124"/>
    <mergeCell ref="AL124:AU124"/>
    <mergeCell ref="AV124:BE124"/>
    <mergeCell ref="BF124:BO124"/>
    <mergeCell ref="C122:Q122"/>
    <mergeCell ref="R122:AA122"/>
    <mergeCell ref="AB122:AK122"/>
    <mergeCell ref="AL122:AU122"/>
    <mergeCell ref="AV122:BE122"/>
    <mergeCell ref="BF122:BO122"/>
    <mergeCell ref="DE122:DN122"/>
    <mergeCell ref="DO122:DX122"/>
    <mergeCell ref="DY122:EH122"/>
    <mergeCell ref="DE121:DN121"/>
    <mergeCell ref="DO121:DX121"/>
    <mergeCell ref="DY121:EH121"/>
    <mergeCell ref="BF123:BO123"/>
    <mergeCell ref="BP123:BY123"/>
    <mergeCell ref="CK123:CT123"/>
    <mergeCell ref="CU123:DD123"/>
    <mergeCell ref="BP122:BY122"/>
    <mergeCell ref="CK122:CT122"/>
    <mergeCell ref="CU122:DD122"/>
    <mergeCell ref="BZ122:CI122"/>
    <mergeCell ref="C123:Q123"/>
    <mergeCell ref="R123:AA123"/>
    <mergeCell ref="AB123:AK123"/>
    <mergeCell ref="AL123:AU123"/>
    <mergeCell ref="AV123:BE123"/>
    <mergeCell ref="DO120:DX120"/>
    <mergeCell ref="DY120:EH120"/>
    <mergeCell ref="DE119:DN119"/>
    <mergeCell ref="DO119:DX119"/>
    <mergeCell ref="DY119:EH119"/>
    <mergeCell ref="BZ119:CI119"/>
    <mergeCell ref="CK121:CT121"/>
    <mergeCell ref="CU121:DD121"/>
    <mergeCell ref="BP120:BY120"/>
    <mergeCell ref="CK120:CT120"/>
    <mergeCell ref="CU120:DD120"/>
    <mergeCell ref="DE120:DN120"/>
    <mergeCell ref="BZ121:CI121"/>
    <mergeCell ref="BZ120:CI120"/>
    <mergeCell ref="C121:Q121"/>
    <mergeCell ref="R121:AA121"/>
    <mergeCell ref="AB121:AK121"/>
    <mergeCell ref="AL121:AU121"/>
    <mergeCell ref="AV121:BE121"/>
    <mergeCell ref="BF121:BO121"/>
    <mergeCell ref="BP121:BY121"/>
    <mergeCell ref="C120:Q120"/>
    <mergeCell ref="R120:AA120"/>
    <mergeCell ref="AB120:AK120"/>
    <mergeCell ref="AL120:AU120"/>
    <mergeCell ref="AV120:BE120"/>
    <mergeCell ref="BF120:BO120"/>
    <mergeCell ref="BF118:BO118"/>
    <mergeCell ref="AL117:AU117"/>
    <mergeCell ref="AV117:BE117"/>
    <mergeCell ref="BF117:BO117"/>
    <mergeCell ref="BP117:BY117"/>
    <mergeCell ref="CK117:CT117"/>
    <mergeCell ref="DY118:EH118"/>
    <mergeCell ref="DE117:DN117"/>
    <mergeCell ref="DO117:DX117"/>
    <mergeCell ref="DY117:EH117"/>
    <mergeCell ref="BZ117:CI117"/>
    <mergeCell ref="C118:Q118"/>
    <mergeCell ref="R118:AA118"/>
    <mergeCell ref="AB118:AK118"/>
    <mergeCell ref="AL118:AU118"/>
    <mergeCell ref="AV118:BE118"/>
    <mergeCell ref="CU119:DD119"/>
    <mergeCell ref="BP118:BY118"/>
    <mergeCell ref="CK118:CT118"/>
    <mergeCell ref="CU118:DD118"/>
    <mergeCell ref="DE118:DN118"/>
    <mergeCell ref="DO118:DX118"/>
    <mergeCell ref="CU117:DD117"/>
    <mergeCell ref="C119:Q119"/>
    <mergeCell ref="R119:AA119"/>
    <mergeCell ref="AB119:AK119"/>
    <mergeCell ref="AL119:AU119"/>
    <mergeCell ref="AV119:BE119"/>
    <mergeCell ref="BF119:BO119"/>
    <mergeCell ref="BP119:BY119"/>
    <mergeCell ref="CK119:CT119"/>
    <mergeCell ref="C116:Q117"/>
    <mergeCell ref="DY112:EH112"/>
    <mergeCell ref="C111:Q111"/>
    <mergeCell ref="R111:AA111"/>
    <mergeCell ref="AB111:AK111"/>
    <mergeCell ref="AL111:AU111"/>
    <mergeCell ref="AV111:BE111"/>
    <mergeCell ref="BF111:BO111"/>
    <mergeCell ref="BP111:BY111"/>
    <mergeCell ref="DY111:EH111"/>
    <mergeCell ref="C112:Q112"/>
    <mergeCell ref="R112:AA112"/>
    <mergeCell ref="AB112:AK112"/>
    <mergeCell ref="AL112:AU112"/>
    <mergeCell ref="AV112:BE112"/>
    <mergeCell ref="BF112:BO112"/>
    <mergeCell ref="BP112:BY112"/>
    <mergeCell ref="CK112:CT112"/>
    <mergeCell ref="CU112:DD112"/>
    <mergeCell ref="DE112:DN112"/>
    <mergeCell ref="BZ118:CI118"/>
    <mergeCell ref="AV107:BE107"/>
    <mergeCell ref="BF107:BO107"/>
    <mergeCell ref="BP107:BY107"/>
    <mergeCell ref="CK107:CT107"/>
    <mergeCell ref="CU107:DD107"/>
    <mergeCell ref="DE107:DN107"/>
    <mergeCell ref="DO107:DX107"/>
    <mergeCell ref="DY107:EH107"/>
    <mergeCell ref="BZ107:CI107"/>
    <mergeCell ref="C108:Q108"/>
    <mergeCell ref="R108:AA108"/>
    <mergeCell ref="AB108:AK108"/>
    <mergeCell ref="AL108:AU108"/>
    <mergeCell ref="AV108:BE108"/>
    <mergeCell ref="BF108:BO108"/>
    <mergeCell ref="CU108:DD108"/>
    <mergeCell ref="DE108:DN108"/>
    <mergeCell ref="DO108:DX108"/>
    <mergeCell ref="DY108:EH108"/>
    <mergeCell ref="BZ108:CI108"/>
    <mergeCell ref="DO112:DX112"/>
    <mergeCell ref="R116:BY116"/>
    <mergeCell ref="R117:AA117"/>
    <mergeCell ref="AB117:AK117"/>
    <mergeCell ref="C109:Q109"/>
    <mergeCell ref="R109:AA109"/>
    <mergeCell ref="AB109:AK109"/>
    <mergeCell ref="AL109:AU109"/>
    <mergeCell ref="AV109:BE109"/>
    <mergeCell ref="BF109:BO109"/>
    <mergeCell ref="BP109:BY109"/>
    <mergeCell ref="C110:Q110"/>
    <mergeCell ref="R110:AA110"/>
    <mergeCell ref="AB110:AK110"/>
    <mergeCell ref="AL110:AU110"/>
    <mergeCell ref="AV110:BE110"/>
    <mergeCell ref="BF110:BO110"/>
    <mergeCell ref="BP110:BY110"/>
    <mergeCell ref="DO110:DX110"/>
    <mergeCell ref="CU106:DD106"/>
    <mergeCell ref="DE106:DN106"/>
    <mergeCell ref="DO106:DX106"/>
    <mergeCell ref="DY106:EH106"/>
    <mergeCell ref="BZ106:CI106"/>
    <mergeCell ref="C107:Q107"/>
    <mergeCell ref="R107:AA107"/>
    <mergeCell ref="AB107:AK107"/>
    <mergeCell ref="AL107:AU107"/>
    <mergeCell ref="CK109:CT109"/>
    <mergeCell ref="CU109:DD109"/>
    <mergeCell ref="DE109:DN109"/>
    <mergeCell ref="DO109:DX109"/>
    <mergeCell ref="DY109:EH109"/>
    <mergeCell ref="BZ109:CI109"/>
    <mergeCell ref="BP108:BY108"/>
    <mergeCell ref="CK108:CT108"/>
    <mergeCell ref="C106:Q106"/>
    <mergeCell ref="R106:AA106"/>
    <mergeCell ref="AB106:AK106"/>
    <mergeCell ref="AL106:AU106"/>
    <mergeCell ref="AV106:BE106"/>
    <mergeCell ref="BF106:BO106"/>
    <mergeCell ref="BP106:BY106"/>
    <mergeCell ref="DY103:EH103"/>
    <mergeCell ref="BZ103:CI103"/>
    <mergeCell ref="C104:Q104"/>
    <mergeCell ref="R104:AA104"/>
    <mergeCell ref="AB104:AK104"/>
    <mergeCell ref="AL104:AU104"/>
    <mergeCell ref="AV104:BE104"/>
    <mergeCell ref="BF104:BO104"/>
    <mergeCell ref="CU104:DD104"/>
    <mergeCell ref="DE104:DN104"/>
    <mergeCell ref="DO104:DX104"/>
    <mergeCell ref="DY104:EH104"/>
    <mergeCell ref="BZ104:CI104"/>
    <mergeCell ref="C105:Q105"/>
    <mergeCell ref="R105:AA105"/>
    <mergeCell ref="AB105:AK105"/>
    <mergeCell ref="AL105:AU105"/>
    <mergeCell ref="AV105:BE105"/>
    <mergeCell ref="BF105:BO105"/>
    <mergeCell ref="BP105:BY105"/>
    <mergeCell ref="CK105:CT105"/>
    <mergeCell ref="CU105:DD105"/>
    <mergeCell ref="DE105:DN105"/>
    <mergeCell ref="DO105:DX105"/>
    <mergeCell ref="DY105:EH105"/>
    <mergeCell ref="BZ105:CI105"/>
    <mergeCell ref="BP104:BY104"/>
    <mergeCell ref="CK104:CT104"/>
    <mergeCell ref="C101:Q101"/>
    <mergeCell ref="R101:AA101"/>
    <mergeCell ref="AB101:AK101"/>
    <mergeCell ref="AL101:AU101"/>
    <mergeCell ref="AV101:BE101"/>
    <mergeCell ref="BF101:BO101"/>
    <mergeCell ref="BP101:BY101"/>
    <mergeCell ref="CK101:CT101"/>
    <mergeCell ref="CU101:DD101"/>
    <mergeCell ref="DE101:DN101"/>
    <mergeCell ref="DO101:DX101"/>
    <mergeCell ref="DY101:EH101"/>
    <mergeCell ref="BZ101:CI101"/>
    <mergeCell ref="BP100:BY100"/>
    <mergeCell ref="CK100:CT100"/>
    <mergeCell ref="CK106:CT106"/>
    <mergeCell ref="CU102:DD102"/>
    <mergeCell ref="DE102:DN102"/>
    <mergeCell ref="DO102:DX102"/>
    <mergeCell ref="DY102:EH102"/>
    <mergeCell ref="BZ102:CI102"/>
    <mergeCell ref="C103:Q103"/>
    <mergeCell ref="R103:AA103"/>
    <mergeCell ref="AB103:AK103"/>
    <mergeCell ref="AL103:AU103"/>
    <mergeCell ref="AV103:BE103"/>
    <mergeCell ref="BF103:BO103"/>
    <mergeCell ref="BP103:BY103"/>
    <mergeCell ref="CK103:CT103"/>
    <mergeCell ref="CU103:DD103"/>
    <mergeCell ref="DE103:DN103"/>
    <mergeCell ref="DO103:DX103"/>
    <mergeCell ref="AV99:BE99"/>
    <mergeCell ref="BF99:BO99"/>
    <mergeCell ref="BP99:BY99"/>
    <mergeCell ref="CK99:CT99"/>
    <mergeCell ref="CU99:DD99"/>
    <mergeCell ref="DE99:DN99"/>
    <mergeCell ref="DO99:DX99"/>
    <mergeCell ref="DY99:EH99"/>
    <mergeCell ref="BZ99:CI99"/>
    <mergeCell ref="C100:Q100"/>
    <mergeCell ref="R100:AA100"/>
    <mergeCell ref="AB100:AK100"/>
    <mergeCell ref="AL100:AU100"/>
    <mergeCell ref="AV100:BE100"/>
    <mergeCell ref="BF100:BO100"/>
    <mergeCell ref="CU100:DD100"/>
    <mergeCell ref="DE100:DN100"/>
    <mergeCell ref="DO100:DX100"/>
    <mergeCell ref="DY100:EH100"/>
    <mergeCell ref="BZ100:CI100"/>
    <mergeCell ref="DE96:DN96"/>
    <mergeCell ref="DO96:DX96"/>
    <mergeCell ref="C97:Q97"/>
    <mergeCell ref="R97:AA97"/>
    <mergeCell ref="AB97:AK97"/>
    <mergeCell ref="AL97:AU97"/>
    <mergeCell ref="AV97:BE97"/>
    <mergeCell ref="BF97:BO97"/>
    <mergeCell ref="BP97:BY97"/>
    <mergeCell ref="CK97:CT97"/>
    <mergeCell ref="CU97:DD97"/>
    <mergeCell ref="DE97:DN97"/>
    <mergeCell ref="DO97:DX97"/>
    <mergeCell ref="DY97:EH97"/>
    <mergeCell ref="BZ97:CI97"/>
    <mergeCell ref="C102:Q102"/>
    <mergeCell ref="R102:AA102"/>
    <mergeCell ref="AB102:AK102"/>
    <mergeCell ref="AL102:AU102"/>
    <mergeCell ref="AV102:BE102"/>
    <mergeCell ref="BF102:BO102"/>
    <mergeCell ref="BP102:BY102"/>
    <mergeCell ref="CK102:CT102"/>
    <mergeCell ref="CU98:DD98"/>
    <mergeCell ref="DE98:DN98"/>
    <mergeCell ref="DO98:DX98"/>
    <mergeCell ref="DY98:EH98"/>
    <mergeCell ref="BZ98:CI98"/>
    <mergeCell ref="C99:Q99"/>
    <mergeCell ref="R99:AA99"/>
    <mergeCell ref="AB99:AK99"/>
    <mergeCell ref="AL99:AU99"/>
    <mergeCell ref="R92:AA92"/>
    <mergeCell ref="BZ91:CI91"/>
    <mergeCell ref="DY96:EH96"/>
    <mergeCell ref="BZ96:CI96"/>
    <mergeCell ref="C98:Q98"/>
    <mergeCell ref="R98:AA98"/>
    <mergeCell ref="AB98:AK98"/>
    <mergeCell ref="AL98:AU98"/>
    <mergeCell ref="AV98:BE98"/>
    <mergeCell ref="BF98:BO98"/>
    <mergeCell ref="BP98:BY98"/>
    <mergeCell ref="CK98:CT98"/>
    <mergeCell ref="DY94:EH94"/>
    <mergeCell ref="BZ94:CI94"/>
    <mergeCell ref="C95:Q95"/>
    <mergeCell ref="R95:AA95"/>
    <mergeCell ref="AB95:AK95"/>
    <mergeCell ref="AL95:AU95"/>
    <mergeCell ref="AV95:BE95"/>
    <mergeCell ref="CU95:DD95"/>
    <mergeCell ref="DE95:DN95"/>
    <mergeCell ref="DO95:DX95"/>
    <mergeCell ref="CU94:DD94"/>
    <mergeCell ref="DE94:DN94"/>
    <mergeCell ref="BP96:BY96"/>
    <mergeCell ref="CK96:CT96"/>
    <mergeCell ref="BF95:BO95"/>
    <mergeCell ref="BP95:BY95"/>
    <mergeCell ref="CK95:CT95"/>
    <mergeCell ref="BP94:BY94"/>
    <mergeCell ref="CK94:CT94"/>
    <mergeCell ref="CU96:DD96"/>
    <mergeCell ref="BB77:BR77"/>
    <mergeCell ref="BS77:CB77"/>
    <mergeCell ref="CC77:CL77"/>
    <mergeCell ref="CM77:CV77"/>
    <mergeCell ref="AB92:AK92"/>
    <mergeCell ref="AL92:AU92"/>
    <mergeCell ref="AV92:BE92"/>
    <mergeCell ref="CU92:DD92"/>
    <mergeCell ref="DE92:DN92"/>
    <mergeCell ref="DO92:DX92"/>
    <mergeCell ref="BZ92:CI92"/>
    <mergeCell ref="DY92:EH92"/>
    <mergeCell ref="BZ93:CI93"/>
    <mergeCell ref="D68:T68"/>
    <mergeCell ref="U68:AD68"/>
    <mergeCell ref="C94:Q94"/>
    <mergeCell ref="R94:AA94"/>
    <mergeCell ref="AB94:AK94"/>
    <mergeCell ref="AL94:AU94"/>
    <mergeCell ref="AV94:BE94"/>
    <mergeCell ref="BF94:BO94"/>
    <mergeCell ref="D79:T79"/>
    <mergeCell ref="U79:AD79"/>
    <mergeCell ref="AE79:AN79"/>
    <mergeCell ref="AO79:AX79"/>
    <mergeCell ref="BB79:BR79"/>
    <mergeCell ref="BS79:CB79"/>
    <mergeCell ref="CC79:CL79"/>
    <mergeCell ref="CM79:CV79"/>
    <mergeCell ref="BP88:DT88"/>
    <mergeCell ref="C91:Q92"/>
    <mergeCell ref="R91:BY91"/>
    <mergeCell ref="CK91:EH91"/>
    <mergeCell ref="C90:EH90"/>
    <mergeCell ref="BF92:BO92"/>
    <mergeCell ref="BP92:BY92"/>
    <mergeCell ref="CK92:CT92"/>
    <mergeCell ref="BL86:DZ87"/>
    <mergeCell ref="CC72:CL72"/>
    <mergeCell ref="CM72:CV72"/>
    <mergeCell ref="BB70:BR70"/>
    <mergeCell ref="BS70:CB70"/>
    <mergeCell ref="CC66:CL66"/>
    <mergeCell ref="CM66:CV66"/>
    <mergeCell ref="BB68:BR68"/>
    <mergeCell ref="BS68:CB68"/>
    <mergeCell ref="CC68:CL68"/>
    <mergeCell ref="CM68:CV68"/>
    <mergeCell ref="BB69:BR69"/>
    <mergeCell ref="BS69:CB69"/>
    <mergeCell ref="CC69:CL69"/>
    <mergeCell ref="CM69:CV69"/>
    <mergeCell ref="BB75:BR75"/>
    <mergeCell ref="BS75:CB75"/>
    <mergeCell ref="CC75:CL75"/>
    <mergeCell ref="CM75:CV75"/>
    <mergeCell ref="CC70:CL70"/>
    <mergeCell ref="CM70:CV70"/>
    <mergeCell ref="AE68:AN68"/>
    <mergeCell ref="AO68:AX68"/>
    <mergeCell ref="AE66:AN66"/>
    <mergeCell ref="AO66:AX66"/>
    <mergeCell ref="D67:T67"/>
    <mergeCell ref="U67:AD67"/>
    <mergeCell ref="BB74:BR74"/>
    <mergeCell ref="BS74:CB74"/>
    <mergeCell ref="CC74:CL74"/>
    <mergeCell ref="CM74:CV74"/>
    <mergeCell ref="BB71:BR71"/>
    <mergeCell ref="BS71:CB71"/>
    <mergeCell ref="CC71:CL71"/>
    <mergeCell ref="CM71:CV71"/>
    <mergeCell ref="BB72:BR72"/>
    <mergeCell ref="BS72:CB72"/>
    <mergeCell ref="BB66:BR66"/>
    <mergeCell ref="BS66:CB66"/>
    <mergeCell ref="BB73:BR73"/>
    <mergeCell ref="BS73:CB73"/>
    <mergeCell ref="CC73:CL73"/>
    <mergeCell ref="CM73:CV73"/>
    <mergeCell ref="D66:T66"/>
    <mergeCell ref="U66:AD66"/>
    <mergeCell ref="AE67:AN67"/>
    <mergeCell ref="AO67:AX67"/>
    <mergeCell ref="CC55:CL55"/>
    <mergeCell ref="CM55:CV55"/>
    <mergeCell ref="D56:T56"/>
    <mergeCell ref="U56:AD56"/>
    <mergeCell ref="AE56:AN56"/>
    <mergeCell ref="AO56:AX56"/>
    <mergeCell ref="BB56:BR56"/>
    <mergeCell ref="BS56:CB56"/>
    <mergeCell ref="CC57:CL57"/>
    <mergeCell ref="CM57:CV57"/>
    <mergeCell ref="BB64:BR64"/>
    <mergeCell ref="BS64:CB64"/>
    <mergeCell ref="D60:T60"/>
    <mergeCell ref="U60:AD60"/>
    <mergeCell ref="AE60:AN60"/>
    <mergeCell ref="AO60:AX60"/>
    <mergeCell ref="BB60:BR60"/>
    <mergeCell ref="BS60:CB60"/>
    <mergeCell ref="CC60:CL60"/>
    <mergeCell ref="CM60:CV60"/>
    <mergeCell ref="D61:T61"/>
    <mergeCell ref="U61:AD61"/>
    <mergeCell ref="CC64:CL64"/>
    <mergeCell ref="CM64:CV64"/>
    <mergeCell ref="D63:T63"/>
    <mergeCell ref="U63:AD63"/>
    <mergeCell ref="AE63:AN63"/>
    <mergeCell ref="AO63:AX63"/>
    <mergeCell ref="BB62:BR62"/>
    <mergeCell ref="BS62:CB62"/>
    <mergeCell ref="CC62:CL62"/>
    <mergeCell ref="CM62:CV62"/>
    <mergeCell ref="D57:T57"/>
    <mergeCell ref="U57:AD57"/>
    <mergeCell ref="AE57:AN57"/>
    <mergeCell ref="AO57:AX57"/>
    <mergeCell ref="D59:T59"/>
    <mergeCell ref="U59:AD59"/>
    <mergeCell ref="AE59:AN59"/>
    <mergeCell ref="AO59:AX59"/>
    <mergeCell ref="BB59:BR59"/>
    <mergeCell ref="BS59:CB59"/>
    <mergeCell ref="CC59:CL59"/>
    <mergeCell ref="CM59:CV59"/>
    <mergeCell ref="CC63:CL63"/>
    <mergeCell ref="CM63:CV63"/>
    <mergeCell ref="D65:T65"/>
    <mergeCell ref="U65:AD65"/>
    <mergeCell ref="AE65:AN65"/>
    <mergeCell ref="AO65:AX65"/>
    <mergeCell ref="AE61:AN61"/>
    <mergeCell ref="AO61:AX61"/>
    <mergeCell ref="D62:T62"/>
    <mergeCell ref="U62:AD62"/>
    <mergeCell ref="AE62:AN62"/>
    <mergeCell ref="AO62:AX62"/>
    <mergeCell ref="BB57:BR57"/>
    <mergeCell ref="BS57:CB57"/>
    <mergeCell ref="BB65:BR65"/>
    <mergeCell ref="BS65:CB65"/>
    <mergeCell ref="CC65:CL65"/>
    <mergeCell ref="CM65:CV65"/>
    <mergeCell ref="BB63:BR63"/>
    <mergeCell ref="BS63:CB63"/>
    <mergeCell ref="BB52:BR52"/>
    <mergeCell ref="BS52:CB52"/>
    <mergeCell ref="CC52:CL52"/>
    <mergeCell ref="CM52:CV52"/>
    <mergeCell ref="CC54:CL54"/>
    <mergeCell ref="CM54:CV54"/>
    <mergeCell ref="D53:T53"/>
    <mergeCell ref="U53:AD53"/>
    <mergeCell ref="AE53:AN53"/>
    <mergeCell ref="AO53:AX53"/>
    <mergeCell ref="BB53:BR53"/>
    <mergeCell ref="BS53:CB53"/>
    <mergeCell ref="CC53:CL53"/>
    <mergeCell ref="CM53:CV53"/>
    <mergeCell ref="D54:T54"/>
    <mergeCell ref="U54:AD54"/>
    <mergeCell ref="AE54:AN54"/>
    <mergeCell ref="AO54:AX54"/>
    <mergeCell ref="BB54:BR54"/>
    <mergeCell ref="BS54:CB54"/>
    <mergeCell ref="D52:T52"/>
    <mergeCell ref="U52:AD52"/>
    <mergeCell ref="AE52:AN52"/>
    <mergeCell ref="AO52:AX52"/>
    <mergeCell ref="D48:T48"/>
    <mergeCell ref="U48:AD48"/>
    <mergeCell ref="AE48:AN48"/>
    <mergeCell ref="AO48:AX48"/>
    <mergeCell ref="BB61:BR61"/>
    <mergeCell ref="BS61:CB61"/>
    <mergeCell ref="CC61:CL61"/>
    <mergeCell ref="CM61:CV61"/>
    <mergeCell ref="CC56:CL56"/>
    <mergeCell ref="CM56:CV56"/>
    <mergeCell ref="D55:T55"/>
    <mergeCell ref="U55:AD55"/>
    <mergeCell ref="AE55:AN55"/>
    <mergeCell ref="AO55:AX55"/>
    <mergeCell ref="BB55:BR55"/>
    <mergeCell ref="BS55:CB55"/>
    <mergeCell ref="D49:T49"/>
    <mergeCell ref="AE49:AN49"/>
    <mergeCell ref="U49:AD49"/>
    <mergeCell ref="AO49:AX49"/>
    <mergeCell ref="BB49:BR49"/>
    <mergeCell ref="BS49:CB49"/>
    <mergeCell ref="CC49:CL49"/>
    <mergeCell ref="CM49:CV49"/>
    <mergeCell ref="D50:T50"/>
    <mergeCell ref="U50:AD50"/>
    <mergeCell ref="AE50:AN50"/>
    <mergeCell ref="AO50:AX50"/>
    <mergeCell ref="D58:T58"/>
    <mergeCell ref="U58:AD58"/>
    <mergeCell ref="AE58:AN58"/>
    <mergeCell ref="AO58:AX58"/>
    <mergeCell ref="BB50:BR50"/>
    <mergeCell ref="BS50:CB50"/>
    <mergeCell ref="CC50:CL50"/>
    <mergeCell ref="CM50:CV50"/>
    <mergeCell ref="D43:T43"/>
    <mergeCell ref="U43:AD43"/>
    <mergeCell ref="AE43:AN43"/>
    <mergeCell ref="AO43:AX43"/>
    <mergeCell ref="BB43:BR43"/>
    <mergeCell ref="BS43:CB43"/>
    <mergeCell ref="CC43:CL43"/>
    <mergeCell ref="CM43:CV43"/>
    <mergeCell ref="D44:T44"/>
    <mergeCell ref="U44:AD44"/>
    <mergeCell ref="AE44:AN44"/>
    <mergeCell ref="AO44:AX44"/>
    <mergeCell ref="D51:T51"/>
    <mergeCell ref="U51:AD51"/>
    <mergeCell ref="AE51:AN51"/>
    <mergeCell ref="AO51:AX51"/>
    <mergeCell ref="BB51:BR51"/>
    <mergeCell ref="BS51:CB51"/>
    <mergeCell ref="CC51:CL51"/>
    <mergeCell ref="CM51:CV51"/>
    <mergeCell ref="D45:T45"/>
    <mergeCell ref="U45:AD45"/>
    <mergeCell ref="AE45:AN45"/>
    <mergeCell ref="AO45:AX45"/>
    <mergeCell ref="BB45:BR45"/>
    <mergeCell ref="BS45:CB45"/>
    <mergeCell ref="CC45:CL45"/>
    <mergeCell ref="CM45:CV45"/>
    <mergeCell ref="AO39:AX39"/>
    <mergeCell ref="BB39:BR39"/>
    <mergeCell ref="BS39:CB39"/>
    <mergeCell ref="CC39:CL39"/>
    <mergeCell ref="CM39:CV39"/>
    <mergeCell ref="D47:T47"/>
    <mergeCell ref="U47:AD47"/>
    <mergeCell ref="AE47:AN47"/>
    <mergeCell ref="AO47:AX47"/>
    <mergeCell ref="BB40:BR40"/>
    <mergeCell ref="BS40:CB40"/>
    <mergeCell ref="CC40:CL40"/>
    <mergeCell ref="CM40:CV40"/>
    <mergeCell ref="D41:T41"/>
    <mergeCell ref="U41:AD41"/>
    <mergeCell ref="AE41:AN41"/>
    <mergeCell ref="AO41:AX41"/>
    <mergeCell ref="BB41:BR41"/>
    <mergeCell ref="BS41:CB41"/>
    <mergeCell ref="CC41:CL41"/>
    <mergeCell ref="CM41:CV41"/>
    <mergeCell ref="BB46:BR46"/>
    <mergeCell ref="BS46:CB46"/>
    <mergeCell ref="CC46:CL46"/>
    <mergeCell ref="CM46:CV46"/>
    <mergeCell ref="BB47:BR47"/>
    <mergeCell ref="BS47:CB47"/>
    <mergeCell ref="CC47:CL47"/>
    <mergeCell ref="CM47:CV47"/>
    <mergeCell ref="CM35:CV35"/>
    <mergeCell ref="D36:T36"/>
    <mergeCell ref="U36:AD36"/>
    <mergeCell ref="AE36:AN36"/>
    <mergeCell ref="AO36:AX36"/>
    <mergeCell ref="BB44:BR44"/>
    <mergeCell ref="BS44:CB44"/>
    <mergeCell ref="CC44:CL44"/>
    <mergeCell ref="CM44:CV44"/>
    <mergeCell ref="D42:T42"/>
    <mergeCell ref="U42:AD42"/>
    <mergeCell ref="AE42:AN42"/>
    <mergeCell ref="AO42:AX42"/>
    <mergeCell ref="BB42:BR42"/>
    <mergeCell ref="BS42:CB42"/>
    <mergeCell ref="CC42:CL42"/>
    <mergeCell ref="CM42:CV42"/>
    <mergeCell ref="D37:T37"/>
    <mergeCell ref="U37:AD37"/>
    <mergeCell ref="AE37:AN37"/>
    <mergeCell ref="AO37:AX37"/>
    <mergeCell ref="D38:T38"/>
    <mergeCell ref="U38:AD38"/>
    <mergeCell ref="AE38:AN38"/>
    <mergeCell ref="AO38:AX38"/>
    <mergeCell ref="BB38:BR38"/>
    <mergeCell ref="BS38:CB38"/>
    <mergeCell ref="CC38:CL38"/>
    <mergeCell ref="CM38:CV38"/>
    <mergeCell ref="D39:T39"/>
    <mergeCell ref="U39:AD39"/>
    <mergeCell ref="AE39:AN39"/>
    <mergeCell ref="BS31:CB31"/>
    <mergeCell ref="AE32:AN32"/>
    <mergeCell ref="AO32:AX32"/>
    <mergeCell ref="BB32:BR32"/>
    <mergeCell ref="BS32:CB32"/>
    <mergeCell ref="D40:T40"/>
    <mergeCell ref="U40:AD40"/>
    <mergeCell ref="AE40:AN40"/>
    <mergeCell ref="AO40:AX40"/>
    <mergeCell ref="D33:T33"/>
    <mergeCell ref="U33:AD33"/>
    <mergeCell ref="AE33:AN33"/>
    <mergeCell ref="AO33:AX33"/>
    <mergeCell ref="BB33:BR33"/>
    <mergeCell ref="BS33:CB33"/>
    <mergeCell ref="CC33:CL33"/>
    <mergeCell ref="CM33:CV33"/>
    <mergeCell ref="D34:T34"/>
    <mergeCell ref="U34:AD34"/>
    <mergeCell ref="AE34:AN34"/>
    <mergeCell ref="AO34:AX34"/>
    <mergeCell ref="BB34:BR34"/>
    <mergeCell ref="BS34:CB34"/>
    <mergeCell ref="CC34:CL34"/>
    <mergeCell ref="CM34:CV34"/>
    <mergeCell ref="D35:T35"/>
    <mergeCell ref="U35:AD35"/>
    <mergeCell ref="AE35:AN35"/>
    <mergeCell ref="AO35:AX35"/>
    <mergeCell ref="BB35:BR35"/>
    <mergeCell ref="BS35:CB35"/>
    <mergeCell ref="CC35:CL35"/>
    <mergeCell ref="AO26:AX26"/>
    <mergeCell ref="BB28:BR28"/>
    <mergeCell ref="BS28:CB28"/>
    <mergeCell ref="CC28:CL28"/>
    <mergeCell ref="CM28:CV28"/>
    <mergeCell ref="D29:T29"/>
    <mergeCell ref="U29:AD29"/>
    <mergeCell ref="AE29:AN29"/>
    <mergeCell ref="AO29:AX29"/>
    <mergeCell ref="BB29:BR29"/>
    <mergeCell ref="BS29:CB29"/>
    <mergeCell ref="BB36:BR36"/>
    <mergeCell ref="BS36:CB36"/>
    <mergeCell ref="CC36:CL36"/>
    <mergeCell ref="CM36:CV36"/>
    <mergeCell ref="CC29:CL29"/>
    <mergeCell ref="CM29:CV29"/>
    <mergeCell ref="D30:T30"/>
    <mergeCell ref="U30:AD30"/>
    <mergeCell ref="AE30:AN30"/>
    <mergeCell ref="AO30:AX30"/>
    <mergeCell ref="BB30:BR30"/>
    <mergeCell ref="BS30:CB30"/>
    <mergeCell ref="CC30:CL30"/>
    <mergeCell ref="CM30:CV30"/>
    <mergeCell ref="CC32:CL32"/>
    <mergeCell ref="CM32:CV32"/>
    <mergeCell ref="D31:T31"/>
    <mergeCell ref="U31:AD31"/>
    <mergeCell ref="AE31:AN31"/>
    <mergeCell ref="AO31:AX31"/>
    <mergeCell ref="BB31:BR31"/>
    <mergeCell ref="BB19:BR19"/>
    <mergeCell ref="BS19:CB19"/>
    <mergeCell ref="CC19:CL19"/>
    <mergeCell ref="CM19:CV19"/>
    <mergeCell ref="U24:AD24"/>
    <mergeCell ref="AE24:AN24"/>
    <mergeCell ref="AO24:AX24"/>
    <mergeCell ref="BB24:BR24"/>
    <mergeCell ref="BS24:CB24"/>
    <mergeCell ref="CC24:CL24"/>
    <mergeCell ref="CM24:CV24"/>
    <mergeCell ref="D21:T21"/>
    <mergeCell ref="U21:AD21"/>
    <mergeCell ref="AE21:AN21"/>
    <mergeCell ref="AO21:AX21"/>
    <mergeCell ref="BB21:BR21"/>
    <mergeCell ref="BS21:CB21"/>
    <mergeCell ref="D22:T22"/>
    <mergeCell ref="U22:AD22"/>
    <mergeCell ref="AE22:AN22"/>
    <mergeCell ref="AO22:AX22"/>
    <mergeCell ref="BB22:BR22"/>
    <mergeCell ref="BS22:CB22"/>
    <mergeCell ref="CC21:CL21"/>
    <mergeCell ref="CM21:CV21"/>
    <mergeCell ref="D20:T20"/>
    <mergeCell ref="U20:AD20"/>
    <mergeCell ref="CC22:CL22"/>
    <mergeCell ref="CM22:CV22"/>
    <mergeCell ref="BB23:BR23"/>
    <mergeCell ref="BS23:CB23"/>
    <mergeCell ref="CC23:CL23"/>
    <mergeCell ref="BZ150:CI150"/>
    <mergeCell ref="CJ150:CS150"/>
    <mergeCell ref="BZ155:CI155"/>
    <mergeCell ref="CJ155:CS155"/>
    <mergeCell ref="T156:AC156"/>
    <mergeCell ref="AD156:AM156"/>
    <mergeCell ref="C156:S156"/>
    <mergeCell ref="AY156:BO156"/>
    <mergeCell ref="C160:S160"/>
    <mergeCell ref="AY160:BO160"/>
    <mergeCell ref="C164:S164"/>
    <mergeCell ref="AY164:BO164"/>
    <mergeCell ref="A10:CX13"/>
    <mergeCell ref="A14:CX15"/>
    <mergeCell ref="D16:AX17"/>
    <mergeCell ref="BB16:CV17"/>
    <mergeCell ref="D18:T18"/>
    <mergeCell ref="U18:AD18"/>
    <mergeCell ref="AE18:AN18"/>
    <mergeCell ref="AO18:AX18"/>
    <mergeCell ref="BB18:BR18"/>
    <mergeCell ref="BS18:CB18"/>
    <mergeCell ref="CC18:CL18"/>
    <mergeCell ref="CM18:CV18"/>
    <mergeCell ref="D19:T19"/>
    <mergeCell ref="U19:AD19"/>
    <mergeCell ref="AE19:AN19"/>
    <mergeCell ref="AO19:AX19"/>
    <mergeCell ref="CK93:CT93"/>
    <mergeCell ref="CU93:DD93"/>
    <mergeCell ref="CC20:CL20"/>
    <mergeCell ref="CM20:CV20"/>
    <mergeCell ref="CM23:CV23"/>
    <mergeCell ref="D24:T24"/>
    <mergeCell ref="DO93:DX93"/>
    <mergeCell ref="DO94:DX94"/>
    <mergeCell ref="BF96:BO96"/>
    <mergeCell ref="AE20:AN20"/>
    <mergeCell ref="AO20:AX20"/>
    <mergeCell ref="BB20:BR20"/>
    <mergeCell ref="BS20:CB20"/>
    <mergeCell ref="BB26:BR26"/>
    <mergeCell ref="BS26:CB26"/>
    <mergeCell ref="CC31:CL31"/>
    <mergeCell ref="CM31:CV31"/>
    <mergeCell ref="CC25:CL25"/>
    <mergeCell ref="CM25:CV25"/>
    <mergeCell ref="D25:T25"/>
    <mergeCell ref="U25:AD25"/>
    <mergeCell ref="AE25:AN25"/>
    <mergeCell ref="AO25:AX25"/>
    <mergeCell ref="BB25:BR25"/>
    <mergeCell ref="BS25:CB25"/>
    <mergeCell ref="D32:T32"/>
    <mergeCell ref="U32:AD32"/>
    <mergeCell ref="CC26:CL26"/>
    <mergeCell ref="CM26:CV26"/>
    <mergeCell ref="D27:T27"/>
    <mergeCell ref="U27:AD27"/>
    <mergeCell ref="AE27:AN27"/>
    <mergeCell ref="AO27:AX27"/>
    <mergeCell ref="D26:T26"/>
    <mergeCell ref="U26:AD26"/>
    <mergeCell ref="AE26:AN26"/>
    <mergeCell ref="T222:AC222"/>
    <mergeCell ref="AD222:AM222"/>
    <mergeCell ref="DY95:EH95"/>
    <mergeCell ref="BZ95:CI95"/>
    <mergeCell ref="C96:Q96"/>
    <mergeCell ref="R96:AA96"/>
    <mergeCell ref="AB96:AK96"/>
    <mergeCell ref="AL96:AU96"/>
    <mergeCell ref="AV96:BE96"/>
    <mergeCell ref="C93:Q93"/>
    <mergeCell ref="R93:AA93"/>
    <mergeCell ref="AB93:AK93"/>
    <mergeCell ref="AL93:AU93"/>
    <mergeCell ref="AV93:BE93"/>
    <mergeCell ref="DE93:DN93"/>
    <mergeCell ref="T160:AC160"/>
    <mergeCell ref="AD160:AM160"/>
    <mergeCell ref="AN160:AW160"/>
    <mergeCell ref="BP160:BY160"/>
    <mergeCell ref="BZ160:CI160"/>
    <mergeCell ref="CJ160:CS160"/>
    <mergeCell ref="T159:AC159"/>
    <mergeCell ref="C165:S165"/>
    <mergeCell ref="T165:AC165"/>
    <mergeCell ref="AD165:AM165"/>
    <mergeCell ref="DY93:EH93"/>
    <mergeCell ref="BZ110:CI112"/>
    <mergeCell ref="BZ116:CI116"/>
    <mergeCell ref="C115:EH115"/>
    <mergeCell ref="CK116:EH116"/>
    <mergeCell ref="BF93:BO93"/>
    <mergeCell ref="BP93:BY93"/>
    <mergeCell ref="T221:AC221"/>
    <mergeCell ref="AD221:AM221"/>
    <mergeCell ref="AN221:AW221"/>
    <mergeCell ref="AY221:BM221"/>
    <mergeCell ref="BZ215:CI215"/>
    <mergeCell ref="T167:AC167"/>
    <mergeCell ref="AD167:AM167"/>
    <mergeCell ref="CJ162:CS162"/>
    <mergeCell ref="T164:AC164"/>
    <mergeCell ref="AD164:AM164"/>
    <mergeCell ref="E223:S223"/>
    <mergeCell ref="T223:AC223"/>
    <mergeCell ref="AD223:AM223"/>
    <mergeCell ref="AN223:AW223"/>
    <mergeCell ref="AY223:BM223"/>
    <mergeCell ref="AN164:AW164"/>
    <mergeCell ref="BP164:BY164"/>
    <mergeCell ref="BZ164:CI164"/>
    <mergeCell ref="CJ164:CS164"/>
    <mergeCell ref="AN172:AW172"/>
    <mergeCell ref="BP172:BY172"/>
    <mergeCell ref="BZ172:CI172"/>
    <mergeCell ref="CJ172:CS172"/>
    <mergeCell ref="T171:AC171"/>
    <mergeCell ref="AD171:AM171"/>
    <mergeCell ref="BZ166:CI166"/>
    <mergeCell ref="CJ166:CS166"/>
    <mergeCell ref="BX220:CG220"/>
    <mergeCell ref="BN221:BW221"/>
    <mergeCell ref="BX221:CG221"/>
    <mergeCell ref="CH221:CQ221"/>
    <mergeCell ref="E222:S222"/>
    <mergeCell ref="AN222:AW222"/>
    <mergeCell ref="AY222:BM222"/>
    <mergeCell ref="BN222:BW222"/>
    <mergeCell ref="BX222:CG222"/>
    <mergeCell ref="BN223:BW223"/>
    <mergeCell ref="BX223:CG223"/>
    <mergeCell ref="CH223:CQ223"/>
    <mergeCell ref="E217:AW217"/>
    <mergeCell ref="AY217:CQ217"/>
    <mergeCell ref="E221:S221"/>
    <mergeCell ref="C267:N267"/>
    <mergeCell ref="C266:N266"/>
    <mergeCell ref="C250:N250"/>
    <mergeCell ref="C251:N251"/>
    <mergeCell ref="C252:N252"/>
    <mergeCell ref="C253:N253"/>
    <mergeCell ref="C254:N254"/>
    <mergeCell ref="C255:N255"/>
    <mergeCell ref="C256:N256"/>
    <mergeCell ref="C257:N257"/>
    <mergeCell ref="C258:N258"/>
    <mergeCell ref="C259:N259"/>
    <mergeCell ref="C260:N260"/>
    <mergeCell ref="C261:N261"/>
    <mergeCell ref="C262:N262"/>
    <mergeCell ref="C263:N263"/>
    <mergeCell ref="C264:N264"/>
    <mergeCell ref="C265:N265"/>
    <mergeCell ref="O257:U257"/>
    <mergeCell ref="O258:U258"/>
    <mergeCell ref="O259:U259"/>
    <mergeCell ref="O260:U260"/>
    <mergeCell ref="O263:U263"/>
    <mergeCell ref="O264:U264"/>
    <mergeCell ref="O265:U265"/>
    <mergeCell ref="O266:U266"/>
    <mergeCell ref="O267:U267"/>
    <mergeCell ref="W249:AC249"/>
    <mergeCell ref="W250:AC250"/>
    <mergeCell ref="W251:AC251"/>
    <mergeCell ref="W252:AC252"/>
    <mergeCell ref="W253:AC253"/>
    <mergeCell ref="W254:AC254"/>
    <mergeCell ref="W255:AC255"/>
    <mergeCell ref="W256:AC256"/>
    <mergeCell ref="W257:AC257"/>
    <mergeCell ref="W258:AC258"/>
    <mergeCell ref="W259:AC259"/>
    <mergeCell ref="W260:AC260"/>
    <mergeCell ref="W261:AC261"/>
    <mergeCell ref="W262:AC262"/>
    <mergeCell ref="W263:AC263"/>
    <mergeCell ref="W264:AC264"/>
    <mergeCell ref="W265:AC265"/>
    <mergeCell ref="W266:AC266"/>
    <mergeCell ref="W267:AC267"/>
    <mergeCell ref="O251:U251"/>
    <mergeCell ref="O252:U252"/>
    <mergeCell ref="O253:U253"/>
    <mergeCell ref="O254:U254"/>
    <mergeCell ref="O255:U255"/>
    <mergeCell ref="O256:U256"/>
    <mergeCell ref="AK252:AQ252"/>
    <mergeCell ref="AK253:AQ253"/>
    <mergeCell ref="AK254:AQ254"/>
    <mergeCell ref="AK255:AQ255"/>
    <mergeCell ref="AK256:AQ256"/>
    <mergeCell ref="AK257:AQ257"/>
    <mergeCell ref="AK258:AQ258"/>
    <mergeCell ref="AK259:AQ259"/>
    <mergeCell ref="AK260:AQ260"/>
    <mergeCell ref="AR259:AX259"/>
    <mergeCell ref="AY259:BE259"/>
    <mergeCell ref="AK261:AQ261"/>
    <mergeCell ref="AK262:AQ262"/>
    <mergeCell ref="O261:U261"/>
    <mergeCell ref="O262:U262"/>
    <mergeCell ref="O244:U244"/>
    <mergeCell ref="W244:AC244"/>
    <mergeCell ref="AD244:AJ244"/>
    <mergeCell ref="AK244:AQ244"/>
    <mergeCell ref="AR244:AX244"/>
    <mergeCell ref="AY244:BE244"/>
    <mergeCell ref="BF240:BL240"/>
    <mergeCell ref="BM229:BS229"/>
    <mergeCell ref="BU229:CA229"/>
    <mergeCell ref="CB229:CH229"/>
    <mergeCell ref="CI229:CO229"/>
    <mergeCell ref="CP229:CV229"/>
    <mergeCell ref="CW227:DC227"/>
    <mergeCell ref="DD227:DJ227"/>
    <mergeCell ref="DK227:DQ227"/>
    <mergeCell ref="DR227:DX227"/>
    <mergeCell ref="DY227:EE227"/>
    <mergeCell ref="O228:U228"/>
    <mergeCell ref="W228:AC228"/>
    <mergeCell ref="W238:AC238"/>
    <mergeCell ref="AY240:BE240"/>
    <mergeCell ref="BU238:CA238"/>
    <mergeCell ref="CB238:CH238"/>
    <mergeCell ref="CI238:CO238"/>
    <mergeCell ref="CP238:CV238"/>
    <mergeCell ref="CW238:DC238"/>
    <mergeCell ref="DD238:DJ238"/>
    <mergeCell ref="DK238:DQ238"/>
    <mergeCell ref="DR238:DX238"/>
    <mergeCell ref="DY238:EE238"/>
    <mergeCell ref="DY239:EE239"/>
    <mergeCell ref="AD238:AJ238"/>
    <mergeCell ref="O227:U227"/>
    <mergeCell ref="W227:AC227"/>
    <mergeCell ref="AD227:AJ227"/>
    <mergeCell ref="AK227:AQ227"/>
    <mergeCell ref="AR227:AX227"/>
    <mergeCell ref="AY227:BE227"/>
    <mergeCell ref="BF227:BL227"/>
    <mergeCell ref="BM227:BS227"/>
    <mergeCell ref="BU227:CA227"/>
    <mergeCell ref="CB227:CH227"/>
    <mergeCell ref="CI227:CO227"/>
    <mergeCell ref="CP227:CV227"/>
    <mergeCell ref="O242:U242"/>
    <mergeCell ref="W242:AC242"/>
    <mergeCell ref="AD242:AJ242"/>
    <mergeCell ref="AK242:AQ242"/>
    <mergeCell ref="AR242:AX242"/>
    <mergeCell ref="AY242:BE242"/>
    <mergeCell ref="AK238:AQ238"/>
    <mergeCell ref="AR238:AX238"/>
    <mergeCell ref="BM240:BS240"/>
    <mergeCell ref="BF242:BL242"/>
    <mergeCell ref="BM242:BS242"/>
    <mergeCell ref="AK240:AQ240"/>
    <mergeCell ref="AR240:AX240"/>
    <mergeCell ref="AK231:AQ231"/>
    <mergeCell ref="AR231:AX231"/>
    <mergeCell ref="AY231:BE231"/>
    <mergeCell ref="BF231:BL231"/>
    <mergeCell ref="BM231:BS231"/>
    <mergeCell ref="BU231:CA231"/>
    <mergeCell ref="CB231:CH231"/>
    <mergeCell ref="AR228:AX228"/>
    <mergeCell ref="AY228:BE228"/>
    <mergeCell ref="BF228:BL228"/>
    <mergeCell ref="BM228:BS228"/>
    <mergeCell ref="BU228:CA228"/>
    <mergeCell ref="CB228:CH228"/>
    <mergeCell ref="CI228:CO228"/>
    <mergeCell ref="CP228:CV228"/>
    <mergeCell ref="CW228:DC228"/>
    <mergeCell ref="DD228:DJ228"/>
    <mergeCell ref="BU230:CA230"/>
    <mergeCell ref="CB230:CH230"/>
    <mergeCell ref="CI230:CO230"/>
    <mergeCell ref="CP230:CV230"/>
    <mergeCell ref="CW230:DC230"/>
    <mergeCell ref="DD230:DJ230"/>
    <mergeCell ref="DK230:DQ230"/>
    <mergeCell ref="CI231:CO231"/>
    <mergeCell ref="CP231:CV231"/>
    <mergeCell ref="CW231:DC231"/>
    <mergeCell ref="DD231:DJ231"/>
    <mergeCell ref="DK231:DQ231"/>
    <mergeCell ref="DR231:DX231"/>
    <mergeCell ref="CW229:DC229"/>
    <mergeCell ref="DD229:DJ229"/>
    <mergeCell ref="DK229:DQ229"/>
    <mergeCell ref="DR229:DX229"/>
    <mergeCell ref="CP232:CV232"/>
    <mergeCell ref="CW232:DC232"/>
    <mergeCell ref="DD232:DJ232"/>
    <mergeCell ref="DK232:DQ232"/>
    <mergeCell ref="DR232:DX232"/>
    <mergeCell ref="DY232:EE232"/>
    <mergeCell ref="DY229:EE229"/>
    <mergeCell ref="DR230:DX230"/>
    <mergeCell ref="DY230:EE230"/>
    <mergeCell ref="C233:N233"/>
    <mergeCell ref="O233:U233"/>
    <mergeCell ref="W233:AC233"/>
    <mergeCell ref="AD233:AJ233"/>
    <mergeCell ref="AK233:AQ233"/>
    <mergeCell ref="AR233:AX233"/>
    <mergeCell ref="AY233:BE233"/>
    <mergeCell ref="BF233:BL233"/>
    <mergeCell ref="BM233:BS233"/>
    <mergeCell ref="BU233:CA233"/>
    <mergeCell ref="CB233:CH233"/>
    <mergeCell ref="CI233:CO233"/>
    <mergeCell ref="CP233:CV233"/>
    <mergeCell ref="CW233:DC233"/>
    <mergeCell ref="DD233:DJ233"/>
    <mergeCell ref="DK233:DQ233"/>
    <mergeCell ref="DR233:DX233"/>
    <mergeCell ref="DY233:EE233"/>
    <mergeCell ref="C231:N231"/>
    <mergeCell ref="O231:U231"/>
    <mergeCell ref="W231:AC231"/>
    <mergeCell ref="AD231:AJ231"/>
    <mergeCell ref="DY231:EE231"/>
    <mergeCell ref="BU234:CA234"/>
    <mergeCell ref="CB234:CH234"/>
    <mergeCell ref="CI234:CO234"/>
    <mergeCell ref="CP234:CV234"/>
    <mergeCell ref="CW234:DC234"/>
    <mergeCell ref="DD234:DJ234"/>
    <mergeCell ref="DK234:DQ234"/>
    <mergeCell ref="DR234:DX234"/>
    <mergeCell ref="DY234:EE234"/>
    <mergeCell ref="C235:N235"/>
    <mergeCell ref="O235:U235"/>
    <mergeCell ref="W235:AC235"/>
    <mergeCell ref="AD235:AJ235"/>
    <mergeCell ref="AK235:AQ235"/>
    <mergeCell ref="AR235:AX235"/>
    <mergeCell ref="AY235:BE235"/>
    <mergeCell ref="BF235:BL235"/>
    <mergeCell ref="BM235:BS235"/>
    <mergeCell ref="BU235:CA235"/>
    <mergeCell ref="CB235:CH235"/>
    <mergeCell ref="CI235:CO235"/>
    <mergeCell ref="CP235:CV235"/>
    <mergeCell ref="CW235:DC235"/>
    <mergeCell ref="DD235:DJ235"/>
    <mergeCell ref="DK235:DQ235"/>
    <mergeCell ref="DR235:DX235"/>
    <mergeCell ref="DY235:EE235"/>
    <mergeCell ref="BU232:CA232"/>
    <mergeCell ref="CB232:CH232"/>
    <mergeCell ref="CI232:CO232"/>
    <mergeCell ref="BU236:CA236"/>
    <mergeCell ref="CB236:CH236"/>
    <mergeCell ref="CI236:CO236"/>
    <mergeCell ref="CP236:CV236"/>
    <mergeCell ref="CW236:DC236"/>
    <mergeCell ref="DD236:DJ236"/>
    <mergeCell ref="DK236:DQ236"/>
    <mergeCell ref="DR236:DX236"/>
    <mergeCell ref="DY236:EE236"/>
    <mergeCell ref="C237:N237"/>
    <mergeCell ref="O237:U237"/>
    <mergeCell ref="W237:AC237"/>
    <mergeCell ref="AD237:AJ237"/>
    <mergeCell ref="AK237:AQ237"/>
    <mergeCell ref="AR237:AX237"/>
    <mergeCell ref="AY237:BE237"/>
    <mergeCell ref="BF237:BL237"/>
    <mergeCell ref="BM237:BS237"/>
    <mergeCell ref="BU237:CA237"/>
    <mergeCell ref="CB237:CH237"/>
    <mergeCell ref="CI237:CO237"/>
    <mergeCell ref="CP237:CV237"/>
    <mergeCell ref="CW237:DC237"/>
    <mergeCell ref="DD237:DJ237"/>
    <mergeCell ref="DK237:DQ237"/>
    <mergeCell ref="DR237:DX237"/>
    <mergeCell ref="DY237:EE237"/>
    <mergeCell ref="BF236:BL236"/>
    <mergeCell ref="BM236:BS236"/>
    <mergeCell ref="C239:N239"/>
    <mergeCell ref="O239:U239"/>
    <mergeCell ref="W239:AC239"/>
    <mergeCell ref="AD239:AJ239"/>
    <mergeCell ref="AK239:AQ239"/>
    <mergeCell ref="AR239:AX239"/>
    <mergeCell ref="AY239:BE239"/>
    <mergeCell ref="BF239:BL239"/>
    <mergeCell ref="BM239:BS239"/>
    <mergeCell ref="BU239:CA239"/>
    <mergeCell ref="CB239:CH239"/>
    <mergeCell ref="CI239:CO239"/>
    <mergeCell ref="CP239:CV239"/>
    <mergeCell ref="CW239:DC239"/>
    <mergeCell ref="DD239:DJ239"/>
    <mergeCell ref="DK239:DQ239"/>
    <mergeCell ref="DR239:DX239"/>
    <mergeCell ref="AY238:BE238"/>
    <mergeCell ref="BF238:BL238"/>
    <mergeCell ref="BU240:CA240"/>
    <mergeCell ref="CB240:CH240"/>
    <mergeCell ref="CI240:CO240"/>
    <mergeCell ref="CP240:CV240"/>
    <mergeCell ref="CW240:DC240"/>
    <mergeCell ref="DD240:DJ240"/>
    <mergeCell ref="DK240:DQ240"/>
    <mergeCell ref="DR240:DX240"/>
    <mergeCell ref="DY240:EE240"/>
    <mergeCell ref="C241:N241"/>
    <mergeCell ref="O241:U241"/>
    <mergeCell ref="W241:AC241"/>
    <mergeCell ref="AD241:AJ241"/>
    <mergeCell ref="AK241:AQ241"/>
    <mergeCell ref="AR241:AX241"/>
    <mergeCell ref="AY241:BE241"/>
    <mergeCell ref="BF241:BL241"/>
    <mergeCell ref="BM241:BS241"/>
    <mergeCell ref="BU241:CA241"/>
    <mergeCell ref="CB241:CH241"/>
    <mergeCell ref="CI241:CO241"/>
    <mergeCell ref="CP241:CV241"/>
    <mergeCell ref="CW241:DC241"/>
    <mergeCell ref="DD241:DJ241"/>
    <mergeCell ref="DK241:DQ241"/>
    <mergeCell ref="DR241:DX241"/>
    <mergeCell ref="DY241:EE241"/>
    <mergeCell ref="O240:U240"/>
    <mergeCell ref="W240:AC240"/>
    <mergeCell ref="AD240:AJ240"/>
    <mergeCell ref="BU242:CA242"/>
    <mergeCell ref="CB242:CH242"/>
    <mergeCell ref="CI242:CO242"/>
    <mergeCell ref="CP242:CV242"/>
    <mergeCell ref="CW242:DC242"/>
    <mergeCell ref="DD242:DJ242"/>
    <mergeCell ref="DK242:DQ242"/>
    <mergeCell ref="DR242:DX242"/>
    <mergeCell ref="DY242:EE242"/>
    <mergeCell ref="C243:N243"/>
    <mergeCell ref="O243:U243"/>
    <mergeCell ref="W243:AC243"/>
    <mergeCell ref="AD243:AJ243"/>
    <mergeCell ref="AK243:AQ243"/>
    <mergeCell ref="AR243:AX243"/>
    <mergeCell ref="AY243:BE243"/>
    <mergeCell ref="BF243:BL243"/>
    <mergeCell ref="BM243:BS243"/>
    <mergeCell ref="BU243:CA243"/>
    <mergeCell ref="CB243:CH243"/>
    <mergeCell ref="CI243:CO243"/>
    <mergeCell ref="CP243:CV243"/>
    <mergeCell ref="CW243:DC243"/>
    <mergeCell ref="DD243:DJ243"/>
    <mergeCell ref="DK243:DQ243"/>
    <mergeCell ref="DR243:DX243"/>
    <mergeCell ref="DY243:EE243"/>
    <mergeCell ref="C245:N245"/>
    <mergeCell ref="O245:U245"/>
    <mergeCell ref="W245:AC245"/>
    <mergeCell ref="AD245:AJ245"/>
    <mergeCell ref="AK245:AQ245"/>
    <mergeCell ref="AR245:AX245"/>
    <mergeCell ref="AY245:BE245"/>
    <mergeCell ref="BF245:BL245"/>
    <mergeCell ref="BM245:BS245"/>
    <mergeCell ref="BU245:CA245"/>
    <mergeCell ref="CB245:CH245"/>
    <mergeCell ref="CI245:CO245"/>
    <mergeCell ref="CP245:CV245"/>
    <mergeCell ref="CW245:DC245"/>
    <mergeCell ref="DD245:DJ245"/>
    <mergeCell ref="DK245:DQ245"/>
    <mergeCell ref="DR245:DX245"/>
    <mergeCell ref="BU265:CA265"/>
    <mergeCell ref="BU266:CA266"/>
    <mergeCell ref="BU267:CA267"/>
    <mergeCell ref="BU248:EE248"/>
    <mergeCell ref="AD249:AJ249"/>
    <mergeCell ref="AK249:AQ249"/>
    <mergeCell ref="CI244:CO244"/>
    <mergeCell ref="CP244:CV244"/>
    <mergeCell ref="CW244:DC244"/>
    <mergeCell ref="DD244:DJ244"/>
    <mergeCell ref="DK244:DQ244"/>
    <mergeCell ref="DR244:DX244"/>
    <mergeCell ref="DY244:EE244"/>
    <mergeCell ref="DY245:EE245"/>
    <mergeCell ref="BU244:CA244"/>
    <mergeCell ref="CB244:CH244"/>
    <mergeCell ref="BF244:BL244"/>
    <mergeCell ref="BM244:BS244"/>
    <mergeCell ref="CI249:CO249"/>
    <mergeCell ref="CP249:CV249"/>
    <mergeCell ref="AD259:AJ259"/>
    <mergeCell ref="AD260:AJ260"/>
    <mergeCell ref="AD261:AJ261"/>
    <mergeCell ref="AD262:AJ262"/>
    <mergeCell ref="AK250:AQ250"/>
    <mergeCell ref="AK251:AQ251"/>
    <mergeCell ref="AR251:AX251"/>
    <mergeCell ref="AY251:BE251"/>
    <mergeCell ref="AR253:AX253"/>
    <mergeCell ref="AY253:BE253"/>
    <mergeCell ref="AR255:AX255"/>
    <mergeCell ref="AY255:BE255"/>
    <mergeCell ref="BL1202:DZ1203"/>
    <mergeCell ref="BP1204:DT1204"/>
    <mergeCell ref="C1207:Q1208"/>
    <mergeCell ref="C1209:Q1209"/>
    <mergeCell ref="BF1209:BM1209"/>
    <mergeCell ref="AX1209:BE1209"/>
    <mergeCell ref="A1101:CX1105"/>
    <mergeCell ref="A1107:CX1108"/>
    <mergeCell ref="W248:BS248"/>
    <mergeCell ref="BU249:CA249"/>
    <mergeCell ref="BU250:CA250"/>
    <mergeCell ref="BU251:CA251"/>
    <mergeCell ref="BU252:CA252"/>
    <mergeCell ref="BU253:CA253"/>
    <mergeCell ref="BU254:CA254"/>
    <mergeCell ref="BU255:CA255"/>
    <mergeCell ref="BU256:CA256"/>
    <mergeCell ref="BU257:CA257"/>
    <mergeCell ref="BU258:CA258"/>
    <mergeCell ref="BU259:CA259"/>
    <mergeCell ref="BU260:CA260"/>
    <mergeCell ref="BU261:CA261"/>
    <mergeCell ref="BU262:CA262"/>
    <mergeCell ref="AD250:AJ250"/>
    <mergeCell ref="AD251:AJ251"/>
    <mergeCell ref="AD252:AJ252"/>
    <mergeCell ref="AD253:AJ253"/>
    <mergeCell ref="AD254:AJ254"/>
    <mergeCell ref="AD255:AJ255"/>
    <mergeCell ref="AD256:AJ256"/>
    <mergeCell ref="AD257:AJ257"/>
    <mergeCell ref="AD258:AJ258"/>
    <mergeCell ref="DJ1231:DS1231"/>
    <mergeCell ref="DJ1228:DS1228"/>
    <mergeCell ref="C1231:Q1231"/>
    <mergeCell ref="C1224:Q1224"/>
    <mergeCell ref="C1225:Q1225"/>
    <mergeCell ref="C1222:Q1222"/>
    <mergeCell ref="C1223:Q1223"/>
    <mergeCell ref="Z1223:AG1223"/>
    <mergeCell ref="AP1222:AW1222"/>
    <mergeCell ref="AP1223:AW1223"/>
    <mergeCell ref="AH1222:AO1222"/>
    <mergeCell ref="BF1222:BM1222"/>
    <mergeCell ref="C1220:Q1220"/>
    <mergeCell ref="C1221:Q1221"/>
    <mergeCell ref="C1218:Q1218"/>
    <mergeCell ref="C1219:Q1219"/>
    <mergeCell ref="AH1218:AO1218"/>
    <mergeCell ref="BF1218:BM1218"/>
    <mergeCell ref="AH1219:AO1219"/>
    <mergeCell ref="AP1228:AW1228"/>
    <mergeCell ref="AP1229:AW1229"/>
    <mergeCell ref="AP1230:AW1230"/>
    <mergeCell ref="DB1222:DI1222"/>
    <mergeCell ref="DB1223:DI1223"/>
    <mergeCell ref="AX1224:BE1224"/>
    <mergeCell ref="DB1224:DI1224"/>
    <mergeCell ref="BN1224:BU1224"/>
    <mergeCell ref="BV1224:CC1224"/>
    <mergeCell ref="AX1219:BE1219"/>
    <mergeCell ref="DB1219:DI1219"/>
    <mergeCell ref="BN1219:BU1219"/>
    <mergeCell ref="BV1219:CC1219"/>
    <mergeCell ref="C1212:Q1212"/>
    <mergeCell ref="DJ1208:DS1208"/>
    <mergeCell ref="DJ1209:DS1209"/>
    <mergeCell ref="DJ1210:DS1210"/>
    <mergeCell ref="DJ1211:DS1211"/>
    <mergeCell ref="DJ1212:DS1212"/>
    <mergeCell ref="DJ1213:DS1213"/>
    <mergeCell ref="DJ1214:DS1214"/>
    <mergeCell ref="DJ1215:DS1215"/>
    <mergeCell ref="DJ1216:DS1216"/>
    <mergeCell ref="DJ1217:DS1217"/>
    <mergeCell ref="DJ1218:DS1218"/>
    <mergeCell ref="DJ1219:DS1219"/>
    <mergeCell ref="DJ1220:DS1220"/>
    <mergeCell ref="DJ1221:DS1221"/>
    <mergeCell ref="DJ1222:DS1222"/>
    <mergeCell ref="DJ1223:DS1223"/>
    <mergeCell ref="C1213:Q1213"/>
    <mergeCell ref="BF1212:BM1212"/>
    <mergeCell ref="BF1213:BM1213"/>
    <mergeCell ref="C1210:Q1210"/>
    <mergeCell ref="C1211:Q1211"/>
    <mergeCell ref="BF1210:BM1210"/>
    <mergeCell ref="BF1211:BM1211"/>
    <mergeCell ref="Z1214:AG1214"/>
    <mergeCell ref="Z1215:AG1215"/>
    <mergeCell ref="Z1216:AG1216"/>
    <mergeCell ref="Z1217:AG1217"/>
    <mergeCell ref="Z1218:AG1218"/>
    <mergeCell ref="Z1219:AG1219"/>
    <mergeCell ref="Z1220:AG1220"/>
    <mergeCell ref="Z1221:AG1221"/>
    <mergeCell ref="DJ1229:DS1229"/>
    <mergeCell ref="DJ1230:DS1230"/>
    <mergeCell ref="CD1230:CK1230"/>
    <mergeCell ref="CL1230:CS1230"/>
    <mergeCell ref="CT1230:DA1230"/>
    <mergeCell ref="C1226:Q1226"/>
    <mergeCell ref="C1227:Q1227"/>
    <mergeCell ref="C1228:Q1228"/>
    <mergeCell ref="C1229:Q1229"/>
    <mergeCell ref="C1230:Q1230"/>
    <mergeCell ref="DJ1226:DS1226"/>
    <mergeCell ref="DJ1227:DS1227"/>
    <mergeCell ref="DJ1225:DS1225"/>
    <mergeCell ref="C1216:Q1216"/>
    <mergeCell ref="C1217:Q1217"/>
    <mergeCell ref="C1214:Q1214"/>
    <mergeCell ref="C1215:Q1215"/>
    <mergeCell ref="BF1214:BM1214"/>
    <mergeCell ref="AH1215:AO1215"/>
    <mergeCell ref="BF1215:BM1215"/>
    <mergeCell ref="DJ1224:DS1224"/>
    <mergeCell ref="AH1217:AO1217"/>
    <mergeCell ref="BF1217:BM1217"/>
    <mergeCell ref="CD1218:CK1218"/>
    <mergeCell ref="CL1218:CS1218"/>
    <mergeCell ref="CT1218:DA1218"/>
    <mergeCell ref="CD1219:CK1219"/>
    <mergeCell ref="CL1219:CS1219"/>
    <mergeCell ref="CT1219:DA1219"/>
    <mergeCell ref="CD1220:CK1220"/>
    <mergeCell ref="CL1220:CS1220"/>
    <mergeCell ref="Z1225:AG1225"/>
    <mergeCell ref="Z1229:AG1229"/>
    <mergeCell ref="Z1230:AG1230"/>
    <mergeCell ref="AP1209:AW1209"/>
    <mergeCell ref="AP1210:AW1210"/>
    <mergeCell ref="AP1211:AW1211"/>
    <mergeCell ref="AP1212:AW1212"/>
    <mergeCell ref="AP1213:AW1213"/>
    <mergeCell ref="AP1214:AW1214"/>
    <mergeCell ref="AP1215:AW1215"/>
    <mergeCell ref="AP1216:AW1216"/>
    <mergeCell ref="AP1217:AW1217"/>
    <mergeCell ref="AP1218:AW1218"/>
    <mergeCell ref="AP1219:AW1219"/>
    <mergeCell ref="AP1220:AW1220"/>
    <mergeCell ref="AP1221:AW1221"/>
    <mergeCell ref="Z1209:AG1209"/>
    <mergeCell ref="Z1210:AG1210"/>
    <mergeCell ref="Z1211:AG1211"/>
    <mergeCell ref="AH1216:AO1216"/>
    <mergeCell ref="Z1212:AG1212"/>
    <mergeCell ref="Z1213:AG1213"/>
    <mergeCell ref="Z1222:AG1222"/>
    <mergeCell ref="AH1225:AO1225"/>
    <mergeCell ref="AH1229:AO1229"/>
    <mergeCell ref="AH1230:AO1230"/>
    <mergeCell ref="AH1209:AO1209"/>
    <mergeCell ref="AH1210:AO1210"/>
    <mergeCell ref="AH1211:AO1211"/>
    <mergeCell ref="AH1212:AO1212"/>
    <mergeCell ref="AH1213:AO1213"/>
    <mergeCell ref="AH1214:AO1214"/>
    <mergeCell ref="Z1224:AG1224"/>
    <mergeCell ref="AX1212:BE1212"/>
    <mergeCell ref="CL1213:CS1213"/>
    <mergeCell ref="CT1213:DA1213"/>
    <mergeCell ref="BN1209:BU1209"/>
    <mergeCell ref="BV1209:CC1209"/>
    <mergeCell ref="AX1210:BE1210"/>
    <mergeCell ref="AX1211:BE1211"/>
    <mergeCell ref="Z1226:AG1226"/>
    <mergeCell ref="Z1227:AG1227"/>
    <mergeCell ref="Z1228:AG1228"/>
    <mergeCell ref="BF1216:BM1216"/>
    <mergeCell ref="BF1225:BM1225"/>
    <mergeCell ref="AH1226:AO1226"/>
    <mergeCell ref="BF1226:BM1226"/>
    <mergeCell ref="AH1227:AO1227"/>
    <mergeCell ref="BF1227:BM1227"/>
    <mergeCell ref="AX1225:BE1225"/>
    <mergeCell ref="AP1227:AW1227"/>
    <mergeCell ref="CD1214:CK1214"/>
    <mergeCell ref="CL1214:CS1214"/>
    <mergeCell ref="CT1214:DA1214"/>
    <mergeCell ref="CD1215:CK1215"/>
    <mergeCell ref="CL1215:CS1215"/>
    <mergeCell ref="CT1215:DA1215"/>
    <mergeCell ref="CD1216:CK1216"/>
    <mergeCell ref="CL1216:CS1216"/>
    <mergeCell ref="CT1216:DA1216"/>
    <mergeCell ref="AX1214:BE1214"/>
    <mergeCell ref="BF1220:BM1220"/>
    <mergeCell ref="AH1221:AO1221"/>
    <mergeCell ref="BF1221:BM1221"/>
    <mergeCell ref="AX1220:BE1220"/>
    <mergeCell ref="DB1225:DI1225"/>
    <mergeCell ref="BN1225:BU1225"/>
    <mergeCell ref="BV1225:CC1225"/>
    <mergeCell ref="AX1226:BE1226"/>
    <mergeCell ref="DB1226:DI1226"/>
    <mergeCell ref="BN1226:BU1226"/>
    <mergeCell ref="BV1226:CC1226"/>
    <mergeCell ref="AH1223:AO1223"/>
    <mergeCell ref="BF1223:BM1223"/>
    <mergeCell ref="AH1224:AO1224"/>
    <mergeCell ref="BF1224:BM1224"/>
    <mergeCell ref="AP1224:AW1224"/>
    <mergeCell ref="AP1225:AW1225"/>
    <mergeCell ref="CD1223:CK1223"/>
    <mergeCell ref="CL1223:CS1223"/>
    <mergeCell ref="CT1223:DA1223"/>
    <mergeCell ref="AX1222:BE1222"/>
    <mergeCell ref="BN1222:BU1222"/>
    <mergeCell ref="BV1222:CC1222"/>
    <mergeCell ref="AX1223:BE1223"/>
    <mergeCell ref="BN1223:BU1223"/>
    <mergeCell ref="BV1223:CC1223"/>
    <mergeCell ref="CD1222:CK1222"/>
    <mergeCell ref="CL1222:CS1222"/>
    <mergeCell ref="CT1222:DA1222"/>
    <mergeCell ref="AP1226:AW1226"/>
    <mergeCell ref="DB1220:DI1220"/>
    <mergeCell ref="BN1220:BU1220"/>
    <mergeCell ref="BV1220:CC1220"/>
    <mergeCell ref="AX1221:BE1221"/>
    <mergeCell ref="DB1221:DI1221"/>
    <mergeCell ref="BN1221:BU1221"/>
    <mergeCell ref="BV1221:CC1221"/>
    <mergeCell ref="CT1220:DA1220"/>
    <mergeCell ref="CD1221:CK1221"/>
    <mergeCell ref="CL1221:CS1221"/>
    <mergeCell ref="CT1221:DA1221"/>
    <mergeCell ref="BV1217:CC1217"/>
    <mergeCell ref="BF1219:BM1219"/>
    <mergeCell ref="AX1218:BE1218"/>
    <mergeCell ref="DB1218:DI1218"/>
    <mergeCell ref="BN1218:BU1218"/>
    <mergeCell ref="BV1218:CC1218"/>
    <mergeCell ref="CD1217:CK1217"/>
    <mergeCell ref="CL1217:CS1217"/>
    <mergeCell ref="CT1217:DA1217"/>
    <mergeCell ref="BV1214:CC1214"/>
    <mergeCell ref="AX1215:BE1215"/>
    <mergeCell ref="BN1217:BU1217"/>
    <mergeCell ref="DB1215:DI1215"/>
    <mergeCell ref="BN1215:BU1215"/>
    <mergeCell ref="BV1215:CC1215"/>
    <mergeCell ref="AX1216:BE1216"/>
    <mergeCell ref="DB1216:DI1216"/>
    <mergeCell ref="BN1216:BU1216"/>
    <mergeCell ref="BV1216:CC1216"/>
    <mergeCell ref="AX1217:BE1217"/>
    <mergeCell ref="R1229:Y1229"/>
    <mergeCell ref="R1230:Y1230"/>
    <mergeCell ref="AX1231:BE1231"/>
    <mergeCell ref="BF1231:BM1231"/>
    <mergeCell ref="BN1231:BU1231"/>
    <mergeCell ref="BV1231:CC1231"/>
    <mergeCell ref="CD1231:CK1231"/>
    <mergeCell ref="CL1231:CS1231"/>
    <mergeCell ref="CT1231:DA1231"/>
    <mergeCell ref="AX1227:BE1227"/>
    <mergeCell ref="DB1227:DI1227"/>
    <mergeCell ref="BN1227:BU1227"/>
    <mergeCell ref="BV1227:CC1227"/>
    <mergeCell ref="AX1228:BE1228"/>
    <mergeCell ref="DB1228:DI1228"/>
    <mergeCell ref="BN1228:BU1228"/>
    <mergeCell ref="BV1228:CC1228"/>
    <mergeCell ref="AX1229:BE1229"/>
    <mergeCell ref="DB1229:DI1229"/>
    <mergeCell ref="DB1217:DI1217"/>
    <mergeCell ref="AH1220:AO1220"/>
    <mergeCell ref="BN1229:BU1229"/>
    <mergeCell ref="BV1229:CC1229"/>
    <mergeCell ref="AX1230:BE1230"/>
    <mergeCell ref="DB1231:DI1231"/>
    <mergeCell ref="DB1230:DI1230"/>
    <mergeCell ref="BN1230:BU1230"/>
    <mergeCell ref="BV1230:CC1230"/>
    <mergeCell ref="BF1229:BM1229"/>
    <mergeCell ref="BF1230:BM1230"/>
    <mergeCell ref="CD1229:CK1229"/>
    <mergeCell ref="CL1229:CS1229"/>
    <mergeCell ref="CT1229:DA1229"/>
    <mergeCell ref="Z1231:AG1231"/>
    <mergeCell ref="R1212:Y1212"/>
    <mergeCell ref="R1213:Y1213"/>
    <mergeCell ref="R1214:Y1214"/>
    <mergeCell ref="R1215:Y1215"/>
    <mergeCell ref="R1216:Y1216"/>
    <mergeCell ref="R1217:Y1217"/>
    <mergeCell ref="R1218:Y1218"/>
    <mergeCell ref="R1219:Y1219"/>
    <mergeCell ref="R1220:Y1220"/>
    <mergeCell ref="R1221:Y1221"/>
    <mergeCell ref="R1222:Y1222"/>
    <mergeCell ref="R1223:Y1223"/>
    <mergeCell ref="R1224:Y1224"/>
    <mergeCell ref="R1225:Y1225"/>
    <mergeCell ref="R1226:Y1226"/>
    <mergeCell ref="R1227:Y1227"/>
    <mergeCell ref="R1228:Y1228"/>
    <mergeCell ref="AH1231:AO1231"/>
    <mergeCell ref="AP1231:AW1231"/>
    <mergeCell ref="C1206:DS1206"/>
    <mergeCell ref="R1207:DS1207"/>
    <mergeCell ref="CD1224:CK1224"/>
    <mergeCell ref="CL1224:CS1224"/>
    <mergeCell ref="CT1224:DA1224"/>
    <mergeCell ref="CD1225:CK1225"/>
    <mergeCell ref="CL1225:CS1225"/>
    <mergeCell ref="CT1225:DA1225"/>
    <mergeCell ref="CD1226:CK1226"/>
    <mergeCell ref="CL1226:CS1226"/>
    <mergeCell ref="CT1226:DA1226"/>
    <mergeCell ref="CD1227:CK1227"/>
    <mergeCell ref="CL1227:CS1227"/>
    <mergeCell ref="CT1227:DA1227"/>
    <mergeCell ref="CD1228:CK1228"/>
    <mergeCell ref="CL1228:CS1228"/>
    <mergeCell ref="CT1228:DA1228"/>
    <mergeCell ref="CT1210:DA1210"/>
    <mergeCell ref="CD1211:CK1211"/>
    <mergeCell ref="CL1211:CS1211"/>
    <mergeCell ref="R1208:Y1208"/>
    <mergeCell ref="Z1208:AG1208"/>
    <mergeCell ref="DB1212:DI1212"/>
    <mergeCell ref="BN1212:BU1212"/>
    <mergeCell ref="BV1212:CC1212"/>
    <mergeCell ref="AX1213:BE1213"/>
    <mergeCell ref="CT1211:DA1211"/>
    <mergeCell ref="CD1212:CK1212"/>
    <mergeCell ref="CL1212:CS1212"/>
    <mergeCell ref="CT1212:DA1212"/>
    <mergeCell ref="DB1214:DI1214"/>
    <mergeCell ref="BN1214:BU1214"/>
    <mergeCell ref="R1231:Y1231"/>
    <mergeCell ref="R1209:Y1209"/>
    <mergeCell ref="R1210:Y1210"/>
    <mergeCell ref="R1211:Y1211"/>
    <mergeCell ref="AH1208:AO1208"/>
    <mergeCell ref="AH1228:AO1228"/>
    <mergeCell ref="BF1228:BM1228"/>
    <mergeCell ref="DB1209:DI1209"/>
    <mergeCell ref="DB1211:DI1211"/>
    <mergeCell ref="BN1211:BU1211"/>
    <mergeCell ref="BV1211:CC1211"/>
    <mergeCell ref="DB1213:DI1213"/>
    <mergeCell ref="BN1213:BU1213"/>
    <mergeCell ref="BV1213:CC1213"/>
    <mergeCell ref="CD1213:CK1213"/>
    <mergeCell ref="DB1210:DI1210"/>
    <mergeCell ref="BN1210:BU1210"/>
    <mergeCell ref="BV1210:CC1210"/>
    <mergeCell ref="AP1208:AW1208"/>
    <mergeCell ref="AX1208:BE1208"/>
    <mergeCell ref="BF1208:BM1208"/>
    <mergeCell ref="BN1208:BU1208"/>
    <mergeCell ref="BV1208:CC1208"/>
    <mergeCell ref="CD1208:CK1208"/>
    <mergeCell ref="CL1208:CS1208"/>
    <mergeCell ref="CT1208:DA1208"/>
    <mergeCell ref="DB1208:DI1208"/>
    <mergeCell ref="CD1209:CK1209"/>
    <mergeCell ref="CL1209:CS1209"/>
    <mergeCell ref="CT1209:DA1209"/>
    <mergeCell ref="CD1210:CK1210"/>
    <mergeCell ref="CL1210:CS1210"/>
  </mergeCells>
  <pageMargins left="0" right="0" top="0" bottom="0" header="0" footer="0"/>
  <pageSetup paperSize="9" scale="80" orientation="portrait" cellComments="atEnd"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7</vt:i4>
      </vt:variant>
    </vt:vector>
  </HeadingPairs>
  <TitlesOfParts>
    <vt:vector size="18" baseType="lpstr">
      <vt:lpstr>StartUp Screen</vt:lpstr>
      <vt:lpstr>Main</vt:lpstr>
      <vt:lpstr>List Boxs</vt:lpstr>
      <vt:lpstr>Form Details</vt:lpstr>
      <vt:lpstr>Payment Details</vt:lpstr>
      <vt:lpstr>Day Book</vt:lpstr>
      <vt:lpstr>Deleted Data</vt:lpstr>
      <vt:lpstr>Adv. Filter</vt:lpstr>
      <vt:lpstr>Data Entry</vt:lpstr>
      <vt:lpstr>Print</vt:lpstr>
      <vt:lpstr>Balance Sheet</vt:lpstr>
      <vt:lpstr>ABankBranchs</vt:lpstr>
      <vt:lpstr>AInspected</vt:lpstr>
      <vt:lpstr>AMediator</vt:lpstr>
      <vt:lpstr>AOperator</vt:lpstr>
      <vt:lpstr>'Adv. Filter'!Criteria</vt:lpstr>
      <vt:lpstr>'Adv. Filter'!Extract</vt:lpstr>
      <vt:lpstr>Print!Print_Titles</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Gajendra Santosh</dc:creator>
  <cp:lastModifiedBy>gsantosh</cp:lastModifiedBy>
  <cp:lastPrinted>2017-11-03T07:05:45Z</cp:lastPrinted>
  <dcterms:created xsi:type="dcterms:W3CDTF">2017-09-02T04:42:11Z</dcterms:created>
  <dcterms:modified xsi:type="dcterms:W3CDTF">2018-10-09T06:34:38Z</dcterms:modified>
</cp:coreProperties>
</file>